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188" windowHeight="10500" tabRatio="836" firstSheet="1" activeTab="48"/>
  </bookViews>
  <sheets>
    <sheet name="NOFAJE" sheetId="77" state="hidden" r:id="rId1"/>
    <sheet name="封面" sheetId="138" r:id="rId2"/>
    <sheet name="索引目录" sheetId="106" state="hidden" r:id="rId3"/>
    <sheet name="参数表" sheetId="148" state="hidden" r:id="rId4"/>
    <sheet name="基本情况" sheetId="108" state="hidden" r:id="rId5"/>
    <sheet name="资负表（未审）-旧" sheetId="151" state="hidden" r:id="rId6"/>
    <sheet name="资负表（已审）-旧" sheetId="109" state="hidden" r:id="rId7"/>
    <sheet name="资负表（未审）-新" sheetId="171" state="hidden" r:id="rId8"/>
    <sheet name="资负表（已审）-新" sheetId="170" state="hidden" r:id="rId9"/>
    <sheet name="资负表" sheetId="284" state="hidden" r:id="rId10"/>
    <sheet name="利润表及费率" sheetId="285" state="hidden" r:id="rId11"/>
    <sheet name="基础数据" sheetId="320" state="hidden" r:id="rId12"/>
    <sheet name="判断表" sheetId="190" state="hidden" r:id="rId13"/>
    <sheet name="说明用表" sheetId="282" state="hidden" r:id="rId14"/>
    <sheet name="汇总-基础" sheetId="152" r:id="rId15"/>
    <sheet name="分类汇总" sheetId="2" state="hidden" r:id="rId16"/>
    <sheet name="流动资总" sheetId="3" state="hidden" r:id="rId17"/>
    <sheet name="货币资金总" sheetId="140" state="hidden" r:id="rId18"/>
    <sheet name="现金" sheetId="4" state="hidden" r:id="rId19"/>
    <sheet name="银行存款" sheetId="5" state="hidden" r:id="rId20"/>
    <sheet name="其他货币" sheetId="6" state="hidden" r:id="rId21"/>
    <sheet name="公允计量金资总" sheetId="7" state="hidden" r:id="rId22"/>
    <sheet name="公允资-股票" sheetId="8" state="hidden" r:id="rId23"/>
    <sheet name="公允资-债券" sheetId="9" state="hidden" r:id="rId24"/>
    <sheet name="公允资-基金" sheetId="121" state="hidden" r:id="rId25"/>
    <sheet name="交易性金资总" sheetId="172" state="hidden" r:id="rId26"/>
    <sheet name="交易性-股票" sheetId="173" state="hidden" r:id="rId27"/>
    <sheet name="交易性-债券" sheetId="174" state="hidden" r:id="rId28"/>
    <sheet name="交易性-基金" sheetId="175" state="hidden" r:id="rId29"/>
    <sheet name="衍生金资" sheetId="167" state="hidden" r:id="rId30"/>
    <sheet name="应收票据" sheetId="98" state="hidden" r:id="rId31"/>
    <sheet name="应收账款" sheetId="11" state="hidden" r:id="rId32"/>
    <sheet name="应收款融资总" sheetId="176" state="hidden" r:id="rId33"/>
    <sheet name="融资-应收票据" sheetId="177" state="hidden" r:id="rId34"/>
    <sheet name="融资-应收账款" sheetId="178" state="hidden" r:id="rId35"/>
    <sheet name="预付账款" sheetId="14" state="hidden" r:id="rId36"/>
    <sheet name="其他应收总" sheetId="166" state="hidden" r:id="rId37"/>
    <sheet name="其他应收-利息" sheetId="13" state="hidden" r:id="rId38"/>
    <sheet name="其他应收-股利" sheetId="12" state="hidden" r:id="rId39"/>
    <sheet name="其他应收-其他" sheetId="16" state="hidden" r:id="rId40"/>
    <sheet name="存货总" sheetId="17" r:id="rId41"/>
    <sheet name="采购（在途）" sheetId="19" state="hidden" r:id="rId42"/>
    <sheet name="原材料" sheetId="18" state="hidden" r:id="rId43"/>
    <sheet name="在库周转" sheetId="20" state="hidden" r:id="rId44"/>
    <sheet name="委托加工" sheetId="100" state="hidden" r:id="rId45"/>
    <sheet name="产成品（商品）" sheetId="23" state="hidden" r:id="rId46"/>
    <sheet name="在产品（半成品）" sheetId="99" state="hidden" r:id="rId47"/>
    <sheet name="发出商品" sheetId="116" state="hidden" r:id="rId48"/>
    <sheet name="在用周转" sheetId="26" r:id="rId49"/>
    <sheet name="开发产品" sheetId="157" state="hidden" r:id="rId50"/>
    <sheet name="出租开发产品" sheetId="158" state="hidden" r:id="rId51"/>
    <sheet name="开发成本" sheetId="159" state="hidden" r:id="rId52"/>
    <sheet name="未完施工" sheetId="224" state="hidden" r:id="rId53"/>
    <sheet name="合同资总" sheetId="278" state="hidden" r:id="rId54"/>
    <sheet name="合同资-未完施工" sheetId="169" state="hidden" r:id="rId55"/>
    <sheet name="合同资-其他" sheetId="279" state="hidden" r:id="rId56"/>
    <sheet name="持有待售资" sheetId="168" state="hidden" r:id="rId57"/>
    <sheet name="一年到期资" sheetId="31" state="hidden" r:id="rId58"/>
    <sheet name="其他流资" sheetId="32" state="hidden" r:id="rId59"/>
    <sheet name="非流动资总" sheetId="125" state="hidden" r:id="rId60"/>
    <sheet name="可供出售总" sheetId="33" state="hidden" r:id="rId61"/>
    <sheet name="可供-股票" sheetId="34" state="hidden" r:id="rId62"/>
    <sheet name="可供-债券" sheetId="35" state="hidden" r:id="rId63"/>
    <sheet name="可供-其他" sheetId="123" state="hidden" r:id="rId64"/>
    <sheet name="持有到期" sheetId="124" state="hidden" r:id="rId65"/>
    <sheet name="债权投资" sheetId="180" state="hidden" r:id="rId66"/>
    <sheet name="其他债权" sheetId="179" state="hidden" r:id="rId67"/>
    <sheet name="长期应收" sheetId="127" state="hidden" r:id="rId68"/>
    <sheet name="股权投资" sheetId="36" state="hidden" r:id="rId69"/>
    <sheet name="其他权益工具" sheetId="181" state="hidden" r:id="rId70"/>
    <sheet name="其他金资" sheetId="182" state="hidden" r:id="rId71"/>
    <sheet name="投资性房产总" sheetId="145" state="hidden" r:id="rId72"/>
    <sheet name="投资-房屋成本" sheetId="126" state="hidden" r:id="rId73"/>
    <sheet name="投资-房屋公允" sheetId="141" state="hidden" r:id="rId74"/>
    <sheet name="投资-土地成本" sheetId="142" state="hidden" r:id="rId75"/>
    <sheet name="投资-土地公允" sheetId="143" state="hidden" r:id="rId76"/>
    <sheet name="固定资产总" sheetId="37" state="hidden" r:id="rId77"/>
    <sheet name="房屋" sheetId="38" state="hidden" r:id="rId78"/>
    <sheet name="构筑物" sheetId="39" state="hidden" r:id="rId79"/>
    <sheet name="沟槽" sheetId="40" state="hidden" r:id="rId80"/>
    <sheet name="井巷" sheetId="160" state="hidden" r:id="rId81"/>
    <sheet name="铺轨" sheetId="277" state="hidden" r:id="rId82"/>
    <sheet name="机器" sheetId="41" state="hidden" r:id="rId83"/>
    <sheet name="车辆" sheetId="42" state="hidden" r:id="rId84"/>
    <sheet name="车辆作价过程" sheetId="323" state="hidden" r:id="rId85"/>
    <sheet name="电子" sheetId="43" state="hidden" r:id="rId86"/>
    <sheet name="清理" sheetId="275" state="hidden" r:id="rId87"/>
    <sheet name="土地" sheetId="120" state="hidden" r:id="rId88"/>
    <sheet name="在建总" sheetId="128" state="hidden" r:id="rId89"/>
    <sheet name="在建-土建" sheetId="45" state="hidden" r:id="rId90"/>
    <sheet name="在建-设备" sheetId="46" state="hidden" r:id="rId91"/>
    <sheet name="在建-待摊" sheetId="146" state="hidden" r:id="rId92"/>
    <sheet name="在建-预付" sheetId="147" state="hidden" r:id="rId93"/>
    <sheet name="在建-井巷" sheetId="161" state="hidden" r:id="rId94"/>
    <sheet name="在建-物资" sheetId="276" state="hidden" r:id="rId95"/>
    <sheet name="生物资" sheetId="129" state="hidden" r:id="rId96"/>
    <sheet name="油气资" sheetId="130" state="hidden" r:id="rId97"/>
    <sheet name="使用权资" sheetId="183" state="hidden" r:id="rId98"/>
    <sheet name="无形资总" sheetId="131" state="hidden" r:id="rId99"/>
    <sheet name="无形-土地" sheetId="49" state="hidden" r:id="rId100"/>
    <sheet name="无形-矿权" sheetId="144" state="hidden" r:id="rId101"/>
    <sheet name="无形-其他" sheetId="50" state="hidden" r:id="rId102"/>
    <sheet name="无形-收益法" sheetId="253" state="hidden" r:id="rId103"/>
    <sheet name="无形-成本法" sheetId="254" state="hidden" r:id="rId104"/>
    <sheet name="开发支出" sheetId="132" state="hidden" r:id="rId105"/>
    <sheet name="商誉" sheetId="133" state="hidden" r:id="rId106"/>
    <sheet name="长期待摊" sheetId="52" state="hidden" r:id="rId107"/>
    <sheet name="递延资" sheetId="54" state="hidden" r:id="rId108"/>
    <sheet name="其他非资" sheetId="53" state="hidden" r:id="rId109"/>
    <sheet name="流动负总" sheetId="55" state="hidden" r:id="rId110"/>
    <sheet name="短期借款" sheetId="56" state="hidden" r:id="rId111"/>
    <sheet name="公允计量金负" sheetId="184" state="hidden" r:id="rId112"/>
    <sheet name="交易性金负" sheetId="134" state="hidden" r:id="rId113"/>
    <sheet name="衍生金负" sheetId="185" state="hidden" r:id="rId114"/>
    <sheet name="应付票据" sheetId="57" state="hidden" r:id="rId115"/>
    <sheet name="应付账款" sheetId="58" state="hidden" r:id="rId116"/>
    <sheet name="预收账款" sheetId="59" state="hidden" r:id="rId117"/>
    <sheet name="合同负总" sheetId="280" state="hidden" r:id="rId118"/>
    <sheet name="合同负-未完施工" sheetId="186" state="hidden" r:id="rId119"/>
    <sheet name="合同负-其他" sheetId="281" state="hidden" r:id="rId120"/>
    <sheet name="职工薪酬" sheetId="62" state="hidden" r:id="rId121"/>
    <sheet name="应交税费" sheetId="64" state="hidden" r:id="rId122"/>
    <sheet name="其他应付总" sheetId="187" state="hidden" r:id="rId123"/>
    <sheet name="其他应付-利息" sheetId="135" state="hidden" r:id="rId124"/>
    <sheet name="其他应付-股利" sheetId="65" state="hidden" r:id="rId125"/>
    <sheet name="其他应付-其他" sheetId="61" state="hidden" r:id="rId126"/>
    <sheet name="持有待售负" sheetId="188" state="hidden" r:id="rId127"/>
    <sheet name="一年到期负" sheetId="68" state="hidden" r:id="rId128"/>
    <sheet name="其他流负" sheetId="69" state="hidden" r:id="rId129"/>
    <sheet name="非流动负总" sheetId="70" state="hidden" r:id="rId130"/>
    <sheet name="长期借款" sheetId="71" state="hidden" r:id="rId131"/>
    <sheet name="应付债券" sheetId="110" state="hidden" r:id="rId132"/>
    <sheet name="租赁负" sheetId="189" state="hidden" r:id="rId133"/>
    <sheet name="长期应付" sheetId="73" state="hidden" r:id="rId134"/>
    <sheet name="预计负" sheetId="136" state="hidden" r:id="rId135"/>
    <sheet name="递延收益" sheetId="111" state="hidden" r:id="rId136"/>
    <sheet name="递延负" sheetId="76" state="hidden" r:id="rId137"/>
    <sheet name="其他非负" sheetId="96" state="hidden" r:id="rId138"/>
    <sheet name="其他资产及负债" sheetId="321" state="hidden" r:id="rId139"/>
    <sheet name="00000000" sheetId="78" state="veryHidden" r:id="rId140"/>
  </sheets>
  <definedNames>
    <definedName name="_xlnm._FilterDatabase" localSheetId="9" hidden="1">资负表!$A$5:$H$109</definedName>
    <definedName name="_xlnm._FilterDatabase" localSheetId="12" hidden="1">判断表!$A$2:$AJ$125</definedName>
    <definedName name="_xlnm._FilterDatabase" localSheetId="13" hidden="1">说明用表!$B$3:$W$482</definedName>
    <definedName name="_xlnm._FilterDatabase" localSheetId="15" hidden="1">分类汇总!$A$6:$K$70</definedName>
    <definedName name="_xlnm._FilterDatabase" localSheetId="43" hidden="1">在库周转!$A$7:$CP$540</definedName>
    <definedName name="_xlnm._FilterDatabase" localSheetId="48" hidden="1">在用周转!$A$7:$CM$407</definedName>
    <definedName name="_xlnm._FilterDatabase" localSheetId="59" hidden="1">非流动资总!$A$6:$BK$26</definedName>
    <definedName name="_xlnm._FilterDatabase" localSheetId="82" hidden="1">机器!$A$7:$DN$141</definedName>
    <definedName name="_xlnm._FilterDatabase" localSheetId="110" hidden="1">短期借款!$A$6:$BB$54</definedName>
    <definedName name="_xlnm._FilterDatabase" localSheetId="112" hidden="1">交易性金负!$A$6:$BB$31</definedName>
    <definedName name="_xlnm._FilterDatabase" localSheetId="114" hidden="1">应付票据!$A$6:$BB$31</definedName>
    <definedName name="_xlnm._FilterDatabase" localSheetId="115" hidden="1">应付账款!$A$6:$BB$31</definedName>
    <definedName name="_xlnm._FilterDatabase" localSheetId="116" hidden="1">预收账款!$A$6:$BB$31</definedName>
    <definedName name="_Fill" localSheetId="10" hidden="1">#REF!</definedName>
    <definedName name="_Fill" hidden="1">#REF!</definedName>
    <definedName name="_xlnm._FilterDatabase" localSheetId="50" hidden="1">出租开发产品!$A$7:$BJ$7</definedName>
    <definedName name="_xlnm._FilterDatabase" localSheetId="49" hidden="1">开发产品!$A$7:$BN$7</definedName>
    <definedName name="_xlnm._FilterDatabase" localSheetId="51" hidden="1">开发成本!$A$7:$BJ$7</definedName>
    <definedName name="AS2DocOpenMode" hidden="1">"AS2DocumentEdit"</definedName>
    <definedName name="lo" localSheetId="10" hidden="1">#REF!</definedName>
    <definedName name="lo" hidden="1">#REF!</definedName>
    <definedName name="_xlnm.Print_Area" localSheetId="41">'采购（在途）'!$A$2:$Y$32</definedName>
    <definedName name="_xlnm.Print_Area" localSheetId="3">参数表!$A$1:$E$47</definedName>
    <definedName name="_xlnm.Print_Area" localSheetId="45">'产成品（商品）'!$A$2:$AB$32</definedName>
    <definedName name="_xlnm.Print_Area" localSheetId="83">车辆!$A$2:$AH$18</definedName>
    <definedName name="_xlnm.Print_Area" localSheetId="126">持有待售负!$A$2:$L$29</definedName>
    <definedName name="_xlnm.Print_Area" localSheetId="56">持有待售资!$A$2:$M$29</definedName>
    <definedName name="_xlnm.Print_Area" localSheetId="64">持有到期!$A$2:$R$31</definedName>
    <definedName name="_xlnm.Print_Area" localSheetId="50">出租开发产品!$A$2:$AO$30</definedName>
    <definedName name="_xlnm.Print_Area" localSheetId="40">存货总!$A$2:$G$30</definedName>
    <definedName name="_xlnm.Print_Area" localSheetId="136">递延负!$A$2:$K$29</definedName>
    <definedName name="_xlnm.Print_Area" localSheetId="135">递延收益!$A$2:$L$29</definedName>
    <definedName name="_xlnm.Print_Area" localSheetId="107">递延资!$A$2:$M$29</definedName>
    <definedName name="_xlnm.Print_Area" localSheetId="85">电子!$A$2:$AE$32</definedName>
    <definedName name="_xlnm.Print_Area" localSheetId="110">短期借款!$A$2:$N$29</definedName>
    <definedName name="_xlnm.Print_Area" localSheetId="47">发出商品!$A$2:$AA$32</definedName>
    <definedName name="_xlnm.Print_Area" localSheetId="77">房屋!$A$2:$AS$32</definedName>
    <definedName name="_xlnm.Print_Area" localSheetId="129">非流动负总!$A$2:$G$30</definedName>
    <definedName name="_xlnm.Print_Area" localSheetId="59">非流动资总!$A$2:$G$30</definedName>
    <definedName name="_xlnm.Print_Area" localSheetId="15">分类汇总!$A$2:$G$70</definedName>
    <definedName name="_xlnm.Print_Area" localSheetId="1">封面!$B$2:$O$40</definedName>
    <definedName name="_xlnm.Print_Area" localSheetId="111">公允计量金负!$A$2:$L$29</definedName>
    <definedName name="_xlnm.Print_Area" localSheetId="21">公允计量金资总!$A$2:$G$30</definedName>
    <definedName name="_xlnm.Print_Area" localSheetId="22">'公允资-股票'!$A$2:$R$29</definedName>
    <definedName name="_xlnm.Print_Area" localSheetId="24">'公允资-基金'!$A$2:$R$29</definedName>
    <definedName name="_xlnm.Print_Area" localSheetId="23">'公允资-债券'!$A$2:$R$29</definedName>
    <definedName name="_xlnm.Print_Area" localSheetId="79">沟槽!$A$2:$AH$32</definedName>
    <definedName name="_xlnm.Print_Area" localSheetId="78">构筑物!$A$2:$AJ$32</definedName>
    <definedName name="_xlnm.Print_Area" localSheetId="68">股权投资!$A$2:$P$31</definedName>
    <definedName name="_xlnm.Print_Area" localSheetId="76">固定资产总!$A$2:$L$31</definedName>
    <definedName name="_xlnm.Print_Area" localSheetId="119">'合同负-其他'!$A$2:$AZ$29</definedName>
    <definedName name="_xlnm.Print_Area" localSheetId="118">'合同负-未完施工'!$A$2:$AF$30</definedName>
    <definedName name="_xlnm.Print_Area" localSheetId="117">合同负总!$A$2:$AZ$30</definedName>
    <definedName name="_xlnm.Print_Area" localSheetId="55">'合同资-其他'!$A$2:$AO$32</definedName>
    <definedName name="_xlnm.Print_Area" localSheetId="54">'合同资-未完施工'!$A$2:$AK$31</definedName>
    <definedName name="_xlnm.Print_Area" localSheetId="53">合同资总!$A$2:$AU$30</definedName>
    <definedName name="_xlnm.Print_Area" localSheetId="14">'汇总-基础'!$A$1:$F$21</definedName>
    <definedName name="_xlnm.Print_Area" localSheetId="17">货币资金总!$A$2:$G$30</definedName>
    <definedName name="_xlnm.Print_Area" localSheetId="82">机器!$A$2:$AH$139</definedName>
    <definedName name="_xlnm.Print_Area" localSheetId="4">基本情况!$A$2:$K$34</definedName>
    <definedName name="_xlnm.Print_Area" localSheetId="26">'交易性-股票'!$A$2:$R$29</definedName>
    <definedName name="_xlnm.Print_Area" localSheetId="28">'交易性-基金'!$A$2:$R$29</definedName>
    <definedName name="_xlnm.Print_Area" localSheetId="112">交易性金负!$A$2:$L$29</definedName>
    <definedName name="_xlnm.Print_Area" localSheetId="25">交易性金资总!$A$2:$G$30</definedName>
    <definedName name="_xlnm.Print_Area" localSheetId="27">'交易性-债券'!$A$2:$R$29</definedName>
    <definedName name="_xlnm.Print_Area" localSheetId="80">井巷!$A$2:$AJ$32</definedName>
    <definedName name="_xlnm.Print_Area" localSheetId="49">开发产品!$A$2:$AX$30</definedName>
    <definedName name="_xlnm.Print_Area" localSheetId="51">开发成本!$A$2:$AX$30</definedName>
    <definedName name="_xlnm.Print_Area" localSheetId="104">开发支出!$A$2:$M$29</definedName>
    <definedName name="_xlnm.Print_Area" localSheetId="60">可供出售总!$A$2:$G$30</definedName>
    <definedName name="_xlnm.Print_Area" localSheetId="61">'可供-股票'!$A$2:$R$31</definedName>
    <definedName name="_xlnm.Print_Area" localSheetId="63">'可供-其他'!$A$2:$R$31</definedName>
    <definedName name="_xlnm.Print_Area" localSheetId="62">'可供-债券'!$A$2:$R$31</definedName>
    <definedName name="_xlnm.Print_Area" localSheetId="10">利润表及费率!$A$1:$G$29</definedName>
    <definedName name="_xlnm.Print_Area" localSheetId="109">流动负总!$A$2:$G$30</definedName>
    <definedName name="_xlnm.Print_Area" localSheetId="16">流动资总!$A$2:$G$30</definedName>
    <definedName name="_xlnm.Print_Area" localSheetId="81">铺轨!$A$2:$AF$32</definedName>
    <definedName name="_xlnm.Print_Area" localSheetId="137">其他非负!$A$2:$L$29</definedName>
    <definedName name="_xlnm.Print_Area" localSheetId="108">其他非资!$A$2:$M$29</definedName>
    <definedName name="_xlnm.Print_Area" localSheetId="20">其他货币!$A$2:$N$29</definedName>
    <definedName name="_xlnm.Print_Area" localSheetId="70">其他金资!$A$2:$P$31</definedName>
    <definedName name="_xlnm.Print_Area" localSheetId="128">其他流负!$A$2:$L$29</definedName>
    <definedName name="_xlnm.Print_Area" localSheetId="58">其他流资!$A$2:$P$29</definedName>
    <definedName name="_xlnm.Print_Area" localSheetId="69">其他权益工具!$A$2:$P$31</definedName>
    <definedName name="_xlnm.Print_Area" localSheetId="124">'其他应付-股利'!$A$2:$L$29</definedName>
    <definedName name="_xlnm.Print_Area" localSheetId="123">'其他应付-利息'!$A$2:$O$29</definedName>
    <definedName name="_xlnm.Print_Area" localSheetId="125">'其他应付-其他'!$A$2:$L$29</definedName>
    <definedName name="_xlnm.Print_Area" localSheetId="122">其他应付总!$A$2:$G$30</definedName>
    <definedName name="_xlnm.Print_Area" localSheetId="38">'其他应收-股利'!$A$2:$N$29</definedName>
    <definedName name="_xlnm.Print_Area" localSheetId="37">'其他应收-利息'!$A$2:$Q$29</definedName>
    <definedName name="_xlnm.Print_Area" localSheetId="39">'其他应收-其他'!$A$2:$AK$33</definedName>
    <definedName name="_xlnm.Print_Area" localSheetId="36">其他应收总!$A$2:$G$30</definedName>
    <definedName name="_xlnm.Print_Area" localSheetId="66">其他债权!$A$2:$R$31</definedName>
    <definedName name="_xlnm.Print_Area" localSheetId="86">清理!$A$2:$AD$32</definedName>
    <definedName name="_xlnm.Print_Area" localSheetId="33">'融资-应收票据'!$A$2:$T$32</definedName>
    <definedName name="_xlnm.Print_Area" localSheetId="34">'融资-应收账款'!$A$2:$AK$33</definedName>
    <definedName name="_xlnm.Print_Area" localSheetId="105">商誉!$A$2:$M$31</definedName>
    <definedName name="_xlnm.Print_Area" localSheetId="95">生物资!$A$2:$AB$32</definedName>
    <definedName name="_xlnm.Print_Area" localSheetId="97">使用权资!$A$2:$AC$32</definedName>
    <definedName name="_xlnm.Print_Area" localSheetId="2">索引目录!$A$1:$J$54</definedName>
    <definedName name="_xlnm.Print_Area" localSheetId="72">'投资-房屋成本'!$A$2:$AT$33</definedName>
    <definedName name="_xlnm.Print_Area" localSheetId="73">'投资-房屋公允'!$A$2:$AJ$31</definedName>
    <definedName name="_xlnm.Print_Area" localSheetId="74">'投资-土地成本'!$A$2:$AQ$32</definedName>
    <definedName name="_xlnm.Print_Area" localSheetId="75">'投资-土地公允'!$A$2:$AL$30</definedName>
    <definedName name="_xlnm.Print_Area" localSheetId="71">投资性房产总!$A$2:$G$30</definedName>
    <definedName name="_xlnm.Print_Area" localSheetId="87">土地!$A$2:$AN$30</definedName>
    <definedName name="_xlnm.Print_Area" localSheetId="44">委托加工!$A$2:$Z$32</definedName>
    <definedName name="_xlnm.Print_Area" localSheetId="52">未完施工!$A$2:$AK$31</definedName>
    <definedName name="_xlnm.Print_Area" localSheetId="100">'无形-矿权'!$A$2:$T$31</definedName>
    <definedName name="_xlnm.Print_Area" localSheetId="101">'无形-其他'!$A$2:$Q$31</definedName>
    <definedName name="_xlnm.Print_Area" localSheetId="99">'无形-土地'!$A$2:$AK$31</definedName>
    <definedName name="_xlnm.Print_Area" localSheetId="98">无形资总!$A$2:$G$30</definedName>
    <definedName name="_xlnm.Print_Area" localSheetId="18">现金!$A$2:$L$29</definedName>
    <definedName name="_xlnm.Print_Area" localSheetId="113">衍生金负!$A$2:$M$29</definedName>
    <definedName name="_xlnm.Print_Area" localSheetId="29">衍生金资!$A$2:$O$29</definedName>
    <definedName name="_xlnm.Print_Area" localSheetId="127">一年到期负!$A$2:$M$29</definedName>
    <definedName name="_xlnm.Print_Area" localSheetId="57">一年到期资!$A$2:$N$29</definedName>
    <definedName name="_xlnm.Print_Area" localSheetId="19">银行存款!$A$2:$M$29</definedName>
    <definedName name="_xlnm.Print_Area" localSheetId="114">应付票据!$A$2:$M$29</definedName>
    <definedName name="_xlnm.Print_Area" localSheetId="131">应付债券!$A$2:$N$29</definedName>
    <definedName name="_xlnm.Print_Area" localSheetId="115">应付账款!$A$2:$L$29</definedName>
    <definedName name="_xlnm.Print_Area" localSheetId="121">应交税费!$A$2:$M$29</definedName>
    <definedName name="_xlnm.Print_Area" localSheetId="32">应收款融资总!$A$2:$G$30</definedName>
    <definedName name="_xlnm.Print_Area" localSheetId="30">应收票据!$A$2:$T$32</definedName>
    <definedName name="_xlnm.Print_Area" localSheetId="31">应收账款!$A$2:$AK$33</definedName>
    <definedName name="_xlnm.Print_Area" localSheetId="96">油气资!$A$2:$AC$32</definedName>
    <definedName name="_xlnm.Print_Area" localSheetId="35">预付账款!$A$2:$U$32</definedName>
    <definedName name="_xlnm.Print_Area" localSheetId="134">预计负!$A$2:$L$29</definedName>
    <definedName name="_xlnm.Print_Area" localSheetId="116">预收账款!$A$2:$L$29</definedName>
    <definedName name="_xlnm.Print_Area" localSheetId="42">原材料!$A$2:$AA$32</definedName>
    <definedName name="_xlnm.Print_Area" localSheetId="46">'在产品（半成品）'!$A$2:$AB$35</definedName>
    <definedName name="_xlnm.Print_Area" localSheetId="91">'在建-待摊'!$A$2:$O$31</definedName>
    <definedName name="_xlnm.Print_Area" localSheetId="93">'在建-井巷'!$A$2:$W$31</definedName>
    <definedName name="_xlnm.Print_Area" localSheetId="90">'在建-设备'!$A$2:$AC$32</definedName>
    <definedName name="_xlnm.Print_Area" localSheetId="89">'在建-土建'!$A$2:$S$31</definedName>
    <definedName name="_xlnm.Print_Area" localSheetId="94">'在建-物资'!$A$2:$AA$32</definedName>
    <definedName name="_xlnm.Print_Area" localSheetId="92">'在建-预付'!$A$2:$N$31</definedName>
    <definedName name="_xlnm.Print_Area" localSheetId="88">在建总!$A$2:$G$30</definedName>
    <definedName name="_xlnm.Print_Area" localSheetId="43">在库周转!$A$2:$AA$402</definedName>
    <definedName name="_xlnm.Print_Area" localSheetId="48">在用周转!$A$2:$Z$405</definedName>
    <definedName name="_xlnm.Print_Area" localSheetId="65">债权投资!$A$2:$R$31</definedName>
    <definedName name="_xlnm.Print_Area" localSheetId="106">长期待摊!$A$2:$Q$29</definedName>
    <definedName name="_xlnm.Print_Area" localSheetId="130">长期借款!$A$2:$N$29</definedName>
    <definedName name="_xlnm.Print_Area" localSheetId="133">长期应付!$A$2:$R$30</definedName>
    <definedName name="_xlnm.Print_Area" localSheetId="67">长期应收!$A$2:$S$32</definedName>
    <definedName name="_xlnm.Print_Area" localSheetId="120">职工薪酬!$A$2:$K$29</definedName>
    <definedName name="_xlnm.Print_Area" localSheetId="9">资负表!$A$1:$H$109</definedName>
    <definedName name="_xlnm.Print_Area" localSheetId="5">'资负表（未审）-旧'!$A$2:$J$42</definedName>
    <definedName name="_xlnm.Print_Area" localSheetId="7">'资负表（未审）-新'!$A$2:$J$44</definedName>
    <definedName name="_xlnm.Print_Area" localSheetId="6">'资负表（已审）-旧'!$A$2:$J$42</definedName>
    <definedName name="_xlnm.Print_Area" localSheetId="8">'资负表（已审）-新'!$A$2:$J$44</definedName>
    <definedName name="_xlnm.Print_Area" localSheetId="132">租赁负!$A$2:$S$29</definedName>
    <definedName name="_xlnm.Print_Titles" localSheetId="41">'采购（在途）'!$2:$7</definedName>
    <definedName name="_xlnm.Print_Titles" localSheetId="45">'产成品（商品）'!$2:$7</definedName>
    <definedName name="_xlnm.Print_Titles" localSheetId="83">车辆!$2:$7</definedName>
    <definedName name="_xlnm.Print_Titles" localSheetId="126">持有待售负!$2:$6</definedName>
    <definedName name="_xlnm.Print_Titles" localSheetId="56">持有待售资!$2:$6</definedName>
    <definedName name="_xlnm.Print_Titles" localSheetId="64">持有到期!$2:$6</definedName>
    <definedName name="_xlnm.Print_Titles" localSheetId="50">出租开发产品!$2:$7</definedName>
    <definedName name="_xlnm.Print_Titles" localSheetId="136">递延负!$2:$6</definedName>
    <definedName name="_xlnm.Print_Titles" localSheetId="135">递延收益!$2:$6</definedName>
    <definedName name="_xlnm.Print_Titles" localSheetId="107">递延资!$2:$6</definedName>
    <definedName name="_xlnm.Print_Titles" localSheetId="85">电子!$2:$7</definedName>
    <definedName name="_xlnm.Print_Titles" localSheetId="110">短期借款!$2:$6</definedName>
    <definedName name="_xlnm.Print_Titles" localSheetId="47">发出商品!$2:$7</definedName>
    <definedName name="_xlnm.Print_Titles" localSheetId="77">房屋!$2:$7</definedName>
    <definedName name="_xlnm.Print_Titles" localSheetId="15">分类汇总!$2:$6</definedName>
    <definedName name="_xlnm.Print_Titles" localSheetId="111">公允计量金负!$2:$6</definedName>
    <definedName name="_xlnm.Print_Titles" localSheetId="22">'公允资-股票'!$2:$6</definedName>
    <definedName name="_xlnm.Print_Titles" localSheetId="24">'公允资-基金'!$2:$6</definedName>
    <definedName name="_xlnm.Print_Titles" localSheetId="23">'公允资-债券'!$2:$6</definedName>
    <definedName name="_xlnm.Print_Titles" localSheetId="79">沟槽!$2:$7</definedName>
    <definedName name="_xlnm.Print_Titles" localSheetId="78">构筑物!$2:$7</definedName>
    <definedName name="_xlnm.Print_Titles" localSheetId="68">股权投资!$2:$6</definedName>
    <definedName name="_xlnm.Print_Titles" localSheetId="119">'合同负-其他'!$2:$6</definedName>
    <definedName name="_xlnm.Print_Titles" localSheetId="118">'合同负-未完施工'!$2:$7</definedName>
    <definedName name="_xlnm.Print_Titles" localSheetId="54">'合同资-未完施工'!$2:$7</definedName>
    <definedName name="_xlnm.Print_Titles" localSheetId="82">机器!$2:$7</definedName>
    <definedName name="_xlnm.Print_Titles" localSheetId="26">'交易性-股票'!$2:$6</definedName>
    <definedName name="_xlnm.Print_Titles" localSheetId="28">'交易性-基金'!$2:$6</definedName>
    <definedName name="_xlnm.Print_Titles" localSheetId="112">交易性金负!$2:$6</definedName>
    <definedName name="_xlnm.Print_Titles" localSheetId="27">'交易性-债券'!$2:$6</definedName>
    <definedName name="_xlnm.Print_Titles" localSheetId="80">井巷!$2:$7</definedName>
    <definedName name="_xlnm.Print_Titles" localSheetId="49">开发产品!$2:$7</definedName>
    <definedName name="_xlnm.Print_Titles" localSheetId="51">开发成本!$2:$7</definedName>
    <definedName name="_xlnm.Print_Titles" localSheetId="104">开发支出!$2:$6</definedName>
    <definedName name="_xlnm.Print_Titles" localSheetId="61">'可供-股票'!$2:$6</definedName>
    <definedName name="_xlnm.Print_Titles" localSheetId="63">'可供-其他'!$2:$6</definedName>
    <definedName name="_xlnm.Print_Titles" localSheetId="62">'可供-债券'!$2:$6</definedName>
    <definedName name="_xlnm.Print_Titles" localSheetId="12">判断表!$1:$2</definedName>
    <definedName name="_xlnm.Print_Titles" localSheetId="137">其他非负!$2:$6</definedName>
    <definedName name="_xlnm.Print_Titles" localSheetId="108">其他非资!$2:$6</definedName>
    <definedName name="_xlnm.Print_Titles" localSheetId="20">其他货币!$2:$6</definedName>
    <definedName name="_xlnm.Print_Titles" localSheetId="70">其他金资!$2:$6</definedName>
    <definedName name="_xlnm.Print_Titles" localSheetId="128">其他流负!$2:$6</definedName>
    <definedName name="_xlnm.Print_Titles" localSheetId="58">其他流资!$2:$6</definedName>
    <definedName name="_xlnm.Print_Titles" localSheetId="69">其他权益工具!$2:$6</definedName>
    <definedName name="_xlnm.Print_Titles" localSheetId="124">'其他应付-股利'!$2:$6</definedName>
    <definedName name="_xlnm.Print_Titles" localSheetId="123">'其他应付-利息'!$2:$6</definedName>
    <definedName name="_xlnm.Print_Titles" localSheetId="125">'其他应付-其他'!$2:$6</definedName>
    <definedName name="_xlnm.Print_Titles" localSheetId="38">'其他应收-股利'!$2:$6</definedName>
    <definedName name="_xlnm.Print_Titles" localSheetId="37">'其他应收-利息'!$2:$6</definedName>
    <definedName name="_xlnm.Print_Titles" localSheetId="39">'其他应收-其他'!$2:$7</definedName>
    <definedName name="_xlnm.Print_Titles" localSheetId="66">其他债权!$2:$6</definedName>
    <definedName name="_xlnm.Print_Titles" localSheetId="86">清理!$2:$7</definedName>
    <definedName name="_xlnm.Print_Titles" localSheetId="33">'融资-应收票据'!$2:$6</definedName>
    <definedName name="_xlnm.Print_Titles" localSheetId="34">'融资-应收账款'!$2:$7</definedName>
    <definedName name="_xlnm.Print_Titles" localSheetId="105">商誉!$2:$6</definedName>
    <definedName name="_xlnm.Print_Titles" localSheetId="95">生物资!$2:$7</definedName>
    <definedName name="_xlnm.Print_Titles" localSheetId="97">使用权资!$2:$7</definedName>
    <definedName name="_xlnm.Print_Titles" localSheetId="72">'投资-房屋成本'!$2:$8</definedName>
    <definedName name="_xlnm.Print_Titles" localSheetId="73">'投资-房屋公允'!$2:$8</definedName>
    <definedName name="_xlnm.Print_Titles" localSheetId="74">'投资-土地成本'!$2:$7</definedName>
    <definedName name="_xlnm.Print_Titles" localSheetId="75">'投资-土地公允'!$2:$7</definedName>
    <definedName name="_xlnm.Print_Titles" localSheetId="87">土地!$2:$7</definedName>
    <definedName name="_xlnm.Print_Titles" localSheetId="44">委托加工!$2:$7</definedName>
    <definedName name="_xlnm.Print_Titles" localSheetId="52">未完施工!$2:$7</definedName>
    <definedName name="_xlnm.Print_Titles" localSheetId="100">'无形-矿权'!$2:$6</definedName>
    <definedName name="_xlnm.Print_Titles" localSheetId="101">'无形-其他'!$2:$6</definedName>
    <definedName name="_xlnm.Print_Titles" localSheetId="99">'无形-土地'!$2:$6</definedName>
    <definedName name="_xlnm.Print_Titles" localSheetId="18">现金!$2:$6</definedName>
    <definedName name="_xlnm.Print_Titles" localSheetId="113">衍生金负!$2:$6</definedName>
    <definedName name="_xlnm.Print_Titles" localSheetId="29">衍生金资!$2:$6</definedName>
    <definedName name="_xlnm.Print_Titles" localSheetId="127">一年到期负!$2:$6</definedName>
    <definedName name="_xlnm.Print_Titles" localSheetId="57">一年到期资!$2:$6</definedName>
    <definedName name="_xlnm.Print_Titles" localSheetId="19">银行存款!$2:$6</definedName>
    <definedName name="_xlnm.Print_Titles" localSheetId="114">应付票据!$2:$6</definedName>
    <definedName name="_xlnm.Print_Titles" localSheetId="131">应付债券!$2:$6</definedName>
    <definedName name="_xlnm.Print_Titles" localSheetId="115">应付账款!$2:$6</definedName>
    <definedName name="_xlnm.Print_Titles" localSheetId="121">应交税费!$2:$6</definedName>
    <definedName name="_xlnm.Print_Titles" localSheetId="30">应收票据!$2:$6</definedName>
    <definedName name="_xlnm.Print_Titles" localSheetId="31">应收账款!$2:$7</definedName>
    <definedName name="_xlnm.Print_Titles" localSheetId="96">油气资!$2:$7</definedName>
    <definedName name="_xlnm.Print_Titles" localSheetId="35">预付账款!$2:$6</definedName>
    <definedName name="_xlnm.Print_Titles" localSheetId="134">预计负!$2:$6</definedName>
    <definedName name="_xlnm.Print_Titles" localSheetId="116">预收账款!$2:$6</definedName>
    <definedName name="_xlnm.Print_Titles" localSheetId="42">原材料!$2:$7</definedName>
    <definedName name="_xlnm.Print_Titles" localSheetId="46">'在产品（半成品）'!$2:$7</definedName>
    <definedName name="_xlnm.Print_Titles" localSheetId="91">'在建-待摊'!$2:$6</definedName>
    <definedName name="_xlnm.Print_Titles" localSheetId="93">'在建-井巷'!$2:$6</definedName>
    <definedName name="_xlnm.Print_Titles" localSheetId="90">'在建-设备'!$2:$7</definedName>
    <definedName name="_xlnm.Print_Titles" localSheetId="89">'在建-土建'!$2:$6</definedName>
    <definedName name="_xlnm.Print_Titles" localSheetId="92">'在建-预付'!$2:$6</definedName>
    <definedName name="_xlnm.Print_Titles" localSheetId="43">在库周转!$2:$7</definedName>
    <definedName name="_xlnm.Print_Titles" localSheetId="48">在用周转!$2:$7</definedName>
    <definedName name="_xlnm.Print_Titles" localSheetId="65">债权投资!$2:$6</definedName>
    <definedName name="_xlnm.Print_Titles" localSheetId="106">长期待摊!$2:$6</definedName>
    <definedName name="_xlnm.Print_Titles" localSheetId="130">长期借款!$2:$6</definedName>
    <definedName name="_xlnm.Print_Titles" localSheetId="133">长期应付!$2:$7</definedName>
    <definedName name="_xlnm.Print_Titles" localSheetId="67">长期应收!$2:$6</definedName>
    <definedName name="_xlnm.Print_Titles" localSheetId="120">职工薪酬!$2:$6</definedName>
    <definedName name="_xlnm.Print_Titles" localSheetId="9">资负表!$1:$5</definedName>
    <definedName name="_xlnm.Print_Titles" localSheetId="5">'资负表（未审）-旧'!$2:$5</definedName>
    <definedName name="_xlnm.Print_Titles" localSheetId="7">'资负表（未审）-新'!$2:$5</definedName>
    <definedName name="_xlnm.Print_Titles" localSheetId="6">'资负表（已审）-旧'!$2:$5</definedName>
    <definedName name="_xlnm.Print_Titles" localSheetId="8">'资负表（已审）-新'!$2:$5</definedName>
    <definedName name="_xlnm.Print_Titles" localSheetId="132">租赁负!$2:$6</definedName>
    <definedName name="TextRefCopyRangeCount" hidden="1">34</definedName>
    <definedName name="wrn.负债及权益." localSheetId="138" hidden="1">{"负债及权益",#N/A,FALSE,"TB-BS"}</definedName>
    <definedName name="wrn.负债及权益." hidden="1">{"负债及权益",#N/A,FALSE,"TB-BS"}</definedName>
    <definedName name="wrn.现金." localSheetId="138" hidden="1">{"现金主表",#N/A,FALSE,"正式Cashflow"}</definedName>
    <definedName name="wrn.现金." hidden="1">{"现金主表",#N/A,FALSE,"正式Cashflow"}</definedName>
    <definedName name="wrn.现金主表." localSheetId="138" hidden="1">{"现金主表",#N/A,FALSE,"正式Cashflow"}</definedName>
    <definedName name="wrn.现金主表." hidden="1">{"现金主表",#N/A,FALSE,"正式Cashflow"}</definedName>
    <definedName name="wrn.资产." localSheetId="138" hidden="1">{"资产",#N/A,FALSE,"TB-BS"}</definedName>
    <definedName name="wrn.资产." hidden="1">{"资产",#N/A,FALSE,"TB-BS"}</definedName>
    <definedName name="成本" localSheetId="138" hidden="1">{"现金主表",#N/A,FALSE,"正式Cashflow"}</definedName>
    <definedName name="成本" hidden="1">{"现金主表",#N/A,FALSE,"正式Cashflow"}</definedName>
    <definedName name="成本预测表" localSheetId="138" hidden="1">{"负债及权益",#N/A,FALSE,"TB-BS"}</definedName>
    <definedName name="成本预测表" hidden="1">{"负债及权益",#N/A,FALSE,"TB-BS"}</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HAHA</author>
    <author>HHAHH</author>
    <author>Windows User</author>
  </authors>
  <commentList>
    <comment ref="K2" authorId="0">
      <text>
        <r>
          <rPr>
            <b/>
            <sz val="9"/>
            <rFont val="宋体"/>
            <charset val="134"/>
          </rPr>
          <t>HAHA:</t>
        </r>
        <r>
          <rPr>
            <sz val="9"/>
            <rFont val="宋体"/>
            <charset val="134"/>
          </rPr>
          <t xml:space="preserve">
如第一期无论是否为整年度，均按整年度计算，永续年也按照整年度计算，如预测期为2020年1-6月到2025年+永续年，填写的数字为7（1+5+1）。</t>
        </r>
      </text>
    </comment>
    <comment ref="E4" authorId="1">
      <text>
        <r>
          <rPr>
            <b/>
            <sz val="9"/>
            <rFont val="宋体"/>
            <charset val="134"/>
          </rPr>
          <t>HHAHH:</t>
        </r>
        <r>
          <rPr>
            <sz val="9"/>
            <rFont val="宋体"/>
            <charset val="134"/>
          </rPr>
          <t xml:space="preserve">
审计报告号</t>
        </r>
      </text>
    </comment>
    <comment ref="F4" authorId="2">
      <text>
        <r>
          <rPr>
            <b/>
            <sz val="9"/>
            <rFont val="宋体"/>
            <charset val="134"/>
          </rPr>
          <t>Windows User:</t>
        </r>
        <r>
          <rPr>
            <sz val="9"/>
            <rFont val="宋体"/>
            <charset val="134"/>
          </rPr>
          <t xml:space="preserve">
审计意见</t>
        </r>
      </text>
    </comment>
    <comment ref="F11" authorId="1">
      <text>
        <r>
          <rPr>
            <b/>
            <sz val="9"/>
            <rFont val="宋体"/>
            <charset val="134"/>
          </rPr>
          <t>HHAHH:</t>
        </r>
        <r>
          <rPr>
            <sz val="9"/>
            <rFont val="宋体"/>
            <charset val="134"/>
          </rPr>
          <t xml:space="preserve">
报告序号</t>
        </r>
      </text>
    </comment>
  </commentList>
</comments>
</file>

<file path=xl/comments10.xml><?xml version="1.0" encoding="utf-8"?>
<comments xmlns="http://schemas.openxmlformats.org/spreadsheetml/2006/main">
  <authors>
    <author>chenjie</author>
  </authors>
  <commentList>
    <comment ref="E7" authorId="0">
      <text>
        <r>
          <rPr>
            <sz val="9"/>
            <rFont val="宋体"/>
            <charset val="134"/>
          </rPr>
          <t>购买日</t>
        </r>
      </text>
    </comment>
    <comment ref="G7" authorId="0">
      <text>
        <r>
          <rPr>
            <sz val="9"/>
            <rFont val="宋体"/>
            <charset val="134"/>
          </rPr>
          <t>评估基准日汇率为中间价</t>
        </r>
      </text>
    </comment>
    <comment ref="H7" authorId="0">
      <text>
        <r>
          <rPr>
            <sz val="9"/>
            <rFont val="宋体"/>
            <charset val="134"/>
          </rPr>
          <t xml:space="preserve">填写原币金额 </t>
        </r>
      </text>
    </comment>
    <comment ref="I7" authorId="0">
      <text>
        <r>
          <rPr>
            <sz val="9"/>
            <rFont val="宋体"/>
            <charset val="134"/>
          </rPr>
          <t xml:space="preserve">填写原币金额 </t>
        </r>
      </text>
    </comment>
  </commentList>
</comments>
</file>

<file path=xl/comments100.xml><?xml version="1.0" encoding="utf-8"?>
<comments xmlns="http://schemas.openxmlformats.org/spreadsheetml/2006/main">
  <authors>
    <author>chenjie</author>
  </authors>
  <commentLis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101.xml><?xml version="1.0" encoding="utf-8"?>
<comments xmlns="http://schemas.openxmlformats.org/spreadsheetml/2006/main">
  <authors>
    <author>chenjie</author>
  </authors>
  <commentList>
    <comment ref="E7" authorId="0">
      <text>
        <r>
          <rPr>
            <sz val="9"/>
            <rFont val="宋体"/>
            <charset val="134"/>
          </rPr>
          <t>评估基准日汇率为中间价</t>
        </r>
      </text>
    </comment>
    <comment ref="F7" authorId="0">
      <text>
        <r>
          <rPr>
            <sz val="9"/>
            <rFont val="宋体"/>
            <charset val="134"/>
          </rPr>
          <t xml:space="preserve">填写原币金额 </t>
        </r>
      </text>
    </comment>
  </commentList>
</comments>
</file>

<file path=xl/comments102.xml><?xml version="1.0" encoding="utf-8"?>
<comments xmlns="http://schemas.openxmlformats.org/spreadsheetml/2006/main">
  <authors>
    <author>chenjie</author>
  </authors>
  <commentLis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11.xml><?xml version="1.0" encoding="utf-8"?>
<comments xmlns="http://schemas.openxmlformats.org/spreadsheetml/2006/main">
  <authors>
    <author>chenjie</author>
  </authors>
  <commentList>
    <comment ref="H7" authorId="0">
      <text>
        <r>
          <rPr>
            <sz val="9"/>
            <rFont val="宋体"/>
            <charset val="134"/>
          </rPr>
          <t>评估基准日汇率为中间价</t>
        </r>
      </text>
    </comment>
    <comment ref="I7" authorId="0">
      <text>
        <r>
          <rPr>
            <sz val="9"/>
            <rFont val="宋体"/>
            <charset val="134"/>
          </rPr>
          <t xml:space="preserve">填写原币金额 </t>
        </r>
      </text>
    </comment>
  </commentList>
</comments>
</file>

<file path=xl/comments12.xml><?xml version="1.0" encoding="utf-8"?>
<comments xmlns="http://schemas.openxmlformats.org/spreadsheetml/2006/main">
  <authors>
    <author>chenjie</author>
  </authors>
  <commentList>
    <comment ref="G7" authorId="0">
      <text>
        <r>
          <rPr>
            <sz val="9"/>
            <rFont val="宋体"/>
            <charset val="134"/>
          </rPr>
          <t>评估基准日汇率为中间价</t>
        </r>
      </text>
    </comment>
    <comment ref="H7" authorId="0">
      <text>
        <r>
          <rPr>
            <sz val="9"/>
            <rFont val="宋体"/>
            <charset val="134"/>
          </rPr>
          <t xml:space="preserve">填写原币金额 </t>
        </r>
      </text>
    </comment>
    <comment ref="I7" authorId="0">
      <text>
        <r>
          <rPr>
            <sz val="9"/>
            <rFont val="宋体"/>
            <charset val="134"/>
          </rPr>
          <t xml:space="preserve">填写原币金额 </t>
        </r>
      </text>
    </comment>
  </commentList>
</comments>
</file>

<file path=xl/comments13.xml><?xml version="1.0" encoding="utf-8"?>
<comments xmlns="http://schemas.openxmlformats.org/spreadsheetml/2006/main">
  <authors>
    <author>chenjie</author>
    <author>超级管理员</author>
  </authors>
  <commentList>
    <comment ref="B8" authorId="0">
      <text>
        <r>
          <rPr>
            <sz val="9"/>
            <rFont val="宋体"/>
            <charset val="134"/>
          </rPr>
          <t>请填写单位全称</t>
        </r>
      </text>
    </comment>
    <comment ref="D8" authorId="0">
      <text>
        <r>
          <rPr>
            <sz val="9"/>
            <rFont val="宋体"/>
            <charset val="134"/>
          </rPr>
          <t>请填写最后一笔借方发生日期；
日期填写形式：2017-12-12</t>
        </r>
      </text>
    </comment>
    <comment ref="F8" authorId="1">
      <text>
        <r>
          <rPr>
            <sz val="9"/>
            <rFont val="宋体"/>
            <charset val="134"/>
          </rPr>
          <t>请填“是”或“否”</t>
        </r>
      </text>
    </comment>
    <comment ref="H8" authorId="0">
      <text>
        <r>
          <rPr>
            <sz val="9"/>
            <rFont val="宋体"/>
            <charset val="134"/>
          </rPr>
          <t>评估基准日汇率为中间价</t>
        </r>
      </text>
    </comment>
    <comment ref="I8" authorId="0">
      <text>
        <r>
          <rPr>
            <sz val="9"/>
            <rFont val="宋体"/>
            <charset val="134"/>
          </rPr>
          <t xml:space="preserve">填写原币金额 </t>
        </r>
      </text>
    </comment>
    <comment ref="J8" authorId="0">
      <text>
        <r>
          <rPr>
            <sz val="9"/>
            <rFont val="宋体"/>
            <charset val="134"/>
          </rPr>
          <t xml:space="preserve">填写原币金额 </t>
        </r>
      </text>
    </comment>
  </commentList>
</comments>
</file>

<file path=xl/comments14.xml><?xml version="1.0" encoding="utf-8"?>
<comments xmlns="http://schemas.openxmlformats.org/spreadsheetml/2006/main">
  <authors>
    <author>chenjie</author>
  </authors>
  <commentList>
    <comment ref="G7" authorId="0">
      <text>
        <r>
          <rPr>
            <sz val="9"/>
            <rFont val="宋体"/>
            <charset val="134"/>
          </rPr>
          <t>评估基准日汇率为中间价</t>
        </r>
      </text>
    </comment>
    <comment ref="H7" authorId="0">
      <text>
        <r>
          <rPr>
            <sz val="9"/>
            <rFont val="宋体"/>
            <charset val="134"/>
          </rPr>
          <t xml:space="preserve">填写原币金额 </t>
        </r>
      </text>
    </comment>
    <comment ref="I7" authorId="0">
      <text>
        <r>
          <rPr>
            <sz val="9"/>
            <rFont val="宋体"/>
            <charset val="134"/>
          </rPr>
          <t xml:space="preserve">填写原币金额 </t>
        </r>
      </text>
    </comment>
  </commentList>
</comments>
</file>

<file path=xl/comments15.xml><?xml version="1.0" encoding="utf-8"?>
<comments xmlns="http://schemas.openxmlformats.org/spreadsheetml/2006/main">
  <authors>
    <author>chenjie</author>
    <author>超级管理员</author>
  </authors>
  <commentList>
    <comment ref="B8" authorId="0">
      <text>
        <r>
          <rPr>
            <sz val="9"/>
            <rFont val="宋体"/>
            <charset val="134"/>
          </rPr>
          <t>请填写单位全称</t>
        </r>
      </text>
    </comment>
    <comment ref="D8" authorId="0">
      <text>
        <r>
          <rPr>
            <sz val="9"/>
            <rFont val="宋体"/>
            <charset val="134"/>
          </rPr>
          <t>请填写最后一笔借方发生日期；
日期填写形式：2017-12-12</t>
        </r>
      </text>
    </comment>
    <comment ref="F8" authorId="1">
      <text>
        <r>
          <rPr>
            <sz val="9"/>
            <rFont val="宋体"/>
            <charset val="134"/>
          </rPr>
          <t>请填“是”或“否”</t>
        </r>
      </text>
    </comment>
    <comment ref="H8" authorId="0">
      <text>
        <r>
          <rPr>
            <sz val="9"/>
            <rFont val="宋体"/>
            <charset val="134"/>
          </rPr>
          <t>评估基准日汇率为中间价</t>
        </r>
      </text>
    </comment>
    <comment ref="I8" authorId="0">
      <text>
        <r>
          <rPr>
            <sz val="9"/>
            <rFont val="宋体"/>
            <charset val="134"/>
          </rPr>
          <t xml:space="preserve">填写原币金额 </t>
        </r>
      </text>
    </comment>
    <comment ref="J8" authorId="0">
      <text>
        <r>
          <rPr>
            <sz val="9"/>
            <rFont val="宋体"/>
            <charset val="134"/>
          </rPr>
          <t xml:space="preserve">填写原币金额 </t>
        </r>
      </text>
    </comment>
  </commentList>
</comments>
</file>

<file path=xl/comments16.xml><?xml version="1.0" encoding="utf-8"?>
<comments xmlns="http://schemas.openxmlformats.org/spreadsheetml/2006/main">
  <authors>
    <author>chenjie</author>
    <author>seaman</author>
  </authors>
  <commentList>
    <comment ref="B7" authorId="0">
      <text>
        <r>
          <rPr>
            <sz val="9"/>
            <rFont val="宋体"/>
            <charset val="134"/>
          </rPr>
          <t>请填写单位全称</t>
        </r>
      </text>
    </comment>
    <comment ref="D7" authorId="0">
      <text>
        <r>
          <rPr>
            <sz val="9"/>
            <rFont val="宋体"/>
            <charset val="134"/>
          </rPr>
          <t>请填列最后一笔借方发生日期；
日期填写形式：2017-12-12</t>
        </r>
      </text>
    </comment>
    <comment ref="E7" authorId="1">
      <text>
        <r>
          <rPr>
            <sz val="9"/>
            <rFont val="Times New Roman"/>
            <charset val="134"/>
          </rPr>
          <t>1</t>
        </r>
        <r>
          <rPr>
            <sz val="9"/>
            <rFont val="宋体"/>
            <charset val="134"/>
          </rPr>
          <t>年以内</t>
        </r>
        <r>
          <rPr>
            <sz val="9"/>
            <rFont val="Times New Roman"/>
            <charset val="134"/>
          </rPr>
          <t xml:space="preserve">
1~2</t>
        </r>
        <r>
          <rPr>
            <sz val="9"/>
            <rFont val="宋体"/>
            <charset val="134"/>
          </rPr>
          <t>年</t>
        </r>
        <r>
          <rPr>
            <sz val="9"/>
            <rFont val="Times New Roman"/>
            <charset val="134"/>
          </rPr>
          <t xml:space="preserve">
2~3</t>
        </r>
        <r>
          <rPr>
            <sz val="9"/>
            <rFont val="宋体"/>
            <charset val="134"/>
          </rPr>
          <t>年</t>
        </r>
        <r>
          <rPr>
            <sz val="9"/>
            <rFont val="Times New Roman"/>
            <charset val="134"/>
          </rPr>
          <t xml:space="preserve">
3~4</t>
        </r>
        <r>
          <rPr>
            <sz val="9"/>
            <rFont val="宋体"/>
            <charset val="134"/>
          </rPr>
          <t>年</t>
        </r>
        <r>
          <rPr>
            <sz val="9"/>
            <rFont val="Times New Roman"/>
            <charset val="134"/>
          </rPr>
          <t xml:space="preserve">
4~5</t>
        </r>
        <r>
          <rPr>
            <sz val="9"/>
            <rFont val="宋体"/>
            <charset val="134"/>
          </rPr>
          <t>年</t>
        </r>
        <r>
          <rPr>
            <sz val="9"/>
            <rFont val="Times New Roman"/>
            <charset val="134"/>
          </rPr>
          <t xml:space="preserve">
5</t>
        </r>
        <r>
          <rPr>
            <sz val="9"/>
            <rFont val="宋体"/>
            <charset val="134"/>
          </rPr>
          <t>年以上</t>
        </r>
      </text>
    </comment>
    <comment ref="H7" authorId="0">
      <text>
        <r>
          <rPr>
            <sz val="9"/>
            <rFont val="宋体"/>
            <charset val="134"/>
          </rPr>
          <t>评估基准日汇率为中间价</t>
        </r>
      </text>
    </comment>
    <comment ref="I7" authorId="0">
      <text>
        <r>
          <rPr>
            <sz val="9"/>
            <rFont val="宋体"/>
            <charset val="134"/>
          </rPr>
          <t xml:space="preserve">填写原币金额 </t>
        </r>
      </text>
    </comment>
  </commentList>
</comments>
</file>

<file path=xl/comments17.xml><?xml version="1.0" encoding="utf-8"?>
<comments xmlns="http://schemas.openxmlformats.org/spreadsheetml/2006/main">
  <authors>
    <author>chenjie</author>
  </authors>
  <commentList>
    <comment ref="E7" authorId="0">
      <text>
        <r>
          <rPr>
            <sz val="9"/>
            <rFont val="宋体"/>
            <charset val="134"/>
          </rPr>
          <t>评估基准日汇率为中间价</t>
        </r>
      </text>
    </comment>
    <comment ref="F7" authorId="0">
      <text>
        <r>
          <rPr>
            <sz val="9"/>
            <rFont val="宋体"/>
            <charset val="134"/>
          </rPr>
          <t xml:space="preserve">填写原币金额 </t>
        </r>
      </text>
    </comment>
    <comment ref="G7" authorId="0">
      <text>
        <r>
          <rPr>
            <sz val="9"/>
            <rFont val="宋体"/>
            <charset val="134"/>
          </rPr>
          <t xml:space="preserve">填写原币金额 </t>
        </r>
      </text>
    </comment>
    <comment ref="I7" authorId="0">
      <text>
        <r>
          <rPr>
            <sz val="9"/>
            <rFont val="宋体"/>
            <charset val="134"/>
          </rPr>
          <t>填写形式：2017.12.21—2017.12.31</t>
        </r>
      </text>
    </comment>
  </commentList>
</comments>
</file>

<file path=xl/comments18.xml><?xml version="1.0" encoding="utf-8"?>
<comments xmlns="http://schemas.openxmlformats.org/spreadsheetml/2006/main">
  <authors>
    <author>chenjie</author>
  </authors>
  <commentList>
    <comment ref="D7" authorId="0">
      <text>
        <r>
          <rPr>
            <sz val="9"/>
            <rFont val="宋体"/>
            <charset val="134"/>
          </rPr>
          <t>指股利发生的期间，如2017年应收2016年的股利，则该栏填写“2016年”</t>
        </r>
      </text>
    </commen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19.xml><?xml version="1.0" encoding="utf-8"?>
<comments xmlns="http://schemas.openxmlformats.org/spreadsheetml/2006/main">
  <authors>
    <author>chenjie</author>
    <author>seaman</author>
    <author>超级管理员</author>
  </authors>
  <commentList>
    <comment ref="B8" authorId="0">
      <text>
        <r>
          <rPr>
            <sz val="9"/>
            <rFont val="宋体"/>
            <charset val="134"/>
          </rPr>
          <t>请填写单位全称</t>
        </r>
      </text>
    </comment>
    <comment ref="D8" authorId="0">
      <text>
        <r>
          <rPr>
            <sz val="9"/>
            <rFont val="宋体"/>
            <charset val="134"/>
          </rPr>
          <t>请填列最后一笔借方发生日期；
日期填写形式：2017-12-12</t>
        </r>
      </text>
    </comment>
    <comment ref="E8" authorId="1">
      <text>
        <r>
          <rPr>
            <sz val="9"/>
            <rFont val="Times New Roman"/>
            <charset val="134"/>
          </rPr>
          <t>1</t>
        </r>
        <r>
          <rPr>
            <sz val="9"/>
            <rFont val="宋体"/>
            <charset val="134"/>
          </rPr>
          <t>年以内</t>
        </r>
        <r>
          <rPr>
            <sz val="9"/>
            <rFont val="Times New Roman"/>
            <charset val="134"/>
          </rPr>
          <t xml:space="preserve">
1~2</t>
        </r>
        <r>
          <rPr>
            <sz val="9"/>
            <rFont val="宋体"/>
            <charset val="134"/>
          </rPr>
          <t>年</t>
        </r>
        <r>
          <rPr>
            <sz val="9"/>
            <rFont val="Times New Roman"/>
            <charset val="134"/>
          </rPr>
          <t xml:space="preserve">
2~3</t>
        </r>
        <r>
          <rPr>
            <sz val="9"/>
            <rFont val="宋体"/>
            <charset val="134"/>
          </rPr>
          <t>年</t>
        </r>
        <r>
          <rPr>
            <sz val="9"/>
            <rFont val="Times New Roman"/>
            <charset val="134"/>
          </rPr>
          <t xml:space="preserve">
3~4</t>
        </r>
        <r>
          <rPr>
            <sz val="9"/>
            <rFont val="宋体"/>
            <charset val="134"/>
          </rPr>
          <t>年</t>
        </r>
        <r>
          <rPr>
            <sz val="9"/>
            <rFont val="Times New Roman"/>
            <charset val="134"/>
          </rPr>
          <t xml:space="preserve">
4~5</t>
        </r>
        <r>
          <rPr>
            <sz val="9"/>
            <rFont val="宋体"/>
            <charset val="134"/>
          </rPr>
          <t>年</t>
        </r>
        <r>
          <rPr>
            <sz val="9"/>
            <rFont val="Times New Roman"/>
            <charset val="134"/>
          </rPr>
          <t xml:space="preserve">
5</t>
        </r>
        <r>
          <rPr>
            <sz val="9"/>
            <rFont val="宋体"/>
            <charset val="134"/>
          </rPr>
          <t>年以上</t>
        </r>
      </text>
    </comment>
    <comment ref="F8" authorId="2">
      <text>
        <r>
          <rPr>
            <sz val="9"/>
            <rFont val="宋体"/>
            <charset val="134"/>
          </rPr>
          <t>请填“是”或“否”</t>
        </r>
      </text>
    </comment>
    <comment ref="H8" authorId="0">
      <text>
        <r>
          <rPr>
            <sz val="9"/>
            <rFont val="宋体"/>
            <charset val="134"/>
          </rPr>
          <t>评估基准日汇率为中间价</t>
        </r>
      </text>
    </comment>
    <comment ref="I8" authorId="0">
      <text>
        <r>
          <rPr>
            <sz val="9"/>
            <rFont val="宋体"/>
            <charset val="134"/>
          </rPr>
          <t xml:space="preserve">填写原币金额 </t>
        </r>
      </text>
    </comment>
    <comment ref="J8" authorId="0">
      <text>
        <r>
          <rPr>
            <sz val="9"/>
            <rFont val="宋体"/>
            <charset val="134"/>
          </rPr>
          <t xml:space="preserve">填写原币金额 </t>
        </r>
      </text>
    </comment>
  </commentList>
</comments>
</file>

<file path=xl/comments2.xml><?xml version="1.0" encoding="utf-8"?>
<comments xmlns="http://schemas.openxmlformats.org/spreadsheetml/2006/main">
  <authors>
    <author>chenjie</author>
  </authors>
  <commentList>
    <comment ref="B7" authorId="0">
      <text>
        <r>
          <rPr>
            <sz val="9"/>
            <rFont val="宋体"/>
            <charset val="134"/>
          </rPr>
          <t xml:space="preserve">填写现金实物存放单位名称 </t>
        </r>
      </text>
    </comment>
    <comment ref="D7" authorId="0">
      <text>
        <r>
          <rPr>
            <sz val="9"/>
            <rFont val="宋体"/>
            <charset val="134"/>
          </rPr>
          <t>评估基准日汇率为中间价</t>
        </r>
      </text>
    </comment>
    <comment ref="E7" authorId="0">
      <text>
        <r>
          <rPr>
            <sz val="9"/>
            <rFont val="宋体"/>
            <charset val="134"/>
          </rPr>
          <t xml:space="preserve">填写原币金额 </t>
        </r>
      </text>
    </comment>
  </commentList>
</comments>
</file>

<file path=xl/comments20.xml><?xml version="1.0" encoding="utf-8"?>
<comments xmlns="http://schemas.openxmlformats.org/spreadsheetml/2006/main">
  <authors>
    <author>chenjie</author>
  </authors>
  <commentList>
    <comment ref="F8" authorId="0">
      <text>
        <r>
          <rPr>
            <sz val="9"/>
            <rFont val="宋体"/>
            <charset val="134"/>
          </rPr>
          <t>评估基准日汇率为中间价</t>
        </r>
      </text>
    </comment>
    <comment ref="G8" authorId="0">
      <text>
        <r>
          <rPr>
            <sz val="9"/>
            <rFont val="宋体"/>
            <charset val="134"/>
          </rPr>
          <t xml:space="preserve">填写原币金额 </t>
        </r>
      </text>
    </comment>
    <comment ref="H8" authorId="0">
      <text>
        <r>
          <rPr>
            <sz val="9"/>
            <rFont val="宋体"/>
            <charset val="134"/>
          </rPr>
          <t xml:space="preserve">填写原币金额 </t>
        </r>
      </text>
    </comment>
  </commentList>
</comments>
</file>

<file path=xl/comments21.xml><?xml version="1.0" encoding="utf-8"?>
<comments xmlns="http://schemas.openxmlformats.org/spreadsheetml/2006/main">
  <authors>
    <author>chenjie</author>
  </authors>
  <commentList>
    <comment ref="G8" authorId="0">
      <text>
        <r>
          <rPr>
            <sz val="9"/>
            <rFont val="宋体"/>
            <charset val="134"/>
          </rPr>
          <t>评估基准日汇率为中间价</t>
        </r>
      </text>
    </comment>
    <comment ref="H8" authorId="0">
      <text>
        <r>
          <rPr>
            <sz val="9"/>
            <rFont val="宋体"/>
            <charset val="134"/>
          </rPr>
          <t xml:space="preserve">填写原币金额 </t>
        </r>
      </text>
    </comment>
    <comment ref="I8" authorId="0">
      <text>
        <r>
          <rPr>
            <sz val="9"/>
            <rFont val="宋体"/>
            <charset val="134"/>
          </rPr>
          <t xml:space="preserve">填写原币金额 </t>
        </r>
      </text>
    </comment>
    <comment ref="AA8" authorId="0">
      <text>
        <r>
          <rPr>
            <sz val="9"/>
            <rFont val="宋体"/>
            <charset val="134"/>
          </rPr>
          <t>注1</t>
        </r>
      </text>
    </comment>
  </commentList>
</comments>
</file>

<file path=xl/comments22.xml><?xml version="1.0" encoding="utf-8"?>
<comments xmlns="http://schemas.openxmlformats.org/spreadsheetml/2006/main">
  <authors>
    <author>chenjie</author>
  </authors>
  <commentList>
    <comment ref="G8" authorId="0">
      <text>
        <r>
          <rPr>
            <sz val="9"/>
            <rFont val="宋体"/>
            <charset val="134"/>
          </rPr>
          <t>评估基准日汇率为中间价</t>
        </r>
      </text>
    </comment>
    <comment ref="H8" authorId="0">
      <text>
        <r>
          <rPr>
            <sz val="9"/>
            <rFont val="宋体"/>
            <charset val="134"/>
          </rPr>
          <t xml:space="preserve">填写原币金额 </t>
        </r>
      </text>
    </comment>
    <comment ref="I8" authorId="0">
      <text>
        <r>
          <rPr>
            <sz val="9"/>
            <rFont val="宋体"/>
            <charset val="134"/>
          </rPr>
          <t xml:space="preserve">填写原币金额 </t>
        </r>
      </text>
    </comment>
  </commentList>
</comments>
</file>

<file path=xl/comments23.xml><?xml version="1.0" encoding="utf-8"?>
<comments xmlns="http://schemas.openxmlformats.org/spreadsheetml/2006/main">
  <authors>
    <author>chenjie</author>
  </authors>
  <commentList>
    <comment ref="G8" authorId="0">
      <text>
        <r>
          <rPr>
            <sz val="9"/>
            <rFont val="宋体"/>
            <charset val="134"/>
          </rPr>
          <t>评估基准日汇率为中间价</t>
        </r>
      </text>
    </comment>
    <comment ref="H8" authorId="0">
      <text>
        <r>
          <rPr>
            <sz val="9"/>
            <rFont val="宋体"/>
            <charset val="134"/>
          </rPr>
          <t xml:space="preserve">填写原币金额 </t>
        </r>
      </text>
    </comment>
    <comment ref="I8" authorId="0">
      <text>
        <r>
          <rPr>
            <sz val="9"/>
            <rFont val="宋体"/>
            <charset val="134"/>
          </rPr>
          <t xml:space="preserve">填写原币金额 </t>
        </r>
      </text>
    </comment>
  </commentList>
</comments>
</file>

<file path=xl/comments24.xml><?xml version="1.0" encoding="utf-8"?>
<comments xmlns="http://schemas.openxmlformats.org/spreadsheetml/2006/main">
  <authors>
    <author>chenjie</author>
  </authors>
  <commentList>
    <comment ref="I8" authorId="0">
      <text>
        <r>
          <rPr>
            <sz val="9"/>
            <rFont val="宋体"/>
            <charset val="134"/>
          </rPr>
          <t>评估基准日汇率为中间价</t>
        </r>
      </text>
    </comment>
    <comment ref="J8" authorId="0">
      <text>
        <r>
          <rPr>
            <sz val="9"/>
            <rFont val="宋体"/>
            <charset val="134"/>
          </rPr>
          <t xml:space="preserve">填写原币金额 </t>
        </r>
      </text>
    </comment>
    <comment ref="K8" authorId="0">
      <text>
        <r>
          <rPr>
            <sz val="9"/>
            <rFont val="宋体"/>
            <charset val="134"/>
          </rPr>
          <t xml:space="preserve">填写原币金额 </t>
        </r>
      </text>
    </comment>
  </commentList>
</comments>
</file>

<file path=xl/comments25.xml><?xml version="1.0" encoding="utf-8"?>
<comments xmlns="http://schemas.openxmlformats.org/spreadsheetml/2006/main">
  <authors>
    <author>chenjie</author>
  </authors>
  <commentList>
    <comment ref="I8" authorId="0">
      <text>
        <r>
          <rPr>
            <sz val="9"/>
            <rFont val="宋体"/>
            <charset val="134"/>
          </rPr>
          <t>评估基准日汇率为中间价</t>
        </r>
      </text>
    </comment>
    <comment ref="J8" authorId="0">
      <text>
        <r>
          <rPr>
            <sz val="9"/>
            <rFont val="宋体"/>
            <charset val="134"/>
          </rPr>
          <t xml:space="preserve">填写原币金额 </t>
        </r>
      </text>
    </comment>
    <comment ref="K8" authorId="0">
      <text>
        <r>
          <rPr>
            <sz val="9"/>
            <rFont val="宋体"/>
            <charset val="134"/>
          </rPr>
          <t xml:space="preserve">填写原币金额 </t>
        </r>
      </text>
    </comment>
  </commentList>
</comments>
</file>

<file path=xl/comments26.xml><?xml version="1.0" encoding="utf-8"?>
<comments xmlns="http://schemas.openxmlformats.org/spreadsheetml/2006/main">
  <authors>
    <author>chenjie</author>
  </authors>
  <commentList>
    <comment ref="H8" authorId="0">
      <text>
        <r>
          <rPr>
            <sz val="9"/>
            <rFont val="宋体"/>
            <charset val="134"/>
          </rPr>
          <t>评估基准日汇率为中间价</t>
        </r>
      </text>
    </comment>
    <comment ref="I8" authorId="0">
      <text>
        <r>
          <rPr>
            <sz val="9"/>
            <rFont val="宋体"/>
            <charset val="134"/>
          </rPr>
          <t xml:space="preserve">填写原币金额 </t>
        </r>
      </text>
    </comment>
    <comment ref="J8" authorId="0">
      <text>
        <r>
          <rPr>
            <sz val="9"/>
            <rFont val="宋体"/>
            <charset val="134"/>
          </rPr>
          <t xml:space="preserve">填写原币金额 </t>
        </r>
      </text>
    </comment>
  </commentList>
</comments>
</file>

<file path=xl/comments27.xml><?xml version="1.0" encoding="utf-8"?>
<comments xmlns="http://schemas.openxmlformats.org/spreadsheetml/2006/main">
  <authors>
    <author>chenjie</author>
  </authors>
  <commentList>
    <comment ref="H8" authorId="0">
      <text>
        <r>
          <rPr>
            <sz val="9"/>
            <rFont val="宋体"/>
            <charset val="134"/>
          </rPr>
          <t>评估基准日汇率为中间价</t>
        </r>
      </text>
    </comment>
    <comment ref="I8" authorId="0">
      <text>
        <r>
          <rPr>
            <sz val="9"/>
            <rFont val="宋体"/>
            <charset val="134"/>
          </rPr>
          <t xml:space="preserve">填写原币金额 </t>
        </r>
      </text>
    </comment>
    <comment ref="J8" authorId="0">
      <text>
        <r>
          <rPr>
            <sz val="9"/>
            <rFont val="宋体"/>
            <charset val="134"/>
          </rPr>
          <t xml:space="preserve">填写原币金额 </t>
        </r>
      </text>
    </comment>
  </commentList>
</comments>
</file>

<file path=xl/comments28.xml><?xml version="1.0" encoding="utf-8"?>
<comments xmlns="http://schemas.openxmlformats.org/spreadsheetml/2006/main">
  <authors>
    <author>chenjie</author>
  </authors>
  <commentList>
    <comment ref="P8" authorId="0">
      <text>
        <r>
          <rPr>
            <sz val="9"/>
            <rFont val="宋体"/>
            <charset val="134"/>
          </rPr>
          <t>评估基准日汇率为中间价</t>
        </r>
      </text>
    </comment>
    <comment ref="Q8" authorId="0">
      <text>
        <r>
          <rPr>
            <sz val="9"/>
            <rFont val="宋体"/>
            <charset val="134"/>
          </rPr>
          <t xml:space="preserve">填写原币金额 </t>
        </r>
      </text>
    </comment>
    <comment ref="R8" authorId="0">
      <text>
        <r>
          <rPr>
            <sz val="9"/>
            <rFont val="宋体"/>
            <charset val="134"/>
          </rPr>
          <t xml:space="preserve">填写原币金额 </t>
        </r>
      </text>
    </comment>
  </commentList>
</comments>
</file>

<file path=xl/comments29.xml><?xml version="1.0" encoding="utf-8"?>
<comments xmlns="http://schemas.openxmlformats.org/spreadsheetml/2006/main">
  <authors>
    <author>chenjie</author>
  </authors>
  <commentList>
    <comment ref="Z8" authorId="0">
      <text>
        <r>
          <rPr>
            <sz val="9"/>
            <rFont val="宋体"/>
            <charset val="134"/>
          </rPr>
          <t>评估基准日汇率为中间价</t>
        </r>
      </text>
    </comment>
    <comment ref="AB8" authorId="0">
      <text>
        <r>
          <rPr>
            <sz val="9"/>
            <rFont val="宋体"/>
            <charset val="134"/>
          </rPr>
          <t xml:space="preserve">填写原币金额 </t>
        </r>
      </text>
    </comment>
    <comment ref="AC8" authorId="0">
      <text>
        <r>
          <rPr>
            <sz val="9"/>
            <rFont val="宋体"/>
            <charset val="134"/>
          </rPr>
          <t xml:space="preserve">填写原币金额 </t>
        </r>
      </text>
    </comment>
  </commentList>
</comments>
</file>

<file path=xl/comments3.xml><?xml version="1.0" encoding="utf-8"?>
<comments xmlns="http://schemas.openxmlformats.org/spreadsheetml/2006/main">
  <authors>
    <author>超级管理员</author>
    <author>chenjie</author>
  </authors>
  <commentList>
    <comment ref="B7" authorId="0">
      <text>
        <r>
          <rPr>
            <b/>
            <sz val="9"/>
            <rFont val="宋体"/>
            <charset val="134"/>
          </rPr>
          <t>请填写开户银行全称</t>
        </r>
        <r>
          <rPr>
            <sz val="9"/>
            <rFont val="宋体"/>
            <charset val="134"/>
          </rPr>
          <t xml:space="preserve">
</t>
        </r>
      </text>
    </comment>
    <comment ref="E7" authorId="1">
      <text>
        <r>
          <rPr>
            <sz val="9"/>
            <rFont val="宋体"/>
            <charset val="134"/>
          </rPr>
          <t>评估基准日汇率为中间价</t>
        </r>
      </text>
    </comment>
    <comment ref="F7" authorId="1">
      <text>
        <r>
          <rPr>
            <sz val="9"/>
            <rFont val="宋体"/>
            <charset val="134"/>
          </rPr>
          <t xml:space="preserve">填写原币金额 </t>
        </r>
      </text>
    </comment>
  </commentList>
</comments>
</file>

<file path=xl/comments30.xml><?xml version="1.0" encoding="utf-8"?>
<comments xmlns="http://schemas.openxmlformats.org/spreadsheetml/2006/main">
  <authors>
    <author>chenjie</author>
  </authors>
  <commentList>
    <comment ref="P8" authorId="0">
      <text>
        <r>
          <rPr>
            <sz val="9"/>
            <rFont val="宋体"/>
            <charset val="134"/>
          </rPr>
          <t>评估基准日汇率为中间价</t>
        </r>
      </text>
    </comment>
    <comment ref="Q8" authorId="0">
      <text>
        <r>
          <rPr>
            <sz val="9"/>
            <rFont val="宋体"/>
            <charset val="134"/>
          </rPr>
          <t xml:space="preserve">填写原币金额 </t>
        </r>
      </text>
    </comment>
    <comment ref="R8" authorId="0">
      <text>
        <r>
          <rPr>
            <sz val="9"/>
            <rFont val="宋体"/>
            <charset val="134"/>
          </rPr>
          <t xml:space="preserve">填写原币金额 </t>
        </r>
      </text>
    </comment>
  </commentList>
</comments>
</file>

<file path=xl/comments31.xml><?xml version="1.0" encoding="utf-8"?>
<comments xmlns="http://schemas.openxmlformats.org/spreadsheetml/2006/main">
  <authors>
    <author>chenjie</author>
  </authors>
  <commentList>
    <comment ref="Y8" authorId="0">
      <text>
        <r>
          <rPr>
            <sz val="9"/>
            <rFont val="宋体"/>
            <charset val="134"/>
          </rPr>
          <t>评估基准日汇率为中间价</t>
        </r>
      </text>
    </comment>
    <comment ref="Z8" authorId="0">
      <text>
        <r>
          <rPr>
            <sz val="9"/>
            <rFont val="宋体"/>
            <charset val="134"/>
          </rPr>
          <t xml:space="preserve">填写原币金额 </t>
        </r>
      </text>
    </comment>
    <comment ref="AA8" authorId="0">
      <text>
        <r>
          <rPr>
            <sz val="9"/>
            <rFont val="宋体"/>
            <charset val="134"/>
          </rPr>
          <t xml:space="preserve">填写原币金额 </t>
        </r>
      </text>
    </comment>
  </commentList>
</comments>
</file>

<file path=xl/comments32.xml><?xml version="1.0" encoding="utf-8"?>
<comments xmlns="http://schemas.openxmlformats.org/spreadsheetml/2006/main">
  <authors>
    <author>chenjie</author>
  </authors>
  <commentList>
    <comment ref="Y8" authorId="0">
      <text>
        <r>
          <rPr>
            <sz val="9"/>
            <rFont val="宋体"/>
            <charset val="134"/>
          </rPr>
          <t>评估基准日汇率为中间价</t>
        </r>
      </text>
    </comment>
    <comment ref="Z8" authorId="0">
      <text>
        <r>
          <rPr>
            <sz val="9"/>
            <rFont val="宋体"/>
            <charset val="134"/>
          </rPr>
          <t xml:space="preserve">填写原币金额 </t>
        </r>
      </text>
    </comment>
    <comment ref="AA8" authorId="0">
      <text>
        <r>
          <rPr>
            <sz val="9"/>
            <rFont val="宋体"/>
            <charset val="134"/>
          </rPr>
          <t xml:space="preserve">填写原币金额 </t>
        </r>
      </text>
    </comment>
  </commentList>
</comments>
</file>

<file path=xl/comments33.xml><?xml version="1.0" encoding="utf-8"?>
<comments xmlns="http://schemas.openxmlformats.org/spreadsheetml/2006/main">
  <authors>
    <author>chenjie</author>
    <author>seaman</author>
  </authors>
  <commentList>
    <comment ref="B7" authorId="0">
      <text>
        <r>
          <rPr>
            <sz val="9"/>
            <rFont val="宋体"/>
            <charset val="134"/>
          </rPr>
          <t>请填写单位全称</t>
        </r>
      </text>
    </comment>
    <comment ref="D7" authorId="0">
      <text>
        <r>
          <rPr>
            <sz val="9"/>
            <rFont val="宋体"/>
            <charset val="134"/>
          </rPr>
          <t>请填列最后一笔借方发生日期；
日期填写形式：2017-12-12</t>
        </r>
      </text>
    </comment>
    <comment ref="E7" authorId="1">
      <text>
        <r>
          <rPr>
            <sz val="9"/>
            <rFont val="Times New Roman"/>
            <charset val="134"/>
          </rPr>
          <t>1</t>
        </r>
        <r>
          <rPr>
            <sz val="9"/>
            <rFont val="宋体"/>
            <charset val="134"/>
          </rPr>
          <t>年以内</t>
        </r>
        <r>
          <rPr>
            <sz val="9"/>
            <rFont val="Times New Roman"/>
            <charset val="134"/>
          </rPr>
          <t xml:space="preserve">
1~2</t>
        </r>
        <r>
          <rPr>
            <sz val="9"/>
            <rFont val="宋体"/>
            <charset val="134"/>
          </rPr>
          <t>年</t>
        </r>
        <r>
          <rPr>
            <sz val="9"/>
            <rFont val="Times New Roman"/>
            <charset val="134"/>
          </rPr>
          <t xml:space="preserve">
2~3</t>
        </r>
        <r>
          <rPr>
            <sz val="9"/>
            <rFont val="宋体"/>
            <charset val="134"/>
          </rPr>
          <t>年</t>
        </r>
        <r>
          <rPr>
            <sz val="9"/>
            <rFont val="Times New Roman"/>
            <charset val="134"/>
          </rPr>
          <t xml:space="preserve">
3~4</t>
        </r>
        <r>
          <rPr>
            <sz val="9"/>
            <rFont val="宋体"/>
            <charset val="134"/>
          </rPr>
          <t>年</t>
        </r>
        <r>
          <rPr>
            <sz val="9"/>
            <rFont val="Times New Roman"/>
            <charset val="134"/>
          </rPr>
          <t xml:space="preserve">
4~5</t>
        </r>
        <r>
          <rPr>
            <sz val="9"/>
            <rFont val="宋体"/>
            <charset val="134"/>
          </rPr>
          <t>年</t>
        </r>
        <r>
          <rPr>
            <sz val="9"/>
            <rFont val="Times New Roman"/>
            <charset val="134"/>
          </rPr>
          <t xml:space="preserve">
5</t>
        </r>
        <r>
          <rPr>
            <sz val="9"/>
            <rFont val="宋体"/>
            <charset val="134"/>
          </rPr>
          <t>年以上</t>
        </r>
      </text>
    </comment>
    <comment ref="H7" authorId="0">
      <text>
        <r>
          <rPr>
            <sz val="9"/>
            <rFont val="宋体"/>
            <charset val="134"/>
          </rPr>
          <t>评估基准日汇率为中间价</t>
        </r>
      </text>
    </comment>
    <comment ref="I7" authorId="0">
      <text>
        <r>
          <rPr>
            <sz val="9"/>
            <rFont val="宋体"/>
            <charset val="134"/>
          </rPr>
          <t xml:space="preserve">填写原币金额 </t>
        </r>
      </text>
    </comment>
  </commentList>
</comments>
</file>

<file path=xl/comments34.xml><?xml version="1.0" encoding="utf-8"?>
<comments xmlns="http://schemas.openxmlformats.org/spreadsheetml/2006/main">
  <authors>
    <author>chenjie</author>
  </authors>
  <commentLis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35.xml><?xml version="1.0" encoding="utf-8"?>
<comments xmlns="http://schemas.openxmlformats.org/spreadsheetml/2006/main">
  <authors>
    <author>chenjie</author>
  </authors>
  <commentLis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36.xml><?xml version="1.0" encoding="utf-8"?>
<comments xmlns="http://schemas.openxmlformats.org/spreadsheetml/2006/main">
  <authors>
    <author>chenjie</author>
  </authors>
  <commentList>
    <comment ref="B7" authorId="0">
      <text>
        <r>
          <rPr>
            <sz val="9"/>
            <rFont val="宋体"/>
            <charset val="134"/>
          </rPr>
          <t>根据具体资产内容填写</t>
        </r>
      </text>
    </comment>
    <comment ref="F7" authorId="0">
      <text>
        <r>
          <rPr>
            <sz val="9"/>
            <rFont val="宋体"/>
            <charset val="134"/>
          </rPr>
          <t>评估基准日汇率为中间价</t>
        </r>
      </text>
    </comment>
    <comment ref="G7" authorId="0">
      <text>
        <r>
          <rPr>
            <sz val="9"/>
            <rFont val="宋体"/>
            <charset val="134"/>
          </rPr>
          <t xml:space="preserve">填写原币金额 </t>
        </r>
      </text>
    </comment>
    <comment ref="H7" authorId="0">
      <text>
        <r>
          <rPr>
            <sz val="9"/>
            <rFont val="宋体"/>
            <charset val="134"/>
          </rPr>
          <t xml:space="preserve">填写原币金额 </t>
        </r>
      </text>
    </comment>
    <comment ref="P7" authorId="0">
      <text>
        <r>
          <rPr>
            <sz val="9"/>
            <rFont val="宋体"/>
            <charset val="134"/>
          </rPr>
          <t>因特殊原因转入的资产，应在备注栏简要说明原因，有可能发生损失的项目，应提供相关文件资料</t>
        </r>
      </text>
    </comment>
  </commentList>
</comments>
</file>

<file path=xl/comments37.xml><?xml version="1.0" encoding="utf-8"?>
<comments xmlns="http://schemas.openxmlformats.org/spreadsheetml/2006/main">
  <authors>
    <author>chenjie</author>
    <author>超级管理员</author>
  </authors>
  <commentList>
    <comment ref="B7" authorId="0">
      <text>
        <r>
          <rPr>
            <sz val="9"/>
            <rFont val="宋体"/>
            <charset val="134"/>
          </rPr>
          <t>请填写单位全称</t>
        </r>
      </text>
    </comment>
    <comment ref="C7" authorId="0">
      <text>
        <r>
          <rPr>
            <sz val="9"/>
            <rFont val="宋体"/>
            <charset val="134"/>
          </rPr>
          <t>国家股、法人股、流通股等</t>
        </r>
      </text>
    </comment>
    <comment ref="F7" authorId="1">
      <text>
        <r>
          <rPr>
            <sz val="9"/>
            <rFont val="宋体"/>
            <charset val="134"/>
          </rPr>
          <t>基准日收盘价</t>
        </r>
      </text>
    </comment>
    <comment ref="H7" authorId="0">
      <text>
        <r>
          <rPr>
            <sz val="9"/>
            <rFont val="宋体"/>
            <charset val="134"/>
          </rPr>
          <t>评估基准日汇率为中间价</t>
        </r>
      </text>
    </comment>
    <comment ref="I7" authorId="0">
      <text>
        <r>
          <rPr>
            <sz val="9"/>
            <rFont val="宋体"/>
            <charset val="134"/>
          </rPr>
          <t xml:space="preserve">填写原币金额 </t>
        </r>
      </text>
    </comment>
    <comment ref="J7" authorId="0">
      <text>
        <r>
          <rPr>
            <sz val="9"/>
            <rFont val="宋体"/>
            <charset val="134"/>
          </rPr>
          <t xml:space="preserve">填写原币金额 </t>
        </r>
      </text>
    </comment>
  </commentList>
</comments>
</file>

<file path=xl/comments38.xml><?xml version="1.0" encoding="utf-8"?>
<comments xmlns="http://schemas.openxmlformats.org/spreadsheetml/2006/main">
  <authors>
    <author>chenjie</author>
  </authors>
  <commentList>
    <comment ref="H7" authorId="0">
      <text>
        <r>
          <rPr>
            <sz val="9"/>
            <rFont val="宋体"/>
            <charset val="134"/>
          </rPr>
          <t>评估基准日汇率为中间价</t>
        </r>
      </text>
    </comment>
    <comment ref="I7" authorId="0">
      <text>
        <r>
          <rPr>
            <sz val="9"/>
            <rFont val="宋体"/>
            <charset val="134"/>
          </rPr>
          <t xml:space="preserve">填写原币金额 </t>
        </r>
      </text>
    </comment>
    <comment ref="J7" authorId="0">
      <text>
        <r>
          <rPr>
            <sz val="9"/>
            <rFont val="宋体"/>
            <charset val="134"/>
          </rPr>
          <t xml:space="preserve">填写原币金额 </t>
        </r>
      </text>
    </comment>
  </commentList>
</comments>
</file>

<file path=xl/comments39.xml><?xml version="1.0" encoding="utf-8"?>
<comments xmlns="http://schemas.openxmlformats.org/spreadsheetml/2006/main">
  <authors>
    <author>chenjie</author>
  </authors>
  <commentList>
    <comment ref="F7" authorId="0">
      <text>
        <r>
          <rPr>
            <sz val="9"/>
            <rFont val="宋体"/>
            <charset val="134"/>
          </rPr>
          <t>基准日收盘价</t>
        </r>
      </text>
    </comment>
    <comment ref="H7" authorId="0">
      <text>
        <r>
          <rPr>
            <sz val="9"/>
            <rFont val="宋体"/>
            <charset val="134"/>
          </rPr>
          <t>评估基准日汇率为中间价</t>
        </r>
      </text>
    </comment>
    <comment ref="I7" authorId="0">
      <text>
        <r>
          <rPr>
            <sz val="9"/>
            <rFont val="宋体"/>
            <charset val="134"/>
          </rPr>
          <t xml:space="preserve">填写原币金额 </t>
        </r>
      </text>
    </comment>
    <comment ref="J7" authorId="0">
      <text>
        <r>
          <rPr>
            <sz val="9"/>
            <rFont val="宋体"/>
            <charset val="134"/>
          </rPr>
          <t xml:space="preserve">填写原币金额 </t>
        </r>
      </text>
    </comment>
  </commentList>
</comments>
</file>

<file path=xl/comments4.xml><?xml version="1.0" encoding="utf-8"?>
<comments xmlns="http://schemas.openxmlformats.org/spreadsheetml/2006/main">
  <authors>
    <author>chenjie</author>
  </authors>
  <commentLis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40.xml><?xml version="1.0" encoding="utf-8"?>
<comments xmlns="http://schemas.openxmlformats.org/spreadsheetml/2006/main">
  <authors>
    <author>chenjie</author>
  </authors>
  <commentList>
    <comment ref="H7" authorId="0">
      <text>
        <r>
          <rPr>
            <sz val="9"/>
            <rFont val="宋体"/>
            <charset val="134"/>
          </rPr>
          <t>评估基准日汇率为中间价</t>
        </r>
      </text>
    </comment>
    <comment ref="I7" authorId="0">
      <text>
        <r>
          <rPr>
            <sz val="9"/>
            <rFont val="宋体"/>
            <charset val="134"/>
          </rPr>
          <t xml:space="preserve">填写原币金额 </t>
        </r>
      </text>
    </comment>
    <comment ref="J7" authorId="0">
      <text>
        <r>
          <rPr>
            <sz val="9"/>
            <rFont val="宋体"/>
            <charset val="134"/>
          </rPr>
          <t xml:space="preserve">填写原币金额 </t>
        </r>
      </text>
    </comment>
  </commentList>
</comments>
</file>

<file path=xl/comments41.xml><?xml version="1.0" encoding="utf-8"?>
<comments xmlns="http://schemas.openxmlformats.org/spreadsheetml/2006/main">
  <authors>
    <author>chenjie</author>
  </authors>
  <commentList>
    <comment ref="H7" authorId="0">
      <text>
        <r>
          <rPr>
            <sz val="9"/>
            <rFont val="宋体"/>
            <charset val="134"/>
          </rPr>
          <t>评估基准日汇率为中间价</t>
        </r>
      </text>
    </comment>
    <comment ref="I7" authorId="0">
      <text>
        <r>
          <rPr>
            <sz val="9"/>
            <rFont val="宋体"/>
            <charset val="134"/>
          </rPr>
          <t xml:space="preserve">填写原币金额 </t>
        </r>
      </text>
    </comment>
    <comment ref="J7" authorId="0">
      <text>
        <r>
          <rPr>
            <sz val="9"/>
            <rFont val="宋体"/>
            <charset val="134"/>
          </rPr>
          <t xml:space="preserve">填写原币金额 </t>
        </r>
      </text>
    </comment>
  </commentList>
</comments>
</file>

<file path=xl/comments42.xml><?xml version="1.0" encoding="utf-8"?>
<comments xmlns="http://schemas.openxmlformats.org/spreadsheetml/2006/main">
  <authors>
    <author>chenjie</author>
    <author>超级管理员</author>
  </authors>
  <commentList>
    <comment ref="B7" authorId="0">
      <text>
        <r>
          <rPr>
            <sz val="9"/>
            <rFont val="宋体"/>
            <charset val="134"/>
          </rPr>
          <t>请填写单位全称</t>
        </r>
      </text>
    </comment>
    <comment ref="C7" authorId="0">
      <text>
        <r>
          <rPr>
            <sz val="9"/>
            <rFont val="宋体"/>
            <charset val="134"/>
          </rPr>
          <t>国家股、法人股、流通股等</t>
        </r>
      </text>
    </comment>
    <comment ref="F7" authorId="1">
      <text>
        <r>
          <rPr>
            <sz val="9"/>
            <rFont val="宋体"/>
            <charset val="134"/>
          </rPr>
          <t>基准日收盘价</t>
        </r>
      </text>
    </comment>
    <comment ref="H7" authorId="0">
      <text>
        <r>
          <rPr>
            <sz val="9"/>
            <rFont val="宋体"/>
            <charset val="134"/>
          </rPr>
          <t>评估基准日汇率为中间价</t>
        </r>
      </text>
    </comment>
    <comment ref="I7" authorId="0">
      <text>
        <r>
          <rPr>
            <sz val="9"/>
            <rFont val="宋体"/>
            <charset val="134"/>
          </rPr>
          <t xml:space="preserve">填写原币金额 </t>
        </r>
      </text>
    </comment>
    <comment ref="J7" authorId="0">
      <text>
        <r>
          <rPr>
            <sz val="9"/>
            <rFont val="宋体"/>
            <charset val="134"/>
          </rPr>
          <t xml:space="preserve">填写原币金额 </t>
        </r>
      </text>
    </comment>
  </commentList>
</comments>
</file>

<file path=xl/comments43.xml><?xml version="1.0" encoding="utf-8"?>
<comments xmlns="http://schemas.openxmlformats.org/spreadsheetml/2006/main">
  <authors>
    <author>chenjie</author>
  </authors>
  <commentList>
    <comment ref="B7" authorId="0">
      <text>
        <r>
          <rPr>
            <sz val="9"/>
            <rFont val="宋体"/>
            <charset val="134"/>
          </rPr>
          <t>请填写单位全称</t>
        </r>
      </text>
    </comment>
    <comment ref="D7" authorId="0">
      <text>
        <r>
          <rPr>
            <sz val="9"/>
            <rFont val="宋体"/>
            <charset val="134"/>
          </rPr>
          <t>请填写最后一笔借方发生日期；
日期填写形式：2017-12-12</t>
        </r>
      </text>
    </comment>
    <comment ref="F7" authorId="0">
      <text>
        <r>
          <rPr>
            <sz val="9"/>
            <rFont val="宋体"/>
            <charset val="134"/>
          </rPr>
          <t>评估基准日汇率为中间价</t>
        </r>
      </text>
    </comment>
    <comment ref="G7" authorId="0">
      <text>
        <r>
          <rPr>
            <sz val="9"/>
            <rFont val="宋体"/>
            <charset val="134"/>
          </rPr>
          <t xml:space="preserve">填写原币金额 </t>
        </r>
      </text>
    </comment>
    <comment ref="H7" authorId="0">
      <text>
        <r>
          <rPr>
            <sz val="9"/>
            <rFont val="宋体"/>
            <charset val="134"/>
          </rPr>
          <t xml:space="preserve">填写原币金额 </t>
        </r>
      </text>
    </comment>
  </commentList>
</comments>
</file>

<file path=xl/comments44.xml><?xml version="1.0" encoding="utf-8"?>
<comments xmlns="http://schemas.openxmlformats.org/spreadsheetml/2006/main">
  <authors>
    <author>chenjie</author>
  </authors>
  <commentList>
    <comment ref="H7" authorId="0">
      <text>
        <r>
          <rPr>
            <sz val="9"/>
            <rFont val="宋体"/>
            <charset val="134"/>
          </rPr>
          <t>评估基准日汇率为中间价</t>
        </r>
      </text>
    </comment>
    <comment ref="I7" authorId="0">
      <text>
        <r>
          <rPr>
            <sz val="9"/>
            <rFont val="宋体"/>
            <charset val="134"/>
          </rPr>
          <t xml:space="preserve">填写原币金额 </t>
        </r>
      </text>
    </comment>
  </commentList>
</comments>
</file>

<file path=xl/comments45.xml><?xml version="1.0" encoding="utf-8"?>
<comments xmlns="http://schemas.openxmlformats.org/spreadsheetml/2006/main">
  <authors>
    <author>chenjie</author>
  </authors>
  <commentList>
    <comment ref="I7" authorId="0">
      <text>
        <r>
          <rPr>
            <sz val="9"/>
            <rFont val="宋体"/>
            <charset val="134"/>
          </rPr>
          <t>评估基准日汇率为中间价</t>
        </r>
      </text>
    </comment>
    <comment ref="J7" authorId="0">
      <text>
        <r>
          <rPr>
            <sz val="9"/>
            <rFont val="宋体"/>
            <charset val="134"/>
          </rPr>
          <t xml:space="preserve">填写原币金额 </t>
        </r>
      </text>
    </comment>
    <comment ref="P8" authorId="0">
      <text>
        <r>
          <rPr>
            <b/>
            <sz val="9"/>
            <rFont val="宋体"/>
            <charset val="134"/>
          </rPr>
          <t>chenjie:</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46.xml><?xml version="1.0" encoding="utf-8"?>
<comments xmlns="http://schemas.openxmlformats.org/spreadsheetml/2006/main">
  <authors>
    <author>chenjie</author>
  </authors>
  <commentList>
    <comment ref="G7" authorId="0">
      <text>
        <r>
          <rPr>
            <sz val="9"/>
            <rFont val="宋体"/>
            <charset val="134"/>
          </rPr>
          <t>评估基准日汇率为中间价</t>
        </r>
      </text>
    </comment>
    <comment ref="H7" authorId="0">
      <text>
        <r>
          <rPr>
            <sz val="9"/>
            <rFont val="宋体"/>
            <charset val="134"/>
          </rPr>
          <t xml:space="preserve">填写原币金额 </t>
        </r>
      </text>
    </comment>
    <comment ref="I7" authorId="0">
      <text>
        <r>
          <rPr>
            <sz val="9"/>
            <rFont val="宋体"/>
            <charset val="134"/>
          </rPr>
          <t xml:space="preserve">填写原币金额 </t>
        </r>
      </text>
    </comment>
    <comment ref="P7" authorId="0">
      <text>
        <r>
          <rPr>
            <b/>
            <sz val="9"/>
            <rFont val="宋体"/>
            <charset val="134"/>
          </rPr>
          <t>chenjie:</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47.xml><?xml version="1.0" encoding="utf-8"?>
<comments xmlns="http://schemas.openxmlformats.org/spreadsheetml/2006/main">
  <authors>
    <author>chenjie</author>
    <author>超级管理员</author>
  </authors>
  <commentList>
    <comment ref="C9" authorId="0">
      <text>
        <r>
          <rPr>
            <sz val="9"/>
            <rFont val="宋体"/>
            <charset val="134"/>
          </rPr>
          <t>填写房产证编号,无证不填</t>
        </r>
      </text>
    </comment>
    <comment ref="G9" authorId="1">
      <text>
        <r>
          <rPr>
            <sz val="9"/>
            <rFont val="宋体"/>
            <charset val="134"/>
          </rPr>
          <t>外购、自建、自用转入、存货转入等</t>
        </r>
      </text>
    </comment>
    <comment ref="J9" authorId="0">
      <text>
        <r>
          <rPr>
            <sz val="9"/>
            <rFont val="宋体"/>
            <charset val="134"/>
          </rPr>
          <t>如：“砖混、钢混、框架、砖木、简易”等</t>
        </r>
      </text>
    </comment>
    <comment ref="W9" authorId="0">
      <text>
        <r>
          <rPr>
            <sz val="9"/>
            <rFont val="宋体"/>
            <charset val="134"/>
          </rPr>
          <t>指竣工日期</t>
        </r>
      </text>
    </comment>
    <comment ref="X9" authorId="0">
      <text>
        <r>
          <rPr>
            <sz val="9"/>
            <rFont val="宋体"/>
            <charset val="134"/>
          </rPr>
          <t>平米</t>
        </r>
      </text>
    </comment>
    <comment ref="AB9" authorId="0">
      <text>
        <r>
          <rPr>
            <sz val="9"/>
            <rFont val="宋体"/>
            <charset val="134"/>
          </rPr>
          <t>评估基准日汇率为中间价</t>
        </r>
      </text>
    </comment>
    <comment ref="AC9" authorId="0">
      <text>
        <r>
          <rPr>
            <sz val="9"/>
            <rFont val="宋体"/>
            <charset val="134"/>
          </rPr>
          <t xml:space="preserve">填写原币金额 </t>
        </r>
      </text>
    </comment>
    <comment ref="AD9" authorId="0">
      <text>
        <r>
          <rPr>
            <sz val="9"/>
            <rFont val="宋体"/>
            <charset val="134"/>
          </rPr>
          <t xml:space="preserve">填写原币金额 </t>
        </r>
      </text>
    </comment>
    <comment ref="AT9" authorId="0">
      <text>
        <r>
          <rPr>
            <sz val="9"/>
            <rFont val="宋体"/>
            <charset val="134"/>
          </rPr>
          <t>备注中须说明的事项：(1)对因改扩建已改变了原有建筑面积的；(2)在增加面积的同时，其相应价值未入账的，注明未入账部分的建筑面积；(3)盘盈资产及非正常状态下的房屋，如：“危房、已拆除、待报废”等；(4)房屋管理部门确定为“违章建筑”的。</t>
        </r>
      </text>
    </comment>
  </commentList>
</comments>
</file>

<file path=xl/comments48.xml><?xml version="1.0" encoding="utf-8"?>
<comments xmlns="http://schemas.openxmlformats.org/spreadsheetml/2006/main">
  <authors>
    <author>chenjie</author>
    <author>超级管理员</author>
  </authors>
  <commentList>
    <comment ref="C9" authorId="0">
      <text>
        <r>
          <rPr>
            <sz val="9"/>
            <rFont val="宋体"/>
            <charset val="134"/>
          </rPr>
          <t>填写房产证编号,无证不填</t>
        </r>
      </text>
    </comment>
    <comment ref="G9" authorId="1">
      <text>
        <r>
          <rPr>
            <sz val="9"/>
            <rFont val="宋体"/>
            <charset val="134"/>
          </rPr>
          <t>外购、自建、自用转入、存货转入等</t>
        </r>
      </text>
    </comment>
    <comment ref="J9" authorId="0">
      <text>
        <r>
          <rPr>
            <sz val="9"/>
            <rFont val="宋体"/>
            <charset val="134"/>
          </rPr>
          <t>如：“砖混、钢混、框架、砖木、简易”等</t>
        </r>
      </text>
    </comment>
    <comment ref="U9" authorId="0">
      <text>
        <r>
          <rPr>
            <sz val="9"/>
            <rFont val="宋体"/>
            <charset val="134"/>
          </rPr>
          <t>指竣工日期</t>
        </r>
      </text>
    </comment>
    <comment ref="V9" authorId="0">
      <text>
        <r>
          <rPr>
            <sz val="9"/>
            <rFont val="宋体"/>
            <charset val="134"/>
          </rPr>
          <t>平米</t>
        </r>
      </text>
    </comment>
    <comment ref="Z9" authorId="0">
      <text>
        <r>
          <rPr>
            <sz val="9"/>
            <rFont val="宋体"/>
            <charset val="134"/>
          </rPr>
          <t>评估基准日汇率为中间价</t>
        </r>
      </text>
    </comment>
    <comment ref="AA9" authorId="0">
      <text>
        <r>
          <rPr>
            <sz val="9"/>
            <rFont val="宋体"/>
            <charset val="134"/>
          </rPr>
          <t xml:space="preserve">填写原币金额 </t>
        </r>
      </text>
    </comment>
    <comment ref="AB9" authorId="0">
      <text>
        <r>
          <rPr>
            <sz val="9"/>
            <rFont val="宋体"/>
            <charset val="134"/>
          </rPr>
          <t xml:space="preserve">填写原币金额 </t>
        </r>
      </text>
    </comment>
    <comment ref="AJ9" authorId="0">
      <text>
        <r>
          <rPr>
            <sz val="9"/>
            <rFont val="宋体"/>
            <charset val="134"/>
          </rPr>
          <t>备注中须说明的事项：(1)对因改扩建已改变了原有建筑面积的；(2)在增加面积的同时，其相应价值未入账的，注明未入账部分的建筑面积；(3)盘盈资产及非正常状态下的房屋，如：“危房、已拆除、待报废”等；(4)房屋管理部门确定为“违章建筑”的。</t>
        </r>
      </text>
    </comment>
  </commentList>
</comments>
</file>

<file path=xl/comments49.xml><?xml version="1.0" encoding="utf-8"?>
<comments xmlns="http://schemas.openxmlformats.org/spreadsheetml/2006/main">
  <authors>
    <author>chenjie</author>
  </authors>
  <commentList>
    <comment ref="C8" authorId="0">
      <text>
        <r>
          <rPr>
            <sz val="9"/>
            <rFont val="宋体"/>
            <charset val="134"/>
          </rPr>
          <t>土地使用权证书的编号</t>
        </r>
      </text>
    </comment>
    <comment ref="H8" authorId="0">
      <text>
        <r>
          <rPr>
            <sz val="9"/>
            <rFont val="宋体"/>
            <charset val="134"/>
          </rPr>
          <t>请按土地使用证证载位置填写</t>
        </r>
      </text>
    </comment>
    <comment ref="AC8" authorId="0">
      <text>
        <r>
          <rPr>
            <sz val="9"/>
            <rFont val="宋体"/>
            <charset val="134"/>
          </rPr>
          <t>评估基准日汇率为中间价</t>
        </r>
      </text>
    </comment>
    <comment ref="AD8" authorId="0">
      <text>
        <r>
          <rPr>
            <sz val="9"/>
            <rFont val="宋体"/>
            <charset val="134"/>
          </rPr>
          <t xml:space="preserve">填写原币金额 </t>
        </r>
      </text>
    </comment>
    <comment ref="AE8" authorId="0">
      <text>
        <r>
          <rPr>
            <sz val="9"/>
            <rFont val="宋体"/>
            <charset val="134"/>
          </rPr>
          <t xml:space="preserve">填写原币金额 </t>
        </r>
      </text>
    </comment>
    <comment ref="AF8" authorId="0">
      <text>
        <r>
          <rPr>
            <sz val="9"/>
            <rFont val="宋体"/>
            <charset val="134"/>
          </rPr>
          <t xml:space="preserve">填写原币金额 </t>
        </r>
      </text>
    </comment>
  </commentList>
</comments>
</file>

<file path=xl/comments5.xml><?xml version="1.0" encoding="utf-8"?>
<comments xmlns="http://schemas.openxmlformats.org/spreadsheetml/2006/main">
  <authors>
    <author>chenjie</author>
  </authors>
  <commentList>
    <comment ref="D7" authorId="0">
      <text>
        <r>
          <rPr>
            <sz val="9"/>
            <rFont val="宋体"/>
            <charset val="134"/>
          </rPr>
          <t>购买日</t>
        </r>
      </text>
    </comment>
    <comment ref="G7" authorId="0">
      <text>
        <r>
          <rPr>
            <sz val="9"/>
            <rFont val="宋体"/>
            <charset val="134"/>
          </rPr>
          <t>评估基准日汇率为中间价</t>
        </r>
      </text>
    </comment>
    <comment ref="H7" authorId="0">
      <text>
        <r>
          <rPr>
            <sz val="9"/>
            <rFont val="宋体"/>
            <charset val="134"/>
          </rPr>
          <t xml:space="preserve">填写原币金额 </t>
        </r>
      </text>
    </comment>
    <comment ref="I7" authorId="0">
      <text>
        <r>
          <rPr>
            <sz val="9"/>
            <rFont val="宋体"/>
            <charset val="134"/>
          </rPr>
          <t xml:space="preserve">填写原币金额 </t>
        </r>
      </text>
    </comment>
  </commentList>
</comments>
</file>

<file path=xl/comments50.xml><?xml version="1.0" encoding="utf-8"?>
<comments xmlns="http://schemas.openxmlformats.org/spreadsheetml/2006/main">
  <authors>
    <author>chenjie</author>
    <author>超级管理员</author>
  </authors>
  <commentList>
    <comment ref="C8" authorId="0">
      <text>
        <r>
          <rPr>
            <sz val="9"/>
            <rFont val="宋体"/>
            <charset val="134"/>
          </rPr>
          <t>土地使用权证书的编号</t>
        </r>
      </text>
    </comment>
    <comment ref="H8" authorId="0">
      <text>
        <r>
          <rPr>
            <sz val="9"/>
            <rFont val="宋体"/>
            <charset val="134"/>
          </rPr>
          <t>请按土地使用证证载位置填写</t>
        </r>
      </text>
    </comment>
    <comment ref="AB8" authorId="0">
      <text>
        <r>
          <rPr>
            <sz val="9"/>
            <rFont val="宋体"/>
            <charset val="134"/>
          </rPr>
          <t>评估基准日汇率为中间价</t>
        </r>
      </text>
    </comment>
    <comment ref="AC8" authorId="0">
      <text>
        <r>
          <rPr>
            <sz val="9"/>
            <rFont val="宋体"/>
            <charset val="134"/>
          </rPr>
          <t xml:space="preserve">填写原币金额 </t>
        </r>
      </text>
    </comment>
    <comment ref="AD8" authorId="0">
      <text>
        <r>
          <rPr>
            <sz val="9"/>
            <rFont val="宋体"/>
            <charset val="134"/>
          </rPr>
          <t xml:space="preserve">填写原币金额 </t>
        </r>
      </text>
    </comment>
    <comment ref="AE8" authorId="1">
      <text>
        <r>
          <rPr>
            <sz val="9"/>
            <rFont val="宋体"/>
            <charset val="134"/>
          </rPr>
          <t>转入日公允价值</t>
        </r>
      </text>
    </comment>
  </commentList>
</comments>
</file>

<file path=xl/comments51.xml><?xml version="1.0" encoding="utf-8"?>
<comments xmlns="http://schemas.openxmlformats.org/spreadsheetml/2006/main">
  <authors>
    <author>chenjie</author>
  </authors>
  <commentList>
    <comment ref="C8" authorId="0">
      <text>
        <r>
          <rPr>
            <sz val="9"/>
            <rFont val="宋体"/>
            <charset val="134"/>
          </rPr>
          <t>请填写房产证编号,无证不填</t>
        </r>
      </text>
    </comment>
    <comment ref="I8" authorId="0">
      <text>
        <r>
          <rPr>
            <sz val="9"/>
            <rFont val="宋体"/>
            <charset val="134"/>
          </rPr>
          <t>如：“砖混、钢混、框架、砖木、简易”等。</t>
        </r>
      </text>
    </comment>
    <comment ref="V8" authorId="0">
      <text>
        <r>
          <rPr>
            <sz val="9"/>
            <rFont val="宋体"/>
            <charset val="134"/>
          </rPr>
          <t>指竣工日期</t>
        </r>
      </text>
    </comment>
    <comment ref="W8" authorId="0">
      <text>
        <r>
          <rPr>
            <sz val="9"/>
            <rFont val="宋体"/>
            <charset val="134"/>
          </rPr>
          <t>平米</t>
        </r>
      </text>
    </comment>
    <comment ref="AA8" authorId="0">
      <text>
        <r>
          <rPr>
            <sz val="9"/>
            <rFont val="宋体"/>
            <charset val="134"/>
          </rPr>
          <t>评估基准日汇率为中间价</t>
        </r>
      </text>
    </comment>
    <comment ref="AB8" authorId="0">
      <text>
        <r>
          <rPr>
            <sz val="9"/>
            <rFont val="宋体"/>
            <charset val="134"/>
          </rPr>
          <t xml:space="preserve">填写原币金额 </t>
        </r>
      </text>
    </comment>
    <comment ref="AC8" authorId="0">
      <text>
        <r>
          <rPr>
            <sz val="9"/>
            <rFont val="宋体"/>
            <charset val="134"/>
          </rPr>
          <t xml:space="preserve">填写原币金额 </t>
        </r>
      </text>
    </comment>
    <comment ref="AS8" authorId="0">
      <text>
        <r>
          <rPr>
            <sz val="9"/>
            <rFont val="宋体"/>
            <charset val="134"/>
          </rPr>
          <t>备注中须说明的事项：(1)对因改扩建已改变了原有建筑面积的；(2)在增加面积的同时，其相应价值未入账的，注明未入账部分的建筑面积；(3)盘盈资产及非正常状态下的房屋，如：“危房、已拆除、待报废”等；(4)房屋管理部门确定为“违章建筑”的。</t>
        </r>
      </text>
    </comment>
  </commentList>
</comments>
</file>

<file path=xl/comments52.xml><?xml version="1.0" encoding="utf-8"?>
<comments xmlns="http://schemas.openxmlformats.org/spreadsheetml/2006/main">
  <authors>
    <author>chenjie</author>
  </authors>
  <commentList>
    <comment ref="G8" authorId="0">
      <text>
        <r>
          <rPr>
            <sz val="9"/>
            <rFont val="宋体"/>
            <charset val="134"/>
          </rPr>
          <t>如“砖、钢筋砼、钢结构、砖铁栏杆、砼面、沥青面、砖面”等</t>
        </r>
      </text>
    </comment>
    <comment ref="I8" authorId="0">
      <text>
        <r>
          <rPr>
            <sz val="9"/>
            <rFont val="宋体"/>
            <charset val="134"/>
          </rPr>
          <t>指竣工日期</t>
        </r>
      </text>
    </comment>
    <comment ref="O8" authorId="0">
      <text>
        <r>
          <rPr>
            <sz val="9"/>
            <rFont val="宋体"/>
            <charset val="134"/>
          </rPr>
          <t>座、口（井）、米、个等</t>
        </r>
      </text>
    </comment>
    <comment ref="P8" authorId="0">
      <text>
        <r>
          <rPr>
            <sz val="9"/>
            <rFont val="宋体"/>
            <charset val="134"/>
          </rPr>
          <t>长度、宽度和建筑面积应按图纸准确填写</t>
        </r>
      </text>
    </comment>
    <comment ref="R8" authorId="0">
      <text>
        <r>
          <rPr>
            <sz val="9"/>
            <rFont val="宋体"/>
            <charset val="134"/>
          </rPr>
          <t>评估基准日汇率为中间价</t>
        </r>
      </text>
    </comment>
    <comment ref="S8" authorId="0">
      <text>
        <r>
          <rPr>
            <sz val="9"/>
            <rFont val="宋体"/>
            <charset val="134"/>
          </rPr>
          <t xml:space="preserve">填写原币金额 </t>
        </r>
      </text>
    </comment>
    <comment ref="T8" authorId="0">
      <text>
        <r>
          <rPr>
            <sz val="9"/>
            <rFont val="宋体"/>
            <charset val="134"/>
          </rPr>
          <t xml:space="preserve">填写原币金额 </t>
        </r>
      </text>
    </comment>
    <comment ref="AJ8" authorId="0">
      <text>
        <r>
          <rPr>
            <sz val="9"/>
            <rFont val="宋体"/>
            <charset val="134"/>
          </rPr>
          <t>备注中须说明的事项：(1)对因改扩建已改变了原有建筑面积的；(2)改扩建增加的相应价值未入账的，注明未入账部分的建筑面积。(3)盘盈资产及非正常状态下的资产，如：“已拆除、待报废”等。</t>
        </r>
      </text>
    </comment>
  </commentList>
</comments>
</file>

<file path=xl/comments53.xml><?xml version="1.0" encoding="utf-8"?>
<comments xmlns="http://schemas.openxmlformats.org/spreadsheetml/2006/main">
  <authors>
    <author>chenjie</author>
  </authors>
  <commentList>
    <comment ref="M8" authorId="0">
      <text>
        <r>
          <rPr>
            <sz val="9"/>
            <rFont val="宋体"/>
            <charset val="134"/>
          </rPr>
          <t>如”砖、砼、钢管、砼管”等</t>
        </r>
      </text>
    </comment>
    <comment ref="O8" authorId="0">
      <text>
        <r>
          <rPr>
            <sz val="9"/>
            <rFont val="宋体"/>
            <charset val="134"/>
          </rPr>
          <t>指竣工日期</t>
        </r>
      </text>
    </comment>
    <comment ref="Q8" authorId="0">
      <text>
        <r>
          <rPr>
            <sz val="9"/>
            <rFont val="宋体"/>
            <charset val="134"/>
          </rPr>
          <t>评估基准日汇率为中间价</t>
        </r>
      </text>
    </comment>
    <comment ref="R8" authorId="0">
      <text>
        <r>
          <rPr>
            <sz val="9"/>
            <rFont val="宋体"/>
            <charset val="134"/>
          </rPr>
          <t xml:space="preserve">填写原币金额 </t>
        </r>
      </text>
    </comment>
    <comment ref="S8" authorId="0">
      <text>
        <r>
          <rPr>
            <sz val="9"/>
            <rFont val="宋体"/>
            <charset val="134"/>
          </rPr>
          <t xml:space="preserve">填写原币金额 </t>
        </r>
      </text>
    </comment>
    <comment ref="AH8" authorId="0">
      <text>
        <r>
          <rPr>
            <sz val="9"/>
            <rFont val="宋体"/>
            <charset val="134"/>
          </rPr>
          <t>备注中须说明的事项：(1)对因改扩建已改变了原有建筑面积的；(2)改扩建增加的相应价值未入账的，注明未入账部分的建筑面积。(3)盘盈资产及非正常状态下的资产，如：“已拆除、待报废”等。</t>
        </r>
      </text>
    </comment>
  </commentList>
</comments>
</file>

<file path=xl/comments54.xml><?xml version="1.0" encoding="utf-8"?>
<comments xmlns="http://schemas.openxmlformats.org/spreadsheetml/2006/main">
  <authors>
    <author>chenjie</author>
  </authors>
  <commentList>
    <comment ref="S8" authorId="0">
      <text>
        <r>
          <rPr>
            <sz val="9"/>
            <rFont val="宋体"/>
            <charset val="134"/>
          </rPr>
          <t>评估基准日汇率为中间价</t>
        </r>
      </text>
    </comment>
    <comment ref="T8" authorId="0">
      <text>
        <r>
          <rPr>
            <sz val="9"/>
            <rFont val="宋体"/>
            <charset val="134"/>
          </rPr>
          <t xml:space="preserve">填写原币金额 </t>
        </r>
      </text>
    </comment>
    <comment ref="U8" authorId="0">
      <text>
        <r>
          <rPr>
            <sz val="9"/>
            <rFont val="宋体"/>
            <charset val="134"/>
          </rPr>
          <t xml:space="preserve">填写原币金额 </t>
        </r>
      </text>
    </comment>
  </commentList>
</comments>
</file>

<file path=xl/comments55.xml><?xml version="1.0" encoding="utf-8"?>
<comments xmlns="http://schemas.openxmlformats.org/spreadsheetml/2006/main">
  <authors>
    <author>chenjie</author>
  </authors>
  <commentList>
    <comment ref="O8" authorId="0">
      <text>
        <r>
          <rPr>
            <sz val="9"/>
            <rFont val="宋体"/>
            <charset val="134"/>
          </rPr>
          <t>评估基准日汇率为中间价</t>
        </r>
      </text>
    </comment>
    <comment ref="P8" authorId="0">
      <text>
        <r>
          <rPr>
            <sz val="9"/>
            <rFont val="宋体"/>
            <charset val="134"/>
          </rPr>
          <t xml:space="preserve">填写原币金额 </t>
        </r>
      </text>
    </comment>
    <comment ref="Q8" authorId="0">
      <text>
        <r>
          <rPr>
            <sz val="9"/>
            <rFont val="宋体"/>
            <charset val="134"/>
          </rPr>
          <t xml:space="preserve">填写原币金额 </t>
        </r>
      </text>
    </comment>
  </commentList>
</comments>
</file>

<file path=xl/comments56.xml><?xml version="1.0" encoding="utf-8"?>
<comments xmlns="http://schemas.openxmlformats.org/spreadsheetml/2006/main">
  <authors>
    <author>sucheng</author>
    <author>chenjie</author>
  </authors>
  <commentList>
    <comment ref="B8" authorId="0">
      <text>
        <r>
          <rPr>
            <sz val="9"/>
            <rFont val="宋体"/>
            <charset val="134"/>
          </rPr>
          <t>企业资产管理所使用的编号</t>
        </r>
      </text>
    </comment>
    <comment ref="D8" authorId="1">
      <text>
        <r>
          <rPr>
            <sz val="9"/>
            <rFont val="宋体"/>
            <charset val="134"/>
          </rPr>
          <t>请按设备铭牌填写，非标设备请填写主要参数</t>
        </r>
      </text>
    </comment>
    <comment ref="I8" authorId="1">
      <text>
        <r>
          <rPr>
            <sz val="9"/>
            <rFont val="宋体"/>
            <charset val="134"/>
          </rPr>
          <t>请按设备铭牌填写，不得以地名或经销商名称替代</t>
        </r>
      </text>
    </comment>
    <comment ref="M8" authorId="1">
      <text>
        <r>
          <rPr>
            <sz val="9"/>
            <rFont val="宋体"/>
            <charset val="134"/>
          </rPr>
          <t>指设备投入使用的日期，二手设备需填写初始启用日期</t>
        </r>
      </text>
    </comment>
    <comment ref="O8" authorId="1">
      <text>
        <r>
          <rPr>
            <sz val="9"/>
            <rFont val="宋体"/>
            <charset val="134"/>
          </rPr>
          <t>评估基准日汇率为中间价</t>
        </r>
      </text>
    </comment>
    <comment ref="P8" authorId="1">
      <text>
        <r>
          <rPr>
            <sz val="9"/>
            <rFont val="宋体"/>
            <charset val="134"/>
          </rPr>
          <t xml:space="preserve">填写原币金额 </t>
        </r>
      </text>
    </comment>
    <comment ref="Q8" authorId="1">
      <text>
        <r>
          <rPr>
            <sz val="9"/>
            <rFont val="宋体"/>
            <charset val="134"/>
          </rPr>
          <t xml:space="preserve">填写原币金额 </t>
        </r>
      </text>
    </comment>
    <comment ref="AH8" authorId="1">
      <text>
        <r>
          <rPr>
            <sz val="9"/>
            <rFont val="宋体"/>
            <charset val="134"/>
          </rPr>
          <t>应注明的事项：(1)盘盈(2)非正常资产，如“停用、不需用、待报废、淘汰、盘亏”等(3)仪器仪表、电梯、锅炉、压力容器等规定由有关部门定期鉴定的设备应注明“达标”或“未达标”(4)其他</t>
        </r>
      </text>
    </comment>
  </commentList>
</comments>
</file>

<file path=xl/comments57.xml><?xml version="1.0" encoding="utf-8"?>
<comments xmlns="http://schemas.openxmlformats.org/spreadsheetml/2006/main">
  <authors>
    <author>超级管理员</author>
    <author>chenjie</author>
  </authors>
  <commentList>
    <comment ref="F8" authorId="0">
      <text>
        <r>
          <rPr>
            <sz val="9"/>
            <rFont val="宋体"/>
            <charset val="134"/>
          </rPr>
          <t>请按照车辆行驶证证载规格型号填写</t>
        </r>
      </text>
    </comment>
    <comment ref="J8" authorId="1">
      <text>
        <r>
          <rPr>
            <sz val="9"/>
            <rFont val="宋体"/>
            <charset val="134"/>
          </rPr>
          <t>请填写生产厂家，不得以地名或经销商名称替代</t>
        </r>
      </text>
    </comment>
    <comment ref="Q8" authorId="1">
      <text>
        <r>
          <rPr>
            <sz val="9"/>
            <rFont val="宋体"/>
            <charset val="134"/>
          </rPr>
          <t>评估基准日汇率为中间价</t>
        </r>
      </text>
    </comment>
    <comment ref="R8" authorId="1">
      <text>
        <r>
          <rPr>
            <sz val="9"/>
            <rFont val="宋体"/>
            <charset val="134"/>
          </rPr>
          <t xml:space="preserve">填写原币金额 </t>
        </r>
      </text>
    </comment>
    <comment ref="S8" authorId="1">
      <text>
        <r>
          <rPr>
            <sz val="9"/>
            <rFont val="宋体"/>
            <charset val="134"/>
          </rPr>
          <t xml:space="preserve">填写原币金额 </t>
        </r>
      </text>
    </comment>
  </commentList>
</comments>
</file>

<file path=xl/comments58.xml><?xml version="1.0" encoding="utf-8"?>
<comments xmlns="http://schemas.openxmlformats.org/spreadsheetml/2006/main">
  <authors>
    <author>sucheng</author>
    <author>chenjie</author>
  </authors>
  <commentList>
    <comment ref="B8" authorId="0">
      <text>
        <r>
          <rPr>
            <sz val="9"/>
            <rFont val="宋体"/>
            <charset val="134"/>
          </rPr>
          <t>企业资产管理所使用的编号</t>
        </r>
      </text>
    </comment>
    <comment ref="D8" authorId="1">
      <text>
        <r>
          <rPr>
            <sz val="9"/>
            <rFont val="宋体"/>
            <charset val="134"/>
          </rPr>
          <t>请按设备铭牌填写，非标设备请填写主要参数</t>
        </r>
      </text>
    </comment>
    <comment ref="H8" authorId="1">
      <text>
        <r>
          <rPr>
            <sz val="9"/>
            <rFont val="宋体"/>
            <charset val="134"/>
          </rPr>
          <t>请按设备铭牌填写，不得以地名或经销商名称替代</t>
        </r>
      </text>
    </comment>
    <comment ref="L8" authorId="1">
      <text>
        <r>
          <rPr>
            <sz val="9"/>
            <rFont val="宋体"/>
            <charset val="134"/>
          </rPr>
          <t>指设备投入使用的日期，二手设备需填写初始启用日期</t>
        </r>
      </text>
    </comment>
    <comment ref="N8" authorId="1">
      <text>
        <r>
          <rPr>
            <sz val="9"/>
            <rFont val="宋体"/>
            <charset val="134"/>
          </rPr>
          <t>评估基准日汇率为中间价</t>
        </r>
      </text>
    </comment>
    <comment ref="O8" authorId="1">
      <text>
        <r>
          <rPr>
            <sz val="9"/>
            <rFont val="宋体"/>
            <charset val="134"/>
          </rPr>
          <t xml:space="preserve">填写原币金额 </t>
        </r>
      </text>
    </comment>
    <comment ref="P8" authorId="1">
      <text>
        <r>
          <rPr>
            <sz val="9"/>
            <rFont val="宋体"/>
            <charset val="134"/>
          </rPr>
          <t xml:space="preserve">填写原币金额 </t>
        </r>
      </text>
    </comment>
    <comment ref="AE8" authorId="1">
      <text>
        <r>
          <rPr>
            <sz val="9"/>
            <rFont val="宋体"/>
            <charset val="134"/>
          </rPr>
          <t>对停用、不需用、待报废、淘汰、盘亏、盘盈等电子设备应在备注栏标明</t>
        </r>
      </text>
    </comment>
  </commentList>
</comments>
</file>

<file path=xl/comments59.xml><?xml version="1.0" encoding="utf-8"?>
<comments xmlns="http://schemas.openxmlformats.org/spreadsheetml/2006/main">
  <authors>
    <author>haha</author>
    <author>chenjie</author>
  </authors>
  <commentList>
    <comment ref="H7" authorId="0">
      <text>
        <r>
          <rPr>
            <b/>
            <sz val="9"/>
            <rFont val="宋体"/>
            <charset val="134"/>
          </rPr>
          <t>haha:</t>
        </r>
        <r>
          <rPr>
            <sz val="9"/>
            <rFont val="宋体"/>
            <charset val="134"/>
          </rPr>
          <t xml:space="preserve">
可拆解总质量。</t>
        </r>
      </text>
    </comment>
    <comment ref="J7" authorId="0">
      <text>
        <r>
          <rPr>
            <b/>
            <sz val="9"/>
            <rFont val="宋体"/>
            <charset val="134"/>
          </rPr>
          <t>haha:</t>
        </r>
        <r>
          <rPr>
            <sz val="9"/>
            <rFont val="宋体"/>
            <charset val="134"/>
          </rPr>
          <t xml:space="preserve">
可拆解总质量。</t>
        </r>
      </text>
    </comment>
    <comment ref="L7" authorId="0">
      <text>
        <r>
          <rPr>
            <b/>
            <sz val="9"/>
            <rFont val="宋体"/>
            <charset val="134"/>
          </rPr>
          <t>haha:</t>
        </r>
        <r>
          <rPr>
            <sz val="9"/>
            <rFont val="宋体"/>
            <charset val="134"/>
          </rPr>
          <t xml:space="preserve">
可拆解总质量。</t>
        </r>
      </text>
    </comment>
    <comment ref="B8" authorId="1">
      <text>
        <r>
          <rPr>
            <b/>
            <sz val="9"/>
            <rFont val="宋体"/>
            <charset val="134"/>
          </rPr>
          <t>chenjie:</t>
        </r>
        <r>
          <rPr>
            <sz val="9"/>
            <rFont val="宋体"/>
            <charset val="134"/>
          </rPr>
          <t xml:space="preserve">
填列转入固定资产实物名称及规格型号，如“报废油罐汽车HQG5吨1辆”、“出售CA6140.2M普通车床1台”等</t>
        </r>
      </text>
    </comment>
  </commentList>
</comments>
</file>

<file path=xl/comments6.xml><?xml version="1.0" encoding="utf-8"?>
<comments xmlns="http://schemas.openxmlformats.org/spreadsheetml/2006/main">
  <authors>
    <author>chenjie</author>
  </authors>
  <commentList>
    <comment ref="H7" authorId="0">
      <text>
        <r>
          <rPr>
            <sz val="9"/>
            <rFont val="宋体"/>
            <charset val="134"/>
          </rPr>
          <t>评估基准日汇率为中间价</t>
        </r>
      </text>
    </comment>
    <comment ref="I7" authorId="0">
      <text>
        <r>
          <rPr>
            <sz val="9"/>
            <rFont val="宋体"/>
            <charset val="134"/>
          </rPr>
          <t xml:space="preserve">填写原币金额 </t>
        </r>
      </text>
    </comment>
    <comment ref="J7" authorId="0">
      <text>
        <r>
          <rPr>
            <sz val="9"/>
            <rFont val="宋体"/>
            <charset val="134"/>
          </rPr>
          <t xml:space="preserve">填写原币金额 </t>
        </r>
      </text>
    </comment>
  </commentList>
</comments>
</file>

<file path=xl/comments60.xml><?xml version="1.0" encoding="utf-8"?>
<comments xmlns="http://schemas.openxmlformats.org/spreadsheetml/2006/main">
  <authors>
    <author>chenjie</author>
  </authors>
  <commentList>
    <comment ref="AB8" authorId="0">
      <text>
        <r>
          <rPr>
            <sz val="9"/>
            <rFont val="宋体"/>
            <charset val="134"/>
          </rPr>
          <t>评估基准日汇率为中间价</t>
        </r>
      </text>
    </comment>
    <comment ref="AC8" authorId="0">
      <text>
        <r>
          <rPr>
            <sz val="9"/>
            <rFont val="宋体"/>
            <charset val="134"/>
          </rPr>
          <t xml:space="preserve">填写原币金额 </t>
        </r>
      </text>
    </comment>
    <comment ref="AD8" authorId="0">
      <text>
        <r>
          <rPr>
            <sz val="9"/>
            <rFont val="宋体"/>
            <charset val="134"/>
          </rPr>
          <t xml:space="preserve">填写原币金额 </t>
        </r>
      </text>
    </comment>
  </commentList>
</comments>
</file>

<file path=xl/comments61.xml><?xml version="1.0" encoding="utf-8"?>
<comments xmlns="http://schemas.openxmlformats.org/spreadsheetml/2006/main">
  <authors>
    <author>chenjie</author>
  </authors>
  <commentList>
    <comment ref="I7" authorId="0">
      <text>
        <r>
          <rPr>
            <sz val="9"/>
            <rFont val="宋体"/>
            <charset val="134"/>
          </rPr>
          <t>指财务实际付款与合同总价款之比</t>
        </r>
      </text>
    </comment>
    <comment ref="K7" authorId="0">
      <text>
        <r>
          <rPr>
            <sz val="9"/>
            <rFont val="宋体"/>
            <charset val="134"/>
          </rPr>
          <t>评估基准日汇率为中间价</t>
        </r>
      </text>
    </comment>
    <comment ref="L7" authorId="0">
      <text>
        <r>
          <rPr>
            <sz val="9"/>
            <rFont val="宋体"/>
            <charset val="134"/>
          </rPr>
          <t xml:space="preserve">填写原币金额 </t>
        </r>
      </text>
    </comment>
    <comment ref="S7" authorId="0">
      <text>
        <r>
          <rPr>
            <sz val="9"/>
            <rFont val="宋体"/>
            <charset val="134"/>
          </rPr>
          <t>处于非正常状态的在建工程项目应在备注栏标注在建工程的施工状况</t>
        </r>
      </text>
    </comment>
  </commentList>
</comments>
</file>

<file path=xl/comments62.xml><?xml version="1.0" encoding="utf-8"?>
<comments xmlns="http://schemas.openxmlformats.org/spreadsheetml/2006/main">
  <authors>
    <author>chenjie</author>
  </authors>
  <commentList>
    <comment ref="H8" authorId="0">
      <text>
        <r>
          <rPr>
            <sz val="9"/>
            <rFont val="宋体"/>
            <charset val="134"/>
          </rPr>
          <t>指财务实际付款与合同总价款之比</t>
        </r>
      </text>
    </comment>
    <comment ref="J8" authorId="0">
      <text>
        <r>
          <rPr>
            <sz val="9"/>
            <rFont val="宋体"/>
            <charset val="134"/>
          </rPr>
          <t>评估基准日汇率为中间价</t>
        </r>
      </text>
    </comment>
    <comment ref="K8" authorId="0">
      <text>
        <r>
          <rPr>
            <sz val="9"/>
            <rFont val="宋体"/>
            <charset val="134"/>
          </rPr>
          <t xml:space="preserve">填写原币金额 </t>
        </r>
      </text>
    </comment>
    <comment ref="AC8" authorId="0">
      <text>
        <r>
          <rPr>
            <sz val="9"/>
            <rFont val="宋体"/>
            <charset val="134"/>
          </rPr>
          <t>处于非正常状态的在建工程项目应在备注栏标注在建工程的施工状况</t>
        </r>
      </text>
    </comment>
  </commentList>
</comments>
</file>

<file path=xl/comments63.xml><?xml version="1.0" encoding="utf-8"?>
<comments xmlns="http://schemas.openxmlformats.org/spreadsheetml/2006/main">
  <authors>
    <author>chenjie</author>
  </authors>
  <commentList>
    <comment ref="E7" authorId="0">
      <text>
        <r>
          <rPr>
            <sz val="9"/>
            <rFont val="宋体"/>
            <charset val="134"/>
          </rPr>
          <t>指财务实际付款与合同总价款之比</t>
        </r>
      </text>
    </comment>
    <comment ref="G7" authorId="0">
      <text>
        <r>
          <rPr>
            <sz val="9"/>
            <rFont val="宋体"/>
            <charset val="134"/>
          </rPr>
          <t>评估基准日汇率为中间价</t>
        </r>
      </text>
    </comment>
    <comment ref="H7" authorId="0">
      <text>
        <r>
          <rPr>
            <sz val="9"/>
            <rFont val="宋体"/>
            <charset val="134"/>
          </rPr>
          <t xml:space="preserve">填写原币金额 </t>
        </r>
      </text>
    </comment>
  </commentList>
</comments>
</file>

<file path=xl/comments64.xml><?xml version="1.0" encoding="utf-8"?>
<comments xmlns="http://schemas.openxmlformats.org/spreadsheetml/2006/main">
  <authors>
    <author>chenjie</author>
  </authors>
  <commentLis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65.xml><?xml version="1.0" encoding="utf-8"?>
<comments xmlns="http://schemas.openxmlformats.org/spreadsheetml/2006/main">
  <authors>
    <author>chenjie</author>
  </authors>
  <commentList>
    <comment ref="P7" authorId="0">
      <text>
        <r>
          <rPr>
            <sz val="9"/>
            <rFont val="宋体"/>
            <charset val="134"/>
          </rPr>
          <t>评估基准日汇率为中间价</t>
        </r>
      </text>
    </comment>
    <comment ref="Q7" authorId="0">
      <text>
        <r>
          <rPr>
            <sz val="9"/>
            <rFont val="宋体"/>
            <charset val="134"/>
          </rPr>
          <t xml:space="preserve">填写原币金额 </t>
        </r>
      </text>
    </comment>
  </commentList>
</comments>
</file>

<file path=xl/comments66.xml><?xml version="1.0" encoding="utf-8"?>
<comments xmlns="http://schemas.openxmlformats.org/spreadsheetml/2006/main">
  <authors>
    <author>chenjie</author>
  </authors>
  <commentList>
    <comment ref="I8" authorId="0">
      <text>
        <r>
          <rPr>
            <sz val="9"/>
            <rFont val="宋体"/>
            <charset val="134"/>
          </rPr>
          <t>评估基准日汇率为中间价</t>
        </r>
      </text>
    </comment>
    <comment ref="J8" authorId="0">
      <text>
        <r>
          <rPr>
            <sz val="9"/>
            <rFont val="宋体"/>
            <charset val="134"/>
          </rPr>
          <t xml:space="preserve">填写原币金额 </t>
        </r>
      </text>
    </comment>
    <comment ref="K8" authorId="0">
      <text>
        <r>
          <rPr>
            <sz val="9"/>
            <rFont val="宋体"/>
            <charset val="134"/>
          </rPr>
          <t xml:space="preserve">填写原币金额 </t>
        </r>
      </text>
    </comment>
  </commentList>
</comments>
</file>

<file path=xl/comments67.xml><?xml version="1.0" encoding="utf-8"?>
<comments xmlns="http://schemas.openxmlformats.org/spreadsheetml/2006/main">
  <authors>
    <author>chenjie</author>
  </authors>
  <commentList>
    <comment ref="K8" authorId="0">
      <text>
        <r>
          <rPr>
            <sz val="9"/>
            <rFont val="宋体"/>
            <charset val="134"/>
          </rPr>
          <t>评估基准日汇率为中间价</t>
        </r>
      </text>
    </comment>
    <comment ref="L8" authorId="0">
      <text>
        <r>
          <rPr>
            <sz val="9"/>
            <rFont val="宋体"/>
            <charset val="134"/>
          </rPr>
          <t xml:space="preserve">填写原币金额 </t>
        </r>
      </text>
    </comment>
    <comment ref="M8" authorId="0">
      <text>
        <r>
          <rPr>
            <sz val="9"/>
            <rFont val="宋体"/>
            <charset val="134"/>
          </rPr>
          <t xml:space="preserve">填写原币金额 </t>
        </r>
      </text>
    </comment>
  </commentList>
</comments>
</file>

<file path=xl/comments68.xml><?xml version="1.0" encoding="utf-8"?>
<comments xmlns="http://schemas.openxmlformats.org/spreadsheetml/2006/main">
  <authors>
    <author>chenjie</author>
  </authors>
  <commentList>
    <comment ref="L8" authorId="0">
      <text>
        <r>
          <rPr>
            <sz val="9"/>
            <rFont val="宋体"/>
            <charset val="134"/>
          </rPr>
          <t>评估基准日汇率为中间价</t>
        </r>
      </text>
    </comment>
    <comment ref="M8" authorId="0">
      <text>
        <r>
          <rPr>
            <sz val="9"/>
            <rFont val="宋体"/>
            <charset val="134"/>
          </rPr>
          <t xml:space="preserve">填写原币金额 </t>
        </r>
      </text>
    </comment>
    <comment ref="N8" authorId="0">
      <text>
        <r>
          <rPr>
            <sz val="9"/>
            <rFont val="宋体"/>
            <charset val="134"/>
          </rPr>
          <t xml:space="preserve">填写原币金额 </t>
        </r>
      </text>
    </comment>
  </commentList>
</comments>
</file>

<file path=xl/comments69.xml><?xml version="1.0" encoding="utf-8"?>
<comments xmlns="http://schemas.openxmlformats.org/spreadsheetml/2006/main">
  <authors>
    <author>chenjie</author>
  </authors>
  <commentList>
    <comment ref="L8" authorId="0">
      <text>
        <r>
          <rPr>
            <sz val="9"/>
            <rFont val="宋体"/>
            <charset val="134"/>
          </rPr>
          <t>评估基准日汇率为中间价</t>
        </r>
      </text>
    </comment>
    <comment ref="M8" authorId="0">
      <text>
        <r>
          <rPr>
            <sz val="9"/>
            <rFont val="宋体"/>
            <charset val="134"/>
          </rPr>
          <t xml:space="preserve">填写原币金额 </t>
        </r>
      </text>
    </comment>
    <comment ref="N8" authorId="0">
      <text>
        <r>
          <rPr>
            <sz val="9"/>
            <rFont val="宋体"/>
            <charset val="134"/>
          </rPr>
          <t xml:space="preserve">填写原币金额 </t>
        </r>
      </text>
    </comment>
  </commentList>
</comments>
</file>

<file path=xl/comments7.xml><?xml version="1.0" encoding="utf-8"?>
<comments xmlns="http://schemas.openxmlformats.org/spreadsheetml/2006/main">
  <authors>
    <author>chenjie</author>
  </authors>
  <commentList>
    <comment ref="E7" authorId="0">
      <text>
        <r>
          <rPr>
            <sz val="9"/>
            <rFont val="宋体"/>
            <charset val="134"/>
          </rPr>
          <t>购买日</t>
        </r>
      </text>
    </comment>
    <comment ref="G7" authorId="0">
      <text>
        <r>
          <rPr>
            <sz val="9"/>
            <rFont val="宋体"/>
            <charset val="134"/>
          </rPr>
          <t>评估基准日汇率为中间价</t>
        </r>
      </text>
    </comment>
    <comment ref="H7" authorId="0">
      <text>
        <r>
          <rPr>
            <sz val="9"/>
            <rFont val="宋体"/>
            <charset val="134"/>
          </rPr>
          <t xml:space="preserve">填写原币金额 </t>
        </r>
      </text>
    </comment>
    <comment ref="I7" authorId="0">
      <text>
        <r>
          <rPr>
            <sz val="9"/>
            <rFont val="宋体"/>
            <charset val="134"/>
          </rPr>
          <t xml:space="preserve">填写原币金额 </t>
        </r>
      </text>
    </comment>
  </commentList>
</comments>
</file>

<file path=xl/comments70.xml><?xml version="1.0" encoding="utf-8"?>
<comments xmlns="http://schemas.openxmlformats.org/spreadsheetml/2006/main">
  <authors>
    <author>chenjie</author>
  </authors>
  <commentList>
    <comment ref="B7" authorId="0">
      <text>
        <r>
          <rPr>
            <sz val="9"/>
            <rFont val="宋体"/>
            <charset val="134"/>
          </rPr>
          <t>土地使用权证书的编号</t>
        </r>
      </text>
    </comment>
    <comment ref="AA7" authorId="0">
      <text>
        <r>
          <rPr>
            <sz val="9"/>
            <rFont val="宋体"/>
            <charset val="134"/>
          </rPr>
          <t>评估基准日汇率为中间价</t>
        </r>
      </text>
    </comment>
    <comment ref="AB7" authorId="0">
      <text>
        <r>
          <rPr>
            <sz val="9"/>
            <rFont val="宋体"/>
            <charset val="134"/>
          </rPr>
          <t xml:space="preserve">填写原币金额 </t>
        </r>
      </text>
    </comment>
    <comment ref="AC7" authorId="0">
      <text>
        <r>
          <rPr>
            <sz val="9"/>
            <rFont val="宋体"/>
            <charset val="134"/>
          </rPr>
          <t xml:space="preserve">填写原币金额 </t>
        </r>
      </text>
    </comment>
  </commentList>
</comments>
</file>

<file path=xl/comments71.xml><?xml version="1.0" encoding="utf-8"?>
<comments xmlns="http://schemas.openxmlformats.org/spreadsheetml/2006/main">
  <authors>
    <author>chenjie</author>
  </authors>
  <commentList>
    <comment ref="J7" authorId="0">
      <text>
        <r>
          <rPr>
            <sz val="9"/>
            <rFont val="宋体"/>
            <charset val="134"/>
          </rPr>
          <t>评估基准日汇率为中间价</t>
        </r>
      </text>
    </comment>
    <comment ref="K7" authorId="0">
      <text>
        <r>
          <rPr>
            <sz val="9"/>
            <rFont val="宋体"/>
            <charset val="134"/>
          </rPr>
          <t xml:space="preserve">填写原币金额 </t>
        </r>
      </text>
    </comment>
    <comment ref="L7" authorId="0">
      <text>
        <r>
          <rPr>
            <sz val="9"/>
            <rFont val="宋体"/>
            <charset val="134"/>
          </rPr>
          <t xml:space="preserve">填写原币金额 </t>
        </r>
      </text>
    </comment>
  </commentList>
</comments>
</file>

<file path=xl/comments72.xml><?xml version="1.0" encoding="utf-8"?>
<comments xmlns="http://schemas.openxmlformats.org/spreadsheetml/2006/main">
  <authors>
    <author>chenjie</author>
  </authors>
  <commentList>
    <comment ref="B7" authorId="0">
      <text>
        <r>
          <rPr>
            <sz val="9"/>
            <rFont val="宋体"/>
            <charset val="134"/>
          </rPr>
          <t>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F7" authorId="0">
      <text>
        <r>
          <rPr>
            <sz val="9"/>
            <rFont val="宋体"/>
            <charset val="134"/>
          </rPr>
          <t>评估基准日汇率为中间价</t>
        </r>
      </text>
    </comment>
    <comment ref="G7" authorId="0">
      <text>
        <r>
          <rPr>
            <sz val="9"/>
            <rFont val="宋体"/>
            <charset val="134"/>
          </rPr>
          <t xml:space="preserve">填写原币金额 </t>
        </r>
      </text>
    </comment>
    <comment ref="H7" authorId="0">
      <text>
        <r>
          <rPr>
            <sz val="9"/>
            <rFont val="宋体"/>
            <charset val="134"/>
          </rPr>
          <t xml:space="preserve">填写原币金额 </t>
        </r>
      </text>
    </comment>
  </commentList>
</comments>
</file>

<file path=xl/comments73.xml><?xml version="1.0" encoding="utf-8"?>
<comments xmlns="http://schemas.openxmlformats.org/spreadsheetml/2006/main">
  <authors>
    <author>chenjie</author>
  </authors>
  <commentList>
    <comment ref="E7" authorId="0">
      <text>
        <r>
          <rPr>
            <sz val="9"/>
            <rFont val="宋体"/>
            <charset val="134"/>
          </rPr>
          <t>评估基准日汇率为中间价</t>
        </r>
      </text>
    </comment>
    <comment ref="F7" authorId="0">
      <text>
        <r>
          <rPr>
            <sz val="9"/>
            <rFont val="宋体"/>
            <charset val="134"/>
          </rPr>
          <t xml:space="preserve">填写原币金额 </t>
        </r>
      </text>
    </comment>
  </commentList>
</comments>
</file>

<file path=xl/comments74.xml><?xml version="1.0" encoding="utf-8"?>
<comments xmlns="http://schemas.openxmlformats.org/spreadsheetml/2006/main">
  <authors>
    <author>chenjie</author>
  </authors>
  <commentList>
    <comment ref="E7" authorId="0">
      <text>
        <r>
          <rPr>
            <sz val="9"/>
            <rFont val="宋体"/>
            <charset val="134"/>
          </rPr>
          <t>评估基准日汇率为中间价</t>
        </r>
      </text>
    </comment>
    <comment ref="F7" authorId="0">
      <text>
        <r>
          <rPr>
            <sz val="9"/>
            <rFont val="宋体"/>
            <charset val="134"/>
          </rPr>
          <t xml:space="preserve">填写原币金额 </t>
        </r>
      </text>
    </comment>
  </commentList>
</comments>
</file>

<file path=xl/comments75.xml><?xml version="1.0" encoding="utf-8"?>
<comments xmlns="http://schemas.openxmlformats.org/spreadsheetml/2006/main">
  <authors>
    <author>chenjie</author>
  </authors>
  <commentList>
    <comment ref="E7" authorId="0">
      <text>
        <r>
          <rPr>
            <sz val="9"/>
            <rFont val="宋体"/>
            <charset val="134"/>
          </rPr>
          <t>评估基准日汇率为中间价</t>
        </r>
      </text>
    </comment>
    <comment ref="F7" authorId="0">
      <text>
        <r>
          <rPr>
            <sz val="9"/>
            <rFont val="宋体"/>
            <charset val="134"/>
          </rPr>
          <t xml:space="preserve">填写原币金额 </t>
        </r>
      </text>
    </comment>
    <comment ref="G7" authorId="0">
      <text>
        <r>
          <rPr>
            <sz val="9"/>
            <rFont val="宋体"/>
            <charset val="134"/>
          </rPr>
          <t xml:space="preserve">填写原币金额 </t>
        </r>
      </text>
    </comment>
  </commentList>
</comments>
</file>

<file path=xl/comments76.xml><?xml version="1.0" encoding="utf-8"?>
<comments xmlns="http://schemas.openxmlformats.org/spreadsheetml/2006/main">
  <authors>
    <author>chenjie</author>
  </authors>
  <commentList>
    <comment ref="E7" authorId="0">
      <text>
        <r>
          <rPr>
            <sz val="9"/>
            <rFont val="宋体"/>
            <charset val="134"/>
          </rPr>
          <t>评估基准日汇率为中间价</t>
        </r>
      </text>
    </comment>
    <comment ref="F7" authorId="0">
      <text>
        <r>
          <rPr>
            <sz val="9"/>
            <rFont val="宋体"/>
            <charset val="134"/>
          </rPr>
          <t xml:space="preserve">填写原币金额 </t>
        </r>
      </text>
    </comment>
  </commentList>
</comments>
</file>

<file path=xl/comments77.xml><?xml version="1.0" encoding="utf-8"?>
<comments xmlns="http://schemas.openxmlformats.org/spreadsheetml/2006/main">
  <authors>
    <author>chenjie</author>
  </authors>
  <commentList>
    <comment ref="E7" authorId="0">
      <text>
        <r>
          <rPr>
            <sz val="9"/>
            <rFont val="宋体"/>
            <charset val="134"/>
          </rPr>
          <t>评估基准日汇率为中间价</t>
        </r>
      </text>
    </comment>
    <comment ref="F7" authorId="0">
      <text>
        <r>
          <rPr>
            <sz val="9"/>
            <rFont val="宋体"/>
            <charset val="134"/>
          </rPr>
          <t xml:space="preserve">填写原币金额 </t>
        </r>
      </text>
    </comment>
    <comment ref="M7" authorId="0">
      <text>
        <r>
          <rPr>
            <b/>
            <sz val="9"/>
            <rFont val="宋体"/>
            <charset val="134"/>
          </rPr>
          <t>chenjie:</t>
        </r>
        <r>
          <rPr>
            <sz val="9"/>
            <rFont val="宋体"/>
            <charset val="134"/>
          </rPr>
          <t xml:space="preserve">
金额较大的项目，在备注栏注明其内容或附说明该项资产的内容和价值构成的专项说明。</t>
        </r>
      </text>
    </comment>
  </commentList>
</comments>
</file>

<file path=xl/comments78.xml><?xml version="1.0" encoding="utf-8"?>
<comments xmlns="http://schemas.openxmlformats.org/spreadsheetml/2006/main">
  <authors>
    <author>chenjie</author>
    <author>超级管理员</author>
  </authors>
  <commentList>
    <comment ref="B7" authorId="0">
      <text>
        <r>
          <rPr>
            <sz val="9"/>
            <rFont val="宋体"/>
            <charset val="134"/>
          </rPr>
          <t>请填银行或机构全称</t>
        </r>
      </text>
    </comment>
    <comment ref="C7" authorId="0">
      <text>
        <r>
          <rPr>
            <sz val="9"/>
            <rFont val="宋体"/>
            <charset val="134"/>
          </rPr>
          <t>指借款合同规定的借款起始日，填列到日</t>
        </r>
      </text>
    </comment>
    <comment ref="D7" authorId="0">
      <text>
        <r>
          <rPr>
            <sz val="9"/>
            <rFont val="宋体"/>
            <charset val="134"/>
          </rPr>
          <t>指借款合同规定的借款到期日，填列到日</t>
        </r>
      </text>
    </comment>
    <comment ref="F7" authorId="1">
      <text>
        <r>
          <rPr>
            <sz val="9"/>
            <rFont val="宋体"/>
            <charset val="134"/>
          </rPr>
          <t>抵押、质押、保证</t>
        </r>
      </text>
    </comment>
    <comment ref="H7" authorId="0">
      <text>
        <r>
          <rPr>
            <sz val="9"/>
            <rFont val="宋体"/>
            <charset val="134"/>
          </rPr>
          <t>评估基准日汇率为中间价</t>
        </r>
      </text>
    </comment>
    <comment ref="I7" authorId="0">
      <text>
        <r>
          <rPr>
            <sz val="9"/>
            <rFont val="宋体"/>
            <charset val="134"/>
          </rPr>
          <t xml:space="preserve">填写原币金额 </t>
        </r>
      </text>
    </comment>
  </commentList>
</comments>
</file>

<file path=xl/comments79.xml><?xml version="1.0" encoding="utf-8"?>
<comments xmlns="http://schemas.openxmlformats.org/spreadsheetml/2006/main">
  <authors>
    <author>chenjie</author>
  </authors>
  <commentList>
    <comment ref="F7" authorId="0">
      <text>
        <r>
          <rPr>
            <sz val="9"/>
            <rFont val="宋体"/>
            <charset val="134"/>
          </rPr>
          <t>评估基准日汇率为中间价</t>
        </r>
      </text>
    </comment>
    <comment ref="G7" authorId="0">
      <text>
        <r>
          <rPr>
            <sz val="9"/>
            <rFont val="宋体"/>
            <charset val="134"/>
          </rPr>
          <t xml:space="preserve">填写原币金额 </t>
        </r>
      </text>
    </comment>
    <comment ref="L7"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8.xml><?xml version="1.0" encoding="utf-8"?>
<comments xmlns="http://schemas.openxmlformats.org/spreadsheetml/2006/main">
  <authors>
    <author>chenjie</author>
  </authors>
  <commentList>
    <comment ref="D7" authorId="0">
      <text>
        <r>
          <rPr>
            <sz val="9"/>
            <rFont val="宋体"/>
            <charset val="134"/>
          </rPr>
          <t>购买日</t>
        </r>
      </text>
    </comment>
    <comment ref="G7" authorId="0">
      <text>
        <r>
          <rPr>
            <sz val="9"/>
            <rFont val="宋体"/>
            <charset val="134"/>
          </rPr>
          <t>评估基准日汇率为中间价</t>
        </r>
      </text>
    </comment>
    <comment ref="H7" authorId="0">
      <text>
        <r>
          <rPr>
            <sz val="9"/>
            <rFont val="宋体"/>
            <charset val="134"/>
          </rPr>
          <t xml:space="preserve">填写原币金额 </t>
        </r>
      </text>
    </comment>
    <comment ref="I7" authorId="0">
      <text>
        <r>
          <rPr>
            <sz val="9"/>
            <rFont val="宋体"/>
            <charset val="134"/>
          </rPr>
          <t xml:space="preserve">填写原币金额 </t>
        </r>
      </text>
    </comment>
  </commentList>
</comments>
</file>

<file path=xl/comments80.xml><?xml version="1.0" encoding="utf-8"?>
<comments xmlns="http://schemas.openxmlformats.org/spreadsheetml/2006/main">
  <authors>
    <author>chenjie</author>
  </authors>
  <commentList>
    <comment ref="F7" authorId="0">
      <text>
        <r>
          <rPr>
            <sz val="9"/>
            <rFont val="宋体"/>
            <charset val="134"/>
          </rPr>
          <t>评估基准日汇率为中间价</t>
        </r>
      </text>
    </comment>
    <comment ref="G7" authorId="0">
      <text>
        <r>
          <rPr>
            <sz val="9"/>
            <rFont val="宋体"/>
            <charset val="134"/>
          </rPr>
          <t xml:space="preserve">填写原币金额 </t>
        </r>
      </text>
    </comment>
    <comment ref="L7"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81.xml><?xml version="1.0" encoding="utf-8"?>
<comments xmlns="http://schemas.openxmlformats.org/spreadsheetml/2006/main">
  <authors>
    <author>chenjie</author>
  </authors>
  <commentList>
    <comment ref="G7" authorId="0">
      <text>
        <r>
          <rPr>
            <sz val="9"/>
            <rFont val="宋体"/>
            <charset val="134"/>
          </rPr>
          <t>评估基准日汇率为中间价</t>
        </r>
      </text>
    </comment>
    <comment ref="H7" authorId="0">
      <text>
        <r>
          <rPr>
            <sz val="9"/>
            <rFont val="宋体"/>
            <charset val="134"/>
          </rPr>
          <t xml:space="preserve">填写原币金额 </t>
        </r>
      </text>
    </comment>
    <comment ref="M7"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t>
        </r>
      </text>
    </comment>
  </commentList>
</comments>
</file>

<file path=xl/comments82.xml><?xml version="1.0" encoding="utf-8"?>
<comments xmlns="http://schemas.openxmlformats.org/spreadsheetml/2006/main">
  <authors>
    <author>chenjie</author>
  </authors>
  <commentList>
    <comment ref="G7" authorId="0">
      <text>
        <r>
          <rPr>
            <sz val="9"/>
            <rFont val="宋体"/>
            <charset val="134"/>
          </rPr>
          <t>评估基准日汇率为中间价</t>
        </r>
      </text>
    </comment>
    <comment ref="H7" authorId="0">
      <text>
        <r>
          <rPr>
            <sz val="9"/>
            <rFont val="宋体"/>
            <charset val="134"/>
          </rPr>
          <t xml:space="preserve">填写原币金额 </t>
        </r>
      </text>
    </comment>
    <comment ref="M7"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t>
        </r>
      </text>
    </comment>
  </commentList>
</comments>
</file>

<file path=xl/comments83.xml><?xml version="1.0" encoding="utf-8"?>
<comments xmlns="http://schemas.openxmlformats.org/spreadsheetml/2006/main">
  <authors>
    <author>chenjie</author>
  </authors>
  <commentList>
    <comment ref="B7" authorId="0">
      <text>
        <r>
          <rPr>
            <sz val="9"/>
            <rFont val="宋体"/>
            <charset val="134"/>
          </rPr>
          <t>请填写全称</t>
        </r>
      </text>
    </comment>
    <comment ref="C7" authorId="0">
      <text>
        <r>
          <rPr>
            <sz val="9"/>
            <rFont val="宋体"/>
            <charset val="134"/>
          </rPr>
          <t>请填写最后一笔贷方发生日期；
日期填写形式：2017-12-12</t>
        </r>
      </text>
    </commen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84.xml><?xml version="1.0" encoding="utf-8"?>
<comments xmlns="http://schemas.openxmlformats.org/spreadsheetml/2006/main">
  <authors>
    <author>chenjie</author>
  </authors>
  <commentList>
    <comment ref="B7" authorId="0">
      <text>
        <r>
          <rPr>
            <sz val="9"/>
            <rFont val="宋体"/>
            <charset val="134"/>
          </rPr>
          <t>请填写全称</t>
        </r>
      </text>
    </comment>
    <comment ref="C7" authorId="0">
      <text>
        <r>
          <rPr>
            <sz val="9"/>
            <rFont val="宋体"/>
            <charset val="134"/>
          </rPr>
          <t>请填写最后一笔贷方发生日期；
日期填写形式：2017-12-12</t>
        </r>
      </text>
    </commen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85.xml><?xml version="1.0" encoding="utf-8"?>
<comments xmlns="http://schemas.openxmlformats.org/spreadsheetml/2006/main">
  <authors>
    <author>chenjie</author>
  </authors>
  <commentList>
    <comment ref="Y8" authorId="0">
      <text>
        <r>
          <rPr>
            <sz val="9"/>
            <rFont val="宋体"/>
            <charset val="134"/>
          </rPr>
          <t>评估基准日汇率为中间价</t>
        </r>
      </text>
    </comment>
    <comment ref="Z8" authorId="0">
      <text>
        <r>
          <rPr>
            <sz val="9"/>
            <rFont val="宋体"/>
            <charset val="134"/>
          </rPr>
          <t xml:space="preserve">填写原币金额 </t>
        </r>
      </text>
    </comment>
  </commentList>
</comments>
</file>

<file path=xl/comments86.xml><?xml version="1.0" encoding="utf-8"?>
<comments xmlns="http://schemas.openxmlformats.org/spreadsheetml/2006/main">
  <authors>
    <author>chenjie</author>
    <author>seaman</author>
  </authors>
  <commentList>
    <comment ref="B7" authorId="0">
      <text>
        <r>
          <rPr>
            <sz val="9"/>
            <rFont val="宋体"/>
            <charset val="134"/>
          </rPr>
          <t>请填写单位全称</t>
        </r>
      </text>
    </comment>
    <comment ref="D7" authorId="0">
      <text>
        <r>
          <rPr>
            <sz val="9"/>
            <rFont val="宋体"/>
            <charset val="134"/>
          </rPr>
          <t>请填列最后一笔借方发生日期；
日期填写形式：2017-12-12</t>
        </r>
      </text>
    </comment>
    <comment ref="E7" authorId="1">
      <text>
        <r>
          <rPr>
            <sz val="9"/>
            <rFont val="Times New Roman"/>
            <charset val="134"/>
          </rPr>
          <t>1</t>
        </r>
        <r>
          <rPr>
            <sz val="9"/>
            <rFont val="宋体"/>
            <charset val="134"/>
          </rPr>
          <t>年以内</t>
        </r>
        <r>
          <rPr>
            <sz val="9"/>
            <rFont val="Times New Roman"/>
            <charset val="134"/>
          </rPr>
          <t xml:space="preserve">
1~2</t>
        </r>
        <r>
          <rPr>
            <sz val="9"/>
            <rFont val="宋体"/>
            <charset val="134"/>
          </rPr>
          <t>年</t>
        </r>
        <r>
          <rPr>
            <sz val="9"/>
            <rFont val="Times New Roman"/>
            <charset val="134"/>
          </rPr>
          <t xml:space="preserve">
2~3</t>
        </r>
        <r>
          <rPr>
            <sz val="9"/>
            <rFont val="宋体"/>
            <charset val="134"/>
          </rPr>
          <t>年</t>
        </r>
        <r>
          <rPr>
            <sz val="9"/>
            <rFont val="Times New Roman"/>
            <charset val="134"/>
          </rPr>
          <t xml:space="preserve">
3~4</t>
        </r>
        <r>
          <rPr>
            <sz val="9"/>
            <rFont val="宋体"/>
            <charset val="134"/>
          </rPr>
          <t>年</t>
        </r>
        <r>
          <rPr>
            <sz val="9"/>
            <rFont val="Times New Roman"/>
            <charset val="134"/>
          </rPr>
          <t xml:space="preserve">
4~5</t>
        </r>
        <r>
          <rPr>
            <sz val="9"/>
            <rFont val="宋体"/>
            <charset val="134"/>
          </rPr>
          <t>年</t>
        </r>
        <r>
          <rPr>
            <sz val="9"/>
            <rFont val="Times New Roman"/>
            <charset val="134"/>
          </rPr>
          <t xml:space="preserve">
5</t>
        </r>
        <r>
          <rPr>
            <sz val="9"/>
            <rFont val="宋体"/>
            <charset val="134"/>
          </rPr>
          <t>年以上</t>
        </r>
      </text>
    </comment>
    <comment ref="H7" authorId="0">
      <text>
        <r>
          <rPr>
            <sz val="9"/>
            <rFont val="宋体"/>
            <charset val="134"/>
          </rPr>
          <t>评估基准日汇率为中间价</t>
        </r>
      </text>
    </comment>
    <comment ref="I7" authorId="0">
      <text>
        <r>
          <rPr>
            <sz val="9"/>
            <rFont val="宋体"/>
            <charset val="134"/>
          </rPr>
          <t xml:space="preserve">填写原币金额 </t>
        </r>
      </text>
    </comment>
  </commentList>
</comments>
</file>

<file path=xl/comments87.xml><?xml version="1.0" encoding="utf-8"?>
<comments xmlns="http://schemas.openxmlformats.org/spreadsheetml/2006/main">
  <authors>
    <author>chenjie</author>
  </authors>
  <commentList>
    <comment ref="C7" authorId="0">
      <text>
        <r>
          <rPr>
            <sz val="9"/>
            <rFont val="宋体"/>
            <charset val="134"/>
          </rPr>
          <t>请填写最后一笔贷方发生日期；
日期填写形式：2017-12-12</t>
        </r>
      </text>
    </comment>
    <comment ref="E7" authorId="0">
      <text>
        <r>
          <rPr>
            <sz val="9"/>
            <rFont val="宋体"/>
            <charset val="134"/>
          </rPr>
          <t>评估基准日汇率为中间价</t>
        </r>
      </text>
    </comment>
    <comment ref="F7" authorId="0">
      <text>
        <r>
          <rPr>
            <sz val="9"/>
            <rFont val="宋体"/>
            <charset val="134"/>
          </rPr>
          <t xml:space="preserve">填写原币金额 </t>
        </r>
      </text>
    </comment>
    <comment ref="K7" authorId="0">
      <text>
        <r>
          <rPr>
            <b/>
            <sz val="9"/>
            <rFont val="宋体"/>
            <charset val="134"/>
          </rPr>
          <t>chenjie:</t>
        </r>
        <r>
          <rPr>
            <sz val="9"/>
            <rFont val="宋体"/>
            <charset val="134"/>
          </rPr>
          <t xml:space="preserve">
备注中应注明计提依据（如：工效挂钩批准额度</t>
        </r>
        <r>
          <rPr>
            <sz val="9"/>
            <rFont val="Times New Roman"/>
            <charset val="134"/>
          </rPr>
          <t>×××</t>
        </r>
        <r>
          <rPr>
            <sz val="9"/>
            <rFont val="宋体"/>
            <charset val="134"/>
          </rPr>
          <t>万元／年）及基准日应付工资帐面余额的滚存期间。</t>
        </r>
      </text>
    </comment>
  </commentList>
</comments>
</file>

<file path=xl/comments88.xml><?xml version="1.0" encoding="utf-8"?>
<comments xmlns="http://schemas.openxmlformats.org/spreadsheetml/2006/main">
  <authors>
    <author>chenjie</author>
  </authors>
  <commentList>
    <comment ref="B7" authorId="0">
      <text>
        <r>
          <rPr>
            <sz val="9"/>
            <rFont val="宋体"/>
            <charset val="134"/>
          </rPr>
          <t>请填写征税机关全称</t>
        </r>
      </text>
    </comment>
    <comment ref="C7" authorId="0">
      <text>
        <r>
          <rPr>
            <sz val="9"/>
            <rFont val="宋体"/>
            <charset val="134"/>
          </rPr>
          <t>请填写最后一笔贷方发生日期；
日期填写形式：2017-12-12</t>
        </r>
      </text>
    </comment>
    <comment ref="G7" authorId="0">
      <text>
        <r>
          <rPr>
            <sz val="9"/>
            <rFont val="宋体"/>
            <charset val="134"/>
          </rPr>
          <t>评估基准日汇率为中间价</t>
        </r>
      </text>
    </comment>
    <comment ref="H7" authorId="0">
      <text>
        <r>
          <rPr>
            <sz val="9"/>
            <rFont val="宋体"/>
            <charset val="134"/>
          </rPr>
          <t xml:space="preserve">填写原币金额 </t>
        </r>
      </text>
    </comment>
    <comment ref="M7" authorId="0">
      <text>
        <r>
          <rPr>
            <b/>
            <sz val="9"/>
            <rFont val="宋体"/>
            <charset val="134"/>
          </rPr>
          <t>chenjie:</t>
        </r>
        <r>
          <rPr>
            <sz val="9"/>
            <rFont val="宋体"/>
            <charset val="134"/>
          </rPr>
          <t xml:space="preserve">
备注中应注明税款所属期间。</t>
        </r>
      </text>
    </comment>
  </commentList>
</comments>
</file>

<file path=xl/comments89.xml><?xml version="1.0" encoding="utf-8"?>
<comments xmlns="http://schemas.openxmlformats.org/spreadsheetml/2006/main">
  <authors>
    <author>chenjie</author>
  </authors>
  <commentList>
    <comment ref="C7" authorId="0">
      <text>
        <r>
          <rPr>
            <sz val="9"/>
            <rFont val="宋体"/>
            <charset val="134"/>
          </rPr>
          <t>请填写最后一笔贷方发生日期；
日期填写形式：2017-12-12</t>
        </r>
      </text>
    </comment>
    <comment ref="E7" authorId="0">
      <text>
        <r>
          <rPr>
            <sz val="9"/>
            <rFont val="宋体"/>
            <charset val="134"/>
          </rPr>
          <t>评估基准日汇率为中间价</t>
        </r>
      </text>
    </comment>
    <comment ref="F7" authorId="0">
      <text>
        <r>
          <rPr>
            <sz val="9"/>
            <rFont val="宋体"/>
            <charset val="134"/>
          </rPr>
          <t xml:space="preserve">填写原币金额 </t>
        </r>
      </text>
    </comment>
    <comment ref="G7" authorId="0">
      <text>
        <r>
          <rPr>
            <sz val="9"/>
            <rFont val="宋体"/>
            <charset val="134"/>
          </rPr>
          <t xml:space="preserve">填写原币金额 </t>
        </r>
      </text>
    </comment>
    <comment ref="I7" authorId="0">
      <text>
        <r>
          <rPr>
            <sz val="9"/>
            <rFont val="宋体"/>
            <charset val="134"/>
          </rPr>
          <t>填写形式：2017.12.21—2017.12.31</t>
        </r>
      </text>
    </comment>
  </commentList>
</comments>
</file>

<file path=xl/comments9.xml><?xml version="1.0" encoding="utf-8"?>
<comments xmlns="http://schemas.openxmlformats.org/spreadsheetml/2006/main">
  <authors>
    <author>chenjie</author>
  </authors>
  <commentList>
    <comment ref="H7" authorId="0">
      <text>
        <r>
          <rPr>
            <sz val="9"/>
            <rFont val="宋体"/>
            <charset val="134"/>
          </rPr>
          <t>评估基准日汇率为中间价</t>
        </r>
      </text>
    </comment>
    <comment ref="I7" authorId="0">
      <text>
        <r>
          <rPr>
            <sz val="9"/>
            <rFont val="宋体"/>
            <charset val="134"/>
          </rPr>
          <t xml:space="preserve">填写原币金额 </t>
        </r>
      </text>
    </comment>
    <comment ref="J7" authorId="0">
      <text>
        <r>
          <rPr>
            <sz val="9"/>
            <rFont val="宋体"/>
            <charset val="134"/>
          </rPr>
          <t xml:space="preserve">填写原币金额 </t>
        </r>
      </text>
    </comment>
  </commentList>
</comments>
</file>

<file path=xl/comments90.xml><?xml version="1.0" encoding="utf-8"?>
<comments xmlns="http://schemas.openxmlformats.org/spreadsheetml/2006/main">
  <authors>
    <author>chenjie</author>
  </authors>
  <commentList>
    <comment ref="C7" authorId="0">
      <text>
        <r>
          <rPr>
            <sz val="9"/>
            <rFont val="宋体"/>
            <charset val="134"/>
          </rPr>
          <t>请填写最后一笔贷方发生日期；
日期填写形式：2017-12-12</t>
        </r>
      </text>
    </comment>
    <comment ref="F7" authorId="0">
      <text>
        <r>
          <rPr>
            <sz val="9"/>
            <rFont val="宋体"/>
            <charset val="134"/>
          </rPr>
          <t>评估基准日汇率为中间价</t>
        </r>
      </text>
    </comment>
    <comment ref="G7" authorId="0">
      <text>
        <r>
          <rPr>
            <sz val="9"/>
            <rFont val="宋体"/>
            <charset val="134"/>
          </rPr>
          <t xml:space="preserve">填写原币金额 </t>
        </r>
      </text>
    </comment>
    <comment ref="L7" authorId="0">
      <text>
        <r>
          <rPr>
            <b/>
            <sz val="9"/>
            <rFont val="宋体"/>
            <charset val="134"/>
          </rPr>
          <t>chenjie:</t>
        </r>
        <r>
          <rPr>
            <sz val="9"/>
            <rFont val="宋体"/>
            <charset val="134"/>
          </rPr>
          <t xml:space="preserve">
对于长期未付的利润（股利），请在备注栏标明原因</t>
        </r>
      </text>
    </comment>
  </commentList>
</comments>
</file>

<file path=xl/comments91.xml><?xml version="1.0" encoding="utf-8"?>
<comments xmlns="http://schemas.openxmlformats.org/spreadsheetml/2006/main">
  <authors>
    <author>chenjie</author>
  </authors>
  <commentList>
    <comment ref="B7" authorId="0">
      <text>
        <r>
          <rPr>
            <sz val="9"/>
            <rFont val="宋体"/>
            <charset val="134"/>
          </rPr>
          <t>请填写全称</t>
        </r>
      </text>
    </comment>
    <comment ref="C7" authorId="0">
      <text>
        <r>
          <rPr>
            <sz val="9"/>
            <rFont val="宋体"/>
            <charset val="134"/>
          </rPr>
          <t>请填写最后一笔贷方发生日期；
日期填写形式：2017-12-12</t>
        </r>
      </text>
    </commen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92.xml><?xml version="1.0" encoding="utf-8"?>
<comments xmlns="http://schemas.openxmlformats.org/spreadsheetml/2006/main">
  <authors>
    <author>chenjie</author>
  </authors>
  <commentList>
    <comment ref="B7" authorId="0">
      <text>
        <r>
          <rPr>
            <sz val="9"/>
            <rFont val="宋体"/>
            <charset val="134"/>
          </rPr>
          <t>请填写全称</t>
        </r>
      </text>
    </comment>
    <comment ref="C7" authorId="0">
      <text>
        <r>
          <rPr>
            <sz val="9"/>
            <rFont val="宋体"/>
            <charset val="134"/>
          </rPr>
          <t>请填写最后一笔贷方发生日期；
日期填写形式：2017-12-12</t>
        </r>
      </text>
    </commen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93.xml><?xml version="1.0" encoding="utf-8"?>
<comments xmlns="http://schemas.openxmlformats.org/spreadsheetml/2006/main">
  <authors>
    <author>chenjie</author>
  </authors>
  <commentList>
    <comment ref="B7" authorId="0">
      <text>
        <r>
          <rPr>
            <sz val="9"/>
            <rFont val="宋体"/>
            <charset val="134"/>
          </rPr>
          <t>参见长期借款</t>
        </r>
      </text>
    </comment>
    <comment ref="C7" authorId="0">
      <text>
        <r>
          <rPr>
            <sz val="9"/>
            <rFont val="宋体"/>
            <charset val="134"/>
          </rPr>
          <t>指借款合同规定的借款起始日，填列到日</t>
        </r>
      </text>
    </comment>
    <comment ref="D7" authorId="0">
      <text>
        <r>
          <rPr>
            <sz val="9"/>
            <rFont val="宋体"/>
            <charset val="134"/>
          </rPr>
          <t>指借款合同规定的借款到期日，填列到日</t>
        </r>
      </text>
    </comment>
    <comment ref="G7" authorId="0">
      <text>
        <r>
          <rPr>
            <sz val="9"/>
            <rFont val="宋体"/>
            <charset val="134"/>
          </rPr>
          <t>评估基准日汇率为中间价</t>
        </r>
      </text>
    </comment>
    <comment ref="H7" authorId="0">
      <text>
        <r>
          <rPr>
            <sz val="9"/>
            <rFont val="宋体"/>
            <charset val="134"/>
          </rPr>
          <t xml:space="preserve">填写原币金额 </t>
        </r>
      </text>
    </comment>
  </commentList>
</comments>
</file>

<file path=xl/comments94.xml><?xml version="1.0" encoding="utf-8"?>
<comments xmlns="http://schemas.openxmlformats.org/spreadsheetml/2006/main">
  <authors>
    <author>chenjie</author>
  </authors>
  <commentList>
    <comment ref="B7" authorId="0">
      <text>
        <r>
          <rPr>
            <sz val="9"/>
            <rFont val="宋体"/>
            <charset val="134"/>
          </rPr>
          <t>请填写全称</t>
        </r>
      </text>
    </comment>
    <comment ref="C7" authorId="0">
      <text>
        <r>
          <rPr>
            <sz val="9"/>
            <rFont val="宋体"/>
            <charset val="134"/>
          </rPr>
          <t>请填写最后一笔贷方发生日期；
日期填写形式：2017-12-12</t>
        </r>
      </text>
    </commen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comments95.xml><?xml version="1.0" encoding="utf-8"?>
<comments xmlns="http://schemas.openxmlformats.org/spreadsheetml/2006/main">
  <authors>
    <author>chenjie</author>
    <author>超级管理员</author>
  </authors>
  <commentList>
    <comment ref="B7" authorId="0">
      <text>
        <r>
          <rPr>
            <sz val="9"/>
            <rFont val="宋体"/>
            <charset val="134"/>
          </rPr>
          <t>请填放款银行或机构全称</t>
        </r>
      </text>
    </comment>
    <comment ref="C7" authorId="0">
      <text>
        <r>
          <rPr>
            <sz val="9"/>
            <rFont val="宋体"/>
            <charset val="134"/>
          </rPr>
          <t>指借款合同规定的借款起始日，具体到日</t>
        </r>
      </text>
    </comment>
    <comment ref="D7" authorId="0">
      <text>
        <r>
          <rPr>
            <sz val="9"/>
            <rFont val="宋体"/>
            <charset val="134"/>
          </rPr>
          <t>指借款合同规定的到期日，具体到日</t>
        </r>
      </text>
    </comment>
    <comment ref="E7" authorId="0">
      <text>
        <r>
          <rPr>
            <sz val="9"/>
            <rFont val="宋体"/>
            <charset val="134"/>
          </rPr>
          <t>指借款合同规定的利率</t>
        </r>
      </text>
    </comment>
    <comment ref="F7" authorId="1">
      <text>
        <r>
          <rPr>
            <sz val="9"/>
            <rFont val="宋体"/>
            <charset val="134"/>
          </rPr>
          <t>抵押、质押、保证</t>
        </r>
      </text>
    </comment>
    <comment ref="H7" authorId="0">
      <text>
        <r>
          <rPr>
            <sz val="9"/>
            <rFont val="宋体"/>
            <charset val="134"/>
          </rPr>
          <t>评估基准日汇率为中间价</t>
        </r>
      </text>
    </comment>
    <comment ref="I7" authorId="0">
      <text>
        <r>
          <rPr>
            <sz val="9"/>
            <rFont val="宋体"/>
            <charset val="134"/>
          </rPr>
          <t xml:space="preserve">填写原币金额 </t>
        </r>
      </text>
    </comment>
  </commentList>
</comments>
</file>

<file path=xl/comments96.xml><?xml version="1.0" encoding="utf-8"?>
<comments xmlns="http://schemas.openxmlformats.org/spreadsheetml/2006/main">
  <authors>
    <author>chenjie</author>
  </authors>
  <commentList>
    <comment ref="H7" authorId="0">
      <text>
        <r>
          <rPr>
            <sz val="9"/>
            <rFont val="宋体"/>
            <charset val="134"/>
          </rPr>
          <t>评估基准日汇率为中间价</t>
        </r>
      </text>
    </comment>
    <comment ref="I7" authorId="0">
      <text>
        <r>
          <rPr>
            <sz val="9"/>
            <rFont val="宋体"/>
            <charset val="134"/>
          </rPr>
          <t xml:space="preserve">填写原币金额 </t>
        </r>
      </text>
    </comment>
  </commentList>
</comments>
</file>

<file path=xl/comments97.xml><?xml version="1.0" encoding="utf-8"?>
<comments xmlns="http://schemas.openxmlformats.org/spreadsheetml/2006/main">
  <authors>
    <author>chenjie</author>
  </authors>
  <commentList>
    <comment ref="L7" authorId="0">
      <text>
        <r>
          <rPr>
            <sz val="9"/>
            <rFont val="宋体"/>
            <charset val="134"/>
          </rPr>
          <t>评估基准日汇率为中间价</t>
        </r>
      </text>
    </comment>
    <comment ref="M7" authorId="0">
      <text>
        <r>
          <rPr>
            <sz val="9"/>
            <rFont val="宋体"/>
            <charset val="134"/>
          </rPr>
          <t xml:space="preserve">填写原币金额 </t>
        </r>
      </text>
    </comment>
  </commentList>
</comments>
</file>

<file path=xl/comments98.xml><?xml version="1.0" encoding="utf-8"?>
<comments xmlns="http://schemas.openxmlformats.org/spreadsheetml/2006/main">
  <authors>
    <author>sucheng</author>
    <author>chenjie</author>
  </authors>
  <commentList>
    <comment ref="I7" authorId="0">
      <text>
        <r>
          <rPr>
            <b/>
            <sz val="9"/>
            <rFont val="宋体"/>
            <charset val="134"/>
          </rPr>
          <t>sucheng:</t>
        </r>
        <r>
          <rPr>
            <sz val="9"/>
            <rFont val="宋体"/>
            <charset val="134"/>
          </rPr>
          <t xml:space="preserve">
合同规定的，于基准日尚未支付的余额</t>
        </r>
      </text>
    </comment>
    <comment ref="B8" authorId="1">
      <text>
        <r>
          <rPr>
            <b/>
            <sz val="9"/>
            <rFont val="宋体"/>
            <charset val="134"/>
          </rPr>
          <t>chenjie:</t>
        </r>
        <r>
          <rPr>
            <sz val="9"/>
            <rFont val="宋体"/>
            <charset val="134"/>
          </rPr>
          <t xml:space="preserve">
填列债权单位全称</t>
        </r>
      </text>
    </comment>
    <comment ref="C8" authorId="1">
      <text>
        <r>
          <rPr>
            <b/>
            <sz val="9"/>
            <rFont val="宋体"/>
            <charset val="134"/>
          </rPr>
          <t>chenjie:</t>
        </r>
        <r>
          <rPr>
            <sz val="9"/>
            <rFont val="宋体"/>
            <charset val="134"/>
          </rPr>
          <t xml:space="preserve">
按合同协议确定的开始计算应付款的日期，填列到日。</t>
        </r>
      </text>
    </comment>
    <comment ref="D8" authorId="1">
      <text>
        <r>
          <rPr>
            <b/>
            <sz val="9"/>
            <rFont val="宋体"/>
            <charset val="134"/>
          </rPr>
          <t>chenjie:</t>
        </r>
        <r>
          <rPr>
            <sz val="9"/>
            <rFont val="宋体"/>
            <charset val="134"/>
          </rPr>
          <t xml:space="preserve">
指应付款内容，如“引进</t>
        </r>
        <r>
          <rPr>
            <sz val="9"/>
            <rFont val="Times New Roman"/>
            <charset val="134"/>
          </rPr>
          <t>××</t>
        </r>
        <r>
          <rPr>
            <sz val="9"/>
            <rFont val="宋体"/>
            <charset val="134"/>
          </rPr>
          <t>设备款或融资租赁</t>
        </r>
        <r>
          <rPr>
            <sz val="9"/>
            <rFont val="Times New Roman"/>
            <charset val="134"/>
          </rPr>
          <t>××</t>
        </r>
        <r>
          <rPr>
            <sz val="9"/>
            <rFont val="宋体"/>
            <charset val="134"/>
          </rPr>
          <t>设备款”等；</t>
        </r>
      </text>
    </comment>
    <comment ref="F8" authorId="1">
      <text>
        <r>
          <rPr>
            <sz val="9"/>
            <rFont val="宋体"/>
            <charset val="134"/>
          </rPr>
          <t>评估基准日汇率为中间价</t>
        </r>
      </text>
    </comment>
    <comment ref="G8" authorId="1">
      <text>
        <r>
          <rPr>
            <sz val="9"/>
            <rFont val="宋体"/>
            <charset val="134"/>
          </rPr>
          <t xml:space="preserve">填写原币金额 </t>
        </r>
      </text>
    </comment>
    <comment ref="H8" authorId="1">
      <text>
        <r>
          <rPr>
            <sz val="9"/>
            <rFont val="宋体"/>
            <charset val="134"/>
          </rPr>
          <t xml:space="preserve">填写原币金额 </t>
        </r>
      </text>
    </comment>
    <comment ref="R8" authorId="1">
      <text>
        <r>
          <rPr>
            <b/>
            <sz val="9"/>
            <rFont val="宋体"/>
            <charset val="134"/>
          </rPr>
          <t>chenjie:</t>
        </r>
        <r>
          <rPr>
            <sz val="9"/>
            <rFont val="宋体"/>
            <charset val="134"/>
          </rPr>
          <t xml:space="preserve">
请注明帐面初始额的构成。</t>
        </r>
      </text>
    </comment>
  </commentList>
</comments>
</file>

<file path=xl/comments99.xml><?xml version="1.0" encoding="utf-8"?>
<comments xmlns="http://schemas.openxmlformats.org/spreadsheetml/2006/main">
  <authors>
    <author>chenjie</author>
  </authors>
  <commentList>
    <comment ref="F7" authorId="0">
      <text>
        <r>
          <rPr>
            <sz val="9"/>
            <rFont val="宋体"/>
            <charset val="134"/>
          </rPr>
          <t>评估基准日汇率为中间价</t>
        </r>
      </text>
    </comment>
    <comment ref="G7" authorId="0">
      <text>
        <r>
          <rPr>
            <sz val="9"/>
            <rFont val="宋体"/>
            <charset val="134"/>
          </rPr>
          <t xml:space="preserve">填写原币金额 </t>
        </r>
      </text>
    </comment>
  </commentList>
</comments>
</file>

<file path=xl/sharedStrings.xml><?xml version="1.0" encoding="utf-8"?>
<sst xmlns="http://schemas.openxmlformats.org/spreadsheetml/2006/main" count="19339" uniqueCount="5671">
  <si>
    <r>
      <rPr>
        <u/>
        <sz val="8"/>
        <color indexed="12"/>
        <rFont val="宋体"/>
        <charset val="134"/>
      </rPr>
      <t>索引页</t>
    </r>
  </si>
  <si>
    <r>
      <rPr>
        <b/>
        <sz val="24"/>
        <color indexed="12"/>
        <rFont val="宋体"/>
        <charset val="134"/>
      </rPr>
      <t>资</t>
    </r>
    <r>
      <rPr>
        <b/>
        <sz val="24"/>
        <color indexed="12"/>
        <rFont val="Times New Roman"/>
        <charset val="134"/>
      </rPr>
      <t xml:space="preserve"> </t>
    </r>
    <r>
      <rPr>
        <b/>
        <sz val="24"/>
        <color indexed="12"/>
        <rFont val="宋体"/>
        <charset val="134"/>
      </rPr>
      <t>产</t>
    </r>
    <r>
      <rPr>
        <b/>
        <sz val="24"/>
        <color indexed="12"/>
        <rFont val="Times New Roman"/>
        <charset val="134"/>
      </rPr>
      <t xml:space="preserve"> </t>
    </r>
    <r>
      <rPr>
        <b/>
        <sz val="24"/>
        <color indexed="12"/>
        <rFont val="宋体"/>
        <charset val="134"/>
      </rPr>
      <t>评</t>
    </r>
    <r>
      <rPr>
        <b/>
        <sz val="24"/>
        <color indexed="12"/>
        <rFont val="Times New Roman"/>
        <charset val="134"/>
      </rPr>
      <t xml:space="preserve"> </t>
    </r>
    <r>
      <rPr>
        <b/>
        <sz val="24"/>
        <color indexed="12"/>
        <rFont val="宋体"/>
        <charset val="134"/>
      </rPr>
      <t>估</t>
    </r>
    <r>
      <rPr>
        <b/>
        <sz val="24"/>
        <color indexed="12"/>
        <rFont val="Times New Roman"/>
        <charset val="134"/>
      </rPr>
      <t xml:space="preserve"> </t>
    </r>
    <r>
      <rPr>
        <b/>
        <sz val="24"/>
        <color indexed="12"/>
        <rFont val="宋体"/>
        <charset val="134"/>
      </rPr>
      <t>申</t>
    </r>
    <r>
      <rPr>
        <b/>
        <sz val="24"/>
        <color indexed="12"/>
        <rFont val="Times New Roman"/>
        <charset val="134"/>
      </rPr>
      <t xml:space="preserve"> </t>
    </r>
    <r>
      <rPr>
        <b/>
        <sz val="24"/>
        <color indexed="12"/>
        <rFont val="宋体"/>
        <charset val="134"/>
      </rPr>
      <t>报</t>
    </r>
    <r>
      <rPr>
        <b/>
        <sz val="24"/>
        <color indexed="12"/>
        <rFont val="Times New Roman"/>
        <charset val="134"/>
      </rPr>
      <t xml:space="preserve"> </t>
    </r>
    <r>
      <rPr>
        <b/>
        <sz val="24"/>
        <color indexed="12"/>
        <rFont val="宋体"/>
        <charset val="134"/>
      </rPr>
      <t>表</t>
    </r>
  </si>
  <si>
    <r>
      <rPr>
        <b/>
        <sz val="12"/>
        <color indexed="12"/>
        <rFont val="宋体"/>
        <charset val="134"/>
      </rPr>
      <t>企业填写以下内容</t>
    </r>
  </si>
  <si>
    <t>中煤第五建设有限公司</t>
  </si>
  <si>
    <r>
      <rPr>
        <sz val="10"/>
        <rFont val="宋体"/>
        <charset val="134"/>
      </rPr>
      <t>评估基准日：</t>
    </r>
  </si>
  <si>
    <t>2025</t>
  </si>
  <si>
    <r>
      <rPr>
        <sz val="10"/>
        <color indexed="12"/>
        <rFont val="宋体"/>
        <charset val="134"/>
      </rPr>
      <t>年</t>
    </r>
  </si>
  <si>
    <t>7</t>
  </si>
  <si>
    <r>
      <rPr>
        <sz val="10"/>
        <color indexed="12"/>
        <rFont val="宋体"/>
        <charset val="134"/>
      </rPr>
      <t>月</t>
    </r>
  </si>
  <si>
    <t>31</t>
  </si>
  <si>
    <r>
      <rPr>
        <sz val="10"/>
        <color indexed="12"/>
        <rFont val="宋体"/>
        <charset val="134"/>
      </rPr>
      <t>日</t>
    </r>
  </si>
  <si>
    <t>贾广东</t>
  </si>
  <si>
    <r>
      <rPr>
        <sz val="10"/>
        <rFont val="宋体"/>
        <charset val="134"/>
      </rPr>
      <t>填表日期：</t>
    </r>
  </si>
  <si>
    <t>9</t>
  </si>
  <si>
    <t>20</t>
  </si>
  <si>
    <r>
      <rPr>
        <b/>
        <sz val="12"/>
        <color indexed="12"/>
        <rFont val="宋体"/>
        <charset val="134"/>
      </rPr>
      <t>评估机构填写以下内容</t>
    </r>
  </si>
  <si>
    <r>
      <rPr>
        <sz val="10"/>
        <rFont val="宋体"/>
        <charset val="134"/>
      </rPr>
      <t>项目负责人：</t>
    </r>
  </si>
  <si>
    <r>
      <rPr>
        <sz val="10"/>
        <rFont val="宋体"/>
        <charset val="134"/>
      </rPr>
      <t>签字资产评估师：</t>
    </r>
  </si>
  <si>
    <r>
      <rPr>
        <sz val="10"/>
        <rFont val="宋体"/>
        <charset val="134"/>
      </rPr>
      <t>流动资产评估人员：</t>
    </r>
  </si>
  <si>
    <t>栗祥宁</t>
  </si>
  <si>
    <r>
      <rPr>
        <sz val="10"/>
        <rFont val="宋体"/>
        <charset val="134"/>
      </rPr>
      <t>长期投资评估人员：</t>
    </r>
  </si>
  <si>
    <r>
      <rPr>
        <sz val="10"/>
        <rFont val="宋体"/>
        <charset val="134"/>
      </rPr>
      <t>房</t>
    </r>
    <r>
      <rPr>
        <sz val="10"/>
        <rFont val="Times New Roman"/>
        <charset val="134"/>
      </rPr>
      <t xml:space="preserve">  </t>
    </r>
    <r>
      <rPr>
        <sz val="10"/>
        <rFont val="宋体"/>
        <charset val="134"/>
      </rPr>
      <t>屋</t>
    </r>
    <r>
      <rPr>
        <sz val="10"/>
        <rFont val="Times New Roman"/>
        <charset val="134"/>
      </rPr>
      <t xml:space="preserve">  </t>
    </r>
    <r>
      <rPr>
        <sz val="10"/>
        <rFont val="宋体"/>
        <charset val="134"/>
      </rPr>
      <t>类评估人员：</t>
    </r>
  </si>
  <si>
    <r>
      <rPr>
        <sz val="10"/>
        <rFont val="宋体"/>
        <charset val="134"/>
      </rPr>
      <t>设</t>
    </r>
    <r>
      <rPr>
        <sz val="10"/>
        <rFont val="Times New Roman"/>
        <charset val="134"/>
      </rPr>
      <t xml:space="preserve">  </t>
    </r>
    <r>
      <rPr>
        <sz val="10"/>
        <rFont val="宋体"/>
        <charset val="134"/>
      </rPr>
      <t>备</t>
    </r>
    <r>
      <rPr>
        <sz val="10"/>
        <rFont val="Times New Roman"/>
        <charset val="134"/>
      </rPr>
      <t xml:space="preserve">  </t>
    </r>
    <r>
      <rPr>
        <sz val="10"/>
        <rFont val="宋体"/>
        <charset val="134"/>
      </rPr>
      <t>类评估人员：</t>
    </r>
  </si>
  <si>
    <r>
      <rPr>
        <sz val="10"/>
        <rFont val="宋体"/>
        <charset val="134"/>
      </rPr>
      <t>土</t>
    </r>
    <r>
      <rPr>
        <sz val="10"/>
        <rFont val="Times New Roman"/>
        <charset val="134"/>
      </rPr>
      <t xml:space="preserve">        </t>
    </r>
    <r>
      <rPr>
        <sz val="10"/>
        <rFont val="宋体"/>
        <charset val="134"/>
      </rPr>
      <t>地评估人员：</t>
    </r>
  </si>
  <si>
    <r>
      <rPr>
        <sz val="10"/>
        <rFont val="宋体"/>
        <charset val="134"/>
      </rPr>
      <t>生物资产评估人员：</t>
    </r>
  </si>
  <si>
    <r>
      <rPr>
        <sz val="10"/>
        <rFont val="宋体"/>
        <charset val="134"/>
      </rPr>
      <t>油气资产评估人员：</t>
    </r>
  </si>
  <si>
    <r>
      <rPr>
        <sz val="10"/>
        <rFont val="宋体"/>
        <charset val="134"/>
      </rPr>
      <t>其他无形评估人员：</t>
    </r>
  </si>
  <si>
    <r>
      <rPr>
        <sz val="10"/>
        <rFont val="宋体"/>
        <charset val="134"/>
      </rPr>
      <t>其他资产评估人员：</t>
    </r>
  </si>
  <si>
    <r>
      <rPr>
        <sz val="10"/>
        <rFont val="宋体"/>
        <charset val="134"/>
      </rPr>
      <t>负</t>
    </r>
    <r>
      <rPr>
        <sz val="10"/>
        <rFont val="Times New Roman"/>
        <charset val="134"/>
      </rPr>
      <t xml:space="preserve">    </t>
    </r>
    <r>
      <rPr>
        <sz val="10"/>
        <rFont val="宋体"/>
        <charset val="134"/>
      </rPr>
      <t>债类评估人员：</t>
    </r>
  </si>
  <si>
    <t>资产评估申报表索引目录</t>
  </si>
  <si>
    <t>评估申报表封面</t>
  </si>
  <si>
    <t>评估申报表说明（填表前请先阅读）</t>
  </si>
  <si>
    <t>基本情况表</t>
  </si>
  <si>
    <t>资产负债表</t>
  </si>
  <si>
    <t>汇总表</t>
  </si>
  <si>
    <t>分类汇总表</t>
  </si>
  <si>
    <t>流动资产</t>
  </si>
  <si>
    <t>货币资金</t>
  </si>
  <si>
    <t>现金</t>
  </si>
  <si>
    <t>流动负债</t>
  </si>
  <si>
    <t>短期借款</t>
  </si>
  <si>
    <t>银行存款</t>
  </si>
  <si>
    <t>交易性金融负债</t>
  </si>
  <si>
    <t>其他货币资金</t>
  </si>
  <si>
    <t>应付票据</t>
  </si>
  <si>
    <t>交易性金融资产</t>
  </si>
  <si>
    <t>股票投资</t>
  </si>
  <si>
    <t>应付账款</t>
  </si>
  <si>
    <t>债券投资</t>
  </si>
  <si>
    <t>预收款项</t>
  </si>
  <si>
    <t>基金投资</t>
  </si>
  <si>
    <t>应付职工薪酬</t>
  </si>
  <si>
    <t>应收票据</t>
  </si>
  <si>
    <t>应交税费</t>
  </si>
  <si>
    <t>应收账款</t>
  </si>
  <si>
    <t>应付利息</t>
  </si>
  <si>
    <t>预付账款</t>
  </si>
  <si>
    <t>应付股利（应付利润）</t>
  </si>
  <si>
    <t>应收利息</t>
  </si>
  <si>
    <t>其他应付款</t>
  </si>
  <si>
    <t>应收股利</t>
  </si>
  <si>
    <t>一年内到期的非流动负债</t>
  </si>
  <si>
    <t>其他应收款</t>
  </si>
  <si>
    <t>其他流动负债</t>
  </si>
  <si>
    <t>存货</t>
  </si>
  <si>
    <t>材料采购（在途物资）</t>
  </si>
  <si>
    <t>原材料</t>
  </si>
  <si>
    <t>在库周转材料</t>
  </si>
  <si>
    <t>非流动负债</t>
  </si>
  <si>
    <t>长期借款</t>
  </si>
  <si>
    <t>委托加工物资</t>
  </si>
  <si>
    <t>应付债券</t>
  </si>
  <si>
    <t>产成品（库存商品）</t>
  </si>
  <si>
    <t>长期应付款</t>
  </si>
  <si>
    <t>在产品（自制半成品）</t>
  </si>
  <si>
    <t>专项应付款</t>
  </si>
  <si>
    <t>发出商品</t>
  </si>
  <si>
    <t>预计负债</t>
  </si>
  <si>
    <t>在用周转材料</t>
  </si>
  <si>
    <t>递延所得税负债</t>
  </si>
  <si>
    <t>一年到期非流动资产</t>
  </si>
  <si>
    <t>其他非流动负债</t>
  </si>
  <si>
    <t>其他流动资产</t>
  </si>
  <si>
    <t>长期投资</t>
  </si>
  <si>
    <t>可供出售金融资产</t>
  </si>
  <si>
    <t>其他投资</t>
  </si>
  <si>
    <t>持有至到期投资</t>
  </si>
  <si>
    <t>长期应收款</t>
  </si>
  <si>
    <t>长期股权投资</t>
  </si>
  <si>
    <t>投资性房地产</t>
  </si>
  <si>
    <t>固定资产</t>
  </si>
  <si>
    <t>房屋建筑物</t>
  </si>
  <si>
    <t>构筑物及其他辅助设施</t>
  </si>
  <si>
    <t>管道及沟槽</t>
  </si>
  <si>
    <t>机器设备</t>
  </si>
  <si>
    <t>车辆</t>
  </si>
  <si>
    <t>电子设备</t>
  </si>
  <si>
    <t>土地</t>
  </si>
  <si>
    <t>在建工程</t>
  </si>
  <si>
    <t>在建工程-土建工程</t>
  </si>
  <si>
    <t>在建工程-设备安装工程</t>
  </si>
  <si>
    <t>工程物资</t>
  </si>
  <si>
    <t>固定资产清理</t>
  </si>
  <si>
    <t>生产性生物资产</t>
  </si>
  <si>
    <t>油气资产</t>
  </si>
  <si>
    <t>无形资产</t>
  </si>
  <si>
    <t>土地使用权</t>
  </si>
  <si>
    <t>其他无形资产</t>
  </si>
  <si>
    <t>开发支出</t>
  </si>
  <si>
    <t>商誉</t>
  </si>
  <si>
    <t>其他资产</t>
  </si>
  <si>
    <t>长期待摊费用</t>
  </si>
  <si>
    <t>递延所得税资产</t>
  </si>
  <si>
    <t>其他非流动资产</t>
  </si>
  <si>
    <r>
      <rPr>
        <sz val="11"/>
        <rFont val="宋体"/>
        <charset val="134"/>
      </rPr>
      <t>项目</t>
    </r>
  </si>
  <si>
    <r>
      <rPr>
        <sz val="11"/>
        <rFont val="宋体"/>
        <charset val="134"/>
      </rPr>
      <t>内容</t>
    </r>
    <r>
      <rPr>
        <sz val="11"/>
        <rFont val="Times New Roman"/>
        <charset val="134"/>
      </rPr>
      <t>1</t>
    </r>
  </si>
  <si>
    <r>
      <rPr>
        <sz val="11"/>
        <rFont val="宋体"/>
        <charset val="134"/>
      </rPr>
      <t>内容</t>
    </r>
    <r>
      <rPr>
        <sz val="11"/>
        <rFont val="Times New Roman"/>
        <charset val="134"/>
      </rPr>
      <t>2</t>
    </r>
  </si>
  <si>
    <r>
      <rPr>
        <sz val="11"/>
        <rFont val="宋体"/>
        <charset val="134"/>
      </rPr>
      <t>内容</t>
    </r>
    <r>
      <rPr>
        <sz val="11"/>
        <rFont val="Times New Roman"/>
        <charset val="134"/>
      </rPr>
      <t>3</t>
    </r>
  </si>
  <si>
    <r>
      <rPr>
        <sz val="11"/>
        <rFont val="宋体"/>
        <charset val="134"/>
      </rPr>
      <t>币种</t>
    </r>
  </si>
  <si>
    <r>
      <rPr>
        <sz val="11"/>
        <rFont val="宋体"/>
        <charset val="134"/>
      </rPr>
      <t>汇率</t>
    </r>
  </si>
  <si>
    <r>
      <rPr>
        <sz val="11"/>
        <rFont val="宋体"/>
        <charset val="134"/>
      </rPr>
      <t>内容</t>
    </r>
  </si>
  <si>
    <r>
      <rPr>
        <sz val="11"/>
        <color theme="1"/>
        <rFont val="宋体"/>
        <charset val="134"/>
      </rPr>
      <t>最后一年描述</t>
    </r>
  </si>
  <si>
    <r>
      <rPr>
        <sz val="11"/>
        <rFont val="宋体"/>
        <charset val="134"/>
      </rPr>
      <t>年限区间</t>
    </r>
  </si>
  <si>
    <r>
      <rPr>
        <sz val="11"/>
        <rFont val="宋体"/>
        <charset val="134"/>
      </rPr>
      <t>开始年限</t>
    </r>
  </si>
  <si>
    <r>
      <rPr>
        <sz val="11"/>
        <rFont val="宋体"/>
        <charset val="134"/>
      </rPr>
      <t>结束年限</t>
    </r>
  </si>
  <si>
    <r>
      <rPr>
        <sz val="11"/>
        <rFont val="宋体"/>
        <charset val="134"/>
      </rPr>
      <t>注意：补充特殊事项、作价等均从</t>
    </r>
    <r>
      <rPr>
        <sz val="11"/>
        <rFont val="Times New Roman"/>
        <charset val="134"/>
      </rPr>
      <t>BA</t>
    </r>
    <r>
      <rPr>
        <sz val="11"/>
        <rFont val="宋体"/>
        <charset val="134"/>
      </rPr>
      <t>列开始填写</t>
    </r>
  </si>
  <si>
    <r>
      <rPr>
        <sz val="11"/>
        <rFont val="宋体"/>
        <charset val="134"/>
      </rPr>
      <t>是否显示评估值：</t>
    </r>
  </si>
  <si>
    <t>是</t>
  </si>
  <si>
    <t>委托人：</t>
  </si>
  <si>
    <r>
      <rPr>
        <sz val="11"/>
        <rFont val="Times New Roman"/>
        <charset val="134"/>
      </rPr>
      <t>DEF</t>
    </r>
    <r>
      <rPr>
        <sz val="11"/>
        <rFont val="宋体"/>
        <charset val="134"/>
      </rPr>
      <t>公司</t>
    </r>
  </si>
  <si>
    <r>
      <rPr>
        <sz val="11"/>
        <rFont val="宋体"/>
        <charset val="134"/>
      </rPr>
      <t>人民币</t>
    </r>
  </si>
  <si>
    <r>
      <rPr>
        <sz val="11"/>
        <color theme="1"/>
        <rFont val="宋体"/>
        <charset val="134"/>
      </rPr>
      <t>预测年限</t>
    </r>
  </si>
  <si>
    <r>
      <rPr>
        <sz val="11"/>
        <rFont val="宋体"/>
        <charset val="134"/>
      </rPr>
      <t>资产负债表历史年度区间</t>
    </r>
  </si>
  <si>
    <r>
      <rPr>
        <sz val="11"/>
        <rFont val="宋体"/>
        <charset val="134"/>
      </rPr>
      <t>评估基准日：</t>
    </r>
  </si>
  <si>
    <r>
      <rPr>
        <sz val="11"/>
        <rFont val="宋体"/>
        <charset val="134"/>
      </rPr>
      <t>评估报告名称：</t>
    </r>
  </si>
  <si>
    <r>
      <rPr>
        <sz val="11"/>
        <rFont val="Times New Roman"/>
        <charset val="134"/>
      </rPr>
      <t>ACB</t>
    </r>
    <r>
      <rPr>
        <sz val="11"/>
        <rFont val="宋体"/>
        <charset val="134"/>
      </rPr>
      <t>公司拟收购</t>
    </r>
    <r>
      <rPr>
        <sz val="11"/>
        <rFont val="Times New Roman"/>
        <charset val="134"/>
      </rPr>
      <t>BBA</t>
    </r>
    <r>
      <rPr>
        <sz val="11"/>
        <rFont val="宋体"/>
        <charset val="134"/>
      </rPr>
      <t>公司股权</t>
    </r>
  </si>
  <si>
    <r>
      <rPr>
        <sz val="11"/>
        <rFont val="宋体"/>
        <charset val="134"/>
      </rPr>
      <t>美元</t>
    </r>
  </si>
  <si>
    <r>
      <rPr>
        <sz val="11"/>
        <color theme="1"/>
        <rFont val="宋体"/>
        <charset val="134"/>
      </rPr>
      <t>最后一年是否永续</t>
    </r>
  </si>
  <si>
    <r>
      <rPr>
        <sz val="11"/>
        <color theme="1"/>
        <rFont val="宋体"/>
        <charset val="134"/>
      </rPr>
      <t>当年剩余月份</t>
    </r>
  </si>
  <si>
    <r>
      <rPr>
        <sz val="11"/>
        <rFont val="宋体"/>
        <charset val="134"/>
      </rPr>
      <t>利润表历史年度区间</t>
    </r>
  </si>
  <si>
    <r>
      <rPr>
        <sz val="11"/>
        <rFont val="宋体"/>
        <charset val="134"/>
      </rPr>
      <t>是否为高新技术企业：</t>
    </r>
  </si>
  <si>
    <r>
      <rPr>
        <sz val="11"/>
        <rFont val="宋体"/>
        <charset val="134"/>
      </rPr>
      <t>是</t>
    </r>
  </si>
  <si>
    <t>审计事项：</t>
  </si>
  <si>
    <r>
      <rPr>
        <sz val="11"/>
        <rFont val="Times New Roman"/>
        <charset val="134"/>
      </rPr>
      <t>XXX</t>
    </r>
    <r>
      <rPr>
        <sz val="11"/>
        <rFont val="宋体"/>
        <charset val="134"/>
      </rPr>
      <t>会计师事务所</t>
    </r>
  </si>
  <si>
    <r>
      <rPr>
        <sz val="11"/>
        <rFont val="Times New Roman"/>
        <charset val="134"/>
      </rPr>
      <t>XXXX[2018]XXX</t>
    </r>
    <r>
      <rPr>
        <sz val="11"/>
        <rFont val="宋体"/>
        <charset val="134"/>
      </rPr>
      <t>号</t>
    </r>
  </si>
  <si>
    <t>标准无保留意见</t>
  </si>
  <si>
    <r>
      <rPr>
        <sz val="11"/>
        <rFont val="宋体"/>
        <charset val="134"/>
      </rPr>
      <t>欧元</t>
    </r>
  </si>
  <si>
    <r>
      <rPr>
        <sz val="11"/>
        <color theme="1"/>
        <rFont val="宋体"/>
        <charset val="134"/>
      </rPr>
      <t>最后一年月份</t>
    </r>
  </si>
  <si>
    <r>
      <rPr>
        <sz val="11"/>
        <rFont val="宋体"/>
        <charset val="134"/>
      </rPr>
      <t>预测年度区间</t>
    </r>
  </si>
  <si>
    <r>
      <rPr>
        <sz val="11"/>
        <rFont val="宋体"/>
        <charset val="134"/>
      </rPr>
      <t>出报告时间：</t>
    </r>
  </si>
  <si>
    <r>
      <rPr>
        <sz val="11"/>
        <rFont val="宋体"/>
        <charset val="134"/>
      </rPr>
      <t>日元</t>
    </r>
  </si>
  <si>
    <r>
      <rPr>
        <sz val="11"/>
        <rFont val="宋体"/>
        <charset val="134"/>
      </rPr>
      <t>评估范围：</t>
    </r>
  </si>
  <si>
    <t>股东全部权益价值</t>
  </si>
  <si>
    <r>
      <rPr>
        <sz val="11"/>
        <rFont val="宋体"/>
        <charset val="134"/>
      </rPr>
      <t>港元</t>
    </r>
  </si>
  <si>
    <r>
      <rPr>
        <sz val="11"/>
        <rFont val="宋体"/>
        <charset val="134"/>
      </rPr>
      <t>历史年度</t>
    </r>
  </si>
  <si>
    <r>
      <rPr>
        <sz val="11"/>
        <rFont val="宋体"/>
        <charset val="134"/>
      </rPr>
      <t>填表日期：</t>
    </r>
  </si>
  <si>
    <r>
      <rPr>
        <sz val="11"/>
        <rFont val="宋体"/>
        <charset val="134"/>
      </rPr>
      <t>报告到期日：</t>
    </r>
  </si>
  <si>
    <r>
      <rPr>
        <sz val="11"/>
        <rFont val="宋体"/>
        <charset val="134"/>
      </rPr>
      <t>英镑</t>
    </r>
  </si>
  <si>
    <r>
      <rPr>
        <sz val="11"/>
        <rFont val="宋体"/>
        <charset val="134"/>
      </rPr>
      <t>第</t>
    </r>
    <r>
      <rPr>
        <sz val="11"/>
        <rFont val="Times New Roman"/>
        <charset val="134"/>
      </rPr>
      <t>1</t>
    </r>
    <r>
      <rPr>
        <sz val="11"/>
        <rFont val="宋体"/>
        <charset val="134"/>
      </rPr>
      <t>年</t>
    </r>
  </si>
  <si>
    <r>
      <rPr>
        <sz val="11"/>
        <rFont val="宋体"/>
        <charset val="134"/>
      </rPr>
      <t>今天日期：</t>
    </r>
  </si>
  <si>
    <t>市场法评估值</t>
  </si>
  <si>
    <t>万元</t>
  </si>
  <si>
    <r>
      <rPr>
        <sz val="11"/>
        <rFont val="宋体"/>
        <charset val="134"/>
      </rPr>
      <t>澳大利亚元</t>
    </r>
  </si>
  <si>
    <r>
      <rPr>
        <sz val="11"/>
        <rFont val="宋体"/>
        <charset val="134"/>
      </rPr>
      <t>资产负债表历史年度</t>
    </r>
  </si>
  <si>
    <r>
      <rPr>
        <sz val="11"/>
        <rFont val="宋体"/>
        <charset val="134"/>
      </rPr>
      <t>距离到期日：</t>
    </r>
  </si>
  <si>
    <r>
      <rPr>
        <sz val="11"/>
        <rFont val="宋体"/>
        <charset val="134"/>
      </rPr>
      <t>对接日期</t>
    </r>
  </si>
  <si>
    <r>
      <rPr>
        <sz val="11"/>
        <rFont val="宋体"/>
        <charset val="134"/>
      </rPr>
      <t>新西兰元</t>
    </r>
  </si>
  <si>
    <r>
      <rPr>
        <sz val="11"/>
        <rFont val="宋体"/>
        <charset val="134"/>
      </rPr>
      <t>利润表历史年度</t>
    </r>
  </si>
  <si>
    <r>
      <rPr>
        <sz val="11"/>
        <rFont val="宋体"/>
        <charset val="134"/>
      </rPr>
      <t>当年剩余月份：</t>
    </r>
  </si>
  <si>
    <t>评估方法</t>
  </si>
  <si>
    <t>资产基础法、收益法</t>
  </si>
  <si>
    <t>取值方法</t>
  </si>
  <si>
    <t>收益法</t>
  </si>
  <si>
    <r>
      <rPr>
        <sz val="11"/>
        <rFont val="宋体"/>
        <charset val="134"/>
      </rPr>
      <t>新加坡元</t>
    </r>
  </si>
  <si>
    <t>年限</t>
  </si>
  <si>
    <r>
      <rPr>
        <sz val="11"/>
        <rFont val="宋体"/>
        <charset val="134"/>
      </rPr>
      <t>评估报告号：</t>
    </r>
  </si>
  <si>
    <r>
      <rPr>
        <sz val="11"/>
        <rFont val="宋体"/>
        <charset val="134"/>
      </rPr>
      <t>报告年限</t>
    </r>
  </si>
  <si>
    <r>
      <rPr>
        <sz val="11"/>
        <rFont val="宋体"/>
        <charset val="134"/>
      </rPr>
      <t>报告编号</t>
    </r>
  </si>
  <si>
    <r>
      <rPr>
        <sz val="11"/>
        <rFont val="宋体"/>
        <charset val="134"/>
      </rPr>
      <t>法郎</t>
    </r>
  </si>
  <si>
    <r>
      <rPr>
        <sz val="11"/>
        <rFont val="宋体"/>
        <charset val="134"/>
      </rPr>
      <t>加拿大元</t>
    </r>
  </si>
  <si>
    <r>
      <rPr>
        <sz val="11"/>
        <rFont val="宋体"/>
        <charset val="134"/>
      </rPr>
      <t>未来年度</t>
    </r>
  </si>
  <si>
    <r>
      <rPr>
        <sz val="11"/>
        <rFont val="宋体"/>
        <charset val="134"/>
      </rPr>
      <t>年限</t>
    </r>
  </si>
  <si>
    <r>
      <rPr>
        <sz val="11"/>
        <rFont val="宋体"/>
        <charset val="134"/>
      </rPr>
      <t>贷款利率</t>
    </r>
  </si>
  <si>
    <r>
      <rPr>
        <sz val="11"/>
        <rFont val="宋体"/>
        <charset val="134"/>
      </rPr>
      <t>名称</t>
    </r>
  </si>
  <si>
    <r>
      <rPr>
        <sz val="11"/>
        <rFont val="宋体"/>
        <charset val="134"/>
      </rPr>
      <t>税率</t>
    </r>
  </si>
  <si>
    <r>
      <rPr>
        <sz val="11"/>
        <rFont val="宋体"/>
        <charset val="134"/>
      </rPr>
      <t>林吉特</t>
    </r>
  </si>
  <si>
    <r>
      <rPr>
        <sz val="11"/>
        <rFont val="宋体"/>
        <charset val="134"/>
      </rPr>
      <t>材料增值税率</t>
    </r>
  </si>
  <si>
    <r>
      <rPr>
        <sz val="11"/>
        <rFont val="宋体"/>
        <charset val="134"/>
      </rPr>
      <t>卢布</t>
    </r>
  </si>
  <si>
    <r>
      <rPr>
        <sz val="11"/>
        <rFont val="宋体"/>
        <charset val="134"/>
      </rPr>
      <t>预测年度</t>
    </r>
  </si>
  <si>
    <r>
      <rPr>
        <sz val="11"/>
        <rFont val="宋体"/>
        <charset val="134"/>
      </rPr>
      <t>土建增值税率</t>
    </r>
  </si>
  <si>
    <r>
      <rPr>
        <sz val="11"/>
        <rFont val="宋体"/>
        <charset val="134"/>
      </rPr>
      <t>兰特</t>
    </r>
  </si>
  <si>
    <r>
      <rPr>
        <sz val="11"/>
        <rFont val="宋体"/>
        <charset val="134"/>
      </rPr>
      <t>设备增值税率</t>
    </r>
  </si>
  <si>
    <r>
      <rPr>
        <sz val="11"/>
        <rFont val="宋体"/>
        <charset val="134"/>
      </rPr>
      <t>韩元</t>
    </r>
  </si>
  <si>
    <t>折旧方式</t>
  </si>
  <si>
    <t>支出方式</t>
  </si>
  <si>
    <r>
      <rPr>
        <sz val="11"/>
        <rFont val="宋体"/>
        <charset val="134"/>
      </rPr>
      <t>运费增值税率</t>
    </r>
  </si>
  <si>
    <r>
      <rPr>
        <sz val="11"/>
        <rFont val="宋体"/>
        <charset val="134"/>
      </rPr>
      <t>阿联酋迪拉姆</t>
    </r>
  </si>
  <si>
    <t>折旧等于更新支出</t>
  </si>
  <si>
    <t>更新支出等于折旧</t>
  </si>
  <si>
    <r>
      <rPr>
        <sz val="11"/>
        <rFont val="宋体"/>
        <charset val="134"/>
      </rPr>
      <t>安装调试增值税率</t>
    </r>
  </si>
  <si>
    <r>
      <rPr>
        <sz val="11"/>
        <rFont val="宋体"/>
        <charset val="134"/>
      </rPr>
      <t>沙特里亚尔</t>
    </r>
  </si>
  <si>
    <t>年金化折旧</t>
  </si>
  <si>
    <t>年金化更新支出</t>
  </si>
  <si>
    <r>
      <rPr>
        <sz val="11"/>
        <rFont val="宋体"/>
        <charset val="134"/>
      </rPr>
      <t>前期费增值税率</t>
    </r>
  </si>
  <si>
    <r>
      <rPr>
        <sz val="11"/>
        <rFont val="宋体"/>
        <charset val="134"/>
      </rPr>
      <t>匈牙利福林</t>
    </r>
  </si>
  <si>
    <t>明确折旧</t>
  </si>
  <si>
    <t>详细计算更新支出</t>
  </si>
  <si>
    <r>
      <rPr>
        <sz val="11"/>
        <rFont val="宋体"/>
        <charset val="134"/>
      </rPr>
      <t>平均值</t>
    </r>
  </si>
  <si>
    <r>
      <rPr>
        <sz val="11"/>
        <rFont val="宋体"/>
        <charset val="134"/>
      </rPr>
      <t>波兰兹罗提</t>
    </r>
  </si>
  <si>
    <r>
      <rPr>
        <sz val="11"/>
        <rFont val="宋体"/>
        <charset val="134"/>
      </rPr>
      <t>丹麦克朗</t>
    </r>
  </si>
  <si>
    <r>
      <rPr>
        <sz val="11"/>
        <rFont val="宋体"/>
        <charset val="134"/>
      </rPr>
      <t>数据</t>
    </r>
  </si>
  <si>
    <r>
      <rPr>
        <sz val="11"/>
        <rFont val="宋体"/>
        <charset val="134"/>
      </rPr>
      <t>瑞典克朗</t>
    </r>
  </si>
  <si>
    <r>
      <rPr>
        <sz val="11"/>
        <rFont val="Times New Roman"/>
        <charset val="134"/>
      </rPr>
      <t>1</t>
    </r>
    <r>
      <rPr>
        <sz val="11"/>
        <rFont val="宋体"/>
        <charset val="134"/>
      </rPr>
      <t>年期</t>
    </r>
    <r>
      <rPr>
        <sz val="11"/>
        <rFont val="Times New Roman"/>
        <charset val="134"/>
      </rPr>
      <t>LPR</t>
    </r>
  </si>
  <si>
    <r>
      <rPr>
        <sz val="11"/>
        <rFont val="Times New Roman"/>
        <charset val="134"/>
      </rPr>
      <t>5</t>
    </r>
    <r>
      <rPr>
        <sz val="11"/>
        <rFont val="宋体"/>
        <charset val="134"/>
      </rPr>
      <t>年期国债收益率</t>
    </r>
  </si>
  <si>
    <r>
      <rPr>
        <sz val="11"/>
        <rFont val="宋体"/>
        <charset val="134"/>
      </rPr>
      <t>挪威克朗</t>
    </r>
  </si>
  <si>
    <r>
      <rPr>
        <sz val="11"/>
        <rFont val="Times New Roman"/>
        <charset val="134"/>
      </rPr>
      <t>5</t>
    </r>
    <r>
      <rPr>
        <sz val="11"/>
        <rFont val="宋体"/>
        <charset val="134"/>
      </rPr>
      <t>年期以上</t>
    </r>
    <r>
      <rPr>
        <sz val="11"/>
        <rFont val="Times New Roman"/>
        <charset val="134"/>
      </rPr>
      <t>LPR</t>
    </r>
  </si>
  <si>
    <r>
      <rPr>
        <sz val="11"/>
        <rFont val="Times New Roman"/>
        <charset val="134"/>
      </rPr>
      <t>10</t>
    </r>
    <r>
      <rPr>
        <sz val="11"/>
        <rFont val="宋体"/>
        <charset val="134"/>
      </rPr>
      <t>年期国债收益率</t>
    </r>
  </si>
  <si>
    <r>
      <rPr>
        <sz val="11"/>
        <rFont val="宋体"/>
        <charset val="134"/>
      </rPr>
      <t>里拉</t>
    </r>
  </si>
  <si>
    <r>
      <rPr>
        <sz val="11"/>
        <rFont val="Times New Roman"/>
        <charset val="134"/>
      </rPr>
      <t>30</t>
    </r>
    <r>
      <rPr>
        <sz val="11"/>
        <rFont val="宋体"/>
        <charset val="134"/>
      </rPr>
      <t>年期国债收益率</t>
    </r>
  </si>
  <si>
    <r>
      <rPr>
        <sz val="11"/>
        <rFont val="宋体"/>
        <charset val="134"/>
      </rPr>
      <t>比索</t>
    </r>
  </si>
  <si>
    <r>
      <rPr>
        <sz val="11"/>
        <rFont val="Times New Roman"/>
        <charset val="134"/>
      </rPr>
      <t>5-10</t>
    </r>
    <r>
      <rPr>
        <sz val="11"/>
        <rFont val="宋体"/>
        <charset val="134"/>
      </rPr>
      <t>年国债到期收益率</t>
    </r>
  </si>
  <si>
    <r>
      <rPr>
        <sz val="11"/>
        <rFont val="宋体"/>
        <charset val="134"/>
      </rPr>
      <t>泰铢</t>
    </r>
  </si>
  <si>
    <r>
      <rPr>
        <sz val="11"/>
        <rFont val="宋体"/>
        <charset val="134"/>
      </rPr>
      <t>市场风险溢价</t>
    </r>
  </si>
  <si>
    <r>
      <rPr>
        <sz val="11"/>
        <rFont val="Times New Roman"/>
        <charset val="134"/>
      </rPr>
      <t>10</t>
    </r>
    <r>
      <rPr>
        <sz val="11"/>
        <rFont val="宋体"/>
        <charset val="134"/>
      </rPr>
      <t>年以上国债到期收益率</t>
    </r>
  </si>
  <si>
    <t>选用基础法</t>
  </si>
  <si>
    <t>选用收益法</t>
  </si>
  <si>
    <t>选用市场法</t>
  </si>
  <si>
    <t>资产基础法</t>
  </si>
  <si>
    <t>否</t>
  </si>
  <si>
    <t>成本法</t>
  </si>
  <si>
    <t>市场法</t>
  </si>
  <si>
    <t>资产基础法、市场法</t>
  </si>
  <si>
    <t>收益法、市场法</t>
  </si>
  <si>
    <r>
      <rPr>
        <u/>
        <sz val="10"/>
        <color indexed="12"/>
        <rFont val="宋体"/>
        <charset val="134"/>
      </rPr>
      <t>返回索引页</t>
    </r>
  </si>
  <si>
    <r>
      <rPr>
        <b/>
        <sz val="16"/>
        <rFont val="宋体"/>
        <charset val="134"/>
      </rPr>
      <t>基本情况表</t>
    </r>
  </si>
  <si>
    <r>
      <rPr>
        <b/>
        <sz val="10"/>
        <color indexed="10"/>
        <rFont val="宋体"/>
        <charset val="134"/>
      </rPr>
      <t>企业填写以下内容</t>
    </r>
    <r>
      <rPr>
        <b/>
        <sz val="10"/>
        <color indexed="10"/>
        <rFont val="Times New Roman"/>
        <charset val="134"/>
      </rPr>
      <t>:</t>
    </r>
  </si>
  <si>
    <r>
      <rPr>
        <sz val="10"/>
        <rFont val="宋体"/>
        <charset val="134"/>
      </rPr>
      <t>金额单位：人民币元</t>
    </r>
  </si>
  <si>
    <r>
      <rPr>
        <b/>
        <sz val="10"/>
        <rFont val="宋体"/>
        <charset val="134"/>
      </rPr>
      <t>资产占有单位名称</t>
    </r>
    <r>
      <rPr>
        <b/>
        <sz val="10"/>
        <rFont val="Times New Roman"/>
        <charset val="134"/>
      </rPr>
      <t>:</t>
    </r>
  </si>
  <si>
    <r>
      <rPr>
        <b/>
        <sz val="10"/>
        <rFont val="宋体"/>
        <charset val="134"/>
      </rPr>
      <t>中文</t>
    </r>
  </si>
  <si>
    <r>
      <rPr>
        <b/>
        <sz val="10"/>
        <rFont val="宋体"/>
        <charset val="134"/>
      </rPr>
      <t>法定代表人</t>
    </r>
  </si>
  <si>
    <r>
      <rPr>
        <b/>
        <sz val="10"/>
        <rFont val="宋体"/>
        <charset val="134"/>
      </rPr>
      <t>手机</t>
    </r>
  </si>
  <si>
    <r>
      <rPr>
        <b/>
        <sz val="10"/>
        <rFont val="宋体"/>
        <charset val="134"/>
      </rPr>
      <t>英文</t>
    </r>
  </si>
  <si>
    <r>
      <rPr>
        <b/>
        <sz val="10"/>
        <rFont val="宋体"/>
        <charset val="134"/>
      </rPr>
      <t>法定地址</t>
    </r>
  </si>
  <si>
    <r>
      <rPr>
        <b/>
        <sz val="10"/>
        <rFont val="宋体"/>
        <charset val="134"/>
      </rPr>
      <t>邮政编码</t>
    </r>
  </si>
  <si>
    <r>
      <rPr>
        <b/>
        <sz val="10"/>
        <rFont val="宋体"/>
        <charset val="134"/>
      </rPr>
      <t>总经理</t>
    </r>
  </si>
  <si>
    <r>
      <rPr>
        <b/>
        <sz val="10"/>
        <rFont val="宋体"/>
        <charset val="134"/>
      </rPr>
      <t>办公地址</t>
    </r>
  </si>
  <si>
    <r>
      <rPr>
        <b/>
        <sz val="10"/>
        <rFont val="宋体"/>
        <charset val="134"/>
      </rPr>
      <t>财务负责人</t>
    </r>
  </si>
  <si>
    <r>
      <rPr>
        <b/>
        <sz val="10"/>
        <rFont val="宋体"/>
        <charset val="134"/>
      </rPr>
      <t>办公电话</t>
    </r>
  </si>
  <si>
    <r>
      <rPr>
        <b/>
        <sz val="10"/>
        <rFont val="宋体"/>
        <charset val="134"/>
      </rPr>
      <t>传真</t>
    </r>
  </si>
  <si>
    <t>E-mail</t>
  </si>
  <si>
    <r>
      <rPr>
        <b/>
        <sz val="10"/>
        <rFont val="宋体"/>
        <charset val="134"/>
      </rPr>
      <t>项目联系人</t>
    </r>
  </si>
  <si>
    <r>
      <rPr>
        <b/>
        <sz val="10"/>
        <rFont val="宋体"/>
        <charset val="134"/>
      </rPr>
      <t>经营范围</t>
    </r>
  </si>
  <si>
    <r>
      <rPr>
        <b/>
        <sz val="10"/>
        <rFont val="宋体"/>
        <charset val="134"/>
      </rPr>
      <t>注册日期</t>
    </r>
  </si>
  <si>
    <r>
      <rPr>
        <b/>
        <sz val="10"/>
        <rFont val="宋体"/>
        <charset val="134"/>
      </rPr>
      <t>经营期限</t>
    </r>
  </si>
  <si>
    <r>
      <rPr>
        <b/>
        <sz val="10"/>
        <rFont val="宋体"/>
        <charset val="134"/>
      </rPr>
      <t>经济性质</t>
    </r>
  </si>
  <si>
    <r>
      <rPr>
        <b/>
        <sz val="10"/>
        <rFont val="宋体"/>
        <charset val="134"/>
      </rPr>
      <t>总资产额</t>
    </r>
  </si>
  <si>
    <r>
      <rPr>
        <b/>
        <sz val="10"/>
        <rFont val="宋体"/>
        <charset val="134"/>
      </rPr>
      <t>营业收入</t>
    </r>
  </si>
  <si>
    <r>
      <rPr>
        <b/>
        <sz val="10"/>
        <rFont val="宋体"/>
        <charset val="134"/>
      </rPr>
      <t>主管工商机关</t>
    </r>
  </si>
  <si>
    <r>
      <rPr>
        <b/>
        <sz val="10"/>
        <rFont val="宋体"/>
        <charset val="134"/>
      </rPr>
      <t>营业执照号码</t>
    </r>
  </si>
  <si>
    <r>
      <rPr>
        <b/>
        <sz val="10"/>
        <rFont val="宋体"/>
        <charset val="134"/>
      </rPr>
      <t>所属行业</t>
    </r>
  </si>
  <si>
    <r>
      <rPr>
        <b/>
        <sz val="10"/>
        <rFont val="宋体"/>
        <charset val="134"/>
      </rPr>
      <t>净资产额</t>
    </r>
  </si>
  <si>
    <r>
      <rPr>
        <b/>
        <sz val="10"/>
        <rFont val="宋体"/>
        <charset val="134"/>
      </rPr>
      <t>税后利润</t>
    </r>
  </si>
  <si>
    <r>
      <rPr>
        <b/>
        <sz val="10"/>
        <rFont val="宋体"/>
        <charset val="134"/>
      </rPr>
      <t>主管税务机关</t>
    </r>
  </si>
  <si>
    <r>
      <rPr>
        <b/>
        <sz val="10"/>
        <rFont val="宋体"/>
        <charset val="134"/>
      </rPr>
      <t>批准机关及证书号码</t>
    </r>
  </si>
  <si>
    <r>
      <rPr>
        <b/>
        <sz val="10"/>
        <rFont val="宋体"/>
        <charset val="134"/>
      </rPr>
      <t>开业日期</t>
    </r>
  </si>
  <si>
    <r>
      <rPr>
        <b/>
        <sz val="10"/>
        <rFont val="宋体"/>
        <charset val="134"/>
      </rPr>
      <t>休假日</t>
    </r>
  </si>
  <si>
    <r>
      <rPr>
        <b/>
        <sz val="10"/>
        <rFont val="宋体"/>
        <charset val="134"/>
      </rPr>
      <t>财务结账日</t>
    </r>
  </si>
  <si>
    <r>
      <rPr>
        <b/>
        <sz val="10"/>
        <rFont val="宋体"/>
        <charset val="134"/>
      </rPr>
      <t>执行会计制度</t>
    </r>
  </si>
  <si>
    <r>
      <rPr>
        <b/>
        <sz val="10"/>
        <rFont val="宋体"/>
        <charset val="134"/>
      </rPr>
      <t>前五名投资者（股东）名称</t>
    </r>
  </si>
  <si>
    <r>
      <rPr>
        <b/>
        <sz val="10"/>
        <rFont val="宋体"/>
        <charset val="134"/>
      </rPr>
      <t>注册资本</t>
    </r>
  </si>
  <si>
    <r>
      <rPr>
        <b/>
        <sz val="10"/>
        <rFont val="宋体"/>
        <charset val="134"/>
      </rPr>
      <t>实收资本</t>
    </r>
  </si>
  <si>
    <r>
      <rPr>
        <b/>
        <sz val="10"/>
        <rFont val="宋体"/>
        <charset val="134"/>
      </rPr>
      <t>金额</t>
    </r>
  </si>
  <si>
    <r>
      <rPr>
        <b/>
        <sz val="10"/>
        <rFont val="宋体"/>
        <charset val="134"/>
      </rPr>
      <t>出资比例</t>
    </r>
  </si>
  <si>
    <r>
      <rPr>
        <sz val="10"/>
        <rFont val="宋体"/>
        <charset val="134"/>
      </rPr>
      <t>合计</t>
    </r>
  </si>
  <si>
    <r>
      <rPr>
        <b/>
        <sz val="10"/>
        <rFont val="宋体"/>
        <charset val="134"/>
      </rPr>
      <t>主要长期投资单位（或异地分支机构）名称</t>
    </r>
  </si>
  <si>
    <r>
      <rPr>
        <b/>
        <sz val="10"/>
        <rFont val="宋体"/>
        <charset val="134"/>
      </rPr>
      <t>地址</t>
    </r>
  </si>
  <si>
    <r>
      <rPr>
        <b/>
        <sz val="10"/>
        <rFont val="宋体"/>
        <charset val="134"/>
      </rPr>
      <t>注册资金</t>
    </r>
  </si>
  <si>
    <r>
      <rPr>
        <b/>
        <sz val="10"/>
        <rFont val="宋体"/>
        <charset val="134"/>
      </rPr>
      <t>持股比例</t>
    </r>
  </si>
  <si>
    <r>
      <rPr>
        <b/>
        <sz val="10"/>
        <rFont val="宋体"/>
        <charset val="134"/>
      </rPr>
      <t>核算方式</t>
    </r>
  </si>
  <si>
    <r>
      <rPr>
        <b/>
        <sz val="10"/>
        <rFont val="宋体"/>
        <charset val="134"/>
      </rPr>
      <t>前注册会计师审计结论</t>
    </r>
  </si>
  <si>
    <r>
      <rPr>
        <b/>
        <sz val="10"/>
        <rFont val="宋体"/>
        <charset val="134"/>
      </rPr>
      <t>前评估情况</t>
    </r>
  </si>
  <si>
    <r>
      <rPr>
        <b/>
        <sz val="10"/>
        <color indexed="10"/>
        <rFont val="宋体"/>
        <charset val="134"/>
      </rPr>
      <t>评估机构填写以下内容</t>
    </r>
    <r>
      <rPr>
        <b/>
        <sz val="10"/>
        <color indexed="10"/>
        <rFont val="Times New Roman"/>
        <charset val="134"/>
      </rPr>
      <t>:</t>
    </r>
  </si>
  <si>
    <r>
      <rPr>
        <b/>
        <sz val="10"/>
        <rFont val="宋体"/>
        <charset val="134"/>
      </rPr>
      <t>委托项目</t>
    </r>
  </si>
  <si>
    <r>
      <rPr>
        <b/>
        <sz val="10"/>
        <rFont val="宋体"/>
        <charset val="134"/>
      </rPr>
      <t>类别</t>
    </r>
  </si>
  <si>
    <r>
      <rPr>
        <b/>
        <sz val="10"/>
        <rFont val="宋体"/>
        <charset val="134"/>
      </rPr>
      <t>项目编号</t>
    </r>
  </si>
  <si>
    <r>
      <rPr>
        <b/>
        <sz val="10"/>
        <rFont val="宋体"/>
        <charset val="134"/>
      </rPr>
      <t>作业日期</t>
    </r>
  </si>
  <si>
    <r>
      <rPr>
        <b/>
        <sz val="10"/>
        <rFont val="宋体"/>
        <charset val="134"/>
      </rPr>
      <t>目的</t>
    </r>
  </si>
  <si>
    <r>
      <rPr>
        <b/>
        <sz val="10"/>
        <rFont val="宋体"/>
        <charset val="134"/>
      </rPr>
      <t>报告编号</t>
    </r>
  </si>
  <si>
    <r>
      <rPr>
        <b/>
        <sz val="10"/>
        <rFont val="宋体"/>
        <charset val="134"/>
      </rPr>
      <t>填表日期</t>
    </r>
  </si>
  <si>
    <r>
      <rPr>
        <b/>
        <sz val="10"/>
        <rFont val="宋体"/>
        <charset val="134"/>
      </rPr>
      <t>范围</t>
    </r>
  </si>
  <si>
    <r>
      <rPr>
        <b/>
        <sz val="10"/>
        <rFont val="宋体"/>
        <charset val="134"/>
      </rPr>
      <t>项目负责人：</t>
    </r>
  </si>
  <si>
    <r>
      <rPr>
        <b/>
        <sz val="10"/>
        <rFont val="宋体"/>
        <charset val="134"/>
      </rPr>
      <t>法定代表人：</t>
    </r>
  </si>
  <si>
    <r>
      <rPr>
        <b/>
        <sz val="10"/>
        <rFont val="宋体"/>
        <charset val="134"/>
      </rPr>
      <t>评估机构：</t>
    </r>
  </si>
  <si>
    <r>
      <rPr>
        <b/>
        <sz val="10"/>
        <rFont val="Times New Roman"/>
        <charset val="134"/>
      </rPr>
      <t>XXXX</t>
    </r>
    <r>
      <rPr>
        <b/>
        <sz val="10"/>
        <rFont val="宋体"/>
        <charset val="134"/>
      </rPr>
      <t>评估有限公司</t>
    </r>
  </si>
  <si>
    <r>
      <rPr>
        <b/>
        <sz val="10"/>
        <rFont val="宋体"/>
        <charset val="134"/>
      </rPr>
      <t>签字注册资产评估师：</t>
    </r>
  </si>
  <si>
    <r>
      <rPr>
        <sz val="10"/>
        <rFont val="宋体"/>
        <charset val="134"/>
      </rPr>
      <t>流动资产</t>
    </r>
  </si>
  <si>
    <r>
      <rPr>
        <sz val="10"/>
        <rFont val="宋体"/>
        <charset val="134"/>
      </rPr>
      <t>设备</t>
    </r>
  </si>
  <si>
    <r>
      <rPr>
        <sz val="10"/>
        <rFont val="宋体"/>
        <charset val="134"/>
      </rPr>
      <t>房屋</t>
    </r>
  </si>
  <si>
    <r>
      <rPr>
        <sz val="10"/>
        <rFont val="宋体"/>
        <charset val="134"/>
      </rPr>
      <t>土地</t>
    </r>
  </si>
  <si>
    <r>
      <rPr>
        <sz val="10"/>
        <rFont val="宋体"/>
        <charset val="134"/>
      </rPr>
      <t>无形资产</t>
    </r>
  </si>
  <si>
    <r>
      <rPr>
        <b/>
        <sz val="10"/>
        <rFont val="宋体"/>
        <charset val="134"/>
      </rPr>
      <t>资产占有单位填表人</t>
    </r>
    <r>
      <rPr>
        <b/>
        <sz val="10"/>
        <rFont val="Times New Roman"/>
        <charset val="134"/>
      </rPr>
      <t>:</t>
    </r>
  </si>
  <si>
    <r>
      <rPr>
        <b/>
        <sz val="10"/>
        <rFont val="宋体"/>
        <charset val="134"/>
      </rPr>
      <t>评估人员</t>
    </r>
    <r>
      <rPr>
        <b/>
        <sz val="10"/>
        <rFont val="Times New Roman"/>
        <charset val="134"/>
      </rPr>
      <t>:</t>
    </r>
  </si>
  <si>
    <r>
      <rPr>
        <b/>
        <sz val="16"/>
        <rFont val="宋体"/>
        <charset val="134"/>
      </rPr>
      <t>资产负债表</t>
    </r>
  </si>
  <si>
    <r>
      <rPr>
        <b/>
        <sz val="10"/>
        <rFont val="宋体"/>
        <charset val="134"/>
      </rPr>
      <t>金额单位：人民币元</t>
    </r>
  </si>
  <si>
    <r>
      <rPr>
        <b/>
        <sz val="10"/>
        <rFont val="宋体"/>
        <charset val="134"/>
      </rPr>
      <t>资产</t>
    </r>
  </si>
  <si>
    <r>
      <rPr>
        <b/>
        <sz val="10"/>
        <rFont val="宋体"/>
        <charset val="134"/>
      </rPr>
      <t>序号</t>
    </r>
  </si>
  <si>
    <r>
      <rPr>
        <b/>
        <sz val="10"/>
        <rFont val="宋体"/>
        <charset val="134"/>
      </rPr>
      <t>期初数</t>
    </r>
  </si>
  <si>
    <r>
      <rPr>
        <b/>
        <sz val="10"/>
        <rFont val="宋体"/>
        <charset val="134"/>
      </rPr>
      <t>期末数</t>
    </r>
  </si>
  <si>
    <r>
      <rPr>
        <b/>
        <sz val="10"/>
        <rFont val="宋体"/>
        <charset val="134"/>
      </rPr>
      <t>备注</t>
    </r>
  </si>
  <si>
    <r>
      <rPr>
        <b/>
        <sz val="10"/>
        <rFont val="宋体"/>
        <charset val="134"/>
      </rPr>
      <t>负债及所有者权益</t>
    </r>
  </si>
  <si>
    <r>
      <rPr>
        <sz val="10"/>
        <rFont val="宋体"/>
        <charset val="134"/>
      </rPr>
      <t>流动资产：</t>
    </r>
  </si>
  <si>
    <r>
      <rPr>
        <sz val="10"/>
        <rFont val="宋体"/>
        <charset val="134"/>
      </rPr>
      <t>流动负债：</t>
    </r>
  </si>
  <si>
    <r>
      <rPr>
        <b/>
        <sz val="10"/>
        <rFont val="宋体"/>
        <charset val="134"/>
      </rPr>
      <t>流动资产合计</t>
    </r>
  </si>
  <si>
    <r>
      <rPr>
        <b/>
        <sz val="10"/>
        <rFont val="宋体"/>
        <charset val="134"/>
      </rPr>
      <t>流动负债合计</t>
    </r>
  </si>
  <si>
    <r>
      <rPr>
        <sz val="10"/>
        <rFont val="宋体"/>
        <charset val="134"/>
      </rPr>
      <t>非流动资产：</t>
    </r>
  </si>
  <si>
    <r>
      <rPr>
        <sz val="10"/>
        <rFont val="宋体"/>
        <charset val="134"/>
      </rPr>
      <t>非流动负债：</t>
    </r>
  </si>
  <si>
    <r>
      <rPr>
        <b/>
        <sz val="10"/>
        <rFont val="宋体"/>
        <charset val="134"/>
      </rPr>
      <t>非流动负债合计</t>
    </r>
  </si>
  <si>
    <r>
      <rPr>
        <b/>
        <sz val="10"/>
        <rFont val="宋体"/>
        <charset val="134"/>
      </rPr>
      <t>负债合计</t>
    </r>
  </si>
  <si>
    <r>
      <rPr>
        <sz val="10"/>
        <rFont val="宋体"/>
        <charset val="134"/>
      </rPr>
      <t>所有者权益：</t>
    </r>
  </si>
  <si>
    <r>
      <rPr>
        <sz val="10"/>
        <rFont val="宋体"/>
        <charset val="134"/>
      </rPr>
      <t>实收资本（或股本）</t>
    </r>
  </si>
  <si>
    <r>
      <rPr>
        <sz val="10"/>
        <rFont val="宋体"/>
        <charset val="134"/>
      </rPr>
      <t>其他权益工具</t>
    </r>
  </si>
  <si>
    <r>
      <rPr>
        <sz val="10"/>
        <rFont val="宋体"/>
        <charset val="134"/>
      </rPr>
      <t>资本公积</t>
    </r>
  </si>
  <si>
    <r>
      <rPr>
        <sz val="10"/>
        <rFont val="宋体"/>
        <charset val="134"/>
      </rPr>
      <t>减：库存股</t>
    </r>
  </si>
  <si>
    <r>
      <rPr>
        <sz val="10"/>
        <rFont val="宋体"/>
        <charset val="134"/>
      </rPr>
      <t>其他综合收益</t>
    </r>
  </si>
  <si>
    <r>
      <rPr>
        <sz val="10"/>
        <rFont val="宋体"/>
        <charset val="134"/>
      </rPr>
      <t>专项储备</t>
    </r>
  </si>
  <si>
    <r>
      <rPr>
        <sz val="10"/>
        <rFont val="宋体"/>
        <charset val="134"/>
      </rPr>
      <t>盈余公积</t>
    </r>
  </si>
  <si>
    <r>
      <rPr>
        <sz val="10"/>
        <rFont val="宋体"/>
        <charset val="134"/>
      </rPr>
      <t>未分配利润</t>
    </r>
  </si>
  <si>
    <r>
      <rPr>
        <b/>
        <sz val="10"/>
        <rFont val="宋体"/>
        <charset val="134"/>
      </rPr>
      <t>非流动资产合计</t>
    </r>
  </si>
  <si>
    <r>
      <rPr>
        <b/>
        <sz val="10"/>
        <rFont val="宋体"/>
        <charset val="134"/>
      </rPr>
      <t>所有者权益合计</t>
    </r>
  </si>
  <si>
    <r>
      <rPr>
        <b/>
        <sz val="10"/>
        <rFont val="宋体"/>
        <charset val="134"/>
      </rPr>
      <t>资产总计</t>
    </r>
  </si>
  <si>
    <r>
      <rPr>
        <b/>
        <sz val="10"/>
        <rFont val="宋体"/>
        <charset val="134"/>
      </rPr>
      <t>负债及所有者权益合计</t>
    </r>
  </si>
  <si>
    <r>
      <rPr>
        <sz val="10"/>
        <rFont val="宋体"/>
        <charset val="134"/>
      </rPr>
      <t>与总资产相差</t>
    </r>
  </si>
  <si>
    <r>
      <rPr>
        <sz val="9"/>
        <rFont val="宋体"/>
        <charset val="134"/>
      </rPr>
      <t>金额单位：人民币万元</t>
    </r>
  </si>
  <si>
    <r>
      <rPr>
        <sz val="9"/>
        <rFont val="宋体"/>
        <charset val="134"/>
      </rPr>
      <t>表</t>
    </r>
    <r>
      <rPr>
        <sz val="9"/>
        <rFont val="Times New Roman"/>
        <charset val="134"/>
      </rPr>
      <t>S-01</t>
    </r>
  </si>
  <si>
    <r>
      <rPr>
        <b/>
        <sz val="9"/>
        <rFont val="宋体"/>
        <charset val="134"/>
      </rPr>
      <t>项目</t>
    </r>
  </si>
  <si>
    <r>
      <rPr>
        <b/>
        <sz val="9"/>
        <rFont val="宋体"/>
        <charset val="134"/>
      </rPr>
      <t>准则</t>
    </r>
  </si>
  <si>
    <r>
      <rPr>
        <b/>
        <sz val="9"/>
        <rFont val="宋体"/>
        <charset val="134"/>
      </rPr>
      <t>历史数据</t>
    </r>
  </si>
  <si>
    <r>
      <rPr>
        <sz val="10"/>
        <rFont val="宋体"/>
        <charset val="134"/>
      </rPr>
      <t>会计政策</t>
    </r>
    <r>
      <rPr>
        <sz val="10"/>
        <rFont val="Times New Roman"/>
        <charset val="134"/>
      </rPr>
      <t>-</t>
    </r>
    <r>
      <rPr>
        <sz val="10"/>
        <rFont val="宋体"/>
        <charset val="134"/>
      </rPr>
      <t>旧</t>
    </r>
  </si>
  <si>
    <r>
      <rPr>
        <sz val="10"/>
        <rFont val="宋体"/>
        <charset val="134"/>
      </rPr>
      <t>会计政策</t>
    </r>
    <r>
      <rPr>
        <sz val="10"/>
        <rFont val="Times New Roman"/>
        <charset val="134"/>
      </rPr>
      <t>-</t>
    </r>
    <r>
      <rPr>
        <sz val="10"/>
        <rFont val="宋体"/>
        <charset val="134"/>
      </rPr>
      <t>新</t>
    </r>
  </si>
  <si>
    <r>
      <rPr>
        <sz val="10"/>
        <rFont val="宋体"/>
        <charset val="134"/>
      </rPr>
      <t>对应科目</t>
    </r>
  </si>
  <si>
    <r>
      <rPr>
        <b/>
        <sz val="9"/>
        <rFont val="宋体"/>
        <charset val="134"/>
      </rPr>
      <t>一、流动资产合计</t>
    </r>
  </si>
  <si>
    <t>共</t>
  </si>
  <si>
    <t>一、流动资产合计</t>
  </si>
  <si>
    <t>计算</t>
  </si>
  <si>
    <r>
      <rPr>
        <sz val="9"/>
        <rFont val="宋体"/>
        <charset val="134"/>
      </rPr>
      <t>旧</t>
    </r>
  </si>
  <si>
    <r>
      <rPr>
        <sz val="9"/>
        <rFont val="宋体"/>
        <charset val="134"/>
      </rPr>
      <t>新</t>
    </r>
  </si>
  <si>
    <r>
      <rPr>
        <sz val="9"/>
        <rFont val="宋体"/>
        <charset val="134"/>
      </rPr>
      <t>应收账款原值</t>
    </r>
  </si>
  <si>
    <t/>
  </si>
  <si>
    <r>
      <rPr>
        <sz val="9"/>
        <rFont val="宋体"/>
        <charset val="134"/>
      </rPr>
      <t>减：坏账准备</t>
    </r>
  </si>
  <si>
    <r>
      <rPr>
        <sz val="9"/>
        <rFont val="宋体"/>
        <charset val="134"/>
      </rPr>
      <t>其中：应收款项融资</t>
    </r>
    <r>
      <rPr>
        <sz val="9"/>
        <rFont val="Times New Roman"/>
        <charset val="134"/>
      </rPr>
      <t>-</t>
    </r>
    <r>
      <rPr>
        <sz val="9"/>
        <rFont val="宋体"/>
        <charset val="134"/>
      </rPr>
      <t>票据</t>
    </r>
  </si>
  <si>
    <r>
      <rPr>
        <sz val="9"/>
        <rFont val="宋体"/>
        <charset val="134"/>
      </rPr>
      <t>应收款项融资</t>
    </r>
    <r>
      <rPr>
        <sz val="9"/>
        <rFont val="Times New Roman"/>
        <charset val="134"/>
      </rPr>
      <t>-</t>
    </r>
    <r>
      <rPr>
        <sz val="9"/>
        <rFont val="宋体"/>
        <charset val="134"/>
      </rPr>
      <t>应收款原值</t>
    </r>
  </si>
  <si>
    <r>
      <rPr>
        <sz val="9"/>
        <rFont val="宋体"/>
        <charset val="134"/>
      </rPr>
      <t>预付款项原值</t>
    </r>
  </si>
  <si>
    <r>
      <rPr>
        <sz val="9"/>
        <rFont val="宋体"/>
        <charset val="134"/>
      </rPr>
      <t>其中：应收利息</t>
    </r>
  </si>
  <si>
    <r>
      <rPr>
        <sz val="9"/>
        <rFont val="宋体"/>
        <charset val="134"/>
      </rPr>
      <t>应收股利</t>
    </r>
  </si>
  <si>
    <r>
      <rPr>
        <sz val="9"/>
        <rFont val="宋体"/>
        <charset val="134"/>
      </rPr>
      <t>其他应收款项原值</t>
    </r>
  </si>
  <si>
    <r>
      <rPr>
        <sz val="9"/>
        <rFont val="宋体"/>
        <charset val="134"/>
      </rPr>
      <t>存货原值</t>
    </r>
  </si>
  <si>
    <r>
      <rPr>
        <sz val="9"/>
        <rFont val="宋体"/>
        <charset val="134"/>
      </rPr>
      <t>合同资产原值</t>
    </r>
  </si>
  <si>
    <r>
      <rPr>
        <sz val="9"/>
        <rFont val="宋体"/>
        <charset val="134"/>
      </rPr>
      <t>持有待售资产原值</t>
    </r>
  </si>
  <si>
    <r>
      <rPr>
        <b/>
        <sz val="9"/>
        <rFont val="宋体"/>
        <charset val="134"/>
      </rPr>
      <t>二、非流动资产合计</t>
    </r>
  </si>
  <si>
    <t>二、非流动资产合计</t>
  </si>
  <si>
    <r>
      <rPr>
        <sz val="9"/>
        <rFont val="宋体"/>
        <charset val="134"/>
      </rPr>
      <t>长期应收款原值</t>
    </r>
  </si>
  <si>
    <r>
      <rPr>
        <sz val="9"/>
        <rFont val="宋体"/>
        <charset val="134"/>
      </rPr>
      <t>固定资产原值</t>
    </r>
  </si>
  <si>
    <r>
      <rPr>
        <sz val="9"/>
        <rFont val="宋体"/>
        <charset val="134"/>
      </rPr>
      <t>减：固定资产折旧</t>
    </r>
  </si>
  <si>
    <r>
      <rPr>
        <sz val="9"/>
        <rFont val="宋体"/>
        <charset val="134"/>
      </rPr>
      <t>固定资产净值</t>
    </r>
  </si>
  <si>
    <r>
      <rPr>
        <sz val="9"/>
        <rFont val="宋体"/>
        <charset val="134"/>
      </rPr>
      <t>减：减值准备</t>
    </r>
  </si>
  <si>
    <r>
      <rPr>
        <b/>
        <sz val="9"/>
        <rFont val="宋体"/>
        <charset val="134"/>
      </rPr>
      <t>三、资产总计</t>
    </r>
  </si>
  <si>
    <t>三、资产总计</t>
  </si>
  <si>
    <r>
      <rPr>
        <b/>
        <sz val="9"/>
        <rFont val="宋体"/>
        <charset val="134"/>
      </rPr>
      <t>四、流动负债合计</t>
    </r>
  </si>
  <si>
    <t>四、流动负债合计</t>
  </si>
  <si>
    <r>
      <rPr>
        <sz val="9"/>
        <rFont val="宋体"/>
        <charset val="134"/>
      </rPr>
      <t>其中：应付利息</t>
    </r>
  </si>
  <si>
    <r>
      <rPr>
        <sz val="9"/>
        <rFont val="宋体"/>
        <charset val="134"/>
      </rPr>
      <t>应付股利</t>
    </r>
  </si>
  <si>
    <r>
      <rPr>
        <sz val="9"/>
        <rFont val="宋体"/>
        <charset val="134"/>
      </rPr>
      <t>其他应付款项</t>
    </r>
  </si>
  <si>
    <r>
      <rPr>
        <b/>
        <sz val="9"/>
        <rFont val="宋体"/>
        <charset val="134"/>
      </rPr>
      <t>五、非流动负债合计</t>
    </r>
  </si>
  <si>
    <t>五、非流动负债合计</t>
  </si>
  <si>
    <r>
      <rPr>
        <b/>
        <sz val="9"/>
        <rFont val="宋体"/>
        <charset val="134"/>
      </rPr>
      <t>六、负债合计</t>
    </r>
  </si>
  <si>
    <t>六、负债合计</t>
  </si>
  <si>
    <r>
      <rPr>
        <b/>
        <sz val="9"/>
        <rFont val="宋体"/>
        <charset val="134"/>
      </rPr>
      <t>七、净资产</t>
    </r>
    <r>
      <rPr>
        <b/>
        <sz val="9"/>
        <rFont val="Times New Roman"/>
        <charset val="134"/>
      </rPr>
      <t>(</t>
    </r>
    <r>
      <rPr>
        <b/>
        <sz val="9"/>
        <rFont val="宋体"/>
        <charset val="134"/>
      </rPr>
      <t>所有者权益</t>
    </r>
    <r>
      <rPr>
        <b/>
        <sz val="9"/>
        <rFont val="Times New Roman"/>
        <charset val="134"/>
      </rPr>
      <t>)</t>
    </r>
  </si>
  <si>
    <t>七、净资产(所有者权益)</t>
  </si>
  <si>
    <r>
      <rPr>
        <sz val="9"/>
        <rFont val="宋体"/>
        <charset val="134"/>
      </rPr>
      <t>一般风险准备</t>
    </r>
  </si>
  <si>
    <r>
      <rPr>
        <sz val="9"/>
        <rFont val="宋体"/>
        <charset val="134"/>
      </rPr>
      <t>外币报表折算差额</t>
    </r>
  </si>
  <si>
    <r>
      <rPr>
        <sz val="9"/>
        <rFont val="宋体"/>
        <charset val="134"/>
      </rPr>
      <t>未确认的投资损失</t>
    </r>
  </si>
  <si>
    <r>
      <rPr>
        <b/>
        <sz val="9"/>
        <rFont val="宋体"/>
        <charset val="134"/>
      </rPr>
      <t>校验</t>
    </r>
  </si>
  <si>
    <r>
      <rPr>
        <sz val="10"/>
        <rFont val="宋体"/>
        <charset val="134"/>
      </rPr>
      <t>其他流动资产</t>
    </r>
  </si>
  <si>
    <r>
      <rPr>
        <sz val="10"/>
        <rFont val="宋体"/>
        <charset val="134"/>
      </rPr>
      <t>待抵扣增值税</t>
    </r>
  </si>
  <si>
    <r>
      <rPr>
        <sz val="10"/>
        <rFont val="宋体"/>
        <charset val="134"/>
      </rPr>
      <t>营运款项</t>
    </r>
  </si>
  <si>
    <r>
      <rPr>
        <sz val="10"/>
        <rFont val="宋体"/>
        <charset val="134"/>
      </rPr>
      <t>投资性房地产</t>
    </r>
    <r>
      <rPr>
        <sz val="10"/>
        <rFont val="Times New Roman"/>
        <charset val="134"/>
      </rPr>
      <t>-</t>
    </r>
    <r>
      <rPr>
        <sz val="10"/>
        <rFont val="宋体"/>
        <charset val="134"/>
      </rPr>
      <t>原值</t>
    </r>
  </si>
  <si>
    <r>
      <rPr>
        <sz val="10"/>
        <rFont val="宋体"/>
        <charset val="134"/>
      </rPr>
      <t>期初余额</t>
    </r>
  </si>
  <si>
    <r>
      <rPr>
        <sz val="10"/>
        <rFont val="宋体"/>
        <charset val="134"/>
      </rPr>
      <t>增加额</t>
    </r>
  </si>
  <si>
    <r>
      <rPr>
        <sz val="10"/>
        <rFont val="宋体"/>
        <charset val="134"/>
      </rPr>
      <t>减少额</t>
    </r>
  </si>
  <si>
    <r>
      <rPr>
        <sz val="10"/>
        <rFont val="宋体"/>
        <charset val="134"/>
      </rPr>
      <t>期末余额</t>
    </r>
  </si>
  <si>
    <r>
      <rPr>
        <sz val="10"/>
        <rFont val="宋体"/>
        <charset val="134"/>
      </rPr>
      <t>投资性房地产</t>
    </r>
    <r>
      <rPr>
        <sz val="10"/>
        <rFont val="Times New Roman"/>
        <charset val="134"/>
      </rPr>
      <t>-</t>
    </r>
    <r>
      <rPr>
        <sz val="10"/>
        <rFont val="宋体"/>
        <charset val="134"/>
      </rPr>
      <t>折旧</t>
    </r>
  </si>
  <si>
    <r>
      <rPr>
        <sz val="10"/>
        <rFont val="宋体"/>
        <charset val="134"/>
      </rPr>
      <t>固定资产</t>
    </r>
    <r>
      <rPr>
        <sz val="10"/>
        <rFont val="Times New Roman"/>
        <charset val="134"/>
      </rPr>
      <t>-</t>
    </r>
    <r>
      <rPr>
        <sz val="10"/>
        <rFont val="宋体"/>
        <charset val="134"/>
      </rPr>
      <t>原值</t>
    </r>
  </si>
  <si>
    <r>
      <rPr>
        <sz val="10"/>
        <rFont val="宋体"/>
        <charset val="134"/>
      </rPr>
      <t>资本性更新</t>
    </r>
  </si>
  <si>
    <r>
      <rPr>
        <sz val="10"/>
        <rFont val="宋体"/>
        <charset val="134"/>
      </rPr>
      <t>在建转让</t>
    </r>
  </si>
  <si>
    <r>
      <rPr>
        <sz val="10"/>
        <rFont val="宋体"/>
        <charset val="134"/>
      </rPr>
      <t>固定资产</t>
    </r>
    <r>
      <rPr>
        <sz val="10"/>
        <rFont val="Times New Roman"/>
        <charset val="134"/>
      </rPr>
      <t>-</t>
    </r>
    <r>
      <rPr>
        <sz val="10"/>
        <rFont val="宋体"/>
        <charset val="134"/>
      </rPr>
      <t>折旧</t>
    </r>
  </si>
  <si>
    <r>
      <rPr>
        <sz val="10"/>
        <rFont val="宋体"/>
        <charset val="134"/>
      </rPr>
      <t>使用权资产</t>
    </r>
    <r>
      <rPr>
        <sz val="10"/>
        <rFont val="Times New Roman"/>
        <charset val="134"/>
      </rPr>
      <t>-</t>
    </r>
    <r>
      <rPr>
        <sz val="10"/>
        <rFont val="宋体"/>
        <charset val="134"/>
      </rPr>
      <t>原值</t>
    </r>
  </si>
  <si>
    <r>
      <rPr>
        <sz val="10"/>
        <rFont val="宋体"/>
        <charset val="134"/>
      </rPr>
      <t>使用权资产</t>
    </r>
    <r>
      <rPr>
        <sz val="10"/>
        <rFont val="Times New Roman"/>
        <charset val="134"/>
      </rPr>
      <t>-</t>
    </r>
    <r>
      <rPr>
        <sz val="10"/>
        <rFont val="宋体"/>
        <charset val="134"/>
      </rPr>
      <t>摊销</t>
    </r>
  </si>
  <si>
    <r>
      <rPr>
        <sz val="10"/>
        <rFont val="宋体"/>
        <charset val="134"/>
      </rPr>
      <t>无形资产</t>
    </r>
    <r>
      <rPr>
        <sz val="10"/>
        <rFont val="Times New Roman"/>
        <charset val="134"/>
      </rPr>
      <t>-</t>
    </r>
    <r>
      <rPr>
        <sz val="10"/>
        <rFont val="宋体"/>
        <charset val="134"/>
      </rPr>
      <t>原值</t>
    </r>
  </si>
  <si>
    <r>
      <rPr>
        <sz val="10"/>
        <rFont val="宋体"/>
        <charset val="134"/>
      </rPr>
      <t>无形资产</t>
    </r>
    <r>
      <rPr>
        <sz val="10"/>
        <rFont val="Times New Roman"/>
        <charset val="134"/>
      </rPr>
      <t>-</t>
    </r>
    <r>
      <rPr>
        <sz val="10"/>
        <rFont val="宋体"/>
        <charset val="134"/>
      </rPr>
      <t>摊销</t>
    </r>
  </si>
  <si>
    <r>
      <rPr>
        <sz val="10"/>
        <rFont val="宋体"/>
        <charset val="134"/>
      </rPr>
      <t>长期待摊费用</t>
    </r>
    <r>
      <rPr>
        <sz val="10"/>
        <rFont val="Times New Roman"/>
        <charset val="134"/>
      </rPr>
      <t>-</t>
    </r>
    <r>
      <rPr>
        <sz val="10"/>
        <rFont val="宋体"/>
        <charset val="134"/>
      </rPr>
      <t>原值</t>
    </r>
  </si>
  <si>
    <r>
      <rPr>
        <sz val="10"/>
        <rFont val="宋体"/>
        <charset val="134"/>
      </rPr>
      <t>长期待摊费用</t>
    </r>
    <r>
      <rPr>
        <sz val="10"/>
        <rFont val="Times New Roman"/>
        <charset val="134"/>
      </rPr>
      <t>-</t>
    </r>
    <r>
      <rPr>
        <sz val="10"/>
        <rFont val="宋体"/>
        <charset val="134"/>
      </rPr>
      <t>摊销</t>
    </r>
  </si>
  <si>
    <r>
      <rPr>
        <sz val="10"/>
        <rFont val="宋体"/>
        <charset val="134"/>
      </rPr>
      <t>借款</t>
    </r>
  </si>
  <si>
    <r>
      <rPr>
        <sz val="10"/>
        <rFont val="宋体"/>
        <charset val="134"/>
      </rPr>
      <t>递延收益</t>
    </r>
  </si>
  <si>
    <r>
      <rPr>
        <sz val="10"/>
        <rFont val="宋体"/>
        <charset val="134"/>
      </rPr>
      <t>净利润</t>
    </r>
  </si>
  <si>
    <r>
      <rPr>
        <sz val="10"/>
        <rFont val="宋体"/>
        <charset val="134"/>
      </rPr>
      <t>亏损额</t>
    </r>
  </si>
  <si>
    <r>
      <rPr>
        <sz val="10"/>
        <rFont val="宋体"/>
        <charset val="134"/>
      </rPr>
      <t>净额</t>
    </r>
  </si>
  <si>
    <r>
      <rPr>
        <sz val="10"/>
        <rFont val="宋体"/>
        <charset val="134"/>
      </rPr>
      <t>注册资本</t>
    </r>
  </si>
  <si>
    <r>
      <rPr>
        <sz val="10"/>
        <rFont val="宋体"/>
        <charset val="134"/>
      </rPr>
      <t>货币资金</t>
    </r>
  </si>
  <si>
    <r>
      <rPr>
        <sz val="10"/>
        <rFont val="宋体"/>
        <charset val="134"/>
      </rPr>
      <t>余额</t>
    </r>
  </si>
  <si>
    <r>
      <rPr>
        <sz val="10"/>
        <rFont val="宋体"/>
        <charset val="134"/>
      </rPr>
      <t>经营性现金流</t>
    </r>
  </si>
  <si>
    <r>
      <rPr>
        <sz val="10"/>
        <rFont val="宋体"/>
        <charset val="134"/>
      </rPr>
      <t>营运资金中货币资金减少额</t>
    </r>
  </si>
  <si>
    <r>
      <rPr>
        <sz val="10"/>
        <rFont val="宋体"/>
        <charset val="134"/>
      </rPr>
      <t>税后财务费用</t>
    </r>
  </si>
  <si>
    <r>
      <rPr>
        <sz val="10"/>
        <rFont val="宋体"/>
        <charset val="134"/>
      </rPr>
      <t>带息债务净减少</t>
    </r>
  </si>
  <si>
    <r>
      <rPr>
        <sz val="10"/>
        <rFont val="宋体"/>
        <charset val="134"/>
      </rPr>
      <t>调整后现金流</t>
    </r>
  </si>
  <si>
    <r>
      <rPr>
        <b/>
        <sz val="16"/>
        <rFont val="宋体"/>
        <charset val="134"/>
      </rPr>
      <t>利润表</t>
    </r>
    <r>
      <rPr>
        <sz val="16"/>
        <rFont val="Times New Roman"/>
        <charset val="134"/>
      </rPr>
      <t xml:space="preserve">                 </t>
    </r>
  </si>
  <si>
    <r>
      <rPr>
        <sz val="9"/>
        <rFont val="宋体"/>
        <charset val="134"/>
      </rPr>
      <t>表</t>
    </r>
    <r>
      <rPr>
        <sz val="9"/>
        <rFont val="Times New Roman"/>
        <charset val="134"/>
      </rPr>
      <t>S-02</t>
    </r>
  </si>
  <si>
    <r>
      <rPr>
        <b/>
        <sz val="9"/>
        <rFont val="宋体"/>
        <charset val="134"/>
      </rPr>
      <t>预测期第</t>
    </r>
    <r>
      <rPr>
        <b/>
        <sz val="9"/>
        <rFont val="Times New Roman"/>
        <charset val="134"/>
      </rPr>
      <t>1</t>
    </r>
    <r>
      <rPr>
        <b/>
        <sz val="9"/>
        <rFont val="宋体"/>
        <charset val="134"/>
      </rPr>
      <t>个完整年度</t>
    </r>
  </si>
  <si>
    <r>
      <rPr>
        <b/>
        <sz val="9"/>
        <color indexed="8"/>
        <rFont val="宋体"/>
        <charset val="134"/>
      </rPr>
      <t>序号</t>
    </r>
  </si>
  <si>
    <r>
      <rPr>
        <b/>
        <sz val="9"/>
        <color indexed="8"/>
        <rFont val="宋体"/>
        <charset val="134"/>
      </rPr>
      <t>应交税费种类</t>
    </r>
  </si>
  <si>
    <r>
      <rPr>
        <b/>
        <sz val="9"/>
        <color indexed="8"/>
        <rFont val="宋体"/>
        <charset val="134"/>
      </rPr>
      <t>税率</t>
    </r>
  </si>
  <si>
    <t>2023年</t>
  </si>
  <si>
    <r>
      <rPr>
        <sz val="9"/>
        <rFont val="宋体"/>
        <charset val="134"/>
      </rPr>
      <t>合计</t>
    </r>
  </si>
  <si>
    <r>
      <rPr>
        <sz val="9"/>
        <rFont val="宋体"/>
        <charset val="134"/>
      </rPr>
      <t>占比</t>
    </r>
  </si>
  <si>
    <r>
      <rPr>
        <sz val="9"/>
        <rFont val="宋体"/>
        <charset val="134"/>
      </rPr>
      <t>所得税</t>
    </r>
  </si>
  <si>
    <r>
      <rPr>
        <b/>
        <sz val="9"/>
        <rFont val="宋体"/>
        <charset val="134"/>
      </rPr>
      <t>一、营业总收入</t>
    </r>
  </si>
  <si>
    <r>
      <rPr>
        <sz val="9"/>
        <rFont val="宋体"/>
        <charset val="134"/>
      </rPr>
      <t>增值税</t>
    </r>
  </si>
  <si>
    <r>
      <rPr>
        <sz val="9"/>
        <rFont val="宋体"/>
        <charset val="134"/>
      </rPr>
      <t>减：营业成本</t>
    </r>
  </si>
  <si>
    <r>
      <rPr>
        <sz val="9"/>
        <rFont val="宋体"/>
        <charset val="134"/>
      </rPr>
      <t>消费税</t>
    </r>
  </si>
  <si>
    <r>
      <rPr>
        <sz val="9"/>
        <rFont val="宋体"/>
        <charset val="134"/>
      </rPr>
      <t>税金及附加</t>
    </r>
  </si>
  <si>
    <r>
      <rPr>
        <sz val="9"/>
        <rFont val="宋体"/>
        <charset val="134"/>
      </rPr>
      <t>城建税</t>
    </r>
  </si>
  <si>
    <t>其中：房产税土地税金额</t>
  </si>
  <si>
    <r>
      <rPr>
        <sz val="9"/>
        <rFont val="宋体"/>
        <charset val="134"/>
      </rPr>
      <t>教育费附加</t>
    </r>
  </si>
  <si>
    <r>
      <rPr>
        <sz val="9"/>
        <rFont val="宋体"/>
        <charset val="134"/>
      </rPr>
      <t>销售费用</t>
    </r>
  </si>
  <si>
    <r>
      <rPr>
        <sz val="9"/>
        <rFont val="宋体"/>
        <charset val="134"/>
      </rPr>
      <t>地方教育费附加</t>
    </r>
  </si>
  <si>
    <r>
      <rPr>
        <sz val="9"/>
        <rFont val="宋体"/>
        <charset val="134"/>
      </rPr>
      <t>管理费用</t>
    </r>
  </si>
  <si>
    <r>
      <rPr>
        <sz val="9"/>
        <rFont val="宋体"/>
        <charset val="134"/>
      </rPr>
      <t>印花税</t>
    </r>
  </si>
  <si>
    <r>
      <rPr>
        <sz val="9"/>
        <rFont val="宋体"/>
        <charset val="134"/>
      </rPr>
      <t>研发费用</t>
    </r>
  </si>
  <si>
    <t>房产税</t>
  </si>
  <si>
    <r>
      <rPr>
        <sz val="9"/>
        <rFont val="宋体"/>
        <charset val="134"/>
      </rPr>
      <t>财务费用</t>
    </r>
  </si>
  <si>
    <t>土地使用税</t>
  </si>
  <si>
    <r>
      <rPr>
        <sz val="9"/>
        <rFont val="宋体"/>
        <charset val="134"/>
      </rPr>
      <t>加：其他收益</t>
    </r>
  </si>
  <si>
    <r>
      <rPr>
        <sz val="9"/>
        <rFont val="宋体"/>
        <charset val="134"/>
      </rPr>
      <t>水利基金</t>
    </r>
  </si>
  <si>
    <r>
      <rPr>
        <sz val="9"/>
        <rFont val="宋体"/>
        <charset val="134"/>
      </rPr>
      <t>投资收益（损失以</t>
    </r>
    <r>
      <rPr>
        <sz val="9"/>
        <rFont val="Times New Roman"/>
        <charset val="134"/>
      </rPr>
      <t>“-”</t>
    </r>
    <r>
      <rPr>
        <sz val="9"/>
        <rFont val="宋体"/>
        <charset val="134"/>
      </rPr>
      <t>号填列）</t>
    </r>
  </si>
  <si>
    <r>
      <rPr>
        <sz val="9"/>
        <rFont val="宋体"/>
        <charset val="134"/>
      </rPr>
      <t>河道费</t>
    </r>
  </si>
  <si>
    <r>
      <rPr>
        <sz val="9"/>
        <rFont val="宋体"/>
        <charset val="134"/>
      </rPr>
      <t>净敝口套现（损失以</t>
    </r>
    <r>
      <rPr>
        <sz val="9"/>
        <rFont val="Times New Roman"/>
        <charset val="134"/>
      </rPr>
      <t>“-”</t>
    </r>
    <r>
      <rPr>
        <sz val="9"/>
        <rFont val="宋体"/>
        <charset val="134"/>
      </rPr>
      <t>号填列）</t>
    </r>
  </si>
  <si>
    <r>
      <rPr>
        <sz val="9"/>
        <rFont val="宋体"/>
        <charset val="134"/>
      </rPr>
      <t>资源税</t>
    </r>
  </si>
  <si>
    <r>
      <rPr>
        <sz val="9"/>
        <rFont val="宋体"/>
        <charset val="134"/>
      </rPr>
      <t>公允价值变动收益（损失以</t>
    </r>
    <r>
      <rPr>
        <sz val="9"/>
        <rFont val="Times New Roman"/>
        <charset val="134"/>
      </rPr>
      <t>“-”</t>
    </r>
    <r>
      <rPr>
        <sz val="9"/>
        <rFont val="宋体"/>
        <charset val="134"/>
      </rPr>
      <t>号填列）</t>
    </r>
  </si>
  <si>
    <r>
      <rPr>
        <sz val="9"/>
        <rFont val="宋体"/>
        <charset val="134"/>
      </rPr>
      <t>营业税</t>
    </r>
  </si>
  <si>
    <r>
      <rPr>
        <sz val="9"/>
        <rFont val="宋体"/>
        <charset val="134"/>
      </rPr>
      <t>信用减值损失（损失以</t>
    </r>
    <r>
      <rPr>
        <sz val="9"/>
        <rFont val="Times New Roman"/>
        <charset val="134"/>
      </rPr>
      <t>“-”</t>
    </r>
    <r>
      <rPr>
        <sz val="9"/>
        <rFont val="宋体"/>
        <charset val="134"/>
      </rPr>
      <t>号填列）</t>
    </r>
  </si>
  <si>
    <r>
      <rPr>
        <sz val="9"/>
        <rFont val="宋体"/>
        <charset val="134"/>
      </rPr>
      <t>个人所得税</t>
    </r>
  </si>
  <si>
    <r>
      <rPr>
        <sz val="9"/>
        <rFont val="宋体"/>
        <charset val="134"/>
      </rPr>
      <t>递进</t>
    </r>
  </si>
  <si>
    <r>
      <rPr>
        <sz val="9"/>
        <rFont val="宋体"/>
        <charset val="134"/>
      </rPr>
      <t>资产减值损失（损失以</t>
    </r>
    <r>
      <rPr>
        <sz val="9"/>
        <rFont val="Times New Roman"/>
        <charset val="134"/>
      </rPr>
      <t>“-”</t>
    </r>
    <r>
      <rPr>
        <sz val="9"/>
        <rFont val="宋体"/>
        <charset val="134"/>
      </rPr>
      <t>号填列）</t>
    </r>
  </si>
  <si>
    <r>
      <rPr>
        <sz val="9"/>
        <rFont val="Times New Roman"/>
        <charset val="134"/>
      </rPr>
      <t>***</t>
    </r>
    <r>
      <rPr>
        <sz val="9"/>
        <rFont val="宋体"/>
        <charset val="134"/>
      </rPr>
      <t>税</t>
    </r>
  </si>
  <si>
    <r>
      <rPr>
        <sz val="9"/>
        <rFont val="宋体"/>
        <charset val="134"/>
      </rPr>
      <t>资产处置收益（损失以</t>
    </r>
    <r>
      <rPr>
        <sz val="9"/>
        <rFont val="Times New Roman"/>
        <charset val="134"/>
      </rPr>
      <t>“-”</t>
    </r>
    <r>
      <rPr>
        <sz val="9"/>
        <rFont val="宋体"/>
        <charset val="134"/>
      </rPr>
      <t>号填列）</t>
    </r>
  </si>
  <si>
    <r>
      <rPr>
        <b/>
        <sz val="9"/>
        <rFont val="宋体"/>
        <charset val="134"/>
      </rPr>
      <t>三、营业利润</t>
    </r>
  </si>
  <si>
    <r>
      <rPr>
        <sz val="9"/>
        <rFont val="宋体"/>
        <charset val="134"/>
      </rPr>
      <t>加：营业外收入</t>
    </r>
  </si>
  <si>
    <r>
      <rPr>
        <sz val="9"/>
        <rFont val="宋体"/>
        <charset val="134"/>
      </rPr>
      <t>减：营业外支出</t>
    </r>
  </si>
  <si>
    <r>
      <rPr>
        <b/>
        <sz val="9"/>
        <rFont val="宋体"/>
        <charset val="134"/>
      </rPr>
      <t>四、利润总额</t>
    </r>
  </si>
  <si>
    <r>
      <rPr>
        <sz val="9"/>
        <rFont val="宋体"/>
        <charset val="134"/>
      </rPr>
      <t>减：所得税费用</t>
    </r>
  </si>
  <si>
    <r>
      <rPr>
        <b/>
        <sz val="9"/>
        <rFont val="宋体"/>
        <charset val="134"/>
      </rPr>
      <t>五、净利润</t>
    </r>
  </si>
  <si>
    <r>
      <rPr>
        <sz val="9"/>
        <rFont val="宋体"/>
        <charset val="134"/>
      </rPr>
      <t>归属于母公司所有者的净利润</t>
    </r>
  </si>
  <si>
    <r>
      <rPr>
        <sz val="9"/>
        <rFont val="宋体"/>
        <charset val="134"/>
      </rPr>
      <t>少数股东损益</t>
    </r>
  </si>
  <si>
    <t>期限</t>
  </si>
  <si>
    <t>项目</t>
  </si>
  <si>
    <t>审计机构</t>
  </si>
  <si>
    <t>报告号</t>
  </si>
  <si>
    <t>审计意见</t>
  </si>
  <si>
    <r>
      <rPr>
        <b/>
        <sz val="10"/>
        <rFont val="宋体"/>
        <charset val="134"/>
      </rPr>
      <t>时间</t>
    </r>
  </si>
  <si>
    <r>
      <rPr>
        <b/>
        <sz val="10"/>
        <rFont val="宋体"/>
        <charset val="134"/>
      </rPr>
      <t>工业生产者出厂价格指数</t>
    </r>
  </si>
  <si>
    <t>企业商品交易价格指数</t>
  </si>
  <si>
    <r>
      <rPr>
        <b/>
        <sz val="10"/>
        <rFont val="宋体"/>
        <charset val="134"/>
      </rPr>
      <t>增值税税率</t>
    </r>
  </si>
  <si>
    <r>
      <rPr>
        <b/>
        <sz val="10"/>
        <rFont val="宋体"/>
        <charset val="134"/>
      </rPr>
      <t>国债收益率</t>
    </r>
  </si>
  <si>
    <r>
      <rPr>
        <b/>
        <sz val="10"/>
        <rFont val="宋体"/>
        <charset val="134"/>
      </rPr>
      <t>中致成</t>
    </r>
  </si>
  <si>
    <r>
      <rPr>
        <b/>
        <sz val="10"/>
        <rFont val="宋体"/>
        <charset val="134"/>
      </rPr>
      <t>中瑞</t>
    </r>
  </si>
  <si>
    <r>
      <rPr>
        <b/>
        <sz val="10"/>
        <rFont val="宋体"/>
        <charset val="134"/>
      </rPr>
      <t>原始</t>
    </r>
    <r>
      <rPr>
        <b/>
        <sz val="10"/>
        <rFont val="Times New Roman"/>
        <charset val="134"/>
      </rPr>
      <t>lpr</t>
    </r>
  </si>
  <si>
    <r>
      <rPr>
        <b/>
        <sz val="10"/>
        <rFont val="宋体"/>
        <charset val="134"/>
      </rPr>
      <t>人民币月底汇率</t>
    </r>
  </si>
  <si>
    <r>
      <rPr>
        <b/>
        <sz val="10"/>
        <rFont val="宋体"/>
        <charset val="134"/>
      </rPr>
      <t>环比指数</t>
    </r>
  </si>
  <si>
    <r>
      <rPr>
        <b/>
        <sz val="10"/>
        <rFont val="宋体"/>
        <charset val="134"/>
      </rPr>
      <t>环比比例</t>
    </r>
  </si>
  <si>
    <t>指数</t>
  </si>
  <si>
    <t>设备</t>
  </si>
  <si>
    <t>运、安、调、基</t>
  </si>
  <si>
    <t>前期费</t>
  </si>
  <si>
    <r>
      <rPr>
        <b/>
        <sz val="10"/>
        <rFont val="Times New Roman"/>
        <charset val="134"/>
      </rPr>
      <t>5</t>
    </r>
    <r>
      <rPr>
        <b/>
        <sz val="10"/>
        <rFont val="宋体"/>
        <charset val="134"/>
      </rPr>
      <t>年期</t>
    </r>
  </si>
  <si>
    <t>10年期</t>
  </si>
  <si>
    <t>30年期</t>
  </si>
  <si>
    <r>
      <rPr>
        <b/>
        <sz val="10"/>
        <rFont val="Times New Roman"/>
        <charset val="134"/>
      </rPr>
      <t>5-10</t>
    </r>
    <r>
      <rPr>
        <b/>
        <sz val="10"/>
        <rFont val="宋体"/>
        <charset val="134"/>
      </rPr>
      <t>年</t>
    </r>
  </si>
  <si>
    <r>
      <rPr>
        <b/>
        <sz val="10"/>
        <rFont val="Times New Roman"/>
        <charset val="134"/>
      </rPr>
      <t>10</t>
    </r>
    <r>
      <rPr>
        <b/>
        <sz val="10"/>
        <rFont val="宋体"/>
        <charset val="134"/>
      </rPr>
      <t>年以上</t>
    </r>
  </si>
  <si>
    <r>
      <rPr>
        <b/>
        <sz val="10"/>
        <rFont val="宋体"/>
        <charset val="134"/>
      </rPr>
      <t>无风险报酬率</t>
    </r>
  </si>
  <si>
    <r>
      <rPr>
        <b/>
        <sz val="10"/>
        <rFont val="宋体"/>
        <charset val="134"/>
      </rPr>
      <t>风险溢价</t>
    </r>
  </si>
  <si>
    <r>
      <rPr>
        <b/>
        <sz val="10"/>
        <rFont val="Times New Roman"/>
        <charset val="134"/>
      </rPr>
      <t>5-10</t>
    </r>
    <r>
      <rPr>
        <b/>
        <sz val="10"/>
        <rFont val="宋体"/>
        <charset val="134"/>
      </rPr>
      <t>年无风险</t>
    </r>
  </si>
  <si>
    <r>
      <rPr>
        <b/>
        <sz val="10"/>
        <rFont val="Times New Roman"/>
        <charset val="134"/>
      </rPr>
      <t>5-10</t>
    </r>
    <r>
      <rPr>
        <b/>
        <sz val="10"/>
        <rFont val="宋体"/>
        <charset val="134"/>
      </rPr>
      <t>年风险溢价</t>
    </r>
  </si>
  <si>
    <r>
      <rPr>
        <b/>
        <sz val="10"/>
        <rFont val="Times New Roman"/>
        <charset val="134"/>
      </rPr>
      <t>10</t>
    </r>
    <r>
      <rPr>
        <b/>
        <sz val="10"/>
        <rFont val="宋体"/>
        <charset val="134"/>
      </rPr>
      <t>年以上无风险</t>
    </r>
  </si>
  <si>
    <r>
      <rPr>
        <b/>
        <sz val="10"/>
        <rFont val="Times New Roman"/>
        <charset val="134"/>
      </rPr>
      <t>10</t>
    </r>
    <r>
      <rPr>
        <b/>
        <sz val="10"/>
        <rFont val="宋体"/>
        <charset val="134"/>
      </rPr>
      <t>年以上风险溢价</t>
    </r>
  </si>
  <si>
    <t>1年期LPR</t>
  </si>
  <si>
    <t>5年期以上LPR</t>
  </si>
  <si>
    <t>美元</t>
  </si>
  <si>
    <t>欧元</t>
  </si>
  <si>
    <t>日元</t>
  </si>
  <si>
    <t>港元</t>
  </si>
  <si>
    <t>英镑</t>
  </si>
  <si>
    <t>澳大利亚元</t>
  </si>
  <si>
    <t>新西兰元</t>
  </si>
  <si>
    <t>新加坡元</t>
  </si>
  <si>
    <t>法郎</t>
  </si>
  <si>
    <t>加拿大元</t>
  </si>
  <si>
    <t>林吉特</t>
  </si>
  <si>
    <t>卢布</t>
  </si>
  <si>
    <t>兰特</t>
  </si>
  <si>
    <t>韩元</t>
  </si>
  <si>
    <t>阿联酋迪拉姆</t>
  </si>
  <si>
    <t>沙特里亚尔</t>
  </si>
  <si>
    <t>匈牙利福林</t>
  </si>
  <si>
    <t>波兰兹罗提</t>
  </si>
  <si>
    <t>丹麦克朗</t>
  </si>
  <si>
    <t>瑞典克朗</t>
  </si>
  <si>
    <t>挪威克朗</t>
  </si>
  <si>
    <t>里拉</t>
  </si>
  <si>
    <t>比索</t>
  </si>
  <si>
    <t>泰铢</t>
  </si>
  <si>
    <t>1美元对人民币6.9646元，1欧元对人民币7.4229元，100日元对人民币5.2358元，1港元对人民币0.89327元，1英镑对人民币8.3941元，1澳大利亚元对人民币4.7138元，1新西兰元对人民币4.4162元，1新加坡元对人民币5.1831元，1瑞士法郎对人民币7.5432元，1加拿大元对人民币5.1385元，人民币1元对0.63405林吉特，人民币1元对10.6193俄罗斯卢布，人民币1元对2.4312南非兰特，人民币1元对181.06韩元，人民币1元对0.52726阿联酋迪拉姆，人民币1元对0.53971沙特里亚尔，人民币1元对53.8329匈牙利福林，人民币1元对0.62980波兰兹罗提，人民币1元对1.0017丹麦克朗，人民币1元对1.5017瑞典克朗，人民币1元对1.4201挪威克朗，人民币1元对2.68597土耳其里拉，人民币1元对2.7958墨西哥比索，人民币1元对4.9647泰铢。</t>
  </si>
  <si>
    <t>-</t>
  </si>
  <si>
    <r>
      <rPr>
        <b/>
        <sz val="9"/>
        <rFont val="宋体"/>
        <charset val="134"/>
      </rPr>
      <t>序号</t>
    </r>
  </si>
  <si>
    <r>
      <rPr>
        <b/>
        <sz val="9"/>
        <rFont val="宋体"/>
        <charset val="134"/>
      </rPr>
      <t>参数</t>
    </r>
  </si>
  <si>
    <r>
      <rPr>
        <b/>
        <sz val="9"/>
        <rFont val="宋体"/>
        <charset val="134"/>
      </rPr>
      <t>表格名称</t>
    </r>
  </si>
  <si>
    <r>
      <rPr>
        <b/>
        <sz val="9"/>
        <rFont val="宋体"/>
        <charset val="134"/>
      </rPr>
      <t>报表金额</t>
    </r>
  </si>
  <si>
    <r>
      <rPr>
        <b/>
        <sz val="9"/>
        <rFont val="宋体"/>
        <charset val="134"/>
      </rPr>
      <t>账面值</t>
    </r>
  </si>
  <si>
    <r>
      <rPr>
        <b/>
        <sz val="9"/>
        <rFont val="宋体"/>
        <charset val="134"/>
      </rPr>
      <t>评估值</t>
    </r>
  </si>
  <si>
    <r>
      <rPr>
        <b/>
        <sz val="9"/>
        <rFont val="宋体"/>
        <charset val="134"/>
      </rPr>
      <t>合计</t>
    </r>
  </si>
  <si>
    <r>
      <rPr>
        <b/>
        <sz val="9"/>
        <rFont val="宋体"/>
        <charset val="134"/>
      </rPr>
      <t>判断</t>
    </r>
  </si>
  <si>
    <r>
      <rPr>
        <b/>
        <sz val="9"/>
        <rFont val="宋体"/>
        <charset val="134"/>
      </rPr>
      <t>新旧</t>
    </r>
  </si>
  <si>
    <t>BB4</t>
  </si>
  <si>
    <t>BC4</t>
  </si>
  <si>
    <t>A:A</t>
  </si>
  <si>
    <r>
      <rPr>
        <b/>
        <sz val="9"/>
        <rFont val="宋体"/>
        <charset val="134"/>
      </rPr>
      <t>生成未审表</t>
    </r>
  </si>
  <si>
    <r>
      <rPr>
        <b/>
        <sz val="9"/>
        <rFont val="宋体"/>
        <charset val="134"/>
      </rPr>
      <t>生成审定表</t>
    </r>
  </si>
  <si>
    <r>
      <rPr>
        <b/>
        <sz val="9"/>
        <rFont val="宋体"/>
        <charset val="134"/>
      </rPr>
      <t>生成打印表</t>
    </r>
  </si>
  <si>
    <r>
      <rPr>
        <b/>
        <sz val="9"/>
        <rFont val="宋体"/>
        <charset val="134"/>
      </rPr>
      <t>反贴申报表</t>
    </r>
  </si>
  <si>
    <r>
      <rPr>
        <b/>
        <sz val="9"/>
        <rFont val="宋体"/>
        <charset val="134"/>
      </rPr>
      <t>原值</t>
    </r>
  </si>
  <si>
    <r>
      <rPr>
        <b/>
        <sz val="9"/>
        <rFont val="宋体"/>
        <charset val="134"/>
      </rPr>
      <t>余额</t>
    </r>
  </si>
  <si>
    <r>
      <rPr>
        <b/>
        <sz val="9"/>
        <rFont val="宋体"/>
        <charset val="134"/>
      </rPr>
      <t>计提跌价准备</t>
    </r>
  </si>
  <si>
    <r>
      <rPr>
        <b/>
        <sz val="9"/>
        <rFont val="宋体"/>
        <charset val="134"/>
      </rPr>
      <t>净值</t>
    </r>
  </si>
  <si>
    <r>
      <rPr>
        <b/>
        <sz val="9"/>
        <rFont val="宋体"/>
        <charset val="134"/>
      </rPr>
      <t>行数</t>
    </r>
  </si>
  <si>
    <r>
      <rPr>
        <b/>
        <sz val="9"/>
        <rFont val="宋体"/>
        <charset val="134"/>
      </rPr>
      <t>开始行</t>
    </r>
  </si>
  <si>
    <r>
      <rPr>
        <b/>
        <sz val="9"/>
        <rFont val="宋体"/>
        <charset val="134"/>
      </rPr>
      <t>明细数量</t>
    </r>
  </si>
  <si>
    <r>
      <rPr>
        <b/>
        <sz val="9"/>
        <rFont val="宋体"/>
        <charset val="134"/>
      </rPr>
      <t>计数</t>
    </r>
  </si>
  <si>
    <r>
      <rPr>
        <b/>
        <sz val="9"/>
        <rFont val="宋体"/>
        <charset val="134"/>
      </rPr>
      <t>列</t>
    </r>
    <r>
      <rPr>
        <b/>
        <sz val="9"/>
        <rFont val="Times New Roman"/>
        <charset val="134"/>
      </rPr>
      <t>1</t>
    </r>
  </si>
  <si>
    <r>
      <rPr>
        <b/>
        <sz val="9"/>
        <rFont val="宋体"/>
        <charset val="134"/>
      </rPr>
      <t>列</t>
    </r>
    <r>
      <rPr>
        <b/>
        <sz val="9"/>
        <rFont val="Times New Roman"/>
        <charset val="134"/>
      </rPr>
      <t>2</t>
    </r>
  </si>
  <si>
    <r>
      <rPr>
        <b/>
        <sz val="9"/>
        <rFont val="宋体"/>
        <charset val="134"/>
      </rPr>
      <t>列</t>
    </r>
    <r>
      <rPr>
        <b/>
        <sz val="9"/>
        <rFont val="Times New Roman"/>
        <charset val="134"/>
      </rPr>
      <t>3</t>
    </r>
  </si>
  <si>
    <r>
      <rPr>
        <b/>
        <sz val="9"/>
        <rFont val="宋体"/>
        <charset val="134"/>
      </rPr>
      <t>列</t>
    </r>
    <r>
      <rPr>
        <b/>
        <sz val="9"/>
        <rFont val="Times New Roman"/>
        <charset val="134"/>
      </rPr>
      <t>4</t>
    </r>
  </si>
  <si>
    <r>
      <rPr>
        <b/>
        <sz val="9"/>
        <rFont val="宋体"/>
        <charset val="134"/>
      </rPr>
      <t>列</t>
    </r>
    <r>
      <rPr>
        <b/>
        <sz val="9"/>
        <rFont val="Times New Roman"/>
        <charset val="134"/>
      </rPr>
      <t>5</t>
    </r>
  </si>
  <si>
    <t>始1</t>
  </si>
  <si>
    <t>末1</t>
  </si>
  <si>
    <t>始2</t>
  </si>
  <si>
    <t>末2</t>
  </si>
  <si>
    <t>始3</t>
  </si>
  <si>
    <t>末3</t>
  </si>
  <si>
    <t>始4</t>
  </si>
  <si>
    <t>末4</t>
  </si>
  <si>
    <t>始5</t>
  </si>
  <si>
    <t>末5</t>
  </si>
  <si>
    <t>始6</t>
  </si>
  <si>
    <t>末6</t>
  </si>
  <si>
    <r>
      <rPr>
        <b/>
        <sz val="9"/>
        <rFont val="宋体"/>
        <charset val="134"/>
      </rPr>
      <t>全部表格</t>
    </r>
  </si>
  <si>
    <r>
      <rPr>
        <b/>
        <sz val="9"/>
        <rFont val="宋体"/>
        <charset val="134"/>
      </rPr>
      <t>申报表</t>
    </r>
  </si>
  <si>
    <t>隐藏表</t>
  </si>
  <si>
    <r>
      <rPr>
        <b/>
        <sz val="9"/>
        <rFont val="宋体"/>
        <charset val="134"/>
      </rPr>
      <t>共</t>
    </r>
  </si>
  <si>
    <t>资负表</t>
  </si>
  <si>
    <t>营业收入</t>
  </si>
  <si>
    <t>历史收支客户构成</t>
  </si>
  <si>
    <t>利润表</t>
  </si>
  <si>
    <t>营业成本</t>
  </si>
  <si>
    <t>正在执行合同统计表</t>
  </si>
  <si>
    <t>流量表</t>
  </si>
  <si>
    <t>税金及附加</t>
  </si>
  <si>
    <t>销售费用</t>
  </si>
  <si>
    <t>收入附表</t>
  </si>
  <si>
    <r>
      <rPr>
        <sz val="9"/>
        <rFont val="宋体"/>
        <charset val="134"/>
      </rPr>
      <t>共</t>
    </r>
  </si>
  <si>
    <t>G:K</t>
  </si>
  <si>
    <t>F:G</t>
  </si>
  <si>
    <t>I:K</t>
  </si>
  <si>
    <t>B</t>
  </si>
  <si>
    <t>C</t>
  </si>
  <si>
    <t>F</t>
  </si>
  <si>
    <t>G</t>
  </si>
  <si>
    <t>L</t>
  </si>
  <si>
    <t>管理费用</t>
  </si>
  <si>
    <t>H:L</t>
  </si>
  <si>
    <t>G:H</t>
  </si>
  <si>
    <t>J:L</t>
  </si>
  <si>
    <t>D</t>
  </si>
  <si>
    <t>H</t>
  </si>
  <si>
    <t>M</t>
  </si>
  <si>
    <t>研发费用</t>
  </si>
  <si>
    <t>成本附表</t>
  </si>
  <si>
    <t>I:M</t>
  </si>
  <si>
    <t>H:I</t>
  </si>
  <si>
    <t>K:M</t>
  </si>
  <si>
    <t>E</t>
  </si>
  <si>
    <t>I</t>
  </si>
  <si>
    <t>N</t>
  </si>
  <si>
    <t>财务费用</t>
  </si>
  <si>
    <r>
      <rPr>
        <b/>
        <sz val="9"/>
        <rFont val="宋体"/>
        <charset val="134"/>
      </rPr>
      <t>旧</t>
    </r>
  </si>
  <si>
    <t>其他收益</t>
  </si>
  <si>
    <t>税金及附加附表</t>
  </si>
  <si>
    <t>L:Q</t>
  </si>
  <si>
    <t>K:L</t>
  </si>
  <si>
    <t>O:Q</t>
  </si>
  <si>
    <t>F:I</t>
  </si>
  <si>
    <t>J</t>
  </si>
  <si>
    <t>R</t>
  </si>
  <si>
    <t>营业外收支</t>
  </si>
  <si>
    <t>M:Q</t>
  </si>
  <si>
    <t>L:M</t>
  </si>
  <si>
    <t>G:J</t>
  </si>
  <si>
    <t>K</t>
  </si>
  <si>
    <t>所得税</t>
  </si>
  <si>
    <t>销售费用附表</t>
  </si>
  <si>
    <t>折旧摊销</t>
  </si>
  <si>
    <r>
      <rPr>
        <b/>
        <sz val="9"/>
        <rFont val="宋体"/>
        <charset val="134"/>
      </rPr>
      <t>新</t>
    </r>
  </si>
  <si>
    <t>资本性支出</t>
  </si>
  <si>
    <t>管理费用附表</t>
  </si>
  <si>
    <t>营运资金</t>
  </si>
  <si>
    <t>现金流量</t>
  </si>
  <si>
    <t>研发费用附表</t>
  </si>
  <si>
    <t>K:N</t>
  </si>
  <si>
    <t>J:K</t>
  </si>
  <si>
    <t>M:N</t>
  </si>
  <si>
    <t>O</t>
  </si>
  <si>
    <t>利息测算</t>
  </si>
  <si>
    <t>L:S</t>
  </si>
  <si>
    <t>J:M</t>
  </si>
  <si>
    <t>P:S</t>
  </si>
  <si>
    <t>F:M</t>
  </si>
  <si>
    <t>T</t>
  </si>
  <si>
    <t>L:AA</t>
  </si>
  <si>
    <t>AC:AJ</t>
  </si>
  <si>
    <t>K:AD</t>
  </si>
  <si>
    <t>AG:AJ</t>
  </si>
  <si>
    <t>G:AD</t>
  </si>
  <si>
    <t>Y</t>
  </si>
  <si>
    <t>AA</t>
  </si>
  <si>
    <t>AC</t>
  </si>
  <si>
    <t>AD</t>
  </si>
  <si>
    <t>AK</t>
  </si>
  <si>
    <t>折旧摊销附表</t>
  </si>
  <si>
    <t>M:T</t>
  </si>
  <si>
    <t>Q:T</t>
  </si>
  <si>
    <t>G:N</t>
  </si>
  <si>
    <t>U</t>
  </si>
  <si>
    <t>更新支出折旧摊销表</t>
  </si>
  <si>
    <t>L:P</t>
  </si>
  <si>
    <t>N:P</t>
  </si>
  <si>
    <t>D:G</t>
  </si>
  <si>
    <t>Q</t>
  </si>
  <si>
    <t>更新支出</t>
  </si>
  <si>
    <t>E:I</t>
  </si>
  <si>
    <t>扩产支出及折旧</t>
  </si>
  <si>
    <t>校验表</t>
  </si>
  <si>
    <t>M:X</t>
  </si>
  <si>
    <t>I:O</t>
  </si>
  <si>
    <t>T:X</t>
  </si>
  <si>
    <t>E:O</t>
  </si>
  <si>
    <t>其他资产及负债</t>
  </si>
  <si>
    <t>N:Z</t>
  </si>
  <si>
    <t>J:Q</t>
  </si>
  <si>
    <t>V:Z</t>
  </si>
  <si>
    <t>F:Q</t>
  </si>
  <si>
    <t>折现率</t>
  </si>
  <si>
    <t>N:Y</t>
  </si>
  <si>
    <t>J:P</t>
  </si>
  <si>
    <t>U:Y</t>
  </si>
  <si>
    <t>F:P</t>
  </si>
  <si>
    <t>P</t>
  </si>
  <si>
    <t>Z</t>
  </si>
  <si>
    <t>股权价值测算表</t>
  </si>
  <si>
    <t>P:AA</t>
  </si>
  <si>
    <t>L:R</t>
  </si>
  <si>
    <t>W:AA</t>
  </si>
  <si>
    <t>H:R</t>
  </si>
  <si>
    <t>AB</t>
  </si>
  <si>
    <t>O:Z</t>
  </si>
  <si>
    <t>K:Q</t>
  </si>
  <si>
    <t>G:Q</t>
  </si>
  <si>
    <t>K:P</t>
  </si>
  <si>
    <t>T:Y</t>
  </si>
  <si>
    <t>G:P</t>
  </si>
  <si>
    <t>C:G</t>
  </si>
  <si>
    <t>S:Z</t>
  </si>
  <si>
    <t>AC:AW</t>
  </si>
  <si>
    <t>S:AS</t>
  </si>
  <si>
    <t>AV:AW</t>
  </si>
  <si>
    <t>O:AS</t>
  </si>
  <si>
    <t>S</t>
  </si>
  <si>
    <t>AX</t>
  </si>
  <si>
    <t>AG:AN</t>
  </si>
  <si>
    <t>AD:AI</t>
  </si>
  <si>
    <t>AM:AN</t>
  </si>
  <si>
    <t>M:AI</t>
  </si>
  <si>
    <t>AI</t>
  </si>
  <si>
    <t>AO</t>
  </si>
  <si>
    <t>D:F</t>
  </si>
  <si>
    <t>J:W</t>
  </si>
  <si>
    <t>AD:AJ</t>
  </si>
  <si>
    <t>AB:AE</t>
  </si>
  <si>
    <t>AH:AJ</t>
  </si>
  <si>
    <t>J:AE</t>
  </si>
  <si>
    <t>X</t>
  </si>
  <si>
    <t>AE</t>
  </si>
  <si>
    <t>G:M</t>
  </si>
  <si>
    <t>I:L</t>
  </si>
  <si>
    <t>K:O</t>
  </si>
  <si>
    <t>M:O</t>
  </si>
  <si>
    <t>E:H</t>
  </si>
  <si>
    <t>K:R</t>
  </si>
  <si>
    <t>O:R</t>
  </si>
  <si>
    <t>E:L</t>
  </si>
  <si>
    <t>L:O</t>
  </si>
  <si>
    <t>N:O</t>
  </si>
  <si>
    <t>D:E</t>
  </si>
  <si>
    <t>G:I</t>
  </si>
  <si>
    <t>K:V</t>
  </si>
  <si>
    <t>AI:AS</t>
  </si>
  <si>
    <t>AF:AK</t>
  </si>
  <si>
    <t>AO:AS</t>
  </si>
  <si>
    <t>AA:AK</t>
  </si>
  <si>
    <t>AF</t>
  </si>
  <si>
    <t>AT</t>
  </si>
  <si>
    <t>K:T</t>
  </si>
  <si>
    <t>AE:AI</t>
  </si>
  <si>
    <t>AD:AE</t>
  </si>
  <si>
    <t>AG:AI</t>
  </si>
  <si>
    <t>Y:AB</t>
  </si>
  <si>
    <t>W</t>
  </si>
  <si>
    <t>AJ</t>
  </si>
  <si>
    <t>G:G</t>
  </si>
  <si>
    <t>O:AA</t>
  </si>
  <si>
    <t>AJ:AP</t>
  </si>
  <si>
    <t>AH:AK</t>
  </si>
  <si>
    <t>AN:AP</t>
  </si>
  <si>
    <t>O:AF</t>
  </si>
  <si>
    <t>AG</t>
  </si>
  <si>
    <t>AQ</t>
  </si>
  <si>
    <t>AG:AK</t>
  </si>
  <si>
    <t>AF:AG</t>
  </si>
  <si>
    <t>AI:AK</t>
  </si>
  <si>
    <t>O:AD</t>
  </si>
  <si>
    <t>AL</t>
  </si>
  <si>
    <t>J:U</t>
  </si>
  <si>
    <t>AH:AR</t>
  </si>
  <si>
    <t>AE:AJ</t>
  </si>
  <si>
    <t>AN:AR</t>
  </si>
  <si>
    <t>Z:AJ</t>
  </si>
  <si>
    <t>AS</t>
  </si>
  <si>
    <t>H:H</t>
  </si>
  <si>
    <t>Y:AI</t>
  </si>
  <si>
    <t>V:AA</t>
  </si>
  <si>
    <t>Q:AA</t>
  </si>
  <si>
    <t>V</t>
  </si>
  <si>
    <t>X:AG</t>
  </si>
  <si>
    <t>U:Z</t>
  </si>
  <si>
    <t>AD:AG</t>
  </si>
  <si>
    <t>P:Z</t>
  </si>
  <si>
    <t>AH</t>
  </si>
  <si>
    <t>O:P</t>
  </si>
  <si>
    <t>Z:AI</t>
  </si>
  <si>
    <t>W:AB</t>
  </si>
  <si>
    <t>AF:AI</t>
  </si>
  <si>
    <t>R:AB</t>
  </si>
  <si>
    <t>V:AE</t>
  </si>
  <si>
    <t>S:X</t>
  </si>
  <si>
    <t>L:X</t>
  </si>
  <si>
    <t>N:X</t>
  </si>
  <si>
    <t>D:D</t>
  </si>
  <si>
    <t>E:G</t>
  </si>
  <si>
    <t>U:AD</t>
  </si>
  <si>
    <t>R:W</t>
  </si>
  <si>
    <t>AA:AD</t>
  </si>
  <si>
    <t>M:W</t>
  </si>
  <si>
    <t>G:L</t>
  </si>
  <si>
    <t>U:AC</t>
  </si>
  <si>
    <t>AA:AC</t>
  </si>
  <si>
    <t>G:W</t>
  </si>
  <si>
    <t>AG:AM</t>
  </si>
  <si>
    <t>AE:AH</t>
  </si>
  <si>
    <t>AK:AM</t>
  </si>
  <si>
    <t>AA:AH</t>
  </si>
  <si>
    <t>AN</t>
  </si>
  <si>
    <t>N:R</t>
  </si>
  <si>
    <t>P:R</t>
  </si>
  <si>
    <t>J:N</t>
  </si>
  <si>
    <t>P:AB</t>
  </si>
  <si>
    <t>I:R</t>
  </si>
  <si>
    <t>I:J</t>
  </si>
  <si>
    <t>L:N</t>
  </si>
  <si>
    <t>F:J</t>
  </si>
  <si>
    <t>S:V</t>
  </si>
  <si>
    <t>R:S</t>
  </si>
  <si>
    <t>U:V</t>
  </si>
  <si>
    <t>O:S</t>
  </si>
  <si>
    <t>W:Z</t>
  </si>
  <si>
    <t>R:AA</t>
  </si>
  <si>
    <t>O:T</t>
  </si>
  <si>
    <t>X:AA</t>
  </si>
  <si>
    <t>J:T</t>
  </si>
  <si>
    <t>S:AB</t>
  </si>
  <si>
    <t>P:U</t>
  </si>
  <si>
    <t>K:U</t>
  </si>
  <si>
    <t>C:D</t>
  </si>
  <si>
    <t>M:Y</t>
  </si>
  <si>
    <t>AF:AJ</t>
  </si>
  <si>
    <t>AE:AF</t>
  </si>
  <si>
    <t>M:AC</t>
  </si>
  <si>
    <t>Q:S</t>
  </si>
  <si>
    <t>D:H</t>
  </si>
  <si>
    <t>M:M</t>
  </si>
  <si>
    <t>K:K</t>
  </si>
  <si>
    <t>L:L</t>
  </si>
  <si>
    <t>AA:AB</t>
  </si>
  <si>
    <t>J:AB</t>
  </si>
  <si>
    <t>F:F</t>
  </si>
  <si>
    <t>F:K</t>
  </si>
  <si>
    <t>H:J</t>
  </si>
  <si>
    <t>J:J</t>
  </si>
  <si>
    <t>N:N</t>
  </si>
  <si>
    <t>Q:R</t>
  </si>
  <si>
    <t>Q:Q</t>
  </si>
  <si>
    <t>E:M</t>
  </si>
  <si>
    <r>
      <rPr>
        <b/>
        <sz val="9"/>
        <rFont val="宋体"/>
        <charset val="134"/>
      </rPr>
      <t>名称</t>
    </r>
  </si>
  <si>
    <r>
      <rPr>
        <b/>
        <sz val="9"/>
        <rFont val="宋体"/>
        <charset val="134"/>
      </rPr>
      <t>是否删除</t>
    </r>
  </si>
  <si>
    <r>
      <rPr>
        <b/>
        <sz val="9"/>
        <rFont val="宋体"/>
        <charset val="134"/>
      </rPr>
      <t>具体内容</t>
    </r>
  </si>
  <si>
    <r>
      <rPr>
        <b/>
        <sz val="9"/>
        <rFont val="宋体"/>
        <charset val="134"/>
      </rPr>
      <t>单元格</t>
    </r>
  </si>
  <si>
    <r>
      <rPr>
        <b/>
        <sz val="9"/>
        <rFont val="宋体"/>
        <charset val="134"/>
      </rPr>
      <t>起始单元格</t>
    </r>
  </si>
  <si>
    <r>
      <rPr>
        <b/>
        <sz val="9"/>
        <rFont val="宋体"/>
        <charset val="134"/>
      </rPr>
      <t>结束单元格</t>
    </r>
  </si>
  <si>
    <r>
      <rPr>
        <b/>
        <sz val="9"/>
        <rFont val="宋体"/>
        <charset val="134"/>
      </rPr>
      <t>判断列</t>
    </r>
  </si>
  <si>
    <r>
      <rPr>
        <b/>
        <sz val="9"/>
        <rFont val="宋体"/>
        <charset val="134"/>
      </rPr>
      <t>行</t>
    </r>
  </si>
  <si>
    <r>
      <rPr>
        <b/>
        <sz val="9"/>
        <rFont val="宋体"/>
        <charset val="134"/>
      </rPr>
      <t>列</t>
    </r>
  </si>
  <si>
    <r>
      <rPr>
        <b/>
        <sz val="9"/>
        <rFont val="宋体"/>
        <charset val="134"/>
      </rPr>
      <t>项</t>
    </r>
    <r>
      <rPr>
        <b/>
        <sz val="9"/>
        <rFont val="Times New Roman"/>
        <charset val="134"/>
      </rPr>
      <t xml:space="preserve">       </t>
    </r>
    <r>
      <rPr>
        <b/>
        <sz val="9"/>
        <rFont val="宋体"/>
        <charset val="134"/>
      </rPr>
      <t>目</t>
    </r>
  </si>
  <si>
    <r>
      <rPr>
        <b/>
        <sz val="9"/>
        <rFont val="宋体"/>
        <charset val="134"/>
      </rPr>
      <t>账面价值</t>
    </r>
  </si>
  <si>
    <r>
      <rPr>
        <b/>
        <sz val="9"/>
        <rFont val="宋体"/>
        <charset val="134"/>
      </rPr>
      <t>增减值</t>
    </r>
  </si>
  <si>
    <r>
      <rPr>
        <b/>
        <sz val="9"/>
        <rFont val="宋体"/>
        <charset val="134"/>
      </rPr>
      <t>增值率</t>
    </r>
    <r>
      <rPr>
        <b/>
        <sz val="9"/>
        <rFont val="Times New Roman"/>
        <charset val="134"/>
      </rPr>
      <t>(%)</t>
    </r>
  </si>
  <si>
    <r>
      <rPr>
        <sz val="9"/>
        <rFont val="宋体"/>
        <charset val="134"/>
      </rPr>
      <t>报告名称</t>
    </r>
  </si>
  <si>
    <r>
      <rPr>
        <sz val="9"/>
        <rFont val="宋体"/>
        <charset val="134"/>
      </rPr>
      <t>否</t>
    </r>
  </si>
  <si>
    <t>A</t>
  </si>
  <si>
    <t>C=B-A</t>
  </si>
  <si>
    <t>D=C/A*100</t>
  </si>
  <si>
    <r>
      <rPr>
        <sz val="9"/>
        <rFont val="宋体"/>
        <charset val="134"/>
      </rPr>
      <t>被评估单位</t>
    </r>
  </si>
  <si>
    <r>
      <rPr>
        <sz val="9"/>
        <rFont val="宋体"/>
        <charset val="134"/>
      </rPr>
      <t>流动资产</t>
    </r>
  </si>
  <si>
    <r>
      <rPr>
        <sz val="9"/>
        <rFont val="宋体"/>
        <charset val="134"/>
      </rPr>
      <t>评估对象</t>
    </r>
  </si>
  <si>
    <r>
      <rPr>
        <sz val="9"/>
        <rFont val="宋体"/>
        <charset val="134"/>
      </rPr>
      <t>非流动资产</t>
    </r>
  </si>
  <si>
    <r>
      <rPr>
        <sz val="9"/>
        <rFont val="宋体"/>
        <charset val="134"/>
      </rPr>
      <t>报告编号</t>
    </r>
  </si>
  <si>
    <r>
      <rPr>
        <sz val="9"/>
        <rFont val="宋体"/>
        <charset val="134"/>
      </rPr>
      <t>报告日</t>
    </r>
  </si>
  <si>
    <r>
      <rPr>
        <sz val="9"/>
        <rFont val="宋体"/>
        <charset val="134"/>
      </rPr>
      <t>委托人</t>
    </r>
  </si>
  <si>
    <r>
      <rPr>
        <sz val="9"/>
        <rFont val="宋体"/>
        <charset val="134"/>
      </rPr>
      <t>基准日</t>
    </r>
  </si>
  <si>
    <r>
      <rPr>
        <sz val="9"/>
        <rFont val="宋体"/>
        <charset val="134"/>
      </rPr>
      <t>评估方法</t>
    </r>
    <r>
      <rPr>
        <sz val="9"/>
        <rFont val="Times New Roman"/>
        <charset val="134"/>
      </rPr>
      <t>1</t>
    </r>
  </si>
  <si>
    <r>
      <rPr>
        <sz val="9"/>
        <rFont val="宋体"/>
        <charset val="134"/>
      </rPr>
      <t>评估结论取值方法</t>
    </r>
  </si>
  <si>
    <r>
      <rPr>
        <sz val="9"/>
        <rFont val="宋体"/>
        <charset val="134"/>
      </rPr>
      <t>其中：土地使用权</t>
    </r>
  </si>
  <si>
    <r>
      <rPr>
        <sz val="9"/>
        <rFont val="宋体"/>
        <charset val="134"/>
      </rPr>
      <t>评估结论值</t>
    </r>
  </si>
  <si>
    <r>
      <rPr>
        <sz val="9"/>
        <rFont val="宋体"/>
        <charset val="134"/>
      </rPr>
      <t>其他非流动资产</t>
    </r>
  </si>
  <si>
    <r>
      <rPr>
        <sz val="9"/>
        <rFont val="宋体"/>
        <charset val="134"/>
      </rPr>
      <t>净资产账面值</t>
    </r>
  </si>
  <si>
    <r>
      <rPr>
        <b/>
        <sz val="9"/>
        <rFont val="宋体"/>
        <charset val="134"/>
      </rPr>
      <t>资产总计</t>
    </r>
  </si>
  <si>
    <r>
      <rPr>
        <sz val="9"/>
        <rFont val="宋体"/>
        <charset val="134"/>
      </rPr>
      <t>评估结论值增减值</t>
    </r>
  </si>
  <si>
    <r>
      <rPr>
        <sz val="9"/>
        <rFont val="宋体"/>
        <charset val="134"/>
      </rPr>
      <t>流动负债</t>
    </r>
  </si>
  <si>
    <r>
      <rPr>
        <sz val="9"/>
        <rFont val="宋体"/>
        <charset val="134"/>
      </rPr>
      <t>评估结果汇总表</t>
    </r>
  </si>
  <si>
    <r>
      <rPr>
        <sz val="9"/>
        <rFont val="宋体"/>
        <charset val="134"/>
      </rPr>
      <t>说明用表</t>
    </r>
  </si>
  <si>
    <r>
      <rPr>
        <sz val="9"/>
        <rFont val="宋体"/>
        <charset val="134"/>
      </rPr>
      <t>非流动负债</t>
    </r>
  </si>
  <si>
    <r>
      <rPr>
        <sz val="9"/>
        <rFont val="宋体"/>
        <charset val="134"/>
      </rPr>
      <t>报告到期日</t>
    </r>
  </si>
  <si>
    <r>
      <rPr>
        <b/>
        <sz val="9"/>
        <rFont val="宋体"/>
        <charset val="134"/>
      </rPr>
      <t>负债总计</t>
    </r>
  </si>
  <si>
    <r>
      <rPr>
        <sz val="9"/>
        <rFont val="宋体"/>
        <charset val="134"/>
      </rPr>
      <t>评估方法</t>
    </r>
    <r>
      <rPr>
        <sz val="9"/>
        <rFont val="Times New Roman"/>
        <charset val="134"/>
      </rPr>
      <t>2</t>
    </r>
  </si>
  <si>
    <r>
      <rPr>
        <b/>
        <sz val="9"/>
        <rFont val="宋体"/>
        <charset val="134"/>
      </rPr>
      <t>净资产</t>
    </r>
    <r>
      <rPr>
        <b/>
        <sz val="9"/>
        <rFont val="Times New Roman"/>
        <charset val="134"/>
      </rPr>
      <t>(</t>
    </r>
    <r>
      <rPr>
        <b/>
        <sz val="9"/>
        <rFont val="宋体"/>
        <charset val="134"/>
      </rPr>
      <t>所有者权益</t>
    </r>
    <r>
      <rPr>
        <b/>
        <sz val="9"/>
        <rFont val="Times New Roman"/>
        <charset val="134"/>
      </rPr>
      <t>)</t>
    </r>
  </si>
  <si>
    <t>财务状况表</t>
  </si>
  <si>
    <t>经营成果表</t>
  </si>
  <si>
    <r>
      <rPr>
        <sz val="9"/>
        <rFont val="宋体"/>
        <charset val="134"/>
      </rPr>
      <t>审计信息统计表</t>
    </r>
  </si>
  <si>
    <t>科目</t>
  </si>
  <si>
    <r>
      <rPr>
        <sz val="9"/>
        <rFont val="宋体"/>
        <charset val="134"/>
      </rPr>
      <t>总资产账面值</t>
    </r>
  </si>
  <si>
    <r>
      <rPr>
        <sz val="9"/>
        <rFont val="宋体"/>
        <charset val="134"/>
      </rPr>
      <t>总负债账面值</t>
    </r>
  </si>
  <si>
    <t>非流动资产</t>
  </si>
  <si>
    <t>资产评估申报汇总表</t>
  </si>
  <si>
    <r>
      <rPr>
        <sz val="9"/>
        <rFont val="宋体"/>
        <charset val="134"/>
      </rPr>
      <t>审计机构名称</t>
    </r>
  </si>
  <si>
    <r>
      <rPr>
        <sz val="9"/>
        <rFont val="宋体"/>
        <charset val="134"/>
      </rPr>
      <t>审计报告报告号</t>
    </r>
  </si>
  <si>
    <r>
      <rPr>
        <sz val="9"/>
        <rFont val="宋体"/>
        <charset val="134"/>
      </rPr>
      <t>审计报告意见</t>
    </r>
  </si>
  <si>
    <t>主要资产科目明细</t>
  </si>
  <si>
    <t>主要资产具体内容</t>
  </si>
  <si>
    <r>
      <rPr>
        <sz val="9"/>
        <rFont val="宋体"/>
        <charset val="134"/>
      </rPr>
      <t>基础法评估方法</t>
    </r>
  </si>
  <si>
    <t>资产总计</t>
  </si>
  <si>
    <r>
      <rPr>
        <sz val="9"/>
        <rFont val="宋体"/>
        <charset val="134"/>
      </rPr>
      <t>流动资产科目明细</t>
    </r>
  </si>
  <si>
    <r>
      <rPr>
        <sz val="9"/>
        <rFont val="宋体"/>
        <charset val="134"/>
      </rPr>
      <t>流动负债科目明细</t>
    </r>
  </si>
  <si>
    <r>
      <rPr>
        <sz val="9"/>
        <rFont val="宋体"/>
        <charset val="134"/>
      </rPr>
      <t>非流动负债科目明细</t>
    </r>
  </si>
  <si>
    <t>负债总计</t>
  </si>
  <si>
    <r>
      <rPr>
        <sz val="9"/>
        <rFont val="宋体"/>
        <charset val="134"/>
      </rPr>
      <t>收益法评估方法</t>
    </r>
  </si>
  <si>
    <t>净资产</t>
  </si>
  <si>
    <r>
      <rPr>
        <sz val="9"/>
        <rFont val="宋体"/>
        <charset val="134"/>
      </rPr>
      <t>市场法评估方法</t>
    </r>
  </si>
  <si>
    <r>
      <rPr>
        <sz val="9"/>
        <rFont val="宋体"/>
        <charset val="134"/>
      </rPr>
      <t>基础法评估结论</t>
    </r>
  </si>
  <si>
    <t>总资产评估结果</t>
  </si>
  <si>
    <r>
      <rPr>
        <b/>
        <sz val="9"/>
        <rFont val="宋体"/>
        <charset val="134"/>
      </rPr>
      <t>科目（损失以</t>
    </r>
    <r>
      <rPr>
        <b/>
        <sz val="9"/>
        <rFont val="Times New Roman"/>
        <charset val="134"/>
      </rPr>
      <t>“-”</t>
    </r>
    <r>
      <rPr>
        <b/>
        <sz val="9"/>
        <rFont val="宋体"/>
        <charset val="134"/>
      </rPr>
      <t>号填列）</t>
    </r>
  </si>
  <si>
    <r>
      <rPr>
        <sz val="9"/>
        <rFont val="宋体"/>
        <charset val="134"/>
      </rPr>
      <t>总资产增减值</t>
    </r>
  </si>
  <si>
    <t>总负债评估结果</t>
  </si>
  <si>
    <r>
      <rPr>
        <sz val="9"/>
        <rFont val="宋体"/>
        <charset val="134"/>
      </rPr>
      <t>总负债增减值</t>
    </r>
  </si>
  <si>
    <r>
      <rPr>
        <sz val="9"/>
        <rFont val="宋体"/>
        <charset val="134"/>
      </rPr>
      <t>营业税金及附加</t>
    </r>
  </si>
  <si>
    <t>净资产评估结果</t>
  </si>
  <si>
    <r>
      <rPr>
        <sz val="9"/>
        <rFont val="宋体"/>
        <charset val="134"/>
      </rPr>
      <t>净资产增减值</t>
    </r>
  </si>
  <si>
    <r>
      <rPr>
        <sz val="9"/>
        <rFont val="宋体"/>
        <charset val="134"/>
      </rPr>
      <t>基础法评估结果表</t>
    </r>
  </si>
  <si>
    <r>
      <rPr>
        <sz val="9"/>
        <rFont val="宋体"/>
        <charset val="134"/>
      </rPr>
      <t>收益法评估结论</t>
    </r>
  </si>
  <si>
    <t>收益法评估结果</t>
  </si>
  <si>
    <t>0.00</t>
  </si>
  <si>
    <r>
      <rPr>
        <sz val="9"/>
        <rFont val="宋体"/>
        <charset val="134"/>
      </rPr>
      <t>收益法增减值</t>
    </r>
  </si>
  <si>
    <t>无增减值</t>
  </si>
  <si>
    <r>
      <rPr>
        <sz val="9"/>
        <rFont val="宋体"/>
        <charset val="134"/>
      </rPr>
      <t>投资收益</t>
    </r>
  </si>
  <si>
    <r>
      <rPr>
        <sz val="9"/>
        <rFont val="宋体"/>
        <charset val="134"/>
      </rPr>
      <t>市场法评估结论</t>
    </r>
  </si>
  <si>
    <r>
      <rPr>
        <sz val="9"/>
        <rFont val="宋体"/>
        <charset val="134"/>
      </rPr>
      <t>净敝口套现</t>
    </r>
  </si>
  <si>
    <t>市场法评估结果</t>
  </si>
  <si>
    <r>
      <rPr>
        <sz val="9"/>
        <rFont val="宋体"/>
        <charset val="134"/>
      </rPr>
      <t>公允价值变动收益</t>
    </r>
  </si>
  <si>
    <r>
      <rPr>
        <sz val="9"/>
        <rFont val="宋体"/>
        <charset val="134"/>
      </rPr>
      <t>市场法增减值</t>
    </r>
  </si>
  <si>
    <r>
      <rPr>
        <sz val="9"/>
        <rFont val="宋体"/>
        <charset val="134"/>
      </rPr>
      <t>信用减值损失</t>
    </r>
  </si>
  <si>
    <r>
      <rPr>
        <sz val="9"/>
        <rFont val="宋体"/>
        <charset val="134"/>
      </rPr>
      <t>不同方法差异</t>
    </r>
  </si>
  <si>
    <r>
      <rPr>
        <sz val="9"/>
        <rFont val="宋体"/>
        <charset val="134"/>
      </rPr>
      <t>资产减值损失</t>
    </r>
  </si>
  <si>
    <r>
      <rPr>
        <sz val="9"/>
        <rFont val="宋体"/>
        <charset val="134"/>
      </rPr>
      <t>存货科目明细</t>
    </r>
  </si>
  <si>
    <r>
      <rPr>
        <sz val="9"/>
        <rFont val="宋体"/>
        <charset val="134"/>
      </rPr>
      <t>资产处置收益</t>
    </r>
  </si>
  <si>
    <r>
      <rPr>
        <sz val="9"/>
        <rFont val="宋体"/>
        <charset val="134"/>
      </rPr>
      <t>房屋建筑物主要明细</t>
    </r>
  </si>
  <si>
    <r>
      <rPr>
        <b/>
        <sz val="9"/>
        <rFont val="宋体"/>
        <charset val="134"/>
      </rPr>
      <t>二、营业利润</t>
    </r>
  </si>
  <si>
    <r>
      <rPr>
        <sz val="9"/>
        <rFont val="宋体"/>
        <charset val="134"/>
      </rPr>
      <t>构筑物主要明细</t>
    </r>
  </si>
  <si>
    <r>
      <rPr>
        <sz val="9"/>
        <rFont val="宋体"/>
        <charset val="134"/>
      </rPr>
      <t>管道沟槽主要明细</t>
    </r>
  </si>
  <si>
    <r>
      <rPr>
        <sz val="9"/>
        <rFont val="宋体"/>
        <charset val="134"/>
      </rPr>
      <t>机器设备主要明细</t>
    </r>
  </si>
  <si>
    <r>
      <rPr>
        <b/>
        <sz val="9"/>
        <rFont val="宋体"/>
        <charset val="134"/>
      </rPr>
      <t>三、利润总额</t>
    </r>
  </si>
  <si>
    <r>
      <rPr>
        <sz val="9"/>
        <rFont val="宋体"/>
        <charset val="134"/>
      </rPr>
      <t>车辆主要明细</t>
    </r>
  </si>
  <si>
    <r>
      <rPr>
        <sz val="9"/>
        <rFont val="宋体"/>
        <charset val="134"/>
      </rPr>
      <t>电子设备主要明细</t>
    </r>
  </si>
  <si>
    <r>
      <rPr>
        <b/>
        <sz val="9"/>
        <rFont val="宋体"/>
        <charset val="134"/>
      </rPr>
      <t>四、净利润</t>
    </r>
  </si>
  <si>
    <r>
      <rPr>
        <sz val="9"/>
        <rFont val="宋体"/>
        <charset val="134"/>
      </rPr>
      <t>在建工程科目明细</t>
    </r>
  </si>
  <si>
    <r>
      <rPr>
        <sz val="9"/>
        <rFont val="宋体"/>
        <charset val="134"/>
      </rPr>
      <t>无形资产科目明细</t>
    </r>
  </si>
  <si>
    <r>
      <rPr>
        <sz val="9"/>
        <rFont val="宋体"/>
        <charset val="134"/>
      </rPr>
      <t>土地数量</t>
    </r>
  </si>
  <si>
    <r>
      <rPr>
        <sz val="9"/>
        <rFont val="宋体"/>
        <charset val="134"/>
      </rPr>
      <t>土地总面积</t>
    </r>
  </si>
  <si>
    <r>
      <rPr>
        <sz val="9"/>
        <rFont val="宋体"/>
        <charset val="134"/>
      </rPr>
      <t>矿业权数量</t>
    </r>
  </si>
  <si>
    <r>
      <rPr>
        <b/>
        <sz val="9"/>
        <rFont val="宋体"/>
        <charset val="134"/>
      </rPr>
      <t>基础法评估说明</t>
    </r>
  </si>
  <si>
    <r>
      <rPr>
        <sz val="9"/>
        <rFont val="宋体"/>
        <charset val="134"/>
      </rPr>
      <t>流动资产申报汇总表</t>
    </r>
  </si>
  <si>
    <r>
      <rPr>
        <sz val="9"/>
        <rFont val="宋体"/>
        <charset val="134"/>
      </rPr>
      <t>货币资金评估说明</t>
    </r>
  </si>
  <si>
    <r>
      <rPr>
        <sz val="9"/>
        <rFont val="宋体"/>
        <charset val="134"/>
      </rPr>
      <t>货币资金账面值</t>
    </r>
  </si>
  <si>
    <r>
      <rPr>
        <sz val="9"/>
        <rFont val="宋体"/>
        <charset val="134"/>
      </rPr>
      <t>货币资金科目明细</t>
    </r>
  </si>
  <si>
    <r>
      <rPr>
        <sz val="9"/>
        <rFont val="宋体"/>
        <charset val="134"/>
      </rPr>
      <t>一</t>
    </r>
  </si>
  <si>
    <r>
      <rPr>
        <sz val="9"/>
        <rFont val="宋体"/>
        <charset val="134"/>
      </rPr>
      <t>库存现金评估说明</t>
    </r>
  </si>
  <si>
    <r>
      <rPr>
        <sz val="9"/>
        <rFont val="宋体"/>
        <charset val="134"/>
      </rPr>
      <t>二</t>
    </r>
  </si>
  <si>
    <r>
      <rPr>
        <sz val="9"/>
        <rFont val="宋体"/>
        <charset val="134"/>
      </rPr>
      <t>库存现金账面值</t>
    </r>
  </si>
  <si>
    <r>
      <rPr>
        <sz val="9"/>
        <rFont val="宋体"/>
        <charset val="134"/>
      </rPr>
      <t>库存现金主要内容</t>
    </r>
  </si>
  <si>
    <t>库存现金评估结果</t>
  </si>
  <si>
    <r>
      <rPr>
        <sz val="9"/>
        <rFont val="宋体"/>
        <charset val="134"/>
      </rPr>
      <t>银行存款评估说明</t>
    </r>
  </si>
  <si>
    <r>
      <rPr>
        <sz val="9"/>
        <rFont val="宋体"/>
        <charset val="134"/>
      </rPr>
      <t>银行存款账面值</t>
    </r>
  </si>
  <si>
    <r>
      <rPr>
        <sz val="9"/>
        <rFont val="宋体"/>
        <charset val="134"/>
      </rPr>
      <t>银行存款主要内容</t>
    </r>
  </si>
  <si>
    <t>银行存款评估结果</t>
  </si>
  <si>
    <r>
      <rPr>
        <sz val="9"/>
        <rFont val="宋体"/>
        <charset val="134"/>
      </rPr>
      <t>其他货币资金评估说明</t>
    </r>
  </si>
  <si>
    <r>
      <rPr>
        <b/>
        <sz val="9"/>
        <rFont val="宋体"/>
        <charset val="134"/>
      </rPr>
      <t>三</t>
    </r>
  </si>
  <si>
    <r>
      <rPr>
        <sz val="9"/>
        <rFont val="宋体"/>
        <charset val="134"/>
      </rPr>
      <t>其他货币资金账面值</t>
    </r>
  </si>
  <si>
    <r>
      <rPr>
        <sz val="9"/>
        <rFont val="宋体"/>
        <charset val="134"/>
      </rPr>
      <t>四</t>
    </r>
  </si>
  <si>
    <r>
      <rPr>
        <sz val="9"/>
        <rFont val="宋体"/>
        <charset val="134"/>
      </rPr>
      <t>其他货币资金主要内容</t>
    </r>
  </si>
  <si>
    <r>
      <rPr>
        <sz val="9"/>
        <rFont val="宋体"/>
        <charset val="134"/>
      </rPr>
      <t>五</t>
    </r>
  </si>
  <si>
    <t>其他货币资金评估结果</t>
  </si>
  <si>
    <r>
      <rPr>
        <b/>
        <sz val="9"/>
        <rFont val="宋体"/>
        <charset val="134"/>
      </rPr>
      <t>六</t>
    </r>
  </si>
  <si>
    <t>货币资金评估结果</t>
  </si>
  <si>
    <r>
      <rPr>
        <b/>
        <sz val="9"/>
        <rFont val="宋体"/>
        <charset val="134"/>
      </rPr>
      <t>七</t>
    </r>
  </si>
  <si>
    <r>
      <rPr>
        <sz val="9"/>
        <rFont val="宋体"/>
        <charset val="134"/>
      </rPr>
      <t>货币资金增减值值</t>
    </r>
  </si>
  <si>
    <r>
      <rPr>
        <sz val="9"/>
        <rFont val="宋体"/>
        <charset val="134"/>
      </rPr>
      <t>公允、交易金融资产名称</t>
    </r>
  </si>
  <si>
    <r>
      <rPr>
        <sz val="9"/>
        <rFont val="宋体"/>
        <charset val="134"/>
      </rPr>
      <t>公允、交易金融评估说明</t>
    </r>
  </si>
  <si>
    <r>
      <rPr>
        <sz val="9"/>
        <rFont val="宋体"/>
        <charset val="134"/>
      </rPr>
      <t>公允、交易金融资产账面值</t>
    </r>
  </si>
  <si>
    <r>
      <rPr>
        <sz val="9"/>
        <rFont val="宋体"/>
        <charset val="134"/>
      </rPr>
      <t>公允、交易金融资产科目明细</t>
    </r>
  </si>
  <si>
    <r>
      <rPr>
        <sz val="9"/>
        <rFont val="宋体"/>
        <charset val="134"/>
      </rPr>
      <t>公允、交易金融资产评估结果</t>
    </r>
  </si>
  <si>
    <r>
      <rPr>
        <sz val="9"/>
        <rFont val="宋体"/>
        <charset val="134"/>
      </rPr>
      <t>公允、交易金融资产增减值</t>
    </r>
  </si>
  <si>
    <r>
      <rPr>
        <sz val="9"/>
        <rFont val="宋体"/>
        <charset val="134"/>
      </rPr>
      <t>衍生金融资产评估说明</t>
    </r>
  </si>
  <si>
    <r>
      <rPr>
        <sz val="9"/>
        <rFont val="宋体"/>
        <charset val="134"/>
      </rPr>
      <t>衍生金融资产账面值</t>
    </r>
  </si>
  <si>
    <r>
      <rPr>
        <sz val="9"/>
        <rFont val="宋体"/>
        <charset val="134"/>
      </rPr>
      <t>衍生金融资产主要内容</t>
    </r>
  </si>
  <si>
    <t>衍生金融资产评估结果</t>
  </si>
  <si>
    <r>
      <rPr>
        <sz val="9"/>
        <rFont val="宋体"/>
        <charset val="134"/>
      </rPr>
      <t>衍生金融资产增减值</t>
    </r>
  </si>
  <si>
    <r>
      <rPr>
        <sz val="9"/>
        <rFont val="宋体"/>
        <charset val="134"/>
      </rPr>
      <t>应收票据评估说明</t>
    </r>
  </si>
  <si>
    <r>
      <rPr>
        <sz val="9"/>
        <rFont val="宋体"/>
        <charset val="134"/>
      </rPr>
      <t>应收票据账面余额</t>
    </r>
  </si>
  <si>
    <r>
      <rPr>
        <sz val="9"/>
        <rFont val="宋体"/>
        <charset val="134"/>
      </rPr>
      <t>应收票据坏账准备</t>
    </r>
  </si>
  <si>
    <r>
      <rPr>
        <sz val="9"/>
        <rFont val="宋体"/>
        <charset val="134"/>
      </rPr>
      <t>应收票据账面值</t>
    </r>
  </si>
  <si>
    <r>
      <rPr>
        <sz val="9"/>
        <rFont val="宋体"/>
        <charset val="134"/>
      </rPr>
      <t>应收票据主要内容</t>
    </r>
  </si>
  <si>
    <t>应收票据评估结果</t>
  </si>
  <si>
    <r>
      <rPr>
        <sz val="9"/>
        <rFont val="宋体"/>
        <charset val="134"/>
      </rPr>
      <t>应收票据增减值</t>
    </r>
  </si>
  <si>
    <r>
      <rPr>
        <sz val="9"/>
        <rFont val="宋体"/>
        <charset val="134"/>
      </rPr>
      <t>应收、预付、其他应收评估说明</t>
    </r>
  </si>
  <si>
    <r>
      <rPr>
        <sz val="9"/>
        <rFont val="宋体"/>
        <charset val="134"/>
      </rPr>
      <t>应收、预付、其他应收账面值表</t>
    </r>
  </si>
  <si>
    <r>
      <rPr>
        <b/>
        <sz val="9"/>
        <rFont val="宋体"/>
        <charset val="134"/>
      </rPr>
      <t>增值率</t>
    </r>
  </si>
  <si>
    <r>
      <rPr>
        <sz val="9"/>
        <rFont val="宋体"/>
        <charset val="134"/>
      </rPr>
      <t>其他应收款科目明细</t>
    </r>
  </si>
  <si>
    <r>
      <rPr>
        <sz val="9"/>
        <rFont val="宋体"/>
        <charset val="134"/>
      </rPr>
      <t>净资产</t>
    </r>
    <r>
      <rPr>
        <sz val="9"/>
        <rFont val="Times New Roman"/>
        <charset val="134"/>
      </rPr>
      <t>(</t>
    </r>
    <r>
      <rPr>
        <sz val="9"/>
        <rFont val="宋体"/>
        <charset val="134"/>
      </rPr>
      <t>所有者权益</t>
    </r>
    <r>
      <rPr>
        <sz val="9"/>
        <rFont val="Times New Roman"/>
        <charset val="134"/>
      </rPr>
      <t>)</t>
    </r>
  </si>
  <si>
    <r>
      <rPr>
        <sz val="9"/>
        <rFont val="宋体"/>
        <charset val="134"/>
      </rPr>
      <t>应收账款主要内容</t>
    </r>
  </si>
  <si>
    <r>
      <rPr>
        <sz val="9"/>
        <rFont val="宋体"/>
        <charset val="134"/>
      </rPr>
      <t>预付账款主要内容</t>
    </r>
  </si>
  <si>
    <r>
      <rPr>
        <sz val="9"/>
        <rFont val="宋体"/>
        <charset val="134"/>
      </rPr>
      <t>应收利息主要内容</t>
    </r>
  </si>
  <si>
    <r>
      <rPr>
        <b/>
        <sz val="9"/>
        <rFont val="宋体"/>
        <charset val="134"/>
      </rPr>
      <t>评估方法</t>
    </r>
  </si>
  <si>
    <r>
      <rPr>
        <b/>
        <sz val="9"/>
        <rFont val="宋体"/>
        <charset val="134"/>
      </rPr>
      <t>评估结果</t>
    </r>
  </si>
  <si>
    <r>
      <rPr>
        <b/>
        <sz val="9"/>
        <rFont val="宋体"/>
        <charset val="134"/>
      </rPr>
      <t>描述</t>
    </r>
  </si>
  <si>
    <r>
      <rPr>
        <b/>
        <sz val="9"/>
        <rFont val="宋体"/>
        <charset val="134"/>
      </rPr>
      <t>标点</t>
    </r>
  </si>
  <si>
    <r>
      <rPr>
        <sz val="9"/>
        <rFont val="宋体"/>
        <charset val="134"/>
      </rPr>
      <t>应收股利主要内容</t>
    </r>
  </si>
  <si>
    <r>
      <rPr>
        <sz val="9"/>
        <rFont val="宋体"/>
        <charset val="134"/>
      </rPr>
      <t>资产基础法</t>
    </r>
  </si>
  <si>
    <r>
      <rPr>
        <sz val="9"/>
        <rFont val="宋体"/>
        <charset val="134"/>
      </rPr>
      <t>其他应收款（其他）主要内容</t>
    </r>
  </si>
  <si>
    <r>
      <rPr>
        <sz val="9"/>
        <rFont val="宋体"/>
        <charset val="134"/>
      </rPr>
      <t>收益法</t>
    </r>
  </si>
  <si>
    <r>
      <rPr>
        <sz val="9"/>
        <rFont val="宋体"/>
        <charset val="134"/>
      </rPr>
      <t>应收、预付、其他评估方法</t>
    </r>
  </si>
  <si>
    <r>
      <rPr>
        <sz val="9"/>
        <rFont val="宋体"/>
        <charset val="134"/>
      </rPr>
      <t>市场法</t>
    </r>
  </si>
  <si>
    <r>
      <rPr>
        <sz val="9"/>
        <rFont val="宋体"/>
        <charset val="134"/>
      </rPr>
      <t>应收利息评估方法</t>
    </r>
  </si>
  <si>
    <r>
      <rPr>
        <sz val="9"/>
        <rFont val="宋体"/>
        <charset val="134"/>
      </rPr>
      <t>差异额</t>
    </r>
  </si>
  <si>
    <r>
      <rPr>
        <sz val="9"/>
        <rFont val="宋体"/>
        <charset val="134"/>
      </rPr>
      <t>应收股利评估方法</t>
    </r>
  </si>
  <si>
    <r>
      <rPr>
        <b/>
        <sz val="9"/>
        <rFont val="宋体"/>
        <charset val="134"/>
      </rPr>
      <t>汇总</t>
    </r>
  </si>
  <si>
    <r>
      <rPr>
        <sz val="9"/>
        <rFont val="宋体"/>
        <charset val="134"/>
      </rPr>
      <t>应收、预付、其他应收评估结论表</t>
    </r>
  </si>
  <si>
    <r>
      <rPr>
        <sz val="9"/>
        <rFont val="宋体"/>
        <charset val="134"/>
      </rPr>
      <t>应收款项融资评估说明</t>
    </r>
  </si>
  <si>
    <r>
      <rPr>
        <sz val="9"/>
        <rFont val="宋体"/>
        <charset val="134"/>
      </rPr>
      <t>应收款项融资账面值表</t>
    </r>
  </si>
  <si>
    <t>序号</t>
  </si>
  <si>
    <t>项      目</t>
  </si>
  <si>
    <t>账面价值</t>
  </si>
  <si>
    <r>
      <rPr>
        <sz val="9"/>
        <rFont val="宋体"/>
        <charset val="134"/>
      </rPr>
      <t>应收款项融资科目明细</t>
    </r>
  </si>
  <si>
    <r>
      <rPr>
        <sz val="9"/>
        <rFont val="宋体"/>
        <charset val="134"/>
      </rPr>
      <t>应收票据融资主要内容</t>
    </r>
  </si>
  <si>
    <t>以公允价值计量且其变动计入当期损益的金融资产</t>
  </si>
  <si>
    <r>
      <rPr>
        <sz val="9"/>
        <rFont val="宋体"/>
        <charset val="134"/>
      </rPr>
      <t>应收账款融资主要内容</t>
    </r>
  </si>
  <si>
    <r>
      <rPr>
        <sz val="9"/>
        <rFont val="宋体"/>
        <charset val="134"/>
      </rPr>
      <t>应收票据融资评估方法</t>
    </r>
  </si>
  <si>
    <t>衍生金融资产</t>
  </si>
  <si>
    <r>
      <rPr>
        <sz val="9"/>
        <rFont val="宋体"/>
        <charset val="134"/>
      </rPr>
      <t>应收账款融资评估方法</t>
    </r>
  </si>
  <si>
    <r>
      <rPr>
        <sz val="9"/>
        <rFont val="宋体"/>
        <charset val="134"/>
      </rPr>
      <t>应收款项融资评估结论表</t>
    </r>
  </si>
  <si>
    <r>
      <rPr>
        <sz val="9"/>
        <rFont val="宋体"/>
        <charset val="134"/>
      </rPr>
      <t>存货评估说明</t>
    </r>
  </si>
  <si>
    <t>应收款项融资</t>
  </si>
  <si>
    <r>
      <rPr>
        <sz val="9"/>
        <rFont val="宋体"/>
        <charset val="134"/>
      </rPr>
      <t>存货账面值表</t>
    </r>
  </si>
  <si>
    <r>
      <rPr>
        <sz val="9"/>
        <rFont val="宋体"/>
        <charset val="134"/>
      </rPr>
      <t>材料采购（在途物资）评估说明</t>
    </r>
  </si>
  <si>
    <r>
      <rPr>
        <sz val="9"/>
        <rFont val="宋体"/>
        <charset val="134"/>
      </rPr>
      <t>材料采购（在途物资）主要内容</t>
    </r>
  </si>
  <si>
    <r>
      <rPr>
        <sz val="9"/>
        <rFont val="宋体"/>
        <charset val="134"/>
      </rPr>
      <t>原材料、在库周转材料评估方法</t>
    </r>
  </si>
  <si>
    <t>合同资产</t>
  </si>
  <si>
    <r>
      <rPr>
        <sz val="9"/>
        <rFont val="宋体"/>
        <charset val="134"/>
      </rPr>
      <t>原材料主要内容</t>
    </r>
  </si>
  <si>
    <t>持有待售资产</t>
  </si>
  <si>
    <r>
      <rPr>
        <sz val="9"/>
        <rFont val="宋体"/>
        <charset val="134"/>
      </rPr>
      <t>在库周转材料主要内容</t>
    </r>
  </si>
  <si>
    <t>一年内到期的非流动资产</t>
  </si>
  <si>
    <r>
      <rPr>
        <sz val="9"/>
        <rFont val="宋体"/>
        <charset val="134"/>
      </rPr>
      <t>委托加工物资评估说明</t>
    </r>
  </si>
  <si>
    <r>
      <rPr>
        <sz val="9"/>
        <rFont val="宋体"/>
        <charset val="134"/>
      </rPr>
      <t>委托加工物资主要内容</t>
    </r>
  </si>
  <si>
    <t>合计</t>
  </si>
  <si>
    <r>
      <rPr>
        <sz val="9"/>
        <rFont val="宋体"/>
        <charset val="134"/>
      </rPr>
      <t>产成品（库存商品）评估说明</t>
    </r>
  </si>
  <si>
    <r>
      <rPr>
        <sz val="9"/>
        <rFont val="宋体"/>
        <charset val="134"/>
      </rPr>
      <t>产成品（库存商品）主要内容</t>
    </r>
  </si>
  <si>
    <r>
      <rPr>
        <sz val="9"/>
        <rFont val="宋体"/>
        <charset val="134"/>
      </rPr>
      <t>产成品（库存商品）案例序号</t>
    </r>
  </si>
  <si>
    <r>
      <rPr>
        <b/>
        <sz val="9"/>
        <rFont val="宋体"/>
        <charset val="134"/>
      </rPr>
      <t>项</t>
    </r>
    <r>
      <rPr>
        <b/>
        <sz val="9"/>
        <rFont val="Times New Roman"/>
        <charset val="134"/>
      </rPr>
      <t xml:space="preserve">      </t>
    </r>
    <r>
      <rPr>
        <b/>
        <sz val="9"/>
        <rFont val="宋体"/>
        <charset val="134"/>
      </rPr>
      <t>目</t>
    </r>
  </si>
  <si>
    <r>
      <rPr>
        <sz val="9"/>
        <rFont val="宋体"/>
        <charset val="134"/>
      </rPr>
      <t>产成品（库存商品）案例名称</t>
    </r>
  </si>
  <si>
    <t>1</t>
  </si>
  <si>
    <r>
      <rPr>
        <sz val="9"/>
        <rFont val="宋体"/>
        <charset val="134"/>
      </rPr>
      <t>应收账款余额</t>
    </r>
  </si>
  <si>
    <r>
      <rPr>
        <sz val="9"/>
        <rFont val="宋体"/>
        <charset val="134"/>
      </rPr>
      <t>存货财务数据期限</t>
    </r>
  </si>
  <si>
    <r>
      <rPr>
        <sz val="9"/>
        <rFont val="宋体"/>
        <charset val="134"/>
      </rPr>
      <t>存货财务数据表</t>
    </r>
  </si>
  <si>
    <r>
      <rPr>
        <sz val="9"/>
        <rFont val="宋体"/>
        <charset val="134"/>
      </rPr>
      <t>应收账款</t>
    </r>
  </si>
  <si>
    <r>
      <rPr>
        <sz val="9"/>
        <rFont val="宋体"/>
        <charset val="134"/>
      </rPr>
      <t>产成品（库存商品）案例计算表</t>
    </r>
  </si>
  <si>
    <t>2</t>
  </si>
  <si>
    <r>
      <rPr>
        <sz val="9"/>
        <rFont val="宋体"/>
        <charset val="134"/>
      </rPr>
      <t>预付账款余额</t>
    </r>
  </si>
  <si>
    <r>
      <rPr>
        <sz val="9"/>
        <rFont val="宋体"/>
        <charset val="134"/>
      </rPr>
      <t>在产品评估说明</t>
    </r>
  </si>
  <si>
    <r>
      <rPr>
        <sz val="9"/>
        <rFont val="宋体"/>
        <charset val="134"/>
      </rPr>
      <t>在产品主要内容</t>
    </r>
  </si>
  <si>
    <r>
      <rPr>
        <sz val="9"/>
        <rFont val="宋体"/>
        <charset val="134"/>
      </rPr>
      <t>预付账款</t>
    </r>
  </si>
  <si>
    <r>
      <rPr>
        <sz val="9"/>
        <rFont val="宋体"/>
        <charset val="134"/>
      </rPr>
      <t>发出商品评估说明</t>
    </r>
  </si>
  <si>
    <t>3</t>
  </si>
  <si>
    <r>
      <rPr>
        <sz val="9"/>
        <rFont val="宋体"/>
        <charset val="134"/>
      </rPr>
      <t>其他应收款</t>
    </r>
  </si>
  <si>
    <r>
      <rPr>
        <sz val="9"/>
        <rFont val="宋体"/>
        <charset val="134"/>
      </rPr>
      <t>发出商品主要内容</t>
    </r>
  </si>
  <si>
    <t>3-1</t>
  </si>
  <si>
    <r>
      <rPr>
        <sz val="9"/>
        <rFont val="宋体"/>
        <charset val="134"/>
      </rPr>
      <t>应收利息</t>
    </r>
  </si>
  <si>
    <r>
      <rPr>
        <sz val="9"/>
        <rFont val="宋体"/>
        <charset val="134"/>
      </rPr>
      <t>在用周转材料评估说明</t>
    </r>
  </si>
  <si>
    <t>3-2</t>
  </si>
  <si>
    <r>
      <rPr>
        <sz val="9"/>
        <rFont val="宋体"/>
        <charset val="134"/>
      </rPr>
      <t>在用周转材料主要内容</t>
    </r>
  </si>
  <si>
    <t>3-3</t>
  </si>
  <si>
    <r>
      <rPr>
        <sz val="9"/>
        <rFont val="宋体"/>
        <charset val="134"/>
      </rPr>
      <t>其他应收款</t>
    </r>
    <r>
      <rPr>
        <sz val="9"/>
        <rFont val="Times New Roman"/>
        <charset val="134"/>
      </rPr>
      <t>-</t>
    </r>
    <r>
      <rPr>
        <sz val="9"/>
        <rFont val="宋体"/>
        <charset val="134"/>
      </rPr>
      <t>其他余额</t>
    </r>
  </si>
  <si>
    <r>
      <rPr>
        <sz val="9"/>
        <rFont val="宋体"/>
        <charset val="134"/>
      </rPr>
      <t>未完施工评估说明</t>
    </r>
  </si>
  <si>
    <r>
      <rPr>
        <sz val="9"/>
        <rFont val="宋体"/>
        <charset val="134"/>
      </rPr>
      <t>未完施工主要内容</t>
    </r>
  </si>
  <si>
    <r>
      <rPr>
        <sz val="9"/>
        <rFont val="宋体"/>
        <charset val="134"/>
      </rPr>
      <t>其他应收款</t>
    </r>
    <r>
      <rPr>
        <sz val="9"/>
        <rFont val="Times New Roman"/>
        <charset val="134"/>
      </rPr>
      <t>-</t>
    </r>
    <r>
      <rPr>
        <sz val="9"/>
        <rFont val="宋体"/>
        <charset val="134"/>
      </rPr>
      <t>其他</t>
    </r>
  </si>
  <si>
    <r>
      <rPr>
        <sz val="9"/>
        <rFont val="宋体"/>
        <charset val="134"/>
      </rPr>
      <t>存货评估结果表</t>
    </r>
  </si>
  <si>
    <r>
      <rPr>
        <sz val="9"/>
        <rFont val="宋体"/>
        <charset val="134"/>
      </rPr>
      <t>合同资产评估说明</t>
    </r>
  </si>
  <si>
    <r>
      <rPr>
        <sz val="9"/>
        <rFont val="宋体"/>
        <charset val="134"/>
      </rPr>
      <t>合同资产科目明细</t>
    </r>
  </si>
  <si>
    <r>
      <rPr>
        <b/>
        <sz val="9"/>
        <rFont val="宋体"/>
        <charset val="134"/>
      </rPr>
      <t>增值率</t>
    </r>
    <r>
      <rPr>
        <b/>
        <sz val="9"/>
        <rFont val="Times New Roman"/>
        <charset val="134"/>
      </rPr>
      <t>%</t>
    </r>
  </si>
  <si>
    <r>
      <rPr>
        <sz val="9"/>
        <rFont val="宋体"/>
        <charset val="134"/>
      </rPr>
      <t>合同资产账面值表</t>
    </r>
  </si>
  <si>
    <r>
      <rPr>
        <sz val="9"/>
        <rFont val="宋体"/>
        <charset val="134"/>
      </rPr>
      <t>合同资产（未完施工）主要内容</t>
    </r>
  </si>
  <si>
    <r>
      <rPr>
        <sz val="9"/>
        <rFont val="宋体"/>
        <charset val="134"/>
      </rPr>
      <t>合同资产（其他）主要内容</t>
    </r>
  </si>
  <si>
    <r>
      <rPr>
        <sz val="9"/>
        <rFont val="宋体"/>
        <charset val="134"/>
      </rPr>
      <t>减：预计风险损失</t>
    </r>
  </si>
  <si>
    <r>
      <rPr>
        <sz val="9"/>
        <rFont val="宋体"/>
        <charset val="134"/>
      </rPr>
      <t>合同资产（未完施工）评估方法</t>
    </r>
  </si>
  <si>
    <r>
      <rPr>
        <sz val="9"/>
        <rFont val="宋体"/>
        <charset val="134"/>
      </rPr>
      <t>合同资产（其他）评估方法</t>
    </r>
  </si>
  <si>
    <r>
      <rPr>
        <sz val="9"/>
        <rFont val="宋体"/>
        <charset val="134"/>
      </rPr>
      <t>合同资产评估结果表</t>
    </r>
  </si>
  <si>
    <r>
      <rPr>
        <sz val="9"/>
        <rFont val="宋体"/>
        <charset val="134"/>
      </rPr>
      <t>持有待售资产评估说明</t>
    </r>
  </si>
  <si>
    <r>
      <rPr>
        <sz val="9"/>
        <rFont val="宋体"/>
        <charset val="134"/>
      </rPr>
      <t>持有待售资产账面值</t>
    </r>
  </si>
  <si>
    <r>
      <rPr>
        <sz val="9"/>
        <rFont val="宋体"/>
        <charset val="134"/>
      </rPr>
      <t>持有待售资产主要内容</t>
    </r>
  </si>
  <si>
    <r>
      <rPr>
        <sz val="9"/>
        <rFont val="宋体"/>
        <charset val="134"/>
      </rPr>
      <t>持有待售资产评估结果</t>
    </r>
  </si>
  <si>
    <r>
      <rPr>
        <sz val="9"/>
        <rFont val="宋体"/>
        <charset val="134"/>
      </rPr>
      <t>持有待售资产增减值</t>
    </r>
  </si>
  <si>
    <r>
      <rPr>
        <sz val="9"/>
        <rFont val="宋体"/>
        <charset val="134"/>
      </rPr>
      <t>一年内到期的非流动资产评估说明</t>
    </r>
  </si>
  <si>
    <r>
      <rPr>
        <sz val="9"/>
        <rFont val="宋体"/>
        <charset val="134"/>
      </rPr>
      <t>一年内到期的非流动资产账面值</t>
    </r>
  </si>
  <si>
    <r>
      <rPr>
        <sz val="9"/>
        <rFont val="宋体"/>
        <charset val="134"/>
      </rPr>
      <t>一年内到期的非流动资产主要内容</t>
    </r>
  </si>
  <si>
    <r>
      <rPr>
        <sz val="9"/>
        <rFont val="宋体"/>
        <charset val="134"/>
      </rPr>
      <t>一年内到期的非流动资产评估结果</t>
    </r>
  </si>
  <si>
    <r>
      <rPr>
        <sz val="9"/>
        <rFont val="宋体"/>
        <charset val="134"/>
      </rPr>
      <t>一年内到期的非流动资产增减值</t>
    </r>
  </si>
  <si>
    <r>
      <rPr>
        <sz val="9"/>
        <rFont val="宋体"/>
        <charset val="134"/>
      </rPr>
      <t>其他流动资产评估说明</t>
    </r>
  </si>
  <si>
    <r>
      <rPr>
        <sz val="9"/>
        <rFont val="宋体"/>
        <charset val="134"/>
      </rPr>
      <t>其他流动资产账面值</t>
    </r>
  </si>
  <si>
    <r>
      <rPr>
        <sz val="9"/>
        <rFont val="宋体"/>
        <charset val="134"/>
      </rPr>
      <t>其他流动资产主要内容</t>
    </r>
  </si>
  <si>
    <r>
      <rPr>
        <sz val="9"/>
        <rFont val="宋体"/>
        <charset val="134"/>
      </rPr>
      <t>融资</t>
    </r>
    <r>
      <rPr>
        <sz val="9"/>
        <rFont val="Times New Roman"/>
        <charset val="134"/>
      </rPr>
      <t>-</t>
    </r>
    <r>
      <rPr>
        <sz val="9"/>
        <rFont val="宋体"/>
        <charset val="134"/>
      </rPr>
      <t>应收票据余额</t>
    </r>
  </si>
  <si>
    <r>
      <rPr>
        <sz val="9"/>
        <rFont val="宋体"/>
        <charset val="134"/>
      </rPr>
      <t>其他流动资产评估结果</t>
    </r>
  </si>
  <si>
    <r>
      <rPr>
        <sz val="9"/>
        <rFont val="宋体"/>
        <charset val="134"/>
      </rPr>
      <t>其他流动资产增减值</t>
    </r>
  </si>
  <si>
    <r>
      <rPr>
        <sz val="9"/>
        <rFont val="宋体"/>
        <charset val="134"/>
      </rPr>
      <t>融资</t>
    </r>
    <r>
      <rPr>
        <sz val="9"/>
        <rFont val="Times New Roman"/>
        <charset val="134"/>
      </rPr>
      <t>-</t>
    </r>
    <r>
      <rPr>
        <sz val="9"/>
        <rFont val="宋体"/>
        <charset val="134"/>
      </rPr>
      <t>应收票据</t>
    </r>
  </si>
  <si>
    <r>
      <rPr>
        <sz val="9"/>
        <rFont val="宋体"/>
        <charset val="134"/>
      </rPr>
      <t>流动资产评估结果表</t>
    </r>
  </si>
  <si>
    <r>
      <rPr>
        <sz val="9"/>
        <rFont val="宋体"/>
        <charset val="134"/>
      </rPr>
      <t>融资</t>
    </r>
    <r>
      <rPr>
        <sz val="9"/>
        <rFont val="Times New Roman"/>
        <charset val="134"/>
      </rPr>
      <t>-</t>
    </r>
    <r>
      <rPr>
        <sz val="9"/>
        <rFont val="宋体"/>
        <charset val="134"/>
      </rPr>
      <t>应收账款余额</t>
    </r>
  </si>
  <si>
    <r>
      <rPr>
        <sz val="9"/>
        <rFont val="宋体"/>
        <charset val="134"/>
      </rPr>
      <t>流动资产评估增减值</t>
    </r>
  </si>
  <si>
    <r>
      <rPr>
        <sz val="9"/>
        <rFont val="宋体"/>
        <charset val="134"/>
      </rPr>
      <t>可供出售金融资产评估说明</t>
    </r>
  </si>
  <si>
    <r>
      <rPr>
        <sz val="9"/>
        <rFont val="宋体"/>
        <charset val="134"/>
      </rPr>
      <t>融资</t>
    </r>
    <r>
      <rPr>
        <sz val="9"/>
        <rFont val="Times New Roman"/>
        <charset val="134"/>
      </rPr>
      <t>-</t>
    </r>
    <r>
      <rPr>
        <sz val="9"/>
        <rFont val="宋体"/>
        <charset val="134"/>
      </rPr>
      <t>应收账款</t>
    </r>
  </si>
  <si>
    <r>
      <rPr>
        <sz val="9"/>
        <rFont val="宋体"/>
        <charset val="134"/>
      </rPr>
      <t>可供出售金融资产科目明细</t>
    </r>
  </si>
  <si>
    <r>
      <rPr>
        <b/>
        <sz val="9"/>
        <rFont val="宋体"/>
        <charset val="134"/>
      </rPr>
      <t>应收融资款合计</t>
    </r>
  </si>
  <si>
    <r>
      <rPr>
        <sz val="9"/>
        <rFont val="宋体"/>
        <charset val="134"/>
      </rPr>
      <t>可供出售金融资产账面值表</t>
    </r>
  </si>
  <si>
    <r>
      <rPr>
        <sz val="9"/>
        <rFont val="宋体"/>
        <charset val="134"/>
      </rPr>
      <t>可供出售金融资产（股票）主要内容</t>
    </r>
  </si>
  <si>
    <r>
      <rPr>
        <sz val="9"/>
        <rFont val="宋体"/>
        <charset val="134"/>
      </rPr>
      <t>可供出售金融资产（债券）主要内容</t>
    </r>
  </si>
  <si>
    <r>
      <rPr>
        <sz val="9"/>
        <rFont val="宋体"/>
        <charset val="134"/>
      </rPr>
      <t>可供出售金融资产（其他）主要内容</t>
    </r>
  </si>
  <si>
    <r>
      <rPr>
        <sz val="9"/>
        <rFont val="宋体"/>
        <charset val="134"/>
      </rPr>
      <t>可供出售金融资产（股票）评估方法</t>
    </r>
  </si>
  <si>
    <r>
      <rPr>
        <sz val="9"/>
        <rFont val="宋体"/>
        <charset val="134"/>
      </rPr>
      <t>可供出售金融资产（债券）评估方法</t>
    </r>
  </si>
  <si>
    <r>
      <rPr>
        <sz val="9"/>
        <rFont val="宋体"/>
        <charset val="134"/>
      </rPr>
      <t>可供出售金融资产（其他）评估方法</t>
    </r>
  </si>
  <si>
    <r>
      <rPr>
        <sz val="9"/>
        <rFont val="宋体"/>
        <charset val="134"/>
      </rPr>
      <t>可供出售金融资产评估结果表</t>
    </r>
  </si>
  <si>
    <r>
      <rPr>
        <sz val="9"/>
        <rFont val="宋体"/>
        <charset val="134"/>
      </rPr>
      <t>可供出售金融资产增减值</t>
    </r>
  </si>
  <si>
    <r>
      <rPr>
        <sz val="9"/>
        <rFont val="宋体"/>
        <charset val="134"/>
      </rPr>
      <t>持有至到期投资评估说明</t>
    </r>
  </si>
  <si>
    <r>
      <rPr>
        <sz val="9"/>
        <rFont val="宋体"/>
        <charset val="134"/>
      </rPr>
      <t>持有至到期投资账面余额</t>
    </r>
  </si>
  <si>
    <r>
      <rPr>
        <sz val="9"/>
        <rFont val="宋体"/>
        <charset val="134"/>
      </rPr>
      <t>持有至到期投资减值准备</t>
    </r>
  </si>
  <si>
    <r>
      <rPr>
        <sz val="9"/>
        <rFont val="宋体"/>
        <charset val="134"/>
      </rPr>
      <t>持有至到期投资账面值</t>
    </r>
  </si>
  <si>
    <r>
      <rPr>
        <sz val="9"/>
        <rFont val="宋体"/>
        <charset val="134"/>
      </rPr>
      <t>持有至到期投资主要内容</t>
    </r>
  </si>
  <si>
    <r>
      <rPr>
        <sz val="9"/>
        <rFont val="宋体"/>
        <charset val="134"/>
      </rPr>
      <t>持有至到期投资评估结果</t>
    </r>
  </si>
  <si>
    <r>
      <rPr>
        <sz val="9"/>
        <rFont val="宋体"/>
        <charset val="134"/>
      </rPr>
      <t>持有至到期投资增减值</t>
    </r>
  </si>
  <si>
    <r>
      <rPr>
        <sz val="9"/>
        <rFont val="宋体"/>
        <charset val="134"/>
      </rPr>
      <t>材料采购（在途物资）余额</t>
    </r>
  </si>
  <si>
    <r>
      <rPr>
        <sz val="9"/>
        <rFont val="宋体"/>
        <charset val="134"/>
      </rPr>
      <t>债券投资评估说明</t>
    </r>
  </si>
  <si>
    <r>
      <rPr>
        <sz val="9"/>
        <rFont val="宋体"/>
        <charset val="134"/>
      </rPr>
      <t>减：跌价准备</t>
    </r>
  </si>
  <si>
    <r>
      <rPr>
        <sz val="9"/>
        <rFont val="宋体"/>
        <charset val="134"/>
      </rPr>
      <t>债券投资账面余额</t>
    </r>
  </si>
  <si>
    <r>
      <rPr>
        <sz val="9"/>
        <rFont val="宋体"/>
        <charset val="134"/>
      </rPr>
      <t>材料采购（在途物资）</t>
    </r>
  </si>
  <si>
    <r>
      <rPr>
        <sz val="9"/>
        <rFont val="宋体"/>
        <charset val="134"/>
      </rPr>
      <t>债券投资减值准备</t>
    </r>
  </si>
  <si>
    <r>
      <rPr>
        <sz val="9"/>
        <rFont val="宋体"/>
        <charset val="134"/>
      </rPr>
      <t>原材料余额</t>
    </r>
  </si>
  <si>
    <r>
      <rPr>
        <sz val="9"/>
        <rFont val="宋体"/>
        <charset val="134"/>
      </rPr>
      <t>债券投资账面值</t>
    </r>
  </si>
  <si>
    <r>
      <rPr>
        <sz val="9"/>
        <rFont val="宋体"/>
        <charset val="134"/>
      </rPr>
      <t>债券投资主要内容</t>
    </r>
  </si>
  <si>
    <r>
      <rPr>
        <sz val="9"/>
        <rFont val="宋体"/>
        <charset val="134"/>
      </rPr>
      <t>原材料</t>
    </r>
  </si>
  <si>
    <r>
      <rPr>
        <sz val="9"/>
        <rFont val="宋体"/>
        <charset val="134"/>
      </rPr>
      <t>债券投资评估结果</t>
    </r>
  </si>
  <si>
    <r>
      <rPr>
        <sz val="9"/>
        <rFont val="宋体"/>
        <charset val="134"/>
      </rPr>
      <t>在库周转材料余额</t>
    </r>
  </si>
  <si>
    <r>
      <rPr>
        <sz val="9"/>
        <rFont val="宋体"/>
        <charset val="134"/>
      </rPr>
      <t>债券投资增减值</t>
    </r>
  </si>
  <si>
    <r>
      <rPr>
        <sz val="9"/>
        <rFont val="宋体"/>
        <charset val="134"/>
      </rPr>
      <t>其他债权投资评估说明</t>
    </r>
  </si>
  <si>
    <r>
      <rPr>
        <sz val="9"/>
        <rFont val="宋体"/>
        <charset val="134"/>
      </rPr>
      <t>在库周转材料</t>
    </r>
  </si>
  <si>
    <r>
      <rPr>
        <sz val="9"/>
        <rFont val="宋体"/>
        <charset val="134"/>
      </rPr>
      <t>其他债权投资账面余额</t>
    </r>
  </si>
  <si>
    <t>4</t>
  </si>
  <si>
    <r>
      <rPr>
        <sz val="9"/>
        <rFont val="宋体"/>
        <charset val="134"/>
      </rPr>
      <t>委托加工物资余额</t>
    </r>
  </si>
  <si>
    <r>
      <rPr>
        <sz val="9"/>
        <rFont val="宋体"/>
        <charset val="134"/>
      </rPr>
      <t>其他债权投资减值准备</t>
    </r>
  </si>
  <si>
    <r>
      <rPr>
        <sz val="9"/>
        <rFont val="宋体"/>
        <charset val="134"/>
      </rPr>
      <t>其他债权投资账面值</t>
    </r>
  </si>
  <si>
    <r>
      <rPr>
        <sz val="9"/>
        <rFont val="宋体"/>
        <charset val="134"/>
      </rPr>
      <t>委托加工物资</t>
    </r>
  </si>
  <si>
    <r>
      <rPr>
        <sz val="9"/>
        <rFont val="宋体"/>
        <charset val="134"/>
      </rPr>
      <t>其他债权投资主要内容</t>
    </r>
  </si>
  <si>
    <t>5</t>
  </si>
  <si>
    <r>
      <rPr>
        <sz val="9"/>
        <rFont val="宋体"/>
        <charset val="134"/>
      </rPr>
      <t>产成品（库存商品）余额</t>
    </r>
  </si>
  <si>
    <r>
      <rPr>
        <sz val="9"/>
        <rFont val="宋体"/>
        <charset val="134"/>
      </rPr>
      <t>其他债权投资评估结果</t>
    </r>
  </si>
  <si>
    <r>
      <rPr>
        <sz val="9"/>
        <rFont val="宋体"/>
        <charset val="134"/>
      </rPr>
      <t>其他债权投资增减值</t>
    </r>
  </si>
  <si>
    <r>
      <rPr>
        <sz val="9"/>
        <rFont val="宋体"/>
        <charset val="134"/>
      </rPr>
      <t>产成品（库存商品）</t>
    </r>
  </si>
  <si>
    <r>
      <rPr>
        <sz val="9"/>
        <rFont val="宋体"/>
        <charset val="134"/>
      </rPr>
      <t>长期应收款评估说明</t>
    </r>
  </si>
  <si>
    <t>6</t>
  </si>
  <si>
    <r>
      <rPr>
        <sz val="9"/>
        <rFont val="宋体"/>
        <charset val="134"/>
      </rPr>
      <t>在产品（自制半成品）余额</t>
    </r>
  </si>
  <si>
    <r>
      <rPr>
        <sz val="9"/>
        <rFont val="宋体"/>
        <charset val="134"/>
      </rPr>
      <t>长期应收款账面余额</t>
    </r>
  </si>
  <si>
    <r>
      <rPr>
        <sz val="9"/>
        <rFont val="宋体"/>
        <charset val="134"/>
      </rPr>
      <t>长期应收款减值准备</t>
    </r>
  </si>
  <si>
    <r>
      <rPr>
        <sz val="9"/>
        <rFont val="宋体"/>
        <charset val="134"/>
      </rPr>
      <t>在产品（自制半成品）</t>
    </r>
  </si>
  <si>
    <r>
      <rPr>
        <sz val="9"/>
        <rFont val="宋体"/>
        <charset val="134"/>
      </rPr>
      <t>长期应收款账面值</t>
    </r>
  </si>
  <si>
    <r>
      <rPr>
        <sz val="9"/>
        <rFont val="宋体"/>
        <charset val="134"/>
      </rPr>
      <t>发出商品余额</t>
    </r>
  </si>
  <si>
    <r>
      <rPr>
        <sz val="9"/>
        <rFont val="宋体"/>
        <charset val="134"/>
      </rPr>
      <t>长期应收款主要内容</t>
    </r>
  </si>
  <si>
    <r>
      <rPr>
        <sz val="9"/>
        <rFont val="宋体"/>
        <charset val="134"/>
      </rPr>
      <t>长期应收款评估结果</t>
    </r>
  </si>
  <si>
    <r>
      <rPr>
        <sz val="9"/>
        <rFont val="宋体"/>
        <charset val="134"/>
      </rPr>
      <t>发出商品</t>
    </r>
  </si>
  <si>
    <r>
      <rPr>
        <sz val="9"/>
        <rFont val="宋体"/>
        <charset val="134"/>
      </rPr>
      <t>长期应收款增减值</t>
    </r>
  </si>
  <si>
    <t>8</t>
  </si>
  <si>
    <r>
      <rPr>
        <sz val="9"/>
        <rFont val="宋体"/>
        <charset val="134"/>
      </rPr>
      <t>在用周转材料余额</t>
    </r>
  </si>
  <si>
    <r>
      <rPr>
        <sz val="9"/>
        <rFont val="宋体"/>
        <charset val="134"/>
      </rPr>
      <t>长期股权投资评估说明</t>
    </r>
  </si>
  <si>
    <r>
      <rPr>
        <sz val="9"/>
        <rFont val="宋体"/>
        <charset val="134"/>
      </rPr>
      <t>长期股权投资账面余额</t>
    </r>
  </si>
  <si>
    <r>
      <rPr>
        <sz val="9"/>
        <rFont val="宋体"/>
        <charset val="134"/>
      </rPr>
      <t>在用周转材料</t>
    </r>
  </si>
  <si>
    <r>
      <rPr>
        <sz val="9"/>
        <rFont val="宋体"/>
        <charset val="134"/>
      </rPr>
      <t>长期股权投资减值准备</t>
    </r>
  </si>
  <si>
    <r>
      <rPr>
        <sz val="9"/>
        <rFont val="宋体"/>
        <charset val="134"/>
      </rPr>
      <t>未完施工余额</t>
    </r>
  </si>
  <si>
    <r>
      <rPr>
        <sz val="9"/>
        <rFont val="宋体"/>
        <charset val="134"/>
      </rPr>
      <t>长期股权投资账面值</t>
    </r>
  </si>
  <si>
    <r>
      <rPr>
        <sz val="9"/>
        <rFont val="宋体"/>
        <charset val="134"/>
      </rPr>
      <t>减：预计损失准备</t>
    </r>
  </si>
  <si>
    <r>
      <rPr>
        <sz val="9"/>
        <rFont val="宋体"/>
        <charset val="134"/>
      </rPr>
      <t>长期股权投资主要内容</t>
    </r>
  </si>
  <si>
    <r>
      <rPr>
        <sz val="9"/>
        <rFont val="宋体"/>
        <charset val="134"/>
      </rPr>
      <t>未完施工</t>
    </r>
  </si>
  <si>
    <r>
      <rPr>
        <sz val="9"/>
        <rFont val="宋体"/>
        <charset val="134"/>
      </rPr>
      <t>长期股权投资评估结果</t>
    </r>
  </si>
  <si>
    <t>10</t>
  </si>
  <si>
    <r>
      <rPr>
        <sz val="9"/>
        <rFont val="宋体"/>
        <charset val="134"/>
      </rPr>
      <t>长期股权投资增减值</t>
    </r>
  </si>
  <si>
    <r>
      <rPr>
        <sz val="9"/>
        <rFont val="宋体"/>
        <charset val="134"/>
      </rPr>
      <t>其他权益工具投资评估说明</t>
    </r>
  </si>
  <si>
    <r>
      <rPr>
        <sz val="9"/>
        <rFont val="宋体"/>
        <charset val="134"/>
      </rPr>
      <t>其他权益工具投资账面余额</t>
    </r>
  </si>
  <si>
    <r>
      <rPr>
        <b/>
        <sz val="9"/>
        <rFont val="宋体"/>
        <charset val="134"/>
      </rPr>
      <t>项目</t>
    </r>
    <r>
      <rPr>
        <b/>
        <sz val="9"/>
        <rFont val="Times New Roman"/>
        <charset val="134"/>
      </rPr>
      <t>/</t>
    </r>
    <r>
      <rPr>
        <b/>
        <sz val="9"/>
        <rFont val="宋体"/>
        <charset val="134"/>
      </rPr>
      <t>时间</t>
    </r>
  </si>
  <si>
    <r>
      <rPr>
        <b/>
        <sz val="9"/>
        <rFont val="宋体"/>
        <charset val="134"/>
      </rPr>
      <t>占收入比例</t>
    </r>
  </si>
  <si>
    <r>
      <rPr>
        <sz val="9"/>
        <rFont val="宋体"/>
        <charset val="134"/>
      </rPr>
      <t>其他权益工具投资减值准备</t>
    </r>
  </si>
  <si>
    <r>
      <rPr>
        <sz val="9"/>
        <rFont val="宋体"/>
        <charset val="134"/>
      </rPr>
      <t>营业收入</t>
    </r>
  </si>
  <si>
    <r>
      <rPr>
        <sz val="9"/>
        <rFont val="宋体"/>
        <charset val="134"/>
      </rPr>
      <t>其他权益工具投资账面值</t>
    </r>
  </si>
  <si>
    <r>
      <rPr>
        <sz val="9"/>
        <rFont val="宋体"/>
        <charset val="134"/>
      </rPr>
      <t>其他权益工具投资主要内容</t>
    </r>
  </si>
  <si>
    <r>
      <rPr>
        <sz val="9"/>
        <rFont val="宋体"/>
        <charset val="134"/>
      </rPr>
      <t>其他权益工具投资评估结果</t>
    </r>
  </si>
  <si>
    <r>
      <rPr>
        <sz val="9"/>
        <rFont val="宋体"/>
        <charset val="134"/>
      </rPr>
      <t>其他权益工具投资增减值</t>
    </r>
  </si>
  <si>
    <r>
      <rPr>
        <sz val="9"/>
        <rFont val="宋体"/>
        <charset val="134"/>
      </rPr>
      <t>其他非流动金融评估说明</t>
    </r>
  </si>
  <si>
    <r>
      <rPr>
        <sz val="9"/>
        <rFont val="宋体"/>
        <charset val="134"/>
      </rPr>
      <t>其他非流动金融账面余额</t>
    </r>
  </si>
  <si>
    <r>
      <rPr>
        <sz val="9"/>
        <rFont val="宋体"/>
        <charset val="134"/>
      </rPr>
      <t>所得税税率</t>
    </r>
  </si>
  <si>
    <r>
      <rPr>
        <sz val="9"/>
        <rFont val="宋体"/>
        <charset val="134"/>
      </rPr>
      <t>其他非流动金融减值准备</t>
    </r>
  </si>
  <si>
    <r>
      <rPr>
        <sz val="9"/>
        <rFont val="宋体"/>
        <charset val="134"/>
      </rPr>
      <t>其他非流动金融账面值</t>
    </r>
  </si>
  <si>
    <r>
      <rPr>
        <sz val="9"/>
        <rFont val="宋体"/>
        <charset val="134"/>
      </rPr>
      <t>其他非流动金融主要内容</t>
    </r>
  </si>
  <si>
    <r>
      <rPr>
        <b/>
        <sz val="9"/>
        <rFont val="宋体"/>
        <charset val="134"/>
      </rPr>
      <t>编号</t>
    </r>
  </si>
  <si>
    <r>
      <rPr>
        <b/>
        <sz val="9"/>
        <rFont val="宋体"/>
        <charset val="134"/>
      </rPr>
      <t>比例</t>
    </r>
  </si>
  <si>
    <r>
      <rPr>
        <b/>
        <sz val="9"/>
        <rFont val="宋体"/>
        <charset val="134"/>
      </rPr>
      <t>计算基础</t>
    </r>
  </si>
  <si>
    <r>
      <rPr>
        <b/>
        <sz val="9"/>
        <rFont val="宋体"/>
        <charset val="134"/>
      </rPr>
      <t>计算过程</t>
    </r>
  </si>
  <si>
    <r>
      <rPr>
        <b/>
        <sz val="9"/>
        <rFont val="宋体"/>
        <charset val="134"/>
      </rPr>
      <t>具体数据</t>
    </r>
  </si>
  <si>
    <r>
      <rPr>
        <b/>
        <sz val="9"/>
        <rFont val="宋体"/>
        <charset val="134"/>
      </rPr>
      <t>判断表</t>
    </r>
  </si>
  <si>
    <r>
      <rPr>
        <sz val="9"/>
        <rFont val="宋体"/>
        <charset val="134"/>
      </rPr>
      <t>其他非流动金融评估结果</t>
    </r>
  </si>
  <si>
    <r>
      <rPr>
        <sz val="9"/>
        <rFont val="宋体"/>
        <charset val="134"/>
      </rPr>
      <t>序号</t>
    </r>
  </si>
  <si>
    <r>
      <rPr>
        <sz val="9"/>
        <rFont val="宋体"/>
        <charset val="134"/>
      </rPr>
      <t>其他非流动金融增减值</t>
    </r>
  </si>
  <si>
    <r>
      <rPr>
        <sz val="9"/>
        <rFont val="宋体"/>
        <charset val="134"/>
      </rPr>
      <t>名</t>
    </r>
    <r>
      <rPr>
        <sz val="9"/>
        <rFont val="Times New Roman"/>
        <charset val="134"/>
      </rPr>
      <t xml:space="preserve">  </t>
    </r>
    <r>
      <rPr>
        <sz val="9"/>
        <rFont val="宋体"/>
        <charset val="134"/>
      </rPr>
      <t>称</t>
    </r>
  </si>
  <si>
    <r>
      <rPr>
        <sz val="9"/>
        <rFont val="宋体"/>
        <charset val="134"/>
      </rPr>
      <t>投资性房地产评估说明</t>
    </r>
  </si>
  <si>
    <r>
      <rPr>
        <sz val="9"/>
        <rFont val="宋体"/>
        <charset val="134"/>
      </rPr>
      <t>规格型号</t>
    </r>
  </si>
  <si>
    <r>
      <rPr>
        <sz val="9"/>
        <rFont val="宋体"/>
        <charset val="134"/>
      </rPr>
      <t>房屋建筑物评估说明</t>
    </r>
  </si>
  <si>
    <r>
      <rPr>
        <sz val="9"/>
        <rFont val="宋体"/>
        <charset val="134"/>
      </rPr>
      <t>计量单位</t>
    </r>
  </si>
  <si>
    <r>
      <rPr>
        <sz val="9"/>
        <rFont val="宋体"/>
        <charset val="134"/>
      </rPr>
      <t>机器设备评估说明</t>
    </r>
  </si>
  <si>
    <r>
      <rPr>
        <sz val="9"/>
        <rFont val="宋体"/>
        <charset val="134"/>
      </rPr>
      <t>不含税销售单价</t>
    </r>
  </si>
  <si>
    <r>
      <rPr>
        <sz val="9"/>
        <rFont val="宋体"/>
        <charset val="134"/>
      </rPr>
      <t>固定资产清理评估说明</t>
    </r>
  </si>
  <si>
    <r>
      <rPr>
        <sz val="9"/>
        <rFont val="宋体"/>
        <charset val="134"/>
      </rPr>
      <t>库龄（月）</t>
    </r>
  </si>
  <si>
    <r>
      <rPr>
        <sz val="9"/>
        <rFont val="宋体"/>
        <charset val="134"/>
      </rPr>
      <t>固定资产清理账面值</t>
    </r>
  </si>
  <si>
    <r>
      <rPr>
        <sz val="9"/>
        <rFont val="宋体"/>
        <charset val="134"/>
      </rPr>
      <t>数量</t>
    </r>
  </si>
  <si>
    <r>
      <rPr>
        <sz val="9"/>
        <rFont val="宋体"/>
        <charset val="134"/>
      </rPr>
      <t>固定资产清理主要内容</t>
    </r>
  </si>
  <si>
    <r>
      <rPr>
        <sz val="9"/>
        <rFont val="宋体"/>
        <charset val="134"/>
      </rPr>
      <t>单价</t>
    </r>
  </si>
  <si>
    <r>
      <rPr>
        <sz val="9"/>
        <rFont val="宋体"/>
        <charset val="134"/>
      </rPr>
      <t>固定资产清理评估结果</t>
    </r>
  </si>
  <si>
    <r>
      <rPr>
        <sz val="9"/>
        <rFont val="宋体"/>
        <charset val="134"/>
      </rPr>
      <t>账面金额</t>
    </r>
  </si>
  <si>
    <r>
      <rPr>
        <sz val="9"/>
        <rFont val="宋体"/>
        <charset val="134"/>
      </rPr>
      <t>固定资产清理增减值</t>
    </r>
  </si>
  <si>
    <r>
      <rPr>
        <sz val="9"/>
        <rFont val="宋体"/>
        <charset val="134"/>
      </rPr>
      <t>收入</t>
    </r>
  </si>
  <si>
    <t>E×G</t>
  </si>
  <si>
    <r>
      <rPr>
        <sz val="9"/>
        <rFont val="宋体"/>
        <charset val="134"/>
      </rPr>
      <t>在建工程评估说明</t>
    </r>
  </si>
  <si>
    <r>
      <rPr>
        <sz val="9"/>
        <rFont val="宋体"/>
        <charset val="134"/>
      </rPr>
      <t>在建工程账面值表</t>
    </r>
  </si>
  <si>
    <r>
      <rPr>
        <sz val="9"/>
        <rFont val="宋体"/>
        <charset val="134"/>
      </rPr>
      <t>在建土建主要内容</t>
    </r>
  </si>
  <si>
    <r>
      <rPr>
        <sz val="9"/>
        <rFont val="宋体"/>
        <charset val="134"/>
      </rPr>
      <t>在建设备主要内容</t>
    </r>
  </si>
  <si>
    <r>
      <rPr>
        <sz val="9"/>
        <rFont val="宋体"/>
        <charset val="134"/>
      </rPr>
      <t>在建待摊主要内容</t>
    </r>
  </si>
  <si>
    <r>
      <rPr>
        <sz val="9"/>
        <rFont val="宋体"/>
        <charset val="134"/>
      </rPr>
      <t>在建预付款主要内容</t>
    </r>
  </si>
  <si>
    <r>
      <rPr>
        <sz val="9"/>
        <rFont val="宋体"/>
        <charset val="134"/>
      </rPr>
      <t>营业利润</t>
    </r>
  </si>
  <si>
    <t>J-K-L-M-N-O</t>
  </si>
  <si>
    <r>
      <rPr>
        <sz val="9"/>
        <rFont val="宋体"/>
        <charset val="134"/>
      </rPr>
      <t>在建井巷主要内容</t>
    </r>
  </si>
  <si>
    <r>
      <rPr>
        <sz val="9"/>
        <rFont val="宋体"/>
        <charset val="134"/>
      </rPr>
      <t>在建物资主要内容</t>
    </r>
  </si>
  <si>
    <r>
      <rPr>
        <sz val="9"/>
        <rFont val="宋体"/>
        <charset val="134"/>
      </rPr>
      <t>净利润</t>
    </r>
  </si>
  <si>
    <t>P-Q</t>
  </si>
  <si>
    <r>
      <rPr>
        <sz val="9"/>
        <rFont val="宋体"/>
        <charset val="134"/>
      </rPr>
      <t>在建工程评估结果表</t>
    </r>
  </si>
  <si>
    <r>
      <rPr>
        <sz val="9"/>
        <rFont val="宋体"/>
        <charset val="134"/>
      </rPr>
      <t>利润折减率</t>
    </r>
  </si>
  <si>
    <r>
      <rPr>
        <sz val="9"/>
        <rFont val="宋体"/>
        <charset val="134"/>
      </rPr>
      <t>生物性物资评估说明</t>
    </r>
  </si>
  <si>
    <r>
      <rPr>
        <sz val="9"/>
        <rFont val="宋体"/>
        <charset val="134"/>
      </rPr>
      <t>利润折减额</t>
    </r>
  </si>
  <si>
    <r>
      <rPr>
        <sz val="9"/>
        <rFont val="宋体"/>
        <charset val="134"/>
      </rPr>
      <t>油气资产评估说明</t>
    </r>
  </si>
  <si>
    <r>
      <rPr>
        <sz val="9"/>
        <rFont val="宋体"/>
        <charset val="134"/>
      </rPr>
      <t>评估结果</t>
    </r>
  </si>
  <si>
    <t>J-K-L-Q-T</t>
  </si>
  <si>
    <r>
      <rPr>
        <sz val="9"/>
        <rFont val="宋体"/>
        <charset val="134"/>
      </rPr>
      <t>使用权资产评估说明</t>
    </r>
  </si>
  <si>
    <r>
      <rPr>
        <sz val="9"/>
        <rFont val="宋体"/>
        <charset val="134"/>
      </rPr>
      <t>使用权资产账面余额</t>
    </r>
  </si>
  <si>
    <r>
      <rPr>
        <sz val="9"/>
        <rFont val="宋体"/>
        <charset val="134"/>
      </rPr>
      <t>使用权资产减值准备</t>
    </r>
  </si>
  <si>
    <r>
      <rPr>
        <sz val="9"/>
        <rFont val="宋体"/>
        <charset val="134"/>
      </rPr>
      <t>使用权资产账面值</t>
    </r>
  </si>
  <si>
    <r>
      <rPr>
        <sz val="9"/>
        <rFont val="宋体"/>
        <charset val="134"/>
      </rPr>
      <t>使用权资产主要内容</t>
    </r>
  </si>
  <si>
    <r>
      <rPr>
        <sz val="9"/>
        <rFont val="宋体"/>
        <charset val="134"/>
      </rPr>
      <t>使用权资产评估结果</t>
    </r>
  </si>
  <si>
    <r>
      <rPr>
        <sz val="9"/>
        <rFont val="宋体"/>
        <charset val="134"/>
      </rPr>
      <t>使用权资产增减值</t>
    </r>
  </si>
  <si>
    <r>
      <rPr>
        <sz val="9"/>
        <rFont val="宋体"/>
        <charset val="134"/>
      </rPr>
      <t>土地评估说明</t>
    </r>
  </si>
  <si>
    <r>
      <rPr>
        <sz val="9"/>
        <rFont val="宋体"/>
        <charset val="134"/>
      </rPr>
      <t>矿业权评估说明</t>
    </r>
  </si>
  <si>
    <r>
      <rPr>
        <sz val="9"/>
        <rFont val="宋体"/>
        <charset val="134"/>
      </rPr>
      <t>无形资产（其他）评估说明</t>
    </r>
  </si>
  <si>
    <t>无形资产（其他）原始入账价值</t>
  </si>
  <si>
    <t>无形资产（其他）账面余额</t>
  </si>
  <si>
    <r>
      <rPr>
        <sz val="9"/>
        <rFont val="宋体"/>
        <charset val="134"/>
      </rPr>
      <t>无形资产（其他）减值准备</t>
    </r>
  </si>
  <si>
    <r>
      <rPr>
        <sz val="9"/>
        <rFont val="宋体"/>
        <charset val="134"/>
      </rPr>
      <t>无形资产（其他）账面值</t>
    </r>
  </si>
  <si>
    <r>
      <rPr>
        <sz val="9"/>
        <rFont val="宋体"/>
        <charset val="134"/>
      </rPr>
      <t>技术收益法说明</t>
    </r>
  </si>
  <si>
    <r>
      <rPr>
        <sz val="9"/>
        <rFont val="宋体"/>
        <charset val="134"/>
      </rPr>
      <t>技术剩余经济寿命年限</t>
    </r>
  </si>
  <si>
    <r>
      <rPr>
        <sz val="9"/>
        <rFont val="宋体"/>
        <charset val="134"/>
      </rPr>
      <t>技术收益期</t>
    </r>
  </si>
  <si>
    <r>
      <rPr>
        <sz val="9"/>
        <rFont val="宋体"/>
        <charset val="134"/>
      </rPr>
      <t>技术所属行业</t>
    </r>
  </si>
  <si>
    <r>
      <rPr>
        <sz val="9"/>
        <rFont val="宋体"/>
        <charset val="134"/>
      </rPr>
      <t>技术提成率区间</t>
    </r>
  </si>
  <si>
    <r>
      <rPr>
        <sz val="9"/>
        <rFont val="宋体"/>
        <charset val="134"/>
      </rPr>
      <t>技术调整系数表</t>
    </r>
  </si>
  <si>
    <r>
      <rPr>
        <sz val="9"/>
        <rFont val="宋体"/>
        <charset val="134"/>
      </rPr>
      <t>无形</t>
    </r>
    <r>
      <rPr>
        <sz val="9"/>
        <rFont val="Times New Roman"/>
        <charset val="134"/>
      </rPr>
      <t>-</t>
    </r>
    <r>
      <rPr>
        <sz val="9"/>
        <rFont val="宋体"/>
        <charset val="134"/>
      </rPr>
      <t>收益法</t>
    </r>
  </si>
  <si>
    <r>
      <rPr>
        <sz val="9"/>
        <rFont val="宋体"/>
        <charset val="134"/>
      </rPr>
      <t>技术调整系数</t>
    </r>
  </si>
  <si>
    <r>
      <rPr>
        <sz val="9"/>
        <rFont val="宋体"/>
        <charset val="134"/>
      </rPr>
      <t>技术分成率</t>
    </r>
  </si>
  <si>
    <r>
      <rPr>
        <sz val="9"/>
        <rFont val="宋体"/>
        <charset val="134"/>
      </rPr>
      <t>无风险报酬率</t>
    </r>
  </si>
  <si>
    <r>
      <rPr>
        <sz val="9"/>
        <rFont val="宋体"/>
        <charset val="134"/>
      </rPr>
      <t>政策风险</t>
    </r>
  </si>
  <si>
    <r>
      <rPr>
        <sz val="9"/>
        <rFont val="宋体"/>
        <charset val="134"/>
      </rPr>
      <t>技术风险取值表</t>
    </r>
  </si>
  <si>
    <r>
      <rPr>
        <sz val="9"/>
        <rFont val="宋体"/>
        <charset val="134"/>
      </rPr>
      <t>技术转化风险</t>
    </r>
  </si>
  <si>
    <r>
      <rPr>
        <sz val="9"/>
        <rFont val="宋体"/>
        <charset val="134"/>
      </rPr>
      <t>技术替代风险</t>
    </r>
  </si>
  <si>
    <t>技术权利风险</t>
  </si>
  <si>
    <t>未完施工余额</t>
  </si>
  <si>
    <t>技术整合风险</t>
  </si>
  <si>
    <t>减：预计损失准备</t>
  </si>
  <si>
    <t>市场风险取值表</t>
  </si>
  <si>
    <r>
      <rPr>
        <sz val="9"/>
        <rFont val="宋体"/>
        <charset val="134"/>
      </rPr>
      <t>减：预计风险准备</t>
    </r>
  </si>
  <si>
    <t>市场容量风险</t>
  </si>
  <si>
    <t>未完施工</t>
  </si>
  <si>
    <t>市场现有竞争风险</t>
  </si>
  <si>
    <r>
      <rPr>
        <b/>
        <sz val="9"/>
        <rFont val="宋体"/>
        <charset val="134"/>
      </rPr>
      <t>存货合计</t>
    </r>
  </si>
  <si>
    <t>市场潜在竞争风险评测取值表</t>
  </si>
  <si>
    <t>规模经济性</t>
  </si>
  <si>
    <t>投资额及转换费用</t>
  </si>
  <si>
    <t>销售网络</t>
  </si>
  <si>
    <r>
      <rPr>
        <sz val="9"/>
        <rFont val="宋体"/>
        <charset val="134"/>
      </rPr>
      <t>合同资产</t>
    </r>
    <r>
      <rPr>
        <sz val="9"/>
        <rFont val="Times New Roman"/>
        <charset val="134"/>
      </rPr>
      <t>-</t>
    </r>
    <r>
      <rPr>
        <sz val="9"/>
        <rFont val="宋体"/>
        <charset val="134"/>
      </rPr>
      <t>未完施工余额</t>
    </r>
  </si>
  <si>
    <r>
      <rPr>
        <sz val="9"/>
        <rFont val="宋体"/>
        <charset val="134"/>
      </rPr>
      <t>资金风险取值表</t>
    </r>
  </si>
  <si>
    <r>
      <rPr>
        <sz val="9"/>
        <rFont val="宋体"/>
        <charset val="134"/>
      </rPr>
      <t>减：预计合同损失准备</t>
    </r>
  </si>
  <si>
    <r>
      <rPr>
        <sz val="9"/>
        <rFont val="宋体"/>
        <charset val="134"/>
      </rPr>
      <t>融资风险</t>
    </r>
  </si>
  <si>
    <r>
      <rPr>
        <sz val="9"/>
        <rFont val="宋体"/>
        <charset val="134"/>
      </rPr>
      <t>合同资产</t>
    </r>
    <r>
      <rPr>
        <sz val="9"/>
        <rFont val="Times New Roman"/>
        <charset val="134"/>
      </rPr>
      <t>-</t>
    </r>
    <r>
      <rPr>
        <sz val="9"/>
        <rFont val="宋体"/>
        <charset val="134"/>
      </rPr>
      <t>未完施工</t>
    </r>
  </si>
  <si>
    <r>
      <rPr>
        <sz val="9"/>
        <rFont val="宋体"/>
        <charset val="134"/>
      </rPr>
      <t>流动资金风险</t>
    </r>
  </si>
  <si>
    <r>
      <rPr>
        <sz val="9"/>
        <rFont val="宋体"/>
        <charset val="134"/>
      </rPr>
      <t>合同资产</t>
    </r>
    <r>
      <rPr>
        <sz val="9"/>
        <rFont val="Times New Roman"/>
        <charset val="134"/>
      </rPr>
      <t>-</t>
    </r>
    <r>
      <rPr>
        <sz val="9"/>
        <rFont val="宋体"/>
        <charset val="134"/>
      </rPr>
      <t>其他余额</t>
    </r>
  </si>
  <si>
    <r>
      <rPr>
        <sz val="9"/>
        <rFont val="宋体"/>
        <charset val="134"/>
      </rPr>
      <t>管理风险评测取值表</t>
    </r>
  </si>
  <si>
    <r>
      <rPr>
        <sz val="9"/>
        <rFont val="宋体"/>
        <charset val="134"/>
      </rPr>
      <t>销售服务风险</t>
    </r>
  </si>
  <si>
    <r>
      <rPr>
        <sz val="9"/>
        <rFont val="宋体"/>
        <charset val="134"/>
      </rPr>
      <t>合同资产</t>
    </r>
    <r>
      <rPr>
        <sz val="9"/>
        <rFont val="Times New Roman"/>
        <charset val="134"/>
      </rPr>
      <t>-</t>
    </r>
    <r>
      <rPr>
        <sz val="9"/>
        <rFont val="宋体"/>
        <charset val="134"/>
      </rPr>
      <t>其他</t>
    </r>
  </si>
  <si>
    <r>
      <rPr>
        <sz val="9"/>
        <rFont val="宋体"/>
        <charset val="134"/>
      </rPr>
      <t>质量管理风险</t>
    </r>
  </si>
  <si>
    <r>
      <rPr>
        <b/>
        <sz val="9"/>
        <rFont val="宋体"/>
        <charset val="134"/>
      </rPr>
      <t>合同资产合计</t>
    </r>
  </si>
  <si>
    <r>
      <rPr>
        <sz val="9"/>
        <rFont val="宋体"/>
        <charset val="134"/>
      </rPr>
      <t>技术开发风险</t>
    </r>
  </si>
  <si>
    <r>
      <rPr>
        <sz val="9"/>
        <rFont val="宋体"/>
        <charset val="134"/>
      </rPr>
      <t>技术折现率汇总表</t>
    </r>
  </si>
  <si>
    <r>
      <rPr>
        <sz val="9"/>
        <rFont val="宋体"/>
        <charset val="134"/>
      </rPr>
      <t>技术收益法计算表</t>
    </r>
  </si>
  <si>
    <r>
      <rPr>
        <sz val="9"/>
        <rFont val="宋体"/>
        <charset val="134"/>
      </rPr>
      <t>技术收益法评估结果</t>
    </r>
  </si>
  <si>
    <t>合同资产-未完施工余额</t>
  </si>
  <si>
    <r>
      <rPr>
        <sz val="9"/>
        <rFont val="宋体"/>
        <charset val="134"/>
      </rPr>
      <t>技术成本法说明</t>
    </r>
  </si>
  <si>
    <t>减：预计合同损失准备</t>
  </si>
  <si>
    <r>
      <rPr>
        <sz val="9"/>
        <rFont val="宋体"/>
        <charset val="134"/>
      </rPr>
      <t>技术成本汇总表</t>
    </r>
  </si>
  <si>
    <r>
      <rPr>
        <sz val="9"/>
        <rFont val="宋体"/>
        <charset val="134"/>
      </rPr>
      <t>无形</t>
    </r>
    <r>
      <rPr>
        <sz val="9"/>
        <rFont val="Times New Roman"/>
        <charset val="134"/>
      </rPr>
      <t>-</t>
    </r>
    <r>
      <rPr>
        <sz val="9"/>
        <rFont val="宋体"/>
        <charset val="134"/>
      </rPr>
      <t>成本法</t>
    </r>
  </si>
  <si>
    <t>减：预计风险准备</t>
  </si>
  <si>
    <r>
      <rPr>
        <sz val="9"/>
        <rFont val="宋体"/>
        <charset val="134"/>
      </rPr>
      <t>各年经济指数统计表</t>
    </r>
  </si>
  <si>
    <t>合同资产-未完施工</t>
  </si>
  <si>
    <r>
      <rPr>
        <sz val="9"/>
        <rFont val="宋体"/>
        <charset val="134"/>
      </rPr>
      <t>经济指数调整后表</t>
    </r>
  </si>
  <si>
    <t>合同资产-其他余额</t>
  </si>
  <si>
    <r>
      <rPr>
        <sz val="9"/>
        <rFont val="宋体"/>
        <charset val="134"/>
      </rPr>
      <t>上市公司回报率表</t>
    </r>
  </si>
  <si>
    <t>减：跌价准备</t>
  </si>
  <si>
    <r>
      <rPr>
        <sz val="9"/>
        <rFont val="宋体"/>
        <charset val="134"/>
      </rPr>
      <t>技术平均收益率</t>
    </r>
  </si>
  <si>
    <r>
      <rPr>
        <sz val="9"/>
        <rFont val="宋体"/>
        <charset val="134"/>
      </rPr>
      <t>增加利润后表</t>
    </r>
  </si>
  <si>
    <t>合同资产-其他</t>
  </si>
  <si>
    <r>
      <rPr>
        <sz val="9"/>
        <rFont val="宋体"/>
        <charset val="134"/>
      </rPr>
      <t>技术基准利率</t>
    </r>
  </si>
  <si>
    <t>合同资产合计</t>
  </si>
  <si>
    <r>
      <rPr>
        <sz val="9"/>
        <rFont val="宋体"/>
        <charset val="134"/>
      </rPr>
      <t>增加资金成本表</t>
    </r>
  </si>
  <si>
    <r>
      <rPr>
        <sz val="9"/>
        <rFont val="宋体"/>
        <charset val="134"/>
      </rPr>
      <t>技术重置成本金额</t>
    </r>
  </si>
  <si>
    <r>
      <rPr>
        <sz val="9"/>
        <rFont val="宋体"/>
        <charset val="134"/>
      </rPr>
      <t>技术成本法计算表</t>
    </r>
  </si>
  <si>
    <r>
      <rPr>
        <sz val="9"/>
        <rFont val="宋体"/>
        <charset val="134"/>
      </rPr>
      <t>技术成本法评估结果</t>
    </r>
  </si>
  <si>
    <r>
      <rPr>
        <sz val="9"/>
        <rFont val="宋体"/>
        <charset val="134"/>
      </rPr>
      <t>无形资产（其他）评估结果</t>
    </r>
  </si>
  <si>
    <r>
      <rPr>
        <sz val="9"/>
        <rFont val="宋体"/>
        <charset val="134"/>
      </rPr>
      <t>以公允价值计量且其变动
计入当期损益的金融资产</t>
    </r>
  </si>
  <si>
    <r>
      <rPr>
        <sz val="9"/>
        <rFont val="宋体"/>
        <charset val="134"/>
      </rPr>
      <t>无形资产（其他）增减值</t>
    </r>
  </si>
  <si>
    <t>开发支出评估说明</t>
  </si>
  <si>
    <t>开发支出账面值</t>
  </si>
  <si>
    <t>开发支出主要内容</t>
  </si>
  <si>
    <t>开发支出评估结果</t>
  </si>
  <si>
    <t>开发支出增减值</t>
  </si>
  <si>
    <t>商誉评估说明</t>
  </si>
  <si>
    <t>商誉账面值</t>
  </si>
  <si>
    <t>商誉主要内容</t>
  </si>
  <si>
    <t>商誉评估结果</t>
  </si>
  <si>
    <t>商誉增减值</t>
  </si>
  <si>
    <t>长期待摊费用评估说明</t>
  </si>
  <si>
    <t>长期待摊费用账面值</t>
  </si>
  <si>
    <t>长期待摊费用主要内容</t>
  </si>
  <si>
    <t>长期待摊费用评估结果</t>
  </si>
  <si>
    <t>长期待摊费用增减值</t>
  </si>
  <si>
    <t>递延所得税资产评估说明</t>
  </si>
  <si>
    <r>
      <rPr>
        <sz val="9"/>
        <rFont val="宋体"/>
        <charset val="134"/>
      </rPr>
      <t>股票投资余额</t>
    </r>
  </si>
  <si>
    <t>递延所得税资产账面值</t>
  </si>
  <si>
    <t>递延所得税资产主要内容</t>
  </si>
  <si>
    <r>
      <rPr>
        <sz val="9"/>
        <rFont val="宋体"/>
        <charset val="134"/>
      </rPr>
      <t>股票投资</t>
    </r>
  </si>
  <si>
    <t>递延所得税资产评估结果</t>
  </si>
  <si>
    <r>
      <rPr>
        <sz val="9"/>
        <rFont val="宋体"/>
        <charset val="134"/>
      </rPr>
      <t>债券投资余额</t>
    </r>
  </si>
  <si>
    <t>递延所得税资产增减值</t>
  </si>
  <si>
    <t>其他非流动资产评估说明</t>
  </si>
  <si>
    <r>
      <rPr>
        <sz val="9"/>
        <rFont val="宋体"/>
        <charset val="134"/>
      </rPr>
      <t>债券投资</t>
    </r>
  </si>
  <si>
    <t>其他非流动资产账面值</t>
  </si>
  <si>
    <r>
      <rPr>
        <sz val="9"/>
        <rFont val="宋体"/>
        <charset val="134"/>
      </rPr>
      <t>其他投资余额</t>
    </r>
  </si>
  <si>
    <t>其他非流动资产主要内容</t>
  </si>
  <si>
    <t>其他非流动资产评估结果</t>
  </si>
  <si>
    <r>
      <rPr>
        <sz val="9"/>
        <rFont val="宋体"/>
        <charset val="134"/>
      </rPr>
      <t>其他投资</t>
    </r>
  </si>
  <si>
    <t>其他非流动资产增减值</t>
  </si>
  <si>
    <r>
      <rPr>
        <b/>
        <sz val="9"/>
        <rFont val="宋体"/>
        <charset val="134"/>
      </rPr>
      <t>可供出售金融资产合计</t>
    </r>
  </si>
  <si>
    <r>
      <rPr>
        <sz val="9"/>
        <rFont val="宋体"/>
        <charset val="134"/>
      </rPr>
      <t>负债评估说明</t>
    </r>
  </si>
  <si>
    <r>
      <rPr>
        <sz val="9"/>
        <rFont val="宋体"/>
        <charset val="134"/>
      </rPr>
      <t>负债科目明细</t>
    </r>
  </si>
  <si>
    <r>
      <rPr>
        <sz val="9"/>
        <rFont val="宋体"/>
        <charset val="134"/>
      </rPr>
      <t>负债账面值表</t>
    </r>
  </si>
  <si>
    <t>短期借款评估说明</t>
  </si>
  <si>
    <t>短期借款账面值</t>
  </si>
  <si>
    <t>短期借款主要内容</t>
  </si>
  <si>
    <t>交易性金融负债评估说明</t>
  </si>
  <si>
    <t>交易性金融负债账面值</t>
  </si>
  <si>
    <t>交易性金融负债主要内容</t>
  </si>
  <si>
    <t>衍生金融负债评估说明</t>
  </si>
  <si>
    <t>衍生金融负债账面值</t>
  </si>
  <si>
    <t>衍生金融负债主要内容</t>
  </si>
  <si>
    <t>应付票据评估说明</t>
  </si>
  <si>
    <t>应付票据账面值</t>
  </si>
  <si>
    <t>应付票据主要内容</t>
  </si>
  <si>
    <t>应付账款评估说明</t>
  </si>
  <si>
    <t>应付账款账面值</t>
  </si>
  <si>
    <r>
      <rPr>
        <sz val="9"/>
        <rFont val="宋体"/>
        <charset val="134"/>
      </rPr>
      <t>固定资产清理</t>
    </r>
  </si>
  <si>
    <t>应付账款主要内容</t>
  </si>
  <si>
    <t>预收款项评估说明</t>
  </si>
  <si>
    <t>预收款项账面值</t>
  </si>
  <si>
    <t>预收款项主要内容</t>
  </si>
  <si>
    <r>
      <rPr>
        <sz val="9"/>
        <rFont val="宋体"/>
        <charset val="134"/>
      </rPr>
      <t>在建工程</t>
    </r>
    <r>
      <rPr>
        <sz val="9"/>
        <rFont val="Times New Roman"/>
        <charset val="134"/>
      </rPr>
      <t>-</t>
    </r>
    <r>
      <rPr>
        <sz val="9"/>
        <rFont val="宋体"/>
        <charset val="134"/>
      </rPr>
      <t>土建工程余额</t>
    </r>
  </si>
  <si>
    <t>合同负债评估说明</t>
  </si>
  <si>
    <t>合同负债明细</t>
  </si>
  <si>
    <r>
      <rPr>
        <sz val="9"/>
        <rFont val="宋体"/>
        <charset val="134"/>
      </rPr>
      <t>在建工程</t>
    </r>
    <r>
      <rPr>
        <sz val="9"/>
        <rFont val="Times New Roman"/>
        <charset val="134"/>
      </rPr>
      <t>-</t>
    </r>
    <r>
      <rPr>
        <sz val="9"/>
        <rFont val="宋体"/>
        <charset val="134"/>
      </rPr>
      <t>土建工程</t>
    </r>
  </si>
  <si>
    <t>合同负债账面值表</t>
  </si>
  <si>
    <r>
      <rPr>
        <sz val="9"/>
        <rFont val="宋体"/>
        <charset val="134"/>
      </rPr>
      <t>在建工程</t>
    </r>
    <r>
      <rPr>
        <sz val="9"/>
        <rFont val="Times New Roman"/>
        <charset val="134"/>
      </rPr>
      <t>-</t>
    </r>
    <r>
      <rPr>
        <sz val="9"/>
        <rFont val="宋体"/>
        <charset val="134"/>
      </rPr>
      <t>设备安装工程余额</t>
    </r>
  </si>
  <si>
    <t>合同负债（未完施工）主要内容</t>
  </si>
  <si>
    <t>合同负债（其他）主要内容</t>
  </si>
  <si>
    <r>
      <rPr>
        <sz val="9"/>
        <rFont val="宋体"/>
        <charset val="134"/>
      </rPr>
      <t>在建工程</t>
    </r>
    <r>
      <rPr>
        <sz val="9"/>
        <rFont val="Times New Roman"/>
        <charset val="134"/>
      </rPr>
      <t>-</t>
    </r>
    <r>
      <rPr>
        <sz val="9"/>
        <rFont val="宋体"/>
        <charset val="134"/>
      </rPr>
      <t>设备安装工程</t>
    </r>
  </si>
  <si>
    <t>合同负债（未完施工）评估方法</t>
  </si>
  <si>
    <r>
      <rPr>
        <sz val="9"/>
        <rFont val="宋体"/>
        <charset val="134"/>
      </rPr>
      <t>在建工程</t>
    </r>
    <r>
      <rPr>
        <sz val="9"/>
        <rFont val="Times New Roman"/>
        <charset val="134"/>
      </rPr>
      <t>-</t>
    </r>
    <r>
      <rPr>
        <sz val="9"/>
        <rFont val="宋体"/>
        <charset val="134"/>
      </rPr>
      <t>待摊投资余额</t>
    </r>
  </si>
  <si>
    <t>合同负债（其他）评估方法</t>
  </si>
  <si>
    <t>合同负债评估结果表</t>
  </si>
  <si>
    <r>
      <rPr>
        <sz val="9"/>
        <rFont val="宋体"/>
        <charset val="134"/>
      </rPr>
      <t>在建工程</t>
    </r>
    <r>
      <rPr>
        <sz val="9"/>
        <rFont val="Times New Roman"/>
        <charset val="134"/>
      </rPr>
      <t>-</t>
    </r>
    <r>
      <rPr>
        <sz val="9"/>
        <rFont val="宋体"/>
        <charset val="134"/>
      </rPr>
      <t>待摊投资</t>
    </r>
  </si>
  <si>
    <t>应付职工薪酬评估说明</t>
  </si>
  <si>
    <r>
      <rPr>
        <sz val="9"/>
        <rFont val="宋体"/>
        <charset val="134"/>
      </rPr>
      <t>在建工程</t>
    </r>
    <r>
      <rPr>
        <sz val="9"/>
        <rFont val="Times New Roman"/>
        <charset val="134"/>
      </rPr>
      <t>-</t>
    </r>
    <r>
      <rPr>
        <sz val="9"/>
        <rFont val="宋体"/>
        <charset val="134"/>
      </rPr>
      <t>预付工程款余额</t>
    </r>
  </si>
  <si>
    <t>应付职工薪酬账面值</t>
  </si>
  <si>
    <t>应付职工薪酬主要内容</t>
  </si>
  <si>
    <r>
      <rPr>
        <sz val="9"/>
        <rFont val="宋体"/>
        <charset val="134"/>
      </rPr>
      <t>在建工程</t>
    </r>
    <r>
      <rPr>
        <sz val="9"/>
        <rFont val="Times New Roman"/>
        <charset val="134"/>
      </rPr>
      <t>-</t>
    </r>
    <r>
      <rPr>
        <sz val="9"/>
        <rFont val="宋体"/>
        <charset val="134"/>
      </rPr>
      <t>预付工程款</t>
    </r>
  </si>
  <si>
    <t>应交税费评估说明</t>
  </si>
  <si>
    <r>
      <rPr>
        <sz val="9"/>
        <rFont val="宋体"/>
        <charset val="134"/>
      </rPr>
      <t>在建工程</t>
    </r>
    <r>
      <rPr>
        <sz val="9"/>
        <rFont val="Times New Roman"/>
        <charset val="134"/>
      </rPr>
      <t>-</t>
    </r>
    <r>
      <rPr>
        <sz val="9"/>
        <rFont val="宋体"/>
        <charset val="134"/>
      </rPr>
      <t>井巷工程余额</t>
    </r>
  </si>
  <si>
    <t>应交税费账面值</t>
  </si>
  <si>
    <t>应交税费主要内容</t>
  </si>
  <si>
    <r>
      <rPr>
        <sz val="9"/>
        <rFont val="宋体"/>
        <charset val="134"/>
      </rPr>
      <t>在建工程</t>
    </r>
    <r>
      <rPr>
        <sz val="9"/>
        <rFont val="Times New Roman"/>
        <charset val="134"/>
      </rPr>
      <t>-</t>
    </r>
    <r>
      <rPr>
        <sz val="9"/>
        <rFont val="宋体"/>
        <charset val="134"/>
      </rPr>
      <t>井巷工程</t>
    </r>
  </si>
  <si>
    <r>
      <rPr>
        <sz val="9"/>
        <rFont val="宋体"/>
        <charset val="134"/>
      </rPr>
      <t>其他应付款评估说明</t>
    </r>
  </si>
  <si>
    <r>
      <rPr>
        <sz val="9"/>
        <rFont val="宋体"/>
        <charset val="134"/>
      </rPr>
      <t>在建工程</t>
    </r>
    <r>
      <rPr>
        <sz val="9"/>
        <rFont val="Times New Roman"/>
        <charset val="134"/>
      </rPr>
      <t>-</t>
    </r>
    <r>
      <rPr>
        <sz val="9"/>
        <rFont val="宋体"/>
        <charset val="134"/>
      </rPr>
      <t>工程物资余额</t>
    </r>
  </si>
  <si>
    <r>
      <rPr>
        <sz val="9"/>
        <rFont val="宋体"/>
        <charset val="134"/>
      </rPr>
      <t>其他应付款科目明细</t>
    </r>
  </si>
  <si>
    <r>
      <rPr>
        <sz val="9"/>
        <rFont val="宋体"/>
        <charset val="134"/>
      </rPr>
      <t>其他应付款账面值表</t>
    </r>
  </si>
  <si>
    <r>
      <rPr>
        <sz val="9"/>
        <rFont val="宋体"/>
        <charset val="134"/>
      </rPr>
      <t>在建工程</t>
    </r>
    <r>
      <rPr>
        <sz val="9"/>
        <rFont val="Times New Roman"/>
        <charset val="134"/>
      </rPr>
      <t>-</t>
    </r>
    <r>
      <rPr>
        <sz val="9"/>
        <rFont val="宋体"/>
        <charset val="134"/>
      </rPr>
      <t>工程物资</t>
    </r>
  </si>
  <si>
    <r>
      <rPr>
        <sz val="9"/>
        <rFont val="宋体"/>
        <charset val="134"/>
      </rPr>
      <t>其他应付（利息）主要内容</t>
    </r>
  </si>
  <si>
    <r>
      <rPr>
        <sz val="9"/>
        <rFont val="宋体"/>
        <charset val="134"/>
      </rPr>
      <t>其他应付（股利）主要内容</t>
    </r>
  </si>
  <si>
    <r>
      <rPr>
        <sz val="9"/>
        <rFont val="宋体"/>
        <charset val="134"/>
      </rPr>
      <t>其他应付（其他）主要内容</t>
    </r>
  </si>
  <si>
    <r>
      <rPr>
        <sz val="9"/>
        <rFont val="宋体"/>
        <charset val="134"/>
      </rPr>
      <t>其他应付（利息）评估方法</t>
    </r>
  </si>
  <si>
    <r>
      <rPr>
        <b/>
        <sz val="9"/>
        <rFont val="宋体"/>
        <charset val="134"/>
      </rPr>
      <t>评估价值</t>
    </r>
  </si>
  <si>
    <r>
      <rPr>
        <sz val="9"/>
        <rFont val="宋体"/>
        <charset val="134"/>
      </rPr>
      <t>其他应付（股利）评估方法</t>
    </r>
  </si>
  <si>
    <r>
      <rPr>
        <sz val="9"/>
        <rFont val="宋体"/>
        <charset val="134"/>
      </rPr>
      <t>其他应付（其他）评估方法</t>
    </r>
  </si>
  <si>
    <r>
      <rPr>
        <sz val="9"/>
        <rFont val="宋体"/>
        <charset val="134"/>
      </rPr>
      <t>其他应付款评估结果表</t>
    </r>
  </si>
  <si>
    <t>持有待售负债评估说明</t>
  </si>
  <si>
    <t>持有待售负债账面值</t>
  </si>
  <si>
    <t>持有待售负债主要内容</t>
  </si>
  <si>
    <t>一年内到期的非流动负债评估说明</t>
  </si>
  <si>
    <t>一年内到期的非流动负债账面值</t>
  </si>
  <si>
    <t>一年内到期的非流动负债主要内容</t>
  </si>
  <si>
    <t>其他流动负债评估说明</t>
  </si>
  <si>
    <t>其他流动负债账面值</t>
  </si>
  <si>
    <t>其他流动负债主要内容</t>
  </si>
  <si>
    <t>长期借款评估说明</t>
  </si>
  <si>
    <t>长期借款账面值</t>
  </si>
  <si>
    <t>长期借款主要内容</t>
  </si>
  <si>
    <t>应付债券评估说明</t>
  </si>
  <si>
    <t>应付债券账面值</t>
  </si>
  <si>
    <t>应付债券主要内容</t>
  </si>
  <si>
    <t>租赁负债评估说明</t>
  </si>
  <si>
    <t>租赁负债账面值</t>
  </si>
  <si>
    <t>租赁负债主要内容</t>
  </si>
  <si>
    <t>长期应付款评估说明</t>
  </si>
  <si>
    <t>长期应付款账面值</t>
  </si>
  <si>
    <r>
      <rPr>
        <sz val="9"/>
        <rFont val="宋体"/>
        <charset val="134"/>
      </rPr>
      <t>无形资产</t>
    </r>
    <r>
      <rPr>
        <sz val="9"/>
        <rFont val="Times New Roman"/>
        <charset val="134"/>
      </rPr>
      <t>(</t>
    </r>
    <r>
      <rPr>
        <sz val="9"/>
        <rFont val="宋体"/>
        <charset val="134"/>
      </rPr>
      <t>其他</t>
    </r>
    <r>
      <rPr>
        <sz val="9"/>
        <rFont val="Times New Roman"/>
        <charset val="134"/>
      </rPr>
      <t>)</t>
    </r>
  </si>
  <si>
    <t>长期应付款主要内容</t>
  </si>
  <si>
    <t>预计负债评估说明</t>
  </si>
  <si>
    <t>预计负债账面值</t>
  </si>
  <si>
    <r>
      <rPr>
        <b/>
        <sz val="9"/>
        <rFont val="宋体"/>
        <charset val="134"/>
      </rPr>
      <t>项目名称</t>
    </r>
  </si>
  <si>
    <t>预计负债主要内容</t>
  </si>
  <si>
    <r>
      <rPr>
        <b/>
        <sz val="9"/>
        <rFont val="宋体"/>
        <charset val="134"/>
      </rPr>
      <t>一</t>
    </r>
  </si>
  <si>
    <r>
      <rPr>
        <b/>
        <sz val="9"/>
        <rFont val="宋体"/>
        <charset val="134"/>
      </rPr>
      <t>流动负债：</t>
    </r>
  </si>
  <si>
    <t>递延收益评估说明</t>
  </si>
  <si>
    <r>
      <rPr>
        <sz val="9"/>
        <rFont val="宋体"/>
        <charset val="134"/>
      </rPr>
      <t>短期借款</t>
    </r>
  </si>
  <si>
    <t>递延收益账面值</t>
  </si>
  <si>
    <r>
      <rPr>
        <sz val="9"/>
        <rFont val="宋体"/>
        <charset val="134"/>
      </rPr>
      <t>交易性金融负债</t>
    </r>
  </si>
  <si>
    <t>递延收益主要内容</t>
  </si>
  <si>
    <r>
      <rPr>
        <sz val="9"/>
        <rFont val="宋体"/>
        <charset val="134"/>
      </rPr>
      <t>衍生金融负债</t>
    </r>
  </si>
  <si>
    <t>递延收益评估结果</t>
  </si>
  <si>
    <r>
      <rPr>
        <sz val="9"/>
        <rFont val="宋体"/>
        <charset val="134"/>
      </rPr>
      <t>应付票据</t>
    </r>
  </si>
  <si>
    <r>
      <rPr>
        <sz val="9"/>
        <rFont val="宋体"/>
        <charset val="134"/>
      </rPr>
      <t>递延收益增减值</t>
    </r>
  </si>
  <si>
    <r>
      <rPr>
        <sz val="9"/>
        <rFont val="宋体"/>
        <charset val="134"/>
      </rPr>
      <t>应付账款</t>
    </r>
  </si>
  <si>
    <t>递延所得税负债评估说明</t>
  </si>
  <si>
    <r>
      <rPr>
        <sz val="9"/>
        <rFont val="宋体"/>
        <charset val="134"/>
      </rPr>
      <t>预收款项</t>
    </r>
  </si>
  <si>
    <t>递延所得税负债账面值</t>
  </si>
  <si>
    <r>
      <rPr>
        <sz val="9"/>
        <rFont val="宋体"/>
        <charset val="134"/>
      </rPr>
      <t>合同负债</t>
    </r>
  </si>
  <si>
    <t>递延所得税负债主要内容</t>
  </si>
  <si>
    <r>
      <rPr>
        <sz val="9"/>
        <rFont val="宋体"/>
        <charset val="134"/>
      </rPr>
      <t>应付职工薪酬</t>
    </r>
  </si>
  <si>
    <r>
      <rPr>
        <sz val="9"/>
        <rFont val="宋体"/>
        <charset val="134"/>
      </rPr>
      <t>递延所得税负债评估结果</t>
    </r>
  </si>
  <si>
    <r>
      <rPr>
        <sz val="9"/>
        <rFont val="宋体"/>
        <charset val="134"/>
      </rPr>
      <t>应交税费</t>
    </r>
  </si>
  <si>
    <r>
      <rPr>
        <sz val="9"/>
        <rFont val="宋体"/>
        <charset val="134"/>
      </rPr>
      <t>递延所得税负债增减值</t>
    </r>
  </si>
  <si>
    <r>
      <rPr>
        <sz val="9"/>
        <rFont val="宋体"/>
        <charset val="134"/>
      </rPr>
      <t>其他应付款</t>
    </r>
  </si>
  <si>
    <t>其他非流动负债评估说明</t>
  </si>
  <si>
    <r>
      <rPr>
        <sz val="9"/>
        <rFont val="宋体"/>
        <charset val="134"/>
      </rPr>
      <t>持有待售负债</t>
    </r>
  </si>
  <si>
    <t>其他非流动负债账面值</t>
  </si>
  <si>
    <r>
      <rPr>
        <sz val="9"/>
        <rFont val="宋体"/>
        <charset val="134"/>
      </rPr>
      <t>一年内到期的非流动负债</t>
    </r>
  </si>
  <si>
    <t>其他非流动负债主要内容</t>
  </si>
  <si>
    <r>
      <rPr>
        <sz val="9"/>
        <rFont val="宋体"/>
        <charset val="134"/>
      </rPr>
      <t>其他流动负债</t>
    </r>
  </si>
  <si>
    <r>
      <rPr>
        <sz val="9"/>
        <rFont val="宋体"/>
        <charset val="134"/>
      </rPr>
      <t>负债评估结果表</t>
    </r>
  </si>
  <si>
    <r>
      <rPr>
        <b/>
        <sz val="9"/>
        <rFont val="宋体"/>
        <charset val="134"/>
      </rPr>
      <t>流动负债合计</t>
    </r>
  </si>
  <si>
    <r>
      <rPr>
        <b/>
        <sz val="9"/>
        <rFont val="宋体"/>
        <charset val="134"/>
      </rPr>
      <t>收益法评估说明标题</t>
    </r>
  </si>
  <si>
    <r>
      <rPr>
        <b/>
        <sz val="9"/>
        <rFont val="宋体"/>
        <charset val="134"/>
      </rPr>
      <t>二</t>
    </r>
  </si>
  <si>
    <r>
      <rPr>
        <b/>
        <sz val="9"/>
        <rFont val="宋体"/>
        <charset val="134"/>
      </rPr>
      <t>非流动负债：</t>
    </r>
  </si>
  <si>
    <r>
      <rPr>
        <sz val="9"/>
        <rFont val="宋体"/>
        <charset val="134"/>
      </rPr>
      <t>不进行收益法评估的说明</t>
    </r>
  </si>
  <si>
    <r>
      <rPr>
        <sz val="9"/>
        <rFont val="宋体"/>
        <charset val="134"/>
      </rPr>
      <t>长期借款</t>
    </r>
  </si>
  <si>
    <r>
      <rPr>
        <b/>
        <sz val="9"/>
        <rFont val="宋体"/>
        <charset val="134"/>
      </rPr>
      <t>收益法评估说明</t>
    </r>
  </si>
  <si>
    <r>
      <rPr>
        <sz val="9"/>
        <rFont val="宋体"/>
        <charset val="134"/>
      </rPr>
      <t>应付债券</t>
    </r>
  </si>
  <si>
    <r>
      <rPr>
        <sz val="9"/>
        <rFont val="宋体"/>
        <charset val="134"/>
      </rPr>
      <t>盈利能力分析表</t>
    </r>
  </si>
  <si>
    <r>
      <rPr>
        <sz val="9"/>
        <rFont val="宋体"/>
        <charset val="134"/>
      </rPr>
      <t>租赁负债</t>
    </r>
  </si>
  <si>
    <r>
      <rPr>
        <sz val="9"/>
        <rFont val="宋体"/>
        <charset val="134"/>
      </rPr>
      <t>偿债能力分析表</t>
    </r>
  </si>
  <si>
    <r>
      <rPr>
        <sz val="9"/>
        <rFont val="宋体"/>
        <charset val="134"/>
      </rPr>
      <t>长期应付款</t>
    </r>
  </si>
  <si>
    <r>
      <rPr>
        <sz val="9"/>
        <rFont val="宋体"/>
        <charset val="134"/>
      </rPr>
      <t>管理能力分析表</t>
    </r>
  </si>
  <si>
    <r>
      <rPr>
        <sz val="9"/>
        <rFont val="宋体"/>
        <charset val="134"/>
      </rPr>
      <t>预计负债</t>
    </r>
  </si>
  <si>
    <r>
      <rPr>
        <sz val="9"/>
        <rFont val="宋体"/>
        <charset val="134"/>
      </rPr>
      <t>成长能力分析表</t>
    </r>
  </si>
  <si>
    <r>
      <rPr>
        <sz val="9"/>
        <rFont val="宋体"/>
        <charset val="134"/>
      </rPr>
      <t>递延收益</t>
    </r>
  </si>
  <si>
    <r>
      <rPr>
        <sz val="9"/>
        <rFont val="宋体"/>
        <charset val="134"/>
      </rPr>
      <t>收益期限</t>
    </r>
  </si>
  <si>
    <r>
      <rPr>
        <sz val="9"/>
        <rFont val="宋体"/>
        <charset val="134"/>
      </rPr>
      <t>递延所得税负债</t>
    </r>
  </si>
  <si>
    <r>
      <rPr>
        <sz val="9"/>
        <rFont val="宋体"/>
        <charset val="134"/>
      </rPr>
      <t>市场风险溢价</t>
    </r>
  </si>
  <si>
    <t>7.20%</t>
  </si>
  <si>
    <r>
      <rPr>
        <sz val="9"/>
        <rFont val="宋体"/>
        <charset val="134"/>
      </rPr>
      <t>其他非流动负债</t>
    </r>
  </si>
  <si>
    <r>
      <rPr>
        <sz val="9"/>
        <rFont val="宋体"/>
        <charset val="134"/>
      </rPr>
      <t>公司特有风险调整系数表</t>
    </r>
  </si>
  <si>
    <r>
      <rPr>
        <sz val="9"/>
        <rFont val="宋体"/>
        <charset val="134"/>
      </rPr>
      <t>折现率</t>
    </r>
  </si>
  <si>
    <r>
      <rPr>
        <b/>
        <sz val="9"/>
        <rFont val="宋体"/>
        <charset val="134"/>
      </rPr>
      <t>非流动负债合计</t>
    </r>
  </si>
  <si>
    <r>
      <rPr>
        <sz val="9"/>
        <rFont val="宋体"/>
        <charset val="134"/>
      </rPr>
      <t>债券收益率</t>
    </r>
  </si>
  <si>
    <t>1年期以下lpr</t>
  </si>
  <si>
    <r>
      <rPr>
        <b/>
        <sz val="9"/>
        <rFont val="宋体"/>
        <charset val="134"/>
      </rPr>
      <t>负债合计</t>
    </r>
  </si>
  <si>
    <r>
      <rPr>
        <sz val="9"/>
        <rFont val="宋体"/>
        <charset val="134"/>
      </rPr>
      <t>经营性资产评估结果</t>
    </r>
  </si>
  <si>
    <r>
      <rPr>
        <sz val="9"/>
        <rFont val="宋体"/>
        <charset val="134"/>
      </rPr>
      <t>其他资产和负债的价值表</t>
    </r>
  </si>
  <si>
    <r>
      <rPr>
        <sz val="9"/>
        <rFont val="宋体"/>
        <charset val="134"/>
      </rPr>
      <t>其他资产及负债</t>
    </r>
  </si>
  <si>
    <t>其他资产和负债的价值</t>
  </si>
  <si>
    <r>
      <rPr>
        <b/>
        <sz val="9"/>
        <rFont val="宋体"/>
        <charset val="134"/>
      </rPr>
      <t>市场法评估说明</t>
    </r>
  </si>
  <si>
    <r>
      <rPr>
        <sz val="9"/>
        <rFont val="宋体"/>
        <charset val="134"/>
      </rPr>
      <t>合同负债</t>
    </r>
    <r>
      <rPr>
        <sz val="9"/>
        <rFont val="Times New Roman"/>
        <charset val="134"/>
      </rPr>
      <t>-</t>
    </r>
    <r>
      <rPr>
        <sz val="9"/>
        <rFont val="宋体"/>
        <charset val="134"/>
      </rPr>
      <t>未完施工</t>
    </r>
  </si>
  <si>
    <r>
      <rPr>
        <sz val="9"/>
        <rFont val="宋体"/>
        <charset val="134"/>
      </rPr>
      <t>合同负债</t>
    </r>
    <r>
      <rPr>
        <sz val="9"/>
        <rFont val="Times New Roman"/>
        <charset val="134"/>
      </rPr>
      <t>-</t>
    </r>
    <r>
      <rPr>
        <sz val="9"/>
        <rFont val="宋体"/>
        <charset val="134"/>
      </rPr>
      <t>其他</t>
    </r>
  </si>
  <si>
    <r>
      <rPr>
        <b/>
        <sz val="9"/>
        <rFont val="宋体"/>
        <charset val="134"/>
      </rPr>
      <t>合同负债合计</t>
    </r>
  </si>
  <si>
    <r>
      <rPr>
        <sz val="9"/>
        <rFont val="宋体"/>
        <charset val="134"/>
      </rPr>
      <t>其他应付</t>
    </r>
    <r>
      <rPr>
        <sz val="9"/>
        <rFont val="Times New Roman"/>
        <charset val="134"/>
      </rPr>
      <t>-</t>
    </r>
    <r>
      <rPr>
        <sz val="9"/>
        <rFont val="宋体"/>
        <charset val="134"/>
      </rPr>
      <t>利息</t>
    </r>
  </si>
  <si>
    <r>
      <rPr>
        <sz val="9"/>
        <rFont val="宋体"/>
        <charset val="134"/>
      </rPr>
      <t>其他应付</t>
    </r>
    <r>
      <rPr>
        <sz val="9"/>
        <rFont val="Times New Roman"/>
        <charset val="134"/>
      </rPr>
      <t>-</t>
    </r>
    <r>
      <rPr>
        <sz val="9"/>
        <rFont val="宋体"/>
        <charset val="134"/>
      </rPr>
      <t>股利</t>
    </r>
  </si>
  <si>
    <r>
      <rPr>
        <sz val="9"/>
        <rFont val="宋体"/>
        <charset val="134"/>
      </rPr>
      <t>其他应付</t>
    </r>
    <r>
      <rPr>
        <sz val="9"/>
        <rFont val="Times New Roman"/>
        <charset val="134"/>
      </rPr>
      <t>-</t>
    </r>
    <r>
      <rPr>
        <sz val="9"/>
        <rFont val="宋体"/>
        <charset val="134"/>
      </rPr>
      <t>其他款项</t>
    </r>
  </si>
  <si>
    <r>
      <rPr>
        <sz val="9"/>
        <rFont val="宋体"/>
        <charset val="134"/>
      </rPr>
      <t>净资产收益率</t>
    </r>
  </si>
  <si>
    <r>
      <rPr>
        <sz val="9"/>
        <rFont val="宋体"/>
        <charset val="134"/>
      </rPr>
      <t>净资产收益率</t>
    </r>
    <r>
      <rPr>
        <sz val="9"/>
        <rFont val="Times New Roman"/>
        <charset val="134"/>
      </rPr>
      <t>=</t>
    </r>
    <r>
      <rPr>
        <sz val="9"/>
        <rFont val="宋体"/>
        <charset val="134"/>
      </rPr>
      <t>净利润</t>
    </r>
    <r>
      <rPr>
        <sz val="9"/>
        <rFont val="Times New Roman"/>
        <charset val="134"/>
      </rPr>
      <t>/[(</t>
    </r>
    <r>
      <rPr>
        <sz val="9"/>
        <rFont val="宋体"/>
        <charset val="134"/>
      </rPr>
      <t>期初净资产</t>
    </r>
    <r>
      <rPr>
        <sz val="9"/>
        <rFont val="Times New Roman"/>
        <charset val="134"/>
      </rPr>
      <t>+</t>
    </r>
    <r>
      <rPr>
        <sz val="9"/>
        <rFont val="宋体"/>
        <charset val="134"/>
      </rPr>
      <t>期末净资产</t>
    </r>
    <r>
      <rPr>
        <sz val="9"/>
        <rFont val="Times New Roman"/>
        <charset val="134"/>
      </rPr>
      <t>)÷2]</t>
    </r>
  </si>
  <si>
    <r>
      <rPr>
        <sz val="9"/>
        <rFont val="宋体"/>
        <charset val="134"/>
      </rPr>
      <t>总资产报酬率</t>
    </r>
  </si>
  <si>
    <r>
      <rPr>
        <sz val="9"/>
        <rFont val="宋体"/>
        <charset val="134"/>
      </rPr>
      <t>总资产报酬率</t>
    </r>
    <r>
      <rPr>
        <sz val="9"/>
        <rFont val="Times New Roman"/>
        <charset val="134"/>
      </rPr>
      <t>=(</t>
    </r>
    <r>
      <rPr>
        <sz val="9"/>
        <rFont val="宋体"/>
        <charset val="134"/>
      </rPr>
      <t>利润总额</t>
    </r>
    <r>
      <rPr>
        <sz val="9"/>
        <rFont val="Times New Roman"/>
        <charset val="134"/>
      </rPr>
      <t>+</t>
    </r>
    <r>
      <rPr>
        <sz val="9"/>
        <rFont val="宋体"/>
        <charset val="134"/>
      </rPr>
      <t>利息支出</t>
    </r>
    <r>
      <rPr>
        <sz val="9"/>
        <rFont val="Times New Roman"/>
        <charset val="134"/>
      </rPr>
      <t>)/[(</t>
    </r>
    <r>
      <rPr>
        <sz val="9"/>
        <rFont val="宋体"/>
        <charset val="134"/>
      </rPr>
      <t>期初总资产</t>
    </r>
    <r>
      <rPr>
        <sz val="9"/>
        <rFont val="Times New Roman"/>
        <charset val="134"/>
      </rPr>
      <t>+</t>
    </r>
    <r>
      <rPr>
        <sz val="9"/>
        <rFont val="宋体"/>
        <charset val="134"/>
      </rPr>
      <t>期末总资产</t>
    </r>
    <r>
      <rPr>
        <sz val="9"/>
        <rFont val="Times New Roman"/>
        <charset val="134"/>
      </rPr>
      <t>)÷2]</t>
    </r>
  </si>
  <si>
    <r>
      <rPr>
        <sz val="9"/>
        <rFont val="宋体"/>
        <charset val="134"/>
      </rPr>
      <t>营业利润率</t>
    </r>
  </si>
  <si>
    <r>
      <rPr>
        <sz val="9"/>
        <rFont val="宋体"/>
        <charset val="134"/>
      </rPr>
      <t>营业利润率</t>
    </r>
    <r>
      <rPr>
        <sz val="9"/>
        <rFont val="Times New Roman"/>
        <charset val="134"/>
      </rPr>
      <t>=</t>
    </r>
    <r>
      <rPr>
        <sz val="9"/>
        <rFont val="宋体"/>
        <charset val="134"/>
      </rPr>
      <t>营业利润</t>
    </r>
    <r>
      <rPr>
        <sz val="9"/>
        <rFont val="Times New Roman"/>
        <charset val="134"/>
      </rPr>
      <t>÷</t>
    </r>
    <r>
      <rPr>
        <sz val="9"/>
        <rFont val="宋体"/>
        <charset val="134"/>
      </rPr>
      <t>收入</t>
    </r>
  </si>
  <si>
    <r>
      <rPr>
        <sz val="9"/>
        <rFont val="宋体"/>
        <charset val="134"/>
      </rPr>
      <t>营业成本率</t>
    </r>
  </si>
  <si>
    <r>
      <rPr>
        <sz val="9"/>
        <rFont val="宋体"/>
        <charset val="134"/>
      </rPr>
      <t>营业成本率</t>
    </r>
    <r>
      <rPr>
        <sz val="9"/>
        <rFont val="Times New Roman"/>
        <charset val="134"/>
      </rPr>
      <t>=</t>
    </r>
    <r>
      <rPr>
        <sz val="9"/>
        <rFont val="宋体"/>
        <charset val="134"/>
      </rPr>
      <t>营业成本</t>
    </r>
    <r>
      <rPr>
        <sz val="9"/>
        <rFont val="Times New Roman"/>
        <charset val="134"/>
      </rPr>
      <t>÷</t>
    </r>
    <r>
      <rPr>
        <sz val="9"/>
        <rFont val="宋体"/>
        <charset val="134"/>
      </rPr>
      <t>收入</t>
    </r>
  </si>
  <si>
    <r>
      <rPr>
        <sz val="9"/>
        <rFont val="宋体"/>
        <charset val="134"/>
      </rPr>
      <t>资产负债率</t>
    </r>
  </si>
  <si>
    <r>
      <rPr>
        <sz val="9"/>
        <rFont val="宋体"/>
        <charset val="134"/>
      </rPr>
      <t>资产负债率</t>
    </r>
    <r>
      <rPr>
        <sz val="9"/>
        <rFont val="Times New Roman"/>
        <charset val="134"/>
      </rPr>
      <t>=</t>
    </r>
    <r>
      <rPr>
        <sz val="9"/>
        <rFont val="宋体"/>
        <charset val="134"/>
      </rPr>
      <t>总负债</t>
    </r>
    <r>
      <rPr>
        <sz val="9"/>
        <rFont val="Times New Roman"/>
        <charset val="134"/>
      </rPr>
      <t>÷</t>
    </r>
    <r>
      <rPr>
        <sz val="9"/>
        <rFont val="宋体"/>
        <charset val="134"/>
      </rPr>
      <t>总资产</t>
    </r>
  </si>
  <si>
    <r>
      <rPr>
        <sz val="9"/>
        <rFont val="宋体"/>
        <charset val="134"/>
      </rPr>
      <t>流动比率</t>
    </r>
  </si>
  <si>
    <r>
      <rPr>
        <sz val="9"/>
        <rFont val="宋体"/>
        <charset val="134"/>
      </rPr>
      <t>流动比率</t>
    </r>
    <r>
      <rPr>
        <sz val="9"/>
        <rFont val="Times New Roman"/>
        <charset val="134"/>
      </rPr>
      <t>=</t>
    </r>
    <r>
      <rPr>
        <sz val="9"/>
        <rFont val="宋体"/>
        <charset val="134"/>
      </rPr>
      <t>流动资产</t>
    </r>
    <r>
      <rPr>
        <sz val="9"/>
        <rFont val="Times New Roman"/>
        <charset val="134"/>
      </rPr>
      <t>÷</t>
    </r>
    <r>
      <rPr>
        <sz val="9"/>
        <rFont val="宋体"/>
        <charset val="134"/>
      </rPr>
      <t>流动负债</t>
    </r>
  </si>
  <si>
    <r>
      <rPr>
        <sz val="9"/>
        <rFont val="宋体"/>
        <charset val="134"/>
      </rPr>
      <t>速动比率</t>
    </r>
  </si>
  <si>
    <r>
      <rPr>
        <sz val="9"/>
        <rFont val="宋体"/>
        <charset val="134"/>
      </rPr>
      <t>速动比率</t>
    </r>
    <r>
      <rPr>
        <sz val="9"/>
        <rFont val="Times New Roman"/>
        <charset val="134"/>
      </rPr>
      <t>=(</t>
    </r>
    <r>
      <rPr>
        <sz val="9"/>
        <rFont val="宋体"/>
        <charset val="134"/>
      </rPr>
      <t>流动资产</t>
    </r>
    <r>
      <rPr>
        <sz val="9"/>
        <rFont val="Times New Roman"/>
        <charset val="134"/>
      </rPr>
      <t>-</t>
    </r>
    <r>
      <rPr>
        <sz val="9"/>
        <rFont val="宋体"/>
        <charset val="134"/>
      </rPr>
      <t>存货</t>
    </r>
    <r>
      <rPr>
        <sz val="9"/>
        <rFont val="Times New Roman"/>
        <charset val="134"/>
      </rPr>
      <t>)÷</t>
    </r>
    <r>
      <rPr>
        <sz val="9"/>
        <rFont val="宋体"/>
        <charset val="134"/>
      </rPr>
      <t>流动负债</t>
    </r>
  </si>
  <si>
    <r>
      <rPr>
        <sz val="9"/>
        <rFont val="宋体"/>
        <charset val="134"/>
      </rPr>
      <t>应收款项周转率</t>
    </r>
  </si>
  <si>
    <r>
      <rPr>
        <sz val="9"/>
        <rFont val="宋体"/>
        <charset val="134"/>
      </rPr>
      <t>应收款项周转率</t>
    </r>
    <r>
      <rPr>
        <sz val="9"/>
        <rFont val="Times New Roman"/>
        <charset val="134"/>
      </rPr>
      <t>=</t>
    </r>
    <r>
      <rPr>
        <sz val="9"/>
        <rFont val="宋体"/>
        <charset val="134"/>
      </rPr>
      <t>收入</t>
    </r>
    <r>
      <rPr>
        <sz val="9"/>
        <rFont val="Times New Roman"/>
        <charset val="134"/>
      </rPr>
      <t>÷[(</t>
    </r>
    <r>
      <rPr>
        <sz val="9"/>
        <rFont val="宋体"/>
        <charset val="134"/>
      </rPr>
      <t>期初应收款项</t>
    </r>
    <r>
      <rPr>
        <sz val="9"/>
        <rFont val="Times New Roman"/>
        <charset val="134"/>
      </rPr>
      <t>+</t>
    </r>
    <r>
      <rPr>
        <sz val="9"/>
        <rFont val="宋体"/>
        <charset val="134"/>
      </rPr>
      <t>期末应收款项</t>
    </r>
    <r>
      <rPr>
        <sz val="9"/>
        <rFont val="Times New Roman"/>
        <charset val="134"/>
      </rPr>
      <t>)÷2]</t>
    </r>
  </si>
  <si>
    <r>
      <rPr>
        <sz val="9"/>
        <rFont val="宋体"/>
        <charset val="134"/>
      </rPr>
      <t>应收款项包括应收票据、应收账款、应收款项融资、预付账款</t>
    </r>
  </si>
  <si>
    <r>
      <rPr>
        <sz val="9"/>
        <rFont val="宋体"/>
        <charset val="134"/>
      </rPr>
      <t>存货周转率</t>
    </r>
  </si>
  <si>
    <r>
      <rPr>
        <sz val="9"/>
        <rFont val="宋体"/>
        <charset val="134"/>
      </rPr>
      <t>存货周转率</t>
    </r>
    <r>
      <rPr>
        <sz val="9"/>
        <rFont val="Times New Roman"/>
        <charset val="134"/>
      </rPr>
      <t>=</t>
    </r>
    <r>
      <rPr>
        <sz val="9"/>
        <rFont val="宋体"/>
        <charset val="134"/>
      </rPr>
      <t>成本</t>
    </r>
    <r>
      <rPr>
        <sz val="9"/>
        <rFont val="Times New Roman"/>
        <charset val="134"/>
      </rPr>
      <t>÷[(</t>
    </r>
    <r>
      <rPr>
        <sz val="9"/>
        <rFont val="宋体"/>
        <charset val="134"/>
      </rPr>
      <t>期初存货</t>
    </r>
    <r>
      <rPr>
        <sz val="9"/>
        <rFont val="Times New Roman"/>
        <charset val="134"/>
      </rPr>
      <t>+</t>
    </r>
    <r>
      <rPr>
        <sz val="9"/>
        <rFont val="宋体"/>
        <charset val="134"/>
      </rPr>
      <t>期末存货</t>
    </r>
    <r>
      <rPr>
        <sz val="9"/>
        <rFont val="Times New Roman"/>
        <charset val="134"/>
      </rPr>
      <t>)÷2]</t>
    </r>
  </si>
  <si>
    <r>
      <rPr>
        <sz val="9"/>
        <rFont val="宋体"/>
        <charset val="134"/>
      </rPr>
      <t>流动资产周转率</t>
    </r>
  </si>
  <si>
    <r>
      <rPr>
        <sz val="9"/>
        <rFont val="宋体"/>
        <charset val="134"/>
      </rPr>
      <t>流动资产周转率</t>
    </r>
    <r>
      <rPr>
        <sz val="9"/>
        <rFont val="Times New Roman"/>
        <charset val="134"/>
      </rPr>
      <t>=</t>
    </r>
    <r>
      <rPr>
        <sz val="9"/>
        <rFont val="宋体"/>
        <charset val="134"/>
      </rPr>
      <t>收入</t>
    </r>
    <r>
      <rPr>
        <sz val="9"/>
        <rFont val="Times New Roman"/>
        <charset val="134"/>
      </rPr>
      <t>÷[(</t>
    </r>
    <r>
      <rPr>
        <sz val="9"/>
        <rFont val="宋体"/>
        <charset val="134"/>
      </rPr>
      <t>期初流动资产</t>
    </r>
    <r>
      <rPr>
        <sz val="9"/>
        <rFont val="Times New Roman"/>
        <charset val="134"/>
      </rPr>
      <t>+</t>
    </r>
    <r>
      <rPr>
        <sz val="9"/>
        <rFont val="宋体"/>
        <charset val="134"/>
      </rPr>
      <t>期末流动资产</t>
    </r>
    <r>
      <rPr>
        <sz val="9"/>
        <rFont val="Times New Roman"/>
        <charset val="134"/>
      </rPr>
      <t>)÷2]</t>
    </r>
  </si>
  <si>
    <r>
      <rPr>
        <sz val="9"/>
        <rFont val="宋体"/>
        <charset val="134"/>
      </rPr>
      <t>总资产周转率</t>
    </r>
  </si>
  <si>
    <r>
      <rPr>
        <sz val="9"/>
        <rFont val="宋体"/>
        <charset val="134"/>
      </rPr>
      <t>总资产周转率</t>
    </r>
    <r>
      <rPr>
        <sz val="9"/>
        <rFont val="Times New Roman"/>
        <charset val="134"/>
      </rPr>
      <t>=</t>
    </r>
    <r>
      <rPr>
        <sz val="9"/>
        <rFont val="宋体"/>
        <charset val="134"/>
      </rPr>
      <t>收入</t>
    </r>
    <r>
      <rPr>
        <sz val="9"/>
        <rFont val="Times New Roman"/>
        <charset val="134"/>
      </rPr>
      <t>÷[(</t>
    </r>
    <r>
      <rPr>
        <sz val="9"/>
        <rFont val="宋体"/>
        <charset val="134"/>
      </rPr>
      <t>期初总资产</t>
    </r>
    <r>
      <rPr>
        <sz val="9"/>
        <rFont val="Times New Roman"/>
        <charset val="134"/>
      </rPr>
      <t>+</t>
    </r>
    <r>
      <rPr>
        <sz val="9"/>
        <rFont val="宋体"/>
        <charset val="134"/>
      </rPr>
      <t>期末总资产</t>
    </r>
    <r>
      <rPr>
        <sz val="9"/>
        <rFont val="Times New Roman"/>
        <charset val="134"/>
      </rPr>
      <t>)÷2]</t>
    </r>
  </si>
  <si>
    <r>
      <rPr>
        <sz val="9"/>
        <rFont val="宋体"/>
        <charset val="134"/>
      </rPr>
      <t>营业收入增长率</t>
    </r>
  </si>
  <si>
    <r>
      <rPr>
        <sz val="9"/>
        <rFont val="宋体"/>
        <charset val="134"/>
      </rPr>
      <t>营业收入增长率</t>
    </r>
    <r>
      <rPr>
        <sz val="9"/>
        <rFont val="Times New Roman"/>
        <charset val="134"/>
      </rPr>
      <t>=</t>
    </r>
    <r>
      <rPr>
        <sz val="9"/>
        <rFont val="宋体"/>
        <charset val="134"/>
      </rPr>
      <t>期末收入</t>
    </r>
    <r>
      <rPr>
        <sz val="9"/>
        <rFont val="Times New Roman"/>
        <charset val="134"/>
      </rPr>
      <t>÷</t>
    </r>
    <r>
      <rPr>
        <sz val="9"/>
        <rFont val="宋体"/>
        <charset val="134"/>
      </rPr>
      <t>期初收入</t>
    </r>
    <r>
      <rPr>
        <sz val="9"/>
        <rFont val="Times New Roman"/>
        <charset val="134"/>
      </rPr>
      <t>-1</t>
    </r>
  </si>
  <si>
    <r>
      <rPr>
        <sz val="9"/>
        <rFont val="宋体"/>
        <charset val="134"/>
      </rPr>
      <t>净利润增长率</t>
    </r>
  </si>
  <si>
    <r>
      <rPr>
        <sz val="9"/>
        <rFont val="宋体"/>
        <charset val="134"/>
      </rPr>
      <t>净利润增长率</t>
    </r>
    <r>
      <rPr>
        <sz val="9"/>
        <rFont val="Times New Roman"/>
        <charset val="134"/>
      </rPr>
      <t>=</t>
    </r>
    <r>
      <rPr>
        <sz val="9"/>
        <rFont val="宋体"/>
        <charset val="134"/>
      </rPr>
      <t>期末净利润</t>
    </r>
    <r>
      <rPr>
        <sz val="9"/>
        <rFont val="Times New Roman"/>
        <charset val="134"/>
      </rPr>
      <t>÷</t>
    </r>
    <r>
      <rPr>
        <sz val="9"/>
        <rFont val="宋体"/>
        <charset val="134"/>
      </rPr>
      <t>期初净利润</t>
    </r>
    <r>
      <rPr>
        <sz val="9"/>
        <rFont val="Times New Roman"/>
        <charset val="134"/>
      </rPr>
      <t>-1</t>
    </r>
  </si>
  <si>
    <r>
      <rPr>
        <sz val="9"/>
        <rFont val="宋体"/>
        <charset val="134"/>
      </rPr>
      <t>净资产增长率</t>
    </r>
  </si>
  <si>
    <r>
      <rPr>
        <sz val="9"/>
        <rFont val="宋体"/>
        <charset val="134"/>
      </rPr>
      <t>净资产增长率</t>
    </r>
    <r>
      <rPr>
        <sz val="9"/>
        <rFont val="Times New Roman"/>
        <charset val="134"/>
      </rPr>
      <t>=</t>
    </r>
    <r>
      <rPr>
        <sz val="9"/>
        <rFont val="宋体"/>
        <charset val="134"/>
      </rPr>
      <t>期末净资产</t>
    </r>
    <r>
      <rPr>
        <sz val="9"/>
        <rFont val="Times New Roman"/>
        <charset val="134"/>
      </rPr>
      <t>÷</t>
    </r>
    <r>
      <rPr>
        <sz val="9"/>
        <rFont val="宋体"/>
        <charset val="134"/>
      </rPr>
      <t>期初净资产</t>
    </r>
    <r>
      <rPr>
        <sz val="9"/>
        <rFont val="Times New Roman"/>
        <charset val="134"/>
      </rPr>
      <t>-1</t>
    </r>
  </si>
  <si>
    <r>
      <rPr>
        <b/>
        <sz val="9"/>
        <rFont val="宋体"/>
        <charset val="134"/>
      </rPr>
      <t>科目</t>
    </r>
  </si>
  <si>
    <r>
      <rPr>
        <sz val="9"/>
        <rFont val="宋体"/>
        <charset val="134"/>
      </rPr>
      <t>存货</t>
    </r>
  </si>
  <si>
    <r>
      <rPr>
        <sz val="9"/>
        <rFont val="宋体"/>
        <charset val="134"/>
      </rPr>
      <t>利息支出</t>
    </r>
  </si>
  <si>
    <r>
      <rPr>
        <b/>
        <sz val="18"/>
        <rFont val="宋体"/>
        <charset val="134"/>
      </rPr>
      <t>资产评估结果汇总表</t>
    </r>
  </si>
  <si>
    <r>
      <rPr>
        <sz val="10"/>
        <rFont val="宋体"/>
        <charset val="134"/>
      </rPr>
      <t>表</t>
    </r>
    <r>
      <rPr>
        <sz val="10"/>
        <rFont val="Times New Roman"/>
        <charset val="134"/>
      </rPr>
      <t>1</t>
    </r>
  </si>
  <si>
    <r>
      <rPr>
        <sz val="10"/>
        <rFont val="宋体"/>
        <charset val="134"/>
      </rPr>
      <t>金额单位：人民币万元</t>
    </r>
  </si>
  <si>
    <r>
      <rPr>
        <b/>
        <sz val="10"/>
        <rFont val="宋体"/>
        <charset val="134"/>
      </rPr>
      <t>项</t>
    </r>
    <r>
      <rPr>
        <b/>
        <sz val="10"/>
        <rFont val="Times New Roman"/>
        <charset val="134"/>
      </rPr>
      <t xml:space="preserve">       </t>
    </r>
    <r>
      <rPr>
        <b/>
        <sz val="10"/>
        <rFont val="宋体"/>
        <charset val="134"/>
      </rPr>
      <t>目</t>
    </r>
  </si>
  <si>
    <r>
      <rPr>
        <b/>
        <sz val="10"/>
        <rFont val="宋体"/>
        <charset val="134"/>
      </rPr>
      <t>账面价值</t>
    </r>
  </si>
  <si>
    <r>
      <rPr>
        <b/>
        <sz val="10"/>
        <rFont val="宋体"/>
        <charset val="134"/>
      </rPr>
      <t>评估值</t>
    </r>
  </si>
  <si>
    <r>
      <rPr>
        <b/>
        <sz val="10"/>
        <rFont val="宋体"/>
        <charset val="134"/>
      </rPr>
      <t>增减值</t>
    </r>
  </si>
  <si>
    <r>
      <rPr>
        <b/>
        <sz val="10"/>
        <rFont val="宋体"/>
        <charset val="134"/>
      </rPr>
      <t>增值率</t>
    </r>
    <r>
      <rPr>
        <b/>
        <sz val="10"/>
        <rFont val="Times New Roman"/>
        <charset val="134"/>
      </rPr>
      <t>(%)</t>
    </r>
  </si>
  <si>
    <r>
      <rPr>
        <sz val="10"/>
        <rFont val="宋体"/>
        <charset val="134"/>
      </rPr>
      <t>评估增减值</t>
    </r>
  </si>
  <si>
    <r>
      <rPr>
        <sz val="10"/>
        <rFont val="宋体"/>
        <charset val="134"/>
      </rPr>
      <t>增减值绝对值</t>
    </r>
  </si>
  <si>
    <r>
      <rPr>
        <sz val="10"/>
        <rFont val="宋体"/>
        <charset val="134"/>
      </rPr>
      <t>增值率绝对值</t>
    </r>
  </si>
  <si>
    <t>描述</t>
  </si>
  <si>
    <r>
      <rPr>
        <sz val="10"/>
        <rFont val="宋体"/>
        <charset val="134"/>
      </rPr>
      <t>非流动资产</t>
    </r>
  </si>
  <si>
    <r>
      <rPr>
        <sz val="10"/>
        <rFont val="宋体"/>
        <charset val="134"/>
      </rPr>
      <t>其中：土地使用权</t>
    </r>
  </si>
  <si>
    <r>
      <rPr>
        <sz val="10"/>
        <rFont val="宋体"/>
        <charset val="134"/>
      </rPr>
      <t>其他非流动资产</t>
    </r>
  </si>
  <si>
    <r>
      <rPr>
        <sz val="10"/>
        <rFont val="宋体"/>
        <charset val="134"/>
      </rPr>
      <t>流动负债</t>
    </r>
  </si>
  <si>
    <r>
      <rPr>
        <sz val="10"/>
        <rFont val="宋体"/>
        <charset val="134"/>
      </rPr>
      <t>非流动负债</t>
    </r>
  </si>
  <si>
    <r>
      <rPr>
        <b/>
        <sz val="10"/>
        <rFont val="宋体"/>
        <charset val="134"/>
      </rPr>
      <t>负债总计</t>
    </r>
  </si>
  <si>
    <t>净资产（所有者权益）</t>
  </si>
  <si>
    <t xml:space="preserve"> </t>
  </si>
  <si>
    <t>评估机构：北京中致成国际资产评估有限公司</t>
  </si>
  <si>
    <r>
      <rPr>
        <sz val="10"/>
        <rFont val="宋体"/>
        <charset val="134"/>
      </rPr>
      <t>净资产校验</t>
    </r>
  </si>
  <si>
    <r>
      <rPr>
        <u/>
        <sz val="10"/>
        <color indexed="12"/>
        <rFont val="宋体"/>
        <charset val="134"/>
      </rPr>
      <t>返回</t>
    </r>
  </si>
  <si>
    <r>
      <rPr>
        <sz val="18"/>
        <rFont val="宋体"/>
        <charset val="134"/>
      </rPr>
      <t>资产评估结果分类汇总表</t>
    </r>
  </si>
  <si>
    <r>
      <rPr>
        <sz val="10"/>
        <rFont val="宋体"/>
        <charset val="134"/>
      </rPr>
      <t>表</t>
    </r>
    <r>
      <rPr>
        <sz val="10"/>
        <rFont val="Times New Roman"/>
        <charset val="134"/>
      </rPr>
      <t>2</t>
    </r>
  </si>
  <si>
    <r>
      <rPr>
        <b/>
        <sz val="10"/>
        <rFont val="宋体"/>
        <charset val="134"/>
      </rPr>
      <t>全部金额</t>
    </r>
  </si>
  <si>
    <r>
      <rPr>
        <b/>
        <sz val="10"/>
        <rFont val="宋体"/>
        <charset val="134"/>
      </rPr>
      <t>溢余资产</t>
    </r>
  </si>
  <si>
    <r>
      <rPr>
        <b/>
        <sz val="10"/>
        <rFont val="宋体"/>
        <charset val="134"/>
      </rPr>
      <t>主要资产描述</t>
    </r>
  </si>
  <si>
    <r>
      <rPr>
        <sz val="10"/>
        <rFont val="宋体"/>
        <charset val="134"/>
      </rPr>
      <t>万元</t>
    </r>
  </si>
  <si>
    <r>
      <rPr>
        <b/>
        <sz val="10"/>
        <color indexed="8"/>
        <rFont val="宋体"/>
        <charset val="134"/>
      </rPr>
      <t>科目名称</t>
    </r>
  </si>
  <si>
    <r>
      <rPr>
        <b/>
        <sz val="10"/>
        <rFont val="宋体"/>
        <charset val="134"/>
      </rPr>
      <t>审计前账面值</t>
    </r>
  </si>
  <si>
    <r>
      <rPr>
        <b/>
        <sz val="10"/>
        <rFont val="宋体"/>
        <charset val="134"/>
      </rPr>
      <t>评估价值</t>
    </r>
  </si>
  <si>
    <r>
      <rPr>
        <b/>
        <sz val="10"/>
        <rFont val="宋体"/>
        <charset val="134"/>
      </rPr>
      <t>增值率</t>
    </r>
    <r>
      <rPr>
        <b/>
        <sz val="10"/>
        <rFont val="Times New Roman"/>
        <charset val="134"/>
      </rPr>
      <t>%</t>
    </r>
  </si>
  <si>
    <r>
      <rPr>
        <b/>
        <sz val="10"/>
        <rFont val="宋体"/>
        <charset val="134"/>
      </rPr>
      <t>未审数</t>
    </r>
  </si>
  <si>
    <r>
      <rPr>
        <b/>
        <sz val="10"/>
        <rFont val="宋体"/>
        <charset val="134"/>
      </rPr>
      <t>差异</t>
    </r>
  </si>
  <si>
    <r>
      <rPr>
        <b/>
        <sz val="10"/>
        <rFont val="宋体"/>
        <charset val="134"/>
      </rPr>
      <t>企业报表数</t>
    </r>
  </si>
  <si>
    <r>
      <rPr>
        <b/>
        <sz val="10"/>
        <rFont val="宋体"/>
        <charset val="134"/>
      </rPr>
      <t>新旧</t>
    </r>
  </si>
  <si>
    <r>
      <rPr>
        <b/>
        <sz val="10"/>
        <rFont val="宋体"/>
        <charset val="134"/>
      </rPr>
      <t>原值</t>
    </r>
  </si>
  <si>
    <r>
      <rPr>
        <b/>
        <sz val="10"/>
        <rFont val="宋体"/>
        <charset val="134"/>
      </rPr>
      <t>净值</t>
    </r>
  </si>
  <si>
    <r>
      <rPr>
        <b/>
        <sz val="10"/>
        <rFont val="宋体"/>
        <charset val="134"/>
      </rPr>
      <t>坏账</t>
    </r>
    <r>
      <rPr>
        <b/>
        <sz val="10"/>
        <rFont val="Times New Roman"/>
        <charset val="134"/>
      </rPr>
      <t>/</t>
    </r>
    <r>
      <rPr>
        <b/>
        <sz val="10"/>
        <rFont val="宋体"/>
        <charset val="134"/>
      </rPr>
      <t>跌价</t>
    </r>
  </si>
  <si>
    <r>
      <rPr>
        <b/>
        <sz val="10"/>
        <rFont val="宋体"/>
        <charset val="134"/>
      </rPr>
      <t>评估增减值</t>
    </r>
  </si>
  <si>
    <r>
      <rPr>
        <b/>
        <sz val="10"/>
        <rFont val="宋体"/>
        <charset val="134"/>
      </rPr>
      <t>增减值绝对值</t>
    </r>
  </si>
  <si>
    <r>
      <rPr>
        <b/>
        <sz val="10"/>
        <rFont val="宋体"/>
        <charset val="134"/>
      </rPr>
      <t>增值率绝对值</t>
    </r>
  </si>
  <si>
    <r>
      <rPr>
        <b/>
        <sz val="10"/>
        <rFont val="宋体"/>
        <charset val="134"/>
      </rPr>
      <t>描述</t>
    </r>
  </si>
  <si>
    <r>
      <rPr>
        <b/>
        <sz val="10"/>
        <rFont val="宋体"/>
        <charset val="134"/>
      </rPr>
      <t>主要内容或科目</t>
    </r>
  </si>
  <si>
    <r>
      <rPr>
        <b/>
        <sz val="10"/>
        <rFont val="宋体"/>
        <charset val="134"/>
      </rPr>
      <t>相关描述</t>
    </r>
  </si>
  <si>
    <r>
      <rPr>
        <b/>
        <sz val="10"/>
        <rFont val="宋体"/>
        <charset val="134"/>
      </rPr>
      <t>合并</t>
    </r>
  </si>
  <si>
    <r>
      <rPr>
        <b/>
        <sz val="10"/>
        <rFont val="宋体"/>
        <charset val="134"/>
      </rPr>
      <t>科目</t>
    </r>
  </si>
  <si>
    <r>
      <rPr>
        <b/>
        <sz val="10"/>
        <rFont val="宋体"/>
        <charset val="134"/>
      </rPr>
      <t>账面值</t>
    </r>
  </si>
  <si>
    <r>
      <rPr>
        <b/>
        <sz val="10"/>
        <rFont val="宋体"/>
        <charset val="134"/>
      </rPr>
      <t>占比</t>
    </r>
  </si>
  <si>
    <r>
      <rPr>
        <b/>
        <sz val="10"/>
        <rFont val="宋体"/>
        <charset val="134"/>
      </rPr>
      <t>排名</t>
    </r>
  </si>
  <si>
    <r>
      <rPr>
        <b/>
        <sz val="10"/>
        <rFont val="宋体"/>
        <charset val="134"/>
      </rPr>
      <t>获取排名</t>
    </r>
  </si>
  <si>
    <r>
      <rPr>
        <b/>
        <sz val="10"/>
        <rFont val="宋体"/>
        <charset val="134"/>
      </rPr>
      <t>主要资产科目</t>
    </r>
  </si>
  <si>
    <r>
      <rPr>
        <b/>
        <sz val="10"/>
        <rFont val="宋体"/>
        <charset val="134"/>
      </rPr>
      <t>标点</t>
    </r>
  </si>
  <si>
    <r>
      <rPr>
        <b/>
        <sz val="10"/>
        <rFont val="宋体"/>
        <charset val="134"/>
      </rPr>
      <t>一、流动资产合计</t>
    </r>
  </si>
  <si>
    <t>旧</t>
  </si>
  <si>
    <r>
      <rPr>
        <sz val="10"/>
        <rFont val="宋体"/>
        <charset val="134"/>
      </rPr>
      <t>等投资</t>
    </r>
  </si>
  <si>
    <t>新</t>
  </si>
  <si>
    <r>
      <rPr>
        <sz val="10"/>
        <rFont val="宋体"/>
        <charset val="134"/>
      </rPr>
      <t>银行承兑汇票</t>
    </r>
  </si>
  <si>
    <r>
      <rPr>
        <sz val="10"/>
        <rFont val="宋体"/>
        <charset val="134"/>
      </rPr>
      <t>等款项</t>
    </r>
  </si>
  <si>
    <r>
      <rPr>
        <sz val="10"/>
        <rFont val="宋体"/>
        <charset val="134"/>
      </rPr>
      <t>等</t>
    </r>
  </si>
  <si>
    <r>
      <rPr>
        <b/>
        <sz val="10"/>
        <rFont val="宋体"/>
        <charset val="134"/>
      </rPr>
      <t>二、非流动资产合计</t>
    </r>
  </si>
  <si>
    <r>
      <rPr>
        <sz val="10"/>
        <rFont val="宋体"/>
        <charset val="134"/>
      </rPr>
      <t>的投资</t>
    </r>
  </si>
  <si>
    <r>
      <rPr>
        <sz val="10"/>
        <rFont val="宋体"/>
        <charset val="134"/>
      </rPr>
      <t>等支出</t>
    </r>
  </si>
  <si>
    <r>
      <rPr>
        <b/>
        <sz val="10"/>
        <color indexed="8"/>
        <rFont val="宋体"/>
        <charset val="134"/>
      </rPr>
      <t>三、资产总计</t>
    </r>
  </si>
  <si>
    <r>
      <rPr>
        <b/>
        <sz val="10"/>
        <rFont val="宋体"/>
        <charset val="134"/>
      </rPr>
      <t>四、流动负债合计</t>
    </r>
  </si>
  <si>
    <r>
      <rPr>
        <sz val="10"/>
        <rFont val="宋体"/>
        <charset val="134"/>
      </rPr>
      <t>等机构的借款</t>
    </r>
  </si>
  <si>
    <r>
      <rPr>
        <b/>
        <sz val="10"/>
        <rFont val="宋体"/>
        <charset val="134"/>
      </rPr>
      <t>五、非流动负债合计</t>
    </r>
  </si>
  <si>
    <r>
      <rPr>
        <sz val="10"/>
        <rFont val="宋体"/>
        <charset val="134"/>
      </rPr>
      <t>等债券</t>
    </r>
  </si>
  <si>
    <r>
      <rPr>
        <sz val="10"/>
        <rFont val="宋体"/>
        <charset val="134"/>
      </rPr>
      <t>等租赁资产</t>
    </r>
  </si>
  <si>
    <r>
      <rPr>
        <b/>
        <sz val="10"/>
        <color indexed="8"/>
        <rFont val="宋体"/>
        <charset val="134"/>
      </rPr>
      <t>六、负债总计</t>
    </r>
  </si>
  <si>
    <r>
      <rPr>
        <b/>
        <sz val="10"/>
        <color indexed="8"/>
        <rFont val="宋体"/>
        <charset val="134"/>
      </rPr>
      <t>七、净资产（所有者权益）</t>
    </r>
  </si>
  <si>
    <r>
      <rPr>
        <u/>
        <sz val="8"/>
        <color indexed="12"/>
        <rFont val="宋体"/>
        <charset val="134"/>
      </rPr>
      <t>返回索引页</t>
    </r>
  </si>
  <si>
    <r>
      <rPr>
        <u/>
        <sz val="8"/>
        <color indexed="12"/>
        <rFont val="宋体"/>
        <charset val="134"/>
      </rPr>
      <t>返回</t>
    </r>
  </si>
  <si>
    <r>
      <rPr>
        <sz val="18"/>
        <rFont val="宋体"/>
        <charset val="134"/>
      </rPr>
      <t>流动资产评估汇总表</t>
    </r>
  </si>
  <si>
    <r>
      <rPr>
        <sz val="10"/>
        <rFont val="宋体"/>
        <charset val="134"/>
      </rPr>
      <t>表</t>
    </r>
    <r>
      <rPr>
        <sz val="10"/>
        <rFont val="Times New Roman"/>
        <charset val="134"/>
      </rPr>
      <t>3</t>
    </r>
  </si>
  <si>
    <t>全部金额</t>
  </si>
  <si>
    <r>
      <rPr>
        <sz val="10"/>
        <color indexed="8"/>
        <rFont val="宋体"/>
        <charset val="134"/>
      </rPr>
      <t>金额单位：人民币元</t>
    </r>
  </si>
  <si>
    <r>
      <rPr>
        <b/>
        <sz val="10"/>
        <color indexed="8"/>
        <rFont val="宋体"/>
        <charset val="134"/>
      </rPr>
      <t>编号</t>
    </r>
  </si>
  <si>
    <r>
      <rPr>
        <b/>
        <sz val="10"/>
        <color indexed="8"/>
        <rFont val="宋体"/>
        <charset val="134"/>
      </rPr>
      <t>审计前账面值</t>
    </r>
  </si>
  <si>
    <r>
      <rPr>
        <b/>
        <sz val="10"/>
        <color indexed="8"/>
        <rFont val="宋体"/>
        <charset val="134"/>
      </rPr>
      <t>账面价值</t>
    </r>
  </si>
  <si>
    <r>
      <rPr>
        <b/>
        <sz val="10"/>
        <color indexed="8"/>
        <rFont val="宋体"/>
        <charset val="134"/>
      </rPr>
      <t>评估价值</t>
    </r>
  </si>
  <si>
    <r>
      <rPr>
        <b/>
        <sz val="10"/>
        <color indexed="8"/>
        <rFont val="宋体"/>
        <charset val="134"/>
      </rPr>
      <t>增减值</t>
    </r>
  </si>
  <si>
    <r>
      <rPr>
        <b/>
        <sz val="10"/>
        <color indexed="8"/>
        <rFont val="宋体"/>
        <charset val="134"/>
      </rPr>
      <t>增值率</t>
    </r>
    <r>
      <rPr>
        <b/>
        <sz val="10"/>
        <rFont val="Times New Roman"/>
        <charset val="134"/>
      </rPr>
      <t>%</t>
    </r>
  </si>
  <si>
    <t>新旧</t>
  </si>
  <si>
    <t>开始数字</t>
  </si>
  <si>
    <r>
      <rPr>
        <sz val="10"/>
        <rFont val="宋体"/>
        <charset val="134"/>
      </rPr>
      <t>评估范围</t>
    </r>
  </si>
  <si>
    <r>
      <rPr>
        <sz val="10"/>
        <rFont val="宋体"/>
        <charset val="134"/>
      </rPr>
      <t>具体明细</t>
    </r>
  </si>
  <si>
    <r>
      <rPr>
        <sz val="10"/>
        <rFont val="宋体"/>
        <charset val="134"/>
      </rPr>
      <t>数字</t>
    </r>
  </si>
  <si>
    <r>
      <rPr>
        <sz val="10"/>
        <rFont val="宋体"/>
        <charset val="134"/>
      </rPr>
      <t>数字个数</t>
    </r>
  </si>
  <si>
    <r>
      <rPr>
        <sz val="10"/>
        <color indexed="8"/>
        <rFont val="宋体"/>
        <charset val="134"/>
      </rPr>
      <t>货币资金</t>
    </r>
  </si>
  <si>
    <r>
      <rPr>
        <sz val="10"/>
        <color indexed="8"/>
        <rFont val="宋体"/>
        <charset val="134"/>
      </rPr>
      <t>以公允价值计量且其变动计入当期损益的金融资产</t>
    </r>
  </si>
  <si>
    <r>
      <rPr>
        <sz val="10"/>
        <color indexed="8"/>
        <rFont val="宋体"/>
        <charset val="134"/>
      </rPr>
      <t>交易性金融资产</t>
    </r>
  </si>
  <si>
    <r>
      <rPr>
        <sz val="10"/>
        <color indexed="8"/>
        <rFont val="宋体"/>
        <charset val="134"/>
      </rPr>
      <t>衍生金融资产</t>
    </r>
  </si>
  <si>
    <r>
      <rPr>
        <sz val="10"/>
        <color indexed="8"/>
        <rFont val="宋体"/>
        <charset val="134"/>
      </rPr>
      <t>应收票据</t>
    </r>
  </si>
  <si>
    <r>
      <rPr>
        <sz val="10"/>
        <color indexed="8"/>
        <rFont val="宋体"/>
        <charset val="134"/>
      </rPr>
      <t>应收账款</t>
    </r>
  </si>
  <si>
    <r>
      <rPr>
        <sz val="10"/>
        <color indexed="8"/>
        <rFont val="宋体"/>
        <charset val="134"/>
      </rPr>
      <t>应收款项融资</t>
    </r>
  </si>
  <si>
    <r>
      <rPr>
        <sz val="10"/>
        <color indexed="8"/>
        <rFont val="宋体"/>
        <charset val="134"/>
      </rPr>
      <t>预付账款</t>
    </r>
  </si>
  <si>
    <r>
      <rPr>
        <sz val="10"/>
        <color indexed="8"/>
        <rFont val="宋体"/>
        <charset val="134"/>
      </rPr>
      <t>其他应收款</t>
    </r>
  </si>
  <si>
    <r>
      <rPr>
        <sz val="10"/>
        <color indexed="8"/>
        <rFont val="宋体"/>
        <charset val="134"/>
      </rPr>
      <t>存货</t>
    </r>
  </si>
  <si>
    <r>
      <rPr>
        <sz val="10"/>
        <color indexed="8"/>
        <rFont val="宋体"/>
        <charset val="134"/>
      </rPr>
      <t>合同资产</t>
    </r>
  </si>
  <si>
    <r>
      <rPr>
        <sz val="10"/>
        <color indexed="8"/>
        <rFont val="宋体"/>
        <charset val="134"/>
      </rPr>
      <t>持有待售资产</t>
    </r>
  </si>
  <si>
    <r>
      <rPr>
        <sz val="10"/>
        <color indexed="8"/>
        <rFont val="宋体"/>
        <charset val="134"/>
      </rPr>
      <t>一年内到期的非流动资产</t>
    </r>
  </si>
  <si>
    <r>
      <rPr>
        <sz val="10"/>
        <color indexed="8"/>
        <rFont val="宋体"/>
        <charset val="134"/>
      </rPr>
      <t>其他流动资产</t>
    </r>
  </si>
  <si>
    <t>流动资产合计</t>
  </si>
  <si>
    <r>
      <rPr>
        <sz val="18"/>
        <rFont val="宋体"/>
        <charset val="134"/>
      </rPr>
      <t>货币资金评估汇总表</t>
    </r>
  </si>
  <si>
    <r>
      <rPr>
        <sz val="10"/>
        <color indexed="8"/>
        <rFont val="宋体"/>
        <charset val="134"/>
      </rPr>
      <t>现金</t>
    </r>
  </si>
  <si>
    <r>
      <rPr>
        <sz val="10"/>
        <color indexed="8"/>
        <rFont val="宋体"/>
        <charset val="134"/>
      </rPr>
      <t>银行存款</t>
    </r>
  </si>
  <si>
    <r>
      <rPr>
        <sz val="10"/>
        <color indexed="8"/>
        <rFont val="宋体"/>
        <charset val="134"/>
      </rPr>
      <t>其他货币资金</t>
    </r>
  </si>
  <si>
    <r>
      <rPr>
        <b/>
        <sz val="10"/>
        <color indexed="8"/>
        <rFont val="宋体"/>
        <charset val="134"/>
      </rPr>
      <t>货币资金合计</t>
    </r>
  </si>
  <si>
    <r>
      <rPr>
        <sz val="18"/>
        <rFont val="宋体"/>
        <charset val="134"/>
      </rPr>
      <t>货币资金</t>
    </r>
    <r>
      <rPr>
        <sz val="18"/>
        <rFont val="Times New Roman"/>
        <charset val="134"/>
      </rPr>
      <t>—</t>
    </r>
    <r>
      <rPr>
        <sz val="18"/>
        <rFont val="宋体"/>
        <charset val="134"/>
      </rPr>
      <t>现金评估明细表</t>
    </r>
  </si>
  <si>
    <r>
      <rPr>
        <b/>
        <sz val="10"/>
        <rFont val="宋体"/>
        <charset val="134"/>
      </rPr>
      <t>存放部门（单位</t>
    </r>
    <r>
      <rPr>
        <b/>
        <sz val="10"/>
        <rFont val="Times New Roman"/>
        <charset val="134"/>
      </rPr>
      <t>)</t>
    </r>
  </si>
  <si>
    <r>
      <rPr>
        <b/>
        <sz val="10"/>
        <rFont val="宋体"/>
        <charset val="134"/>
      </rPr>
      <t>币种</t>
    </r>
  </si>
  <si>
    <r>
      <rPr>
        <b/>
        <sz val="10"/>
        <rFont val="宋体"/>
        <charset val="134"/>
      </rPr>
      <t>基准日汇率</t>
    </r>
  </si>
  <si>
    <r>
      <rPr>
        <b/>
        <sz val="10"/>
        <rFont val="宋体"/>
        <charset val="134"/>
      </rPr>
      <t>外币账面金额</t>
    </r>
  </si>
  <si>
    <r>
      <rPr>
        <b/>
        <sz val="10"/>
        <color indexed="10"/>
        <rFont val="宋体"/>
        <charset val="134"/>
      </rPr>
      <t>调整分录</t>
    </r>
  </si>
  <si>
    <r>
      <rPr>
        <b/>
        <sz val="10"/>
        <rFont val="宋体"/>
        <charset val="134"/>
      </rPr>
      <t>标识</t>
    </r>
  </si>
  <si>
    <r>
      <rPr>
        <b/>
        <sz val="10"/>
        <rFont val="宋体"/>
        <charset val="134"/>
      </rPr>
      <t>选择</t>
    </r>
  </si>
  <si>
    <r>
      <rPr>
        <b/>
        <sz val="10"/>
        <rFont val="宋体"/>
        <charset val="134"/>
      </rPr>
      <t>数量</t>
    </r>
  </si>
  <si>
    <r>
      <rPr>
        <b/>
        <sz val="10"/>
        <rFont val="宋体"/>
        <charset val="134"/>
      </rPr>
      <t>目录描述</t>
    </r>
  </si>
  <si>
    <r>
      <rPr>
        <b/>
        <sz val="10"/>
        <rFont val="宋体"/>
        <charset val="134"/>
      </rPr>
      <t>账表校对（审计前）</t>
    </r>
  </si>
  <si>
    <r>
      <rPr>
        <b/>
        <sz val="10"/>
        <rFont val="宋体"/>
        <charset val="134"/>
      </rPr>
      <t>账表校对（审计后）</t>
    </r>
  </si>
  <si>
    <r>
      <rPr>
        <b/>
        <sz val="10"/>
        <rFont val="宋体"/>
        <charset val="134"/>
      </rPr>
      <t>盘点表</t>
    </r>
  </si>
  <si>
    <r>
      <rPr>
        <b/>
        <sz val="10"/>
        <rFont val="宋体"/>
        <charset val="134"/>
      </rPr>
      <t>盘点金额</t>
    </r>
  </si>
  <si>
    <r>
      <rPr>
        <b/>
        <sz val="10"/>
        <rFont val="宋体"/>
        <charset val="134"/>
      </rPr>
      <t>已发生未记账金额</t>
    </r>
  </si>
  <si>
    <r>
      <rPr>
        <b/>
        <sz val="10"/>
        <rFont val="宋体"/>
        <charset val="134"/>
      </rPr>
      <t>特殊事项</t>
    </r>
  </si>
  <si>
    <t>类别</t>
  </si>
  <si>
    <t>账面值合计</t>
  </si>
  <si>
    <t>排名</t>
  </si>
  <si>
    <t>评估值合计</t>
  </si>
  <si>
    <t>主要内容</t>
  </si>
  <si>
    <t>顿号</t>
  </si>
  <si>
    <r>
      <rPr>
        <sz val="10"/>
        <rFont val="宋体"/>
        <charset val="134"/>
      </rPr>
      <t>现金</t>
    </r>
    <r>
      <rPr>
        <sz val="10"/>
        <rFont val="Times New Roman"/>
        <charset val="134"/>
      </rPr>
      <t>01</t>
    </r>
  </si>
  <si>
    <r>
      <rPr>
        <sz val="10"/>
        <rFont val="宋体"/>
        <charset val="134"/>
      </rPr>
      <t>现金</t>
    </r>
    <r>
      <rPr>
        <sz val="10"/>
        <rFont val="Times New Roman"/>
        <charset val="134"/>
      </rPr>
      <t>02</t>
    </r>
  </si>
  <si>
    <r>
      <rPr>
        <sz val="10"/>
        <rFont val="宋体"/>
        <charset val="134"/>
      </rPr>
      <t>现金</t>
    </r>
    <r>
      <rPr>
        <sz val="10"/>
        <rFont val="Times New Roman"/>
        <charset val="134"/>
      </rPr>
      <t>03</t>
    </r>
  </si>
  <si>
    <r>
      <rPr>
        <sz val="10"/>
        <rFont val="宋体"/>
        <charset val="134"/>
      </rPr>
      <t>现金</t>
    </r>
    <r>
      <rPr>
        <sz val="10"/>
        <rFont val="Times New Roman"/>
        <charset val="134"/>
      </rPr>
      <t>04</t>
    </r>
  </si>
  <si>
    <r>
      <rPr>
        <sz val="10"/>
        <rFont val="宋体"/>
        <charset val="134"/>
      </rPr>
      <t>现金</t>
    </r>
    <r>
      <rPr>
        <sz val="10"/>
        <rFont val="Times New Roman"/>
        <charset val="134"/>
      </rPr>
      <t>05</t>
    </r>
  </si>
  <si>
    <r>
      <rPr>
        <sz val="10"/>
        <rFont val="宋体"/>
        <charset val="134"/>
      </rPr>
      <t>现金</t>
    </r>
    <r>
      <rPr>
        <sz val="10"/>
        <rFont val="Times New Roman"/>
        <charset val="134"/>
      </rPr>
      <t>06</t>
    </r>
  </si>
  <si>
    <r>
      <rPr>
        <sz val="10"/>
        <rFont val="宋体"/>
        <charset val="134"/>
      </rPr>
      <t>现金</t>
    </r>
    <r>
      <rPr>
        <sz val="10"/>
        <rFont val="Times New Roman"/>
        <charset val="134"/>
      </rPr>
      <t>07</t>
    </r>
  </si>
  <si>
    <r>
      <rPr>
        <sz val="10"/>
        <rFont val="宋体"/>
        <charset val="134"/>
      </rPr>
      <t>现金</t>
    </r>
    <r>
      <rPr>
        <sz val="10"/>
        <rFont val="Times New Roman"/>
        <charset val="134"/>
      </rPr>
      <t>08</t>
    </r>
  </si>
  <si>
    <t>汇总</t>
  </si>
  <si>
    <r>
      <rPr>
        <sz val="10"/>
        <rFont val="宋体"/>
        <charset val="134"/>
      </rPr>
      <t>现金</t>
    </r>
    <r>
      <rPr>
        <sz val="10"/>
        <rFont val="Times New Roman"/>
        <charset val="134"/>
      </rPr>
      <t>09</t>
    </r>
  </si>
  <si>
    <r>
      <rPr>
        <sz val="10"/>
        <rFont val="宋体"/>
        <charset val="134"/>
      </rPr>
      <t>现金</t>
    </r>
    <r>
      <rPr>
        <sz val="10"/>
        <rFont val="Times New Roman"/>
        <charset val="134"/>
      </rPr>
      <t>10</t>
    </r>
  </si>
  <si>
    <r>
      <rPr>
        <sz val="10"/>
        <rFont val="宋体"/>
        <charset val="134"/>
      </rPr>
      <t>现金</t>
    </r>
    <r>
      <rPr>
        <sz val="10"/>
        <rFont val="Times New Roman"/>
        <charset val="134"/>
      </rPr>
      <t>11</t>
    </r>
  </si>
  <si>
    <r>
      <rPr>
        <sz val="10"/>
        <rFont val="宋体"/>
        <charset val="134"/>
      </rPr>
      <t>现金</t>
    </r>
    <r>
      <rPr>
        <sz val="10"/>
        <rFont val="Times New Roman"/>
        <charset val="134"/>
      </rPr>
      <t>12</t>
    </r>
  </si>
  <si>
    <r>
      <rPr>
        <sz val="10"/>
        <rFont val="宋体"/>
        <charset val="134"/>
      </rPr>
      <t>现金</t>
    </r>
    <r>
      <rPr>
        <sz val="10"/>
        <rFont val="Times New Roman"/>
        <charset val="134"/>
      </rPr>
      <t>13</t>
    </r>
  </si>
  <si>
    <r>
      <rPr>
        <sz val="10"/>
        <rFont val="宋体"/>
        <charset val="134"/>
      </rPr>
      <t>现金</t>
    </r>
    <r>
      <rPr>
        <sz val="10"/>
        <rFont val="Times New Roman"/>
        <charset val="134"/>
      </rPr>
      <t>14</t>
    </r>
  </si>
  <si>
    <r>
      <rPr>
        <sz val="10"/>
        <rFont val="宋体"/>
        <charset val="134"/>
      </rPr>
      <t>现金</t>
    </r>
    <r>
      <rPr>
        <sz val="10"/>
        <rFont val="Times New Roman"/>
        <charset val="134"/>
      </rPr>
      <t>15</t>
    </r>
  </si>
  <si>
    <r>
      <rPr>
        <sz val="10"/>
        <rFont val="宋体"/>
        <charset val="134"/>
      </rPr>
      <t>现金</t>
    </r>
    <r>
      <rPr>
        <sz val="10"/>
        <rFont val="Times New Roman"/>
        <charset val="134"/>
      </rPr>
      <t>16</t>
    </r>
  </si>
  <si>
    <r>
      <rPr>
        <sz val="10"/>
        <rFont val="宋体"/>
        <charset val="134"/>
      </rPr>
      <t>现金</t>
    </r>
    <r>
      <rPr>
        <sz val="10"/>
        <rFont val="Times New Roman"/>
        <charset val="134"/>
      </rPr>
      <t>17</t>
    </r>
  </si>
  <si>
    <r>
      <rPr>
        <sz val="10"/>
        <rFont val="宋体"/>
        <charset val="134"/>
      </rPr>
      <t>现金</t>
    </r>
    <r>
      <rPr>
        <sz val="10"/>
        <rFont val="Times New Roman"/>
        <charset val="134"/>
      </rPr>
      <t>18</t>
    </r>
  </si>
  <si>
    <r>
      <rPr>
        <sz val="10"/>
        <rFont val="宋体"/>
        <charset val="134"/>
      </rPr>
      <t>现金</t>
    </r>
    <r>
      <rPr>
        <sz val="10"/>
        <rFont val="Times New Roman"/>
        <charset val="134"/>
      </rPr>
      <t>19</t>
    </r>
  </si>
  <si>
    <r>
      <rPr>
        <sz val="10"/>
        <rFont val="宋体"/>
        <charset val="134"/>
      </rPr>
      <t>现金</t>
    </r>
    <r>
      <rPr>
        <sz val="10"/>
        <rFont val="Times New Roman"/>
        <charset val="134"/>
      </rPr>
      <t>20</t>
    </r>
  </si>
  <si>
    <r>
      <rPr>
        <b/>
        <sz val="10"/>
        <rFont val="宋体"/>
        <charset val="134"/>
      </rPr>
      <t>合</t>
    </r>
    <r>
      <rPr>
        <b/>
        <sz val="10"/>
        <rFont val="Times New Roman"/>
        <charset val="134"/>
      </rPr>
      <t xml:space="preserve">         </t>
    </r>
    <r>
      <rPr>
        <b/>
        <sz val="10"/>
        <rFont val="宋体"/>
        <charset val="134"/>
      </rPr>
      <t>计</t>
    </r>
  </si>
  <si>
    <r>
      <rPr>
        <sz val="10"/>
        <rFont val="宋体"/>
        <charset val="134"/>
      </rPr>
      <t>溢余资产</t>
    </r>
  </si>
  <si>
    <r>
      <rPr>
        <sz val="10"/>
        <rFont val="宋体"/>
        <charset val="134"/>
      </rPr>
      <t>是</t>
    </r>
  </si>
  <si>
    <r>
      <rPr>
        <sz val="10"/>
        <rFont val="宋体"/>
        <charset val="134"/>
      </rPr>
      <t>有</t>
    </r>
  </si>
  <si>
    <r>
      <rPr>
        <sz val="10"/>
        <rFont val="宋体"/>
        <charset val="134"/>
      </rPr>
      <t>经营性资产</t>
    </r>
  </si>
  <si>
    <r>
      <rPr>
        <sz val="10"/>
        <rFont val="宋体"/>
        <charset val="134"/>
      </rPr>
      <t>否</t>
    </r>
  </si>
  <si>
    <r>
      <rPr>
        <sz val="10"/>
        <rFont val="宋体"/>
        <charset val="134"/>
      </rPr>
      <t>无</t>
    </r>
  </si>
  <si>
    <r>
      <rPr>
        <sz val="18"/>
        <rFont val="宋体"/>
        <charset val="134"/>
      </rPr>
      <t>货币资金</t>
    </r>
    <r>
      <rPr>
        <sz val="18"/>
        <rFont val="Times New Roman"/>
        <charset val="134"/>
      </rPr>
      <t>—</t>
    </r>
    <r>
      <rPr>
        <sz val="18"/>
        <rFont val="宋体"/>
        <charset val="134"/>
      </rPr>
      <t>银行存款评估明细表</t>
    </r>
  </si>
  <si>
    <r>
      <rPr>
        <b/>
        <sz val="10"/>
        <rFont val="宋体"/>
        <charset val="134"/>
      </rPr>
      <t>开户银行</t>
    </r>
  </si>
  <si>
    <r>
      <rPr>
        <b/>
        <sz val="10"/>
        <rFont val="宋体"/>
        <charset val="134"/>
      </rPr>
      <t>账号</t>
    </r>
  </si>
  <si>
    <r>
      <rPr>
        <b/>
        <sz val="10"/>
        <rFont val="宋体"/>
        <charset val="134"/>
      </rPr>
      <t>银行对账单</t>
    </r>
  </si>
  <si>
    <r>
      <rPr>
        <b/>
        <sz val="10"/>
        <rFont val="宋体"/>
        <charset val="134"/>
      </rPr>
      <t>对账单金额</t>
    </r>
  </si>
  <si>
    <r>
      <rPr>
        <b/>
        <sz val="10"/>
        <rFont val="宋体"/>
        <charset val="134"/>
      </rPr>
      <t>与账面差额</t>
    </r>
  </si>
  <si>
    <r>
      <rPr>
        <b/>
        <sz val="10"/>
        <rFont val="宋体"/>
        <charset val="134"/>
      </rPr>
      <t>余额调节表</t>
    </r>
  </si>
  <si>
    <r>
      <rPr>
        <b/>
        <sz val="10"/>
        <rFont val="宋体"/>
        <charset val="134"/>
      </rPr>
      <t>是否函证</t>
    </r>
  </si>
  <si>
    <r>
      <rPr>
        <b/>
        <sz val="10"/>
        <rFont val="宋体"/>
        <charset val="134"/>
      </rPr>
      <t>函证是否相符</t>
    </r>
  </si>
  <si>
    <r>
      <rPr>
        <b/>
        <sz val="10"/>
        <rFont val="宋体"/>
        <charset val="134"/>
      </rPr>
      <t>未询证原因</t>
    </r>
  </si>
  <si>
    <r>
      <rPr>
        <sz val="10"/>
        <rFont val="宋体"/>
        <charset val="134"/>
      </rPr>
      <t>银行存款</t>
    </r>
    <r>
      <rPr>
        <sz val="10"/>
        <rFont val="Times New Roman"/>
        <charset val="134"/>
      </rPr>
      <t>01</t>
    </r>
  </si>
  <si>
    <r>
      <rPr>
        <sz val="10"/>
        <rFont val="宋体"/>
        <charset val="134"/>
      </rPr>
      <t>银行存款</t>
    </r>
    <r>
      <rPr>
        <sz val="10"/>
        <rFont val="Times New Roman"/>
        <charset val="134"/>
      </rPr>
      <t>02</t>
    </r>
  </si>
  <si>
    <r>
      <rPr>
        <sz val="10"/>
        <rFont val="宋体"/>
        <charset val="134"/>
      </rPr>
      <t>银行存款</t>
    </r>
    <r>
      <rPr>
        <sz val="10"/>
        <rFont val="Times New Roman"/>
        <charset val="134"/>
      </rPr>
      <t>03</t>
    </r>
  </si>
  <si>
    <r>
      <rPr>
        <sz val="10"/>
        <rFont val="宋体"/>
        <charset val="134"/>
      </rPr>
      <t>银行存款</t>
    </r>
    <r>
      <rPr>
        <sz val="10"/>
        <rFont val="Times New Roman"/>
        <charset val="134"/>
      </rPr>
      <t>04</t>
    </r>
  </si>
  <si>
    <r>
      <rPr>
        <sz val="10"/>
        <rFont val="宋体"/>
        <charset val="134"/>
      </rPr>
      <t>银行存款</t>
    </r>
    <r>
      <rPr>
        <sz val="10"/>
        <rFont val="Times New Roman"/>
        <charset val="134"/>
      </rPr>
      <t>05</t>
    </r>
  </si>
  <si>
    <r>
      <rPr>
        <sz val="10"/>
        <rFont val="宋体"/>
        <charset val="134"/>
      </rPr>
      <t>银行存款</t>
    </r>
    <r>
      <rPr>
        <sz val="10"/>
        <rFont val="Times New Roman"/>
        <charset val="134"/>
      </rPr>
      <t>06</t>
    </r>
  </si>
  <si>
    <r>
      <rPr>
        <sz val="10"/>
        <rFont val="宋体"/>
        <charset val="134"/>
      </rPr>
      <t>银行存款</t>
    </r>
    <r>
      <rPr>
        <sz val="10"/>
        <rFont val="Times New Roman"/>
        <charset val="134"/>
      </rPr>
      <t>07</t>
    </r>
  </si>
  <si>
    <r>
      <rPr>
        <sz val="10"/>
        <rFont val="宋体"/>
        <charset val="134"/>
      </rPr>
      <t>银行存款</t>
    </r>
    <r>
      <rPr>
        <sz val="10"/>
        <rFont val="Times New Roman"/>
        <charset val="134"/>
      </rPr>
      <t>08</t>
    </r>
  </si>
  <si>
    <r>
      <rPr>
        <sz val="10"/>
        <rFont val="宋体"/>
        <charset val="134"/>
      </rPr>
      <t>银行存款</t>
    </r>
    <r>
      <rPr>
        <sz val="10"/>
        <rFont val="Times New Roman"/>
        <charset val="134"/>
      </rPr>
      <t>09</t>
    </r>
  </si>
  <si>
    <r>
      <rPr>
        <sz val="10"/>
        <rFont val="宋体"/>
        <charset val="134"/>
      </rPr>
      <t>银行存款</t>
    </r>
    <r>
      <rPr>
        <sz val="10"/>
        <rFont val="Times New Roman"/>
        <charset val="134"/>
      </rPr>
      <t>10</t>
    </r>
  </si>
  <si>
    <r>
      <rPr>
        <sz val="10"/>
        <rFont val="宋体"/>
        <charset val="134"/>
      </rPr>
      <t>银行存款</t>
    </r>
    <r>
      <rPr>
        <sz val="10"/>
        <rFont val="Times New Roman"/>
        <charset val="134"/>
      </rPr>
      <t>11</t>
    </r>
  </si>
  <si>
    <r>
      <rPr>
        <sz val="10"/>
        <rFont val="宋体"/>
        <charset val="134"/>
      </rPr>
      <t>银行存款</t>
    </r>
    <r>
      <rPr>
        <sz val="10"/>
        <rFont val="Times New Roman"/>
        <charset val="134"/>
      </rPr>
      <t>12</t>
    </r>
  </si>
  <si>
    <r>
      <rPr>
        <sz val="10"/>
        <rFont val="宋体"/>
        <charset val="134"/>
      </rPr>
      <t>银行存款</t>
    </r>
    <r>
      <rPr>
        <sz val="10"/>
        <rFont val="Times New Roman"/>
        <charset val="134"/>
      </rPr>
      <t>13</t>
    </r>
  </si>
  <si>
    <r>
      <rPr>
        <sz val="10"/>
        <rFont val="宋体"/>
        <charset val="134"/>
      </rPr>
      <t>银行存款</t>
    </r>
    <r>
      <rPr>
        <sz val="10"/>
        <rFont val="Times New Roman"/>
        <charset val="134"/>
      </rPr>
      <t>14</t>
    </r>
  </si>
  <si>
    <r>
      <rPr>
        <sz val="10"/>
        <rFont val="宋体"/>
        <charset val="134"/>
      </rPr>
      <t>银行存款</t>
    </r>
    <r>
      <rPr>
        <sz val="10"/>
        <rFont val="Times New Roman"/>
        <charset val="134"/>
      </rPr>
      <t>15</t>
    </r>
  </si>
  <si>
    <r>
      <rPr>
        <sz val="10"/>
        <rFont val="宋体"/>
        <charset val="134"/>
      </rPr>
      <t>银行存款</t>
    </r>
    <r>
      <rPr>
        <sz val="10"/>
        <rFont val="Times New Roman"/>
        <charset val="134"/>
      </rPr>
      <t>16</t>
    </r>
  </si>
  <si>
    <r>
      <rPr>
        <sz val="10"/>
        <rFont val="宋体"/>
        <charset val="134"/>
      </rPr>
      <t>银行存款</t>
    </r>
    <r>
      <rPr>
        <sz val="10"/>
        <rFont val="Times New Roman"/>
        <charset val="134"/>
      </rPr>
      <t>17</t>
    </r>
  </si>
  <si>
    <r>
      <rPr>
        <sz val="10"/>
        <rFont val="宋体"/>
        <charset val="134"/>
      </rPr>
      <t>银行存款</t>
    </r>
    <r>
      <rPr>
        <sz val="10"/>
        <rFont val="Times New Roman"/>
        <charset val="134"/>
      </rPr>
      <t>18</t>
    </r>
  </si>
  <si>
    <r>
      <rPr>
        <sz val="10"/>
        <rFont val="宋体"/>
        <charset val="134"/>
      </rPr>
      <t>银行存款</t>
    </r>
    <r>
      <rPr>
        <sz val="10"/>
        <rFont val="Times New Roman"/>
        <charset val="134"/>
      </rPr>
      <t>19</t>
    </r>
  </si>
  <si>
    <r>
      <rPr>
        <sz val="10"/>
        <rFont val="宋体"/>
        <charset val="134"/>
      </rPr>
      <t>银行存款</t>
    </r>
    <r>
      <rPr>
        <sz val="10"/>
        <rFont val="Times New Roman"/>
        <charset val="134"/>
      </rPr>
      <t>20</t>
    </r>
  </si>
  <si>
    <r>
      <rPr>
        <sz val="18"/>
        <rFont val="宋体"/>
        <charset val="134"/>
      </rPr>
      <t>货币资金</t>
    </r>
    <r>
      <rPr>
        <sz val="18"/>
        <rFont val="Times New Roman"/>
        <charset val="134"/>
      </rPr>
      <t>—</t>
    </r>
    <r>
      <rPr>
        <sz val="18"/>
        <rFont val="宋体"/>
        <charset val="134"/>
      </rPr>
      <t>其他货币资金评估明细表</t>
    </r>
  </si>
  <si>
    <r>
      <rPr>
        <b/>
        <sz val="10"/>
        <rFont val="宋体"/>
        <charset val="134"/>
      </rPr>
      <t>名称及内容</t>
    </r>
  </si>
  <si>
    <r>
      <rPr>
        <b/>
        <sz val="10"/>
        <rFont val="宋体"/>
        <charset val="134"/>
      </rPr>
      <t>用途</t>
    </r>
  </si>
  <si>
    <r>
      <rPr>
        <b/>
        <sz val="10"/>
        <rFont val="宋体"/>
        <charset val="134"/>
      </rPr>
      <t>单据凭证</t>
    </r>
  </si>
  <si>
    <r>
      <rPr>
        <sz val="10"/>
        <rFont val="宋体"/>
        <charset val="134"/>
      </rPr>
      <t>其他货币资金</t>
    </r>
    <r>
      <rPr>
        <sz val="10"/>
        <rFont val="Times New Roman"/>
        <charset val="134"/>
      </rPr>
      <t>01</t>
    </r>
  </si>
  <si>
    <r>
      <rPr>
        <sz val="10"/>
        <rFont val="宋体"/>
        <charset val="134"/>
      </rPr>
      <t>其他货币资金</t>
    </r>
    <r>
      <rPr>
        <sz val="10"/>
        <rFont val="Times New Roman"/>
        <charset val="134"/>
      </rPr>
      <t>02</t>
    </r>
  </si>
  <si>
    <r>
      <rPr>
        <sz val="10"/>
        <rFont val="宋体"/>
        <charset val="134"/>
      </rPr>
      <t>其他货币资金</t>
    </r>
    <r>
      <rPr>
        <sz val="10"/>
        <rFont val="Times New Roman"/>
        <charset val="134"/>
      </rPr>
      <t>03</t>
    </r>
  </si>
  <si>
    <r>
      <rPr>
        <sz val="10"/>
        <rFont val="宋体"/>
        <charset val="134"/>
      </rPr>
      <t>其他货币资金</t>
    </r>
    <r>
      <rPr>
        <sz val="10"/>
        <rFont val="Times New Roman"/>
        <charset val="134"/>
      </rPr>
      <t>04</t>
    </r>
  </si>
  <si>
    <r>
      <rPr>
        <sz val="10"/>
        <rFont val="宋体"/>
        <charset val="134"/>
      </rPr>
      <t>其他货币资金</t>
    </r>
    <r>
      <rPr>
        <sz val="10"/>
        <rFont val="Times New Roman"/>
        <charset val="134"/>
      </rPr>
      <t>05</t>
    </r>
  </si>
  <si>
    <r>
      <rPr>
        <sz val="10"/>
        <rFont val="宋体"/>
        <charset val="134"/>
      </rPr>
      <t>其他货币资金</t>
    </r>
    <r>
      <rPr>
        <sz val="10"/>
        <rFont val="Times New Roman"/>
        <charset val="134"/>
      </rPr>
      <t>06</t>
    </r>
  </si>
  <si>
    <r>
      <rPr>
        <sz val="10"/>
        <rFont val="宋体"/>
        <charset val="134"/>
      </rPr>
      <t>其他货币资金</t>
    </r>
    <r>
      <rPr>
        <sz val="10"/>
        <rFont val="Times New Roman"/>
        <charset val="134"/>
      </rPr>
      <t>07</t>
    </r>
  </si>
  <si>
    <r>
      <rPr>
        <sz val="10"/>
        <rFont val="宋体"/>
        <charset val="134"/>
      </rPr>
      <t>其他货币资金</t>
    </r>
    <r>
      <rPr>
        <sz val="10"/>
        <rFont val="Times New Roman"/>
        <charset val="134"/>
      </rPr>
      <t>08</t>
    </r>
  </si>
  <si>
    <r>
      <rPr>
        <sz val="10"/>
        <rFont val="宋体"/>
        <charset val="134"/>
      </rPr>
      <t>其他货币资金</t>
    </r>
    <r>
      <rPr>
        <sz val="10"/>
        <rFont val="Times New Roman"/>
        <charset val="134"/>
      </rPr>
      <t>09</t>
    </r>
  </si>
  <si>
    <r>
      <rPr>
        <sz val="10"/>
        <rFont val="宋体"/>
        <charset val="134"/>
      </rPr>
      <t>其他货币资金</t>
    </r>
    <r>
      <rPr>
        <sz val="10"/>
        <rFont val="Times New Roman"/>
        <charset val="134"/>
      </rPr>
      <t>10</t>
    </r>
  </si>
  <si>
    <r>
      <rPr>
        <sz val="10"/>
        <rFont val="宋体"/>
        <charset val="134"/>
      </rPr>
      <t>其他货币资金</t>
    </r>
    <r>
      <rPr>
        <sz val="10"/>
        <rFont val="Times New Roman"/>
        <charset val="134"/>
      </rPr>
      <t>11</t>
    </r>
  </si>
  <si>
    <r>
      <rPr>
        <sz val="10"/>
        <rFont val="宋体"/>
        <charset val="134"/>
      </rPr>
      <t>其他货币资金</t>
    </r>
    <r>
      <rPr>
        <sz val="10"/>
        <rFont val="Times New Roman"/>
        <charset val="134"/>
      </rPr>
      <t>12</t>
    </r>
  </si>
  <si>
    <r>
      <rPr>
        <sz val="10"/>
        <rFont val="宋体"/>
        <charset val="134"/>
      </rPr>
      <t>其他货币资金</t>
    </r>
    <r>
      <rPr>
        <sz val="10"/>
        <rFont val="Times New Roman"/>
        <charset val="134"/>
      </rPr>
      <t>13</t>
    </r>
  </si>
  <si>
    <r>
      <rPr>
        <sz val="10"/>
        <rFont val="宋体"/>
        <charset val="134"/>
      </rPr>
      <t>其他货币资金</t>
    </r>
    <r>
      <rPr>
        <sz val="10"/>
        <rFont val="Times New Roman"/>
        <charset val="134"/>
      </rPr>
      <t>14</t>
    </r>
  </si>
  <si>
    <r>
      <rPr>
        <sz val="10"/>
        <rFont val="宋体"/>
        <charset val="134"/>
      </rPr>
      <t>其他货币资金</t>
    </r>
    <r>
      <rPr>
        <sz val="10"/>
        <rFont val="Times New Roman"/>
        <charset val="134"/>
      </rPr>
      <t>15</t>
    </r>
  </si>
  <si>
    <r>
      <rPr>
        <sz val="10"/>
        <rFont val="宋体"/>
        <charset val="134"/>
      </rPr>
      <t>其他货币资金</t>
    </r>
    <r>
      <rPr>
        <sz val="10"/>
        <rFont val="Times New Roman"/>
        <charset val="134"/>
      </rPr>
      <t>16</t>
    </r>
  </si>
  <si>
    <r>
      <rPr>
        <sz val="10"/>
        <rFont val="宋体"/>
        <charset val="134"/>
      </rPr>
      <t>其他货币资金</t>
    </r>
    <r>
      <rPr>
        <sz val="10"/>
        <rFont val="Times New Roman"/>
        <charset val="134"/>
      </rPr>
      <t>17</t>
    </r>
  </si>
  <si>
    <r>
      <rPr>
        <sz val="10"/>
        <rFont val="宋体"/>
        <charset val="134"/>
      </rPr>
      <t>其他货币资金</t>
    </r>
    <r>
      <rPr>
        <sz val="10"/>
        <rFont val="Times New Roman"/>
        <charset val="134"/>
      </rPr>
      <t>18</t>
    </r>
  </si>
  <si>
    <r>
      <rPr>
        <sz val="10"/>
        <rFont val="宋体"/>
        <charset val="134"/>
      </rPr>
      <t>其他货币资金</t>
    </r>
    <r>
      <rPr>
        <sz val="10"/>
        <rFont val="Times New Roman"/>
        <charset val="134"/>
      </rPr>
      <t>19</t>
    </r>
  </si>
  <si>
    <r>
      <rPr>
        <sz val="10"/>
        <rFont val="宋体"/>
        <charset val="134"/>
      </rPr>
      <t>其他货币资金</t>
    </r>
    <r>
      <rPr>
        <sz val="10"/>
        <rFont val="Times New Roman"/>
        <charset val="134"/>
      </rPr>
      <t>20</t>
    </r>
  </si>
  <si>
    <t>以公允价值计量且其变动计入当期损益的金融资产评估汇总表</t>
  </si>
  <si>
    <r>
      <rPr>
        <b/>
        <sz val="10"/>
        <rFont val="宋体"/>
        <charset val="134"/>
      </rPr>
      <t>编号</t>
    </r>
  </si>
  <si>
    <r>
      <rPr>
        <b/>
        <sz val="10"/>
        <rFont val="宋体"/>
        <charset val="134"/>
      </rPr>
      <t>科目名称</t>
    </r>
  </si>
  <si>
    <r>
      <rPr>
        <sz val="10"/>
        <rFont val="宋体"/>
        <charset val="134"/>
      </rPr>
      <t>公允价值计量</t>
    </r>
    <r>
      <rPr>
        <sz val="10"/>
        <rFont val="Times New Roman"/>
        <charset val="134"/>
      </rPr>
      <t>-</t>
    </r>
    <r>
      <rPr>
        <sz val="10"/>
        <rFont val="宋体"/>
        <charset val="134"/>
      </rPr>
      <t>股票投资</t>
    </r>
  </si>
  <si>
    <r>
      <rPr>
        <sz val="10"/>
        <rFont val="宋体"/>
        <charset val="134"/>
      </rPr>
      <t>公允价值计量</t>
    </r>
    <r>
      <rPr>
        <sz val="10"/>
        <rFont val="Times New Roman"/>
        <charset val="134"/>
      </rPr>
      <t>-</t>
    </r>
    <r>
      <rPr>
        <sz val="10"/>
        <rFont val="宋体"/>
        <charset val="134"/>
      </rPr>
      <t>债券投资</t>
    </r>
  </si>
  <si>
    <r>
      <rPr>
        <sz val="10"/>
        <rFont val="宋体"/>
        <charset val="134"/>
      </rPr>
      <t>公允价值计量</t>
    </r>
    <r>
      <rPr>
        <sz val="10"/>
        <rFont val="Times New Roman"/>
        <charset val="134"/>
      </rPr>
      <t>-</t>
    </r>
    <r>
      <rPr>
        <sz val="10"/>
        <rFont val="宋体"/>
        <charset val="134"/>
      </rPr>
      <t>基金投资</t>
    </r>
  </si>
  <si>
    <t>以公允价值计量且其变动计入当期损益的金融资产合计</t>
  </si>
  <si>
    <r>
      <rPr>
        <sz val="18"/>
        <rFont val="宋体"/>
        <charset val="134"/>
      </rPr>
      <t>以公允价值计量且其变动计入当期损益的金融资产</t>
    </r>
    <r>
      <rPr>
        <sz val="18"/>
        <rFont val="Times New Roman"/>
        <charset val="134"/>
      </rPr>
      <t>—</t>
    </r>
    <r>
      <rPr>
        <sz val="18"/>
        <rFont val="宋体"/>
        <charset val="134"/>
      </rPr>
      <t>股票投资评估明细表</t>
    </r>
  </si>
  <si>
    <r>
      <rPr>
        <b/>
        <sz val="10"/>
        <rFont val="宋体"/>
        <charset val="134"/>
      </rPr>
      <t>被投资单位名称</t>
    </r>
  </si>
  <si>
    <r>
      <rPr>
        <b/>
        <sz val="10"/>
        <rFont val="宋体"/>
        <charset val="134"/>
      </rPr>
      <t>股票名称</t>
    </r>
  </si>
  <si>
    <r>
      <rPr>
        <b/>
        <sz val="10"/>
        <rFont val="宋体"/>
        <charset val="134"/>
      </rPr>
      <t>投资日期</t>
    </r>
  </si>
  <si>
    <r>
      <rPr>
        <b/>
        <sz val="10"/>
        <rFont val="宋体"/>
        <charset val="134"/>
      </rPr>
      <t>持股数量</t>
    </r>
  </si>
  <si>
    <t>外币成本金额</t>
  </si>
  <si>
    <r>
      <rPr>
        <b/>
        <sz val="10"/>
        <rFont val="宋体"/>
        <charset val="134"/>
      </rPr>
      <t>成本</t>
    </r>
  </si>
  <si>
    <r>
      <rPr>
        <b/>
        <sz val="10"/>
        <rFont val="宋体"/>
        <charset val="134"/>
      </rPr>
      <t>基准日收盘价元</t>
    </r>
    <r>
      <rPr>
        <b/>
        <sz val="10"/>
        <rFont val="Times New Roman"/>
        <charset val="134"/>
      </rPr>
      <t>/</t>
    </r>
    <r>
      <rPr>
        <b/>
        <sz val="10"/>
        <rFont val="宋体"/>
        <charset val="134"/>
      </rPr>
      <t>股</t>
    </r>
  </si>
  <si>
    <r>
      <rPr>
        <b/>
        <sz val="10"/>
        <rFont val="宋体"/>
        <charset val="134"/>
      </rPr>
      <t>合同</t>
    </r>
  </si>
  <si>
    <r>
      <rPr>
        <b/>
        <sz val="10"/>
        <rFont val="宋体"/>
        <charset val="134"/>
      </rPr>
      <t>文件</t>
    </r>
  </si>
  <si>
    <r>
      <rPr>
        <b/>
        <sz val="10"/>
        <rFont val="宋体"/>
        <charset val="134"/>
      </rPr>
      <t>单据
凭证</t>
    </r>
  </si>
  <si>
    <r>
      <rPr>
        <sz val="10"/>
        <rFont val="宋体"/>
        <charset val="134"/>
      </rPr>
      <t>公允价值计量</t>
    </r>
    <r>
      <rPr>
        <sz val="10"/>
        <rFont val="Times New Roman"/>
        <charset val="134"/>
      </rPr>
      <t>-</t>
    </r>
    <r>
      <rPr>
        <sz val="10"/>
        <rFont val="宋体"/>
        <charset val="134"/>
      </rPr>
      <t>股票</t>
    </r>
    <r>
      <rPr>
        <sz val="10"/>
        <rFont val="Times New Roman"/>
        <charset val="134"/>
      </rPr>
      <t>01</t>
    </r>
  </si>
  <si>
    <r>
      <rPr>
        <sz val="10"/>
        <rFont val="宋体"/>
        <charset val="134"/>
      </rPr>
      <t>公允价值计量</t>
    </r>
    <r>
      <rPr>
        <sz val="10"/>
        <rFont val="Times New Roman"/>
        <charset val="134"/>
      </rPr>
      <t>-</t>
    </r>
    <r>
      <rPr>
        <sz val="10"/>
        <rFont val="宋体"/>
        <charset val="134"/>
      </rPr>
      <t>股票</t>
    </r>
    <r>
      <rPr>
        <sz val="10"/>
        <rFont val="Times New Roman"/>
        <charset val="134"/>
      </rPr>
      <t>02</t>
    </r>
  </si>
  <si>
    <r>
      <rPr>
        <sz val="10"/>
        <rFont val="宋体"/>
        <charset val="134"/>
      </rPr>
      <t>公允价值计量</t>
    </r>
    <r>
      <rPr>
        <sz val="10"/>
        <rFont val="Times New Roman"/>
        <charset val="134"/>
      </rPr>
      <t>-</t>
    </r>
    <r>
      <rPr>
        <sz val="10"/>
        <rFont val="宋体"/>
        <charset val="134"/>
      </rPr>
      <t>股票</t>
    </r>
    <r>
      <rPr>
        <sz val="10"/>
        <rFont val="Times New Roman"/>
        <charset val="134"/>
      </rPr>
      <t>03</t>
    </r>
  </si>
  <si>
    <r>
      <rPr>
        <sz val="10"/>
        <rFont val="宋体"/>
        <charset val="134"/>
      </rPr>
      <t>公允价值计量</t>
    </r>
    <r>
      <rPr>
        <sz val="10"/>
        <rFont val="Times New Roman"/>
        <charset val="134"/>
      </rPr>
      <t>-</t>
    </r>
    <r>
      <rPr>
        <sz val="10"/>
        <rFont val="宋体"/>
        <charset val="134"/>
      </rPr>
      <t>股票</t>
    </r>
    <r>
      <rPr>
        <sz val="10"/>
        <rFont val="Times New Roman"/>
        <charset val="134"/>
      </rPr>
      <t>04</t>
    </r>
  </si>
  <si>
    <r>
      <rPr>
        <sz val="10"/>
        <rFont val="宋体"/>
        <charset val="134"/>
      </rPr>
      <t>公允价值计量</t>
    </r>
    <r>
      <rPr>
        <sz val="10"/>
        <rFont val="Times New Roman"/>
        <charset val="134"/>
      </rPr>
      <t>-</t>
    </r>
    <r>
      <rPr>
        <sz val="10"/>
        <rFont val="宋体"/>
        <charset val="134"/>
      </rPr>
      <t>股票</t>
    </r>
    <r>
      <rPr>
        <sz val="10"/>
        <rFont val="Times New Roman"/>
        <charset val="134"/>
      </rPr>
      <t>05</t>
    </r>
  </si>
  <si>
    <r>
      <rPr>
        <sz val="10"/>
        <rFont val="宋体"/>
        <charset val="134"/>
      </rPr>
      <t>公允价值计量</t>
    </r>
    <r>
      <rPr>
        <sz val="10"/>
        <rFont val="Times New Roman"/>
        <charset val="134"/>
      </rPr>
      <t>-</t>
    </r>
    <r>
      <rPr>
        <sz val="10"/>
        <rFont val="宋体"/>
        <charset val="134"/>
      </rPr>
      <t>股票</t>
    </r>
    <r>
      <rPr>
        <sz val="10"/>
        <rFont val="Times New Roman"/>
        <charset val="134"/>
      </rPr>
      <t>06</t>
    </r>
  </si>
  <si>
    <r>
      <rPr>
        <sz val="10"/>
        <rFont val="宋体"/>
        <charset val="134"/>
      </rPr>
      <t>公允价值计量</t>
    </r>
    <r>
      <rPr>
        <sz val="10"/>
        <rFont val="Times New Roman"/>
        <charset val="134"/>
      </rPr>
      <t>-</t>
    </r>
    <r>
      <rPr>
        <sz val="10"/>
        <rFont val="宋体"/>
        <charset val="134"/>
      </rPr>
      <t>股票</t>
    </r>
    <r>
      <rPr>
        <sz val="10"/>
        <rFont val="Times New Roman"/>
        <charset val="134"/>
      </rPr>
      <t>07</t>
    </r>
  </si>
  <si>
    <r>
      <rPr>
        <sz val="10"/>
        <rFont val="宋体"/>
        <charset val="134"/>
      </rPr>
      <t>公允价值计量</t>
    </r>
    <r>
      <rPr>
        <sz val="10"/>
        <rFont val="Times New Roman"/>
        <charset val="134"/>
      </rPr>
      <t>-</t>
    </r>
    <r>
      <rPr>
        <sz val="10"/>
        <rFont val="宋体"/>
        <charset val="134"/>
      </rPr>
      <t>股票</t>
    </r>
    <r>
      <rPr>
        <sz val="10"/>
        <rFont val="Times New Roman"/>
        <charset val="134"/>
      </rPr>
      <t>08</t>
    </r>
  </si>
  <si>
    <r>
      <rPr>
        <sz val="10"/>
        <rFont val="宋体"/>
        <charset val="134"/>
      </rPr>
      <t>公允价值计量</t>
    </r>
    <r>
      <rPr>
        <sz val="10"/>
        <rFont val="Times New Roman"/>
        <charset val="134"/>
      </rPr>
      <t>-</t>
    </r>
    <r>
      <rPr>
        <sz val="10"/>
        <rFont val="宋体"/>
        <charset val="134"/>
      </rPr>
      <t>股票</t>
    </r>
    <r>
      <rPr>
        <sz val="10"/>
        <rFont val="Times New Roman"/>
        <charset val="134"/>
      </rPr>
      <t>09</t>
    </r>
  </si>
  <si>
    <r>
      <rPr>
        <sz val="10"/>
        <rFont val="宋体"/>
        <charset val="134"/>
      </rPr>
      <t>公允价值计量</t>
    </r>
    <r>
      <rPr>
        <sz val="10"/>
        <rFont val="Times New Roman"/>
        <charset val="134"/>
      </rPr>
      <t>-</t>
    </r>
    <r>
      <rPr>
        <sz val="10"/>
        <rFont val="宋体"/>
        <charset val="134"/>
      </rPr>
      <t>股票</t>
    </r>
    <r>
      <rPr>
        <sz val="10"/>
        <rFont val="Times New Roman"/>
        <charset val="134"/>
      </rPr>
      <t>10</t>
    </r>
  </si>
  <si>
    <r>
      <rPr>
        <sz val="10"/>
        <rFont val="宋体"/>
        <charset val="134"/>
      </rPr>
      <t>公允价值计量</t>
    </r>
    <r>
      <rPr>
        <sz val="10"/>
        <rFont val="Times New Roman"/>
        <charset val="134"/>
      </rPr>
      <t>-</t>
    </r>
    <r>
      <rPr>
        <sz val="10"/>
        <rFont val="宋体"/>
        <charset val="134"/>
      </rPr>
      <t>股票</t>
    </r>
    <r>
      <rPr>
        <sz val="10"/>
        <rFont val="Times New Roman"/>
        <charset val="134"/>
      </rPr>
      <t>11</t>
    </r>
  </si>
  <si>
    <r>
      <rPr>
        <sz val="10"/>
        <rFont val="宋体"/>
        <charset val="134"/>
      </rPr>
      <t>公允价值计量</t>
    </r>
    <r>
      <rPr>
        <sz val="10"/>
        <rFont val="Times New Roman"/>
        <charset val="134"/>
      </rPr>
      <t>-</t>
    </r>
    <r>
      <rPr>
        <sz val="10"/>
        <rFont val="宋体"/>
        <charset val="134"/>
      </rPr>
      <t>股票</t>
    </r>
    <r>
      <rPr>
        <sz val="10"/>
        <rFont val="Times New Roman"/>
        <charset val="134"/>
      </rPr>
      <t>12</t>
    </r>
  </si>
  <si>
    <r>
      <rPr>
        <sz val="10"/>
        <rFont val="宋体"/>
        <charset val="134"/>
      </rPr>
      <t>公允价值计量</t>
    </r>
    <r>
      <rPr>
        <sz val="10"/>
        <rFont val="Times New Roman"/>
        <charset val="134"/>
      </rPr>
      <t>-</t>
    </r>
    <r>
      <rPr>
        <sz val="10"/>
        <rFont val="宋体"/>
        <charset val="134"/>
      </rPr>
      <t>股票</t>
    </r>
    <r>
      <rPr>
        <sz val="10"/>
        <rFont val="Times New Roman"/>
        <charset val="134"/>
      </rPr>
      <t>13</t>
    </r>
  </si>
  <si>
    <r>
      <rPr>
        <sz val="10"/>
        <rFont val="宋体"/>
        <charset val="134"/>
      </rPr>
      <t>公允价值计量</t>
    </r>
    <r>
      <rPr>
        <sz val="10"/>
        <rFont val="Times New Roman"/>
        <charset val="134"/>
      </rPr>
      <t>-</t>
    </r>
    <r>
      <rPr>
        <sz val="10"/>
        <rFont val="宋体"/>
        <charset val="134"/>
      </rPr>
      <t>股票</t>
    </r>
    <r>
      <rPr>
        <sz val="10"/>
        <rFont val="Times New Roman"/>
        <charset val="134"/>
      </rPr>
      <t>14</t>
    </r>
  </si>
  <si>
    <r>
      <rPr>
        <sz val="10"/>
        <rFont val="宋体"/>
        <charset val="134"/>
      </rPr>
      <t>公允价值计量</t>
    </r>
    <r>
      <rPr>
        <sz val="10"/>
        <rFont val="Times New Roman"/>
        <charset val="134"/>
      </rPr>
      <t>-</t>
    </r>
    <r>
      <rPr>
        <sz val="10"/>
        <rFont val="宋体"/>
        <charset val="134"/>
      </rPr>
      <t>股票</t>
    </r>
    <r>
      <rPr>
        <sz val="10"/>
        <rFont val="Times New Roman"/>
        <charset val="134"/>
      </rPr>
      <t>15</t>
    </r>
  </si>
  <si>
    <r>
      <rPr>
        <sz val="10"/>
        <rFont val="宋体"/>
        <charset val="134"/>
      </rPr>
      <t>公允价值计量</t>
    </r>
    <r>
      <rPr>
        <sz val="10"/>
        <rFont val="Times New Roman"/>
        <charset val="134"/>
      </rPr>
      <t>-</t>
    </r>
    <r>
      <rPr>
        <sz val="10"/>
        <rFont val="宋体"/>
        <charset val="134"/>
      </rPr>
      <t>股票</t>
    </r>
    <r>
      <rPr>
        <sz val="10"/>
        <rFont val="Times New Roman"/>
        <charset val="134"/>
      </rPr>
      <t>16</t>
    </r>
  </si>
  <si>
    <r>
      <rPr>
        <sz val="10"/>
        <rFont val="宋体"/>
        <charset val="134"/>
      </rPr>
      <t>公允价值计量</t>
    </r>
    <r>
      <rPr>
        <sz val="10"/>
        <rFont val="Times New Roman"/>
        <charset val="134"/>
      </rPr>
      <t>-</t>
    </r>
    <r>
      <rPr>
        <sz val="10"/>
        <rFont val="宋体"/>
        <charset val="134"/>
      </rPr>
      <t>股票</t>
    </r>
    <r>
      <rPr>
        <sz val="10"/>
        <rFont val="Times New Roman"/>
        <charset val="134"/>
      </rPr>
      <t>17</t>
    </r>
  </si>
  <si>
    <r>
      <rPr>
        <sz val="10"/>
        <rFont val="宋体"/>
        <charset val="134"/>
      </rPr>
      <t>公允价值计量</t>
    </r>
    <r>
      <rPr>
        <sz val="10"/>
        <rFont val="Times New Roman"/>
        <charset val="134"/>
      </rPr>
      <t>-</t>
    </r>
    <r>
      <rPr>
        <sz val="10"/>
        <rFont val="宋体"/>
        <charset val="134"/>
      </rPr>
      <t>股票</t>
    </r>
    <r>
      <rPr>
        <sz val="10"/>
        <rFont val="Times New Roman"/>
        <charset val="134"/>
      </rPr>
      <t>18</t>
    </r>
  </si>
  <si>
    <r>
      <rPr>
        <sz val="10"/>
        <rFont val="宋体"/>
        <charset val="134"/>
      </rPr>
      <t>公允价值计量</t>
    </r>
    <r>
      <rPr>
        <sz val="10"/>
        <rFont val="Times New Roman"/>
        <charset val="134"/>
      </rPr>
      <t>-</t>
    </r>
    <r>
      <rPr>
        <sz val="10"/>
        <rFont val="宋体"/>
        <charset val="134"/>
      </rPr>
      <t>股票</t>
    </r>
    <r>
      <rPr>
        <sz val="10"/>
        <rFont val="Times New Roman"/>
        <charset val="134"/>
      </rPr>
      <t>19</t>
    </r>
  </si>
  <si>
    <r>
      <rPr>
        <sz val="10"/>
        <rFont val="宋体"/>
        <charset val="134"/>
      </rPr>
      <t>公允价值计量</t>
    </r>
    <r>
      <rPr>
        <sz val="10"/>
        <rFont val="Times New Roman"/>
        <charset val="134"/>
      </rPr>
      <t>-</t>
    </r>
    <r>
      <rPr>
        <sz val="10"/>
        <rFont val="宋体"/>
        <charset val="134"/>
      </rPr>
      <t>股票</t>
    </r>
    <r>
      <rPr>
        <sz val="10"/>
        <rFont val="Times New Roman"/>
        <charset val="134"/>
      </rPr>
      <t>20</t>
    </r>
  </si>
  <si>
    <r>
      <rPr>
        <b/>
        <sz val="10"/>
        <rFont val="宋体"/>
        <charset val="134"/>
      </rPr>
      <t>合</t>
    </r>
    <r>
      <rPr>
        <b/>
        <sz val="10"/>
        <rFont val="Times New Roman"/>
        <charset val="134"/>
      </rPr>
      <t xml:space="preserve">          </t>
    </r>
    <r>
      <rPr>
        <b/>
        <sz val="10"/>
        <rFont val="宋体"/>
        <charset val="134"/>
      </rPr>
      <t>计</t>
    </r>
  </si>
  <si>
    <r>
      <rPr>
        <sz val="18"/>
        <rFont val="宋体"/>
        <charset val="134"/>
      </rPr>
      <t>以公允价值计量且其变动计入当期损益的金融资产</t>
    </r>
    <r>
      <rPr>
        <sz val="18"/>
        <rFont val="Times New Roman"/>
        <charset val="134"/>
      </rPr>
      <t>—</t>
    </r>
    <r>
      <rPr>
        <sz val="18"/>
        <rFont val="宋体"/>
        <charset val="134"/>
      </rPr>
      <t>债券投资评估明细表</t>
    </r>
  </si>
  <si>
    <r>
      <rPr>
        <b/>
        <sz val="10"/>
        <rFont val="宋体"/>
        <charset val="134"/>
      </rPr>
      <t>债券名称</t>
    </r>
  </si>
  <si>
    <r>
      <rPr>
        <b/>
        <sz val="10"/>
        <rFont val="宋体"/>
        <charset val="134"/>
      </rPr>
      <t>发行日期</t>
    </r>
  </si>
  <si>
    <r>
      <rPr>
        <b/>
        <sz val="10"/>
        <rFont val="宋体"/>
        <charset val="134"/>
      </rPr>
      <t>票面利率</t>
    </r>
    <r>
      <rPr>
        <b/>
        <sz val="10"/>
        <rFont val="Times New Roman"/>
        <charset val="134"/>
      </rPr>
      <t>%</t>
    </r>
  </si>
  <si>
    <r>
      <rPr>
        <b/>
        <sz val="10"/>
        <rFont val="宋体"/>
        <charset val="134"/>
      </rPr>
      <t>是否已计提应收利息</t>
    </r>
  </si>
  <si>
    <r>
      <rPr>
        <b/>
        <sz val="10"/>
        <rFont val="宋体"/>
        <charset val="134"/>
      </rPr>
      <t>票面成本</t>
    </r>
  </si>
  <si>
    <r>
      <rPr>
        <b/>
        <sz val="10"/>
        <rFont val="宋体"/>
        <charset val="134"/>
      </rPr>
      <t>距离基准日时间</t>
    </r>
  </si>
  <si>
    <r>
      <rPr>
        <b/>
        <sz val="10"/>
        <rFont val="宋体"/>
        <charset val="134"/>
      </rPr>
      <t>利息</t>
    </r>
  </si>
  <si>
    <r>
      <rPr>
        <sz val="10"/>
        <rFont val="宋体"/>
        <charset val="134"/>
      </rPr>
      <t>公允价值计量</t>
    </r>
    <r>
      <rPr>
        <sz val="10"/>
        <rFont val="Times New Roman"/>
        <charset val="134"/>
      </rPr>
      <t>-</t>
    </r>
    <r>
      <rPr>
        <sz val="10"/>
        <rFont val="宋体"/>
        <charset val="134"/>
      </rPr>
      <t>债券</t>
    </r>
    <r>
      <rPr>
        <sz val="10"/>
        <rFont val="Times New Roman"/>
        <charset val="134"/>
      </rPr>
      <t>01</t>
    </r>
  </si>
  <si>
    <r>
      <rPr>
        <sz val="10"/>
        <rFont val="宋体"/>
        <charset val="134"/>
      </rPr>
      <t>公允价值计量</t>
    </r>
    <r>
      <rPr>
        <sz val="10"/>
        <rFont val="Times New Roman"/>
        <charset val="134"/>
      </rPr>
      <t>-</t>
    </r>
    <r>
      <rPr>
        <sz val="10"/>
        <rFont val="宋体"/>
        <charset val="134"/>
      </rPr>
      <t>债券</t>
    </r>
    <r>
      <rPr>
        <sz val="10"/>
        <rFont val="Times New Roman"/>
        <charset val="134"/>
      </rPr>
      <t>02</t>
    </r>
  </si>
  <si>
    <r>
      <rPr>
        <sz val="10"/>
        <rFont val="宋体"/>
        <charset val="134"/>
      </rPr>
      <t>公允价值计量</t>
    </r>
    <r>
      <rPr>
        <sz val="10"/>
        <rFont val="Times New Roman"/>
        <charset val="134"/>
      </rPr>
      <t>-</t>
    </r>
    <r>
      <rPr>
        <sz val="10"/>
        <rFont val="宋体"/>
        <charset val="134"/>
      </rPr>
      <t>债券</t>
    </r>
    <r>
      <rPr>
        <sz val="10"/>
        <rFont val="Times New Roman"/>
        <charset val="134"/>
      </rPr>
      <t>03</t>
    </r>
  </si>
  <si>
    <r>
      <rPr>
        <sz val="10"/>
        <rFont val="宋体"/>
        <charset val="134"/>
      </rPr>
      <t>公允价值计量</t>
    </r>
    <r>
      <rPr>
        <sz val="10"/>
        <rFont val="Times New Roman"/>
        <charset val="134"/>
      </rPr>
      <t>-</t>
    </r>
    <r>
      <rPr>
        <sz val="10"/>
        <rFont val="宋体"/>
        <charset val="134"/>
      </rPr>
      <t>债券</t>
    </r>
    <r>
      <rPr>
        <sz val="10"/>
        <rFont val="Times New Roman"/>
        <charset val="134"/>
      </rPr>
      <t>04</t>
    </r>
  </si>
  <si>
    <r>
      <rPr>
        <sz val="10"/>
        <rFont val="宋体"/>
        <charset val="134"/>
      </rPr>
      <t>公允价值计量</t>
    </r>
    <r>
      <rPr>
        <sz val="10"/>
        <rFont val="Times New Roman"/>
        <charset val="134"/>
      </rPr>
      <t>-</t>
    </r>
    <r>
      <rPr>
        <sz val="10"/>
        <rFont val="宋体"/>
        <charset val="134"/>
      </rPr>
      <t>债券</t>
    </r>
    <r>
      <rPr>
        <sz val="10"/>
        <rFont val="Times New Roman"/>
        <charset val="134"/>
      </rPr>
      <t>05</t>
    </r>
  </si>
  <si>
    <r>
      <rPr>
        <sz val="10"/>
        <rFont val="宋体"/>
        <charset val="134"/>
      </rPr>
      <t>公允价值计量</t>
    </r>
    <r>
      <rPr>
        <sz val="10"/>
        <rFont val="Times New Roman"/>
        <charset val="134"/>
      </rPr>
      <t>-</t>
    </r>
    <r>
      <rPr>
        <sz val="10"/>
        <rFont val="宋体"/>
        <charset val="134"/>
      </rPr>
      <t>债券</t>
    </r>
    <r>
      <rPr>
        <sz val="10"/>
        <rFont val="Times New Roman"/>
        <charset val="134"/>
      </rPr>
      <t>06</t>
    </r>
  </si>
  <si>
    <r>
      <rPr>
        <sz val="10"/>
        <rFont val="宋体"/>
        <charset val="134"/>
      </rPr>
      <t>公允价值计量</t>
    </r>
    <r>
      <rPr>
        <sz val="10"/>
        <rFont val="Times New Roman"/>
        <charset val="134"/>
      </rPr>
      <t>-</t>
    </r>
    <r>
      <rPr>
        <sz val="10"/>
        <rFont val="宋体"/>
        <charset val="134"/>
      </rPr>
      <t>债券</t>
    </r>
    <r>
      <rPr>
        <sz val="10"/>
        <rFont val="Times New Roman"/>
        <charset val="134"/>
      </rPr>
      <t>07</t>
    </r>
  </si>
  <si>
    <r>
      <rPr>
        <sz val="10"/>
        <rFont val="宋体"/>
        <charset val="134"/>
      </rPr>
      <t>公允价值计量</t>
    </r>
    <r>
      <rPr>
        <sz val="10"/>
        <rFont val="Times New Roman"/>
        <charset val="134"/>
      </rPr>
      <t>-</t>
    </r>
    <r>
      <rPr>
        <sz val="10"/>
        <rFont val="宋体"/>
        <charset val="134"/>
      </rPr>
      <t>债券</t>
    </r>
    <r>
      <rPr>
        <sz val="10"/>
        <rFont val="Times New Roman"/>
        <charset val="134"/>
      </rPr>
      <t>08</t>
    </r>
  </si>
  <si>
    <r>
      <rPr>
        <sz val="10"/>
        <rFont val="宋体"/>
        <charset val="134"/>
      </rPr>
      <t>公允价值计量</t>
    </r>
    <r>
      <rPr>
        <sz val="10"/>
        <rFont val="Times New Roman"/>
        <charset val="134"/>
      </rPr>
      <t>-</t>
    </r>
    <r>
      <rPr>
        <sz val="10"/>
        <rFont val="宋体"/>
        <charset val="134"/>
      </rPr>
      <t>债券</t>
    </r>
    <r>
      <rPr>
        <sz val="10"/>
        <rFont val="Times New Roman"/>
        <charset val="134"/>
      </rPr>
      <t>09</t>
    </r>
  </si>
  <si>
    <r>
      <rPr>
        <sz val="10"/>
        <rFont val="宋体"/>
        <charset val="134"/>
      </rPr>
      <t>公允价值计量</t>
    </r>
    <r>
      <rPr>
        <sz val="10"/>
        <rFont val="Times New Roman"/>
        <charset val="134"/>
      </rPr>
      <t>-</t>
    </r>
    <r>
      <rPr>
        <sz val="10"/>
        <rFont val="宋体"/>
        <charset val="134"/>
      </rPr>
      <t>债券</t>
    </r>
    <r>
      <rPr>
        <sz val="10"/>
        <rFont val="Times New Roman"/>
        <charset val="134"/>
      </rPr>
      <t>10</t>
    </r>
  </si>
  <si>
    <r>
      <rPr>
        <sz val="10"/>
        <rFont val="宋体"/>
        <charset val="134"/>
      </rPr>
      <t>公允价值计量</t>
    </r>
    <r>
      <rPr>
        <sz val="10"/>
        <rFont val="Times New Roman"/>
        <charset val="134"/>
      </rPr>
      <t>-</t>
    </r>
    <r>
      <rPr>
        <sz val="10"/>
        <rFont val="宋体"/>
        <charset val="134"/>
      </rPr>
      <t>债券</t>
    </r>
    <r>
      <rPr>
        <sz val="10"/>
        <rFont val="Times New Roman"/>
        <charset val="134"/>
      </rPr>
      <t>11</t>
    </r>
  </si>
  <si>
    <r>
      <rPr>
        <sz val="10"/>
        <rFont val="宋体"/>
        <charset val="134"/>
      </rPr>
      <t>公允价值计量</t>
    </r>
    <r>
      <rPr>
        <sz val="10"/>
        <rFont val="Times New Roman"/>
        <charset val="134"/>
      </rPr>
      <t>-</t>
    </r>
    <r>
      <rPr>
        <sz val="10"/>
        <rFont val="宋体"/>
        <charset val="134"/>
      </rPr>
      <t>债券</t>
    </r>
    <r>
      <rPr>
        <sz val="10"/>
        <rFont val="Times New Roman"/>
        <charset val="134"/>
      </rPr>
      <t>12</t>
    </r>
  </si>
  <si>
    <r>
      <rPr>
        <sz val="10"/>
        <rFont val="宋体"/>
        <charset val="134"/>
      </rPr>
      <t>公允价值计量</t>
    </r>
    <r>
      <rPr>
        <sz val="10"/>
        <rFont val="Times New Roman"/>
        <charset val="134"/>
      </rPr>
      <t>-</t>
    </r>
    <r>
      <rPr>
        <sz val="10"/>
        <rFont val="宋体"/>
        <charset val="134"/>
      </rPr>
      <t>债券</t>
    </r>
    <r>
      <rPr>
        <sz val="10"/>
        <rFont val="Times New Roman"/>
        <charset val="134"/>
      </rPr>
      <t>13</t>
    </r>
  </si>
  <si>
    <r>
      <rPr>
        <sz val="10"/>
        <rFont val="宋体"/>
        <charset val="134"/>
      </rPr>
      <t>公允价值计量</t>
    </r>
    <r>
      <rPr>
        <sz val="10"/>
        <rFont val="Times New Roman"/>
        <charset val="134"/>
      </rPr>
      <t>-</t>
    </r>
    <r>
      <rPr>
        <sz val="10"/>
        <rFont val="宋体"/>
        <charset val="134"/>
      </rPr>
      <t>债券</t>
    </r>
    <r>
      <rPr>
        <sz val="10"/>
        <rFont val="Times New Roman"/>
        <charset val="134"/>
      </rPr>
      <t>14</t>
    </r>
  </si>
  <si>
    <r>
      <rPr>
        <sz val="10"/>
        <rFont val="宋体"/>
        <charset val="134"/>
      </rPr>
      <t>公允价值计量</t>
    </r>
    <r>
      <rPr>
        <sz val="10"/>
        <rFont val="Times New Roman"/>
        <charset val="134"/>
      </rPr>
      <t>-</t>
    </r>
    <r>
      <rPr>
        <sz val="10"/>
        <rFont val="宋体"/>
        <charset val="134"/>
      </rPr>
      <t>债券</t>
    </r>
    <r>
      <rPr>
        <sz val="10"/>
        <rFont val="Times New Roman"/>
        <charset val="134"/>
      </rPr>
      <t>15</t>
    </r>
  </si>
  <si>
    <r>
      <rPr>
        <sz val="10"/>
        <rFont val="宋体"/>
        <charset val="134"/>
      </rPr>
      <t>公允价值计量</t>
    </r>
    <r>
      <rPr>
        <sz val="10"/>
        <rFont val="Times New Roman"/>
        <charset val="134"/>
      </rPr>
      <t>-</t>
    </r>
    <r>
      <rPr>
        <sz val="10"/>
        <rFont val="宋体"/>
        <charset val="134"/>
      </rPr>
      <t>债券</t>
    </r>
    <r>
      <rPr>
        <sz val="10"/>
        <rFont val="Times New Roman"/>
        <charset val="134"/>
      </rPr>
      <t>16</t>
    </r>
  </si>
  <si>
    <r>
      <rPr>
        <sz val="10"/>
        <rFont val="宋体"/>
        <charset val="134"/>
      </rPr>
      <t>公允价值计量</t>
    </r>
    <r>
      <rPr>
        <sz val="10"/>
        <rFont val="Times New Roman"/>
        <charset val="134"/>
      </rPr>
      <t>-</t>
    </r>
    <r>
      <rPr>
        <sz val="10"/>
        <rFont val="宋体"/>
        <charset val="134"/>
      </rPr>
      <t>债券</t>
    </r>
    <r>
      <rPr>
        <sz val="10"/>
        <rFont val="Times New Roman"/>
        <charset val="134"/>
      </rPr>
      <t>17</t>
    </r>
  </si>
  <si>
    <r>
      <rPr>
        <sz val="10"/>
        <rFont val="宋体"/>
        <charset val="134"/>
      </rPr>
      <t>公允价值计量</t>
    </r>
    <r>
      <rPr>
        <sz val="10"/>
        <rFont val="Times New Roman"/>
        <charset val="134"/>
      </rPr>
      <t>-</t>
    </r>
    <r>
      <rPr>
        <sz val="10"/>
        <rFont val="宋体"/>
        <charset val="134"/>
      </rPr>
      <t>债券</t>
    </r>
    <r>
      <rPr>
        <sz val="10"/>
        <rFont val="Times New Roman"/>
        <charset val="134"/>
      </rPr>
      <t>18</t>
    </r>
  </si>
  <si>
    <r>
      <rPr>
        <sz val="10"/>
        <rFont val="宋体"/>
        <charset val="134"/>
      </rPr>
      <t>公允价值计量</t>
    </r>
    <r>
      <rPr>
        <sz val="10"/>
        <rFont val="Times New Roman"/>
        <charset val="134"/>
      </rPr>
      <t>-</t>
    </r>
    <r>
      <rPr>
        <sz val="10"/>
        <rFont val="宋体"/>
        <charset val="134"/>
      </rPr>
      <t>债券</t>
    </r>
    <r>
      <rPr>
        <sz val="10"/>
        <rFont val="Times New Roman"/>
        <charset val="134"/>
      </rPr>
      <t>19</t>
    </r>
  </si>
  <si>
    <r>
      <rPr>
        <sz val="10"/>
        <rFont val="宋体"/>
        <charset val="134"/>
      </rPr>
      <t>公允价值计量</t>
    </r>
    <r>
      <rPr>
        <sz val="10"/>
        <rFont val="Times New Roman"/>
        <charset val="134"/>
      </rPr>
      <t>-</t>
    </r>
    <r>
      <rPr>
        <sz val="10"/>
        <rFont val="宋体"/>
        <charset val="134"/>
      </rPr>
      <t>债券</t>
    </r>
    <r>
      <rPr>
        <sz val="10"/>
        <rFont val="Times New Roman"/>
        <charset val="134"/>
      </rPr>
      <t>20</t>
    </r>
  </si>
  <si>
    <r>
      <rPr>
        <sz val="18"/>
        <rFont val="宋体"/>
        <charset val="134"/>
      </rPr>
      <t>以公允价值计量且其变动计入当期损益的金融资产</t>
    </r>
    <r>
      <rPr>
        <sz val="18"/>
        <rFont val="Times New Roman"/>
        <charset val="134"/>
      </rPr>
      <t>—</t>
    </r>
    <r>
      <rPr>
        <sz val="18"/>
        <rFont val="宋体"/>
        <charset val="134"/>
      </rPr>
      <t>基金投资评估明细表</t>
    </r>
  </si>
  <si>
    <r>
      <rPr>
        <b/>
        <sz val="10"/>
        <rFont val="宋体"/>
        <charset val="134"/>
      </rPr>
      <t>基金发行单位</t>
    </r>
  </si>
  <si>
    <r>
      <rPr>
        <b/>
        <sz val="10"/>
        <rFont val="宋体"/>
        <charset val="134"/>
      </rPr>
      <t>基金名称</t>
    </r>
  </si>
  <si>
    <r>
      <rPr>
        <b/>
        <sz val="10"/>
        <rFont val="宋体"/>
        <charset val="134"/>
      </rPr>
      <t>基金类型</t>
    </r>
  </si>
  <si>
    <r>
      <rPr>
        <b/>
        <sz val="10"/>
        <rFont val="宋体"/>
        <charset val="134"/>
      </rPr>
      <t>基准日净值</t>
    </r>
    <r>
      <rPr>
        <b/>
        <sz val="10"/>
        <rFont val="Times New Roman"/>
        <charset val="134"/>
      </rPr>
      <t>/</t>
    </r>
    <r>
      <rPr>
        <b/>
        <sz val="10"/>
        <rFont val="宋体"/>
        <charset val="134"/>
      </rPr>
      <t>份</t>
    </r>
  </si>
  <si>
    <r>
      <rPr>
        <b/>
        <sz val="10"/>
        <rFont val="宋体"/>
        <charset val="134"/>
      </rPr>
      <t>持有份额</t>
    </r>
  </si>
  <si>
    <r>
      <rPr>
        <sz val="10"/>
        <rFont val="宋体"/>
        <charset val="134"/>
      </rPr>
      <t>公允价值计量</t>
    </r>
    <r>
      <rPr>
        <sz val="10"/>
        <rFont val="Times New Roman"/>
        <charset val="134"/>
      </rPr>
      <t>-</t>
    </r>
    <r>
      <rPr>
        <sz val="10"/>
        <rFont val="宋体"/>
        <charset val="134"/>
      </rPr>
      <t>基金</t>
    </r>
    <r>
      <rPr>
        <sz val="10"/>
        <rFont val="Times New Roman"/>
        <charset val="134"/>
      </rPr>
      <t>01</t>
    </r>
  </si>
  <si>
    <r>
      <rPr>
        <sz val="10"/>
        <rFont val="宋体"/>
        <charset val="134"/>
      </rPr>
      <t>公允价值计量</t>
    </r>
    <r>
      <rPr>
        <sz val="10"/>
        <rFont val="Times New Roman"/>
        <charset val="134"/>
      </rPr>
      <t>-</t>
    </r>
    <r>
      <rPr>
        <sz val="10"/>
        <rFont val="宋体"/>
        <charset val="134"/>
      </rPr>
      <t>基金</t>
    </r>
    <r>
      <rPr>
        <sz val="10"/>
        <rFont val="Times New Roman"/>
        <charset val="134"/>
      </rPr>
      <t>02</t>
    </r>
  </si>
  <si>
    <r>
      <rPr>
        <sz val="10"/>
        <rFont val="宋体"/>
        <charset val="134"/>
      </rPr>
      <t>公允价值计量</t>
    </r>
    <r>
      <rPr>
        <sz val="10"/>
        <rFont val="Times New Roman"/>
        <charset val="134"/>
      </rPr>
      <t>-</t>
    </r>
    <r>
      <rPr>
        <sz val="10"/>
        <rFont val="宋体"/>
        <charset val="134"/>
      </rPr>
      <t>基金</t>
    </r>
    <r>
      <rPr>
        <sz val="10"/>
        <rFont val="Times New Roman"/>
        <charset val="134"/>
      </rPr>
      <t>03</t>
    </r>
  </si>
  <si>
    <r>
      <rPr>
        <sz val="10"/>
        <rFont val="宋体"/>
        <charset val="134"/>
      </rPr>
      <t>公允价值计量</t>
    </r>
    <r>
      <rPr>
        <sz val="10"/>
        <rFont val="Times New Roman"/>
        <charset val="134"/>
      </rPr>
      <t>-</t>
    </r>
    <r>
      <rPr>
        <sz val="10"/>
        <rFont val="宋体"/>
        <charset val="134"/>
      </rPr>
      <t>基金</t>
    </r>
    <r>
      <rPr>
        <sz val="10"/>
        <rFont val="Times New Roman"/>
        <charset val="134"/>
      </rPr>
      <t>04</t>
    </r>
  </si>
  <si>
    <r>
      <rPr>
        <sz val="10"/>
        <rFont val="宋体"/>
        <charset val="134"/>
      </rPr>
      <t>公允价值计量</t>
    </r>
    <r>
      <rPr>
        <sz val="10"/>
        <rFont val="Times New Roman"/>
        <charset val="134"/>
      </rPr>
      <t>-</t>
    </r>
    <r>
      <rPr>
        <sz val="10"/>
        <rFont val="宋体"/>
        <charset val="134"/>
      </rPr>
      <t>基金</t>
    </r>
    <r>
      <rPr>
        <sz val="10"/>
        <rFont val="Times New Roman"/>
        <charset val="134"/>
      </rPr>
      <t>05</t>
    </r>
  </si>
  <si>
    <r>
      <rPr>
        <sz val="10"/>
        <rFont val="宋体"/>
        <charset val="134"/>
      </rPr>
      <t>公允价值计量</t>
    </r>
    <r>
      <rPr>
        <sz val="10"/>
        <rFont val="Times New Roman"/>
        <charset val="134"/>
      </rPr>
      <t>-</t>
    </r>
    <r>
      <rPr>
        <sz val="10"/>
        <rFont val="宋体"/>
        <charset val="134"/>
      </rPr>
      <t>基金</t>
    </r>
    <r>
      <rPr>
        <sz val="10"/>
        <rFont val="Times New Roman"/>
        <charset val="134"/>
      </rPr>
      <t>06</t>
    </r>
  </si>
  <si>
    <r>
      <rPr>
        <sz val="10"/>
        <rFont val="宋体"/>
        <charset val="134"/>
      </rPr>
      <t>公允价值计量</t>
    </r>
    <r>
      <rPr>
        <sz val="10"/>
        <rFont val="Times New Roman"/>
        <charset val="134"/>
      </rPr>
      <t>-</t>
    </r>
    <r>
      <rPr>
        <sz val="10"/>
        <rFont val="宋体"/>
        <charset val="134"/>
      </rPr>
      <t>基金</t>
    </r>
    <r>
      <rPr>
        <sz val="10"/>
        <rFont val="Times New Roman"/>
        <charset val="134"/>
      </rPr>
      <t>07</t>
    </r>
  </si>
  <si>
    <r>
      <rPr>
        <sz val="10"/>
        <rFont val="宋体"/>
        <charset val="134"/>
      </rPr>
      <t>公允价值计量</t>
    </r>
    <r>
      <rPr>
        <sz val="10"/>
        <rFont val="Times New Roman"/>
        <charset val="134"/>
      </rPr>
      <t>-</t>
    </r>
    <r>
      <rPr>
        <sz val="10"/>
        <rFont val="宋体"/>
        <charset val="134"/>
      </rPr>
      <t>基金</t>
    </r>
    <r>
      <rPr>
        <sz val="10"/>
        <rFont val="Times New Roman"/>
        <charset val="134"/>
      </rPr>
      <t>08</t>
    </r>
  </si>
  <si>
    <r>
      <rPr>
        <sz val="10"/>
        <rFont val="宋体"/>
        <charset val="134"/>
      </rPr>
      <t>公允价值计量</t>
    </r>
    <r>
      <rPr>
        <sz val="10"/>
        <rFont val="Times New Roman"/>
        <charset val="134"/>
      </rPr>
      <t>-</t>
    </r>
    <r>
      <rPr>
        <sz val="10"/>
        <rFont val="宋体"/>
        <charset val="134"/>
      </rPr>
      <t>基金</t>
    </r>
    <r>
      <rPr>
        <sz val="10"/>
        <rFont val="Times New Roman"/>
        <charset val="134"/>
      </rPr>
      <t>09</t>
    </r>
  </si>
  <si>
    <r>
      <rPr>
        <sz val="10"/>
        <rFont val="宋体"/>
        <charset val="134"/>
      </rPr>
      <t>公允价值计量</t>
    </r>
    <r>
      <rPr>
        <sz val="10"/>
        <rFont val="Times New Roman"/>
        <charset val="134"/>
      </rPr>
      <t>-</t>
    </r>
    <r>
      <rPr>
        <sz val="10"/>
        <rFont val="宋体"/>
        <charset val="134"/>
      </rPr>
      <t>基金</t>
    </r>
    <r>
      <rPr>
        <sz val="10"/>
        <rFont val="Times New Roman"/>
        <charset val="134"/>
      </rPr>
      <t>10</t>
    </r>
  </si>
  <si>
    <r>
      <rPr>
        <sz val="10"/>
        <rFont val="宋体"/>
        <charset val="134"/>
      </rPr>
      <t>公允价值计量</t>
    </r>
    <r>
      <rPr>
        <sz val="10"/>
        <rFont val="Times New Roman"/>
        <charset val="134"/>
      </rPr>
      <t>-</t>
    </r>
    <r>
      <rPr>
        <sz val="10"/>
        <rFont val="宋体"/>
        <charset val="134"/>
      </rPr>
      <t>基金</t>
    </r>
    <r>
      <rPr>
        <sz val="10"/>
        <rFont val="Times New Roman"/>
        <charset val="134"/>
      </rPr>
      <t>11</t>
    </r>
  </si>
  <si>
    <r>
      <rPr>
        <sz val="10"/>
        <rFont val="宋体"/>
        <charset val="134"/>
      </rPr>
      <t>公允价值计量</t>
    </r>
    <r>
      <rPr>
        <sz val="10"/>
        <rFont val="Times New Roman"/>
        <charset val="134"/>
      </rPr>
      <t>-</t>
    </r>
    <r>
      <rPr>
        <sz val="10"/>
        <rFont val="宋体"/>
        <charset val="134"/>
      </rPr>
      <t>基金</t>
    </r>
    <r>
      <rPr>
        <sz val="10"/>
        <rFont val="Times New Roman"/>
        <charset val="134"/>
      </rPr>
      <t>12</t>
    </r>
  </si>
  <si>
    <r>
      <rPr>
        <sz val="10"/>
        <rFont val="宋体"/>
        <charset val="134"/>
      </rPr>
      <t>公允价值计量</t>
    </r>
    <r>
      <rPr>
        <sz val="10"/>
        <rFont val="Times New Roman"/>
        <charset val="134"/>
      </rPr>
      <t>-</t>
    </r>
    <r>
      <rPr>
        <sz val="10"/>
        <rFont val="宋体"/>
        <charset val="134"/>
      </rPr>
      <t>基金</t>
    </r>
    <r>
      <rPr>
        <sz val="10"/>
        <rFont val="Times New Roman"/>
        <charset val="134"/>
      </rPr>
      <t>13</t>
    </r>
  </si>
  <si>
    <r>
      <rPr>
        <sz val="10"/>
        <rFont val="宋体"/>
        <charset val="134"/>
      </rPr>
      <t>公允价值计量</t>
    </r>
    <r>
      <rPr>
        <sz val="10"/>
        <rFont val="Times New Roman"/>
        <charset val="134"/>
      </rPr>
      <t>-</t>
    </r>
    <r>
      <rPr>
        <sz val="10"/>
        <rFont val="宋体"/>
        <charset val="134"/>
      </rPr>
      <t>基金</t>
    </r>
    <r>
      <rPr>
        <sz val="10"/>
        <rFont val="Times New Roman"/>
        <charset val="134"/>
      </rPr>
      <t>14</t>
    </r>
  </si>
  <si>
    <r>
      <rPr>
        <sz val="10"/>
        <rFont val="宋体"/>
        <charset val="134"/>
      </rPr>
      <t>公允价值计量</t>
    </r>
    <r>
      <rPr>
        <sz val="10"/>
        <rFont val="Times New Roman"/>
        <charset val="134"/>
      </rPr>
      <t>-</t>
    </r>
    <r>
      <rPr>
        <sz val="10"/>
        <rFont val="宋体"/>
        <charset val="134"/>
      </rPr>
      <t>基金</t>
    </r>
    <r>
      <rPr>
        <sz val="10"/>
        <rFont val="Times New Roman"/>
        <charset val="134"/>
      </rPr>
      <t>15</t>
    </r>
  </si>
  <si>
    <r>
      <rPr>
        <sz val="10"/>
        <rFont val="宋体"/>
        <charset val="134"/>
      </rPr>
      <t>公允价值计量</t>
    </r>
    <r>
      <rPr>
        <sz val="10"/>
        <rFont val="Times New Roman"/>
        <charset val="134"/>
      </rPr>
      <t>-</t>
    </r>
    <r>
      <rPr>
        <sz val="10"/>
        <rFont val="宋体"/>
        <charset val="134"/>
      </rPr>
      <t>基金</t>
    </r>
    <r>
      <rPr>
        <sz val="10"/>
        <rFont val="Times New Roman"/>
        <charset val="134"/>
      </rPr>
      <t>16</t>
    </r>
  </si>
  <si>
    <r>
      <rPr>
        <sz val="10"/>
        <rFont val="宋体"/>
        <charset val="134"/>
      </rPr>
      <t>公允价值计量</t>
    </r>
    <r>
      <rPr>
        <sz val="10"/>
        <rFont val="Times New Roman"/>
        <charset val="134"/>
      </rPr>
      <t>-</t>
    </r>
    <r>
      <rPr>
        <sz val="10"/>
        <rFont val="宋体"/>
        <charset val="134"/>
      </rPr>
      <t>基金</t>
    </r>
    <r>
      <rPr>
        <sz val="10"/>
        <rFont val="Times New Roman"/>
        <charset val="134"/>
      </rPr>
      <t>17</t>
    </r>
  </si>
  <si>
    <r>
      <rPr>
        <sz val="10"/>
        <rFont val="宋体"/>
        <charset val="134"/>
      </rPr>
      <t>公允价值计量</t>
    </r>
    <r>
      <rPr>
        <sz val="10"/>
        <rFont val="Times New Roman"/>
        <charset val="134"/>
      </rPr>
      <t>-</t>
    </r>
    <r>
      <rPr>
        <sz val="10"/>
        <rFont val="宋体"/>
        <charset val="134"/>
      </rPr>
      <t>基金</t>
    </r>
    <r>
      <rPr>
        <sz val="10"/>
        <rFont val="Times New Roman"/>
        <charset val="134"/>
      </rPr>
      <t>18</t>
    </r>
  </si>
  <si>
    <r>
      <rPr>
        <sz val="10"/>
        <rFont val="宋体"/>
        <charset val="134"/>
      </rPr>
      <t>公允价值计量</t>
    </r>
    <r>
      <rPr>
        <sz val="10"/>
        <rFont val="Times New Roman"/>
        <charset val="134"/>
      </rPr>
      <t>-</t>
    </r>
    <r>
      <rPr>
        <sz val="10"/>
        <rFont val="宋体"/>
        <charset val="134"/>
      </rPr>
      <t>基金</t>
    </r>
    <r>
      <rPr>
        <sz val="10"/>
        <rFont val="Times New Roman"/>
        <charset val="134"/>
      </rPr>
      <t>19</t>
    </r>
  </si>
  <si>
    <r>
      <rPr>
        <sz val="10"/>
        <rFont val="宋体"/>
        <charset val="134"/>
      </rPr>
      <t>公允价值计量</t>
    </r>
    <r>
      <rPr>
        <sz val="10"/>
        <rFont val="Times New Roman"/>
        <charset val="134"/>
      </rPr>
      <t>-</t>
    </r>
    <r>
      <rPr>
        <sz val="10"/>
        <rFont val="宋体"/>
        <charset val="134"/>
      </rPr>
      <t>基金</t>
    </r>
    <r>
      <rPr>
        <sz val="10"/>
        <rFont val="Times New Roman"/>
        <charset val="134"/>
      </rPr>
      <t>20</t>
    </r>
  </si>
  <si>
    <t>开放式</t>
  </si>
  <si>
    <t>封闭式</t>
  </si>
  <si>
    <t>交易性金融资产评估汇总表</t>
  </si>
  <si>
    <r>
      <rPr>
        <sz val="10"/>
        <rFont val="宋体"/>
        <charset val="134"/>
      </rPr>
      <t>交易性</t>
    </r>
    <r>
      <rPr>
        <sz val="10"/>
        <rFont val="Times New Roman"/>
        <charset val="134"/>
      </rPr>
      <t>-</t>
    </r>
    <r>
      <rPr>
        <sz val="10"/>
        <rFont val="宋体"/>
        <charset val="134"/>
      </rPr>
      <t>股票投资</t>
    </r>
  </si>
  <si>
    <r>
      <rPr>
        <sz val="10"/>
        <rFont val="宋体"/>
        <charset val="134"/>
      </rPr>
      <t>交易性</t>
    </r>
    <r>
      <rPr>
        <sz val="10"/>
        <rFont val="Times New Roman"/>
        <charset val="134"/>
      </rPr>
      <t>-</t>
    </r>
    <r>
      <rPr>
        <sz val="10"/>
        <rFont val="宋体"/>
        <charset val="134"/>
      </rPr>
      <t>债券投资</t>
    </r>
  </si>
  <si>
    <r>
      <rPr>
        <sz val="10"/>
        <rFont val="宋体"/>
        <charset val="134"/>
      </rPr>
      <t>交易性</t>
    </r>
    <r>
      <rPr>
        <sz val="10"/>
        <rFont val="Times New Roman"/>
        <charset val="134"/>
      </rPr>
      <t>-</t>
    </r>
    <r>
      <rPr>
        <sz val="10"/>
        <rFont val="宋体"/>
        <charset val="134"/>
      </rPr>
      <t>基金投资</t>
    </r>
  </si>
  <si>
    <r>
      <rPr>
        <b/>
        <sz val="10"/>
        <rFont val="宋体"/>
        <charset val="134"/>
      </rPr>
      <t>交易性金融资产合计</t>
    </r>
  </si>
  <si>
    <r>
      <rPr>
        <sz val="18"/>
        <rFont val="宋体"/>
        <charset val="134"/>
      </rPr>
      <t>交易性金融资产</t>
    </r>
    <r>
      <rPr>
        <sz val="18"/>
        <rFont val="Times New Roman"/>
        <charset val="134"/>
      </rPr>
      <t>—</t>
    </r>
    <r>
      <rPr>
        <sz val="18"/>
        <rFont val="宋体"/>
        <charset val="134"/>
      </rPr>
      <t>股票投资评估明细表</t>
    </r>
  </si>
  <si>
    <r>
      <rPr>
        <sz val="10"/>
        <rFont val="宋体"/>
        <charset val="134"/>
      </rPr>
      <t>交易性</t>
    </r>
    <r>
      <rPr>
        <sz val="10"/>
        <rFont val="Times New Roman"/>
        <charset val="134"/>
      </rPr>
      <t>-</t>
    </r>
    <r>
      <rPr>
        <sz val="10"/>
        <rFont val="宋体"/>
        <charset val="134"/>
      </rPr>
      <t>股票</t>
    </r>
    <r>
      <rPr>
        <sz val="10"/>
        <rFont val="Times New Roman"/>
        <charset val="134"/>
      </rPr>
      <t>01</t>
    </r>
  </si>
  <si>
    <r>
      <rPr>
        <sz val="10"/>
        <rFont val="宋体"/>
        <charset val="134"/>
      </rPr>
      <t>交易性</t>
    </r>
    <r>
      <rPr>
        <sz val="10"/>
        <rFont val="Times New Roman"/>
        <charset val="134"/>
      </rPr>
      <t>-</t>
    </r>
    <r>
      <rPr>
        <sz val="10"/>
        <rFont val="宋体"/>
        <charset val="134"/>
      </rPr>
      <t>股票</t>
    </r>
    <r>
      <rPr>
        <sz val="10"/>
        <rFont val="Times New Roman"/>
        <charset val="134"/>
      </rPr>
      <t>02</t>
    </r>
  </si>
  <si>
    <r>
      <rPr>
        <sz val="10"/>
        <rFont val="宋体"/>
        <charset val="134"/>
      </rPr>
      <t>交易性</t>
    </r>
    <r>
      <rPr>
        <sz val="10"/>
        <rFont val="Times New Roman"/>
        <charset val="134"/>
      </rPr>
      <t>-</t>
    </r>
    <r>
      <rPr>
        <sz val="10"/>
        <rFont val="宋体"/>
        <charset val="134"/>
      </rPr>
      <t>股票</t>
    </r>
    <r>
      <rPr>
        <sz val="10"/>
        <rFont val="Times New Roman"/>
        <charset val="134"/>
      </rPr>
      <t>03</t>
    </r>
  </si>
  <si>
    <r>
      <rPr>
        <sz val="10"/>
        <rFont val="宋体"/>
        <charset val="134"/>
      </rPr>
      <t>交易性</t>
    </r>
    <r>
      <rPr>
        <sz val="10"/>
        <rFont val="Times New Roman"/>
        <charset val="134"/>
      </rPr>
      <t>-</t>
    </r>
    <r>
      <rPr>
        <sz val="10"/>
        <rFont val="宋体"/>
        <charset val="134"/>
      </rPr>
      <t>股票</t>
    </r>
    <r>
      <rPr>
        <sz val="10"/>
        <rFont val="Times New Roman"/>
        <charset val="134"/>
      </rPr>
      <t>04</t>
    </r>
  </si>
  <si>
    <r>
      <rPr>
        <sz val="10"/>
        <rFont val="宋体"/>
        <charset val="134"/>
      </rPr>
      <t>交易性</t>
    </r>
    <r>
      <rPr>
        <sz val="10"/>
        <rFont val="Times New Roman"/>
        <charset val="134"/>
      </rPr>
      <t>-</t>
    </r>
    <r>
      <rPr>
        <sz val="10"/>
        <rFont val="宋体"/>
        <charset val="134"/>
      </rPr>
      <t>股票</t>
    </r>
    <r>
      <rPr>
        <sz val="10"/>
        <rFont val="Times New Roman"/>
        <charset val="134"/>
      </rPr>
      <t>05</t>
    </r>
  </si>
  <si>
    <r>
      <rPr>
        <sz val="10"/>
        <rFont val="宋体"/>
        <charset val="134"/>
      </rPr>
      <t>交易性</t>
    </r>
    <r>
      <rPr>
        <sz val="10"/>
        <rFont val="Times New Roman"/>
        <charset val="134"/>
      </rPr>
      <t>-</t>
    </r>
    <r>
      <rPr>
        <sz val="10"/>
        <rFont val="宋体"/>
        <charset val="134"/>
      </rPr>
      <t>股票</t>
    </r>
    <r>
      <rPr>
        <sz val="10"/>
        <rFont val="Times New Roman"/>
        <charset val="134"/>
      </rPr>
      <t>06</t>
    </r>
  </si>
  <si>
    <r>
      <rPr>
        <sz val="10"/>
        <rFont val="宋体"/>
        <charset val="134"/>
      </rPr>
      <t>交易性</t>
    </r>
    <r>
      <rPr>
        <sz val="10"/>
        <rFont val="Times New Roman"/>
        <charset val="134"/>
      </rPr>
      <t>-</t>
    </r>
    <r>
      <rPr>
        <sz val="10"/>
        <rFont val="宋体"/>
        <charset val="134"/>
      </rPr>
      <t>股票</t>
    </r>
    <r>
      <rPr>
        <sz val="10"/>
        <rFont val="Times New Roman"/>
        <charset val="134"/>
      </rPr>
      <t>07</t>
    </r>
  </si>
  <si>
    <r>
      <rPr>
        <sz val="10"/>
        <rFont val="宋体"/>
        <charset val="134"/>
      </rPr>
      <t>交易性</t>
    </r>
    <r>
      <rPr>
        <sz val="10"/>
        <rFont val="Times New Roman"/>
        <charset val="134"/>
      </rPr>
      <t>-</t>
    </r>
    <r>
      <rPr>
        <sz val="10"/>
        <rFont val="宋体"/>
        <charset val="134"/>
      </rPr>
      <t>股票</t>
    </r>
    <r>
      <rPr>
        <sz val="10"/>
        <rFont val="Times New Roman"/>
        <charset val="134"/>
      </rPr>
      <t>08</t>
    </r>
  </si>
  <si>
    <r>
      <rPr>
        <sz val="10"/>
        <rFont val="宋体"/>
        <charset val="134"/>
      </rPr>
      <t>交易性</t>
    </r>
    <r>
      <rPr>
        <sz val="10"/>
        <rFont val="Times New Roman"/>
        <charset val="134"/>
      </rPr>
      <t>-</t>
    </r>
    <r>
      <rPr>
        <sz val="10"/>
        <rFont val="宋体"/>
        <charset val="134"/>
      </rPr>
      <t>股票</t>
    </r>
    <r>
      <rPr>
        <sz val="10"/>
        <rFont val="Times New Roman"/>
        <charset val="134"/>
      </rPr>
      <t>09</t>
    </r>
  </si>
  <si>
    <r>
      <rPr>
        <sz val="10"/>
        <rFont val="宋体"/>
        <charset val="134"/>
      </rPr>
      <t>交易性</t>
    </r>
    <r>
      <rPr>
        <sz val="10"/>
        <rFont val="Times New Roman"/>
        <charset val="134"/>
      </rPr>
      <t>-</t>
    </r>
    <r>
      <rPr>
        <sz val="10"/>
        <rFont val="宋体"/>
        <charset val="134"/>
      </rPr>
      <t>股票</t>
    </r>
    <r>
      <rPr>
        <sz val="10"/>
        <rFont val="Times New Roman"/>
        <charset val="134"/>
      </rPr>
      <t>10</t>
    </r>
  </si>
  <si>
    <r>
      <rPr>
        <sz val="10"/>
        <rFont val="宋体"/>
        <charset val="134"/>
      </rPr>
      <t>交易性</t>
    </r>
    <r>
      <rPr>
        <sz val="10"/>
        <rFont val="Times New Roman"/>
        <charset val="134"/>
      </rPr>
      <t>-</t>
    </r>
    <r>
      <rPr>
        <sz val="10"/>
        <rFont val="宋体"/>
        <charset val="134"/>
      </rPr>
      <t>股票</t>
    </r>
    <r>
      <rPr>
        <sz val="10"/>
        <rFont val="Times New Roman"/>
        <charset val="134"/>
      </rPr>
      <t>11</t>
    </r>
  </si>
  <si>
    <r>
      <rPr>
        <sz val="10"/>
        <rFont val="宋体"/>
        <charset val="134"/>
      </rPr>
      <t>交易性</t>
    </r>
    <r>
      <rPr>
        <sz val="10"/>
        <rFont val="Times New Roman"/>
        <charset val="134"/>
      </rPr>
      <t>-</t>
    </r>
    <r>
      <rPr>
        <sz val="10"/>
        <rFont val="宋体"/>
        <charset val="134"/>
      </rPr>
      <t>股票</t>
    </r>
    <r>
      <rPr>
        <sz val="10"/>
        <rFont val="Times New Roman"/>
        <charset val="134"/>
      </rPr>
      <t>12</t>
    </r>
  </si>
  <si>
    <r>
      <rPr>
        <sz val="10"/>
        <rFont val="宋体"/>
        <charset val="134"/>
      </rPr>
      <t>交易性</t>
    </r>
    <r>
      <rPr>
        <sz val="10"/>
        <rFont val="Times New Roman"/>
        <charset val="134"/>
      </rPr>
      <t>-</t>
    </r>
    <r>
      <rPr>
        <sz val="10"/>
        <rFont val="宋体"/>
        <charset val="134"/>
      </rPr>
      <t>股票</t>
    </r>
    <r>
      <rPr>
        <sz val="10"/>
        <rFont val="Times New Roman"/>
        <charset val="134"/>
      </rPr>
      <t>13</t>
    </r>
  </si>
  <si>
    <r>
      <rPr>
        <sz val="10"/>
        <rFont val="宋体"/>
        <charset val="134"/>
      </rPr>
      <t>交易性</t>
    </r>
    <r>
      <rPr>
        <sz val="10"/>
        <rFont val="Times New Roman"/>
        <charset val="134"/>
      </rPr>
      <t>-</t>
    </r>
    <r>
      <rPr>
        <sz val="10"/>
        <rFont val="宋体"/>
        <charset val="134"/>
      </rPr>
      <t>股票</t>
    </r>
    <r>
      <rPr>
        <sz val="10"/>
        <rFont val="Times New Roman"/>
        <charset val="134"/>
      </rPr>
      <t>14</t>
    </r>
  </si>
  <si>
    <r>
      <rPr>
        <sz val="10"/>
        <rFont val="宋体"/>
        <charset val="134"/>
      </rPr>
      <t>交易性</t>
    </r>
    <r>
      <rPr>
        <sz val="10"/>
        <rFont val="Times New Roman"/>
        <charset val="134"/>
      </rPr>
      <t>-</t>
    </r>
    <r>
      <rPr>
        <sz val="10"/>
        <rFont val="宋体"/>
        <charset val="134"/>
      </rPr>
      <t>股票</t>
    </r>
    <r>
      <rPr>
        <sz val="10"/>
        <rFont val="Times New Roman"/>
        <charset val="134"/>
      </rPr>
      <t>15</t>
    </r>
  </si>
  <si>
    <r>
      <rPr>
        <sz val="10"/>
        <rFont val="宋体"/>
        <charset val="134"/>
      </rPr>
      <t>交易性</t>
    </r>
    <r>
      <rPr>
        <sz val="10"/>
        <rFont val="Times New Roman"/>
        <charset val="134"/>
      </rPr>
      <t>-</t>
    </r>
    <r>
      <rPr>
        <sz val="10"/>
        <rFont val="宋体"/>
        <charset val="134"/>
      </rPr>
      <t>股票</t>
    </r>
    <r>
      <rPr>
        <sz val="10"/>
        <rFont val="Times New Roman"/>
        <charset val="134"/>
      </rPr>
      <t>16</t>
    </r>
  </si>
  <si>
    <r>
      <rPr>
        <sz val="10"/>
        <rFont val="宋体"/>
        <charset val="134"/>
      </rPr>
      <t>交易性</t>
    </r>
    <r>
      <rPr>
        <sz val="10"/>
        <rFont val="Times New Roman"/>
        <charset val="134"/>
      </rPr>
      <t>-</t>
    </r>
    <r>
      <rPr>
        <sz val="10"/>
        <rFont val="宋体"/>
        <charset val="134"/>
      </rPr>
      <t>股票</t>
    </r>
    <r>
      <rPr>
        <sz val="10"/>
        <rFont val="Times New Roman"/>
        <charset val="134"/>
      </rPr>
      <t>17</t>
    </r>
  </si>
  <si>
    <r>
      <rPr>
        <sz val="10"/>
        <rFont val="宋体"/>
        <charset val="134"/>
      </rPr>
      <t>交易性</t>
    </r>
    <r>
      <rPr>
        <sz val="10"/>
        <rFont val="Times New Roman"/>
        <charset val="134"/>
      </rPr>
      <t>-</t>
    </r>
    <r>
      <rPr>
        <sz val="10"/>
        <rFont val="宋体"/>
        <charset val="134"/>
      </rPr>
      <t>股票</t>
    </r>
    <r>
      <rPr>
        <sz val="10"/>
        <rFont val="Times New Roman"/>
        <charset val="134"/>
      </rPr>
      <t>18</t>
    </r>
  </si>
  <si>
    <r>
      <rPr>
        <sz val="10"/>
        <rFont val="宋体"/>
        <charset val="134"/>
      </rPr>
      <t>交易性</t>
    </r>
    <r>
      <rPr>
        <sz val="10"/>
        <rFont val="Times New Roman"/>
        <charset val="134"/>
      </rPr>
      <t>-</t>
    </r>
    <r>
      <rPr>
        <sz val="10"/>
        <rFont val="宋体"/>
        <charset val="134"/>
      </rPr>
      <t>股票</t>
    </r>
    <r>
      <rPr>
        <sz val="10"/>
        <rFont val="Times New Roman"/>
        <charset val="134"/>
      </rPr>
      <t>19</t>
    </r>
  </si>
  <si>
    <r>
      <rPr>
        <sz val="10"/>
        <rFont val="宋体"/>
        <charset val="134"/>
      </rPr>
      <t>交易性</t>
    </r>
    <r>
      <rPr>
        <sz val="10"/>
        <rFont val="Times New Roman"/>
        <charset val="134"/>
      </rPr>
      <t>-</t>
    </r>
    <r>
      <rPr>
        <sz val="10"/>
        <rFont val="宋体"/>
        <charset val="134"/>
      </rPr>
      <t>股票</t>
    </r>
    <r>
      <rPr>
        <sz val="10"/>
        <rFont val="Times New Roman"/>
        <charset val="134"/>
      </rPr>
      <t>20</t>
    </r>
  </si>
  <si>
    <r>
      <rPr>
        <sz val="18"/>
        <rFont val="宋体"/>
        <charset val="134"/>
      </rPr>
      <t>交易性金融资产</t>
    </r>
    <r>
      <rPr>
        <sz val="18"/>
        <rFont val="Times New Roman"/>
        <charset val="134"/>
      </rPr>
      <t>—</t>
    </r>
    <r>
      <rPr>
        <sz val="18"/>
        <rFont val="宋体"/>
        <charset val="134"/>
      </rPr>
      <t>债券投资评估明细表</t>
    </r>
  </si>
  <si>
    <r>
      <rPr>
        <sz val="10"/>
        <rFont val="宋体"/>
        <charset val="134"/>
      </rPr>
      <t>交易性</t>
    </r>
    <r>
      <rPr>
        <sz val="10"/>
        <rFont val="Times New Roman"/>
        <charset val="134"/>
      </rPr>
      <t>-</t>
    </r>
    <r>
      <rPr>
        <sz val="10"/>
        <rFont val="宋体"/>
        <charset val="134"/>
      </rPr>
      <t>债券</t>
    </r>
    <r>
      <rPr>
        <sz val="10"/>
        <rFont val="Times New Roman"/>
        <charset val="134"/>
      </rPr>
      <t>01</t>
    </r>
  </si>
  <si>
    <r>
      <rPr>
        <sz val="10"/>
        <rFont val="宋体"/>
        <charset val="134"/>
      </rPr>
      <t>交易性</t>
    </r>
    <r>
      <rPr>
        <sz val="10"/>
        <rFont val="Times New Roman"/>
        <charset val="134"/>
      </rPr>
      <t>-</t>
    </r>
    <r>
      <rPr>
        <sz val="10"/>
        <rFont val="宋体"/>
        <charset val="134"/>
      </rPr>
      <t>债券</t>
    </r>
    <r>
      <rPr>
        <sz val="10"/>
        <rFont val="Times New Roman"/>
        <charset val="134"/>
      </rPr>
      <t>02</t>
    </r>
  </si>
  <si>
    <r>
      <rPr>
        <sz val="10"/>
        <rFont val="宋体"/>
        <charset val="134"/>
      </rPr>
      <t>交易性</t>
    </r>
    <r>
      <rPr>
        <sz val="10"/>
        <rFont val="Times New Roman"/>
        <charset val="134"/>
      </rPr>
      <t>-</t>
    </r>
    <r>
      <rPr>
        <sz val="10"/>
        <rFont val="宋体"/>
        <charset val="134"/>
      </rPr>
      <t>债券</t>
    </r>
    <r>
      <rPr>
        <sz val="10"/>
        <rFont val="Times New Roman"/>
        <charset val="134"/>
      </rPr>
      <t>03</t>
    </r>
  </si>
  <si>
    <r>
      <rPr>
        <sz val="10"/>
        <rFont val="宋体"/>
        <charset val="134"/>
      </rPr>
      <t>交易性</t>
    </r>
    <r>
      <rPr>
        <sz val="10"/>
        <rFont val="Times New Roman"/>
        <charset val="134"/>
      </rPr>
      <t>-</t>
    </r>
    <r>
      <rPr>
        <sz val="10"/>
        <rFont val="宋体"/>
        <charset val="134"/>
      </rPr>
      <t>债券</t>
    </r>
    <r>
      <rPr>
        <sz val="10"/>
        <rFont val="Times New Roman"/>
        <charset val="134"/>
      </rPr>
      <t>04</t>
    </r>
  </si>
  <si>
    <r>
      <rPr>
        <sz val="10"/>
        <rFont val="宋体"/>
        <charset val="134"/>
      </rPr>
      <t>交易性</t>
    </r>
    <r>
      <rPr>
        <sz val="10"/>
        <rFont val="Times New Roman"/>
        <charset val="134"/>
      </rPr>
      <t>-</t>
    </r>
    <r>
      <rPr>
        <sz val="10"/>
        <rFont val="宋体"/>
        <charset val="134"/>
      </rPr>
      <t>债券</t>
    </r>
    <r>
      <rPr>
        <sz val="10"/>
        <rFont val="Times New Roman"/>
        <charset val="134"/>
      </rPr>
      <t>05</t>
    </r>
  </si>
  <si>
    <r>
      <rPr>
        <sz val="10"/>
        <rFont val="宋体"/>
        <charset val="134"/>
      </rPr>
      <t>交易性</t>
    </r>
    <r>
      <rPr>
        <sz val="10"/>
        <rFont val="Times New Roman"/>
        <charset val="134"/>
      </rPr>
      <t>-</t>
    </r>
    <r>
      <rPr>
        <sz val="10"/>
        <rFont val="宋体"/>
        <charset val="134"/>
      </rPr>
      <t>债券</t>
    </r>
    <r>
      <rPr>
        <sz val="10"/>
        <rFont val="Times New Roman"/>
        <charset val="134"/>
      </rPr>
      <t>06</t>
    </r>
  </si>
  <si>
    <r>
      <rPr>
        <sz val="10"/>
        <rFont val="宋体"/>
        <charset val="134"/>
      </rPr>
      <t>交易性</t>
    </r>
    <r>
      <rPr>
        <sz val="10"/>
        <rFont val="Times New Roman"/>
        <charset val="134"/>
      </rPr>
      <t>-</t>
    </r>
    <r>
      <rPr>
        <sz val="10"/>
        <rFont val="宋体"/>
        <charset val="134"/>
      </rPr>
      <t>债券</t>
    </r>
    <r>
      <rPr>
        <sz val="10"/>
        <rFont val="Times New Roman"/>
        <charset val="134"/>
      </rPr>
      <t>07</t>
    </r>
  </si>
  <si>
    <r>
      <rPr>
        <sz val="10"/>
        <rFont val="宋体"/>
        <charset val="134"/>
      </rPr>
      <t>交易性</t>
    </r>
    <r>
      <rPr>
        <sz val="10"/>
        <rFont val="Times New Roman"/>
        <charset val="134"/>
      </rPr>
      <t>-</t>
    </r>
    <r>
      <rPr>
        <sz val="10"/>
        <rFont val="宋体"/>
        <charset val="134"/>
      </rPr>
      <t>债券</t>
    </r>
    <r>
      <rPr>
        <sz val="10"/>
        <rFont val="Times New Roman"/>
        <charset val="134"/>
      </rPr>
      <t>08</t>
    </r>
  </si>
  <si>
    <r>
      <rPr>
        <sz val="10"/>
        <rFont val="宋体"/>
        <charset val="134"/>
      </rPr>
      <t>交易性</t>
    </r>
    <r>
      <rPr>
        <sz val="10"/>
        <rFont val="Times New Roman"/>
        <charset val="134"/>
      </rPr>
      <t>-</t>
    </r>
    <r>
      <rPr>
        <sz val="10"/>
        <rFont val="宋体"/>
        <charset val="134"/>
      </rPr>
      <t>债券</t>
    </r>
    <r>
      <rPr>
        <sz val="10"/>
        <rFont val="Times New Roman"/>
        <charset val="134"/>
      </rPr>
      <t>09</t>
    </r>
  </si>
  <si>
    <r>
      <rPr>
        <sz val="10"/>
        <rFont val="宋体"/>
        <charset val="134"/>
      </rPr>
      <t>交易性</t>
    </r>
    <r>
      <rPr>
        <sz val="10"/>
        <rFont val="Times New Roman"/>
        <charset val="134"/>
      </rPr>
      <t>-</t>
    </r>
    <r>
      <rPr>
        <sz val="10"/>
        <rFont val="宋体"/>
        <charset val="134"/>
      </rPr>
      <t>债券</t>
    </r>
    <r>
      <rPr>
        <sz val="10"/>
        <rFont val="Times New Roman"/>
        <charset val="134"/>
      </rPr>
      <t>10</t>
    </r>
  </si>
  <si>
    <r>
      <rPr>
        <sz val="10"/>
        <rFont val="宋体"/>
        <charset val="134"/>
      </rPr>
      <t>交易性</t>
    </r>
    <r>
      <rPr>
        <sz val="10"/>
        <rFont val="Times New Roman"/>
        <charset val="134"/>
      </rPr>
      <t>-</t>
    </r>
    <r>
      <rPr>
        <sz val="10"/>
        <rFont val="宋体"/>
        <charset val="134"/>
      </rPr>
      <t>债券</t>
    </r>
    <r>
      <rPr>
        <sz val="10"/>
        <rFont val="Times New Roman"/>
        <charset val="134"/>
      </rPr>
      <t>11</t>
    </r>
  </si>
  <si>
    <r>
      <rPr>
        <sz val="10"/>
        <rFont val="宋体"/>
        <charset val="134"/>
      </rPr>
      <t>交易性</t>
    </r>
    <r>
      <rPr>
        <sz val="10"/>
        <rFont val="Times New Roman"/>
        <charset val="134"/>
      </rPr>
      <t>-</t>
    </r>
    <r>
      <rPr>
        <sz val="10"/>
        <rFont val="宋体"/>
        <charset val="134"/>
      </rPr>
      <t>债券</t>
    </r>
    <r>
      <rPr>
        <sz val="10"/>
        <rFont val="Times New Roman"/>
        <charset val="134"/>
      </rPr>
      <t>12</t>
    </r>
  </si>
  <si>
    <r>
      <rPr>
        <sz val="10"/>
        <rFont val="宋体"/>
        <charset val="134"/>
      </rPr>
      <t>交易性</t>
    </r>
    <r>
      <rPr>
        <sz val="10"/>
        <rFont val="Times New Roman"/>
        <charset val="134"/>
      </rPr>
      <t>-</t>
    </r>
    <r>
      <rPr>
        <sz val="10"/>
        <rFont val="宋体"/>
        <charset val="134"/>
      </rPr>
      <t>债券</t>
    </r>
    <r>
      <rPr>
        <sz val="10"/>
        <rFont val="Times New Roman"/>
        <charset val="134"/>
      </rPr>
      <t>13</t>
    </r>
  </si>
  <si>
    <r>
      <rPr>
        <sz val="10"/>
        <rFont val="宋体"/>
        <charset val="134"/>
      </rPr>
      <t>交易性</t>
    </r>
    <r>
      <rPr>
        <sz val="10"/>
        <rFont val="Times New Roman"/>
        <charset val="134"/>
      </rPr>
      <t>-</t>
    </r>
    <r>
      <rPr>
        <sz val="10"/>
        <rFont val="宋体"/>
        <charset val="134"/>
      </rPr>
      <t>债券</t>
    </r>
    <r>
      <rPr>
        <sz val="10"/>
        <rFont val="Times New Roman"/>
        <charset val="134"/>
      </rPr>
      <t>14</t>
    </r>
  </si>
  <si>
    <r>
      <rPr>
        <sz val="10"/>
        <rFont val="宋体"/>
        <charset val="134"/>
      </rPr>
      <t>交易性</t>
    </r>
    <r>
      <rPr>
        <sz val="10"/>
        <rFont val="Times New Roman"/>
        <charset val="134"/>
      </rPr>
      <t>-</t>
    </r>
    <r>
      <rPr>
        <sz val="10"/>
        <rFont val="宋体"/>
        <charset val="134"/>
      </rPr>
      <t>债券</t>
    </r>
    <r>
      <rPr>
        <sz val="10"/>
        <rFont val="Times New Roman"/>
        <charset val="134"/>
      </rPr>
      <t>15</t>
    </r>
  </si>
  <si>
    <r>
      <rPr>
        <sz val="10"/>
        <rFont val="宋体"/>
        <charset val="134"/>
      </rPr>
      <t>交易性</t>
    </r>
    <r>
      <rPr>
        <sz val="10"/>
        <rFont val="Times New Roman"/>
        <charset val="134"/>
      </rPr>
      <t>-</t>
    </r>
    <r>
      <rPr>
        <sz val="10"/>
        <rFont val="宋体"/>
        <charset val="134"/>
      </rPr>
      <t>债券</t>
    </r>
    <r>
      <rPr>
        <sz val="10"/>
        <rFont val="Times New Roman"/>
        <charset val="134"/>
      </rPr>
      <t>16</t>
    </r>
  </si>
  <si>
    <r>
      <rPr>
        <sz val="10"/>
        <rFont val="宋体"/>
        <charset val="134"/>
      </rPr>
      <t>交易性</t>
    </r>
    <r>
      <rPr>
        <sz val="10"/>
        <rFont val="Times New Roman"/>
        <charset val="134"/>
      </rPr>
      <t>-</t>
    </r>
    <r>
      <rPr>
        <sz val="10"/>
        <rFont val="宋体"/>
        <charset val="134"/>
      </rPr>
      <t>债券</t>
    </r>
    <r>
      <rPr>
        <sz val="10"/>
        <rFont val="Times New Roman"/>
        <charset val="134"/>
      </rPr>
      <t>17</t>
    </r>
  </si>
  <si>
    <r>
      <rPr>
        <sz val="10"/>
        <rFont val="宋体"/>
        <charset val="134"/>
      </rPr>
      <t>交易性</t>
    </r>
    <r>
      <rPr>
        <sz val="10"/>
        <rFont val="Times New Roman"/>
        <charset val="134"/>
      </rPr>
      <t>-</t>
    </r>
    <r>
      <rPr>
        <sz val="10"/>
        <rFont val="宋体"/>
        <charset val="134"/>
      </rPr>
      <t>债券</t>
    </r>
    <r>
      <rPr>
        <sz val="10"/>
        <rFont val="Times New Roman"/>
        <charset val="134"/>
      </rPr>
      <t>18</t>
    </r>
  </si>
  <si>
    <r>
      <rPr>
        <sz val="10"/>
        <rFont val="宋体"/>
        <charset val="134"/>
      </rPr>
      <t>交易性</t>
    </r>
    <r>
      <rPr>
        <sz val="10"/>
        <rFont val="Times New Roman"/>
        <charset val="134"/>
      </rPr>
      <t>-</t>
    </r>
    <r>
      <rPr>
        <sz val="10"/>
        <rFont val="宋体"/>
        <charset val="134"/>
      </rPr>
      <t>债券</t>
    </r>
    <r>
      <rPr>
        <sz val="10"/>
        <rFont val="Times New Roman"/>
        <charset val="134"/>
      </rPr>
      <t>19</t>
    </r>
  </si>
  <si>
    <r>
      <rPr>
        <sz val="10"/>
        <rFont val="宋体"/>
        <charset val="134"/>
      </rPr>
      <t>交易性</t>
    </r>
    <r>
      <rPr>
        <sz val="10"/>
        <rFont val="Times New Roman"/>
        <charset val="134"/>
      </rPr>
      <t>-</t>
    </r>
    <r>
      <rPr>
        <sz val="10"/>
        <rFont val="宋体"/>
        <charset val="134"/>
      </rPr>
      <t>债券</t>
    </r>
    <r>
      <rPr>
        <sz val="10"/>
        <rFont val="Times New Roman"/>
        <charset val="134"/>
      </rPr>
      <t>20</t>
    </r>
  </si>
  <si>
    <r>
      <rPr>
        <sz val="18"/>
        <rFont val="宋体"/>
        <charset val="134"/>
      </rPr>
      <t>交易性金融资产</t>
    </r>
    <r>
      <rPr>
        <sz val="18"/>
        <rFont val="Times New Roman"/>
        <charset val="134"/>
      </rPr>
      <t>—</t>
    </r>
    <r>
      <rPr>
        <sz val="18"/>
        <rFont val="宋体"/>
        <charset val="134"/>
      </rPr>
      <t>基金投资评估明细表</t>
    </r>
  </si>
  <si>
    <r>
      <rPr>
        <sz val="10"/>
        <rFont val="宋体"/>
        <charset val="134"/>
      </rPr>
      <t>交易性</t>
    </r>
    <r>
      <rPr>
        <sz val="10"/>
        <rFont val="Times New Roman"/>
        <charset val="134"/>
      </rPr>
      <t>-</t>
    </r>
    <r>
      <rPr>
        <sz val="10"/>
        <rFont val="宋体"/>
        <charset val="134"/>
      </rPr>
      <t>基金</t>
    </r>
    <r>
      <rPr>
        <sz val="10"/>
        <rFont val="Times New Roman"/>
        <charset val="134"/>
      </rPr>
      <t>01</t>
    </r>
  </si>
  <si>
    <r>
      <rPr>
        <sz val="10"/>
        <rFont val="宋体"/>
        <charset val="134"/>
      </rPr>
      <t>交易性</t>
    </r>
    <r>
      <rPr>
        <sz val="10"/>
        <rFont val="Times New Roman"/>
        <charset val="134"/>
      </rPr>
      <t>-</t>
    </r>
    <r>
      <rPr>
        <sz val="10"/>
        <rFont val="宋体"/>
        <charset val="134"/>
      </rPr>
      <t>基金</t>
    </r>
    <r>
      <rPr>
        <sz val="10"/>
        <rFont val="Times New Roman"/>
        <charset val="134"/>
      </rPr>
      <t>02</t>
    </r>
  </si>
  <si>
    <r>
      <rPr>
        <sz val="10"/>
        <rFont val="宋体"/>
        <charset val="134"/>
      </rPr>
      <t>交易性</t>
    </r>
    <r>
      <rPr>
        <sz val="10"/>
        <rFont val="Times New Roman"/>
        <charset val="134"/>
      </rPr>
      <t>-</t>
    </r>
    <r>
      <rPr>
        <sz val="10"/>
        <rFont val="宋体"/>
        <charset val="134"/>
      </rPr>
      <t>基金</t>
    </r>
    <r>
      <rPr>
        <sz val="10"/>
        <rFont val="Times New Roman"/>
        <charset val="134"/>
      </rPr>
      <t>03</t>
    </r>
  </si>
  <si>
    <r>
      <rPr>
        <sz val="10"/>
        <rFont val="宋体"/>
        <charset val="134"/>
      </rPr>
      <t>交易性</t>
    </r>
    <r>
      <rPr>
        <sz val="10"/>
        <rFont val="Times New Roman"/>
        <charset val="134"/>
      </rPr>
      <t>-</t>
    </r>
    <r>
      <rPr>
        <sz val="10"/>
        <rFont val="宋体"/>
        <charset val="134"/>
      </rPr>
      <t>基金</t>
    </r>
    <r>
      <rPr>
        <sz val="10"/>
        <rFont val="Times New Roman"/>
        <charset val="134"/>
      </rPr>
      <t>04</t>
    </r>
  </si>
  <si>
    <r>
      <rPr>
        <sz val="10"/>
        <rFont val="宋体"/>
        <charset val="134"/>
      </rPr>
      <t>交易性</t>
    </r>
    <r>
      <rPr>
        <sz val="10"/>
        <rFont val="Times New Roman"/>
        <charset val="134"/>
      </rPr>
      <t>-</t>
    </r>
    <r>
      <rPr>
        <sz val="10"/>
        <rFont val="宋体"/>
        <charset val="134"/>
      </rPr>
      <t>基金</t>
    </r>
    <r>
      <rPr>
        <sz val="10"/>
        <rFont val="Times New Roman"/>
        <charset val="134"/>
      </rPr>
      <t>05</t>
    </r>
  </si>
  <si>
    <r>
      <rPr>
        <sz val="10"/>
        <rFont val="宋体"/>
        <charset val="134"/>
      </rPr>
      <t>交易性</t>
    </r>
    <r>
      <rPr>
        <sz val="10"/>
        <rFont val="Times New Roman"/>
        <charset val="134"/>
      </rPr>
      <t>-</t>
    </r>
    <r>
      <rPr>
        <sz val="10"/>
        <rFont val="宋体"/>
        <charset val="134"/>
      </rPr>
      <t>基金</t>
    </r>
    <r>
      <rPr>
        <sz val="10"/>
        <rFont val="Times New Roman"/>
        <charset val="134"/>
      </rPr>
      <t>06</t>
    </r>
  </si>
  <si>
    <r>
      <rPr>
        <sz val="10"/>
        <rFont val="宋体"/>
        <charset val="134"/>
      </rPr>
      <t>交易性</t>
    </r>
    <r>
      <rPr>
        <sz val="10"/>
        <rFont val="Times New Roman"/>
        <charset val="134"/>
      </rPr>
      <t>-</t>
    </r>
    <r>
      <rPr>
        <sz val="10"/>
        <rFont val="宋体"/>
        <charset val="134"/>
      </rPr>
      <t>基金</t>
    </r>
    <r>
      <rPr>
        <sz val="10"/>
        <rFont val="Times New Roman"/>
        <charset val="134"/>
      </rPr>
      <t>07</t>
    </r>
  </si>
  <si>
    <r>
      <rPr>
        <sz val="10"/>
        <rFont val="宋体"/>
        <charset val="134"/>
      </rPr>
      <t>交易性</t>
    </r>
    <r>
      <rPr>
        <sz val="10"/>
        <rFont val="Times New Roman"/>
        <charset val="134"/>
      </rPr>
      <t>-</t>
    </r>
    <r>
      <rPr>
        <sz val="10"/>
        <rFont val="宋体"/>
        <charset val="134"/>
      </rPr>
      <t>基金</t>
    </r>
    <r>
      <rPr>
        <sz val="10"/>
        <rFont val="Times New Roman"/>
        <charset val="134"/>
      </rPr>
      <t>08</t>
    </r>
  </si>
  <si>
    <r>
      <rPr>
        <sz val="10"/>
        <rFont val="宋体"/>
        <charset val="134"/>
      </rPr>
      <t>交易性</t>
    </r>
    <r>
      <rPr>
        <sz val="10"/>
        <rFont val="Times New Roman"/>
        <charset val="134"/>
      </rPr>
      <t>-</t>
    </r>
    <r>
      <rPr>
        <sz val="10"/>
        <rFont val="宋体"/>
        <charset val="134"/>
      </rPr>
      <t>基金</t>
    </r>
    <r>
      <rPr>
        <sz val="10"/>
        <rFont val="Times New Roman"/>
        <charset val="134"/>
      </rPr>
      <t>09</t>
    </r>
  </si>
  <si>
    <r>
      <rPr>
        <sz val="10"/>
        <rFont val="宋体"/>
        <charset val="134"/>
      </rPr>
      <t>交易性</t>
    </r>
    <r>
      <rPr>
        <sz val="10"/>
        <rFont val="Times New Roman"/>
        <charset val="134"/>
      </rPr>
      <t>-</t>
    </r>
    <r>
      <rPr>
        <sz val="10"/>
        <rFont val="宋体"/>
        <charset val="134"/>
      </rPr>
      <t>基金</t>
    </r>
    <r>
      <rPr>
        <sz val="10"/>
        <rFont val="Times New Roman"/>
        <charset val="134"/>
      </rPr>
      <t>10</t>
    </r>
  </si>
  <si>
    <r>
      <rPr>
        <sz val="10"/>
        <rFont val="宋体"/>
        <charset val="134"/>
      </rPr>
      <t>交易性</t>
    </r>
    <r>
      <rPr>
        <sz val="10"/>
        <rFont val="Times New Roman"/>
        <charset val="134"/>
      </rPr>
      <t>-</t>
    </r>
    <r>
      <rPr>
        <sz val="10"/>
        <rFont val="宋体"/>
        <charset val="134"/>
      </rPr>
      <t>基金</t>
    </r>
    <r>
      <rPr>
        <sz val="10"/>
        <rFont val="Times New Roman"/>
        <charset val="134"/>
      </rPr>
      <t>11</t>
    </r>
  </si>
  <si>
    <r>
      <rPr>
        <sz val="10"/>
        <rFont val="宋体"/>
        <charset val="134"/>
      </rPr>
      <t>交易性</t>
    </r>
    <r>
      <rPr>
        <sz val="10"/>
        <rFont val="Times New Roman"/>
        <charset val="134"/>
      </rPr>
      <t>-</t>
    </r>
    <r>
      <rPr>
        <sz val="10"/>
        <rFont val="宋体"/>
        <charset val="134"/>
      </rPr>
      <t>基金</t>
    </r>
    <r>
      <rPr>
        <sz val="10"/>
        <rFont val="Times New Roman"/>
        <charset val="134"/>
      </rPr>
      <t>12</t>
    </r>
  </si>
  <si>
    <r>
      <rPr>
        <sz val="10"/>
        <rFont val="宋体"/>
        <charset val="134"/>
      </rPr>
      <t>交易性</t>
    </r>
    <r>
      <rPr>
        <sz val="10"/>
        <rFont val="Times New Roman"/>
        <charset val="134"/>
      </rPr>
      <t>-</t>
    </r>
    <r>
      <rPr>
        <sz val="10"/>
        <rFont val="宋体"/>
        <charset val="134"/>
      </rPr>
      <t>基金</t>
    </r>
    <r>
      <rPr>
        <sz val="10"/>
        <rFont val="Times New Roman"/>
        <charset val="134"/>
      </rPr>
      <t>13</t>
    </r>
  </si>
  <si>
    <r>
      <rPr>
        <sz val="10"/>
        <rFont val="宋体"/>
        <charset val="134"/>
      </rPr>
      <t>交易性</t>
    </r>
    <r>
      <rPr>
        <sz val="10"/>
        <rFont val="Times New Roman"/>
        <charset val="134"/>
      </rPr>
      <t>-</t>
    </r>
    <r>
      <rPr>
        <sz val="10"/>
        <rFont val="宋体"/>
        <charset val="134"/>
      </rPr>
      <t>基金</t>
    </r>
    <r>
      <rPr>
        <sz val="10"/>
        <rFont val="Times New Roman"/>
        <charset val="134"/>
      </rPr>
      <t>14</t>
    </r>
  </si>
  <si>
    <r>
      <rPr>
        <sz val="10"/>
        <rFont val="宋体"/>
        <charset val="134"/>
      </rPr>
      <t>交易性</t>
    </r>
    <r>
      <rPr>
        <sz val="10"/>
        <rFont val="Times New Roman"/>
        <charset val="134"/>
      </rPr>
      <t>-</t>
    </r>
    <r>
      <rPr>
        <sz val="10"/>
        <rFont val="宋体"/>
        <charset val="134"/>
      </rPr>
      <t>基金</t>
    </r>
    <r>
      <rPr>
        <sz val="10"/>
        <rFont val="Times New Roman"/>
        <charset val="134"/>
      </rPr>
      <t>15</t>
    </r>
  </si>
  <si>
    <r>
      <rPr>
        <sz val="10"/>
        <rFont val="宋体"/>
        <charset val="134"/>
      </rPr>
      <t>交易性</t>
    </r>
    <r>
      <rPr>
        <sz val="10"/>
        <rFont val="Times New Roman"/>
        <charset val="134"/>
      </rPr>
      <t>-</t>
    </r>
    <r>
      <rPr>
        <sz val="10"/>
        <rFont val="宋体"/>
        <charset val="134"/>
      </rPr>
      <t>基金</t>
    </r>
    <r>
      <rPr>
        <sz val="10"/>
        <rFont val="Times New Roman"/>
        <charset val="134"/>
      </rPr>
      <t>16</t>
    </r>
  </si>
  <si>
    <r>
      <rPr>
        <sz val="10"/>
        <rFont val="宋体"/>
        <charset val="134"/>
      </rPr>
      <t>交易性</t>
    </r>
    <r>
      <rPr>
        <sz val="10"/>
        <rFont val="Times New Roman"/>
        <charset val="134"/>
      </rPr>
      <t>-</t>
    </r>
    <r>
      <rPr>
        <sz val="10"/>
        <rFont val="宋体"/>
        <charset val="134"/>
      </rPr>
      <t>基金</t>
    </r>
    <r>
      <rPr>
        <sz val="10"/>
        <rFont val="Times New Roman"/>
        <charset val="134"/>
      </rPr>
      <t>17</t>
    </r>
  </si>
  <si>
    <r>
      <rPr>
        <sz val="10"/>
        <rFont val="宋体"/>
        <charset val="134"/>
      </rPr>
      <t>交易性</t>
    </r>
    <r>
      <rPr>
        <sz val="10"/>
        <rFont val="Times New Roman"/>
        <charset val="134"/>
      </rPr>
      <t>-</t>
    </r>
    <r>
      <rPr>
        <sz val="10"/>
        <rFont val="宋体"/>
        <charset val="134"/>
      </rPr>
      <t>基金</t>
    </r>
    <r>
      <rPr>
        <sz val="10"/>
        <rFont val="Times New Roman"/>
        <charset val="134"/>
      </rPr>
      <t>18</t>
    </r>
  </si>
  <si>
    <r>
      <rPr>
        <sz val="10"/>
        <rFont val="宋体"/>
        <charset val="134"/>
      </rPr>
      <t>交易性</t>
    </r>
    <r>
      <rPr>
        <sz val="10"/>
        <rFont val="Times New Roman"/>
        <charset val="134"/>
      </rPr>
      <t>-</t>
    </r>
    <r>
      <rPr>
        <sz val="10"/>
        <rFont val="宋体"/>
        <charset val="134"/>
      </rPr>
      <t>基金</t>
    </r>
    <r>
      <rPr>
        <sz val="10"/>
        <rFont val="Times New Roman"/>
        <charset val="134"/>
      </rPr>
      <t>19</t>
    </r>
  </si>
  <si>
    <r>
      <rPr>
        <sz val="10"/>
        <rFont val="宋体"/>
        <charset val="134"/>
      </rPr>
      <t>交易性</t>
    </r>
    <r>
      <rPr>
        <sz val="10"/>
        <rFont val="Times New Roman"/>
        <charset val="134"/>
      </rPr>
      <t>-</t>
    </r>
    <r>
      <rPr>
        <sz val="10"/>
        <rFont val="宋体"/>
        <charset val="134"/>
      </rPr>
      <t>基金</t>
    </r>
    <r>
      <rPr>
        <sz val="10"/>
        <rFont val="Times New Roman"/>
        <charset val="134"/>
      </rPr>
      <t>20</t>
    </r>
  </si>
  <si>
    <r>
      <rPr>
        <sz val="18"/>
        <rFont val="宋体"/>
        <charset val="134"/>
      </rPr>
      <t>衍生金融资产评估明细表</t>
    </r>
  </si>
  <si>
    <r>
      <rPr>
        <b/>
        <sz val="10"/>
        <rFont val="宋体"/>
        <charset val="134"/>
      </rPr>
      <t>户名（结算对象</t>
    </r>
    <r>
      <rPr>
        <b/>
        <sz val="10"/>
        <rFont val="Times New Roman"/>
        <charset val="134"/>
      </rPr>
      <t>)</t>
    </r>
  </si>
  <si>
    <r>
      <rPr>
        <b/>
        <sz val="10"/>
        <rFont val="宋体"/>
        <charset val="134"/>
      </rPr>
      <t>业务内容</t>
    </r>
  </si>
  <si>
    <r>
      <rPr>
        <b/>
        <sz val="10"/>
        <rFont val="宋体"/>
        <charset val="134"/>
      </rPr>
      <t>到期日期</t>
    </r>
  </si>
  <si>
    <r>
      <rPr>
        <b/>
        <sz val="10"/>
        <rFont val="宋体"/>
        <charset val="134"/>
      </rPr>
      <t>年化收益率</t>
    </r>
    <r>
      <rPr>
        <b/>
        <sz val="10"/>
        <rFont val="Times New Roman"/>
        <charset val="134"/>
      </rPr>
      <t>%</t>
    </r>
  </si>
  <si>
    <r>
      <rPr>
        <b/>
        <sz val="10"/>
        <color indexed="10"/>
        <rFont val="宋体"/>
        <charset val="134"/>
      </rPr>
      <t>审计前账面值</t>
    </r>
  </si>
  <si>
    <r>
      <rPr>
        <sz val="10"/>
        <rFont val="宋体"/>
        <charset val="134"/>
      </rPr>
      <t>衍生金融资产</t>
    </r>
    <r>
      <rPr>
        <sz val="10"/>
        <rFont val="Times New Roman"/>
        <charset val="134"/>
      </rPr>
      <t>01</t>
    </r>
  </si>
  <si>
    <r>
      <rPr>
        <sz val="10"/>
        <rFont val="宋体"/>
        <charset val="134"/>
      </rPr>
      <t>衍生金融资产</t>
    </r>
    <r>
      <rPr>
        <sz val="10"/>
        <rFont val="Times New Roman"/>
        <charset val="134"/>
      </rPr>
      <t>02</t>
    </r>
  </si>
  <si>
    <r>
      <rPr>
        <sz val="10"/>
        <rFont val="宋体"/>
        <charset val="134"/>
      </rPr>
      <t>衍生金融资产</t>
    </r>
    <r>
      <rPr>
        <sz val="10"/>
        <rFont val="Times New Roman"/>
        <charset val="134"/>
      </rPr>
      <t>03</t>
    </r>
  </si>
  <si>
    <r>
      <rPr>
        <sz val="10"/>
        <rFont val="宋体"/>
        <charset val="134"/>
      </rPr>
      <t>衍生金融资产</t>
    </r>
    <r>
      <rPr>
        <sz val="10"/>
        <rFont val="Times New Roman"/>
        <charset val="134"/>
      </rPr>
      <t>04</t>
    </r>
  </si>
  <si>
    <r>
      <rPr>
        <sz val="10"/>
        <rFont val="宋体"/>
        <charset val="134"/>
      </rPr>
      <t>衍生金融资产</t>
    </r>
    <r>
      <rPr>
        <sz val="10"/>
        <rFont val="Times New Roman"/>
        <charset val="134"/>
      </rPr>
      <t>05</t>
    </r>
  </si>
  <si>
    <r>
      <rPr>
        <sz val="10"/>
        <rFont val="宋体"/>
        <charset val="134"/>
      </rPr>
      <t>衍生金融资产</t>
    </r>
    <r>
      <rPr>
        <sz val="10"/>
        <rFont val="Times New Roman"/>
        <charset val="134"/>
      </rPr>
      <t>06</t>
    </r>
  </si>
  <si>
    <r>
      <rPr>
        <sz val="10"/>
        <rFont val="宋体"/>
        <charset val="134"/>
      </rPr>
      <t>衍生金融资产</t>
    </r>
    <r>
      <rPr>
        <sz val="10"/>
        <rFont val="Times New Roman"/>
        <charset val="134"/>
      </rPr>
      <t>07</t>
    </r>
  </si>
  <si>
    <r>
      <rPr>
        <sz val="10"/>
        <rFont val="宋体"/>
        <charset val="134"/>
      </rPr>
      <t>衍生金融资产</t>
    </r>
    <r>
      <rPr>
        <sz val="10"/>
        <rFont val="Times New Roman"/>
        <charset val="134"/>
      </rPr>
      <t>08</t>
    </r>
  </si>
  <si>
    <r>
      <rPr>
        <sz val="10"/>
        <rFont val="宋体"/>
        <charset val="134"/>
      </rPr>
      <t>衍生金融资产</t>
    </r>
    <r>
      <rPr>
        <sz val="10"/>
        <rFont val="Times New Roman"/>
        <charset val="134"/>
      </rPr>
      <t>09</t>
    </r>
  </si>
  <si>
    <r>
      <rPr>
        <sz val="10"/>
        <rFont val="宋体"/>
        <charset val="134"/>
      </rPr>
      <t>衍生金融资产</t>
    </r>
    <r>
      <rPr>
        <sz val="10"/>
        <rFont val="Times New Roman"/>
        <charset val="134"/>
      </rPr>
      <t>10</t>
    </r>
  </si>
  <si>
    <r>
      <rPr>
        <sz val="10"/>
        <rFont val="宋体"/>
        <charset val="134"/>
      </rPr>
      <t>衍生金融资产</t>
    </r>
    <r>
      <rPr>
        <sz val="10"/>
        <rFont val="Times New Roman"/>
        <charset val="134"/>
      </rPr>
      <t>11</t>
    </r>
  </si>
  <si>
    <r>
      <rPr>
        <sz val="10"/>
        <rFont val="宋体"/>
        <charset val="134"/>
      </rPr>
      <t>衍生金融资产</t>
    </r>
    <r>
      <rPr>
        <sz val="10"/>
        <rFont val="Times New Roman"/>
        <charset val="134"/>
      </rPr>
      <t>12</t>
    </r>
  </si>
  <si>
    <r>
      <rPr>
        <sz val="10"/>
        <rFont val="宋体"/>
        <charset val="134"/>
      </rPr>
      <t>衍生金融资产</t>
    </r>
    <r>
      <rPr>
        <sz val="10"/>
        <rFont val="Times New Roman"/>
        <charset val="134"/>
      </rPr>
      <t>13</t>
    </r>
  </si>
  <si>
    <r>
      <rPr>
        <sz val="10"/>
        <rFont val="宋体"/>
        <charset val="134"/>
      </rPr>
      <t>衍生金融资产</t>
    </r>
    <r>
      <rPr>
        <sz val="10"/>
        <rFont val="Times New Roman"/>
        <charset val="134"/>
      </rPr>
      <t>14</t>
    </r>
  </si>
  <si>
    <r>
      <rPr>
        <sz val="10"/>
        <rFont val="宋体"/>
        <charset val="134"/>
      </rPr>
      <t>衍生金融资产</t>
    </r>
    <r>
      <rPr>
        <sz val="10"/>
        <rFont val="Times New Roman"/>
        <charset val="134"/>
      </rPr>
      <t>15</t>
    </r>
  </si>
  <si>
    <r>
      <rPr>
        <sz val="10"/>
        <rFont val="宋体"/>
        <charset val="134"/>
      </rPr>
      <t>衍生金融资产</t>
    </r>
    <r>
      <rPr>
        <sz val="10"/>
        <rFont val="Times New Roman"/>
        <charset val="134"/>
      </rPr>
      <t>16</t>
    </r>
  </si>
  <si>
    <r>
      <rPr>
        <sz val="10"/>
        <rFont val="宋体"/>
        <charset val="134"/>
      </rPr>
      <t>衍生金融资产</t>
    </r>
    <r>
      <rPr>
        <sz val="10"/>
        <rFont val="Times New Roman"/>
        <charset val="134"/>
      </rPr>
      <t>17</t>
    </r>
  </si>
  <si>
    <r>
      <rPr>
        <sz val="10"/>
        <rFont val="宋体"/>
        <charset val="134"/>
      </rPr>
      <t>衍生金融资产</t>
    </r>
    <r>
      <rPr>
        <sz val="10"/>
        <rFont val="Times New Roman"/>
        <charset val="134"/>
      </rPr>
      <t>18</t>
    </r>
  </si>
  <si>
    <r>
      <rPr>
        <sz val="10"/>
        <rFont val="宋体"/>
        <charset val="134"/>
      </rPr>
      <t>衍生金融资产</t>
    </r>
    <r>
      <rPr>
        <sz val="10"/>
        <rFont val="Times New Roman"/>
        <charset val="134"/>
      </rPr>
      <t>19</t>
    </r>
  </si>
  <si>
    <r>
      <rPr>
        <sz val="10"/>
        <rFont val="宋体"/>
        <charset val="134"/>
      </rPr>
      <t>衍生金融资产</t>
    </r>
    <r>
      <rPr>
        <sz val="10"/>
        <rFont val="Times New Roman"/>
        <charset val="134"/>
      </rPr>
      <t>20</t>
    </r>
  </si>
  <si>
    <r>
      <rPr>
        <b/>
        <sz val="10"/>
        <rFont val="宋体"/>
        <charset val="134"/>
      </rPr>
      <t>合</t>
    </r>
    <r>
      <rPr>
        <b/>
        <sz val="10"/>
        <rFont val="Times New Roman"/>
        <charset val="134"/>
      </rPr>
      <t xml:space="preserve">            </t>
    </r>
    <r>
      <rPr>
        <b/>
        <sz val="10"/>
        <rFont val="宋体"/>
        <charset val="134"/>
      </rPr>
      <t>计</t>
    </r>
  </si>
  <si>
    <r>
      <rPr>
        <sz val="18"/>
        <rFont val="宋体"/>
        <charset val="134"/>
      </rPr>
      <t>应收票据评估明细表</t>
    </r>
  </si>
  <si>
    <r>
      <rPr>
        <b/>
        <sz val="10"/>
        <rFont val="宋体"/>
        <charset val="134"/>
      </rPr>
      <t>出票日期</t>
    </r>
  </si>
  <si>
    <t>外币坏账准备</t>
  </si>
  <si>
    <r>
      <rPr>
        <b/>
        <sz val="10"/>
        <rFont val="宋体"/>
        <charset val="134"/>
      </rPr>
      <t>坏账准备</t>
    </r>
  </si>
  <si>
    <r>
      <rPr>
        <b/>
        <sz val="10"/>
        <color indexed="10"/>
        <rFont val="宋体"/>
        <charset val="134"/>
      </rPr>
      <t>调整分录</t>
    </r>
    <r>
      <rPr>
        <b/>
        <sz val="10"/>
        <color indexed="10"/>
        <rFont val="Times New Roman"/>
        <charset val="134"/>
      </rPr>
      <t>-</t>
    </r>
    <r>
      <rPr>
        <b/>
        <sz val="10"/>
        <color indexed="10"/>
        <rFont val="宋体"/>
        <charset val="134"/>
      </rPr>
      <t>账面值</t>
    </r>
  </si>
  <si>
    <r>
      <rPr>
        <b/>
        <sz val="10"/>
        <color indexed="10"/>
        <rFont val="宋体"/>
        <charset val="134"/>
      </rPr>
      <t>调整分录</t>
    </r>
    <r>
      <rPr>
        <b/>
        <sz val="10"/>
        <color indexed="10"/>
        <rFont val="Times New Roman"/>
        <charset val="134"/>
      </rPr>
      <t>-</t>
    </r>
    <r>
      <rPr>
        <b/>
        <sz val="10"/>
        <color indexed="10"/>
        <rFont val="宋体"/>
        <charset val="134"/>
      </rPr>
      <t>坏账准备</t>
    </r>
  </si>
  <si>
    <r>
      <rPr>
        <b/>
        <sz val="10"/>
        <rFont val="宋体"/>
        <charset val="134"/>
      </rPr>
      <t>风险损失</t>
    </r>
  </si>
  <si>
    <r>
      <rPr>
        <b/>
        <sz val="10"/>
        <rFont val="宋体"/>
        <charset val="134"/>
      </rPr>
      <t>票据复印件</t>
    </r>
  </si>
  <si>
    <r>
      <rPr>
        <b/>
        <sz val="10"/>
        <rFont val="宋体"/>
        <charset val="134"/>
      </rPr>
      <t>时长（月）</t>
    </r>
  </si>
  <si>
    <r>
      <rPr>
        <b/>
        <sz val="10"/>
        <rFont val="宋体"/>
        <charset val="134"/>
      </rPr>
      <t>是否过期</t>
    </r>
  </si>
  <si>
    <t>转换</t>
  </si>
  <si>
    <r>
      <rPr>
        <sz val="10"/>
        <rFont val="宋体"/>
        <charset val="134"/>
      </rPr>
      <t>应收票据</t>
    </r>
    <r>
      <rPr>
        <sz val="10"/>
        <rFont val="Times New Roman"/>
        <charset val="134"/>
      </rPr>
      <t>01</t>
    </r>
  </si>
  <si>
    <r>
      <rPr>
        <sz val="10"/>
        <rFont val="宋体"/>
        <charset val="134"/>
      </rPr>
      <t>应收票据</t>
    </r>
    <r>
      <rPr>
        <sz val="10"/>
        <rFont val="Times New Roman"/>
        <charset val="134"/>
      </rPr>
      <t>02</t>
    </r>
  </si>
  <si>
    <r>
      <rPr>
        <sz val="10"/>
        <rFont val="宋体"/>
        <charset val="134"/>
      </rPr>
      <t>应收票据</t>
    </r>
    <r>
      <rPr>
        <sz val="10"/>
        <rFont val="Times New Roman"/>
        <charset val="134"/>
      </rPr>
      <t>03</t>
    </r>
  </si>
  <si>
    <r>
      <rPr>
        <sz val="10"/>
        <rFont val="宋体"/>
        <charset val="134"/>
      </rPr>
      <t>应收票据</t>
    </r>
    <r>
      <rPr>
        <sz val="10"/>
        <rFont val="Times New Roman"/>
        <charset val="134"/>
      </rPr>
      <t>04</t>
    </r>
  </si>
  <si>
    <r>
      <rPr>
        <sz val="10"/>
        <rFont val="宋体"/>
        <charset val="134"/>
      </rPr>
      <t>应收票据</t>
    </r>
    <r>
      <rPr>
        <sz val="10"/>
        <rFont val="Times New Roman"/>
        <charset val="134"/>
      </rPr>
      <t>05</t>
    </r>
  </si>
  <si>
    <r>
      <rPr>
        <sz val="10"/>
        <rFont val="宋体"/>
        <charset val="134"/>
      </rPr>
      <t>应收票据</t>
    </r>
    <r>
      <rPr>
        <sz val="10"/>
        <rFont val="Times New Roman"/>
        <charset val="134"/>
      </rPr>
      <t>06</t>
    </r>
  </si>
  <si>
    <r>
      <rPr>
        <sz val="10"/>
        <rFont val="宋体"/>
        <charset val="134"/>
      </rPr>
      <t>应收票据</t>
    </r>
    <r>
      <rPr>
        <sz val="10"/>
        <rFont val="Times New Roman"/>
        <charset val="134"/>
      </rPr>
      <t>07</t>
    </r>
  </si>
  <si>
    <r>
      <rPr>
        <sz val="10"/>
        <rFont val="宋体"/>
        <charset val="134"/>
      </rPr>
      <t>应收票据</t>
    </r>
    <r>
      <rPr>
        <sz val="10"/>
        <rFont val="Times New Roman"/>
        <charset val="134"/>
      </rPr>
      <t>08</t>
    </r>
  </si>
  <si>
    <r>
      <rPr>
        <sz val="10"/>
        <rFont val="宋体"/>
        <charset val="134"/>
      </rPr>
      <t>应收票据</t>
    </r>
    <r>
      <rPr>
        <sz val="10"/>
        <rFont val="Times New Roman"/>
        <charset val="134"/>
      </rPr>
      <t>09</t>
    </r>
  </si>
  <si>
    <r>
      <rPr>
        <sz val="10"/>
        <rFont val="宋体"/>
        <charset val="134"/>
      </rPr>
      <t>应收票据</t>
    </r>
    <r>
      <rPr>
        <sz val="10"/>
        <rFont val="Times New Roman"/>
        <charset val="134"/>
      </rPr>
      <t>10</t>
    </r>
  </si>
  <si>
    <r>
      <rPr>
        <sz val="10"/>
        <rFont val="宋体"/>
        <charset val="134"/>
      </rPr>
      <t>应收票据</t>
    </r>
    <r>
      <rPr>
        <sz val="10"/>
        <rFont val="Times New Roman"/>
        <charset val="134"/>
      </rPr>
      <t>11</t>
    </r>
  </si>
  <si>
    <r>
      <rPr>
        <sz val="10"/>
        <rFont val="宋体"/>
        <charset val="134"/>
      </rPr>
      <t>应收票据</t>
    </r>
    <r>
      <rPr>
        <sz val="10"/>
        <rFont val="Times New Roman"/>
        <charset val="134"/>
      </rPr>
      <t>12</t>
    </r>
  </si>
  <si>
    <r>
      <rPr>
        <sz val="10"/>
        <rFont val="宋体"/>
        <charset val="134"/>
      </rPr>
      <t>应收票据</t>
    </r>
    <r>
      <rPr>
        <sz val="10"/>
        <rFont val="Times New Roman"/>
        <charset val="134"/>
      </rPr>
      <t>13</t>
    </r>
  </si>
  <si>
    <r>
      <rPr>
        <sz val="10"/>
        <rFont val="宋体"/>
        <charset val="134"/>
      </rPr>
      <t>应收票据</t>
    </r>
    <r>
      <rPr>
        <sz val="10"/>
        <rFont val="Times New Roman"/>
        <charset val="134"/>
      </rPr>
      <t>14</t>
    </r>
  </si>
  <si>
    <r>
      <rPr>
        <sz val="10"/>
        <rFont val="宋体"/>
        <charset val="134"/>
      </rPr>
      <t>应收票据</t>
    </r>
    <r>
      <rPr>
        <sz val="10"/>
        <rFont val="Times New Roman"/>
        <charset val="134"/>
      </rPr>
      <t>15</t>
    </r>
  </si>
  <si>
    <r>
      <rPr>
        <sz val="10"/>
        <rFont val="宋体"/>
        <charset val="134"/>
      </rPr>
      <t>应收票据</t>
    </r>
    <r>
      <rPr>
        <sz val="10"/>
        <rFont val="Times New Roman"/>
        <charset val="134"/>
      </rPr>
      <t>16</t>
    </r>
  </si>
  <si>
    <r>
      <rPr>
        <sz val="10"/>
        <rFont val="宋体"/>
        <charset val="134"/>
      </rPr>
      <t>应收票据</t>
    </r>
    <r>
      <rPr>
        <sz val="10"/>
        <rFont val="Times New Roman"/>
        <charset val="134"/>
      </rPr>
      <t>17</t>
    </r>
  </si>
  <si>
    <r>
      <rPr>
        <sz val="10"/>
        <rFont val="宋体"/>
        <charset val="134"/>
      </rPr>
      <t>应收票据</t>
    </r>
    <r>
      <rPr>
        <sz val="10"/>
        <rFont val="Times New Roman"/>
        <charset val="134"/>
      </rPr>
      <t>18</t>
    </r>
  </si>
  <si>
    <r>
      <rPr>
        <sz val="10"/>
        <rFont val="宋体"/>
        <charset val="134"/>
      </rPr>
      <t>应收票据</t>
    </r>
    <r>
      <rPr>
        <sz val="10"/>
        <rFont val="Times New Roman"/>
        <charset val="134"/>
      </rPr>
      <t>19</t>
    </r>
  </si>
  <si>
    <r>
      <rPr>
        <sz val="10"/>
        <rFont val="宋体"/>
        <charset val="134"/>
      </rPr>
      <t>应收票据</t>
    </r>
    <r>
      <rPr>
        <sz val="10"/>
        <rFont val="Times New Roman"/>
        <charset val="134"/>
      </rPr>
      <t>20</t>
    </r>
  </si>
  <si>
    <r>
      <rPr>
        <b/>
        <sz val="10"/>
        <rFont val="宋体"/>
        <charset val="134"/>
      </rPr>
      <t>账面余额合计</t>
    </r>
  </si>
  <si>
    <r>
      <rPr>
        <sz val="10"/>
        <rFont val="宋体"/>
        <charset val="134"/>
      </rPr>
      <t>减：坏账准备</t>
    </r>
  </si>
  <si>
    <r>
      <rPr>
        <sz val="10"/>
        <rFont val="宋体"/>
        <charset val="134"/>
      </rPr>
      <t>减：预计风险损失</t>
    </r>
  </si>
  <si>
    <r>
      <rPr>
        <b/>
        <sz val="10"/>
        <rFont val="宋体"/>
        <charset val="134"/>
      </rPr>
      <t>账面净值合计</t>
    </r>
  </si>
  <si>
    <r>
      <rPr>
        <u/>
        <sz val="8"/>
        <color indexed="12"/>
        <rFont val="宋体"/>
        <charset val="134"/>
      </rPr>
      <t>返回</t>
    </r>
    <r>
      <rPr>
        <u/>
        <sz val="8"/>
        <color indexed="12"/>
        <rFont val="Times New Roman"/>
        <charset val="134"/>
      </rPr>
      <t xml:space="preserve"> </t>
    </r>
  </si>
  <si>
    <r>
      <rPr>
        <sz val="18"/>
        <rFont val="宋体"/>
        <charset val="134"/>
      </rPr>
      <t>应收账款评估明细表</t>
    </r>
  </si>
  <si>
    <r>
      <rPr>
        <b/>
        <sz val="10"/>
        <rFont val="宋体"/>
        <charset val="134"/>
      </rPr>
      <t>欠款单位名称（结算对象</t>
    </r>
    <r>
      <rPr>
        <b/>
        <sz val="10"/>
        <rFont val="Times New Roman"/>
        <charset val="134"/>
      </rPr>
      <t>)</t>
    </r>
  </si>
  <si>
    <r>
      <rPr>
        <b/>
        <sz val="10"/>
        <rFont val="宋体"/>
        <charset val="134"/>
      </rPr>
      <t>发生日期</t>
    </r>
  </si>
  <si>
    <r>
      <rPr>
        <b/>
        <sz val="10"/>
        <rFont val="宋体"/>
        <charset val="134"/>
      </rPr>
      <t>账龄</t>
    </r>
  </si>
  <si>
    <r>
      <rPr>
        <b/>
        <sz val="10"/>
        <rFont val="宋体"/>
        <charset val="134"/>
      </rPr>
      <t>是否内部往来</t>
    </r>
  </si>
  <si>
    <t>外币</t>
  </si>
  <si>
    <r>
      <rPr>
        <b/>
        <sz val="10"/>
        <rFont val="宋体"/>
        <charset val="134"/>
      </rPr>
      <t>审计前账面余额</t>
    </r>
  </si>
  <si>
    <r>
      <rPr>
        <b/>
        <sz val="10"/>
        <rFont val="宋体"/>
        <charset val="134"/>
      </rPr>
      <t>坏账计提比例</t>
    </r>
  </si>
  <si>
    <r>
      <rPr>
        <b/>
        <sz val="10"/>
        <rFont val="宋体"/>
        <charset val="134"/>
      </rPr>
      <t>计提坏账准备</t>
    </r>
  </si>
  <si>
    <t>币种</t>
  </si>
  <si>
    <t>基准日汇率</t>
  </si>
  <si>
    <t>账面余额</t>
  </si>
  <si>
    <t>坏账准备</t>
  </si>
  <si>
    <t>0-6个月以内</t>
  </si>
  <si>
    <t>7-12个月以内</t>
  </si>
  <si>
    <t>1~2年</t>
  </si>
  <si>
    <t>2~3年</t>
  </si>
  <si>
    <t>3~4年</t>
  </si>
  <si>
    <t>4~5年</t>
  </si>
  <si>
    <t>5年以上</t>
  </si>
  <si>
    <r>
      <rPr>
        <b/>
        <sz val="10"/>
        <rFont val="Times New Roman"/>
        <charset val="134"/>
      </rPr>
      <t>0-6</t>
    </r>
    <r>
      <rPr>
        <b/>
        <sz val="10"/>
        <rFont val="宋体"/>
        <charset val="134"/>
      </rPr>
      <t>个月</t>
    </r>
  </si>
  <si>
    <r>
      <rPr>
        <b/>
        <sz val="10"/>
        <rFont val="Times New Roman"/>
        <charset val="134"/>
      </rPr>
      <t>7-12</t>
    </r>
    <r>
      <rPr>
        <b/>
        <sz val="10"/>
        <rFont val="宋体"/>
        <charset val="134"/>
      </rPr>
      <t>个月</t>
    </r>
  </si>
  <si>
    <r>
      <rPr>
        <b/>
        <sz val="10"/>
        <rFont val="Times New Roman"/>
        <charset val="134"/>
      </rPr>
      <t>1~2</t>
    </r>
    <r>
      <rPr>
        <b/>
        <sz val="10"/>
        <rFont val="宋体"/>
        <charset val="134"/>
      </rPr>
      <t>年</t>
    </r>
  </si>
  <si>
    <r>
      <rPr>
        <b/>
        <sz val="10"/>
        <rFont val="Times New Roman"/>
        <charset val="134"/>
      </rPr>
      <t>2~3</t>
    </r>
    <r>
      <rPr>
        <b/>
        <sz val="10"/>
        <rFont val="宋体"/>
        <charset val="134"/>
      </rPr>
      <t>年</t>
    </r>
  </si>
  <si>
    <r>
      <rPr>
        <b/>
        <sz val="10"/>
        <rFont val="Times New Roman"/>
        <charset val="134"/>
      </rPr>
      <t>3~4</t>
    </r>
    <r>
      <rPr>
        <b/>
        <sz val="10"/>
        <rFont val="宋体"/>
        <charset val="134"/>
      </rPr>
      <t>年</t>
    </r>
  </si>
  <si>
    <r>
      <rPr>
        <b/>
        <sz val="10"/>
        <rFont val="Times New Roman"/>
        <charset val="134"/>
      </rPr>
      <t>4~5</t>
    </r>
    <r>
      <rPr>
        <b/>
        <sz val="10"/>
        <rFont val="宋体"/>
        <charset val="134"/>
      </rPr>
      <t>年</t>
    </r>
  </si>
  <si>
    <r>
      <rPr>
        <b/>
        <sz val="10"/>
        <rFont val="Times New Roman"/>
        <charset val="134"/>
      </rPr>
      <t>5</t>
    </r>
    <r>
      <rPr>
        <b/>
        <sz val="10"/>
        <rFont val="宋体"/>
        <charset val="134"/>
      </rPr>
      <t>年以上</t>
    </r>
  </si>
  <si>
    <r>
      <rPr>
        <b/>
        <sz val="10"/>
        <rFont val="宋体"/>
        <charset val="134"/>
      </rPr>
      <t>账龄计提</t>
    </r>
  </si>
  <si>
    <r>
      <rPr>
        <b/>
        <sz val="10"/>
        <rFont val="宋体"/>
        <charset val="134"/>
      </rPr>
      <t>个别计提</t>
    </r>
  </si>
  <si>
    <r>
      <rPr>
        <b/>
        <sz val="10"/>
        <rFont val="宋体"/>
        <charset val="134"/>
      </rPr>
      <t>合计</t>
    </r>
  </si>
  <si>
    <r>
      <rPr>
        <b/>
        <sz val="10"/>
        <color indexed="10"/>
        <rFont val="宋体"/>
        <charset val="134"/>
      </rPr>
      <t>账面价值</t>
    </r>
  </si>
  <si>
    <r>
      <rPr>
        <b/>
        <sz val="10"/>
        <color indexed="10"/>
        <rFont val="宋体"/>
        <charset val="134"/>
      </rPr>
      <t>坏账准备</t>
    </r>
  </si>
  <si>
    <r>
      <rPr>
        <sz val="10"/>
        <rFont val="宋体"/>
        <charset val="134"/>
      </rPr>
      <t>应收账款</t>
    </r>
    <r>
      <rPr>
        <sz val="10"/>
        <rFont val="Times New Roman"/>
        <charset val="134"/>
      </rPr>
      <t>01</t>
    </r>
  </si>
  <si>
    <r>
      <rPr>
        <sz val="10"/>
        <rFont val="宋体"/>
        <charset val="134"/>
      </rPr>
      <t>应收账款</t>
    </r>
    <r>
      <rPr>
        <sz val="10"/>
        <rFont val="Times New Roman"/>
        <charset val="134"/>
      </rPr>
      <t>02</t>
    </r>
  </si>
  <si>
    <r>
      <rPr>
        <sz val="10"/>
        <rFont val="宋体"/>
        <charset val="134"/>
      </rPr>
      <t>应收账款</t>
    </r>
    <r>
      <rPr>
        <sz val="10"/>
        <rFont val="Times New Roman"/>
        <charset val="134"/>
      </rPr>
      <t>03</t>
    </r>
  </si>
  <si>
    <r>
      <rPr>
        <sz val="10"/>
        <rFont val="宋体"/>
        <charset val="134"/>
      </rPr>
      <t>应收账款</t>
    </r>
    <r>
      <rPr>
        <sz val="10"/>
        <rFont val="Times New Roman"/>
        <charset val="134"/>
      </rPr>
      <t>04</t>
    </r>
  </si>
  <si>
    <r>
      <rPr>
        <sz val="10"/>
        <rFont val="宋体"/>
        <charset val="134"/>
      </rPr>
      <t>应收账款</t>
    </r>
    <r>
      <rPr>
        <sz val="10"/>
        <rFont val="Times New Roman"/>
        <charset val="134"/>
      </rPr>
      <t>05</t>
    </r>
  </si>
  <si>
    <r>
      <rPr>
        <sz val="10"/>
        <rFont val="宋体"/>
        <charset val="134"/>
      </rPr>
      <t>应收账款</t>
    </r>
    <r>
      <rPr>
        <sz val="10"/>
        <rFont val="Times New Roman"/>
        <charset val="134"/>
      </rPr>
      <t>06</t>
    </r>
  </si>
  <si>
    <r>
      <rPr>
        <sz val="10"/>
        <rFont val="宋体"/>
        <charset val="134"/>
      </rPr>
      <t>应收账款</t>
    </r>
    <r>
      <rPr>
        <sz val="10"/>
        <rFont val="Times New Roman"/>
        <charset val="134"/>
      </rPr>
      <t>07</t>
    </r>
  </si>
  <si>
    <r>
      <rPr>
        <sz val="10"/>
        <rFont val="宋体"/>
        <charset val="134"/>
      </rPr>
      <t>应收账款</t>
    </r>
    <r>
      <rPr>
        <sz val="10"/>
        <rFont val="Times New Roman"/>
        <charset val="134"/>
      </rPr>
      <t>08</t>
    </r>
  </si>
  <si>
    <r>
      <rPr>
        <sz val="10"/>
        <rFont val="宋体"/>
        <charset val="134"/>
      </rPr>
      <t>应收账款</t>
    </r>
    <r>
      <rPr>
        <sz val="10"/>
        <rFont val="Times New Roman"/>
        <charset val="134"/>
      </rPr>
      <t>09</t>
    </r>
  </si>
  <si>
    <r>
      <rPr>
        <sz val="10"/>
        <rFont val="宋体"/>
        <charset val="134"/>
      </rPr>
      <t>应收账款</t>
    </r>
    <r>
      <rPr>
        <sz val="10"/>
        <rFont val="Times New Roman"/>
        <charset val="134"/>
      </rPr>
      <t>10</t>
    </r>
  </si>
  <si>
    <r>
      <rPr>
        <sz val="10"/>
        <rFont val="宋体"/>
        <charset val="134"/>
      </rPr>
      <t>应收账款</t>
    </r>
    <r>
      <rPr>
        <sz val="10"/>
        <rFont val="Times New Roman"/>
        <charset val="134"/>
      </rPr>
      <t>11</t>
    </r>
  </si>
  <si>
    <r>
      <rPr>
        <sz val="10"/>
        <rFont val="宋体"/>
        <charset val="134"/>
      </rPr>
      <t>应收账款</t>
    </r>
    <r>
      <rPr>
        <sz val="10"/>
        <rFont val="Times New Roman"/>
        <charset val="134"/>
      </rPr>
      <t>12</t>
    </r>
  </si>
  <si>
    <r>
      <rPr>
        <sz val="10"/>
        <rFont val="宋体"/>
        <charset val="134"/>
      </rPr>
      <t>应收账款</t>
    </r>
    <r>
      <rPr>
        <sz val="10"/>
        <rFont val="Times New Roman"/>
        <charset val="134"/>
      </rPr>
      <t>13</t>
    </r>
  </si>
  <si>
    <r>
      <rPr>
        <sz val="10"/>
        <rFont val="宋体"/>
        <charset val="134"/>
      </rPr>
      <t>应收账款</t>
    </r>
    <r>
      <rPr>
        <sz val="10"/>
        <rFont val="Times New Roman"/>
        <charset val="134"/>
      </rPr>
      <t>14</t>
    </r>
  </si>
  <si>
    <r>
      <rPr>
        <sz val="10"/>
        <rFont val="宋体"/>
        <charset val="134"/>
      </rPr>
      <t>应收账款</t>
    </r>
    <r>
      <rPr>
        <sz val="10"/>
        <rFont val="Times New Roman"/>
        <charset val="134"/>
      </rPr>
      <t>15</t>
    </r>
  </si>
  <si>
    <r>
      <rPr>
        <sz val="10"/>
        <rFont val="宋体"/>
        <charset val="134"/>
      </rPr>
      <t>应收账款</t>
    </r>
    <r>
      <rPr>
        <sz val="10"/>
        <rFont val="Times New Roman"/>
        <charset val="134"/>
      </rPr>
      <t>16</t>
    </r>
  </si>
  <si>
    <r>
      <rPr>
        <sz val="10"/>
        <rFont val="宋体"/>
        <charset val="134"/>
      </rPr>
      <t>应收账款</t>
    </r>
    <r>
      <rPr>
        <sz val="10"/>
        <rFont val="Times New Roman"/>
        <charset val="134"/>
      </rPr>
      <t>17</t>
    </r>
  </si>
  <si>
    <r>
      <rPr>
        <sz val="10"/>
        <rFont val="宋体"/>
        <charset val="134"/>
      </rPr>
      <t>应收账款</t>
    </r>
    <r>
      <rPr>
        <sz val="10"/>
        <rFont val="Times New Roman"/>
        <charset val="134"/>
      </rPr>
      <t>18</t>
    </r>
  </si>
  <si>
    <r>
      <rPr>
        <sz val="10"/>
        <rFont val="宋体"/>
        <charset val="134"/>
      </rPr>
      <t>应收账款</t>
    </r>
    <r>
      <rPr>
        <sz val="10"/>
        <rFont val="Times New Roman"/>
        <charset val="134"/>
      </rPr>
      <t>19</t>
    </r>
  </si>
  <si>
    <r>
      <rPr>
        <sz val="10"/>
        <rFont val="宋体"/>
        <charset val="134"/>
      </rPr>
      <t>应收账款</t>
    </r>
    <r>
      <rPr>
        <sz val="10"/>
        <rFont val="Times New Roman"/>
        <charset val="134"/>
      </rPr>
      <t>20</t>
    </r>
  </si>
  <si>
    <r>
      <rPr>
        <b/>
        <sz val="10"/>
        <rFont val="Times New Roman"/>
        <charset val="134"/>
      </rPr>
      <t>“</t>
    </r>
    <r>
      <rPr>
        <b/>
        <sz val="10"/>
        <rFont val="宋体"/>
        <charset val="134"/>
      </rPr>
      <t>备注</t>
    </r>
    <r>
      <rPr>
        <b/>
        <sz val="10"/>
        <rFont val="Times New Roman"/>
        <charset val="134"/>
      </rPr>
      <t>”</t>
    </r>
    <r>
      <rPr>
        <b/>
        <sz val="10"/>
        <rFont val="宋体"/>
        <charset val="134"/>
      </rPr>
      <t>栏填写方法：</t>
    </r>
  </si>
  <si>
    <r>
      <rPr>
        <sz val="10"/>
        <rFont val="Times New Roman"/>
        <charset val="134"/>
      </rPr>
      <t>1.</t>
    </r>
    <r>
      <rPr>
        <sz val="10"/>
        <rFont val="宋体"/>
        <charset val="134"/>
      </rPr>
      <t>涉诉款项应在备注中标明</t>
    </r>
    <r>
      <rPr>
        <sz val="10"/>
        <rFont val="Times New Roman"/>
        <charset val="134"/>
      </rPr>
      <t>“</t>
    </r>
    <r>
      <rPr>
        <sz val="10"/>
        <rFont val="宋体"/>
        <charset val="134"/>
      </rPr>
      <t>涉诉</t>
    </r>
    <r>
      <rPr>
        <sz val="10"/>
        <rFont val="Times New Roman"/>
        <charset val="134"/>
      </rPr>
      <t>”</t>
    </r>
  </si>
  <si>
    <r>
      <rPr>
        <sz val="10"/>
        <rFont val="Times New Roman"/>
        <charset val="134"/>
      </rPr>
      <t>2.</t>
    </r>
    <r>
      <rPr>
        <sz val="10"/>
        <rFont val="宋体"/>
        <charset val="134"/>
      </rPr>
      <t>评估基准日后已部分或全部收回款项的，应注明日期及金额，如</t>
    </r>
    <r>
      <rPr>
        <sz val="10"/>
        <rFont val="Times New Roman"/>
        <charset val="134"/>
      </rPr>
      <t>“2017</t>
    </r>
    <r>
      <rPr>
        <sz val="10"/>
        <rFont val="宋体"/>
        <charset val="134"/>
      </rPr>
      <t>年</t>
    </r>
    <r>
      <rPr>
        <sz val="10"/>
        <rFont val="Times New Roman"/>
        <charset val="134"/>
      </rPr>
      <t>12</t>
    </r>
    <r>
      <rPr>
        <sz val="10"/>
        <rFont val="宋体"/>
        <charset val="134"/>
      </rPr>
      <t>月</t>
    </r>
    <r>
      <rPr>
        <sz val="10"/>
        <rFont val="Times New Roman"/>
        <charset val="134"/>
      </rPr>
      <t>12</t>
    </r>
    <r>
      <rPr>
        <sz val="10"/>
        <rFont val="宋体"/>
        <charset val="134"/>
      </rPr>
      <t>日收回</t>
    </r>
    <r>
      <rPr>
        <sz val="10"/>
        <rFont val="Times New Roman"/>
        <charset val="134"/>
      </rPr>
      <t>10,000.00</t>
    </r>
    <r>
      <rPr>
        <sz val="10"/>
        <rFont val="宋体"/>
        <charset val="134"/>
      </rPr>
      <t>元</t>
    </r>
    <r>
      <rPr>
        <sz val="10"/>
        <rFont val="Times New Roman"/>
        <charset val="134"/>
      </rPr>
      <t>”</t>
    </r>
  </si>
  <si>
    <r>
      <rPr>
        <sz val="10"/>
        <rFont val="Times New Roman"/>
        <charset val="134"/>
      </rPr>
      <t>3.</t>
    </r>
    <r>
      <rPr>
        <sz val="10"/>
        <rFont val="宋体"/>
        <charset val="134"/>
      </rPr>
      <t>被评估单位认为其他应说明的事项</t>
    </r>
  </si>
  <si>
    <r>
      <rPr>
        <sz val="18"/>
        <rFont val="宋体"/>
        <charset val="134"/>
      </rPr>
      <t>应收款项融资评估汇总表</t>
    </r>
  </si>
  <si>
    <r>
      <rPr>
        <sz val="10"/>
        <rFont val="宋体"/>
        <charset val="134"/>
      </rPr>
      <t>融资</t>
    </r>
    <r>
      <rPr>
        <sz val="10"/>
        <rFont val="Times New Roman"/>
        <charset val="134"/>
      </rPr>
      <t>-</t>
    </r>
    <r>
      <rPr>
        <sz val="10"/>
        <rFont val="宋体"/>
        <charset val="134"/>
      </rPr>
      <t>应收票据</t>
    </r>
  </si>
  <si>
    <r>
      <rPr>
        <sz val="10"/>
        <rFont val="宋体"/>
        <charset val="134"/>
      </rPr>
      <t>融资</t>
    </r>
    <r>
      <rPr>
        <sz val="10"/>
        <rFont val="Times New Roman"/>
        <charset val="134"/>
      </rPr>
      <t>-</t>
    </r>
    <r>
      <rPr>
        <sz val="10"/>
        <rFont val="宋体"/>
        <charset val="134"/>
      </rPr>
      <t>应收账款</t>
    </r>
  </si>
  <si>
    <t>应收款项融资合计</t>
  </si>
  <si>
    <r>
      <rPr>
        <sz val="18"/>
        <rFont val="宋体"/>
        <charset val="134"/>
      </rPr>
      <t>应收票据融资</t>
    </r>
    <r>
      <rPr>
        <sz val="18"/>
        <rFont val="Times New Roman"/>
        <charset val="134"/>
      </rPr>
      <t>-</t>
    </r>
    <r>
      <rPr>
        <sz val="18"/>
        <rFont val="宋体"/>
        <charset val="134"/>
      </rPr>
      <t>应收票据评估明细表</t>
    </r>
  </si>
  <si>
    <r>
      <rPr>
        <sz val="10"/>
        <rFont val="宋体"/>
        <charset val="134"/>
      </rPr>
      <t>融资</t>
    </r>
    <r>
      <rPr>
        <sz val="10"/>
        <rFont val="Times New Roman"/>
        <charset val="134"/>
      </rPr>
      <t>-</t>
    </r>
    <r>
      <rPr>
        <sz val="10"/>
        <rFont val="宋体"/>
        <charset val="134"/>
      </rPr>
      <t>应收票据</t>
    </r>
    <r>
      <rPr>
        <sz val="10"/>
        <rFont val="Times New Roman"/>
        <charset val="134"/>
      </rPr>
      <t>01</t>
    </r>
  </si>
  <si>
    <r>
      <rPr>
        <sz val="10"/>
        <rFont val="宋体"/>
        <charset val="134"/>
      </rPr>
      <t>融资</t>
    </r>
    <r>
      <rPr>
        <sz val="10"/>
        <rFont val="Times New Roman"/>
        <charset val="134"/>
      </rPr>
      <t>-</t>
    </r>
    <r>
      <rPr>
        <sz val="10"/>
        <rFont val="宋体"/>
        <charset val="134"/>
      </rPr>
      <t>应收票据</t>
    </r>
    <r>
      <rPr>
        <sz val="10"/>
        <rFont val="Times New Roman"/>
        <charset val="134"/>
      </rPr>
      <t>02</t>
    </r>
  </si>
  <si>
    <r>
      <rPr>
        <sz val="10"/>
        <rFont val="宋体"/>
        <charset val="134"/>
      </rPr>
      <t>融资</t>
    </r>
    <r>
      <rPr>
        <sz val="10"/>
        <rFont val="Times New Roman"/>
        <charset val="134"/>
      </rPr>
      <t>-</t>
    </r>
    <r>
      <rPr>
        <sz val="10"/>
        <rFont val="宋体"/>
        <charset val="134"/>
      </rPr>
      <t>应收票据</t>
    </r>
    <r>
      <rPr>
        <sz val="10"/>
        <rFont val="Times New Roman"/>
        <charset val="134"/>
      </rPr>
      <t>03</t>
    </r>
  </si>
  <si>
    <r>
      <rPr>
        <sz val="10"/>
        <rFont val="宋体"/>
        <charset val="134"/>
      </rPr>
      <t>融资</t>
    </r>
    <r>
      <rPr>
        <sz val="10"/>
        <rFont val="Times New Roman"/>
        <charset val="134"/>
      </rPr>
      <t>-</t>
    </r>
    <r>
      <rPr>
        <sz val="10"/>
        <rFont val="宋体"/>
        <charset val="134"/>
      </rPr>
      <t>应收票据</t>
    </r>
    <r>
      <rPr>
        <sz val="10"/>
        <rFont val="Times New Roman"/>
        <charset val="134"/>
      </rPr>
      <t>04</t>
    </r>
  </si>
  <si>
    <r>
      <rPr>
        <sz val="10"/>
        <rFont val="宋体"/>
        <charset val="134"/>
      </rPr>
      <t>融资</t>
    </r>
    <r>
      <rPr>
        <sz val="10"/>
        <rFont val="Times New Roman"/>
        <charset val="134"/>
      </rPr>
      <t>-</t>
    </r>
    <r>
      <rPr>
        <sz val="10"/>
        <rFont val="宋体"/>
        <charset val="134"/>
      </rPr>
      <t>应收票据</t>
    </r>
    <r>
      <rPr>
        <sz val="10"/>
        <rFont val="Times New Roman"/>
        <charset val="134"/>
      </rPr>
      <t>05</t>
    </r>
  </si>
  <si>
    <r>
      <rPr>
        <sz val="10"/>
        <rFont val="宋体"/>
        <charset val="134"/>
      </rPr>
      <t>融资</t>
    </r>
    <r>
      <rPr>
        <sz val="10"/>
        <rFont val="Times New Roman"/>
        <charset val="134"/>
      </rPr>
      <t>-</t>
    </r>
    <r>
      <rPr>
        <sz val="10"/>
        <rFont val="宋体"/>
        <charset val="134"/>
      </rPr>
      <t>应收票据</t>
    </r>
    <r>
      <rPr>
        <sz val="10"/>
        <rFont val="Times New Roman"/>
        <charset val="134"/>
      </rPr>
      <t>06</t>
    </r>
  </si>
  <si>
    <r>
      <rPr>
        <sz val="10"/>
        <rFont val="宋体"/>
        <charset val="134"/>
      </rPr>
      <t>融资</t>
    </r>
    <r>
      <rPr>
        <sz val="10"/>
        <rFont val="Times New Roman"/>
        <charset val="134"/>
      </rPr>
      <t>-</t>
    </r>
    <r>
      <rPr>
        <sz val="10"/>
        <rFont val="宋体"/>
        <charset val="134"/>
      </rPr>
      <t>应收票据</t>
    </r>
    <r>
      <rPr>
        <sz val="10"/>
        <rFont val="Times New Roman"/>
        <charset val="134"/>
      </rPr>
      <t>07</t>
    </r>
  </si>
  <si>
    <r>
      <rPr>
        <sz val="10"/>
        <rFont val="宋体"/>
        <charset val="134"/>
      </rPr>
      <t>融资</t>
    </r>
    <r>
      <rPr>
        <sz val="10"/>
        <rFont val="Times New Roman"/>
        <charset val="134"/>
      </rPr>
      <t>-</t>
    </r>
    <r>
      <rPr>
        <sz val="10"/>
        <rFont val="宋体"/>
        <charset val="134"/>
      </rPr>
      <t>应收票据</t>
    </r>
    <r>
      <rPr>
        <sz val="10"/>
        <rFont val="Times New Roman"/>
        <charset val="134"/>
      </rPr>
      <t>08</t>
    </r>
  </si>
  <si>
    <r>
      <rPr>
        <sz val="10"/>
        <rFont val="宋体"/>
        <charset val="134"/>
      </rPr>
      <t>融资</t>
    </r>
    <r>
      <rPr>
        <sz val="10"/>
        <rFont val="Times New Roman"/>
        <charset val="134"/>
      </rPr>
      <t>-</t>
    </r>
    <r>
      <rPr>
        <sz val="10"/>
        <rFont val="宋体"/>
        <charset val="134"/>
      </rPr>
      <t>应收票据</t>
    </r>
    <r>
      <rPr>
        <sz val="10"/>
        <rFont val="Times New Roman"/>
        <charset val="134"/>
      </rPr>
      <t>09</t>
    </r>
  </si>
  <si>
    <r>
      <rPr>
        <sz val="10"/>
        <rFont val="宋体"/>
        <charset val="134"/>
      </rPr>
      <t>融资</t>
    </r>
    <r>
      <rPr>
        <sz val="10"/>
        <rFont val="Times New Roman"/>
        <charset val="134"/>
      </rPr>
      <t>-</t>
    </r>
    <r>
      <rPr>
        <sz val="10"/>
        <rFont val="宋体"/>
        <charset val="134"/>
      </rPr>
      <t>应收票据</t>
    </r>
    <r>
      <rPr>
        <sz val="10"/>
        <rFont val="Times New Roman"/>
        <charset val="134"/>
      </rPr>
      <t>10</t>
    </r>
  </si>
  <si>
    <r>
      <rPr>
        <sz val="10"/>
        <rFont val="宋体"/>
        <charset val="134"/>
      </rPr>
      <t>融资</t>
    </r>
    <r>
      <rPr>
        <sz val="10"/>
        <rFont val="Times New Roman"/>
        <charset val="134"/>
      </rPr>
      <t>-</t>
    </r>
    <r>
      <rPr>
        <sz val="10"/>
        <rFont val="宋体"/>
        <charset val="134"/>
      </rPr>
      <t>应收票据</t>
    </r>
    <r>
      <rPr>
        <sz val="10"/>
        <rFont val="Times New Roman"/>
        <charset val="134"/>
      </rPr>
      <t>11</t>
    </r>
  </si>
  <si>
    <r>
      <rPr>
        <sz val="10"/>
        <rFont val="宋体"/>
        <charset val="134"/>
      </rPr>
      <t>融资</t>
    </r>
    <r>
      <rPr>
        <sz val="10"/>
        <rFont val="Times New Roman"/>
        <charset val="134"/>
      </rPr>
      <t>-</t>
    </r>
    <r>
      <rPr>
        <sz val="10"/>
        <rFont val="宋体"/>
        <charset val="134"/>
      </rPr>
      <t>应收票据</t>
    </r>
    <r>
      <rPr>
        <sz val="10"/>
        <rFont val="Times New Roman"/>
        <charset val="134"/>
      </rPr>
      <t>12</t>
    </r>
  </si>
  <si>
    <r>
      <rPr>
        <sz val="10"/>
        <rFont val="宋体"/>
        <charset val="134"/>
      </rPr>
      <t>融资</t>
    </r>
    <r>
      <rPr>
        <sz val="10"/>
        <rFont val="Times New Roman"/>
        <charset val="134"/>
      </rPr>
      <t>-</t>
    </r>
    <r>
      <rPr>
        <sz val="10"/>
        <rFont val="宋体"/>
        <charset val="134"/>
      </rPr>
      <t>应收票据</t>
    </r>
    <r>
      <rPr>
        <sz val="10"/>
        <rFont val="Times New Roman"/>
        <charset val="134"/>
      </rPr>
      <t>13</t>
    </r>
  </si>
  <si>
    <r>
      <rPr>
        <sz val="10"/>
        <rFont val="宋体"/>
        <charset val="134"/>
      </rPr>
      <t>融资</t>
    </r>
    <r>
      <rPr>
        <sz val="10"/>
        <rFont val="Times New Roman"/>
        <charset val="134"/>
      </rPr>
      <t>-</t>
    </r>
    <r>
      <rPr>
        <sz val="10"/>
        <rFont val="宋体"/>
        <charset val="134"/>
      </rPr>
      <t>应收票据</t>
    </r>
    <r>
      <rPr>
        <sz val="10"/>
        <rFont val="Times New Roman"/>
        <charset val="134"/>
      </rPr>
      <t>14</t>
    </r>
  </si>
  <si>
    <r>
      <rPr>
        <sz val="10"/>
        <rFont val="宋体"/>
        <charset val="134"/>
      </rPr>
      <t>融资</t>
    </r>
    <r>
      <rPr>
        <sz val="10"/>
        <rFont val="Times New Roman"/>
        <charset val="134"/>
      </rPr>
      <t>-</t>
    </r>
    <r>
      <rPr>
        <sz val="10"/>
        <rFont val="宋体"/>
        <charset val="134"/>
      </rPr>
      <t>应收票据</t>
    </r>
    <r>
      <rPr>
        <sz val="10"/>
        <rFont val="Times New Roman"/>
        <charset val="134"/>
      </rPr>
      <t>15</t>
    </r>
  </si>
  <si>
    <r>
      <rPr>
        <sz val="10"/>
        <rFont val="宋体"/>
        <charset val="134"/>
      </rPr>
      <t>融资</t>
    </r>
    <r>
      <rPr>
        <sz val="10"/>
        <rFont val="Times New Roman"/>
        <charset val="134"/>
      </rPr>
      <t>-</t>
    </r>
    <r>
      <rPr>
        <sz val="10"/>
        <rFont val="宋体"/>
        <charset val="134"/>
      </rPr>
      <t>应收票据</t>
    </r>
    <r>
      <rPr>
        <sz val="10"/>
        <rFont val="Times New Roman"/>
        <charset val="134"/>
      </rPr>
      <t>16</t>
    </r>
  </si>
  <si>
    <r>
      <rPr>
        <sz val="10"/>
        <rFont val="宋体"/>
        <charset val="134"/>
      </rPr>
      <t>融资</t>
    </r>
    <r>
      <rPr>
        <sz val="10"/>
        <rFont val="Times New Roman"/>
        <charset val="134"/>
      </rPr>
      <t>-</t>
    </r>
    <r>
      <rPr>
        <sz val="10"/>
        <rFont val="宋体"/>
        <charset val="134"/>
      </rPr>
      <t>应收票据</t>
    </r>
    <r>
      <rPr>
        <sz val="10"/>
        <rFont val="Times New Roman"/>
        <charset val="134"/>
      </rPr>
      <t>17</t>
    </r>
  </si>
  <si>
    <r>
      <rPr>
        <sz val="10"/>
        <rFont val="宋体"/>
        <charset val="134"/>
      </rPr>
      <t>融资</t>
    </r>
    <r>
      <rPr>
        <sz val="10"/>
        <rFont val="Times New Roman"/>
        <charset val="134"/>
      </rPr>
      <t>-</t>
    </r>
    <r>
      <rPr>
        <sz val="10"/>
        <rFont val="宋体"/>
        <charset val="134"/>
      </rPr>
      <t>应收票据</t>
    </r>
    <r>
      <rPr>
        <sz val="10"/>
        <rFont val="Times New Roman"/>
        <charset val="134"/>
      </rPr>
      <t>18</t>
    </r>
  </si>
  <si>
    <r>
      <rPr>
        <sz val="10"/>
        <rFont val="宋体"/>
        <charset val="134"/>
      </rPr>
      <t>融资</t>
    </r>
    <r>
      <rPr>
        <sz val="10"/>
        <rFont val="Times New Roman"/>
        <charset val="134"/>
      </rPr>
      <t>-</t>
    </r>
    <r>
      <rPr>
        <sz val="10"/>
        <rFont val="宋体"/>
        <charset val="134"/>
      </rPr>
      <t>应收票据</t>
    </r>
    <r>
      <rPr>
        <sz val="10"/>
        <rFont val="Times New Roman"/>
        <charset val="134"/>
      </rPr>
      <t>19</t>
    </r>
  </si>
  <si>
    <r>
      <rPr>
        <sz val="10"/>
        <rFont val="宋体"/>
        <charset val="134"/>
      </rPr>
      <t>融资</t>
    </r>
    <r>
      <rPr>
        <sz val="10"/>
        <rFont val="Times New Roman"/>
        <charset val="134"/>
      </rPr>
      <t>-</t>
    </r>
    <r>
      <rPr>
        <sz val="10"/>
        <rFont val="宋体"/>
        <charset val="134"/>
      </rPr>
      <t>应收票据</t>
    </r>
    <r>
      <rPr>
        <sz val="10"/>
        <rFont val="Times New Roman"/>
        <charset val="134"/>
      </rPr>
      <t>20</t>
    </r>
  </si>
  <si>
    <r>
      <rPr>
        <sz val="18"/>
        <rFont val="宋体"/>
        <charset val="134"/>
      </rPr>
      <t>应收款项融资</t>
    </r>
    <r>
      <rPr>
        <sz val="18"/>
        <rFont val="Times New Roman"/>
        <charset val="134"/>
      </rPr>
      <t>-</t>
    </r>
    <r>
      <rPr>
        <sz val="18"/>
        <rFont val="宋体"/>
        <charset val="134"/>
      </rPr>
      <t>应收账款评估明细表</t>
    </r>
  </si>
  <si>
    <r>
      <rPr>
        <sz val="10"/>
        <rFont val="宋体"/>
        <charset val="134"/>
      </rPr>
      <t>融资</t>
    </r>
    <r>
      <rPr>
        <sz val="10"/>
        <rFont val="Times New Roman"/>
        <charset val="134"/>
      </rPr>
      <t>-</t>
    </r>
    <r>
      <rPr>
        <sz val="10"/>
        <rFont val="宋体"/>
        <charset val="134"/>
      </rPr>
      <t>应收账款</t>
    </r>
    <r>
      <rPr>
        <sz val="10"/>
        <rFont val="Times New Roman"/>
        <charset val="134"/>
      </rPr>
      <t>01</t>
    </r>
  </si>
  <si>
    <r>
      <rPr>
        <sz val="10"/>
        <rFont val="宋体"/>
        <charset val="134"/>
      </rPr>
      <t>融资</t>
    </r>
    <r>
      <rPr>
        <sz val="10"/>
        <rFont val="Times New Roman"/>
        <charset val="134"/>
      </rPr>
      <t>-</t>
    </r>
    <r>
      <rPr>
        <sz val="10"/>
        <rFont val="宋体"/>
        <charset val="134"/>
      </rPr>
      <t>应收账款</t>
    </r>
    <r>
      <rPr>
        <sz val="10"/>
        <rFont val="Times New Roman"/>
        <charset val="134"/>
      </rPr>
      <t>02</t>
    </r>
  </si>
  <si>
    <r>
      <rPr>
        <sz val="10"/>
        <rFont val="宋体"/>
        <charset val="134"/>
      </rPr>
      <t>融资</t>
    </r>
    <r>
      <rPr>
        <sz val="10"/>
        <rFont val="Times New Roman"/>
        <charset val="134"/>
      </rPr>
      <t>-</t>
    </r>
    <r>
      <rPr>
        <sz val="10"/>
        <rFont val="宋体"/>
        <charset val="134"/>
      </rPr>
      <t>应收账款</t>
    </r>
    <r>
      <rPr>
        <sz val="10"/>
        <rFont val="Times New Roman"/>
        <charset val="134"/>
      </rPr>
      <t>03</t>
    </r>
  </si>
  <si>
    <r>
      <rPr>
        <sz val="10"/>
        <rFont val="宋体"/>
        <charset val="134"/>
      </rPr>
      <t>融资</t>
    </r>
    <r>
      <rPr>
        <sz val="10"/>
        <rFont val="Times New Roman"/>
        <charset val="134"/>
      </rPr>
      <t>-</t>
    </r>
    <r>
      <rPr>
        <sz val="10"/>
        <rFont val="宋体"/>
        <charset val="134"/>
      </rPr>
      <t>应收账款</t>
    </r>
    <r>
      <rPr>
        <sz val="10"/>
        <rFont val="Times New Roman"/>
        <charset val="134"/>
      </rPr>
      <t>04</t>
    </r>
  </si>
  <si>
    <r>
      <rPr>
        <sz val="10"/>
        <rFont val="宋体"/>
        <charset val="134"/>
      </rPr>
      <t>融资</t>
    </r>
    <r>
      <rPr>
        <sz val="10"/>
        <rFont val="Times New Roman"/>
        <charset val="134"/>
      </rPr>
      <t>-</t>
    </r>
    <r>
      <rPr>
        <sz val="10"/>
        <rFont val="宋体"/>
        <charset val="134"/>
      </rPr>
      <t>应收账款</t>
    </r>
    <r>
      <rPr>
        <sz val="10"/>
        <rFont val="Times New Roman"/>
        <charset val="134"/>
      </rPr>
      <t>05</t>
    </r>
  </si>
  <si>
    <r>
      <rPr>
        <sz val="10"/>
        <rFont val="宋体"/>
        <charset val="134"/>
      </rPr>
      <t>融资</t>
    </r>
    <r>
      <rPr>
        <sz val="10"/>
        <rFont val="Times New Roman"/>
        <charset val="134"/>
      </rPr>
      <t>-</t>
    </r>
    <r>
      <rPr>
        <sz val="10"/>
        <rFont val="宋体"/>
        <charset val="134"/>
      </rPr>
      <t>应收账款</t>
    </r>
    <r>
      <rPr>
        <sz val="10"/>
        <rFont val="Times New Roman"/>
        <charset val="134"/>
      </rPr>
      <t>06</t>
    </r>
  </si>
  <si>
    <r>
      <rPr>
        <sz val="10"/>
        <rFont val="宋体"/>
        <charset val="134"/>
      </rPr>
      <t>融资</t>
    </r>
    <r>
      <rPr>
        <sz val="10"/>
        <rFont val="Times New Roman"/>
        <charset val="134"/>
      </rPr>
      <t>-</t>
    </r>
    <r>
      <rPr>
        <sz val="10"/>
        <rFont val="宋体"/>
        <charset val="134"/>
      </rPr>
      <t>应收账款</t>
    </r>
    <r>
      <rPr>
        <sz val="10"/>
        <rFont val="Times New Roman"/>
        <charset val="134"/>
      </rPr>
      <t>07</t>
    </r>
  </si>
  <si>
    <r>
      <rPr>
        <sz val="10"/>
        <rFont val="宋体"/>
        <charset val="134"/>
      </rPr>
      <t>融资</t>
    </r>
    <r>
      <rPr>
        <sz val="10"/>
        <rFont val="Times New Roman"/>
        <charset val="134"/>
      </rPr>
      <t>-</t>
    </r>
    <r>
      <rPr>
        <sz val="10"/>
        <rFont val="宋体"/>
        <charset val="134"/>
      </rPr>
      <t>应收账款</t>
    </r>
    <r>
      <rPr>
        <sz val="10"/>
        <rFont val="Times New Roman"/>
        <charset val="134"/>
      </rPr>
      <t>08</t>
    </r>
  </si>
  <si>
    <r>
      <rPr>
        <sz val="10"/>
        <rFont val="宋体"/>
        <charset val="134"/>
      </rPr>
      <t>融资</t>
    </r>
    <r>
      <rPr>
        <sz val="10"/>
        <rFont val="Times New Roman"/>
        <charset val="134"/>
      </rPr>
      <t>-</t>
    </r>
    <r>
      <rPr>
        <sz val="10"/>
        <rFont val="宋体"/>
        <charset val="134"/>
      </rPr>
      <t>应收账款</t>
    </r>
    <r>
      <rPr>
        <sz val="10"/>
        <rFont val="Times New Roman"/>
        <charset val="134"/>
      </rPr>
      <t>09</t>
    </r>
  </si>
  <si>
    <r>
      <rPr>
        <sz val="10"/>
        <rFont val="宋体"/>
        <charset val="134"/>
      </rPr>
      <t>融资</t>
    </r>
    <r>
      <rPr>
        <sz val="10"/>
        <rFont val="Times New Roman"/>
        <charset val="134"/>
      </rPr>
      <t>-</t>
    </r>
    <r>
      <rPr>
        <sz val="10"/>
        <rFont val="宋体"/>
        <charset val="134"/>
      </rPr>
      <t>应收账款</t>
    </r>
    <r>
      <rPr>
        <sz val="10"/>
        <rFont val="Times New Roman"/>
        <charset val="134"/>
      </rPr>
      <t>10</t>
    </r>
  </si>
  <si>
    <r>
      <rPr>
        <sz val="10"/>
        <rFont val="宋体"/>
        <charset val="134"/>
      </rPr>
      <t>融资</t>
    </r>
    <r>
      <rPr>
        <sz val="10"/>
        <rFont val="Times New Roman"/>
        <charset val="134"/>
      </rPr>
      <t>-</t>
    </r>
    <r>
      <rPr>
        <sz val="10"/>
        <rFont val="宋体"/>
        <charset val="134"/>
      </rPr>
      <t>应收账款</t>
    </r>
    <r>
      <rPr>
        <sz val="10"/>
        <rFont val="Times New Roman"/>
        <charset val="134"/>
      </rPr>
      <t>11</t>
    </r>
  </si>
  <si>
    <r>
      <rPr>
        <sz val="10"/>
        <rFont val="宋体"/>
        <charset val="134"/>
      </rPr>
      <t>融资</t>
    </r>
    <r>
      <rPr>
        <sz val="10"/>
        <rFont val="Times New Roman"/>
        <charset val="134"/>
      </rPr>
      <t>-</t>
    </r>
    <r>
      <rPr>
        <sz val="10"/>
        <rFont val="宋体"/>
        <charset val="134"/>
      </rPr>
      <t>应收账款</t>
    </r>
    <r>
      <rPr>
        <sz val="10"/>
        <rFont val="Times New Roman"/>
        <charset val="134"/>
      </rPr>
      <t>12</t>
    </r>
  </si>
  <si>
    <r>
      <rPr>
        <sz val="10"/>
        <rFont val="宋体"/>
        <charset val="134"/>
      </rPr>
      <t>融资</t>
    </r>
    <r>
      <rPr>
        <sz val="10"/>
        <rFont val="Times New Roman"/>
        <charset val="134"/>
      </rPr>
      <t>-</t>
    </r>
    <r>
      <rPr>
        <sz val="10"/>
        <rFont val="宋体"/>
        <charset val="134"/>
      </rPr>
      <t>应收账款</t>
    </r>
    <r>
      <rPr>
        <sz val="10"/>
        <rFont val="Times New Roman"/>
        <charset val="134"/>
      </rPr>
      <t>13</t>
    </r>
  </si>
  <si>
    <r>
      <rPr>
        <sz val="10"/>
        <rFont val="宋体"/>
        <charset val="134"/>
      </rPr>
      <t>融资</t>
    </r>
    <r>
      <rPr>
        <sz val="10"/>
        <rFont val="Times New Roman"/>
        <charset val="134"/>
      </rPr>
      <t>-</t>
    </r>
    <r>
      <rPr>
        <sz val="10"/>
        <rFont val="宋体"/>
        <charset val="134"/>
      </rPr>
      <t>应收账款</t>
    </r>
    <r>
      <rPr>
        <sz val="10"/>
        <rFont val="Times New Roman"/>
        <charset val="134"/>
      </rPr>
      <t>14</t>
    </r>
  </si>
  <si>
    <r>
      <rPr>
        <sz val="10"/>
        <rFont val="宋体"/>
        <charset val="134"/>
      </rPr>
      <t>融资</t>
    </r>
    <r>
      <rPr>
        <sz val="10"/>
        <rFont val="Times New Roman"/>
        <charset val="134"/>
      </rPr>
      <t>-</t>
    </r>
    <r>
      <rPr>
        <sz val="10"/>
        <rFont val="宋体"/>
        <charset val="134"/>
      </rPr>
      <t>应收账款</t>
    </r>
    <r>
      <rPr>
        <sz val="10"/>
        <rFont val="Times New Roman"/>
        <charset val="134"/>
      </rPr>
      <t>15</t>
    </r>
  </si>
  <si>
    <r>
      <rPr>
        <sz val="10"/>
        <rFont val="宋体"/>
        <charset val="134"/>
      </rPr>
      <t>融资</t>
    </r>
    <r>
      <rPr>
        <sz val="10"/>
        <rFont val="Times New Roman"/>
        <charset val="134"/>
      </rPr>
      <t>-</t>
    </r>
    <r>
      <rPr>
        <sz val="10"/>
        <rFont val="宋体"/>
        <charset val="134"/>
      </rPr>
      <t>应收账款</t>
    </r>
    <r>
      <rPr>
        <sz val="10"/>
        <rFont val="Times New Roman"/>
        <charset val="134"/>
      </rPr>
      <t>16</t>
    </r>
  </si>
  <si>
    <r>
      <rPr>
        <sz val="10"/>
        <rFont val="宋体"/>
        <charset val="134"/>
      </rPr>
      <t>融资</t>
    </r>
    <r>
      <rPr>
        <sz val="10"/>
        <rFont val="Times New Roman"/>
        <charset val="134"/>
      </rPr>
      <t>-</t>
    </r>
    <r>
      <rPr>
        <sz val="10"/>
        <rFont val="宋体"/>
        <charset val="134"/>
      </rPr>
      <t>应收账款</t>
    </r>
    <r>
      <rPr>
        <sz val="10"/>
        <rFont val="Times New Roman"/>
        <charset val="134"/>
      </rPr>
      <t>17</t>
    </r>
  </si>
  <si>
    <r>
      <rPr>
        <sz val="10"/>
        <rFont val="宋体"/>
        <charset val="134"/>
      </rPr>
      <t>融资</t>
    </r>
    <r>
      <rPr>
        <sz val="10"/>
        <rFont val="Times New Roman"/>
        <charset val="134"/>
      </rPr>
      <t>-</t>
    </r>
    <r>
      <rPr>
        <sz val="10"/>
        <rFont val="宋体"/>
        <charset val="134"/>
      </rPr>
      <t>应收账款</t>
    </r>
    <r>
      <rPr>
        <sz val="10"/>
        <rFont val="Times New Roman"/>
        <charset val="134"/>
      </rPr>
      <t>18</t>
    </r>
  </si>
  <si>
    <r>
      <rPr>
        <sz val="10"/>
        <rFont val="宋体"/>
        <charset val="134"/>
      </rPr>
      <t>融资</t>
    </r>
    <r>
      <rPr>
        <sz val="10"/>
        <rFont val="Times New Roman"/>
        <charset val="134"/>
      </rPr>
      <t>-</t>
    </r>
    <r>
      <rPr>
        <sz val="10"/>
        <rFont val="宋体"/>
        <charset val="134"/>
      </rPr>
      <t>应收账款</t>
    </r>
    <r>
      <rPr>
        <sz val="10"/>
        <rFont val="Times New Roman"/>
        <charset val="134"/>
      </rPr>
      <t>19</t>
    </r>
  </si>
  <si>
    <r>
      <rPr>
        <sz val="10"/>
        <rFont val="宋体"/>
        <charset val="134"/>
      </rPr>
      <t>融资</t>
    </r>
    <r>
      <rPr>
        <sz val="10"/>
        <rFont val="Times New Roman"/>
        <charset val="134"/>
      </rPr>
      <t>-</t>
    </r>
    <r>
      <rPr>
        <sz val="10"/>
        <rFont val="宋体"/>
        <charset val="134"/>
      </rPr>
      <t>应收账款</t>
    </r>
    <r>
      <rPr>
        <sz val="10"/>
        <rFont val="Times New Roman"/>
        <charset val="134"/>
      </rPr>
      <t>20</t>
    </r>
  </si>
  <si>
    <r>
      <rPr>
        <sz val="18"/>
        <rFont val="宋体"/>
        <charset val="134"/>
      </rPr>
      <t>预付账款评估明细表</t>
    </r>
  </si>
  <si>
    <r>
      <rPr>
        <b/>
        <sz val="10"/>
        <rFont val="宋体"/>
        <charset val="134"/>
      </rPr>
      <t>收款单位名称（结算对象</t>
    </r>
    <r>
      <rPr>
        <b/>
        <sz val="10"/>
        <rFont val="Times New Roman"/>
        <charset val="134"/>
      </rPr>
      <t>)</t>
    </r>
  </si>
  <si>
    <r>
      <rPr>
        <b/>
        <sz val="10"/>
        <rFont val="宋体"/>
        <charset val="134"/>
      </rPr>
      <t>未函证原因</t>
    </r>
  </si>
  <si>
    <r>
      <rPr>
        <sz val="10"/>
        <rFont val="宋体"/>
        <charset val="134"/>
      </rPr>
      <t>预付账款</t>
    </r>
    <r>
      <rPr>
        <sz val="10"/>
        <rFont val="Times New Roman"/>
        <charset val="134"/>
      </rPr>
      <t>01</t>
    </r>
  </si>
  <si>
    <r>
      <rPr>
        <sz val="10"/>
        <rFont val="宋体"/>
        <charset val="134"/>
      </rPr>
      <t>预付账款</t>
    </r>
    <r>
      <rPr>
        <sz val="10"/>
        <rFont val="Times New Roman"/>
        <charset val="134"/>
      </rPr>
      <t>02</t>
    </r>
  </si>
  <si>
    <r>
      <rPr>
        <sz val="10"/>
        <rFont val="宋体"/>
        <charset val="134"/>
      </rPr>
      <t>预付账款</t>
    </r>
    <r>
      <rPr>
        <sz val="10"/>
        <rFont val="Times New Roman"/>
        <charset val="134"/>
      </rPr>
      <t>03</t>
    </r>
  </si>
  <si>
    <r>
      <rPr>
        <sz val="10"/>
        <rFont val="宋体"/>
        <charset val="134"/>
      </rPr>
      <t>预付账款</t>
    </r>
    <r>
      <rPr>
        <sz val="10"/>
        <rFont val="Times New Roman"/>
        <charset val="134"/>
      </rPr>
      <t>04</t>
    </r>
  </si>
  <si>
    <r>
      <rPr>
        <sz val="10"/>
        <rFont val="宋体"/>
        <charset val="134"/>
      </rPr>
      <t>预付账款</t>
    </r>
    <r>
      <rPr>
        <sz val="10"/>
        <rFont val="Times New Roman"/>
        <charset val="134"/>
      </rPr>
      <t>05</t>
    </r>
  </si>
  <si>
    <r>
      <rPr>
        <sz val="10"/>
        <rFont val="宋体"/>
        <charset val="134"/>
      </rPr>
      <t>预付账款</t>
    </r>
    <r>
      <rPr>
        <sz val="10"/>
        <rFont val="Times New Roman"/>
        <charset val="134"/>
      </rPr>
      <t>06</t>
    </r>
  </si>
  <si>
    <r>
      <rPr>
        <sz val="10"/>
        <rFont val="宋体"/>
        <charset val="134"/>
      </rPr>
      <t>预付账款</t>
    </r>
    <r>
      <rPr>
        <sz val="10"/>
        <rFont val="Times New Roman"/>
        <charset val="134"/>
      </rPr>
      <t>07</t>
    </r>
  </si>
  <si>
    <r>
      <rPr>
        <sz val="10"/>
        <rFont val="宋体"/>
        <charset val="134"/>
      </rPr>
      <t>预付账款</t>
    </r>
    <r>
      <rPr>
        <sz val="10"/>
        <rFont val="Times New Roman"/>
        <charset val="134"/>
      </rPr>
      <t>08</t>
    </r>
  </si>
  <si>
    <r>
      <rPr>
        <sz val="10"/>
        <rFont val="宋体"/>
        <charset val="134"/>
      </rPr>
      <t>预付账款</t>
    </r>
    <r>
      <rPr>
        <sz val="10"/>
        <rFont val="Times New Roman"/>
        <charset val="134"/>
      </rPr>
      <t>09</t>
    </r>
  </si>
  <si>
    <r>
      <rPr>
        <sz val="10"/>
        <rFont val="宋体"/>
        <charset val="134"/>
      </rPr>
      <t>预付账款</t>
    </r>
    <r>
      <rPr>
        <sz val="10"/>
        <rFont val="Times New Roman"/>
        <charset val="134"/>
      </rPr>
      <t>10</t>
    </r>
  </si>
  <si>
    <r>
      <rPr>
        <sz val="10"/>
        <rFont val="宋体"/>
        <charset val="134"/>
      </rPr>
      <t>预付账款</t>
    </r>
    <r>
      <rPr>
        <sz val="10"/>
        <rFont val="Times New Roman"/>
        <charset val="134"/>
      </rPr>
      <t>11</t>
    </r>
  </si>
  <si>
    <r>
      <rPr>
        <sz val="10"/>
        <rFont val="宋体"/>
        <charset val="134"/>
      </rPr>
      <t>预付账款</t>
    </r>
    <r>
      <rPr>
        <sz val="10"/>
        <rFont val="Times New Roman"/>
        <charset val="134"/>
      </rPr>
      <t>12</t>
    </r>
  </si>
  <si>
    <r>
      <rPr>
        <sz val="10"/>
        <rFont val="宋体"/>
        <charset val="134"/>
      </rPr>
      <t>预付账款</t>
    </r>
    <r>
      <rPr>
        <sz val="10"/>
        <rFont val="Times New Roman"/>
        <charset val="134"/>
      </rPr>
      <t>13</t>
    </r>
  </si>
  <si>
    <r>
      <rPr>
        <sz val="10"/>
        <rFont val="宋体"/>
        <charset val="134"/>
      </rPr>
      <t>预付账款</t>
    </r>
    <r>
      <rPr>
        <sz val="10"/>
        <rFont val="Times New Roman"/>
        <charset val="134"/>
      </rPr>
      <t>14</t>
    </r>
  </si>
  <si>
    <r>
      <rPr>
        <sz val="10"/>
        <rFont val="宋体"/>
        <charset val="134"/>
      </rPr>
      <t>预付账款</t>
    </r>
    <r>
      <rPr>
        <sz val="10"/>
        <rFont val="Times New Roman"/>
        <charset val="134"/>
      </rPr>
      <t>15</t>
    </r>
  </si>
  <si>
    <r>
      <rPr>
        <sz val="10"/>
        <rFont val="宋体"/>
        <charset val="134"/>
      </rPr>
      <t>预付账款</t>
    </r>
    <r>
      <rPr>
        <sz val="10"/>
        <rFont val="Times New Roman"/>
        <charset val="134"/>
      </rPr>
      <t>16</t>
    </r>
  </si>
  <si>
    <r>
      <rPr>
        <sz val="10"/>
        <rFont val="宋体"/>
        <charset val="134"/>
      </rPr>
      <t>预付账款</t>
    </r>
    <r>
      <rPr>
        <sz val="10"/>
        <rFont val="Times New Roman"/>
        <charset val="134"/>
      </rPr>
      <t>17</t>
    </r>
  </si>
  <si>
    <r>
      <rPr>
        <sz val="10"/>
        <rFont val="宋体"/>
        <charset val="134"/>
      </rPr>
      <t>预付账款</t>
    </r>
    <r>
      <rPr>
        <sz val="10"/>
        <rFont val="Times New Roman"/>
        <charset val="134"/>
      </rPr>
      <t>18</t>
    </r>
  </si>
  <si>
    <r>
      <rPr>
        <sz val="10"/>
        <rFont val="宋体"/>
        <charset val="134"/>
      </rPr>
      <t>预付账款</t>
    </r>
    <r>
      <rPr>
        <sz val="10"/>
        <rFont val="Times New Roman"/>
        <charset val="134"/>
      </rPr>
      <t>19</t>
    </r>
  </si>
  <si>
    <r>
      <rPr>
        <sz val="10"/>
        <rFont val="宋体"/>
        <charset val="134"/>
      </rPr>
      <t>预付账款</t>
    </r>
    <r>
      <rPr>
        <sz val="10"/>
        <rFont val="Times New Roman"/>
        <charset val="134"/>
      </rPr>
      <t>20</t>
    </r>
  </si>
  <si>
    <r>
      <rPr>
        <sz val="18"/>
        <rFont val="宋体"/>
        <charset val="134"/>
      </rPr>
      <t>其他应收款评估汇总表</t>
    </r>
  </si>
  <si>
    <r>
      <rPr>
        <sz val="10"/>
        <rFont val="宋体"/>
        <charset val="134"/>
      </rPr>
      <t>应收利息</t>
    </r>
  </si>
  <si>
    <r>
      <rPr>
        <sz val="10"/>
        <rFont val="宋体"/>
        <charset val="134"/>
      </rPr>
      <t>应收股利</t>
    </r>
  </si>
  <si>
    <r>
      <rPr>
        <sz val="10"/>
        <rFont val="宋体"/>
        <charset val="134"/>
      </rPr>
      <t>其他应收款</t>
    </r>
    <r>
      <rPr>
        <sz val="10"/>
        <rFont val="Times New Roman"/>
        <charset val="134"/>
      </rPr>
      <t>-</t>
    </r>
    <r>
      <rPr>
        <sz val="10"/>
        <rFont val="宋体"/>
        <charset val="134"/>
      </rPr>
      <t>其他</t>
    </r>
  </si>
  <si>
    <t>其他应收款合计</t>
  </si>
  <si>
    <r>
      <rPr>
        <sz val="18"/>
        <rFont val="宋体"/>
        <charset val="134"/>
      </rPr>
      <t>其他应收</t>
    </r>
    <r>
      <rPr>
        <sz val="18"/>
        <rFont val="Times New Roman"/>
        <charset val="134"/>
      </rPr>
      <t>-</t>
    </r>
    <r>
      <rPr>
        <sz val="18"/>
        <rFont val="宋体"/>
        <charset val="134"/>
      </rPr>
      <t>利息评估明细表</t>
    </r>
  </si>
  <si>
    <t>外币本金金额</t>
  </si>
  <si>
    <r>
      <rPr>
        <b/>
        <sz val="10"/>
        <rFont val="宋体"/>
        <charset val="134"/>
      </rPr>
      <t>本金</t>
    </r>
  </si>
  <si>
    <r>
      <rPr>
        <b/>
        <sz val="10"/>
        <rFont val="宋体"/>
        <charset val="134"/>
      </rPr>
      <t>利息所属期间</t>
    </r>
  </si>
  <si>
    <r>
      <rPr>
        <b/>
        <sz val="10"/>
        <rFont val="宋体"/>
        <charset val="134"/>
      </rPr>
      <t>利息率</t>
    </r>
    <r>
      <rPr>
        <b/>
        <sz val="10"/>
        <rFont val="Times New Roman"/>
        <charset val="134"/>
      </rPr>
      <t>%</t>
    </r>
  </si>
  <si>
    <r>
      <rPr>
        <sz val="10"/>
        <rFont val="宋体"/>
        <charset val="134"/>
      </rPr>
      <t>其他应收</t>
    </r>
    <r>
      <rPr>
        <sz val="10"/>
        <rFont val="Times New Roman"/>
        <charset val="134"/>
      </rPr>
      <t>-</t>
    </r>
    <r>
      <rPr>
        <sz val="10"/>
        <rFont val="宋体"/>
        <charset val="134"/>
      </rPr>
      <t>利息</t>
    </r>
    <r>
      <rPr>
        <sz val="10"/>
        <rFont val="Times New Roman"/>
        <charset val="134"/>
      </rPr>
      <t>01</t>
    </r>
  </si>
  <si>
    <r>
      <rPr>
        <sz val="10"/>
        <rFont val="宋体"/>
        <charset val="134"/>
      </rPr>
      <t>其他应收</t>
    </r>
    <r>
      <rPr>
        <sz val="10"/>
        <rFont val="Times New Roman"/>
        <charset val="134"/>
      </rPr>
      <t>-</t>
    </r>
    <r>
      <rPr>
        <sz val="10"/>
        <rFont val="宋体"/>
        <charset val="134"/>
      </rPr>
      <t>利息</t>
    </r>
    <r>
      <rPr>
        <sz val="10"/>
        <rFont val="Times New Roman"/>
        <charset val="134"/>
      </rPr>
      <t>02</t>
    </r>
  </si>
  <si>
    <r>
      <rPr>
        <sz val="10"/>
        <rFont val="宋体"/>
        <charset val="134"/>
      </rPr>
      <t>其他应收</t>
    </r>
    <r>
      <rPr>
        <sz val="10"/>
        <rFont val="Times New Roman"/>
        <charset val="134"/>
      </rPr>
      <t>-</t>
    </r>
    <r>
      <rPr>
        <sz val="10"/>
        <rFont val="宋体"/>
        <charset val="134"/>
      </rPr>
      <t>利息</t>
    </r>
    <r>
      <rPr>
        <sz val="10"/>
        <rFont val="Times New Roman"/>
        <charset val="134"/>
      </rPr>
      <t>03</t>
    </r>
  </si>
  <si>
    <r>
      <rPr>
        <sz val="10"/>
        <rFont val="宋体"/>
        <charset val="134"/>
      </rPr>
      <t>其他应收</t>
    </r>
    <r>
      <rPr>
        <sz val="10"/>
        <rFont val="Times New Roman"/>
        <charset val="134"/>
      </rPr>
      <t>-</t>
    </r>
    <r>
      <rPr>
        <sz val="10"/>
        <rFont val="宋体"/>
        <charset val="134"/>
      </rPr>
      <t>利息</t>
    </r>
    <r>
      <rPr>
        <sz val="10"/>
        <rFont val="Times New Roman"/>
        <charset val="134"/>
      </rPr>
      <t>04</t>
    </r>
  </si>
  <si>
    <r>
      <rPr>
        <sz val="10"/>
        <rFont val="宋体"/>
        <charset val="134"/>
      </rPr>
      <t>其他应收</t>
    </r>
    <r>
      <rPr>
        <sz val="10"/>
        <rFont val="Times New Roman"/>
        <charset val="134"/>
      </rPr>
      <t>-</t>
    </r>
    <r>
      <rPr>
        <sz val="10"/>
        <rFont val="宋体"/>
        <charset val="134"/>
      </rPr>
      <t>利息</t>
    </r>
    <r>
      <rPr>
        <sz val="10"/>
        <rFont val="Times New Roman"/>
        <charset val="134"/>
      </rPr>
      <t>05</t>
    </r>
  </si>
  <si>
    <r>
      <rPr>
        <sz val="10"/>
        <rFont val="宋体"/>
        <charset val="134"/>
      </rPr>
      <t>其他应收</t>
    </r>
    <r>
      <rPr>
        <sz val="10"/>
        <rFont val="Times New Roman"/>
        <charset val="134"/>
      </rPr>
      <t>-</t>
    </r>
    <r>
      <rPr>
        <sz val="10"/>
        <rFont val="宋体"/>
        <charset val="134"/>
      </rPr>
      <t>利息</t>
    </r>
    <r>
      <rPr>
        <sz val="10"/>
        <rFont val="Times New Roman"/>
        <charset val="134"/>
      </rPr>
      <t>06</t>
    </r>
  </si>
  <si>
    <r>
      <rPr>
        <sz val="10"/>
        <rFont val="宋体"/>
        <charset val="134"/>
      </rPr>
      <t>其他应收</t>
    </r>
    <r>
      <rPr>
        <sz val="10"/>
        <rFont val="Times New Roman"/>
        <charset val="134"/>
      </rPr>
      <t>-</t>
    </r>
    <r>
      <rPr>
        <sz val="10"/>
        <rFont val="宋体"/>
        <charset val="134"/>
      </rPr>
      <t>利息</t>
    </r>
    <r>
      <rPr>
        <sz val="10"/>
        <rFont val="Times New Roman"/>
        <charset val="134"/>
      </rPr>
      <t>07</t>
    </r>
  </si>
  <si>
    <r>
      <rPr>
        <sz val="10"/>
        <rFont val="宋体"/>
        <charset val="134"/>
      </rPr>
      <t>其他应收</t>
    </r>
    <r>
      <rPr>
        <sz val="10"/>
        <rFont val="Times New Roman"/>
        <charset val="134"/>
      </rPr>
      <t>-</t>
    </r>
    <r>
      <rPr>
        <sz val="10"/>
        <rFont val="宋体"/>
        <charset val="134"/>
      </rPr>
      <t>利息</t>
    </r>
    <r>
      <rPr>
        <sz val="10"/>
        <rFont val="Times New Roman"/>
        <charset val="134"/>
      </rPr>
      <t>08</t>
    </r>
  </si>
  <si>
    <r>
      <rPr>
        <sz val="10"/>
        <rFont val="宋体"/>
        <charset val="134"/>
      </rPr>
      <t>其他应收</t>
    </r>
    <r>
      <rPr>
        <sz val="10"/>
        <rFont val="Times New Roman"/>
        <charset val="134"/>
      </rPr>
      <t>-</t>
    </r>
    <r>
      <rPr>
        <sz val="10"/>
        <rFont val="宋体"/>
        <charset val="134"/>
      </rPr>
      <t>利息</t>
    </r>
    <r>
      <rPr>
        <sz val="10"/>
        <rFont val="Times New Roman"/>
        <charset val="134"/>
      </rPr>
      <t>09</t>
    </r>
  </si>
  <si>
    <r>
      <rPr>
        <sz val="10"/>
        <rFont val="宋体"/>
        <charset val="134"/>
      </rPr>
      <t>其他应收</t>
    </r>
    <r>
      <rPr>
        <sz val="10"/>
        <rFont val="Times New Roman"/>
        <charset val="134"/>
      </rPr>
      <t>-</t>
    </r>
    <r>
      <rPr>
        <sz val="10"/>
        <rFont val="宋体"/>
        <charset val="134"/>
      </rPr>
      <t>利息</t>
    </r>
    <r>
      <rPr>
        <sz val="10"/>
        <rFont val="Times New Roman"/>
        <charset val="134"/>
      </rPr>
      <t>10</t>
    </r>
  </si>
  <si>
    <r>
      <rPr>
        <sz val="10"/>
        <rFont val="宋体"/>
        <charset val="134"/>
      </rPr>
      <t>其他应收</t>
    </r>
    <r>
      <rPr>
        <sz val="10"/>
        <rFont val="Times New Roman"/>
        <charset val="134"/>
      </rPr>
      <t>-</t>
    </r>
    <r>
      <rPr>
        <sz val="10"/>
        <rFont val="宋体"/>
        <charset val="134"/>
      </rPr>
      <t>利息</t>
    </r>
    <r>
      <rPr>
        <sz val="10"/>
        <rFont val="Times New Roman"/>
        <charset val="134"/>
      </rPr>
      <t>11</t>
    </r>
  </si>
  <si>
    <r>
      <rPr>
        <sz val="10"/>
        <rFont val="宋体"/>
        <charset val="134"/>
      </rPr>
      <t>其他应收</t>
    </r>
    <r>
      <rPr>
        <sz val="10"/>
        <rFont val="Times New Roman"/>
        <charset val="134"/>
      </rPr>
      <t>-</t>
    </r>
    <r>
      <rPr>
        <sz val="10"/>
        <rFont val="宋体"/>
        <charset val="134"/>
      </rPr>
      <t>利息</t>
    </r>
    <r>
      <rPr>
        <sz val="10"/>
        <rFont val="Times New Roman"/>
        <charset val="134"/>
      </rPr>
      <t>12</t>
    </r>
  </si>
  <si>
    <r>
      <rPr>
        <sz val="10"/>
        <rFont val="宋体"/>
        <charset val="134"/>
      </rPr>
      <t>其他应收</t>
    </r>
    <r>
      <rPr>
        <sz val="10"/>
        <rFont val="Times New Roman"/>
        <charset val="134"/>
      </rPr>
      <t>-</t>
    </r>
    <r>
      <rPr>
        <sz val="10"/>
        <rFont val="宋体"/>
        <charset val="134"/>
      </rPr>
      <t>利息</t>
    </r>
    <r>
      <rPr>
        <sz val="10"/>
        <rFont val="Times New Roman"/>
        <charset val="134"/>
      </rPr>
      <t>13</t>
    </r>
  </si>
  <si>
    <r>
      <rPr>
        <sz val="10"/>
        <rFont val="宋体"/>
        <charset val="134"/>
      </rPr>
      <t>其他应收</t>
    </r>
    <r>
      <rPr>
        <sz val="10"/>
        <rFont val="Times New Roman"/>
        <charset val="134"/>
      </rPr>
      <t>-</t>
    </r>
    <r>
      <rPr>
        <sz val="10"/>
        <rFont val="宋体"/>
        <charset val="134"/>
      </rPr>
      <t>利息</t>
    </r>
    <r>
      <rPr>
        <sz val="10"/>
        <rFont val="Times New Roman"/>
        <charset val="134"/>
      </rPr>
      <t>14</t>
    </r>
  </si>
  <si>
    <r>
      <rPr>
        <sz val="10"/>
        <rFont val="宋体"/>
        <charset val="134"/>
      </rPr>
      <t>其他应收</t>
    </r>
    <r>
      <rPr>
        <sz val="10"/>
        <rFont val="Times New Roman"/>
        <charset val="134"/>
      </rPr>
      <t>-</t>
    </r>
    <r>
      <rPr>
        <sz val="10"/>
        <rFont val="宋体"/>
        <charset val="134"/>
      </rPr>
      <t>利息</t>
    </r>
    <r>
      <rPr>
        <sz val="10"/>
        <rFont val="Times New Roman"/>
        <charset val="134"/>
      </rPr>
      <t>15</t>
    </r>
  </si>
  <si>
    <r>
      <rPr>
        <sz val="10"/>
        <rFont val="宋体"/>
        <charset val="134"/>
      </rPr>
      <t>其他应收</t>
    </r>
    <r>
      <rPr>
        <sz val="10"/>
        <rFont val="Times New Roman"/>
        <charset val="134"/>
      </rPr>
      <t>-</t>
    </r>
    <r>
      <rPr>
        <sz val="10"/>
        <rFont val="宋体"/>
        <charset val="134"/>
      </rPr>
      <t>利息</t>
    </r>
    <r>
      <rPr>
        <sz val="10"/>
        <rFont val="Times New Roman"/>
        <charset val="134"/>
      </rPr>
      <t>16</t>
    </r>
  </si>
  <si>
    <r>
      <rPr>
        <sz val="10"/>
        <rFont val="宋体"/>
        <charset val="134"/>
      </rPr>
      <t>其他应收</t>
    </r>
    <r>
      <rPr>
        <sz val="10"/>
        <rFont val="Times New Roman"/>
        <charset val="134"/>
      </rPr>
      <t>-</t>
    </r>
    <r>
      <rPr>
        <sz val="10"/>
        <rFont val="宋体"/>
        <charset val="134"/>
      </rPr>
      <t>利息</t>
    </r>
    <r>
      <rPr>
        <sz val="10"/>
        <rFont val="Times New Roman"/>
        <charset val="134"/>
      </rPr>
      <t>17</t>
    </r>
  </si>
  <si>
    <r>
      <rPr>
        <sz val="10"/>
        <rFont val="宋体"/>
        <charset val="134"/>
      </rPr>
      <t>其他应收</t>
    </r>
    <r>
      <rPr>
        <sz val="10"/>
        <rFont val="Times New Roman"/>
        <charset val="134"/>
      </rPr>
      <t>-</t>
    </r>
    <r>
      <rPr>
        <sz val="10"/>
        <rFont val="宋体"/>
        <charset val="134"/>
      </rPr>
      <t>利息</t>
    </r>
    <r>
      <rPr>
        <sz val="10"/>
        <rFont val="Times New Roman"/>
        <charset val="134"/>
      </rPr>
      <t>18</t>
    </r>
  </si>
  <si>
    <r>
      <rPr>
        <sz val="10"/>
        <rFont val="宋体"/>
        <charset val="134"/>
      </rPr>
      <t>其他应收</t>
    </r>
    <r>
      <rPr>
        <sz val="10"/>
        <rFont val="Times New Roman"/>
        <charset val="134"/>
      </rPr>
      <t>-</t>
    </r>
    <r>
      <rPr>
        <sz val="10"/>
        <rFont val="宋体"/>
        <charset val="134"/>
      </rPr>
      <t>利息</t>
    </r>
    <r>
      <rPr>
        <sz val="10"/>
        <rFont val="Times New Roman"/>
        <charset val="134"/>
      </rPr>
      <t>19</t>
    </r>
  </si>
  <si>
    <r>
      <rPr>
        <sz val="10"/>
        <rFont val="宋体"/>
        <charset val="134"/>
      </rPr>
      <t>其他应收</t>
    </r>
    <r>
      <rPr>
        <sz val="10"/>
        <rFont val="Times New Roman"/>
        <charset val="134"/>
      </rPr>
      <t>-</t>
    </r>
    <r>
      <rPr>
        <sz val="10"/>
        <rFont val="宋体"/>
        <charset val="134"/>
      </rPr>
      <t>利息</t>
    </r>
    <r>
      <rPr>
        <sz val="10"/>
        <rFont val="Times New Roman"/>
        <charset val="134"/>
      </rPr>
      <t>20</t>
    </r>
  </si>
  <si>
    <r>
      <rPr>
        <sz val="18"/>
        <rFont val="宋体"/>
        <charset val="134"/>
      </rPr>
      <t>其他应收</t>
    </r>
    <r>
      <rPr>
        <sz val="18"/>
        <rFont val="Times New Roman"/>
        <charset val="134"/>
      </rPr>
      <t>-</t>
    </r>
    <r>
      <rPr>
        <sz val="18"/>
        <rFont val="宋体"/>
        <charset val="134"/>
      </rPr>
      <t>股利评估明细表</t>
    </r>
  </si>
  <si>
    <r>
      <rPr>
        <b/>
        <sz val="10"/>
        <rFont val="宋体"/>
        <charset val="134"/>
      </rPr>
      <t>股利所属期间</t>
    </r>
  </si>
  <si>
    <r>
      <rPr>
        <sz val="10"/>
        <rFont val="宋体"/>
        <charset val="134"/>
      </rPr>
      <t>其他应收</t>
    </r>
    <r>
      <rPr>
        <sz val="10"/>
        <rFont val="Times New Roman"/>
        <charset val="134"/>
      </rPr>
      <t>-</t>
    </r>
    <r>
      <rPr>
        <sz val="10"/>
        <rFont val="宋体"/>
        <charset val="134"/>
      </rPr>
      <t>股利</t>
    </r>
    <r>
      <rPr>
        <sz val="10"/>
        <rFont val="Times New Roman"/>
        <charset val="134"/>
      </rPr>
      <t>01</t>
    </r>
  </si>
  <si>
    <r>
      <rPr>
        <sz val="10"/>
        <rFont val="宋体"/>
        <charset val="134"/>
      </rPr>
      <t>其他应收</t>
    </r>
    <r>
      <rPr>
        <sz val="10"/>
        <rFont val="Times New Roman"/>
        <charset val="134"/>
      </rPr>
      <t>-</t>
    </r>
    <r>
      <rPr>
        <sz val="10"/>
        <rFont val="宋体"/>
        <charset val="134"/>
      </rPr>
      <t>股利</t>
    </r>
    <r>
      <rPr>
        <sz val="10"/>
        <rFont val="Times New Roman"/>
        <charset val="134"/>
      </rPr>
      <t>02</t>
    </r>
  </si>
  <si>
    <r>
      <rPr>
        <sz val="10"/>
        <rFont val="宋体"/>
        <charset val="134"/>
      </rPr>
      <t>其他应收</t>
    </r>
    <r>
      <rPr>
        <sz val="10"/>
        <rFont val="Times New Roman"/>
        <charset val="134"/>
      </rPr>
      <t>-</t>
    </r>
    <r>
      <rPr>
        <sz val="10"/>
        <rFont val="宋体"/>
        <charset val="134"/>
      </rPr>
      <t>股利</t>
    </r>
    <r>
      <rPr>
        <sz val="10"/>
        <rFont val="Times New Roman"/>
        <charset val="134"/>
      </rPr>
      <t>03</t>
    </r>
  </si>
  <si>
    <r>
      <rPr>
        <sz val="10"/>
        <rFont val="宋体"/>
        <charset val="134"/>
      </rPr>
      <t>其他应收</t>
    </r>
    <r>
      <rPr>
        <sz val="10"/>
        <rFont val="Times New Roman"/>
        <charset val="134"/>
      </rPr>
      <t>-</t>
    </r>
    <r>
      <rPr>
        <sz val="10"/>
        <rFont val="宋体"/>
        <charset val="134"/>
      </rPr>
      <t>股利</t>
    </r>
    <r>
      <rPr>
        <sz val="10"/>
        <rFont val="Times New Roman"/>
        <charset val="134"/>
      </rPr>
      <t>04</t>
    </r>
  </si>
  <si>
    <r>
      <rPr>
        <sz val="10"/>
        <rFont val="宋体"/>
        <charset val="134"/>
      </rPr>
      <t>其他应收</t>
    </r>
    <r>
      <rPr>
        <sz val="10"/>
        <rFont val="Times New Roman"/>
        <charset val="134"/>
      </rPr>
      <t>-</t>
    </r>
    <r>
      <rPr>
        <sz val="10"/>
        <rFont val="宋体"/>
        <charset val="134"/>
      </rPr>
      <t>股利</t>
    </r>
    <r>
      <rPr>
        <sz val="10"/>
        <rFont val="Times New Roman"/>
        <charset val="134"/>
      </rPr>
      <t>05</t>
    </r>
  </si>
  <si>
    <r>
      <rPr>
        <sz val="10"/>
        <rFont val="宋体"/>
        <charset val="134"/>
      </rPr>
      <t>其他应收</t>
    </r>
    <r>
      <rPr>
        <sz val="10"/>
        <rFont val="Times New Roman"/>
        <charset val="134"/>
      </rPr>
      <t>-</t>
    </r>
    <r>
      <rPr>
        <sz val="10"/>
        <rFont val="宋体"/>
        <charset val="134"/>
      </rPr>
      <t>股利</t>
    </r>
    <r>
      <rPr>
        <sz val="10"/>
        <rFont val="Times New Roman"/>
        <charset val="134"/>
      </rPr>
      <t>06</t>
    </r>
  </si>
  <si>
    <r>
      <rPr>
        <sz val="10"/>
        <rFont val="宋体"/>
        <charset val="134"/>
      </rPr>
      <t>其他应收</t>
    </r>
    <r>
      <rPr>
        <sz val="10"/>
        <rFont val="Times New Roman"/>
        <charset val="134"/>
      </rPr>
      <t>-</t>
    </r>
    <r>
      <rPr>
        <sz val="10"/>
        <rFont val="宋体"/>
        <charset val="134"/>
      </rPr>
      <t>股利</t>
    </r>
    <r>
      <rPr>
        <sz val="10"/>
        <rFont val="Times New Roman"/>
        <charset val="134"/>
      </rPr>
      <t>07</t>
    </r>
  </si>
  <si>
    <r>
      <rPr>
        <sz val="10"/>
        <rFont val="宋体"/>
        <charset val="134"/>
      </rPr>
      <t>其他应收</t>
    </r>
    <r>
      <rPr>
        <sz val="10"/>
        <rFont val="Times New Roman"/>
        <charset val="134"/>
      </rPr>
      <t>-</t>
    </r>
    <r>
      <rPr>
        <sz val="10"/>
        <rFont val="宋体"/>
        <charset val="134"/>
      </rPr>
      <t>股利</t>
    </r>
    <r>
      <rPr>
        <sz val="10"/>
        <rFont val="Times New Roman"/>
        <charset val="134"/>
      </rPr>
      <t>08</t>
    </r>
  </si>
  <si>
    <r>
      <rPr>
        <sz val="10"/>
        <rFont val="宋体"/>
        <charset val="134"/>
      </rPr>
      <t>其他应收</t>
    </r>
    <r>
      <rPr>
        <sz val="10"/>
        <rFont val="Times New Roman"/>
        <charset val="134"/>
      </rPr>
      <t>-</t>
    </r>
    <r>
      <rPr>
        <sz val="10"/>
        <rFont val="宋体"/>
        <charset val="134"/>
      </rPr>
      <t>股利</t>
    </r>
    <r>
      <rPr>
        <sz val="10"/>
        <rFont val="Times New Roman"/>
        <charset val="134"/>
      </rPr>
      <t>09</t>
    </r>
  </si>
  <si>
    <r>
      <rPr>
        <sz val="10"/>
        <rFont val="宋体"/>
        <charset val="134"/>
      </rPr>
      <t>其他应收</t>
    </r>
    <r>
      <rPr>
        <sz val="10"/>
        <rFont val="Times New Roman"/>
        <charset val="134"/>
      </rPr>
      <t>-</t>
    </r>
    <r>
      <rPr>
        <sz val="10"/>
        <rFont val="宋体"/>
        <charset val="134"/>
      </rPr>
      <t>股利</t>
    </r>
    <r>
      <rPr>
        <sz val="10"/>
        <rFont val="Times New Roman"/>
        <charset val="134"/>
      </rPr>
      <t>10</t>
    </r>
  </si>
  <si>
    <r>
      <rPr>
        <sz val="10"/>
        <rFont val="宋体"/>
        <charset val="134"/>
      </rPr>
      <t>其他应收</t>
    </r>
    <r>
      <rPr>
        <sz val="10"/>
        <rFont val="Times New Roman"/>
        <charset val="134"/>
      </rPr>
      <t>-</t>
    </r>
    <r>
      <rPr>
        <sz val="10"/>
        <rFont val="宋体"/>
        <charset val="134"/>
      </rPr>
      <t>股利</t>
    </r>
    <r>
      <rPr>
        <sz val="10"/>
        <rFont val="Times New Roman"/>
        <charset val="134"/>
      </rPr>
      <t>11</t>
    </r>
  </si>
  <si>
    <r>
      <rPr>
        <sz val="10"/>
        <rFont val="宋体"/>
        <charset val="134"/>
      </rPr>
      <t>其他应收</t>
    </r>
    <r>
      <rPr>
        <sz val="10"/>
        <rFont val="Times New Roman"/>
        <charset val="134"/>
      </rPr>
      <t>-</t>
    </r>
    <r>
      <rPr>
        <sz val="10"/>
        <rFont val="宋体"/>
        <charset val="134"/>
      </rPr>
      <t>股利</t>
    </r>
    <r>
      <rPr>
        <sz val="10"/>
        <rFont val="Times New Roman"/>
        <charset val="134"/>
      </rPr>
      <t>12</t>
    </r>
  </si>
  <si>
    <r>
      <rPr>
        <sz val="10"/>
        <rFont val="宋体"/>
        <charset val="134"/>
      </rPr>
      <t>其他应收</t>
    </r>
    <r>
      <rPr>
        <sz val="10"/>
        <rFont val="Times New Roman"/>
        <charset val="134"/>
      </rPr>
      <t>-</t>
    </r>
    <r>
      <rPr>
        <sz val="10"/>
        <rFont val="宋体"/>
        <charset val="134"/>
      </rPr>
      <t>股利</t>
    </r>
    <r>
      <rPr>
        <sz val="10"/>
        <rFont val="Times New Roman"/>
        <charset val="134"/>
      </rPr>
      <t>13</t>
    </r>
  </si>
  <si>
    <r>
      <rPr>
        <sz val="10"/>
        <rFont val="宋体"/>
        <charset val="134"/>
      </rPr>
      <t>其他应收</t>
    </r>
    <r>
      <rPr>
        <sz val="10"/>
        <rFont val="Times New Roman"/>
        <charset val="134"/>
      </rPr>
      <t>-</t>
    </r>
    <r>
      <rPr>
        <sz val="10"/>
        <rFont val="宋体"/>
        <charset val="134"/>
      </rPr>
      <t>股利</t>
    </r>
    <r>
      <rPr>
        <sz val="10"/>
        <rFont val="Times New Roman"/>
        <charset val="134"/>
      </rPr>
      <t>14</t>
    </r>
  </si>
  <si>
    <r>
      <rPr>
        <sz val="10"/>
        <rFont val="宋体"/>
        <charset val="134"/>
      </rPr>
      <t>其他应收</t>
    </r>
    <r>
      <rPr>
        <sz val="10"/>
        <rFont val="Times New Roman"/>
        <charset val="134"/>
      </rPr>
      <t>-</t>
    </r>
    <r>
      <rPr>
        <sz val="10"/>
        <rFont val="宋体"/>
        <charset val="134"/>
      </rPr>
      <t>股利</t>
    </r>
    <r>
      <rPr>
        <sz val="10"/>
        <rFont val="Times New Roman"/>
        <charset val="134"/>
      </rPr>
      <t>15</t>
    </r>
  </si>
  <si>
    <r>
      <rPr>
        <sz val="10"/>
        <rFont val="宋体"/>
        <charset val="134"/>
      </rPr>
      <t>其他应收</t>
    </r>
    <r>
      <rPr>
        <sz val="10"/>
        <rFont val="Times New Roman"/>
        <charset val="134"/>
      </rPr>
      <t>-</t>
    </r>
    <r>
      <rPr>
        <sz val="10"/>
        <rFont val="宋体"/>
        <charset val="134"/>
      </rPr>
      <t>股利</t>
    </r>
    <r>
      <rPr>
        <sz val="10"/>
        <rFont val="Times New Roman"/>
        <charset val="134"/>
      </rPr>
      <t>16</t>
    </r>
  </si>
  <si>
    <r>
      <rPr>
        <sz val="10"/>
        <rFont val="宋体"/>
        <charset val="134"/>
      </rPr>
      <t>其他应收</t>
    </r>
    <r>
      <rPr>
        <sz val="10"/>
        <rFont val="Times New Roman"/>
        <charset val="134"/>
      </rPr>
      <t>-</t>
    </r>
    <r>
      <rPr>
        <sz val="10"/>
        <rFont val="宋体"/>
        <charset val="134"/>
      </rPr>
      <t>股利</t>
    </r>
    <r>
      <rPr>
        <sz val="10"/>
        <rFont val="Times New Roman"/>
        <charset val="134"/>
      </rPr>
      <t>17</t>
    </r>
  </si>
  <si>
    <r>
      <rPr>
        <sz val="10"/>
        <rFont val="宋体"/>
        <charset val="134"/>
      </rPr>
      <t>其他应收</t>
    </r>
    <r>
      <rPr>
        <sz val="10"/>
        <rFont val="Times New Roman"/>
        <charset val="134"/>
      </rPr>
      <t>-</t>
    </r>
    <r>
      <rPr>
        <sz val="10"/>
        <rFont val="宋体"/>
        <charset val="134"/>
      </rPr>
      <t>股利</t>
    </r>
    <r>
      <rPr>
        <sz val="10"/>
        <rFont val="Times New Roman"/>
        <charset val="134"/>
      </rPr>
      <t>18</t>
    </r>
  </si>
  <si>
    <r>
      <rPr>
        <sz val="10"/>
        <rFont val="宋体"/>
        <charset val="134"/>
      </rPr>
      <t>其他应收</t>
    </r>
    <r>
      <rPr>
        <sz val="10"/>
        <rFont val="Times New Roman"/>
        <charset val="134"/>
      </rPr>
      <t>-</t>
    </r>
    <r>
      <rPr>
        <sz val="10"/>
        <rFont val="宋体"/>
        <charset val="134"/>
      </rPr>
      <t>股利</t>
    </r>
    <r>
      <rPr>
        <sz val="10"/>
        <rFont val="Times New Roman"/>
        <charset val="134"/>
      </rPr>
      <t>19</t>
    </r>
  </si>
  <si>
    <r>
      <rPr>
        <sz val="10"/>
        <rFont val="宋体"/>
        <charset val="134"/>
      </rPr>
      <t>其他应收</t>
    </r>
    <r>
      <rPr>
        <sz val="10"/>
        <rFont val="Times New Roman"/>
        <charset val="134"/>
      </rPr>
      <t>-</t>
    </r>
    <r>
      <rPr>
        <sz val="10"/>
        <rFont val="宋体"/>
        <charset val="134"/>
      </rPr>
      <t>股利</t>
    </r>
    <r>
      <rPr>
        <sz val="10"/>
        <rFont val="Times New Roman"/>
        <charset val="134"/>
      </rPr>
      <t>20</t>
    </r>
  </si>
  <si>
    <r>
      <rPr>
        <sz val="18"/>
        <rFont val="宋体"/>
        <charset val="134"/>
      </rPr>
      <t>其他应收款</t>
    </r>
    <r>
      <rPr>
        <sz val="18"/>
        <rFont val="Times New Roman"/>
        <charset val="134"/>
      </rPr>
      <t>-</t>
    </r>
    <r>
      <rPr>
        <sz val="18"/>
        <rFont val="宋体"/>
        <charset val="134"/>
      </rPr>
      <t>其他评估明细表</t>
    </r>
  </si>
  <si>
    <r>
      <rPr>
        <sz val="10"/>
        <rFont val="宋体"/>
        <charset val="134"/>
      </rPr>
      <t>其他应收</t>
    </r>
    <r>
      <rPr>
        <sz val="10"/>
        <rFont val="Times New Roman"/>
        <charset val="134"/>
      </rPr>
      <t>-</t>
    </r>
    <r>
      <rPr>
        <sz val="10"/>
        <rFont val="宋体"/>
        <charset val="134"/>
      </rPr>
      <t>其他</t>
    </r>
    <r>
      <rPr>
        <sz val="10"/>
        <rFont val="Times New Roman"/>
        <charset val="134"/>
      </rPr>
      <t>01</t>
    </r>
  </si>
  <si>
    <r>
      <rPr>
        <sz val="10"/>
        <rFont val="宋体"/>
        <charset val="134"/>
      </rPr>
      <t>其他应收</t>
    </r>
    <r>
      <rPr>
        <sz val="10"/>
        <rFont val="Times New Roman"/>
        <charset val="134"/>
      </rPr>
      <t>-</t>
    </r>
    <r>
      <rPr>
        <sz val="10"/>
        <rFont val="宋体"/>
        <charset val="134"/>
      </rPr>
      <t>其他</t>
    </r>
    <r>
      <rPr>
        <sz val="10"/>
        <rFont val="Times New Roman"/>
        <charset val="134"/>
      </rPr>
      <t>02</t>
    </r>
  </si>
  <si>
    <r>
      <rPr>
        <sz val="10"/>
        <rFont val="宋体"/>
        <charset val="134"/>
      </rPr>
      <t>其他应收</t>
    </r>
    <r>
      <rPr>
        <sz val="10"/>
        <rFont val="Times New Roman"/>
        <charset val="134"/>
      </rPr>
      <t>-</t>
    </r>
    <r>
      <rPr>
        <sz val="10"/>
        <rFont val="宋体"/>
        <charset val="134"/>
      </rPr>
      <t>其他</t>
    </r>
    <r>
      <rPr>
        <sz val="10"/>
        <rFont val="Times New Roman"/>
        <charset val="134"/>
      </rPr>
      <t>03</t>
    </r>
  </si>
  <si>
    <r>
      <rPr>
        <sz val="10"/>
        <rFont val="宋体"/>
        <charset val="134"/>
      </rPr>
      <t>其他应收</t>
    </r>
    <r>
      <rPr>
        <sz val="10"/>
        <rFont val="Times New Roman"/>
        <charset val="134"/>
      </rPr>
      <t>-</t>
    </r>
    <r>
      <rPr>
        <sz val="10"/>
        <rFont val="宋体"/>
        <charset val="134"/>
      </rPr>
      <t>其他</t>
    </r>
    <r>
      <rPr>
        <sz val="10"/>
        <rFont val="Times New Roman"/>
        <charset val="134"/>
      </rPr>
      <t>04</t>
    </r>
  </si>
  <si>
    <r>
      <rPr>
        <sz val="10"/>
        <rFont val="宋体"/>
        <charset val="134"/>
      </rPr>
      <t>其他应收</t>
    </r>
    <r>
      <rPr>
        <sz val="10"/>
        <rFont val="Times New Roman"/>
        <charset val="134"/>
      </rPr>
      <t>-</t>
    </r>
    <r>
      <rPr>
        <sz val="10"/>
        <rFont val="宋体"/>
        <charset val="134"/>
      </rPr>
      <t>其他</t>
    </r>
    <r>
      <rPr>
        <sz val="10"/>
        <rFont val="Times New Roman"/>
        <charset val="134"/>
      </rPr>
      <t>05</t>
    </r>
  </si>
  <si>
    <r>
      <rPr>
        <sz val="10"/>
        <rFont val="宋体"/>
        <charset val="134"/>
      </rPr>
      <t>其他应收</t>
    </r>
    <r>
      <rPr>
        <sz val="10"/>
        <rFont val="Times New Roman"/>
        <charset val="134"/>
      </rPr>
      <t>-</t>
    </r>
    <r>
      <rPr>
        <sz val="10"/>
        <rFont val="宋体"/>
        <charset val="134"/>
      </rPr>
      <t>其他</t>
    </r>
    <r>
      <rPr>
        <sz val="10"/>
        <rFont val="Times New Roman"/>
        <charset val="134"/>
      </rPr>
      <t>06</t>
    </r>
  </si>
  <si>
    <r>
      <rPr>
        <sz val="10"/>
        <rFont val="宋体"/>
        <charset val="134"/>
      </rPr>
      <t>其他应收</t>
    </r>
    <r>
      <rPr>
        <sz val="10"/>
        <rFont val="Times New Roman"/>
        <charset val="134"/>
      </rPr>
      <t>-</t>
    </r>
    <r>
      <rPr>
        <sz val="10"/>
        <rFont val="宋体"/>
        <charset val="134"/>
      </rPr>
      <t>其他</t>
    </r>
    <r>
      <rPr>
        <sz val="10"/>
        <rFont val="Times New Roman"/>
        <charset val="134"/>
      </rPr>
      <t>07</t>
    </r>
  </si>
  <si>
    <r>
      <rPr>
        <sz val="10"/>
        <rFont val="宋体"/>
        <charset val="134"/>
      </rPr>
      <t>其他应收</t>
    </r>
    <r>
      <rPr>
        <sz val="10"/>
        <rFont val="Times New Roman"/>
        <charset val="134"/>
      </rPr>
      <t>-</t>
    </r>
    <r>
      <rPr>
        <sz val="10"/>
        <rFont val="宋体"/>
        <charset val="134"/>
      </rPr>
      <t>其他</t>
    </r>
    <r>
      <rPr>
        <sz val="10"/>
        <rFont val="Times New Roman"/>
        <charset val="134"/>
      </rPr>
      <t>08</t>
    </r>
  </si>
  <si>
    <r>
      <rPr>
        <sz val="10"/>
        <rFont val="宋体"/>
        <charset val="134"/>
      </rPr>
      <t>其他应收</t>
    </r>
    <r>
      <rPr>
        <sz val="10"/>
        <rFont val="Times New Roman"/>
        <charset val="134"/>
      </rPr>
      <t>-</t>
    </r>
    <r>
      <rPr>
        <sz val="10"/>
        <rFont val="宋体"/>
        <charset val="134"/>
      </rPr>
      <t>其他</t>
    </r>
    <r>
      <rPr>
        <sz val="10"/>
        <rFont val="Times New Roman"/>
        <charset val="134"/>
      </rPr>
      <t>09</t>
    </r>
  </si>
  <si>
    <r>
      <rPr>
        <sz val="10"/>
        <rFont val="宋体"/>
        <charset val="134"/>
      </rPr>
      <t>其他应收</t>
    </r>
    <r>
      <rPr>
        <sz val="10"/>
        <rFont val="Times New Roman"/>
        <charset val="134"/>
      </rPr>
      <t>-</t>
    </r>
    <r>
      <rPr>
        <sz val="10"/>
        <rFont val="宋体"/>
        <charset val="134"/>
      </rPr>
      <t>其他</t>
    </r>
    <r>
      <rPr>
        <sz val="10"/>
        <rFont val="Times New Roman"/>
        <charset val="134"/>
      </rPr>
      <t>10</t>
    </r>
  </si>
  <si>
    <r>
      <rPr>
        <sz val="10"/>
        <rFont val="宋体"/>
        <charset val="134"/>
      </rPr>
      <t>其他应收</t>
    </r>
    <r>
      <rPr>
        <sz val="10"/>
        <rFont val="Times New Roman"/>
        <charset val="134"/>
      </rPr>
      <t>-</t>
    </r>
    <r>
      <rPr>
        <sz val="10"/>
        <rFont val="宋体"/>
        <charset val="134"/>
      </rPr>
      <t>其他</t>
    </r>
    <r>
      <rPr>
        <sz val="10"/>
        <rFont val="Times New Roman"/>
        <charset val="134"/>
      </rPr>
      <t>11</t>
    </r>
  </si>
  <si>
    <r>
      <rPr>
        <sz val="10"/>
        <rFont val="宋体"/>
        <charset val="134"/>
      </rPr>
      <t>其他应收</t>
    </r>
    <r>
      <rPr>
        <sz val="10"/>
        <rFont val="Times New Roman"/>
        <charset val="134"/>
      </rPr>
      <t>-</t>
    </r>
    <r>
      <rPr>
        <sz val="10"/>
        <rFont val="宋体"/>
        <charset val="134"/>
      </rPr>
      <t>其他</t>
    </r>
    <r>
      <rPr>
        <sz val="10"/>
        <rFont val="Times New Roman"/>
        <charset val="134"/>
      </rPr>
      <t>12</t>
    </r>
  </si>
  <si>
    <r>
      <rPr>
        <sz val="10"/>
        <rFont val="宋体"/>
        <charset val="134"/>
      </rPr>
      <t>其他应收</t>
    </r>
    <r>
      <rPr>
        <sz val="10"/>
        <rFont val="Times New Roman"/>
        <charset val="134"/>
      </rPr>
      <t>-</t>
    </r>
    <r>
      <rPr>
        <sz val="10"/>
        <rFont val="宋体"/>
        <charset val="134"/>
      </rPr>
      <t>其他</t>
    </r>
    <r>
      <rPr>
        <sz val="10"/>
        <rFont val="Times New Roman"/>
        <charset val="134"/>
      </rPr>
      <t>13</t>
    </r>
  </si>
  <si>
    <r>
      <rPr>
        <sz val="10"/>
        <rFont val="宋体"/>
        <charset val="134"/>
      </rPr>
      <t>其他应收</t>
    </r>
    <r>
      <rPr>
        <sz val="10"/>
        <rFont val="Times New Roman"/>
        <charset val="134"/>
      </rPr>
      <t>-</t>
    </r>
    <r>
      <rPr>
        <sz val="10"/>
        <rFont val="宋体"/>
        <charset val="134"/>
      </rPr>
      <t>其他</t>
    </r>
    <r>
      <rPr>
        <sz val="10"/>
        <rFont val="Times New Roman"/>
        <charset val="134"/>
      </rPr>
      <t>14</t>
    </r>
  </si>
  <si>
    <r>
      <rPr>
        <sz val="10"/>
        <rFont val="宋体"/>
        <charset val="134"/>
      </rPr>
      <t>其他应收</t>
    </r>
    <r>
      <rPr>
        <sz val="10"/>
        <rFont val="Times New Roman"/>
        <charset val="134"/>
      </rPr>
      <t>-</t>
    </r>
    <r>
      <rPr>
        <sz val="10"/>
        <rFont val="宋体"/>
        <charset val="134"/>
      </rPr>
      <t>其他</t>
    </r>
    <r>
      <rPr>
        <sz val="10"/>
        <rFont val="Times New Roman"/>
        <charset val="134"/>
      </rPr>
      <t>15</t>
    </r>
  </si>
  <si>
    <r>
      <rPr>
        <sz val="10"/>
        <rFont val="宋体"/>
        <charset val="134"/>
      </rPr>
      <t>其他应收</t>
    </r>
    <r>
      <rPr>
        <sz val="10"/>
        <rFont val="Times New Roman"/>
        <charset val="134"/>
      </rPr>
      <t>-</t>
    </r>
    <r>
      <rPr>
        <sz val="10"/>
        <rFont val="宋体"/>
        <charset val="134"/>
      </rPr>
      <t>其他</t>
    </r>
    <r>
      <rPr>
        <sz val="10"/>
        <rFont val="Times New Roman"/>
        <charset val="134"/>
      </rPr>
      <t>16</t>
    </r>
  </si>
  <si>
    <r>
      <rPr>
        <sz val="10"/>
        <rFont val="宋体"/>
        <charset val="134"/>
      </rPr>
      <t>其他应收</t>
    </r>
    <r>
      <rPr>
        <sz val="10"/>
        <rFont val="Times New Roman"/>
        <charset val="134"/>
      </rPr>
      <t>-</t>
    </r>
    <r>
      <rPr>
        <sz val="10"/>
        <rFont val="宋体"/>
        <charset val="134"/>
      </rPr>
      <t>其他</t>
    </r>
    <r>
      <rPr>
        <sz val="10"/>
        <rFont val="Times New Roman"/>
        <charset val="134"/>
      </rPr>
      <t>17</t>
    </r>
  </si>
  <si>
    <r>
      <rPr>
        <sz val="10"/>
        <rFont val="宋体"/>
        <charset val="134"/>
      </rPr>
      <t>其他应收</t>
    </r>
    <r>
      <rPr>
        <sz val="10"/>
        <rFont val="Times New Roman"/>
        <charset val="134"/>
      </rPr>
      <t>-</t>
    </r>
    <r>
      <rPr>
        <sz val="10"/>
        <rFont val="宋体"/>
        <charset val="134"/>
      </rPr>
      <t>其他</t>
    </r>
    <r>
      <rPr>
        <sz val="10"/>
        <rFont val="Times New Roman"/>
        <charset val="134"/>
      </rPr>
      <t>18</t>
    </r>
  </si>
  <si>
    <r>
      <rPr>
        <sz val="10"/>
        <rFont val="宋体"/>
        <charset val="134"/>
      </rPr>
      <t>其他应收</t>
    </r>
    <r>
      <rPr>
        <sz val="10"/>
        <rFont val="Times New Roman"/>
        <charset val="134"/>
      </rPr>
      <t>-</t>
    </r>
    <r>
      <rPr>
        <sz val="10"/>
        <rFont val="宋体"/>
        <charset val="134"/>
      </rPr>
      <t>其他</t>
    </r>
    <r>
      <rPr>
        <sz val="10"/>
        <rFont val="Times New Roman"/>
        <charset val="134"/>
      </rPr>
      <t>19</t>
    </r>
  </si>
  <si>
    <r>
      <rPr>
        <sz val="10"/>
        <rFont val="宋体"/>
        <charset val="134"/>
      </rPr>
      <t>其他应收</t>
    </r>
    <r>
      <rPr>
        <sz val="10"/>
        <rFont val="Times New Roman"/>
        <charset val="134"/>
      </rPr>
      <t>-</t>
    </r>
    <r>
      <rPr>
        <sz val="10"/>
        <rFont val="宋体"/>
        <charset val="134"/>
      </rPr>
      <t>其他</t>
    </r>
    <r>
      <rPr>
        <sz val="10"/>
        <rFont val="Times New Roman"/>
        <charset val="134"/>
      </rPr>
      <t>20</t>
    </r>
  </si>
  <si>
    <r>
      <rPr>
        <sz val="18"/>
        <rFont val="宋体"/>
        <charset val="134"/>
      </rPr>
      <t>存货评估汇总表</t>
    </r>
  </si>
  <si>
    <r>
      <rPr>
        <sz val="10"/>
        <rFont val="宋体"/>
        <charset val="134"/>
      </rPr>
      <t>材料采购（在途物资）</t>
    </r>
  </si>
  <si>
    <r>
      <rPr>
        <sz val="10"/>
        <rFont val="宋体"/>
        <charset val="134"/>
      </rPr>
      <t>净值</t>
    </r>
  </si>
  <si>
    <r>
      <rPr>
        <sz val="10"/>
        <rFont val="宋体"/>
        <charset val="134"/>
      </rPr>
      <t>原材料</t>
    </r>
  </si>
  <si>
    <r>
      <rPr>
        <sz val="10"/>
        <rFont val="宋体"/>
        <charset val="134"/>
      </rPr>
      <t>在库周转材料</t>
    </r>
  </si>
  <si>
    <r>
      <rPr>
        <sz val="10"/>
        <rFont val="宋体"/>
        <charset val="134"/>
      </rPr>
      <t>委托加工物资</t>
    </r>
  </si>
  <si>
    <r>
      <rPr>
        <sz val="10"/>
        <rFont val="宋体"/>
        <charset val="134"/>
      </rPr>
      <t>产成品（库存商品）</t>
    </r>
  </si>
  <si>
    <r>
      <rPr>
        <sz val="10"/>
        <rFont val="宋体"/>
        <charset val="134"/>
      </rPr>
      <t>在产品（自制半成品）</t>
    </r>
  </si>
  <si>
    <r>
      <rPr>
        <sz val="10"/>
        <rFont val="宋体"/>
        <charset val="134"/>
      </rPr>
      <t>发出商品</t>
    </r>
  </si>
  <si>
    <r>
      <rPr>
        <sz val="10"/>
        <rFont val="宋体"/>
        <charset val="134"/>
      </rPr>
      <t>在用周转材料</t>
    </r>
  </si>
  <si>
    <r>
      <rPr>
        <sz val="10"/>
        <rFont val="宋体"/>
        <charset val="134"/>
      </rPr>
      <t>开发产品</t>
    </r>
  </si>
  <si>
    <r>
      <rPr>
        <sz val="10"/>
        <rFont val="宋体"/>
        <charset val="134"/>
      </rPr>
      <t>出租开发产品</t>
    </r>
  </si>
  <si>
    <r>
      <rPr>
        <sz val="10"/>
        <rFont val="宋体"/>
        <charset val="134"/>
      </rPr>
      <t>开发成本</t>
    </r>
  </si>
  <si>
    <r>
      <rPr>
        <sz val="10"/>
        <rFont val="宋体"/>
        <charset val="134"/>
      </rPr>
      <t>未完施工</t>
    </r>
  </si>
  <si>
    <r>
      <rPr>
        <sz val="10"/>
        <rFont val="宋体"/>
        <charset val="134"/>
      </rPr>
      <t>跌价</t>
    </r>
  </si>
  <si>
    <t>存货合计</t>
  </si>
  <si>
    <r>
      <rPr>
        <sz val="18"/>
        <rFont val="宋体"/>
        <charset val="134"/>
      </rPr>
      <t>存货</t>
    </r>
    <r>
      <rPr>
        <sz val="18"/>
        <rFont val="Times New Roman"/>
        <charset val="134"/>
      </rPr>
      <t>—</t>
    </r>
    <r>
      <rPr>
        <sz val="18"/>
        <rFont val="宋体"/>
        <charset val="134"/>
      </rPr>
      <t>材料采购（在途物资）评估明细表</t>
    </r>
  </si>
  <si>
    <r>
      <rPr>
        <b/>
        <sz val="10"/>
        <rFont val="宋体"/>
        <charset val="134"/>
      </rPr>
      <t>名称</t>
    </r>
  </si>
  <si>
    <r>
      <rPr>
        <b/>
        <sz val="10"/>
        <rFont val="宋体"/>
        <charset val="134"/>
      </rPr>
      <t>规格型号</t>
    </r>
  </si>
  <si>
    <r>
      <rPr>
        <b/>
        <sz val="10"/>
        <rFont val="宋体"/>
        <charset val="134"/>
      </rPr>
      <t>计量单位</t>
    </r>
  </si>
  <si>
    <t>跌价准备</t>
  </si>
  <si>
    <r>
      <rPr>
        <b/>
        <sz val="10"/>
        <rFont val="宋体"/>
        <charset val="134"/>
      </rPr>
      <t>单价</t>
    </r>
  </si>
  <si>
    <r>
      <rPr>
        <b/>
        <sz val="10"/>
        <rFont val="宋体"/>
        <charset val="134"/>
      </rPr>
      <t>跌价准备</t>
    </r>
  </si>
  <si>
    <r>
      <rPr>
        <b/>
        <sz val="10"/>
        <color indexed="10"/>
        <rFont val="宋体"/>
        <charset val="134"/>
      </rPr>
      <t>数量</t>
    </r>
  </si>
  <si>
    <r>
      <rPr>
        <b/>
        <sz val="10"/>
        <color indexed="10"/>
        <rFont val="宋体"/>
        <charset val="134"/>
      </rPr>
      <t>金额</t>
    </r>
  </si>
  <si>
    <r>
      <rPr>
        <b/>
        <sz val="10"/>
        <color rgb="FFFF0000"/>
        <rFont val="宋体"/>
        <charset val="134"/>
      </rPr>
      <t>跌价准备</t>
    </r>
  </si>
  <si>
    <r>
      <rPr>
        <b/>
        <sz val="10"/>
        <rFont val="宋体"/>
        <charset val="134"/>
      </rPr>
      <t>实际数量</t>
    </r>
  </si>
  <si>
    <r>
      <rPr>
        <b/>
        <sz val="10"/>
        <rFont val="宋体"/>
        <charset val="134"/>
      </rPr>
      <t>评估单价</t>
    </r>
  </si>
  <si>
    <r>
      <rPr>
        <sz val="10"/>
        <rFont val="宋体"/>
        <charset val="134"/>
      </rPr>
      <t>材料采购（在途物资）</t>
    </r>
    <r>
      <rPr>
        <sz val="10"/>
        <rFont val="Times New Roman"/>
        <charset val="134"/>
      </rPr>
      <t>01</t>
    </r>
  </si>
  <si>
    <r>
      <rPr>
        <sz val="10"/>
        <rFont val="宋体"/>
        <charset val="134"/>
      </rPr>
      <t>材料采购（在途物资）</t>
    </r>
    <r>
      <rPr>
        <sz val="10"/>
        <rFont val="Times New Roman"/>
        <charset val="134"/>
      </rPr>
      <t>02</t>
    </r>
  </si>
  <si>
    <r>
      <rPr>
        <sz val="10"/>
        <rFont val="宋体"/>
        <charset val="134"/>
      </rPr>
      <t>材料采购（在途物资）</t>
    </r>
    <r>
      <rPr>
        <sz val="10"/>
        <rFont val="Times New Roman"/>
        <charset val="134"/>
      </rPr>
      <t>03</t>
    </r>
  </si>
  <si>
    <r>
      <rPr>
        <sz val="10"/>
        <rFont val="宋体"/>
        <charset val="134"/>
      </rPr>
      <t>材料采购（在途物资）</t>
    </r>
    <r>
      <rPr>
        <sz val="10"/>
        <rFont val="Times New Roman"/>
        <charset val="134"/>
      </rPr>
      <t>04</t>
    </r>
  </si>
  <si>
    <r>
      <rPr>
        <sz val="10"/>
        <rFont val="宋体"/>
        <charset val="134"/>
      </rPr>
      <t>材料采购（在途物资）</t>
    </r>
    <r>
      <rPr>
        <sz val="10"/>
        <rFont val="Times New Roman"/>
        <charset val="134"/>
      </rPr>
      <t>05</t>
    </r>
  </si>
  <si>
    <r>
      <rPr>
        <sz val="10"/>
        <rFont val="宋体"/>
        <charset val="134"/>
      </rPr>
      <t>材料采购（在途物资）</t>
    </r>
    <r>
      <rPr>
        <sz val="10"/>
        <rFont val="Times New Roman"/>
        <charset val="134"/>
      </rPr>
      <t>06</t>
    </r>
  </si>
  <si>
    <r>
      <rPr>
        <sz val="10"/>
        <rFont val="宋体"/>
        <charset val="134"/>
      </rPr>
      <t>材料采购（在途物资）</t>
    </r>
    <r>
      <rPr>
        <sz val="10"/>
        <rFont val="Times New Roman"/>
        <charset val="134"/>
      </rPr>
      <t>07</t>
    </r>
  </si>
  <si>
    <r>
      <rPr>
        <sz val="10"/>
        <rFont val="宋体"/>
        <charset val="134"/>
      </rPr>
      <t>材料采购（在途物资）</t>
    </r>
    <r>
      <rPr>
        <sz val="10"/>
        <rFont val="Times New Roman"/>
        <charset val="134"/>
      </rPr>
      <t>08</t>
    </r>
  </si>
  <si>
    <r>
      <rPr>
        <sz val="10"/>
        <rFont val="宋体"/>
        <charset val="134"/>
      </rPr>
      <t>材料采购（在途物资）</t>
    </r>
    <r>
      <rPr>
        <sz val="10"/>
        <rFont val="Times New Roman"/>
        <charset val="134"/>
      </rPr>
      <t>09</t>
    </r>
  </si>
  <si>
    <r>
      <rPr>
        <sz val="10"/>
        <rFont val="宋体"/>
        <charset val="134"/>
      </rPr>
      <t>材料采购（在途物资）</t>
    </r>
    <r>
      <rPr>
        <sz val="10"/>
        <rFont val="Times New Roman"/>
        <charset val="134"/>
      </rPr>
      <t>10</t>
    </r>
  </si>
  <si>
    <r>
      <rPr>
        <sz val="10"/>
        <rFont val="宋体"/>
        <charset val="134"/>
      </rPr>
      <t>材料采购（在途物资）</t>
    </r>
    <r>
      <rPr>
        <sz val="10"/>
        <rFont val="Times New Roman"/>
        <charset val="134"/>
      </rPr>
      <t>11</t>
    </r>
  </si>
  <si>
    <r>
      <rPr>
        <sz val="10"/>
        <rFont val="宋体"/>
        <charset val="134"/>
      </rPr>
      <t>材料采购（在途物资）</t>
    </r>
    <r>
      <rPr>
        <sz val="10"/>
        <rFont val="Times New Roman"/>
        <charset val="134"/>
      </rPr>
      <t>12</t>
    </r>
  </si>
  <si>
    <r>
      <rPr>
        <sz val="10"/>
        <rFont val="宋体"/>
        <charset val="134"/>
      </rPr>
      <t>材料采购（在途物资）</t>
    </r>
    <r>
      <rPr>
        <sz val="10"/>
        <rFont val="Times New Roman"/>
        <charset val="134"/>
      </rPr>
      <t>13</t>
    </r>
  </si>
  <si>
    <r>
      <rPr>
        <sz val="10"/>
        <rFont val="宋体"/>
        <charset val="134"/>
      </rPr>
      <t>材料采购（在途物资）</t>
    </r>
    <r>
      <rPr>
        <sz val="10"/>
        <rFont val="Times New Roman"/>
        <charset val="134"/>
      </rPr>
      <t>14</t>
    </r>
  </si>
  <si>
    <r>
      <rPr>
        <sz val="10"/>
        <rFont val="宋体"/>
        <charset val="134"/>
      </rPr>
      <t>材料采购（在途物资）</t>
    </r>
    <r>
      <rPr>
        <sz val="10"/>
        <rFont val="Times New Roman"/>
        <charset val="134"/>
      </rPr>
      <t>15</t>
    </r>
  </si>
  <si>
    <r>
      <rPr>
        <sz val="10"/>
        <rFont val="宋体"/>
        <charset val="134"/>
      </rPr>
      <t>材料采购（在途物资）</t>
    </r>
    <r>
      <rPr>
        <sz val="10"/>
        <rFont val="Times New Roman"/>
        <charset val="134"/>
      </rPr>
      <t>16</t>
    </r>
  </si>
  <si>
    <r>
      <rPr>
        <sz val="10"/>
        <rFont val="宋体"/>
        <charset val="134"/>
      </rPr>
      <t>材料采购（在途物资）</t>
    </r>
    <r>
      <rPr>
        <sz val="10"/>
        <rFont val="Times New Roman"/>
        <charset val="134"/>
      </rPr>
      <t>17</t>
    </r>
  </si>
  <si>
    <r>
      <rPr>
        <sz val="10"/>
        <rFont val="宋体"/>
        <charset val="134"/>
      </rPr>
      <t>材料采购（在途物资）</t>
    </r>
    <r>
      <rPr>
        <sz val="10"/>
        <rFont val="Times New Roman"/>
        <charset val="134"/>
      </rPr>
      <t>18</t>
    </r>
  </si>
  <si>
    <r>
      <rPr>
        <sz val="10"/>
        <rFont val="宋体"/>
        <charset val="134"/>
      </rPr>
      <t>材料采购（在途物资）</t>
    </r>
    <r>
      <rPr>
        <sz val="10"/>
        <rFont val="Times New Roman"/>
        <charset val="134"/>
      </rPr>
      <t>19</t>
    </r>
  </si>
  <si>
    <r>
      <rPr>
        <sz val="10"/>
        <rFont val="宋体"/>
        <charset val="134"/>
      </rPr>
      <t>材料采购（在途物资）</t>
    </r>
    <r>
      <rPr>
        <sz val="10"/>
        <rFont val="Times New Roman"/>
        <charset val="134"/>
      </rPr>
      <t>20</t>
    </r>
  </si>
  <si>
    <r>
      <rPr>
        <sz val="10"/>
        <rFont val="宋体"/>
        <charset val="134"/>
      </rPr>
      <t>减：跌价准备</t>
    </r>
  </si>
  <si>
    <r>
      <rPr>
        <sz val="18"/>
        <rFont val="宋体"/>
        <charset val="134"/>
      </rPr>
      <t>存货</t>
    </r>
    <r>
      <rPr>
        <sz val="18"/>
        <rFont val="Times New Roman"/>
        <charset val="134"/>
      </rPr>
      <t>—</t>
    </r>
    <r>
      <rPr>
        <sz val="18"/>
        <rFont val="宋体"/>
        <charset val="134"/>
      </rPr>
      <t>原材料评估明细表</t>
    </r>
  </si>
  <si>
    <r>
      <rPr>
        <b/>
        <sz val="10"/>
        <rFont val="宋体"/>
        <charset val="134"/>
      </rPr>
      <t>库龄</t>
    </r>
  </si>
  <si>
    <r>
      <rPr>
        <b/>
        <sz val="10"/>
        <rFont val="宋体"/>
        <charset val="134"/>
      </rPr>
      <t>存放地点</t>
    </r>
  </si>
  <si>
    <r>
      <rPr>
        <b/>
        <sz val="10"/>
        <rFont val="宋体"/>
        <charset val="134"/>
      </rPr>
      <t>未盘点原因</t>
    </r>
  </si>
  <si>
    <r>
      <rPr>
        <b/>
        <sz val="10"/>
        <rFont val="宋体"/>
        <charset val="134"/>
      </rPr>
      <t>购置单价</t>
    </r>
  </si>
  <si>
    <r>
      <rPr>
        <b/>
        <sz val="10"/>
        <rFont val="宋体"/>
        <charset val="134"/>
      </rPr>
      <t>（月）</t>
    </r>
  </si>
  <si>
    <r>
      <rPr>
        <sz val="10"/>
        <rFont val="宋体"/>
        <charset val="134"/>
      </rPr>
      <t>原材料</t>
    </r>
    <r>
      <rPr>
        <sz val="10"/>
        <rFont val="Times New Roman"/>
        <charset val="134"/>
      </rPr>
      <t>01</t>
    </r>
  </si>
  <si>
    <r>
      <rPr>
        <sz val="10"/>
        <rFont val="宋体"/>
        <charset val="134"/>
      </rPr>
      <t>原材料</t>
    </r>
    <r>
      <rPr>
        <sz val="10"/>
        <rFont val="Times New Roman"/>
        <charset val="134"/>
      </rPr>
      <t>02</t>
    </r>
  </si>
  <si>
    <r>
      <rPr>
        <sz val="10"/>
        <rFont val="宋体"/>
        <charset val="134"/>
      </rPr>
      <t>原材料</t>
    </r>
    <r>
      <rPr>
        <sz val="10"/>
        <rFont val="Times New Roman"/>
        <charset val="134"/>
      </rPr>
      <t>03</t>
    </r>
  </si>
  <si>
    <r>
      <rPr>
        <sz val="10"/>
        <rFont val="宋体"/>
        <charset val="134"/>
      </rPr>
      <t>原材料</t>
    </r>
    <r>
      <rPr>
        <sz val="10"/>
        <rFont val="Times New Roman"/>
        <charset val="134"/>
      </rPr>
      <t>04</t>
    </r>
  </si>
  <si>
    <r>
      <rPr>
        <sz val="10"/>
        <rFont val="宋体"/>
        <charset val="134"/>
      </rPr>
      <t>原材料</t>
    </r>
    <r>
      <rPr>
        <sz val="10"/>
        <rFont val="Times New Roman"/>
        <charset val="134"/>
      </rPr>
      <t>05</t>
    </r>
  </si>
  <si>
    <r>
      <rPr>
        <sz val="10"/>
        <rFont val="宋体"/>
        <charset val="134"/>
      </rPr>
      <t>原材料</t>
    </r>
    <r>
      <rPr>
        <sz val="10"/>
        <rFont val="Times New Roman"/>
        <charset val="134"/>
      </rPr>
      <t>06</t>
    </r>
  </si>
  <si>
    <r>
      <rPr>
        <sz val="10"/>
        <rFont val="宋体"/>
        <charset val="134"/>
      </rPr>
      <t>原材料</t>
    </r>
    <r>
      <rPr>
        <sz val="10"/>
        <rFont val="Times New Roman"/>
        <charset val="134"/>
      </rPr>
      <t>07</t>
    </r>
  </si>
  <si>
    <r>
      <rPr>
        <sz val="10"/>
        <rFont val="宋体"/>
        <charset val="134"/>
      </rPr>
      <t>原材料</t>
    </r>
    <r>
      <rPr>
        <sz val="10"/>
        <rFont val="Times New Roman"/>
        <charset val="134"/>
      </rPr>
      <t>08</t>
    </r>
  </si>
  <si>
    <r>
      <rPr>
        <sz val="10"/>
        <rFont val="宋体"/>
        <charset val="134"/>
      </rPr>
      <t>原材料</t>
    </r>
    <r>
      <rPr>
        <sz val="10"/>
        <rFont val="Times New Roman"/>
        <charset val="134"/>
      </rPr>
      <t>09</t>
    </r>
  </si>
  <si>
    <r>
      <rPr>
        <sz val="10"/>
        <rFont val="宋体"/>
        <charset val="134"/>
      </rPr>
      <t>原材料</t>
    </r>
    <r>
      <rPr>
        <sz val="10"/>
        <rFont val="Times New Roman"/>
        <charset val="134"/>
      </rPr>
      <t>10</t>
    </r>
  </si>
  <si>
    <r>
      <rPr>
        <sz val="10"/>
        <rFont val="宋体"/>
        <charset val="134"/>
      </rPr>
      <t>原材料</t>
    </r>
    <r>
      <rPr>
        <sz val="10"/>
        <rFont val="Times New Roman"/>
        <charset val="134"/>
      </rPr>
      <t>11</t>
    </r>
  </si>
  <si>
    <r>
      <rPr>
        <sz val="10"/>
        <rFont val="宋体"/>
        <charset val="134"/>
      </rPr>
      <t>原材料</t>
    </r>
    <r>
      <rPr>
        <sz val="10"/>
        <rFont val="Times New Roman"/>
        <charset val="134"/>
      </rPr>
      <t>12</t>
    </r>
  </si>
  <si>
    <r>
      <rPr>
        <sz val="10"/>
        <rFont val="宋体"/>
        <charset val="134"/>
      </rPr>
      <t>原材料</t>
    </r>
    <r>
      <rPr>
        <sz val="10"/>
        <rFont val="Times New Roman"/>
        <charset val="134"/>
      </rPr>
      <t>13</t>
    </r>
  </si>
  <si>
    <r>
      <rPr>
        <sz val="10"/>
        <rFont val="宋体"/>
        <charset val="134"/>
      </rPr>
      <t>原材料</t>
    </r>
    <r>
      <rPr>
        <sz val="10"/>
        <rFont val="Times New Roman"/>
        <charset val="134"/>
      </rPr>
      <t>14</t>
    </r>
  </si>
  <si>
    <r>
      <rPr>
        <sz val="10"/>
        <rFont val="宋体"/>
        <charset val="134"/>
      </rPr>
      <t>原材料</t>
    </r>
    <r>
      <rPr>
        <sz val="10"/>
        <rFont val="Times New Roman"/>
        <charset val="134"/>
      </rPr>
      <t>15</t>
    </r>
  </si>
  <si>
    <r>
      <rPr>
        <sz val="10"/>
        <rFont val="宋体"/>
        <charset val="134"/>
      </rPr>
      <t>原材料</t>
    </r>
    <r>
      <rPr>
        <sz val="10"/>
        <rFont val="Times New Roman"/>
        <charset val="134"/>
      </rPr>
      <t>16</t>
    </r>
  </si>
  <si>
    <r>
      <rPr>
        <sz val="10"/>
        <rFont val="宋体"/>
        <charset val="134"/>
      </rPr>
      <t>原材料</t>
    </r>
    <r>
      <rPr>
        <sz val="10"/>
        <rFont val="Times New Roman"/>
        <charset val="134"/>
      </rPr>
      <t>17</t>
    </r>
  </si>
  <si>
    <r>
      <rPr>
        <sz val="10"/>
        <rFont val="宋体"/>
        <charset val="134"/>
      </rPr>
      <t>原材料</t>
    </r>
    <r>
      <rPr>
        <sz val="10"/>
        <rFont val="Times New Roman"/>
        <charset val="134"/>
      </rPr>
      <t>18</t>
    </r>
  </si>
  <si>
    <r>
      <rPr>
        <sz val="10"/>
        <rFont val="宋体"/>
        <charset val="134"/>
      </rPr>
      <t>原材料</t>
    </r>
    <r>
      <rPr>
        <sz val="10"/>
        <rFont val="Times New Roman"/>
        <charset val="134"/>
      </rPr>
      <t>19</t>
    </r>
  </si>
  <si>
    <r>
      <rPr>
        <sz val="10"/>
        <rFont val="宋体"/>
        <charset val="134"/>
      </rPr>
      <t>原材料</t>
    </r>
    <r>
      <rPr>
        <sz val="10"/>
        <rFont val="Times New Roman"/>
        <charset val="134"/>
      </rPr>
      <t>20</t>
    </r>
  </si>
  <si>
    <t>库龄</t>
  </si>
  <si>
    <t>材质</t>
  </si>
  <si>
    <t>成新率</t>
  </si>
  <si>
    <r>
      <rPr>
        <sz val="18"/>
        <rFont val="宋体"/>
        <charset val="134"/>
      </rPr>
      <t>存货</t>
    </r>
    <r>
      <rPr>
        <sz val="18"/>
        <rFont val="Times New Roman"/>
        <charset val="134"/>
      </rPr>
      <t>—</t>
    </r>
    <r>
      <rPr>
        <sz val="18"/>
        <rFont val="宋体"/>
        <charset val="134"/>
      </rPr>
      <t>在库周转材料评估明细表</t>
    </r>
  </si>
  <si>
    <t>金属</t>
  </si>
  <si>
    <t>非金属</t>
  </si>
  <si>
    <t>油漆</t>
  </si>
  <si>
    <t>询价记录</t>
  </si>
  <si>
    <t>购置日期</t>
  </si>
  <si>
    <t>购买日指数</t>
  </si>
  <si>
    <t>调整系数</t>
  </si>
  <si>
    <t>购置价</t>
  </si>
  <si>
    <t>评估单价</t>
  </si>
  <si>
    <t>重量</t>
  </si>
  <si>
    <t>不含税回收价格</t>
  </si>
  <si>
    <t>在库周转0001</t>
  </si>
  <si>
    <t>2022/11/9</t>
  </si>
  <si>
    <t>在库周转0015</t>
  </si>
  <si>
    <t>在库周转0016</t>
  </si>
  <si>
    <t>在库周转0017</t>
  </si>
  <si>
    <t>在库周转0018</t>
  </si>
  <si>
    <t>在库周转0019</t>
  </si>
  <si>
    <t>在库周转0020</t>
  </si>
  <si>
    <t>在库周转0025</t>
  </si>
  <si>
    <t>在库周转0026</t>
  </si>
  <si>
    <t>在库周转0027</t>
  </si>
  <si>
    <t>在库周转0036</t>
  </si>
  <si>
    <t>在库周转0037</t>
  </si>
  <si>
    <t>在库周转0038</t>
  </si>
  <si>
    <t>在库周转0039</t>
  </si>
  <si>
    <t>在库周转0040</t>
  </si>
  <si>
    <t>在库周转0041</t>
  </si>
  <si>
    <t>在库周转0042</t>
  </si>
  <si>
    <t>在库周转0043</t>
  </si>
  <si>
    <t>在库周转0044</t>
  </si>
  <si>
    <t>在库周转0045</t>
  </si>
  <si>
    <t>在库周转0046</t>
  </si>
  <si>
    <t>在库周转0047</t>
  </si>
  <si>
    <t>在库周转0048</t>
  </si>
  <si>
    <t>在库周转0049</t>
  </si>
  <si>
    <t>在库周转0050</t>
  </si>
  <si>
    <t>在库周转0051</t>
  </si>
  <si>
    <t>在库周转0052</t>
  </si>
  <si>
    <t>在库周转0053</t>
  </si>
  <si>
    <t>在库周转0054</t>
  </si>
  <si>
    <t>在库周转0055</t>
  </si>
  <si>
    <t>在库周转0056</t>
  </si>
  <si>
    <t>在库周转0057</t>
  </si>
  <si>
    <t>在库周转0058</t>
  </si>
  <si>
    <t>在库周转0059</t>
  </si>
  <si>
    <t>在库周转0060</t>
  </si>
  <si>
    <t>在库周转0061</t>
  </si>
  <si>
    <t>在库周转0062</t>
  </si>
  <si>
    <t>在库周转0063</t>
  </si>
  <si>
    <t>在库周转0064</t>
  </si>
  <si>
    <t>在库周转0065</t>
  </si>
  <si>
    <t>在库周转0066</t>
  </si>
  <si>
    <t>在库周转0067</t>
  </si>
  <si>
    <t>在库周转0068</t>
  </si>
  <si>
    <t>在库周转0069</t>
  </si>
  <si>
    <t>在库周转0070</t>
  </si>
  <si>
    <t>在库周转0071</t>
  </si>
  <si>
    <t>在库周转0072</t>
  </si>
  <si>
    <t>在库周转0073</t>
  </si>
  <si>
    <t>在库周转0074</t>
  </si>
  <si>
    <t>在库周转0075</t>
  </si>
  <si>
    <t>在库周转0076</t>
  </si>
  <si>
    <t>在库周转0077</t>
  </si>
  <si>
    <t>在库周转0078</t>
  </si>
  <si>
    <t>在库周转0079</t>
  </si>
  <si>
    <t>在库周转0080</t>
  </si>
  <si>
    <t>在库周转0081</t>
  </si>
  <si>
    <t>在库周转0082</t>
  </si>
  <si>
    <t>在库周转0083</t>
  </si>
  <si>
    <t>在库周转0084</t>
  </si>
  <si>
    <t>在库周转0085</t>
  </si>
  <si>
    <t>在库周转0086</t>
  </si>
  <si>
    <t>在库周转0087</t>
  </si>
  <si>
    <t>在库周转0088</t>
  </si>
  <si>
    <t>在库周转0089</t>
  </si>
  <si>
    <t>在库周转0090</t>
  </si>
  <si>
    <t>在库周转0091</t>
  </si>
  <si>
    <t>在库周转0092</t>
  </si>
  <si>
    <t>在库周转0093</t>
  </si>
  <si>
    <t>在库周转0094</t>
  </si>
  <si>
    <t>在库周转0095</t>
  </si>
  <si>
    <t>在库周转0096</t>
  </si>
  <si>
    <t>在库周转0097</t>
  </si>
  <si>
    <t>在库周转0098</t>
  </si>
  <si>
    <t>在库周转0099</t>
  </si>
  <si>
    <t>在库周转0100</t>
  </si>
  <si>
    <t>在库周转0101</t>
  </si>
  <si>
    <t>在库周转0113</t>
  </si>
  <si>
    <t>在库周转0123</t>
  </si>
  <si>
    <t>在库周转0125</t>
  </si>
  <si>
    <t>在库周转0126</t>
  </si>
  <si>
    <t>在库周转0127</t>
  </si>
  <si>
    <t>在库周转0128</t>
  </si>
  <si>
    <t>在库周转0129</t>
  </si>
  <si>
    <t>在库周转0130</t>
  </si>
  <si>
    <t>在库周转0131</t>
  </si>
  <si>
    <t>在库周转0132</t>
  </si>
  <si>
    <t>在库周转0133</t>
  </si>
  <si>
    <t>在库周转0134</t>
  </si>
  <si>
    <t>在库周转0135</t>
  </si>
  <si>
    <t>在库周转0136</t>
  </si>
  <si>
    <t>在库周转0137</t>
  </si>
  <si>
    <t>在库周转0138</t>
  </si>
  <si>
    <t>在库周转0139</t>
  </si>
  <si>
    <t>在库周转0140</t>
  </si>
  <si>
    <t>在库周转0141</t>
  </si>
  <si>
    <t>在库周转0142</t>
  </si>
  <si>
    <t>在库周转0143</t>
  </si>
  <si>
    <t>在库周转0144</t>
  </si>
  <si>
    <t>在库周转0145</t>
  </si>
  <si>
    <t>在库周转0146</t>
  </si>
  <si>
    <t>在库周转0147</t>
  </si>
  <si>
    <t>在库周转0148</t>
  </si>
  <si>
    <t>在库周转0149</t>
  </si>
  <si>
    <t>在库周转0150</t>
  </si>
  <si>
    <t>在库周转0151</t>
  </si>
  <si>
    <t>在库周转0152</t>
  </si>
  <si>
    <t>在库周转0153</t>
  </si>
  <si>
    <t>在库周转0154</t>
  </si>
  <si>
    <t>在库周转0155</t>
  </si>
  <si>
    <t>在库周转0156</t>
  </si>
  <si>
    <t>在库周转0157</t>
  </si>
  <si>
    <t>在库周转0158</t>
  </si>
  <si>
    <t>在库周转0159</t>
  </si>
  <si>
    <t>在库周转0160</t>
  </si>
  <si>
    <t>在库周转0161</t>
  </si>
  <si>
    <t>在库周转0162</t>
  </si>
  <si>
    <t>在库周转0163</t>
  </si>
  <si>
    <t>在库周转0164</t>
  </si>
  <si>
    <t>在库周转0165</t>
  </si>
  <si>
    <t>在库周转0166</t>
  </si>
  <si>
    <t>在库周转0167</t>
  </si>
  <si>
    <t>在库周转0168</t>
  </si>
  <si>
    <t>在库周转0169</t>
  </si>
  <si>
    <t>在库周转0170</t>
  </si>
  <si>
    <t>在库周转0171</t>
  </si>
  <si>
    <t>在库周转0172</t>
  </si>
  <si>
    <t>在库周转0173</t>
  </si>
  <si>
    <t>在库周转0174</t>
  </si>
  <si>
    <t>在库周转0175</t>
  </si>
  <si>
    <t>在库周转0176</t>
  </si>
  <si>
    <t>在库周转0177</t>
  </si>
  <si>
    <t>在库周转0178</t>
  </si>
  <si>
    <t>在库周转0179</t>
  </si>
  <si>
    <t>在库周转0180</t>
  </si>
  <si>
    <t>在库周转0181</t>
  </si>
  <si>
    <t>在库周转0182</t>
  </si>
  <si>
    <t>在库周转0183</t>
  </si>
  <si>
    <t>在库周转0184</t>
  </si>
  <si>
    <t>在库周转0185</t>
  </si>
  <si>
    <t>在库周转0186</t>
  </si>
  <si>
    <t>在库周转0187</t>
  </si>
  <si>
    <t>在库周转0188</t>
  </si>
  <si>
    <t>在库周转0189</t>
  </si>
  <si>
    <t>在库周转0190</t>
  </si>
  <si>
    <t>在库周转0191</t>
  </si>
  <si>
    <t>在库周转0192</t>
  </si>
  <si>
    <t>在库周转0193</t>
  </si>
  <si>
    <t>在库周转0194</t>
  </si>
  <si>
    <t>在库周转0195</t>
  </si>
  <si>
    <t>在库周转0196</t>
  </si>
  <si>
    <t>在库周转0197</t>
  </si>
  <si>
    <t>在库周转0198</t>
  </si>
  <si>
    <t>在库周转0199</t>
  </si>
  <si>
    <t>在库周转0200</t>
  </si>
  <si>
    <t>在库周转0201</t>
  </si>
  <si>
    <t>在库周转0202</t>
  </si>
  <si>
    <t>在库周转0203</t>
  </si>
  <si>
    <t>在库周转0204</t>
  </si>
  <si>
    <t>在库周转0205</t>
  </si>
  <si>
    <t>在库周转0206</t>
  </si>
  <si>
    <t>在库周转0207</t>
  </si>
  <si>
    <t>在库周转0208</t>
  </si>
  <si>
    <t>在库周转0209</t>
  </si>
  <si>
    <t>在库周转0210</t>
  </si>
  <si>
    <t>在库周转0211</t>
  </si>
  <si>
    <t>在库周转0212</t>
  </si>
  <si>
    <t>在库周转0213</t>
  </si>
  <si>
    <t>在库周转0214</t>
  </si>
  <si>
    <t>在库周转0215</t>
  </si>
  <si>
    <t>在库周转0216</t>
  </si>
  <si>
    <t>在库周转0217</t>
  </si>
  <si>
    <t>在库周转0218</t>
  </si>
  <si>
    <t>在库周转0219</t>
  </si>
  <si>
    <t>在库周转0220</t>
  </si>
  <si>
    <t>在库周转0221</t>
  </si>
  <si>
    <t>在库周转0222</t>
  </si>
  <si>
    <t>在库周转0223</t>
  </si>
  <si>
    <t>在库周转0224</t>
  </si>
  <si>
    <t>在库周转0225</t>
  </si>
  <si>
    <t>在库周转0226</t>
  </si>
  <si>
    <t>在库周转0227</t>
  </si>
  <si>
    <t>在库周转0228</t>
  </si>
  <si>
    <t>在库周转0229</t>
  </si>
  <si>
    <t>在库周转0230</t>
  </si>
  <si>
    <t>在库周转0231</t>
  </si>
  <si>
    <t>在库周转0232</t>
  </si>
  <si>
    <t>在库周转0233</t>
  </si>
  <si>
    <t>在库周转0234</t>
  </si>
  <si>
    <t>在库周转0235</t>
  </si>
  <si>
    <t>在库周转0236</t>
  </si>
  <si>
    <t>在库周转0237</t>
  </si>
  <si>
    <t>在库周转0238</t>
  </si>
  <si>
    <t>在库周转0239</t>
  </si>
  <si>
    <t>在库周转0240</t>
  </si>
  <si>
    <t>在库周转0241</t>
  </si>
  <si>
    <t>在库周转0242</t>
  </si>
  <si>
    <t>在库周转0243</t>
  </si>
  <si>
    <t>在库周转0244</t>
  </si>
  <si>
    <t>在库周转0245</t>
  </si>
  <si>
    <t>在库周转0246</t>
  </si>
  <si>
    <t>在库周转0247</t>
  </si>
  <si>
    <t>在库周转0248</t>
  </si>
  <si>
    <t>在库周转0249</t>
  </si>
  <si>
    <t>在库周转0250</t>
  </si>
  <si>
    <t>在库周转0251</t>
  </si>
  <si>
    <t>在库周转0252</t>
  </si>
  <si>
    <t>在库周转0253</t>
  </si>
  <si>
    <t>在库周转0254</t>
  </si>
  <si>
    <t>在库周转0255</t>
  </si>
  <si>
    <t>在库周转0256</t>
  </si>
  <si>
    <t>在库周转0257</t>
  </si>
  <si>
    <t>在库周转0258</t>
  </si>
  <si>
    <t>在库周转0259</t>
  </si>
  <si>
    <t>在库周转0260</t>
  </si>
  <si>
    <t>在库周转0261</t>
  </si>
  <si>
    <t>在库周转0262</t>
  </si>
  <si>
    <t>在库周转0263</t>
  </si>
  <si>
    <t>在库周转0264</t>
  </si>
  <si>
    <t>在库周转0265</t>
  </si>
  <si>
    <t>在库周转0266</t>
  </si>
  <si>
    <t>在库周转0267</t>
  </si>
  <si>
    <t>在库周转0268</t>
  </si>
  <si>
    <t>在库周转0269</t>
  </si>
  <si>
    <t>在库周转0270</t>
  </si>
  <si>
    <t>在库周转0271</t>
  </si>
  <si>
    <t>在库周转0272</t>
  </si>
  <si>
    <t>在库周转0273</t>
  </si>
  <si>
    <t>在库周转0274</t>
  </si>
  <si>
    <t>在库周转0275</t>
  </si>
  <si>
    <t>在库周转0276</t>
  </si>
  <si>
    <t>在库周转0277</t>
  </si>
  <si>
    <t>在库周转0278</t>
  </si>
  <si>
    <t>在库周转0279</t>
  </si>
  <si>
    <t>在库周转0280</t>
  </si>
  <si>
    <t>在库周转0281</t>
  </si>
  <si>
    <t>在库周转0282</t>
  </si>
  <si>
    <t>在库周转0283</t>
  </si>
  <si>
    <t>在库周转0284</t>
  </si>
  <si>
    <t>在库周转0285</t>
  </si>
  <si>
    <t>在库周转0286</t>
  </si>
  <si>
    <t>在库周转0287</t>
  </si>
  <si>
    <t>在库周转0288</t>
  </si>
  <si>
    <t>在库周转0289</t>
  </si>
  <si>
    <t>在库周转0290</t>
  </si>
  <si>
    <t>在库周转0291</t>
  </si>
  <si>
    <t>在库周转0292</t>
  </si>
  <si>
    <t>在库周转0293</t>
  </si>
  <si>
    <t>在库周转0294</t>
  </si>
  <si>
    <t>在库周转0295</t>
  </si>
  <si>
    <t>在库周转0296</t>
  </si>
  <si>
    <t>在库周转0297</t>
  </si>
  <si>
    <t>在库周转0298</t>
  </si>
  <si>
    <t>在库周转0299</t>
  </si>
  <si>
    <t>在库周转0300</t>
  </si>
  <si>
    <t>在库周转0301</t>
  </si>
  <si>
    <t>在库周转0302</t>
  </si>
  <si>
    <t>在库周转0303</t>
  </si>
  <si>
    <t>在库周转0304</t>
  </si>
  <si>
    <t>在库周转0305</t>
  </si>
  <si>
    <t>在库周转0306</t>
  </si>
  <si>
    <t>在库周转0307</t>
  </si>
  <si>
    <t>在库周转0308</t>
  </si>
  <si>
    <t>在库周转0309</t>
  </si>
  <si>
    <t>在库周转0310</t>
  </si>
  <si>
    <t>在库周转0311</t>
  </si>
  <si>
    <t>在库周转0312</t>
  </si>
  <si>
    <t>在库周转0313</t>
  </si>
  <si>
    <t>在库周转0314</t>
  </si>
  <si>
    <t>在库周转0315</t>
  </si>
  <si>
    <t>在库周转0316</t>
  </si>
  <si>
    <t>在库周转0317</t>
  </si>
  <si>
    <t>在库周转0318</t>
  </si>
  <si>
    <t>在库周转0319</t>
  </si>
  <si>
    <t>在库周转0320</t>
  </si>
  <si>
    <t>在库周转0321</t>
  </si>
  <si>
    <t>在库周转0322</t>
  </si>
  <si>
    <t>在库周转0323</t>
  </si>
  <si>
    <t>在库周转0325</t>
  </si>
  <si>
    <t>在库周转0326</t>
  </si>
  <si>
    <t>在库周转0327</t>
  </si>
  <si>
    <t>在库周转0328</t>
  </si>
  <si>
    <t>在库周转0329</t>
  </si>
  <si>
    <t>在库周转0330</t>
  </si>
  <si>
    <t>在库周转0331</t>
  </si>
  <si>
    <t>在库周转0332</t>
  </si>
  <si>
    <t>在库周转0333</t>
  </si>
  <si>
    <t>在库周转0334</t>
  </si>
  <si>
    <t>在库周转0335</t>
  </si>
  <si>
    <t>在库周转0336</t>
  </si>
  <si>
    <t>在库周转0337</t>
  </si>
  <si>
    <t>在库周转0338</t>
  </si>
  <si>
    <t>https://cn.trustexporter.com/cp-daijie911/o13806252.htm</t>
  </si>
  <si>
    <t>在库周转0339</t>
  </si>
  <si>
    <t>在库周转0340</t>
  </si>
  <si>
    <t>在库周转0341</t>
  </si>
  <si>
    <t>在库周转0342</t>
  </si>
  <si>
    <t>在库周转0343</t>
  </si>
  <si>
    <t>在库周转0344</t>
  </si>
  <si>
    <t>在库周转0345</t>
  </si>
  <si>
    <t>在库周转0346</t>
  </si>
  <si>
    <t>在库周转0347</t>
  </si>
  <si>
    <t>在库周转0348</t>
  </si>
  <si>
    <t>在库周转0349</t>
  </si>
  <si>
    <t>在库周转0350</t>
  </si>
  <si>
    <t>在库周转0351</t>
  </si>
  <si>
    <t>在库周转0352</t>
  </si>
  <si>
    <t>在库周转0353</t>
  </si>
  <si>
    <t>在库周转0354</t>
  </si>
  <si>
    <t>在库周转0355</t>
  </si>
  <si>
    <t>在库周转0356</t>
  </si>
  <si>
    <t>在库周转0357</t>
  </si>
  <si>
    <t>在库周转0358</t>
  </si>
  <si>
    <t>在库周转0359</t>
  </si>
  <si>
    <t>在库周转0360</t>
  </si>
  <si>
    <t>在库周转0361</t>
  </si>
  <si>
    <t>在库周转0362</t>
  </si>
  <si>
    <t>在库周转0363</t>
  </si>
  <si>
    <t>在库周转0364</t>
  </si>
  <si>
    <t>在库周转0365</t>
  </si>
  <si>
    <t>在库周转0366</t>
  </si>
  <si>
    <t>在库周转0367</t>
  </si>
  <si>
    <t>在库周转0368</t>
  </si>
  <si>
    <t>在库周转0369</t>
  </si>
  <si>
    <t>在库周转0370</t>
  </si>
  <si>
    <t>在库周转0371</t>
  </si>
  <si>
    <t>在库周转0372</t>
  </si>
  <si>
    <t>在库周转0373</t>
  </si>
  <si>
    <t>在库周转0374</t>
  </si>
  <si>
    <t>在库周转0375</t>
  </si>
  <si>
    <t>在库周转0376</t>
  </si>
  <si>
    <t>在库周转0377</t>
  </si>
  <si>
    <t>在库周转0378</t>
  </si>
  <si>
    <t>在库周转0379</t>
  </si>
  <si>
    <t>在库周转0380</t>
  </si>
  <si>
    <t>在库周转0381</t>
  </si>
  <si>
    <t>在库周转0382</t>
  </si>
  <si>
    <t>在库周转0383</t>
  </si>
  <si>
    <t>在库周转0384</t>
  </si>
  <si>
    <t>在库周转0385</t>
  </si>
  <si>
    <t>在库周转0386</t>
  </si>
  <si>
    <t>在库周转0387</t>
  </si>
  <si>
    <t>在库周转0388</t>
  </si>
  <si>
    <t>在库周转0389</t>
  </si>
  <si>
    <t>在库周转0390</t>
  </si>
  <si>
    <t>在库周转0391</t>
  </si>
  <si>
    <t>在库周转0392</t>
  </si>
  <si>
    <t>在库周转0393</t>
  </si>
  <si>
    <t>在库周转0394</t>
  </si>
  <si>
    <t>在库周转0395</t>
  </si>
  <si>
    <t>在库周转0396</t>
  </si>
  <si>
    <t>在库周转0397</t>
  </si>
  <si>
    <t>在库周转0398</t>
  </si>
  <si>
    <t>在库周转0399</t>
  </si>
  <si>
    <t>在库周转0400</t>
  </si>
  <si>
    <t>在库周转0401</t>
  </si>
  <si>
    <t>在库周转0402</t>
  </si>
  <si>
    <t>在库周转0403</t>
  </si>
  <si>
    <t>在库周转0404</t>
  </si>
  <si>
    <t>在库周转0405</t>
  </si>
  <si>
    <t>在库周转0406</t>
  </si>
  <si>
    <t>在库周转0407</t>
  </si>
  <si>
    <t>在库周转0408</t>
  </si>
  <si>
    <t>在库周转0409</t>
  </si>
  <si>
    <t>在库周转0410</t>
  </si>
  <si>
    <t>已过期无回收价值</t>
  </si>
  <si>
    <t>在库周转0411</t>
  </si>
  <si>
    <t>在库周转0412</t>
  </si>
  <si>
    <t>在库周转0413</t>
  </si>
  <si>
    <t>在库周转0414</t>
  </si>
  <si>
    <t>在库周转0415</t>
  </si>
  <si>
    <t>在库周转0416</t>
  </si>
  <si>
    <t>在库周转0417</t>
  </si>
  <si>
    <t>在库周转0418</t>
  </si>
  <si>
    <t>在库周转0419</t>
  </si>
  <si>
    <t>在库周转0420</t>
  </si>
  <si>
    <t>在库周转0421</t>
  </si>
  <si>
    <t>在库周转0422</t>
  </si>
  <si>
    <t>在库周转0423</t>
  </si>
  <si>
    <t>在库周转0424</t>
  </si>
  <si>
    <t>在库周转0425</t>
  </si>
  <si>
    <t>在库周转0426</t>
  </si>
  <si>
    <t>在库周转0427</t>
  </si>
  <si>
    <t>在库周转0428</t>
  </si>
  <si>
    <t>在库周转0429</t>
  </si>
  <si>
    <t>在库周转0430</t>
  </si>
  <si>
    <t>在库周转0431</t>
  </si>
  <si>
    <t>在库周转0432</t>
  </si>
  <si>
    <t>在库周转0433</t>
  </si>
  <si>
    <t>在库周转0434</t>
  </si>
  <si>
    <t>在库周转1922</t>
  </si>
  <si>
    <t>在库周转1122</t>
  </si>
  <si>
    <r>
      <rPr>
        <sz val="18"/>
        <rFont val="宋体"/>
        <charset val="134"/>
      </rPr>
      <t>存货</t>
    </r>
    <r>
      <rPr>
        <sz val="18"/>
        <rFont val="Times New Roman"/>
        <charset val="134"/>
      </rPr>
      <t>—</t>
    </r>
    <r>
      <rPr>
        <sz val="18"/>
        <rFont val="宋体"/>
        <charset val="134"/>
      </rPr>
      <t>委托加工物资评估明细表</t>
    </r>
  </si>
  <si>
    <r>
      <rPr>
        <b/>
        <sz val="10"/>
        <rFont val="宋体"/>
        <charset val="134"/>
      </rPr>
      <t>加工单位名称</t>
    </r>
  </si>
  <si>
    <r>
      <rPr>
        <sz val="10"/>
        <rFont val="宋体"/>
        <charset val="134"/>
      </rPr>
      <t>委托加工物资</t>
    </r>
    <r>
      <rPr>
        <sz val="10"/>
        <rFont val="Times New Roman"/>
        <charset val="134"/>
      </rPr>
      <t>01</t>
    </r>
  </si>
  <si>
    <r>
      <rPr>
        <sz val="10"/>
        <rFont val="宋体"/>
        <charset val="134"/>
      </rPr>
      <t>委托加工物资</t>
    </r>
    <r>
      <rPr>
        <sz val="10"/>
        <rFont val="Times New Roman"/>
        <charset val="134"/>
      </rPr>
      <t>02</t>
    </r>
  </si>
  <si>
    <r>
      <rPr>
        <sz val="10"/>
        <rFont val="宋体"/>
        <charset val="134"/>
      </rPr>
      <t>委托加工物资</t>
    </r>
    <r>
      <rPr>
        <sz val="10"/>
        <rFont val="Times New Roman"/>
        <charset val="134"/>
      </rPr>
      <t>03</t>
    </r>
  </si>
  <si>
    <r>
      <rPr>
        <sz val="10"/>
        <rFont val="宋体"/>
        <charset val="134"/>
      </rPr>
      <t>委托加工物资</t>
    </r>
    <r>
      <rPr>
        <sz val="10"/>
        <rFont val="Times New Roman"/>
        <charset val="134"/>
      </rPr>
      <t>04</t>
    </r>
  </si>
  <si>
    <r>
      <rPr>
        <sz val="10"/>
        <rFont val="宋体"/>
        <charset val="134"/>
      </rPr>
      <t>委托加工物资</t>
    </r>
    <r>
      <rPr>
        <sz val="10"/>
        <rFont val="Times New Roman"/>
        <charset val="134"/>
      </rPr>
      <t>05</t>
    </r>
  </si>
  <si>
    <r>
      <rPr>
        <sz val="10"/>
        <rFont val="宋体"/>
        <charset val="134"/>
      </rPr>
      <t>委托加工物资</t>
    </r>
    <r>
      <rPr>
        <sz val="10"/>
        <rFont val="Times New Roman"/>
        <charset val="134"/>
      </rPr>
      <t>06</t>
    </r>
  </si>
  <si>
    <r>
      <rPr>
        <sz val="10"/>
        <rFont val="宋体"/>
        <charset val="134"/>
      </rPr>
      <t>委托加工物资</t>
    </r>
    <r>
      <rPr>
        <sz val="10"/>
        <rFont val="Times New Roman"/>
        <charset val="134"/>
      </rPr>
      <t>07</t>
    </r>
  </si>
  <si>
    <r>
      <rPr>
        <sz val="10"/>
        <rFont val="宋体"/>
        <charset val="134"/>
      </rPr>
      <t>委托加工物资</t>
    </r>
    <r>
      <rPr>
        <sz val="10"/>
        <rFont val="Times New Roman"/>
        <charset val="134"/>
      </rPr>
      <t>08</t>
    </r>
  </si>
  <si>
    <r>
      <rPr>
        <sz val="10"/>
        <rFont val="宋体"/>
        <charset val="134"/>
      </rPr>
      <t>委托加工物资</t>
    </r>
    <r>
      <rPr>
        <sz val="10"/>
        <rFont val="Times New Roman"/>
        <charset val="134"/>
      </rPr>
      <t>09</t>
    </r>
  </si>
  <si>
    <r>
      <rPr>
        <sz val="10"/>
        <rFont val="宋体"/>
        <charset val="134"/>
      </rPr>
      <t>委托加工物资</t>
    </r>
    <r>
      <rPr>
        <sz val="10"/>
        <rFont val="Times New Roman"/>
        <charset val="134"/>
      </rPr>
      <t>10</t>
    </r>
  </si>
  <si>
    <r>
      <rPr>
        <sz val="10"/>
        <rFont val="宋体"/>
        <charset val="134"/>
      </rPr>
      <t>委托加工物资</t>
    </r>
    <r>
      <rPr>
        <sz val="10"/>
        <rFont val="Times New Roman"/>
        <charset val="134"/>
      </rPr>
      <t>11</t>
    </r>
  </si>
  <si>
    <r>
      <rPr>
        <sz val="10"/>
        <rFont val="宋体"/>
        <charset val="134"/>
      </rPr>
      <t>委托加工物资</t>
    </r>
    <r>
      <rPr>
        <sz val="10"/>
        <rFont val="Times New Roman"/>
        <charset val="134"/>
      </rPr>
      <t>12</t>
    </r>
  </si>
  <si>
    <r>
      <rPr>
        <sz val="10"/>
        <rFont val="宋体"/>
        <charset val="134"/>
      </rPr>
      <t>委托加工物资</t>
    </r>
    <r>
      <rPr>
        <sz val="10"/>
        <rFont val="Times New Roman"/>
        <charset val="134"/>
      </rPr>
      <t>13</t>
    </r>
  </si>
  <si>
    <r>
      <rPr>
        <sz val="10"/>
        <rFont val="宋体"/>
        <charset val="134"/>
      </rPr>
      <t>委托加工物资</t>
    </r>
    <r>
      <rPr>
        <sz val="10"/>
        <rFont val="Times New Roman"/>
        <charset val="134"/>
      </rPr>
      <t>14</t>
    </r>
  </si>
  <si>
    <r>
      <rPr>
        <sz val="10"/>
        <rFont val="宋体"/>
        <charset val="134"/>
      </rPr>
      <t>委托加工物资</t>
    </r>
    <r>
      <rPr>
        <sz val="10"/>
        <rFont val="Times New Roman"/>
        <charset val="134"/>
      </rPr>
      <t>15</t>
    </r>
  </si>
  <si>
    <r>
      <rPr>
        <sz val="10"/>
        <rFont val="宋体"/>
        <charset val="134"/>
      </rPr>
      <t>委托加工物资</t>
    </r>
    <r>
      <rPr>
        <sz val="10"/>
        <rFont val="Times New Roman"/>
        <charset val="134"/>
      </rPr>
      <t>16</t>
    </r>
  </si>
  <si>
    <r>
      <rPr>
        <sz val="10"/>
        <rFont val="宋体"/>
        <charset val="134"/>
      </rPr>
      <t>委托加工物资</t>
    </r>
    <r>
      <rPr>
        <sz val="10"/>
        <rFont val="Times New Roman"/>
        <charset val="134"/>
      </rPr>
      <t>17</t>
    </r>
  </si>
  <si>
    <r>
      <rPr>
        <sz val="10"/>
        <rFont val="宋体"/>
        <charset val="134"/>
      </rPr>
      <t>委托加工物资</t>
    </r>
    <r>
      <rPr>
        <sz val="10"/>
        <rFont val="Times New Roman"/>
        <charset val="134"/>
      </rPr>
      <t>18</t>
    </r>
  </si>
  <si>
    <r>
      <rPr>
        <sz val="10"/>
        <rFont val="宋体"/>
        <charset val="134"/>
      </rPr>
      <t>委托加工物资</t>
    </r>
    <r>
      <rPr>
        <sz val="10"/>
        <rFont val="Times New Roman"/>
        <charset val="134"/>
      </rPr>
      <t>19</t>
    </r>
  </si>
  <si>
    <r>
      <rPr>
        <sz val="10"/>
        <rFont val="宋体"/>
        <charset val="134"/>
      </rPr>
      <t>委托加工物资</t>
    </r>
    <r>
      <rPr>
        <sz val="10"/>
        <rFont val="Times New Roman"/>
        <charset val="134"/>
      </rPr>
      <t>20</t>
    </r>
  </si>
  <si>
    <r>
      <rPr>
        <sz val="18"/>
        <rFont val="宋体"/>
        <charset val="134"/>
      </rPr>
      <t>存货</t>
    </r>
    <r>
      <rPr>
        <sz val="18"/>
        <rFont val="Times New Roman"/>
        <charset val="134"/>
      </rPr>
      <t>—</t>
    </r>
    <r>
      <rPr>
        <sz val="18"/>
        <rFont val="宋体"/>
        <charset val="134"/>
      </rPr>
      <t>产成品（库存商品、开发产品、农产品）评估明细表</t>
    </r>
  </si>
  <si>
    <r>
      <rPr>
        <sz val="10"/>
        <rFont val="宋体"/>
        <charset val="134"/>
      </rPr>
      <t>历史数据时长：</t>
    </r>
  </si>
  <si>
    <r>
      <rPr>
        <sz val="10"/>
        <rFont val="宋体"/>
        <charset val="134"/>
      </rPr>
      <t>年</t>
    </r>
  </si>
  <si>
    <r>
      <rPr>
        <b/>
        <sz val="10"/>
        <rFont val="宋体"/>
        <charset val="134"/>
      </rPr>
      <t>名</t>
    </r>
    <r>
      <rPr>
        <b/>
        <sz val="10"/>
        <rFont val="Times New Roman"/>
        <charset val="134"/>
      </rPr>
      <t xml:space="preserve">  </t>
    </r>
    <r>
      <rPr>
        <b/>
        <sz val="10"/>
        <rFont val="宋体"/>
        <charset val="134"/>
      </rPr>
      <t>称</t>
    </r>
  </si>
  <si>
    <r>
      <rPr>
        <b/>
        <sz val="10"/>
        <rFont val="宋体"/>
        <charset val="134"/>
      </rPr>
      <t>名称及规格</t>
    </r>
  </si>
  <si>
    <r>
      <rPr>
        <b/>
        <sz val="10"/>
        <rFont val="宋体"/>
        <charset val="134"/>
      </rPr>
      <t>不含税销售单价</t>
    </r>
  </si>
  <si>
    <r>
      <rPr>
        <b/>
        <sz val="10"/>
        <rFont val="宋体"/>
        <charset val="134"/>
      </rPr>
      <t>评估方法</t>
    </r>
  </si>
  <si>
    <r>
      <rPr>
        <b/>
        <sz val="10"/>
        <rFont val="宋体"/>
        <charset val="134"/>
      </rPr>
      <t>收入</t>
    </r>
  </si>
  <si>
    <r>
      <rPr>
        <b/>
        <sz val="10"/>
        <rFont val="宋体"/>
        <charset val="134"/>
      </rPr>
      <t>税金及附加</t>
    </r>
  </si>
  <si>
    <r>
      <rPr>
        <b/>
        <sz val="10"/>
        <rFont val="宋体"/>
        <charset val="134"/>
      </rPr>
      <t>销售费用</t>
    </r>
  </si>
  <si>
    <r>
      <rPr>
        <b/>
        <sz val="10"/>
        <rFont val="宋体"/>
        <charset val="134"/>
      </rPr>
      <t>管理费用</t>
    </r>
  </si>
  <si>
    <r>
      <rPr>
        <b/>
        <sz val="10"/>
        <rFont val="宋体"/>
        <charset val="134"/>
      </rPr>
      <t>研发费用</t>
    </r>
  </si>
  <si>
    <r>
      <rPr>
        <b/>
        <sz val="10"/>
        <rFont val="宋体"/>
        <charset val="134"/>
      </rPr>
      <t>财务费用</t>
    </r>
  </si>
  <si>
    <r>
      <rPr>
        <b/>
        <sz val="10"/>
        <rFont val="宋体"/>
        <charset val="134"/>
      </rPr>
      <t>营业利润</t>
    </r>
  </si>
  <si>
    <r>
      <rPr>
        <b/>
        <sz val="10"/>
        <rFont val="宋体"/>
        <charset val="134"/>
      </rPr>
      <t>所得税</t>
    </r>
  </si>
  <si>
    <r>
      <rPr>
        <b/>
        <sz val="10"/>
        <rFont val="宋体"/>
        <charset val="134"/>
      </rPr>
      <t>净利润</t>
    </r>
  </si>
  <si>
    <r>
      <rPr>
        <b/>
        <sz val="10"/>
        <rFont val="宋体"/>
        <charset val="134"/>
      </rPr>
      <t>利润折减率</t>
    </r>
  </si>
  <si>
    <r>
      <rPr>
        <b/>
        <sz val="10"/>
        <rFont val="宋体"/>
        <charset val="134"/>
      </rPr>
      <t>利润折减额</t>
    </r>
  </si>
  <si>
    <r>
      <rPr>
        <sz val="10"/>
        <rFont val="宋体"/>
        <charset val="134"/>
      </rPr>
      <t>产成品（库存商品）</t>
    </r>
    <r>
      <rPr>
        <sz val="10"/>
        <rFont val="Times New Roman"/>
        <charset val="134"/>
      </rPr>
      <t>01</t>
    </r>
  </si>
  <si>
    <r>
      <rPr>
        <sz val="10"/>
        <rFont val="宋体"/>
        <charset val="134"/>
      </rPr>
      <t>市场法</t>
    </r>
  </si>
  <si>
    <r>
      <rPr>
        <sz val="10"/>
        <rFont val="宋体"/>
        <charset val="134"/>
      </rPr>
      <t>产成品（库存商品）</t>
    </r>
    <r>
      <rPr>
        <sz val="10"/>
        <rFont val="Times New Roman"/>
        <charset val="134"/>
      </rPr>
      <t>02</t>
    </r>
  </si>
  <si>
    <r>
      <rPr>
        <sz val="10"/>
        <rFont val="宋体"/>
        <charset val="134"/>
      </rPr>
      <t>产成品（库存商品）</t>
    </r>
    <r>
      <rPr>
        <sz val="10"/>
        <rFont val="Times New Roman"/>
        <charset val="134"/>
      </rPr>
      <t>03</t>
    </r>
  </si>
  <si>
    <r>
      <rPr>
        <sz val="10"/>
        <rFont val="宋体"/>
        <charset val="134"/>
      </rPr>
      <t>产成品（库存商品）</t>
    </r>
    <r>
      <rPr>
        <sz val="10"/>
        <rFont val="Times New Roman"/>
        <charset val="134"/>
      </rPr>
      <t>04</t>
    </r>
  </si>
  <si>
    <r>
      <rPr>
        <sz val="10"/>
        <rFont val="宋体"/>
        <charset val="134"/>
      </rPr>
      <t>产成品（库存商品）</t>
    </r>
    <r>
      <rPr>
        <sz val="10"/>
        <rFont val="Times New Roman"/>
        <charset val="134"/>
      </rPr>
      <t>05</t>
    </r>
  </si>
  <si>
    <r>
      <rPr>
        <sz val="10"/>
        <rFont val="宋体"/>
        <charset val="134"/>
      </rPr>
      <t>产成品（库存商品）</t>
    </r>
    <r>
      <rPr>
        <sz val="10"/>
        <rFont val="Times New Roman"/>
        <charset val="134"/>
      </rPr>
      <t>06</t>
    </r>
  </si>
  <si>
    <r>
      <rPr>
        <sz val="10"/>
        <rFont val="宋体"/>
        <charset val="134"/>
      </rPr>
      <t>产成品（库存商品）</t>
    </r>
    <r>
      <rPr>
        <sz val="10"/>
        <rFont val="Times New Roman"/>
        <charset val="134"/>
      </rPr>
      <t>07</t>
    </r>
  </si>
  <si>
    <r>
      <rPr>
        <sz val="10"/>
        <rFont val="宋体"/>
        <charset val="134"/>
      </rPr>
      <t>产成品（库存商品）</t>
    </r>
    <r>
      <rPr>
        <sz val="10"/>
        <rFont val="Times New Roman"/>
        <charset val="134"/>
      </rPr>
      <t>08</t>
    </r>
  </si>
  <si>
    <r>
      <rPr>
        <sz val="10"/>
        <rFont val="宋体"/>
        <charset val="134"/>
      </rPr>
      <t>产成品（库存商品）</t>
    </r>
    <r>
      <rPr>
        <sz val="10"/>
        <rFont val="Times New Roman"/>
        <charset val="134"/>
      </rPr>
      <t>09</t>
    </r>
  </si>
  <si>
    <r>
      <rPr>
        <sz val="10"/>
        <rFont val="宋体"/>
        <charset val="134"/>
      </rPr>
      <t>产成品（库存商品）</t>
    </r>
    <r>
      <rPr>
        <sz val="10"/>
        <rFont val="Times New Roman"/>
        <charset val="134"/>
      </rPr>
      <t>10</t>
    </r>
  </si>
  <si>
    <r>
      <rPr>
        <sz val="10"/>
        <rFont val="宋体"/>
        <charset val="134"/>
      </rPr>
      <t>产成品（库存商品）</t>
    </r>
    <r>
      <rPr>
        <sz val="10"/>
        <rFont val="Times New Roman"/>
        <charset val="134"/>
      </rPr>
      <t>11</t>
    </r>
  </si>
  <si>
    <r>
      <rPr>
        <sz val="10"/>
        <rFont val="宋体"/>
        <charset val="134"/>
      </rPr>
      <t>产成品（库存商品）</t>
    </r>
    <r>
      <rPr>
        <sz val="10"/>
        <rFont val="Times New Roman"/>
        <charset val="134"/>
      </rPr>
      <t>12</t>
    </r>
  </si>
  <si>
    <r>
      <rPr>
        <sz val="10"/>
        <rFont val="宋体"/>
        <charset val="134"/>
      </rPr>
      <t>产成品（库存商品）</t>
    </r>
    <r>
      <rPr>
        <sz val="10"/>
        <rFont val="Times New Roman"/>
        <charset val="134"/>
      </rPr>
      <t>13</t>
    </r>
  </si>
  <si>
    <r>
      <rPr>
        <sz val="10"/>
        <rFont val="宋体"/>
        <charset val="134"/>
      </rPr>
      <t>产成品（库存商品）</t>
    </r>
    <r>
      <rPr>
        <sz val="10"/>
        <rFont val="Times New Roman"/>
        <charset val="134"/>
      </rPr>
      <t>14</t>
    </r>
  </si>
  <si>
    <r>
      <rPr>
        <sz val="10"/>
        <rFont val="宋体"/>
        <charset val="134"/>
      </rPr>
      <t>产成品（库存商品）</t>
    </r>
    <r>
      <rPr>
        <sz val="10"/>
        <rFont val="Times New Roman"/>
        <charset val="134"/>
      </rPr>
      <t>15</t>
    </r>
  </si>
  <si>
    <r>
      <rPr>
        <sz val="10"/>
        <rFont val="宋体"/>
        <charset val="134"/>
      </rPr>
      <t>产成品（库存商品）</t>
    </r>
    <r>
      <rPr>
        <sz val="10"/>
        <rFont val="Times New Roman"/>
        <charset val="134"/>
      </rPr>
      <t>16</t>
    </r>
  </si>
  <si>
    <r>
      <rPr>
        <sz val="10"/>
        <rFont val="宋体"/>
        <charset val="134"/>
      </rPr>
      <t>产成品（库存商品）</t>
    </r>
    <r>
      <rPr>
        <sz val="10"/>
        <rFont val="Times New Roman"/>
        <charset val="134"/>
      </rPr>
      <t>17</t>
    </r>
  </si>
  <si>
    <r>
      <rPr>
        <sz val="10"/>
        <rFont val="宋体"/>
        <charset val="134"/>
      </rPr>
      <t>产成品（库存商品）</t>
    </r>
    <r>
      <rPr>
        <sz val="10"/>
        <rFont val="Times New Roman"/>
        <charset val="134"/>
      </rPr>
      <t>18</t>
    </r>
  </si>
  <si>
    <r>
      <rPr>
        <sz val="10"/>
        <rFont val="宋体"/>
        <charset val="134"/>
      </rPr>
      <t>产成品（库存商品）</t>
    </r>
    <r>
      <rPr>
        <sz val="10"/>
        <rFont val="Times New Roman"/>
        <charset val="134"/>
      </rPr>
      <t>19</t>
    </r>
  </si>
  <si>
    <r>
      <rPr>
        <sz val="10"/>
        <rFont val="宋体"/>
        <charset val="134"/>
      </rPr>
      <t>产成品（库存商品）</t>
    </r>
    <r>
      <rPr>
        <sz val="10"/>
        <rFont val="Times New Roman"/>
        <charset val="134"/>
      </rPr>
      <t>20</t>
    </r>
  </si>
  <si>
    <r>
      <rPr>
        <sz val="10"/>
        <rFont val="宋体"/>
        <charset val="134"/>
      </rPr>
      <t>注</t>
    </r>
    <r>
      <rPr>
        <sz val="10"/>
        <rFont val="Times New Roman"/>
        <charset val="134"/>
      </rPr>
      <t>1</t>
    </r>
    <r>
      <rPr>
        <sz val="10"/>
        <rFont val="宋体"/>
        <charset val="134"/>
      </rPr>
      <t>：</t>
    </r>
  </si>
  <si>
    <r>
      <rPr>
        <sz val="10"/>
        <rFont val="Times New Roman"/>
        <charset val="134"/>
      </rPr>
      <t>1</t>
    </r>
    <r>
      <rPr>
        <sz val="10"/>
        <rFont val="宋体"/>
        <charset val="134"/>
      </rPr>
      <t>）正常，无需填写；</t>
    </r>
    <r>
      <rPr>
        <sz val="10"/>
        <rFont val="Times New Roman"/>
        <charset val="134"/>
      </rPr>
      <t>2</t>
    </r>
    <r>
      <rPr>
        <sz val="10"/>
        <rFont val="宋体"/>
        <charset val="134"/>
      </rPr>
      <t>）残次，填</t>
    </r>
    <r>
      <rPr>
        <sz val="10"/>
        <rFont val="Times New Roman"/>
        <charset val="134"/>
      </rPr>
      <t>“A”</t>
    </r>
    <r>
      <rPr>
        <sz val="10"/>
        <rFont val="宋体"/>
        <charset val="134"/>
      </rPr>
      <t>；</t>
    </r>
    <r>
      <rPr>
        <sz val="10"/>
        <rFont val="Times New Roman"/>
        <charset val="134"/>
      </rPr>
      <t>3</t>
    </r>
    <r>
      <rPr>
        <sz val="10"/>
        <rFont val="宋体"/>
        <charset val="134"/>
      </rPr>
      <t>）变质，填</t>
    </r>
    <r>
      <rPr>
        <sz val="10"/>
        <rFont val="Times New Roman"/>
        <charset val="134"/>
      </rPr>
      <t>“B”</t>
    </r>
    <r>
      <rPr>
        <sz val="10"/>
        <rFont val="宋体"/>
        <charset val="134"/>
      </rPr>
      <t>；</t>
    </r>
    <r>
      <rPr>
        <sz val="10"/>
        <rFont val="Times New Roman"/>
        <charset val="134"/>
      </rPr>
      <t>4</t>
    </r>
    <r>
      <rPr>
        <sz val="10"/>
        <rFont val="宋体"/>
        <charset val="134"/>
      </rPr>
      <t>）毁损，填</t>
    </r>
    <r>
      <rPr>
        <sz val="10"/>
        <rFont val="Times New Roman"/>
        <charset val="134"/>
      </rPr>
      <t>“C”</t>
    </r>
    <r>
      <rPr>
        <sz val="10"/>
        <rFont val="宋体"/>
        <charset val="134"/>
      </rPr>
      <t>；</t>
    </r>
    <r>
      <rPr>
        <sz val="10"/>
        <rFont val="Times New Roman"/>
        <charset val="134"/>
      </rPr>
      <t>5</t>
    </r>
    <r>
      <rPr>
        <sz val="10"/>
        <rFont val="宋体"/>
        <charset val="134"/>
      </rPr>
      <t>）滞销，填</t>
    </r>
    <r>
      <rPr>
        <sz val="10"/>
        <rFont val="Times New Roman"/>
        <charset val="134"/>
      </rPr>
      <t>“E”</t>
    </r>
    <r>
      <rPr>
        <sz val="10"/>
        <rFont val="宋体"/>
        <charset val="134"/>
      </rPr>
      <t>；</t>
    </r>
  </si>
  <si>
    <r>
      <rPr>
        <sz val="18"/>
        <rFont val="宋体"/>
        <charset val="134"/>
      </rPr>
      <t>存货</t>
    </r>
    <r>
      <rPr>
        <sz val="18"/>
        <rFont val="Times New Roman"/>
        <charset val="134"/>
      </rPr>
      <t>—</t>
    </r>
    <r>
      <rPr>
        <sz val="18"/>
        <rFont val="宋体"/>
        <charset val="134"/>
      </rPr>
      <t>在产品（自制半成品）评估明细表</t>
    </r>
  </si>
  <si>
    <r>
      <rPr>
        <b/>
        <sz val="10"/>
        <rFont val="宋体"/>
        <charset val="134"/>
      </rPr>
      <t>完工率</t>
    </r>
    <r>
      <rPr>
        <b/>
        <sz val="10"/>
        <rFont val="Times New Roman"/>
        <charset val="134"/>
      </rPr>
      <t>%</t>
    </r>
  </si>
  <si>
    <r>
      <rPr>
        <b/>
        <sz val="10"/>
        <rFont val="宋体"/>
        <charset val="134"/>
      </rPr>
      <t>约当量</t>
    </r>
  </si>
  <si>
    <r>
      <rPr>
        <sz val="10"/>
        <rFont val="宋体"/>
        <charset val="134"/>
      </rPr>
      <t>在产品（自制半成品）</t>
    </r>
    <r>
      <rPr>
        <sz val="10"/>
        <rFont val="Times New Roman"/>
        <charset val="134"/>
      </rPr>
      <t>01</t>
    </r>
  </si>
  <si>
    <r>
      <rPr>
        <sz val="10"/>
        <rFont val="宋体"/>
        <charset val="134"/>
      </rPr>
      <t>成本法</t>
    </r>
  </si>
  <si>
    <r>
      <rPr>
        <sz val="10"/>
        <rFont val="宋体"/>
        <charset val="134"/>
      </rPr>
      <t>在产品（自制半成品）</t>
    </r>
    <r>
      <rPr>
        <sz val="10"/>
        <rFont val="Times New Roman"/>
        <charset val="134"/>
      </rPr>
      <t>02</t>
    </r>
  </si>
  <si>
    <r>
      <rPr>
        <sz val="10"/>
        <rFont val="宋体"/>
        <charset val="134"/>
      </rPr>
      <t>在产品（自制半成品）</t>
    </r>
    <r>
      <rPr>
        <sz val="10"/>
        <rFont val="Times New Roman"/>
        <charset val="134"/>
      </rPr>
      <t>03</t>
    </r>
  </si>
  <si>
    <r>
      <rPr>
        <sz val="10"/>
        <rFont val="宋体"/>
        <charset val="134"/>
      </rPr>
      <t>在产品（自制半成品）</t>
    </r>
    <r>
      <rPr>
        <sz val="10"/>
        <rFont val="Times New Roman"/>
        <charset val="134"/>
      </rPr>
      <t>04</t>
    </r>
  </si>
  <si>
    <r>
      <rPr>
        <sz val="10"/>
        <rFont val="宋体"/>
        <charset val="134"/>
      </rPr>
      <t>在产品（自制半成品）</t>
    </r>
    <r>
      <rPr>
        <sz val="10"/>
        <rFont val="Times New Roman"/>
        <charset val="134"/>
      </rPr>
      <t>05</t>
    </r>
  </si>
  <si>
    <r>
      <rPr>
        <sz val="10"/>
        <rFont val="宋体"/>
        <charset val="134"/>
      </rPr>
      <t>在产品（自制半成品）</t>
    </r>
    <r>
      <rPr>
        <sz val="10"/>
        <rFont val="Times New Roman"/>
        <charset val="134"/>
      </rPr>
      <t>06</t>
    </r>
  </si>
  <si>
    <r>
      <rPr>
        <sz val="10"/>
        <rFont val="宋体"/>
        <charset val="134"/>
      </rPr>
      <t>在产品（自制半成品）</t>
    </r>
    <r>
      <rPr>
        <sz val="10"/>
        <rFont val="Times New Roman"/>
        <charset val="134"/>
      </rPr>
      <t>07</t>
    </r>
  </si>
  <si>
    <r>
      <rPr>
        <sz val="10"/>
        <rFont val="宋体"/>
        <charset val="134"/>
      </rPr>
      <t>在产品（自制半成品）</t>
    </r>
    <r>
      <rPr>
        <sz val="10"/>
        <rFont val="Times New Roman"/>
        <charset val="134"/>
      </rPr>
      <t>08</t>
    </r>
  </si>
  <si>
    <r>
      <rPr>
        <sz val="10"/>
        <rFont val="宋体"/>
        <charset val="134"/>
      </rPr>
      <t>在产品（自制半成品）</t>
    </r>
    <r>
      <rPr>
        <sz val="10"/>
        <rFont val="Times New Roman"/>
        <charset val="134"/>
      </rPr>
      <t>09</t>
    </r>
  </si>
  <si>
    <r>
      <rPr>
        <sz val="10"/>
        <rFont val="宋体"/>
        <charset val="134"/>
      </rPr>
      <t>在产品（自制半成品）</t>
    </r>
    <r>
      <rPr>
        <sz val="10"/>
        <rFont val="Times New Roman"/>
        <charset val="134"/>
      </rPr>
      <t>10</t>
    </r>
  </si>
  <si>
    <r>
      <rPr>
        <sz val="10"/>
        <rFont val="宋体"/>
        <charset val="134"/>
      </rPr>
      <t>在产品（自制半成品）</t>
    </r>
    <r>
      <rPr>
        <sz val="10"/>
        <rFont val="Times New Roman"/>
        <charset val="134"/>
      </rPr>
      <t>11</t>
    </r>
  </si>
  <si>
    <r>
      <rPr>
        <sz val="10"/>
        <rFont val="宋体"/>
        <charset val="134"/>
      </rPr>
      <t>在产品（自制半成品）</t>
    </r>
    <r>
      <rPr>
        <sz val="10"/>
        <rFont val="Times New Roman"/>
        <charset val="134"/>
      </rPr>
      <t>12</t>
    </r>
  </si>
  <si>
    <r>
      <rPr>
        <sz val="10"/>
        <rFont val="宋体"/>
        <charset val="134"/>
      </rPr>
      <t>在产品（自制半成品）</t>
    </r>
    <r>
      <rPr>
        <sz val="10"/>
        <rFont val="Times New Roman"/>
        <charset val="134"/>
      </rPr>
      <t>13</t>
    </r>
  </si>
  <si>
    <r>
      <rPr>
        <sz val="10"/>
        <rFont val="宋体"/>
        <charset val="134"/>
      </rPr>
      <t>在产品（自制半成品）</t>
    </r>
    <r>
      <rPr>
        <sz val="10"/>
        <rFont val="Times New Roman"/>
        <charset val="134"/>
      </rPr>
      <t>14</t>
    </r>
  </si>
  <si>
    <r>
      <rPr>
        <sz val="10"/>
        <rFont val="宋体"/>
        <charset val="134"/>
      </rPr>
      <t>在产品（自制半成品）</t>
    </r>
    <r>
      <rPr>
        <sz val="10"/>
        <rFont val="Times New Roman"/>
        <charset val="134"/>
      </rPr>
      <t>15</t>
    </r>
  </si>
  <si>
    <r>
      <rPr>
        <sz val="10"/>
        <rFont val="宋体"/>
        <charset val="134"/>
      </rPr>
      <t>在产品（自制半成品）</t>
    </r>
    <r>
      <rPr>
        <sz val="10"/>
        <rFont val="Times New Roman"/>
        <charset val="134"/>
      </rPr>
      <t>16</t>
    </r>
  </si>
  <si>
    <r>
      <rPr>
        <sz val="10"/>
        <rFont val="宋体"/>
        <charset val="134"/>
      </rPr>
      <t>在产品（自制半成品）</t>
    </r>
    <r>
      <rPr>
        <sz val="10"/>
        <rFont val="Times New Roman"/>
        <charset val="134"/>
      </rPr>
      <t>17</t>
    </r>
  </si>
  <si>
    <r>
      <rPr>
        <sz val="10"/>
        <rFont val="宋体"/>
        <charset val="134"/>
      </rPr>
      <t>在产品（自制半成品）</t>
    </r>
    <r>
      <rPr>
        <sz val="10"/>
        <rFont val="Times New Roman"/>
        <charset val="134"/>
      </rPr>
      <t>18</t>
    </r>
  </si>
  <si>
    <r>
      <rPr>
        <sz val="10"/>
        <rFont val="宋体"/>
        <charset val="134"/>
      </rPr>
      <t>在产品（自制半成品）</t>
    </r>
    <r>
      <rPr>
        <sz val="10"/>
        <rFont val="Times New Roman"/>
        <charset val="134"/>
      </rPr>
      <t>19</t>
    </r>
  </si>
  <si>
    <r>
      <rPr>
        <sz val="10"/>
        <rFont val="宋体"/>
        <charset val="134"/>
      </rPr>
      <t>在产品（自制半成品）</t>
    </r>
    <r>
      <rPr>
        <sz val="10"/>
        <rFont val="Times New Roman"/>
        <charset val="134"/>
      </rPr>
      <t>20</t>
    </r>
  </si>
  <si>
    <r>
      <rPr>
        <sz val="18"/>
        <rFont val="宋体"/>
        <charset val="134"/>
      </rPr>
      <t>存货</t>
    </r>
    <r>
      <rPr>
        <sz val="18"/>
        <rFont val="Times New Roman"/>
        <charset val="134"/>
      </rPr>
      <t>—</t>
    </r>
    <r>
      <rPr>
        <sz val="18"/>
        <rFont val="宋体"/>
        <charset val="134"/>
      </rPr>
      <t>发出商品评估明细表</t>
    </r>
  </si>
  <si>
    <r>
      <rPr>
        <b/>
        <sz val="10"/>
        <rFont val="宋体"/>
        <charset val="134"/>
      </rPr>
      <t>商品名称</t>
    </r>
  </si>
  <si>
    <r>
      <rPr>
        <b/>
        <sz val="10"/>
        <rFont val="宋体"/>
        <charset val="134"/>
      </rPr>
      <t>对方单位名称</t>
    </r>
  </si>
  <si>
    <r>
      <rPr>
        <sz val="10"/>
        <rFont val="宋体"/>
        <charset val="134"/>
      </rPr>
      <t>发出商品</t>
    </r>
    <r>
      <rPr>
        <sz val="10"/>
        <rFont val="Times New Roman"/>
        <charset val="134"/>
      </rPr>
      <t>01</t>
    </r>
  </si>
  <si>
    <r>
      <rPr>
        <sz val="10"/>
        <rFont val="宋体"/>
        <charset val="134"/>
      </rPr>
      <t>发出商品</t>
    </r>
    <r>
      <rPr>
        <sz val="10"/>
        <rFont val="Times New Roman"/>
        <charset val="134"/>
      </rPr>
      <t>02</t>
    </r>
  </si>
  <si>
    <r>
      <rPr>
        <sz val="10"/>
        <rFont val="宋体"/>
        <charset val="134"/>
      </rPr>
      <t>发出商品</t>
    </r>
    <r>
      <rPr>
        <sz val="10"/>
        <rFont val="Times New Roman"/>
        <charset val="134"/>
      </rPr>
      <t>03</t>
    </r>
  </si>
  <si>
    <r>
      <rPr>
        <sz val="10"/>
        <rFont val="宋体"/>
        <charset val="134"/>
      </rPr>
      <t>发出商品</t>
    </r>
    <r>
      <rPr>
        <sz val="10"/>
        <rFont val="Times New Roman"/>
        <charset val="134"/>
      </rPr>
      <t>04</t>
    </r>
  </si>
  <si>
    <r>
      <rPr>
        <sz val="10"/>
        <rFont val="宋体"/>
        <charset val="134"/>
      </rPr>
      <t>发出商品</t>
    </r>
    <r>
      <rPr>
        <sz val="10"/>
        <rFont val="Times New Roman"/>
        <charset val="134"/>
      </rPr>
      <t>05</t>
    </r>
  </si>
  <si>
    <r>
      <rPr>
        <sz val="10"/>
        <rFont val="宋体"/>
        <charset val="134"/>
      </rPr>
      <t>发出商品</t>
    </r>
    <r>
      <rPr>
        <sz val="10"/>
        <rFont val="Times New Roman"/>
        <charset val="134"/>
      </rPr>
      <t>06</t>
    </r>
  </si>
  <si>
    <r>
      <rPr>
        <sz val="10"/>
        <rFont val="宋体"/>
        <charset val="134"/>
      </rPr>
      <t>发出商品</t>
    </r>
    <r>
      <rPr>
        <sz val="10"/>
        <rFont val="Times New Roman"/>
        <charset val="134"/>
      </rPr>
      <t>07</t>
    </r>
  </si>
  <si>
    <r>
      <rPr>
        <sz val="10"/>
        <rFont val="宋体"/>
        <charset val="134"/>
      </rPr>
      <t>发出商品</t>
    </r>
    <r>
      <rPr>
        <sz val="10"/>
        <rFont val="Times New Roman"/>
        <charset val="134"/>
      </rPr>
      <t>08</t>
    </r>
  </si>
  <si>
    <r>
      <rPr>
        <sz val="10"/>
        <rFont val="宋体"/>
        <charset val="134"/>
      </rPr>
      <t>发出商品</t>
    </r>
    <r>
      <rPr>
        <sz val="10"/>
        <rFont val="Times New Roman"/>
        <charset val="134"/>
      </rPr>
      <t>09</t>
    </r>
  </si>
  <si>
    <r>
      <rPr>
        <sz val="10"/>
        <rFont val="宋体"/>
        <charset val="134"/>
      </rPr>
      <t>发出商品</t>
    </r>
    <r>
      <rPr>
        <sz val="10"/>
        <rFont val="Times New Roman"/>
        <charset val="134"/>
      </rPr>
      <t>10</t>
    </r>
  </si>
  <si>
    <r>
      <rPr>
        <sz val="10"/>
        <rFont val="宋体"/>
        <charset val="134"/>
      </rPr>
      <t>发出商品</t>
    </r>
    <r>
      <rPr>
        <sz val="10"/>
        <rFont val="Times New Roman"/>
        <charset val="134"/>
      </rPr>
      <t>11</t>
    </r>
  </si>
  <si>
    <r>
      <rPr>
        <sz val="10"/>
        <rFont val="宋体"/>
        <charset val="134"/>
      </rPr>
      <t>发出商品</t>
    </r>
    <r>
      <rPr>
        <sz val="10"/>
        <rFont val="Times New Roman"/>
        <charset val="134"/>
      </rPr>
      <t>12</t>
    </r>
  </si>
  <si>
    <r>
      <rPr>
        <sz val="10"/>
        <rFont val="宋体"/>
        <charset val="134"/>
      </rPr>
      <t>发出商品</t>
    </r>
    <r>
      <rPr>
        <sz val="10"/>
        <rFont val="Times New Roman"/>
        <charset val="134"/>
      </rPr>
      <t>13</t>
    </r>
  </si>
  <si>
    <r>
      <rPr>
        <sz val="10"/>
        <rFont val="宋体"/>
        <charset val="134"/>
      </rPr>
      <t>发出商品</t>
    </r>
    <r>
      <rPr>
        <sz val="10"/>
        <rFont val="Times New Roman"/>
        <charset val="134"/>
      </rPr>
      <t>14</t>
    </r>
  </si>
  <si>
    <r>
      <rPr>
        <sz val="10"/>
        <rFont val="宋体"/>
        <charset val="134"/>
      </rPr>
      <t>发出商品</t>
    </r>
    <r>
      <rPr>
        <sz val="10"/>
        <rFont val="Times New Roman"/>
        <charset val="134"/>
      </rPr>
      <t>15</t>
    </r>
  </si>
  <si>
    <r>
      <rPr>
        <sz val="10"/>
        <rFont val="宋体"/>
        <charset val="134"/>
      </rPr>
      <t>发出商品</t>
    </r>
    <r>
      <rPr>
        <sz val="10"/>
        <rFont val="Times New Roman"/>
        <charset val="134"/>
      </rPr>
      <t>16</t>
    </r>
  </si>
  <si>
    <r>
      <rPr>
        <sz val="10"/>
        <rFont val="宋体"/>
        <charset val="134"/>
      </rPr>
      <t>发出商品</t>
    </r>
    <r>
      <rPr>
        <sz val="10"/>
        <rFont val="Times New Roman"/>
        <charset val="134"/>
      </rPr>
      <t>17</t>
    </r>
  </si>
  <si>
    <r>
      <rPr>
        <sz val="10"/>
        <rFont val="宋体"/>
        <charset val="134"/>
      </rPr>
      <t>发出商品</t>
    </r>
    <r>
      <rPr>
        <sz val="10"/>
        <rFont val="Times New Roman"/>
        <charset val="134"/>
      </rPr>
      <t>18</t>
    </r>
  </si>
  <si>
    <r>
      <rPr>
        <sz val="10"/>
        <rFont val="宋体"/>
        <charset val="134"/>
      </rPr>
      <t>发出商品</t>
    </r>
    <r>
      <rPr>
        <sz val="10"/>
        <rFont val="Times New Roman"/>
        <charset val="134"/>
      </rPr>
      <t>19</t>
    </r>
  </si>
  <si>
    <r>
      <rPr>
        <sz val="10"/>
        <rFont val="宋体"/>
        <charset val="134"/>
      </rPr>
      <t>发出商品</t>
    </r>
    <r>
      <rPr>
        <sz val="10"/>
        <rFont val="Times New Roman"/>
        <charset val="134"/>
      </rPr>
      <t>20</t>
    </r>
  </si>
  <si>
    <r>
      <rPr>
        <sz val="18"/>
        <rFont val="宋体"/>
        <charset val="134"/>
      </rPr>
      <t>存货</t>
    </r>
    <r>
      <rPr>
        <sz val="18"/>
        <rFont val="Times New Roman"/>
        <charset val="134"/>
      </rPr>
      <t>—</t>
    </r>
    <r>
      <rPr>
        <sz val="18"/>
        <rFont val="宋体"/>
        <charset val="134"/>
      </rPr>
      <t>在用周转材料评估明细表</t>
    </r>
  </si>
  <si>
    <r>
      <rPr>
        <b/>
        <sz val="10"/>
        <rFont val="宋体"/>
        <charset val="134"/>
      </rPr>
      <t>启用日期</t>
    </r>
  </si>
  <si>
    <r>
      <rPr>
        <b/>
        <sz val="10"/>
        <rFont val="宋体"/>
        <charset val="134"/>
      </rPr>
      <t>原始入账价值</t>
    </r>
  </si>
  <si>
    <r>
      <rPr>
        <b/>
        <sz val="10"/>
        <rFont val="宋体"/>
        <charset val="134"/>
      </rPr>
      <t>评估原价</t>
    </r>
  </si>
  <si>
    <r>
      <rPr>
        <b/>
        <sz val="10"/>
        <rFont val="宋体"/>
        <charset val="134"/>
      </rPr>
      <t>成新率</t>
    </r>
    <r>
      <rPr>
        <b/>
        <sz val="10"/>
        <rFont val="Times New Roman"/>
        <charset val="134"/>
      </rPr>
      <t>%</t>
    </r>
  </si>
  <si>
    <r>
      <rPr>
        <b/>
        <sz val="10"/>
        <color theme="1"/>
        <rFont val="宋体"/>
        <charset val="134"/>
      </rPr>
      <t>购买日指数</t>
    </r>
  </si>
  <si>
    <r>
      <rPr>
        <b/>
        <sz val="10"/>
        <rFont val="宋体"/>
        <charset val="134"/>
      </rPr>
      <t>调整系数</t>
    </r>
  </si>
  <si>
    <r>
      <rPr>
        <b/>
        <sz val="10"/>
        <rFont val="宋体"/>
        <charset val="134"/>
      </rPr>
      <t>含税购置单价</t>
    </r>
  </si>
  <si>
    <r>
      <rPr>
        <b/>
        <sz val="10"/>
        <rFont val="宋体"/>
        <charset val="134"/>
      </rPr>
      <t>增值税</t>
    </r>
  </si>
  <si>
    <r>
      <rPr>
        <b/>
        <sz val="10"/>
        <rFont val="宋体"/>
        <charset val="134"/>
      </rPr>
      <t>安装调试费费率</t>
    </r>
  </si>
  <si>
    <r>
      <rPr>
        <b/>
        <sz val="10"/>
        <rFont val="宋体"/>
        <charset val="134"/>
      </rPr>
      <t>安装调试费</t>
    </r>
  </si>
  <si>
    <t>安装调试费增值税</t>
  </si>
  <si>
    <r>
      <rPr>
        <b/>
        <sz val="10"/>
        <rFont val="宋体"/>
        <charset val="134"/>
      </rPr>
      <t>已使用年限</t>
    </r>
  </si>
  <si>
    <t>分类</t>
  </si>
  <si>
    <r>
      <rPr>
        <b/>
        <sz val="10"/>
        <rFont val="宋体"/>
        <charset val="134"/>
      </rPr>
      <t>经济寿命年限</t>
    </r>
  </si>
  <si>
    <t>理论成新率</t>
  </si>
  <si>
    <t>勘察成新率</t>
  </si>
  <si>
    <t>综合成新率</t>
  </si>
  <si>
    <r>
      <rPr>
        <b/>
        <sz val="10"/>
        <rFont val="宋体"/>
        <charset val="134"/>
      </rPr>
      <t>询价记录</t>
    </r>
  </si>
  <si>
    <t>主提升钢丝绳</t>
  </si>
  <si>
    <t>18×7+FC-48-1870（左交）</t>
  </si>
  <si>
    <t>米</t>
  </si>
  <si>
    <r>
      <rPr>
        <sz val="10"/>
        <rFont val="宋体"/>
        <charset val="134"/>
      </rPr>
      <t>在用周转材料</t>
    </r>
    <r>
      <rPr>
        <sz val="10"/>
        <rFont val="Times New Roman"/>
        <charset val="134"/>
      </rPr>
      <t>01</t>
    </r>
  </si>
  <si>
    <t>钢丝绳</t>
  </si>
  <si>
    <t>https://item.jd.com/10187484327919.html#switch-sku</t>
  </si>
  <si>
    <t>副提升钢丝绳</t>
  </si>
  <si>
    <r>
      <rPr>
        <sz val="10"/>
        <rFont val="Times New Roman"/>
        <charset val="134"/>
      </rPr>
      <t>18×7+FC-44-1870</t>
    </r>
    <r>
      <rPr>
        <sz val="10"/>
        <rFont val="宋体"/>
        <charset val="134"/>
      </rPr>
      <t>（左交）</t>
    </r>
  </si>
  <si>
    <r>
      <rPr>
        <sz val="10"/>
        <rFont val="宋体"/>
        <charset val="134"/>
      </rPr>
      <t>在用周转材料</t>
    </r>
    <r>
      <rPr>
        <sz val="10"/>
        <rFont val="Times New Roman"/>
        <charset val="134"/>
      </rPr>
      <t>02</t>
    </r>
  </si>
  <si>
    <t>1#吊盘悬吊绳</t>
  </si>
  <si>
    <t>18×7+FC-42-1870（左交）</t>
  </si>
  <si>
    <r>
      <rPr>
        <sz val="10"/>
        <rFont val="宋体"/>
        <charset val="134"/>
      </rPr>
      <t>在用周转材料</t>
    </r>
    <r>
      <rPr>
        <sz val="10"/>
        <rFont val="Times New Roman"/>
        <charset val="134"/>
      </rPr>
      <t>03</t>
    </r>
  </si>
  <si>
    <t>2#吊盘悬吊绳</t>
  </si>
  <si>
    <r>
      <rPr>
        <sz val="10"/>
        <rFont val="Times New Roman"/>
        <charset val="134"/>
      </rPr>
      <t>18×7+FC-42-1870</t>
    </r>
    <r>
      <rPr>
        <sz val="10"/>
        <rFont val="宋体"/>
        <charset val="134"/>
      </rPr>
      <t>（左交）</t>
    </r>
  </si>
  <si>
    <r>
      <rPr>
        <sz val="10"/>
        <rFont val="宋体"/>
        <charset val="134"/>
      </rPr>
      <t>在用周转材料</t>
    </r>
    <r>
      <rPr>
        <sz val="10"/>
        <rFont val="Times New Roman"/>
        <charset val="134"/>
      </rPr>
      <t>04</t>
    </r>
  </si>
  <si>
    <t>3#吊盘悬吊绳</t>
  </si>
  <si>
    <t>18×7+FC-42-1870（右交）</t>
  </si>
  <si>
    <r>
      <rPr>
        <sz val="10"/>
        <rFont val="宋体"/>
        <charset val="134"/>
      </rPr>
      <t>在用周转材料</t>
    </r>
    <r>
      <rPr>
        <sz val="10"/>
        <rFont val="Times New Roman"/>
        <charset val="134"/>
      </rPr>
      <t>05</t>
    </r>
  </si>
  <si>
    <t>4#吊盘悬吊绳</t>
  </si>
  <si>
    <t>5#吊盘悬吊绳</t>
  </si>
  <si>
    <t>6#吊盘悬吊绳</t>
  </si>
  <si>
    <t>7#吊盘悬吊绳</t>
  </si>
  <si>
    <t>8#吊盘悬吊绳</t>
  </si>
  <si>
    <t>抓岩机悬吊绳</t>
  </si>
  <si>
    <t>18×7+FC-34-1770（右交）</t>
  </si>
  <si>
    <t>放炮电缆悬吊绳</t>
  </si>
  <si>
    <t>18×7+IWS-20-1670</t>
  </si>
  <si>
    <t>挖机电缆悬吊绳</t>
  </si>
  <si>
    <t>18×7+IWS-22-1670</t>
  </si>
  <si>
    <t>动力电缆悬吊绳</t>
  </si>
  <si>
    <t>安全梯悬吊绳</t>
  </si>
  <si>
    <t>18×7+FC-22-1670</t>
  </si>
  <si>
    <t>井盖门钢丝绳</t>
  </si>
  <si>
    <t>6×37+FC-15.5-1670</t>
  </si>
  <si>
    <t>溜槽钢丝绳</t>
  </si>
  <si>
    <t>6×37+FC-18.5-1670</t>
  </si>
  <si>
    <t>井下信号电缆</t>
  </si>
  <si>
    <t>MYQ-12*2.5</t>
  </si>
  <si>
    <t>电缆</t>
  </si>
  <si>
    <r>
      <rPr>
        <sz val="10"/>
        <rFont val="宋体"/>
        <charset val="134"/>
      </rPr>
      <t>井下信号</t>
    </r>
    <r>
      <rPr>
        <sz val="10"/>
        <rFont val="宋体"/>
        <charset val="134"/>
      </rPr>
      <t>电缆</t>
    </r>
  </si>
  <si>
    <t>通讯电缆</t>
  </si>
  <si>
    <t>MYQ-4×6</t>
  </si>
  <si>
    <t>照明电缆</t>
  </si>
  <si>
    <t>MY -3×16</t>
  </si>
  <si>
    <t>https://www.gys.cn/tezhongdianlan/5419374963.html</t>
  </si>
  <si>
    <t>大泵启动电缆</t>
  </si>
  <si>
    <t>MYQ-4×4</t>
  </si>
  <si>
    <r>
      <rPr>
        <sz val="10"/>
        <rFont val="宋体"/>
        <charset val="134"/>
      </rPr>
      <t>视频监控</t>
    </r>
    <r>
      <rPr>
        <sz val="10"/>
        <rFont val="宋体"/>
        <charset val="134"/>
      </rPr>
      <t>电缆</t>
    </r>
  </si>
  <si>
    <t>MGTSV-8B</t>
  </si>
  <si>
    <r>
      <rPr>
        <sz val="10"/>
        <rFont val="宋体"/>
        <charset val="134"/>
      </rPr>
      <t>瓦斯监控</t>
    </r>
    <r>
      <rPr>
        <sz val="10"/>
        <rFont val="宋体"/>
        <charset val="134"/>
      </rPr>
      <t>电缆</t>
    </r>
  </si>
  <si>
    <t>MYQ-8*2.5</t>
  </si>
  <si>
    <t>挖机电缆</t>
  </si>
  <si>
    <t>MYP-3*25+1*16</t>
  </si>
  <si>
    <t>https://item.jd.com/10098328126351.html</t>
  </si>
  <si>
    <r>
      <rPr>
        <sz val="10"/>
        <rFont val="宋体"/>
        <charset val="134"/>
      </rPr>
      <t>稳车急停</t>
    </r>
    <r>
      <rPr>
        <sz val="10"/>
        <rFont val="宋体"/>
        <charset val="134"/>
      </rPr>
      <t>电缆</t>
    </r>
  </si>
  <si>
    <t>MYQ-4×2.5</t>
  </si>
  <si>
    <t>高压电缆</t>
  </si>
  <si>
    <t>YJV-3*120</t>
  </si>
  <si>
    <t>https://www.gys.cn/dianlidianlan/5436315129.html</t>
  </si>
  <si>
    <t>YJV-3*95</t>
  </si>
  <si>
    <t>YJV-3*25</t>
  </si>
  <si>
    <t>低压电缆</t>
  </si>
  <si>
    <t>MYP-3*95+1*50</t>
  </si>
  <si>
    <t>https://item.jd.com/10153304126511.html#switch-sku</t>
  </si>
  <si>
    <t>MYP-3*16+1*10</t>
  </si>
  <si>
    <t>https://item.jd.com/10153304126506.html#switch-sku</t>
  </si>
  <si>
    <t>YJV-3*70</t>
  </si>
  <si>
    <t>控制线</t>
  </si>
  <si>
    <t>RVVP-7*1.5</t>
  </si>
  <si>
    <t>RVV-7*4</t>
  </si>
  <si>
    <t>MYQ-4*4</t>
  </si>
  <si>
    <t>MYQ-2*2.5</t>
  </si>
  <si>
    <t>MY-3*16+1*10</t>
  </si>
  <si>
    <t>https://item.jd.com/10153304126494.html#switch-sku</t>
  </si>
  <si>
    <t>RVVP-14*1.5</t>
  </si>
  <si>
    <t>护套线</t>
  </si>
  <si>
    <t>2*2.5</t>
  </si>
  <si>
    <t>MY-3*25+1*16</t>
  </si>
  <si>
    <t>https://item.jd.com/10153304126495.html#switch-sku</t>
  </si>
  <si>
    <t>MYQ-4*2.5</t>
  </si>
  <si>
    <t>MYQ-2*1.5</t>
  </si>
  <si>
    <t>RVV-4*0.75</t>
  </si>
  <si>
    <t>MY-4*4</t>
  </si>
  <si>
    <t>RVVP-24*1.5</t>
  </si>
  <si>
    <t>YJV-3*50</t>
  </si>
  <si>
    <t>MY-3*50+1*35</t>
  </si>
  <si>
    <t>RVVP-10*1.5</t>
  </si>
  <si>
    <t>信号线</t>
  </si>
  <si>
    <t>MYQ-4*1.5</t>
  </si>
  <si>
    <t>网线</t>
  </si>
  <si>
    <t>3*1.5</t>
  </si>
  <si>
    <t>无缝钢管</t>
  </si>
  <si>
    <t>φ426*6mm</t>
  </si>
  <si>
    <t>管道</t>
  </si>
  <si>
    <t>法兰</t>
  </si>
  <si>
    <t>φ426</t>
  </si>
  <si>
    <t>付</t>
  </si>
  <si>
    <t>弯头</t>
  </si>
  <si>
    <t>个</t>
  </si>
  <si>
    <t>φ159*6mm</t>
  </si>
  <si>
    <t>φ159</t>
  </si>
  <si>
    <t>螺栓</t>
  </si>
  <si>
    <t>M24*100</t>
  </si>
  <si>
    <t>套</t>
  </si>
  <si>
    <t>管路固定装置</t>
  </si>
  <si>
    <t>管子座</t>
  </si>
  <si>
    <t>供水管路</t>
  </si>
  <si>
    <t>1.2寸钢编管</t>
  </si>
  <si>
    <t>快接</t>
  </si>
  <si>
    <t>1.2寸</t>
  </si>
  <si>
    <t>电子仪器</t>
  </si>
  <si>
    <t>风筒切换接头</t>
  </si>
  <si>
    <t>φ1000mm</t>
  </si>
  <si>
    <t>风筒弯头</t>
  </si>
  <si>
    <t>风筒</t>
  </si>
  <si>
    <t>节</t>
  </si>
  <si>
    <t>风筒接头</t>
  </si>
  <si>
    <t>φ980mm</t>
  </si>
  <si>
    <t>隔爆型LED巷道灯</t>
  </si>
  <si>
    <t>DGS36/127</t>
  </si>
  <si>
    <t>灯</t>
  </si>
  <si>
    <t>https://item.jd.com/10136817570290.html#switch-sku</t>
  </si>
  <si>
    <t>DGS70/127L</t>
  </si>
  <si>
    <t>隔爆型摄像仪</t>
  </si>
  <si>
    <t>KBA127</t>
  </si>
  <si>
    <t>本安型斜井信号</t>
  </si>
  <si>
    <t>KXT20-W</t>
  </si>
  <si>
    <t>防爆电话</t>
  </si>
  <si>
    <t>KTH-182</t>
  </si>
  <si>
    <t>防爆直通电话</t>
  </si>
  <si>
    <t>KTT-10</t>
  </si>
  <si>
    <t>矿用隔爆型投光灯</t>
  </si>
  <si>
    <t>KXT20-S</t>
  </si>
  <si>
    <t>本安型信号灯</t>
  </si>
  <si>
    <t>隔爆型急停按钮</t>
  </si>
  <si>
    <t>BZA2-5/36J（A）</t>
  </si>
  <si>
    <t>隔爆兼本安型通讯声光信号器</t>
  </si>
  <si>
    <t>KXH127</t>
  </si>
  <si>
    <t>矿用显视器</t>
  </si>
  <si>
    <t>XB127</t>
  </si>
  <si>
    <t>隔爆型LED投光灯</t>
  </si>
  <si>
    <t>300W</t>
  </si>
  <si>
    <t>防爆控制箱</t>
  </si>
  <si>
    <t>煤矿专用设备</t>
  </si>
  <si>
    <t>KTH-137</t>
  </si>
  <si>
    <t>防爆接线盒</t>
  </si>
  <si>
    <t>BHD2-200-2T/1140</t>
  </si>
  <si>
    <t>矿用隔爆兼本安型不间断电源</t>
  </si>
  <si>
    <t>隔爆兼本安型通讯
声光信号器</t>
  </si>
  <si>
    <t>配电箱</t>
  </si>
  <si>
    <t>400*500*160mm</t>
  </si>
  <si>
    <t>配电设备</t>
  </si>
  <si>
    <t>投光灯</t>
  </si>
  <si>
    <t>1000W</t>
  </si>
  <si>
    <t>排风扇</t>
  </si>
  <si>
    <t>500*500mm</t>
  </si>
  <si>
    <t>家具家电</t>
  </si>
  <si>
    <t>吸顶灯</t>
  </si>
  <si>
    <t>36W</t>
  </si>
  <si>
    <t>应急灯</t>
  </si>
  <si>
    <t>急停按钮</t>
  </si>
  <si>
    <t>翻矸警示铃</t>
  </si>
  <si>
    <t>声光</t>
  </si>
  <si>
    <t>500*700*230mm</t>
  </si>
  <si>
    <t>消防报警系统箱</t>
  </si>
  <si>
    <t>500*600*180mm</t>
  </si>
  <si>
    <t>400*600*150mm</t>
  </si>
  <si>
    <t>400W</t>
  </si>
  <si>
    <t>动力配电箱</t>
  </si>
  <si>
    <t>400A  380V</t>
  </si>
  <si>
    <t>照明灯</t>
  </si>
  <si>
    <t>多媒体柜</t>
  </si>
  <si>
    <t>显示器</t>
  </si>
  <si>
    <t>小米</t>
  </si>
  <si>
    <t>台</t>
  </si>
  <si>
    <t>显示屏</t>
  </si>
  <si>
    <t>交换机</t>
  </si>
  <si>
    <t>千兆  6</t>
  </si>
  <si>
    <t>多媒体箱</t>
  </si>
  <si>
    <t>摄像头</t>
  </si>
  <si>
    <t>海康威视  高清</t>
  </si>
  <si>
    <r>
      <rPr>
        <sz val="10"/>
        <rFont val="Times New Roman"/>
        <charset val="134"/>
      </rPr>
      <t>6</t>
    </r>
    <r>
      <rPr>
        <sz val="10"/>
        <rFont val="宋体"/>
        <charset val="134"/>
      </rPr>
      <t>类</t>
    </r>
  </si>
  <si>
    <t>联想</t>
  </si>
  <si>
    <t>工控箱</t>
  </si>
  <si>
    <r>
      <rPr>
        <sz val="10"/>
        <rFont val="宋体"/>
        <charset val="134"/>
      </rPr>
      <t>研华科技</t>
    </r>
    <r>
      <rPr>
        <sz val="10"/>
        <rFont val="Times New Roman"/>
        <charset val="134"/>
      </rPr>
      <t>610L</t>
    </r>
  </si>
  <si>
    <t>https://item.jd.com/10178883294643.html</t>
  </si>
  <si>
    <t>联想 D21195HEO</t>
  </si>
  <si>
    <t>联想 A21215FV2</t>
  </si>
  <si>
    <t>LG902-AF-42N-M</t>
  </si>
  <si>
    <t>分站声光报警</t>
  </si>
  <si>
    <t>JMSB</t>
  </si>
  <si>
    <t>UPS不间断电源</t>
  </si>
  <si>
    <t>A2000</t>
  </si>
  <si>
    <t>直流电源箱</t>
  </si>
  <si>
    <t>KDW660/24B(X)</t>
  </si>
  <si>
    <t>分站</t>
  </si>
  <si>
    <t>KJ379X-F</t>
  </si>
  <si>
    <t>彩钢房</t>
  </si>
  <si>
    <t>远程断电器</t>
  </si>
  <si>
    <t>KDG0.09/24（X）</t>
  </si>
  <si>
    <t>高浓度甲烷传感器</t>
  </si>
  <si>
    <t>GJ4/100(A)</t>
  </si>
  <si>
    <t>低浓度瓦斯传感器</t>
  </si>
  <si>
    <t>GJ4X(A)</t>
  </si>
  <si>
    <t>一氧化碳传感器</t>
  </si>
  <si>
    <t>GTH1000X(A)</t>
  </si>
  <si>
    <t>https://item.jd.com/10120076201301.html#switch-sku</t>
  </si>
  <si>
    <t>高低浓度甲烷传感器</t>
  </si>
  <si>
    <t>便携式甲烷报警仪</t>
  </si>
  <si>
    <t>JCB4(A)</t>
  </si>
  <si>
    <t>矿用风筒风量传感器</t>
  </si>
  <si>
    <t>GFK10</t>
  </si>
  <si>
    <t>开停传感器</t>
  </si>
  <si>
    <t>KGT15</t>
  </si>
  <si>
    <t>机械风表</t>
  </si>
  <si>
    <t>高速</t>
  </si>
  <si>
    <t>中速</t>
  </si>
  <si>
    <t>低速</t>
  </si>
  <si>
    <t>天轮平台</t>
  </si>
  <si>
    <t>翻矸平台</t>
  </si>
  <si>
    <t>封口盘</t>
  </si>
  <si>
    <t>吊盘</t>
  </si>
  <si>
    <t>安全梯</t>
  </si>
  <si>
    <t>两绞车房及压风机房</t>
  </si>
  <si>
    <t>间</t>
  </si>
  <si>
    <t>稳车地脚螺栓</t>
  </si>
  <si>
    <t>滑架</t>
  </si>
  <si>
    <t>钢筋桶</t>
  </si>
  <si>
    <t>座钩</t>
  </si>
  <si>
    <t>云梯</t>
  </si>
  <si>
    <t>主提</t>
  </si>
  <si>
    <t>副提</t>
  </si>
  <si>
    <t>电缆桥架</t>
  </si>
  <si>
    <t>6节 70米 带两个立柱</t>
  </si>
  <si>
    <t>井口生活区围墙</t>
  </si>
  <si>
    <r>
      <rPr>
        <sz val="10"/>
        <rFont val="宋体"/>
        <charset val="134"/>
      </rPr>
      <t>高</t>
    </r>
    <r>
      <rPr>
        <sz val="10"/>
        <rFont val="Times New Roman"/>
        <charset val="134"/>
      </rPr>
      <t>2.5m</t>
    </r>
  </si>
  <si>
    <t>钢筋棚</t>
  </si>
  <si>
    <t>12m*6.5m*4m</t>
  </si>
  <si>
    <t>平方米</t>
  </si>
  <si>
    <t>机修棚</t>
  </si>
  <si>
    <t>12m*5m*3m</t>
  </si>
  <si>
    <t>大库房</t>
  </si>
  <si>
    <r>
      <rPr>
        <sz val="10"/>
        <rFont val="Times New Roman"/>
        <charset val="134"/>
      </rPr>
      <t>3</t>
    </r>
    <r>
      <rPr>
        <sz val="10"/>
        <rFont val="宋体"/>
        <charset val="134"/>
      </rPr>
      <t>间</t>
    </r>
    <r>
      <rPr>
        <sz val="10"/>
        <rFont val="Times New Roman"/>
        <charset val="134"/>
      </rPr>
      <t xml:space="preserve">  20m*6m*3.1m</t>
    </r>
  </si>
  <si>
    <t>通风机房</t>
  </si>
  <si>
    <t>8m*6m*3m</t>
  </si>
  <si>
    <t>发电机房</t>
  </si>
  <si>
    <t>9m*3m*2.8m</t>
  </si>
  <si>
    <t>集装箱</t>
  </si>
  <si>
    <t>彩板房</t>
  </si>
  <si>
    <t>井口检身室</t>
  </si>
  <si>
    <t>井口主、副提信号室</t>
  </si>
  <si>
    <t>方管围栏</t>
  </si>
  <si>
    <t>1.2m高</t>
  </si>
  <si>
    <t>1.8m高</t>
  </si>
  <si>
    <t>围挡井架</t>
  </si>
  <si>
    <t>床</t>
  </si>
  <si>
    <t>1.2*2</t>
  </si>
  <si>
    <t>张</t>
  </si>
  <si>
    <t>热水器</t>
  </si>
  <si>
    <t>60L</t>
  </si>
  <si>
    <t>组合沙发</t>
  </si>
  <si>
    <t>茶几</t>
  </si>
  <si>
    <t>旧木头1.2*60</t>
  </si>
  <si>
    <t>办公桌</t>
  </si>
  <si>
    <t>1.8*2旧</t>
  </si>
  <si>
    <t>洗漱间</t>
  </si>
  <si>
    <t>3*1.5旧</t>
  </si>
  <si>
    <t>凳子</t>
  </si>
  <si>
    <t>把</t>
  </si>
  <si>
    <t>铁皮柜</t>
  </si>
  <si>
    <t>4或6门</t>
  </si>
  <si>
    <t>桌椅</t>
  </si>
  <si>
    <t>仓库货架</t>
  </si>
  <si>
    <t>上下床</t>
  </si>
  <si>
    <t>MY-3*95+1*50</t>
  </si>
  <si>
    <t>MY-3*10+1*6</t>
  </si>
  <si>
    <t>https://item.jd.com/10153304126493.html#switch-sku</t>
  </si>
  <si>
    <t>10平方独芯电缆</t>
  </si>
  <si>
    <r>
      <rPr>
        <sz val="10"/>
        <rFont val="宋体"/>
        <charset val="134"/>
      </rPr>
      <t>在用周转材料</t>
    </r>
    <r>
      <rPr>
        <sz val="10"/>
        <rFont val="Times New Roman"/>
        <charset val="134"/>
      </rPr>
      <t>06</t>
    </r>
  </si>
  <si>
    <r>
      <rPr>
        <sz val="10"/>
        <rFont val="宋体"/>
        <charset val="134"/>
      </rPr>
      <t>在用周转材料</t>
    </r>
    <r>
      <rPr>
        <sz val="10"/>
        <rFont val="Times New Roman"/>
        <charset val="134"/>
      </rPr>
      <t>07</t>
    </r>
  </si>
  <si>
    <r>
      <rPr>
        <sz val="10"/>
        <rFont val="宋体"/>
        <charset val="134"/>
      </rPr>
      <t>在用周转材料</t>
    </r>
    <r>
      <rPr>
        <sz val="10"/>
        <rFont val="Times New Roman"/>
        <charset val="134"/>
      </rPr>
      <t>08</t>
    </r>
  </si>
  <si>
    <r>
      <rPr>
        <sz val="10"/>
        <rFont val="宋体"/>
        <charset val="134"/>
      </rPr>
      <t>在用周转材料</t>
    </r>
    <r>
      <rPr>
        <sz val="10"/>
        <rFont val="Times New Roman"/>
        <charset val="134"/>
      </rPr>
      <t>09</t>
    </r>
  </si>
  <si>
    <r>
      <rPr>
        <sz val="10"/>
        <rFont val="宋体"/>
        <charset val="134"/>
      </rPr>
      <t>在用周转材料</t>
    </r>
    <r>
      <rPr>
        <sz val="10"/>
        <rFont val="Times New Roman"/>
        <charset val="134"/>
      </rPr>
      <t>10</t>
    </r>
  </si>
  <si>
    <r>
      <rPr>
        <sz val="10"/>
        <rFont val="宋体"/>
        <charset val="134"/>
      </rPr>
      <t>在用周转材料</t>
    </r>
    <r>
      <rPr>
        <sz val="10"/>
        <rFont val="Times New Roman"/>
        <charset val="134"/>
      </rPr>
      <t>11</t>
    </r>
  </si>
  <si>
    <r>
      <rPr>
        <sz val="10"/>
        <rFont val="宋体"/>
        <charset val="134"/>
      </rPr>
      <t>在用周转材料</t>
    </r>
    <r>
      <rPr>
        <sz val="10"/>
        <rFont val="Times New Roman"/>
        <charset val="134"/>
      </rPr>
      <t>12</t>
    </r>
  </si>
  <si>
    <t>配电柜</t>
  </si>
  <si>
    <t>大生活区动力柜</t>
  </si>
  <si>
    <t>动力柜</t>
  </si>
  <si>
    <t>XL-21</t>
  </si>
  <si>
    <t>墙壁开关</t>
  </si>
  <si>
    <t>明装</t>
  </si>
  <si>
    <t>墙壁插座</t>
  </si>
  <si>
    <t>5孔</t>
  </si>
  <si>
    <t>空调插座</t>
  </si>
  <si>
    <t>井口生活区</t>
  </si>
  <si>
    <t>空气能</t>
  </si>
  <si>
    <t>投影仪</t>
  </si>
  <si>
    <t>EPSON</t>
  </si>
  <si>
    <r>
      <rPr>
        <sz val="10"/>
        <rFont val="宋体"/>
        <charset val="134"/>
      </rPr>
      <t>在用周转材料</t>
    </r>
    <r>
      <rPr>
        <sz val="10"/>
        <rFont val="Times New Roman"/>
        <charset val="134"/>
      </rPr>
      <t>13</t>
    </r>
  </si>
  <si>
    <r>
      <rPr>
        <sz val="10"/>
        <rFont val="宋体"/>
        <charset val="134"/>
      </rPr>
      <t>在用周转材料</t>
    </r>
    <r>
      <rPr>
        <sz val="10"/>
        <rFont val="Times New Roman"/>
        <charset val="134"/>
      </rPr>
      <t>14</t>
    </r>
  </si>
  <si>
    <r>
      <rPr>
        <sz val="10"/>
        <rFont val="宋体"/>
        <charset val="134"/>
      </rPr>
      <t>在用周转材料</t>
    </r>
    <r>
      <rPr>
        <sz val="10"/>
        <rFont val="Times New Roman"/>
        <charset val="134"/>
      </rPr>
      <t>15</t>
    </r>
  </si>
  <si>
    <r>
      <rPr>
        <sz val="10"/>
        <rFont val="宋体"/>
        <charset val="134"/>
      </rPr>
      <t>在用周转材料</t>
    </r>
    <r>
      <rPr>
        <sz val="10"/>
        <rFont val="Times New Roman"/>
        <charset val="134"/>
      </rPr>
      <t>16</t>
    </r>
  </si>
  <si>
    <r>
      <rPr>
        <sz val="10"/>
        <rFont val="宋体"/>
        <charset val="134"/>
      </rPr>
      <t>在用周转材料</t>
    </r>
    <r>
      <rPr>
        <sz val="10"/>
        <rFont val="Times New Roman"/>
        <charset val="134"/>
      </rPr>
      <t>17</t>
    </r>
  </si>
  <si>
    <r>
      <rPr>
        <sz val="10"/>
        <rFont val="宋体"/>
        <charset val="134"/>
      </rPr>
      <t>在用周转材料</t>
    </r>
    <r>
      <rPr>
        <sz val="10"/>
        <rFont val="Times New Roman"/>
        <charset val="134"/>
      </rPr>
      <t>18</t>
    </r>
  </si>
  <si>
    <r>
      <rPr>
        <sz val="10"/>
        <rFont val="宋体"/>
        <charset val="134"/>
      </rPr>
      <t>在用周转材料</t>
    </r>
    <r>
      <rPr>
        <sz val="10"/>
        <rFont val="Times New Roman"/>
        <charset val="134"/>
      </rPr>
      <t>19</t>
    </r>
  </si>
  <si>
    <r>
      <rPr>
        <sz val="10"/>
        <rFont val="宋体"/>
        <charset val="134"/>
      </rPr>
      <t>在用周转材料</t>
    </r>
    <r>
      <rPr>
        <sz val="10"/>
        <rFont val="Times New Roman"/>
        <charset val="134"/>
      </rPr>
      <t>20</t>
    </r>
  </si>
  <si>
    <r>
      <rPr>
        <sz val="20"/>
        <rFont val="宋体"/>
        <charset val="134"/>
      </rPr>
      <t>存货</t>
    </r>
    <r>
      <rPr>
        <sz val="20"/>
        <rFont val="Times New Roman"/>
        <charset val="134"/>
      </rPr>
      <t>---</t>
    </r>
    <r>
      <rPr>
        <sz val="20"/>
        <rFont val="宋体"/>
        <charset val="134"/>
      </rPr>
      <t>产成品（开发产品）评估明细表</t>
    </r>
  </si>
  <si>
    <r>
      <rPr>
        <sz val="9"/>
        <rFont val="宋体"/>
        <charset val="134"/>
      </rPr>
      <t>金额单位：人民币元</t>
    </r>
  </si>
  <si>
    <r>
      <rPr>
        <b/>
        <sz val="9"/>
        <rFont val="宋体"/>
        <charset val="134"/>
      </rPr>
      <t>土地情况</t>
    </r>
  </si>
  <si>
    <r>
      <rPr>
        <b/>
        <sz val="9"/>
        <rFont val="宋体"/>
        <charset val="134"/>
      </rPr>
      <t>座落位置</t>
    </r>
  </si>
  <si>
    <r>
      <rPr>
        <b/>
        <sz val="9"/>
        <rFont val="宋体"/>
        <charset val="134"/>
      </rPr>
      <t>项目总面积</t>
    </r>
    <r>
      <rPr>
        <b/>
        <sz val="9"/>
        <rFont val="Times New Roman"/>
        <charset val="134"/>
      </rPr>
      <t>(M2)</t>
    </r>
  </si>
  <si>
    <r>
      <rPr>
        <b/>
        <sz val="9"/>
        <rFont val="宋体"/>
        <charset val="134"/>
      </rPr>
      <t>未交房面积</t>
    </r>
    <r>
      <rPr>
        <b/>
        <sz val="9"/>
        <rFont val="Times New Roman"/>
        <charset val="134"/>
      </rPr>
      <t>(M2)</t>
    </r>
  </si>
  <si>
    <r>
      <rPr>
        <b/>
        <sz val="9"/>
        <rFont val="宋体"/>
        <charset val="134"/>
      </rPr>
      <t>未交房部分预售面积</t>
    </r>
    <r>
      <rPr>
        <b/>
        <sz val="9"/>
        <rFont val="Times New Roman"/>
        <charset val="134"/>
      </rPr>
      <t>(M2)</t>
    </r>
  </si>
  <si>
    <r>
      <rPr>
        <b/>
        <sz val="9"/>
        <rFont val="宋体"/>
        <charset val="134"/>
      </rPr>
      <t>未交房部分待售面积</t>
    </r>
    <r>
      <rPr>
        <b/>
        <sz val="9"/>
        <rFont val="Times New Roman"/>
        <charset val="134"/>
      </rPr>
      <t>(M2)</t>
    </r>
  </si>
  <si>
    <r>
      <rPr>
        <b/>
        <sz val="9"/>
        <rFont val="宋体"/>
        <charset val="134"/>
      </rPr>
      <t>待售部分预计出售时间</t>
    </r>
  </si>
  <si>
    <r>
      <rPr>
        <b/>
        <sz val="9"/>
        <rFont val="宋体"/>
        <charset val="134"/>
      </rPr>
      <t>待售部分预计出售均价</t>
    </r>
    <r>
      <rPr>
        <b/>
        <sz val="9"/>
        <rFont val="Times New Roman"/>
        <charset val="134"/>
      </rPr>
      <t>(</t>
    </r>
    <r>
      <rPr>
        <b/>
        <sz val="9"/>
        <rFont val="宋体"/>
        <charset val="134"/>
      </rPr>
      <t>元</t>
    </r>
    <r>
      <rPr>
        <b/>
        <sz val="9"/>
        <rFont val="Times New Roman"/>
        <charset val="134"/>
      </rPr>
      <t>/M2)</t>
    </r>
  </si>
  <si>
    <t>审计前账面值</t>
  </si>
  <si>
    <t>调整分录</t>
  </si>
  <si>
    <r>
      <rPr>
        <b/>
        <sz val="9"/>
        <rFont val="宋体"/>
        <charset val="134"/>
      </rPr>
      <t>备注</t>
    </r>
  </si>
  <si>
    <r>
      <rPr>
        <b/>
        <sz val="9"/>
        <rFont val="宋体"/>
        <charset val="134"/>
      </rPr>
      <t>宗地编号</t>
    </r>
  </si>
  <si>
    <r>
      <rPr>
        <b/>
        <sz val="9"/>
        <rFont val="宋体"/>
        <charset val="134"/>
      </rPr>
      <t>宗地名称</t>
    </r>
  </si>
  <si>
    <r>
      <rPr>
        <b/>
        <sz val="9"/>
        <rFont val="宋体"/>
        <charset val="134"/>
      </rPr>
      <t>土地证编号</t>
    </r>
  </si>
  <si>
    <r>
      <rPr>
        <b/>
        <sz val="9"/>
        <rFont val="宋体"/>
        <charset val="134"/>
      </rPr>
      <t>详细座落地址</t>
    </r>
  </si>
  <si>
    <r>
      <rPr>
        <b/>
        <sz val="9"/>
        <rFont val="宋体"/>
        <charset val="134"/>
      </rPr>
      <t>土地面积</t>
    </r>
    <r>
      <rPr>
        <b/>
        <sz val="9"/>
        <rFont val="Times New Roman"/>
        <charset val="134"/>
      </rPr>
      <t>(M</t>
    </r>
    <r>
      <rPr>
        <b/>
        <vertAlign val="superscript"/>
        <sz val="9"/>
        <rFont val="Times New Roman"/>
        <charset val="134"/>
      </rPr>
      <t>2</t>
    </r>
    <r>
      <rPr>
        <b/>
        <sz val="9"/>
        <rFont val="Times New Roman"/>
        <charset val="134"/>
      </rPr>
      <t>)</t>
    </r>
  </si>
  <si>
    <t>土地费用</t>
  </si>
  <si>
    <r>
      <rPr>
        <b/>
        <sz val="9"/>
        <rFont val="宋体"/>
        <charset val="134"/>
      </rPr>
      <t>前期工程</t>
    </r>
  </si>
  <si>
    <r>
      <rPr>
        <b/>
        <sz val="9"/>
        <rFont val="宋体"/>
        <charset val="134"/>
      </rPr>
      <t>基础设施</t>
    </r>
  </si>
  <si>
    <r>
      <rPr>
        <b/>
        <sz val="9"/>
        <rFont val="宋体"/>
        <charset val="134"/>
      </rPr>
      <t>建安工程</t>
    </r>
  </si>
  <si>
    <r>
      <rPr>
        <b/>
        <sz val="9"/>
        <rFont val="宋体"/>
        <charset val="134"/>
      </rPr>
      <t>配套工程</t>
    </r>
  </si>
  <si>
    <r>
      <rPr>
        <b/>
        <sz val="9"/>
        <rFont val="宋体"/>
        <charset val="134"/>
      </rPr>
      <t>开发间接费用</t>
    </r>
  </si>
  <si>
    <r>
      <rPr>
        <b/>
        <sz val="9"/>
        <rFont val="宋体"/>
        <charset val="134"/>
      </rPr>
      <t>财务费用</t>
    </r>
  </si>
  <si>
    <r>
      <rPr>
        <b/>
        <sz val="9"/>
        <rFont val="宋体"/>
        <charset val="134"/>
      </rPr>
      <t>其他成本</t>
    </r>
  </si>
  <si>
    <r>
      <rPr>
        <b/>
        <sz val="9"/>
        <rFont val="宋体"/>
        <charset val="134"/>
      </rPr>
      <t>金额</t>
    </r>
  </si>
  <si>
    <r>
      <rPr>
        <b/>
        <sz val="9"/>
        <rFont val="宋体"/>
        <charset val="134"/>
      </rPr>
      <t>跌价准备</t>
    </r>
  </si>
  <si>
    <r>
      <rPr>
        <sz val="10"/>
        <rFont val="宋体"/>
        <charset val="134"/>
      </rPr>
      <t>开发产品</t>
    </r>
    <r>
      <rPr>
        <sz val="10"/>
        <rFont val="Times New Roman"/>
        <charset val="134"/>
      </rPr>
      <t>01</t>
    </r>
  </si>
  <si>
    <r>
      <rPr>
        <sz val="10"/>
        <rFont val="宋体"/>
        <charset val="134"/>
      </rPr>
      <t>开发产品</t>
    </r>
    <r>
      <rPr>
        <sz val="10"/>
        <rFont val="Times New Roman"/>
        <charset val="134"/>
      </rPr>
      <t>02</t>
    </r>
  </si>
  <si>
    <r>
      <rPr>
        <sz val="10"/>
        <rFont val="宋体"/>
        <charset val="134"/>
      </rPr>
      <t>开发产品</t>
    </r>
    <r>
      <rPr>
        <sz val="10"/>
        <rFont val="Times New Roman"/>
        <charset val="134"/>
      </rPr>
      <t>03</t>
    </r>
  </si>
  <si>
    <r>
      <rPr>
        <sz val="10"/>
        <rFont val="宋体"/>
        <charset val="134"/>
      </rPr>
      <t>开发产品</t>
    </r>
    <r>
      <rPr>
        <sz val="10"/>
        <rFont val="Times New Roman"/>
        <charset val="134"/>
      </rPr>
      <t>04</t>
    </r>
  </si>
  <si>
    <r>
      <rPr>
        <sz val="10"/>
        <rFont val="宋体"/>
        <charset val="134"/>
      </rPr>
      <t>开发产品</t>
    </r>
    <r>
      <rPr>
        <sz val="10"/>
        <rFont val="Times New Roman"/>
        <charset val="134"/>
      </rPr>
      <t>05</t>
    </r>
  </si>
  <si>
    <r>
      <rPr>
        <sz val="10"/>
        <rFont val="宋体"/>
        <charset val="134"/>
      </rPr>
      <t>开发产品</t>
    </r>
    <r>
      <rPr>
        <sz val="10"/>
        <rFont val="Times New Roman"/>
        <charset val="134"/>
      </rPr>
      <t>06</t>
    </r>
  </si>
  <si>
    <r>
      <rPr>
        <sz val="10"/>
        <rFont val="宋体"/>
        <charset val="134"/>
      </rPr>
      <t>开发产品</t>
    </r>
    <r>
      <rPr>
        <sz val="10"/>
        <rFont val="Times New Roman"/>
        <charset val="134"/>
      </rPr>
      <t>07</t>
    </r>
  </si>
  <si>
    <r>
      <rPr>
        <sz val="10"/>
        <rFont val="宋体"/>
        <charset val="134"/>
      </rPr>
      <t>开发产品</t>
    </r>
    <r>
      <rPr>
        <sz val="10"/>
        <rFont val="Times New Roman"/>
        <charset val="134"/>
      </rPr>
      <t>08</t>
    </r>
  </si>
  <si>
    <r>
      <rPr>
        <sz val="10"/>
        <rFont val="宋体"/>
        <charset val="134"/>
      </rPr>
      <t>开发产品</t>
    </r>
    <r>
      <rPr>
        <sz val="10"/>
        <rFont val="Times New Roman"/>
        <charset val="134"/>
      </rPr>
      <t>09</t>
    </r>
  </si>
  <si>
    <r>
      <rPr>
        <sz val="10"/>
        <rFont val="宋体"/>
        <charset val="134"/>
      </rPr>
      <t>开发产品</t>
    </r>
    <r>
      <rPr>
        <sz val="10"/>
        <rFont val="Times New Roman"/>
        <charset val="134"/>
      </rPr>
      <t>10</t>
    </r>
  </si>
  <si>
    <r>
      <rPr>
        <sz val="10"/>
        <rFont val="宋体"/>
        <charset val="134"/>
      </rPr>
      <t>开发产品</t>
    </r>
    <r>
      <rPr>
        <sz val="10"/>
        <rFont val="Times New Roman"/>
        <charset val="134"/>
      </rPr>
      <t>13</t>
    </r>
  </si>
  <si>
    <r>
      <rPr>
        <sz val="10"/>
        <rFont val="宋体"/>
        <charset val="134"/>
      </rPr>
      <t>开发产品</t>
    </r>
    <r>
      <rPr>
        <sz val="10"/>
        <rFont val="Times New Roman"/>
        <charset val="134"/>
      </rPr>
      <t>14</t>
    </r>
  </si>
  <si>
    <r>
      <rPr>
        <sz val="10"/>
        <rFont val="宋体"/>
        <charset val="134"/>
      </rPr>
      <t>开发产品</t>
    </r>
    <r>
      <rPr>
        <sz val="10"/>
        <rFont val="Times New Roman"/>
        <charset val="134"/>
      </rPr>
      <t>15</t>
    </r>
  </si>
  <si>
    <r>
      <rPr>
        <sz val="10"/>
        <rFont val="宋体"/>
        <charset val="134"/>
      </rPr>
      <t>开发产品</t>
    </r>
    <r>
      <rPr>
        <sz val="10"/>
        <rFont val="Times New Roman"/>
        <charset val="134"/>
      </rPr>
      <t>16</t>
    </r>
  </si>
  <si>
    <r>
      <rPr>
        <sz val="10"/>
        <rFont val="宋体"/>
        <charset val="134"/>
      </rPr>
      <t>开发产品</t>
    </r>
    <r>
      <rPr>
        <sz val="10"/>
        <rFont val="Times New Roman"/>
        <charset val="134"/>
      </rPr>
      <t>17</t>
    </r>
  </si>
  <si>
    <r>
      <rPr>
        <sz val="10"/>
        <rFont val="宋体"/>
        <charset val="134"/>
      </rPr>
      <t>开发产品</t>
    </r>
    <r>
      <rPr>
        <sz val="10"/>
        <rFont val="Times New Roman"/>
        <charset val="134"/>
      </rPr>
      <t>18</t>
    </r>
  </si>
  <si>
    <r>
      <rPr>
        <sz val="10"/>
        <rFont val="宋体"/>
        <charset val="134"/>
      </rPr>
      <t>开发产品</t>
    </r>
    <r>
      <rPr>
        <sz val="10"/>
        <rFont val="Times New Roman"/>
        <charset val="134"/>
      </rPr>
      <t>19</t>
    </r>
  </si>
  <si>
    <r>
      <rPr>
        <sz val="10"/>
        <rFont val="宋体"/>
        <charset val="134"/>
      </rPr>
      <t>开发产品</t>
    </r>
    <r>
      <rPr>
        <sz val="10"/>
        <rFont val="Times New Roman"/>
        <charset val="134"/>
      </rPr>
      <t>20</t>
    </r>
  </si>
  <si>
    <t>账面余额合计</t>
  </si>
  <si>
    <t>账面净值合计</t>
  </si>
  <si>
    <r>
      <rPr>
        <b/>
        <sz val="9"/>
        <rFont val="宋体"/>
        <charset val="134"/>
      </rPr>
      <t>填表简要说明：</t>
    </r>
  </si>
  <si>
    <r>
      <rPr>
        <sz val="9"/>
        <rFont val="Times New Roman"/>
        <charset val="134"/>
      </rPr>
      <t>1</t>
    </r>
    <r>
      <rPr>
        <sz val="9"/>
        <rFont val="宋体"/>
        <charset val="134"/>
      </rPr>
      <t>、项目名称：根据表格中分类分别填写；</t>
    </r>
  </si>
  <si>
    <r>
      <rPr>
        <sz val="9"/>
        <rFont val="Times New Roman"/>
        <charset val="134"/>
      </rPr>
      <t>2</t>
    </r>
    <r>
      <rPr>
        <sz val="9"/>
        <rFont val="宋体"/>
        <charset val="134"/>
      </rPr>
      <t>、土地情况：同土地申报表格的要求；</t>
    </r>
  </si>
  <si>
    <r>
      <rPr>
        <sz val="9"/>
        <rFont val="Times New Roman"/>
        <charset val="134"/>
      </rPr>
      <t>3</t>
    </r>
    <r>
      <rPr>
        <sz val="9"/>
        <rFont val="宋体"/>
        <charset val="134"/>
      </rPr>
      <t>、座落位置：描写各项目在宗地上的具体位置；</t>
    </r>
  </si>
  <si>
    <r>
      <rPr>
        <sz val="9"/>
        <rFont val="Times New Roman"/>
        <charset val="134"/>
      </rPr>
      <t>4</t>
    </r>
    <r>
      <rPr>
        <sz val="9"/>
        <rFont val="宋体"/>
        <charset val="134"/>
      </rPr>
      <t>、项目总面积：竣工房屋的总建筑面积；</t>
    </r>
  </si>
  <si>
    <r>
      <rPr>
        <sz val="9"/>
        <rFont val="Times New Roman"/>
        <charset val="134"/>
      </rPr>
      <t>5</t>
    </r>
    <r>
      <rPr>
        <sz val="9"/>
        <rFont val="宋体"/>
        <charset val="134"/>
      </rPr>
      <t>、未交房面积：各类物业的未交房面积；</t>
    </r>
  </si>
  <si>
    <r>
      <rPr>
        <sz val="9"/>
        <rFont val="Times New Roman"/>
        <charset val="134"/>
      </rPr>
      <t>6</t>
    </r>
    <r>
      <rPr>
        <sz val="9"/>
        <rFont val="宋体"/>
        <charset val="134"/>
      </rPr>
      <t>、未交房部分的预售面积：已经预售但是未交房部分的面积；</t>
    </r>
  </si>
  <si>
    <r>
      <rPr>
        <sz val="9"/>
        <rFont val="Times New Roman"/>
        <charset val="134"/>
      </rPr>
      <t>7</t>
    </r>
    <r>
      <rPr>
        <sz val="9"/>
        <rFont val="宋体"/>
        <charset val="134"/>
      </rPr>
      <t>、未交房部分的待售面积：未预售未交房部分的面积；</t>
    </r>
  </si>
  <si>
    <r>
      <rPr>
        <sz val="9"/>
        <rFont val="Times New Roman"/>
        <charset val="134"/>
      </rPr>
      <t>8</t>
    </r>
    <r>
      <rPr>
        <sz val="9"/>
        <rFont val="宋体"/>
        <charset val="134"/>
      </rPr>
      <t>、待售部分预计出售时间：请填列预期售房时间，若分不同时间，可以预计截至某一时点分别售房的面积，如</t>
    </r>
    <r>
      <rPr>
        <sz val="9"/>
        <rFont val="Times New Roman"/>
        <charset val="134"/>
      </rPr>
      <t>“2007</t>
    </r>
    <r>
      <rPr>
        <sz val="9"/>
        <rFont val="宋体"/>
        <charset val="134"/>
      </rPr>
      <t>年</t>
    </r>
    <r>
      <rPr>
        <sz val="9"/>
        <rFont val="Times New Roman"/>
        <charset val="134"/>
      </rPr>
      <t>6</t>
    </r>
    <r>
      <rPr>
        <sz val="9"/>
        <rFont val="宋体"/>
        <charset val="134"/>
      </rPr>
      <t>月底销售</t>
    </r>
    <r>
      <rPr>
        <sz val="9"/>
        <rFont val="Times New Roman"/>
        <charset val="134"/>
      </rPr>
      <t>10000</t>
    </r>
    <r>
      <rPr>
        <sz val="9"/>
        <rFont val="宋体"/>
        <charset val="134"/>
      </rPr>
      <t>平米，</t>
    </r>
    <r>
      <rPr>
        <sz val="9"/>
        <rFont val="Times New Roman"/>
        <charset val="134"/>
      </rPr>
      <t>2007</t>
    </r>
    <r>
      <rPr>
        <sz val="9"/>
        <rFont val="宋体"/>
        <charset val="134"/>
      </rPr>
      <t>年</t>
    </r>
    <r>
      <rPr>
        <sz val="9"/>
        <rFont val="Times New Roman"/>
        <charset val="134"/>
      </rPr>
      <t>10</t>
    </r>
    <r>
      <rPr>
        <sz val="9"/>
        <rFont val="宋体"/>
        <charset val="134"/>
      </rPr>
      <t>月底全部销售</t>
    </r>
    <r>
      <rPr>
        <sz val="9"/>
        <rFont val="Times New Roman"/>
        <charset val="134"/>
      </rPr>
      <t>”</t>
    </r>
    <r>
      <rPr>
        <sz val="9"/>
        <rFont val="宋体"/>
        <charset val="134"/>
      </rPr>
      <t>；</t>
    </r>
  </si>
  <si>
    <r>
      <rPr>
        <sz val="9"/>
        <rFont val="Times New Roman"/>
        <charset val="134"/>
      </rPr>
      <t>9</t>
    </r>
    <r>
      <rPr>
        <sz val="9"/>
        <rFont val="宋体"/>
        <charset val="134"/>
      </rPr>
      <t>、待售部分预计出售单价：请填列预期售房均价；</t>
    </r>
  </si>
  <si>
    <r>
      <rPr>
        <sz val="9"/>
        <rFont val="Times New Roman"/>
        <charset val="134"/>
      </rPr>
      <t>10</t>
    </r>
    <r>
      <rPr>
        <sz val="9"/>
        <rFont val="宋体"/>
        <charset val="134"/>
      </rPr>
      <t>、帐面价值：按照成本明细填列（若列示明细不足，可插入列）。</t>
    </r>
  </si>
  <si>
    <r>
      <rPr>
        <sz val="9"/>
        <rFont val="宋体"/>
        <charset val="134"/>
      </rPr>
      <t>有</t>
    </r>
  </si>
  <si>
    <r>
      <rPr>
        <sz val="9"/>
        <rFont val="宋体"/>
        <charset val="134"/>
      </rPr>
      <t>无</t>
    </r>
  </si>
  <si>
    <r>
      <rPr>
        <sz val="20"/>
        <rFont val="宋体"/>
        <charset val="134"/>
      </rPr>
      <t>存货</t>
    </r>
    <r>
      <rPr>
        <sz val="20"/>
        <rFont val="Times New Roman"/>
        <charset val="134"/>
      </rPr>
      <t>---</t>
    </r>
    <r>
      <rPr>
        <sz val="20"/>
        <rFont val="宋体"/>
        <charset val="134"/>
      </rPr>
      <t>出租开发产品评估明细表</t>
    </r>
  </si>
  <si>
    <r>
      <rPr>
        <b/>
        <sz val="9"/>
        <rFont val="宋体"/>
        <charset val="134"/>
      </rPr>
      <t>设计用途</t>
    </r>
  </si>
  <si>
    <r>
      <rPr>
        <b/>
        <sz val="9"/>
        <rFont val="宋体"/>
        <charset val="134"/>
      </rPr>
      <t>租赁面积</t>
    </r>
  </si>
  <si>
    <r>
      <rPr>
        <b/>
        <sz val="9"/>
        <rFont val="宋体"/>
        <charset val="134"/>
      </rPr>
      <t>租约期限</t>
    </r>
    <r>
      <rPr>
        <b/>
        <sz val="9"/>
        <rFont val="Times New Roman"/>
        <charset val="134"/>
      </rPr>
      <t>(</t>
    </r>
    <r>
      <rPr>
        <b/>
        <sz val="9"/>
        <rFont val="宋体"/>
        <charset val="134"/>
      </rPr>
      <t>从</t>
    </r>
    <r>
      <rPr>
        <b/>
        <sz val="9"/>
        <rFont val="Times New Roman"/>
        <charset val="134"/>
      </rPr>
      <t>**</t>
    </r>
    <r>
      <rPr>
        <b/>
        <sz val="9"/>
        <rFont val="宋体"/>
        <charset val="134"/>
      </rPr>
      <t>年</t>
    </r>
    <r>
      <rPr>
        <b/>
        <sz val="9"/>
        <rFont val="Times New Roman"/>
        <charset val="134"/>
      </rPr>
      <t>**</t>
    </r>
    <r>
      <rPr>
        <b/>
        <sz val="9"/>
        <rFont val="宋体"/>
        <charset val="134"/>
      </rPr>
      <t>月至</t>
    </r>
    <r>
      <rPr>
        <b/>
        <sz val="9"/>
        <rFont val="Times New Roman"/>
        <charset val="134"/>
      </rPr>
      <t>**</t>
    </r>
    <r>
      <rPr>
        <b/>
        <sz val="9"/>
        <rFont val="宋体"/>
        <charset val="134"/>
      </rPr>
      <t>年</t>
    </r>
    <r>
      <rPr>
        <b/>
        <sz val="9"/>
        <rFont val="Times New Roman"/>
        <charset val="134"/>
      </rPr>
      <t>**</t>
    </r>
    <r>
      <rPr>
        <b/>
        <sz val="9"/>
        <rFont val="宋体"/>
        <charset val="134"/>
      </rPr>
      <t>月</t>
    </r>
    <r>
      <rPr>
        <b/>
        <sz val="9"/>
        <rFont val="Times New Roman"/>
        <charset val="134"/>
      </rPr>
      <t>)</t>
    </r>
  </si>
  <si>
    <r>
      <rPr>
        <b/>
        <sz val="9"/>
        <rFont val="宋体"/>
        <charset val="134"/>
      </rPr>
      <t>租金标准</t>
    </r>
    <r>
      <rPr>
        <b/>
        <sz val="9"/>
        <rFont val="Times New Roman"/>
        <charset val="134"/>
      </rPr>
      <t>(</t>
    </r>
    <r>
      <rPr>
        <b/>
        <sz val="9"/>
        <rFont val="宋体"/>
        <charset val="134"/>
      </rPr>
      <t>合同规定标准</t>
    </r>
    <r>
      <rPr>
        <b/>
        <sz val="9"/>
        <rFont val="Times New Roman"/>
        <charset val="134"/>
      </rPr>
      <t>)</t>
    </r>
  </si>
  <si>
    <r>
      <rPr>
        <b/>
        <sz val="9"/>
        <rFont val="Times New Roman"/>
        <charset val="134"/>
      </rPr>
      <t xml:space="preserve"> </t>
    </r>
    <r>
      <rPr>
        <b/>
        <sz val="9"/>
        <rFont val="宋体"/>
        <charset val="134"/>
      </rPr>
      <t>审计前账面价值</t>
    </r>
  </si>
  <si>
    <r>
      <rPr>
        <b/>
        <sz val="9"/>
        <rFont val="宋体"/>
        <charset val="134"/>
      </rPr>
      <t>调整分录</t>
    </r>
  </si>
  <si>
    <r>
      <rPr>
        <b/>
        <sz val="9"/>
        <rFont val="Times New Roman"/>
        <charset val="134"/>
      </rPr>
      <t xml:space="preserve"> </t>
    </r>
    <r>
      <rPr>
        <b/>
        <sz val="9"/>
        <rFont val="宋体"/>
        <charset val="134"/>
      </rPr>
      <t>账面价值</t>
    </r>
  </si>
  <si>
    <r>
      <rPr>
        <b/>
        <sz val="9"/>
        <rFont val="宋体"/>
        <charset val="134"/>
      </rPr>
      <t>交叉索引号</t>
    </r>
  </si>
  <si>
    <r>
      <rPr>
        <b/>
        <sz val="9"/>
        <rFont val="宋体"/>
        <charset val="134"/>
      </rPr>
      <t>土地面积</t>
    </r>
    <r>
      <rPr>
        <b/>
        <sz val="9"/>
        <rFont val="Times New Roman"/>
        <charset val="134"/>
      </rPr>
      <t>(M2)</t>
    </r>
  </si>
  <si>
    <r>
      <rPr>
        <b/>
        <sz val="9"/>
        <rFont val="宋体"/>
        <charset val="134"/>
      </rPr>
      <t>管理费</t>
    </r>
  </si>
  <si>
    <r>
      <rPr>
        <b/>
        <sz val="9"/>
        <rFont val="宋体"/>
        <charset val="134"/>
      </rPr>
      <t>维修费</t>
    </r>
  </si>
  <si>
    <r>
      <rPr>
        <b/>
        <sz val="9"/>
        <rFont val="宋体"/>
        <charset val="134"/>
      </rPr>
      <t>保险费</t>
    </r>
  </si>
  <si>
    <r>
      <rPr>
        <b/>
        <sz val="9"/>
        <rFont val="宋体"/>
        <charset val="134"/>
      </rPr>
      <t>其他</t>
    </r>
  </si>
  <si>
    <t>原始价值</t>
  </si>
  <si>
    <r>
      <rPr>
        <b/>
        <sz val="9"/>
        <rFont val="宋体"/>
        <charset val="134"/>
      </rPr>
      <t>原始价值</t>
    </r>
  </si>
  <si>
    <r>
      <rPr>
        <b/>
        <sz val="9"/>
        <rFont val="Times New Roman"/>
        <charset val="134"/>
      </rPr>
      <t xml:space="preserve"> </t>
    </r>
    <r>
      <rPr>
        <b/>
        <sz val="9"/>
        <rFont val="宋体"/>
        <charset val="134"/>
      </rPr>
      <t>账面余额</t>
    </r>
  </si>
  <si>
    <r>
      <rPr>
        <sz val="10"/>
        <rFont val="宋体"/>
        <charset val="134"/>
      </rPr>
      <t>出租开发产品</t>
    </r>
    <r>
      <rPr>
        <sz val="10"/>
        <rFont val="Times New Roman"/>
        <charset val="134"/>
      </rPr>
      <t>01</t>
    </r>
  </si>
  <si>
    <r>
      <rPr>
        <sz val="10"/>
        <rFont val="宋体"/>
        <charset val="134"/>
      </rPr>
      <t>出租开发产品</t>
    </r>
    <r>
      <rPr>
        <sz val="10"/>
        <rFont val="Times New Roman"/>
        <charset val="134"/>
      </rPr>
      <t>02</t>
    </r>
  </si>
  <si>
    <r>
      <rPr>
        <sz val="10"/>
        <rFont val="宋体"/>
        <charset val="134"/>
      </rPr>
      <t>出租开发产品</t>
    </r>
    <r>
      <rPr>
        <sz val="10"/>
        <rFont val="Times New Roman"/>
        <charset val="134"/>
      </rPr>
      <t>03</t>
    </r>
  </si>
  <si>
    <r>
      <rPr>
        <sz val="10"/>
        <rFont val="宋体"/>
        <charset val="134"/>
      </rPr>
      <t>出租开发产品</t>
    </r>
    <r>
      <rPr>
        <sz val="10"/>
        <rFont val="Times New Roman"/>
        <charset val="134"/>
      </rPr>
      <t>04</t>
    </r>
  </si>
  <si>
    <r>
      <rPr>
        <sz val="10"/>
        <rFont val="宋体"/>
        <charset val="134"/>
      </rPr>
      <t>出租开发产品</t>
    </r>
    <r>
      <rPr>
        <sz val="10"/>
        <rFont val="Times New Roman"/>
        <charset val="134"/>
      </rPr>
      <t>05</t>
    </r>
  </si>
  <si>
    <r>
      <rPr>
        <sz val="10"/>
        <rFont val="宋体"/>
        <charset val="134"/>
      </rPr>
      <t>出租开发产品</t>
    </r>
    <r>
      <rPr>
        <sz val="10"/>
        <rFont val="Times New Roman"/>
        <charset val="134"/>
      </rPr>
      <t>06</t>
    </r>
  </si>
  <si>
    <r>
      <rPr>
        <sz val="10"/>
        <rFont val="宋体"/>
        <charset val="134"/>
      </rPr>
      <t>出租开发产品</t>
    </r>
    <r>
      <rPr>
        <sz val="10"/>
        <rFont val="Times New Roman"/>
        <charset val="134"/>
      </rPr>
      <t>07</t>
    </r>
  </si>
  <si>
    <r>
      <rPr>
        <sz val="10"/>
        <rFont val="宋体"/>
        <charset val="134"/>
      </rPr>
      <t>出租开发产品</t>
    </r>
    <r>
      <rPr>
        <sz val="10"/>
        <rFont val="Times New Roman"/>
        <charset val="134"/>
      </rPr>
      <t>08</t>
    </r>
  </si>
  <si>
    <r>
      <rPr>
        <sz val="10"/>
        <rFont val="宋体"/>
        <charset val="134"/>
      </rPr>
      <t>出租开发产品</t>
    </r>
    <r>
      <rPr>
        <sz val="10"/>
        <rFont val="Times New Roman"/>
        <charset val="134"/>
      </rPr>
      <t>09</t>
    </r>
  </si>
  <si>
    <r>
      <rPr>
        <sz val="10"/>
        <rFont val="宋体"/>
        <charset val="134"/>
      </rPr>
      <t>出租开发产品</t>
    </r>
    <r>
      <rPr>
        <sz val="10"/>
        <rFont val="Times New Roman"/>
        <charset val="134"/>
      </rPr>
      <t>10</t>
    </r>
  </si>
  <si>
    <r>
      <rPr>
        <sz val="10"/>
        <rFont val="宋体"/>
        <charset val="134"/>
      </rPr>
      <t>出租开发产品</t>
    </r>
    <r>
      <rPr>
        <sz val="10"/>
        <rFont val="Times New Roman"/>
        <charset val="134"/>
      </rPr>
      <t>11</t>
    </r>
  </si>
  <si>
    <r>
      <rPr>
        <sz val="10"/>
        <rFont val="宋体"/>
        <charset val="134"/>
      </rPr>
      <t>出租开发产品</t>
    </r>
    <r>
      <rPr>
        <sz val="10"/>
        <rFont val="Times New Roman"/>
        <charset val="134"/>
      </rPr>
      <t>14</t>
    </r>
  </si>
  <si>
    <r>
      <rPr>
        <sz val="10"/>
        <rFont val="宋体"/>
        <charset val="134"/>
      </rPr>
      <t>出租开发产品</t>
    </r>
    <r>
      <rPr>
        <sz val="10"/>
        <rFont val="Times New Roman"/>
        <charset val="134"/>
      </rPr>
      <t>15</t>
    </r>
  </si>
  <si>
    <r>
      <rPr>
        <sz val="10"/>
        <rFont val="宋体"/>
        <charset val="134"/>
      </rPr>
      <t>出租开发产品</t>
    </r>
    <r>
      <rPr>
        <sz val="10"/>
        <rFont val="Times New Roman"/>
        <charset val="134"/>
      </rPr>
      <t>16</t>
    </r>
  </si>
  <si>
    <r>
      <rPr>
        <sz val="10"/>
        <rFont val="宋体"/>
        <charset val="134"/>
      </rPr>
      <t>出租开发产品</t>
    </r>
    <r>
      <rPr>
        <sz val="10"/>
        <rFont val="Times New Roman"/>
        <charset val="134"/>
      </rPr>
      <t>17</t>
    </r>
  </si>
  <si>
    <r>
      <rPr>
        <sz val="10"/>
        <rFont val="宋体"/>
        <charset val="134"/>
      </rPr>
      <t>出租开发产品</t>
    </r>
    <r>
      <rPr>
        <sz val="10"/>
        <rFont val="Times New Roman"/>
        <charset val="134"/>
      </rPr>
      <t>18</t>
    </r>
  </si>
  <si>
    <r>
      <rPr>
        <sz val="10"/>
        <rFont val="宋体"/>
        <charset val="134"/>
      </rPr>
      <t>出租开发产品</t>
    </r>
    <r>
      <rPr>
        <sz val="10"/>
        <rFont val="Times New Roman"/>
        <charset val="134"/>
      </rPr>
      <t>19</t>
    </r>
  </si>
  <si>
    <r>
      <rPr>
        <sz val="10"/>
        <rFont val="宋体"/>
        <charset val="134"/>
      </rPr>
      <t>出租开发产品</t>
    </r>
    <r>
      <rPr>
        <sz val="10"/>
        <rFont val="Times New Roman"/>
        <charset val="134"/>
      </rPr>
      <t>20</t>
    </r>
  </si>
  <si>
    <r>
      <rPr>
        <sz val="9"/>
        <rFont val="宋体"/>
        <charset val="134"/>
      </rPr>
      <t>填表简要说明：</t>
    </r>
  </si>
  <si>
    <r>
      <rPr>
        <sz val="9"/>
        <rFont val="Times New Roman"/>
        <charset val="134"/>
      </rPr>
      <t>4</t>
    </r>
    <r>
      <rPr>
        <sz val="9"/>
        <rFont val="宋体"/>
        <charset val="134"/>
      </rPr>
      <t>、设计用途：项目的设计用途；</t>
    </r>
  </si>
  <si>
    <r>
      <rPr>
        <sz val="9"/>
        <rFont val="Times New Roman"/>
        <charset val="134"/>
      </rPr>
      <t>5</t>
    </r>
    <r>
      <rPr>
        <sz val="9"/>
        <rFont val="宋体"/>
        <charset val="134"/>
      </rPr>
      <t>、租赁面积：该类别物业出租的总建筑面积；</t>
    </r>
  </si>
  <si>
    <r>
      <rPr>
        <sz val="9"/>
        <rFont val="Times New Roman"/>
        <charset val="134"/>
      </rPr>
      <t>6</t>
    </r>
    <r>
      <rPr>
        <sz val="9"/>
        <rFont val="宋体"/>
        <charset val="134"/>
      </rPr>
      <t>、租约期限：合同规定的租约期限；</t>
    </r>
  </si>
  <si>
    <r>
      <rPr>
        <sz val="9"/>
        <rFont val="Times New Roman"/>
        <charset val="134"/>
      </rPr>
      <t>7</t>
    </r>
    <r>
      <rPr>
        <sz val="9"/>
        <rFont val="宋体"/>
        <charset val="134"/>
      </rPr>
      <t>、租金标准：合同规定的租金标准；</t>
    </r>
  </si>
  <si>
    <r>
      <rPr>
        <sz val="9"/>
        <rFont val="Times New Roman"/>
        <charset val="134"/>
      </rPr>
      <t>8</t>
    </r>
    <r>
      <rPr>
        <sz val="9"/>
        <rFont val="宋体"/>
        <charset val="134"/>
      </rPr>
      <t>、出租相关费用：按照前三年出租开发物业的相关费用填写（若列示明细不足，可插入列）；</t>
    </r>
  </si>
  <si>
    <r>
      <rPr>
        <sz val="9"/>
        <rFont val="Times New Roman"/>
        <charset val="134"/>
      </rPr>
      <t>9</t>
    </r>
    <r>
      <rPr>
        <sz val="9"/>
        <rFont val="宋体"/>
        <charset val="134"/>
      </rPr>
      <t>、帐面价值：按照原始价值和摊销后余额填列。</t>
    </r>
  </si>
  <si>
    <r>
      <rPr>
        <sz val="9"/>
        <rFont val="宋体"/>
        <charset val="134"/>
      </rPr>
      <t>注意：补充特殊事项、作价等均从</t>
    </r>
    <r>
      <rPr>
        <sz val="9"/>
        <color indexed="10"/>
        <rFont val="Times New Roman"/>
        <charset val="134"/>
      </rPr>
      <t>DA</t>
    </r>
    <r>
      <rPr>
        <sz val="9"/>
        <color indexed="10"/>
        <rFont val="宋体"/>
        <charset val="134"/>
      </rPr>
      <t>列</t>
    </r>
    <r>
      <rPr>
        <sz val="9"/>
        <rFont val="宋体"/>
        <charset val="134"/>
      </rPr>
      <t>开始填写</t>
    </r>
  </si>
  <si>
    <r>
      <rPr>
        <sz val="20"/>
        <rFont val="宋体"/>
        <charset val="134"/>
      </rPr>
      <t>存货</t>
    </r>
    <r>
      <rPr>
        <sz val="20"/>
        <rFont val="Times New Roman"/>
        <charset val="134"/>
      </rPr>
      <t>---</t>
    </r>
    <r>
      <rPr>
        <sz val="20"/>
        <rFont val="宋体"/>
        <charset val="134"/>
      </rPr>
      <t>在产品（开发成本）评估明细表</t>
    </r>
  </si>
  <si>
    <r>
      <rPr>
        <sz val="9"/>
        <rFont val="宋体"/>
        <charset val="134"/>
      </rPr>
      <t>评估基准日：</t>
    </r>
  </si>
  <si>
    <r>
      <rPr>
        <sz val="9"/>
        <rFont val="宋体"/>
        <charset val="134"/>
      </rPr>
      <t>是否显示评估值：</t>
    </r>
  </si>
  <si>
    <r>
      <rPr>
        <b/>
        <sz val="9"/>
        <rFont val="宋体"/>
        <charset val="134"/>
      </rPr>
      <t>规划建筑面积</t>
    </r>
  </si>
  <si>
    <r>
      <rPr>
        <b/>
        <sz val="9"/>
        <rFont val="宋体"/>
        <charset val="134"/>
      </rPr>
      <t>预售面积</t>
    </r>
  </si>
  <si>
    <r>
      <rPr>
        <b/>
        <sz val="9"/>
        <rFont val="宋体"/>
        <charset val="134"/>
      </rPr>
      <t>完工百分比</t>
    </r>
  </si>
  <si>
    <r>
      <rPr>
        <b/>
        <sz val="9"/>
        <rFont val="宋体"/>
        <charset val="134"/>
      </rPr>
      <t>付款百分比</t>
    </r>
  </si>
  <si>
    <r>
      <rPr>
        <b/>
        <sz val="9"/>
        <rFont val="宋体"/>
        <charset val="134"/>
      </rPr>
      <t>预计预售日期</t>
    </r>
  </si>
  <si>
    <r>
      <rPr>
        <b/>
        <sz val="9"/>
        <rFont val="宋体"/>
        <charset val="134"/>
      </rPr>
      <t>预计预售均价</t>
    </r>
  </si>
  <si>
    <r>
      <rPr>
        <sz val="10"/>
        <rFont val="宋体"/>
        <charset val="134"/>
      </rPr>
      <t>开发成本</t>
    </r>
    <r>
      <rPr>
        <sz val="10"/>
        <rFont val="Times New Roman"/>
        <charset val="134"/>
      </rPr>
      <t>01</t>
    </r>
  </si>
  <si>
    <r>
      <rPr>
        <sz val="10"/>
        <rFont val="宋体"/>
        <charset val="134"/>
      </rPr>
      <t>开发成本</t>
    </r>
    <r>
      <rPr>
        <sz val="10"/>
        <rFont val="Times New Roman"/>
        <charset val="134"/>
      </rPr>
      <t>02</t>
    </r>
  </si>
  <si>
    <r>
      <rPr>
        <sz val="10"/>
        <rFont val="宋体"/>
        <charset val="134"/>
      </rPr>
      <t>开发成本</t>
    </r>
    <r>
      <rPr>
        <sz val="10"/>
        <rFont val="Times New Roman"/>
        <charset val="134"/>
      </rPr>
      <t>03</t>
    </r>
  </si>
  <si>
    <r>
      <rPr>
        <sz val="10"/>
        <rFont val="宋体"/>
        <charset val="134"/>
      </rPr>
      <t>开发成本</t>
    </r>
    <r>
      <rPr>
        <sz val="10"/>
        <rFont val="Times New Roman"/>
        <charset val="134"/>
      </rPr>
      <t>04</t>
    </r>
  </si>
  <si>
    <r>
      <rPr>
        <sz val="10"/>
        <rFont val="宋体"/>
        <charset val="134"/>
      </rPr>
      <t>开发成本</t>
    </r>
    <r>
      <rPr>
        <sz val="10"/>
        <rFont val="Times New Roman"/>
        <charset val="134"/>
      </rPr>
      <t>05</t>
    </r>
  </si>
  <si>
    <r>
      <rPr>
        <sz val="10"/>
        <rFont val="宋体"/>
        <charset val="134"/>
      </rPr>
      <t>开发成本</t>
    </r>
    <r>
      <rPr>
        <sz val="10"/>
        <rFont val="Times New Roman"/>
        <charset val="134"/>
      </rPr>
      <t>06</t>
    </r>
  </si>
  <si>
    <r>
      <rPr>
        <sz val="10"/>
        <rFont val="宋体"/>
        <charset val="134"/>
      </rPr>
      <t>开发成本</t>
    </r>
    <r>
      <rPr>
        <sz val="10"/>
        <rFont val="Times New Roman"/>
        <charset val="134"/>
      </rPr>
      <t>07</t>
    </r>
  </si>
  <si>
    <r>
      <rPr>
        <sz val="10"/>
        <rFont val="宋体"/>
        <charset val="134"/>
      </rPr>
      <t>开发成本</t>
    </r>
    <r>
      <rPr>
        <sz val="10"/>
        <rFont val="Times New Roman"/>
        <charset val="134"/>
      </rPr>
      <t>08</t>
    </r>
  </si>
  <si>
    <r>
      <rPr>
        <sz val="10"/>
        <rFont val="宋体"/>
        <charset val="134"/>
      </rPr>
      <t>开发成本</t>
    </r>
    <r>
      <rPr>
        <sz val="10"/>
        <rFont val="Times New Roman"/>
        <charset val="134"/>
      </rPr>
      <t>09</t>
    </r>
  </si>
  <si>
    <r>
      <rPr>
        <sz val="10"/>
        <rFont val="宋体"/>
        <charset val="134"/>
      </rPr>
      <t>开发成本</t>
    </r>
    <r>
      <rPr>
        <sz val="10"/>
        <rFont val="Times New Roman"/>
        <charset val="134"/>
      </rPr>
      <t>10</t>
    </r>
  </si>
  <si>
    <r>
      <rPr>
        <sz val="10"/>
        <rFont val="宋体"/>
        <charset val="134"/>
      </rPr>
      <t>开发成本</t>
    </r>
    <r>
      <rPr>
        <sz val="10"/>
        <rFont val="Times New Roman"/>
        <charset val="134"/>
      </rPr>
      <t>11</t>
    </r>
  </si>
  <si>
    <r>
      <rPr>
        <sz val="10"/>
        <rFont val="宋体"/>
        <charset val="134"/>
      </rPr>
      <t>开发成本</t>
    </r>
    <r>
      <rPr>
        <sz val="10"/>
        <rFont val="Times New Roman"/>
        <charset val="134"/>
      </rPr>
      <t>14</t>
    </r>
  </si>
  <si>
    <r>
      <rPr>
        <sz val="10"/>
        <rFont val="宋体"/>
        <charset val="134"/>
      </rPr>
      <t>开发成本</t>
    </r>
    <r>
      <rPr>
        <sz val="10"/>
        <rFont val="Times New Roman"/>
        <charset val="134"/>
      </rPr>
      <t>15</t>
    </r>
  </si>
  <si>
    <r>
      <rPr>
        <sz val="10"/>
        <rFont val="宋体"/>
        <charset val="134"/>
      </rPr>
      <t>开发成本</t>
    </r>
    <r>
      <rPr>
        <sz val="10"/>
        <rFont val="Times New Roman"/>
        <charset val="134"/>
      </rPr>
      <t>16</t>
    </r>
  </si>
  <si>
    <r>
      <rPr>
        <sz val="10"/>
        <rFont val="宋体"/>
        <charset val="134"/>
      </rPr>
      <t>开发成本</t>
    </r>
    <r>
      <rPr>
        <sz val="10"/>
        <rFont val="Times New Roman"/>
        <charset val="134"/>
      </rPr>
      <t>17</t>
    </r>
  </si>
  <si>
    <r>
      <rPr>
        <sz val="10"/>
        <rFont val="宋体"/>
        <charset val="134"/>
      </rPr>
      <t>开发成本</t>
    </r>
    <r>
      <rPr>
        <sz val="10"/>
        <rFont val="Times New Roman"/>
        <charset val="134"/>
      </rPr>
      <t>18</t>
    </r>
  </si>
  <si>
    <r>
      <rPr>
        <sz val="10"/>
        <rFont val="宋体"/>
        <charset val="134"/>
      </rPr>
      <t>开发成本</t>
    </r>
    <r>
      <rPr>
        <sz val="10"/>
        <rFont val="Times New Roman"/>
        <charset val="134"/>
      </rPr>
      <t>19</t>
    </r>
  </si>
  <si>
    <r>
      <rPr>
        <sz val="10"/>
        <rFont val="宋体"/>
        <charset val="134"/>
      </rPr>
      <t>开发成本</t>
    </r>
    <r>
      <rPr>
        <sz val="10"/>
        <rFont val="Times New Roman"/>
        <charset val="134"/>
      </rPr>
      <t>20</t>
    </r>
  </si>
  <si>
    <r>
      <rPr>
        <sz val="9"/>
        <rFont val="Times New Roman"/>
        <charset val="134"/>
      </rPr>
      <t>4</t>
    </r>
    <r>
      <rPr>
        <sz val="9"/>
        <rFont val="宋体"/>
        <charset val="134"/>
      </rPr>
      <t>、规划建筑面积：对应类别开发产品的规划建筑面积；</t>
    </r>
  </si>
  <si>
    <r>
      <rPr>
        <sz val="9"/>
        <rFont val="Times New Roman"/>
        <charset val="134"/>
      </rPr>
      <t>5</t>
    </r>
    <r>
      <rPr>
        <sz val="9"/>
        <rFont val="宋体"/>
        <charset val="134"/>
      </rPr>
      <t>、预售面积：开始预售的产品，未完工已经预售的面积；</t>
    </r>
  </si>
  <si>
    <r>
      <rPr>
        <sz val="9"/>
        <rFont val="Times New Roman"/>
        <charset val="134"/>
      </rPr>
      <t>6</t>
    </r>
    <r>
      <rPr>
        <sz val="9"/>
        <rFont val="宋体"/>
        <charset val="134"/>
      </rPr>
      <t>、待售面积：开始预售的产品，未完工未销售部分的面积；</t>
    </r>
  </si>
  <si>
    <r>
      <rPr>
        <sz val="9"/>
        <rFont val="Times New Roman"/>
        <charset val="134"/>
      </rPr>
      <t>7</t>
    </r>
    <r>
      <rPr>
        <sz val="9"/>
        <rFont val="宋体"/>
        <charset val="134"/>
      </rPr>
      <t>、预计总工期：请按照填表日预计的工期填写（当预计实际建设周期超过设计工期时）；</t>
    </r>
  </si>
  <si>
    <r>
      <rPr>
        <sz val="9"/>
        <rFont val="Times New Roman"/>
        <charset val="134"/>
      </rPr>
      <t>8</t>
    </r>
    <r>
      <rPr>
        <sz val="9"/>
        <rFont val="宋体"/>
        <charset val="134"/>
      </rPr>
      <t>、预计填表日后工期：请填列自填表日至竣工日的预计工期；</t>
    </r>
  </si>
  <si>
    <r>
      <rPr>
        <sz val="9"/>
        <rFont val="Times New Roman"/>
        <charset val="134"/>
      </rPr>
      <t>9</t>
    </r>
    <r>
      <rPr>
        <sz val="9"/>
        <rFont val="宋体"/>
        <charset val="134"/>
      </rPr>
      <t>、完工百分比：请填列截至填表日，按照建筑施工的工程月报的综合进度百分比填列；</t>
    </r>
  </si>
  <si>
    <r>
      <rPr>
        <sz val="9"/>
        <rFont val="Times New Roman"/>
        <charset val="134"/>
      </rPr>
      <t>10</t>
    </r>
    <r>
      <rPr>
        <sz val="9"/>
        <rFont val="宋体"/>
        <charset val="134"/>
      </rPr>
      <t>、付款百分比：请填列截至填表日，按照该项目已经支付成本占项目总造价的比例填写（注意与完工百分比的不同）；</t>
    </r>
  </si>
  <si>
    <r>
      <rPr>
        <sz val="9"/>
        <rFont val="Times New Roman"/>
        <charset val="134"/>
      </rPr>
      <t>11</t>
    </r>
    <r>
      <rPr>
        <sz val="9"/>
        <rFont val="宋体"/>
        <charset val="134"/>
      </rPr>
      <t>、预计预售日期：是指尚未预售的在建开发产品，预计开始预售的时间；</t>
    </r>
    <r>
      <rPr>
        <sz val="9"/>
        <rFont val="Times New Roman"/>
        <charset val="134"/>
      </rPr>
      <t xml:space="preserve"> </t>
    </r>
  </si>
  <si>
    <r>
      <rPr>
        <sz val="9"/>
        <rFont val="Times New Roman"/>
        <charset val="134"/>
      </rPr>
      <t>12</t>
    </r>
    <r>
      <rPr>
        <sz val="9"/>
        <rFont val="宋体"/>
        <charset val="134"/>
      </rPr>
      <t>、预计预售日期：是指尚未预售的在建开发产品，预计预售的均价；</t>
    </r>
  </si>
  <si>
    <r>
      <rPr>
        <sz val="9"/>
        <rFont val="Times New Roman"/>
        <charset val="134"/>
      </rPr>
      <t>13</t>
    </r>
    <r>
      <rPr>
        <sz val="9"/>
        <rFont val="宋体"/>
        <charset val="134"/>
      </rPr>
      <t>、帐面价值：按照成本明细填列（若列示明细不足，可插入列）。</t>
    </r>
  </si>
  <si>
    <r>
      <rPr>
        <b/>
        <sz val="18"/>
        <color indexed="8"/>
        <rFont val="宋体"/>
        <charset val="134"/>
      </rPr>
      <t>未完施工评估明细表</t>
    </r>
  </si>
  <si>
    <r>
      <rPr>
        <sz val="9"/>
        <color indexed="8"/>
        <rFont val="宋体"/>
        <charset val="134"/>
      </rPr>
      <t>金额单位</t>
    </r>
    <r>
      <rPr>
        <sz val="9"/>
        <color indexed="8"/>
        <rFont val="Times New Roman"/>
        <charset val="134"/>
      </rPr>
      <t>:</t>
    </r>
    <r>
      <rPr>
        <sz val="9"/>
        <color indexed="8"/>
        <rFont val="宋体"/>
        <charset val="134"/>
      </rPr>
      <t>人民币元</t>
    </r>
  </si>
  <si>
    <r>
      <rPr>
        <b/>
        <sz val="10"/>
        <rFont val="宋体"/>
        <charset val="134"/>
      </rPr>
      <t>未完施工</t>
    </r>
  </si>
  <si>
    <r>
      <rPr>
        <b/>
        <sz val="10"/>
        <color indexed="8"/>
        <rFont val="宋体"/>
        <charset val="134"/>
      </rPr>
      <t>序号</t>
    </r>
  </si>
  <si>
    <r>
      <rPr>
        <b/>
        <sz val="10"/>
        <color indexed="8"/>
        <rFont val="宋体"/>
        <charset val="134"/>
      </rPr>
      <t>工程项目名称</t>
    </r>
  </si>
  <si>
    <r>
      <rPr>
        <b/>
        <sz val="10"/>
        <color indexed="8"/>
        <rFont val="宋体"/>
        <charset val="134"/>
      </rPr>
      <t>合同金额</t>
    </r>
  </si>
  <si>
    <r>
      <rPr>
        <b/>
        <sz val="10"/>
        <color indexed="8"/>
        <rFont val="宋体"/>
        <charset val="134"/>
      </rPr>
      <t>主要施工地点</t>
    </r>
  </si>
  <si>
    <r>
      <rPr>
        <b/>
        <sz val="10"/>
        <color indexed="8"/>
        <rFont val="宋体"/>
        <charset val="134"/>
      </rPr>
      <t>设计单位</t>
    </r>
  </si>
  <si>
    <r>
      <rPr>
        <b/>
        <sz val="10"/>
        <color indexed="8"/>
        <rFont val="宋体"/>
        <charset val="134"/>
      </rPr>
      <t>监理单位</t>
    </r>
  </si>
  <si>
    <r>
      <rPr>
        <b/>
        <sz val="10"/>
        <color indexed="8"/>
        <rFont val="宋体"/>
        <charset val="134"/>
      </rPr>
      <t>开工日期</t>
    </r>
  </si>
  <si>
    <r>
      <rPr>
        <b/>
        <sz val="10"/>
        <color indexed="8"/>
        <rFont val="宋体"/>
        <charset val="134"/>
      </rPr>
      <t>预计完工日期</t>
    </r>
  </si>
  <si>
    <r>
      <rPr>
        <b/>
        <sz val="10"/>
        <color indexed="8"/>
        <rFont val="宋体"/>
        <charset val="134"/>
      </rPr>
      <t>工程形象进度</t>
    </r>
    <r>
      <rPr>
        <b/>
        <sz val="10"/>
        <color indexed="8"/>
        <rFont val="Times New Roman"/>
        <charset val="134"/>
      </rPr>
      <t>%</t>
    </r>
  </si>
  <si>
    <t>工程总预/概算金额</t>
  </si>
  <si>
    <t>工程施工总额</t>
  </si>
  <si>
    <r>
      <rPr>
        <b/>
        <sz val="10"/>
        <color indexed="8"/>
        <rFont val="宋体"/>
        <charset val="134"/>
      </rPr>
      <t>经业主确认的已完成工程额</t>
    </r>
  </si>
  <si>
    <r>
      <rPr>
        <b/>
        <sz val="10"/>
        <color indexed="8"/>
        <rFont val="宋体"/>
        <charset val="134"/>
      </rPr>
      <t>已到账工程款</t>
    </r>
  </si>
  <si>
    <r>
      <rPr>
        <b/>
        <sz val="10"/>
        <color indexed="8"/>
        <rFont val="宋体"/>
        <charset val="134"/>
      </rPr>
      <t>是否发生非正常停工</t>
    </r>
  </si>
  <si>
    <r>
      <rPr>
        <b/>
        <sz val="10"/>
        <color indexed="8"/>
        <rFont val="宋体"/>
        <charset val="134"/>
      </rPr>
      <t>是否发生争议事项</t>
    </r>
  </si>
  <si>
    <r>
      <rPr>
        <b/>
        <sz val="10"/>
        <color indexed="8"/>
        <rFont val="宋体"/>
        <charset val="134"/>
      </rPr>
      <t>是否为总承包工程</t>
    </r>
  </si>
  <si>
    <r>
      <rPr>
        <b/>
        <sz val="10"/>
        <color indexed="8"/>
        <rFont val="宋体"/>
        <charset val="134"/>
      </rPr>
      <t>分包商数量</t>
    </r>
  </si>
  <si>
    <r>
      <rPr>
        <b/>
        <sz val="10"/>
        <color indexed="8"/>
        <rFont val="宋体"/>
        <charset val="134"/>
      </rPr>
      <t>分包合同金额合计</t>
    </r>
  </si>
  <si>
    <r>
      <rPr>
        <b/>
        <sz val="10"/>
        <color rgb="FFFF0000"/>
        <rFont val="宋体"/>
        <charset val="134"/>
      </rPr>
      <t>调整分录</t>
    </r>
  </si>
  <si>
    <r>
      <rPr>
        <b/>
        <sz val="10"/>
        <color indexed="8"/>
        <rFont val="宋体"/>
        <charset val="134"/>
      </rPr>
      <t>评估值</t>
    </r>
  </si>
  <si>
    <r>
      <rPr>
        <b/>
        <sz val="10"/>
        <color indexed="8"/>
        <rFont val="宋体"/>
        <charset val="134"/>
      </rPr>
      <t>增值率</t>
    </r>
    <r>
      <rPr>
        <b/>
        <sz val="10"/>
        <color indexed="8"/>
        <rFont val="Times New Roman"/>
        <charset val="134"/>
      </rPr>
      <t>%</t>
    </r>
  </si>
  <si>
    <r>
      <rPr>
        <b/>
        <sz val="10"/>
        <color indexed="8"/>
        <rFont val="宋体"/>
        <charset val="134"/>
      </rPr>
      <t>备注</t>
    </r>
  </si>
  <si>
    <r>
      <rPr>
        <b/>
        <sz val="9"/>
        <rFont val="宋体"/>
        <charset val="134"/>
      </rPr>
      <t>账面是否包含毛利</t>
    </r>
  </si>
  <si>
    <t>总工程毛利率</t>
  </si>
  <si>
    <r>
      <rPr>
        <b/>
        <sz val="10"/>
        <color indexed="8"/>
        <rFont val="宋体"/>
        <charset val="134"/>
      </rPr>
      <t>材料费</t>
    </r>
  </si>
  <si>
    <r>
      <rPr>
        <b/>
        <sz val="10"/>
        <color indexed="8"/>
        <rFont val="宋体"/>
        <charset val="134"/>
      </rPr>
      <t>人工费</t>
    </r>
  </si>
  <si>
    <r>
      <rPr>
        <b/>
        <sz val="10"/>
        <color indexed="8"/>
        <rFont val="宋体"/>
        <charset val="134"/>
      </rPr>
      <t>分包费</t>
    </r>
  </si>
  <si>
    <r>
      <rPr>
        <b/>
        <sz val="10"/>
        <color indexed="8"/>
        <rFont val="宋体"/>
        <charset val="134"/>
      </rPr>
      <t>其他</t>
    </r>
  </si>
  <si>
    <r>
      <rPr>
        <b/>
        <sz val="10"/>
        <color indexed="8"/>
        <rFont val="宋体"/>
        <charset val="134"/>
      </rPr>
      <t>毛利</t>
    </r>
  </si>
  <si>
    <r>
      <rPr>
        <b/>
        <sz val="10"/>
        <color indexed="8"/>
        <rFont val="宋体"/>
        <charset val="134"/>
      </rPr>
      <t>合计</t>
    </r>
  </si>
  <si>
    <t>预计损失</t>
  </si>
  <si>
    <r>
      <rPr>
        <b/>
        <sz val="10"/>
        <color indexed="8"/>
        <rFont val="宋体"/>
        <charset val="134"/>
      </rPr>
      <t>金额</t>
    </r>
  </si>
  <si>
    <r>
      <rPr>
        <b/>
        <sz val="10"/>
        <color rgb="FF000000"/>
        <rFont val="宋体"/>
        <charset val="134"/>
      </rPr>
      <t>预计合同损失准备</t>
    </r>
  </si>
  <si>
    <r>
      <rPr>
        <b/>
        <sz val="10"/>
        <color rgb="FFFF0000"/>
        <rFont val="宋体"/>
        <charset val="134"/>
      </rPr>
      <t>金额</t>
    </r>
  </si>
  <si>
    <r>
      <rPr>
        <b/>
        <sz val="10"/>
        <color rgb="FFFF0000"/>
        <rFont val="宋体"/>
        <charset val="134"/>
      </rPr>
      <t>预计合同损失准备</t>
    </r>
  </si>
  <si>
    <r>
      <rPr>
        <sz val="10"/>
        <rFont val="宋体"/>
        <charset val="134"/>
      </rPr>
      <t>未完施工</t>
    </r>
    <r>
      <rPr>
        <sz val="10"/>
        <rFont val="Times New Roman"/>
        <charset val="134"/>
      </rPr>
      <t>01</t>
    </r>
  </si>
  <si>
    <r>
      <rPr>
        <sz val="10"/>
        <rFont val="宋体"/>
        <charset val="134"/>
      </rPr>
      <t>未完施工</t>
    </r>
    <r>
      <rPr>
        <sz val="10"/>
        <rFont val="Times New Roman"/>
        <charset val="134"/>
      </rPr>
      <t>02</t>
    </r>
  </si>
  <si>
    <r>
      <rPr>
        <sz val="10"/>
        <rFont val="宋体"/>
        <charset val="134"/>
      </rPr>
      <t>未完施工</t>
    </r>
    <r>
      <rPr>
        <sz val="10"/>
        <rFont val="Times New Roman"/>
        <charset val="134"/>
      </rPr>
      <t>03</t>
    </r>
  </si>
  <si>
    <r>
      <rPr>
        <sz val="10"/>
        <rFont val="宋体"/>
        <charset val="134"/>
      </rPr>
      <t>未完施工</t>
    </r>
    <r>
      <rPr>
        <sz val="10"/>
        <rFont val="Times New Roman"/>
        <charset val="134"/>
      </rPr>
      <t>04</t>
    </r>
  </si>
  <si>
    <r>
      <rPr>
        <sz val="10"/>
        <rFont val="宋体"/>
        <charset val="134"/>
      </rPr>
      <t>未完施工</t>
    </r>
    <r>
      <rPr>
        <sz val="10"/>
        <rFont val="Times New Roman"/>
        <charset val="134"/>
      </rPr>
      <t>05</t>
    </r>
  </si>
  <si>
    <r>
      <rPr>
        <sz val="10"/>
        <rFont val="宋体"/>
        <charset val="134"/>
      </rPr>
      <t>未完施工</t>
    </r>
    <r>
      <rPr>
        <sz val="10"/>
        <rFont val="Times New Roman"/>
        <charset val="134"/>
      </rPr>
      <t>06</t>
    </r>
  </si>
  <si>
    <r>
      <rPr>
        <sz val="10"/>
        <rFont val="宋体"/>
        <charset val="134"/>
      </rPr>
      <t>未完施工</t>
    </r>
    <r>
      <rPr>
        <sz val="10"/>
        <rFont val="Times New Roman"/>
        <charset val="134"/>
      </rPr>
      <t>07</t>
    </r>
  </si>
  <si>
    <r>
      <rPr>
        <sz val="10"/>
        <rFont val="宋体"/>
        <charset val="134"/>
      </rPr>
      <t>未完施工</t>
    </r>
    <r>
      <rPr>
        <sz val="10"/>
        <rFont val="Times New Roman"/>
        <charset val="134"/>
      </rPr>
      <t>08</t>
    </r>
  </si>
  <si>
    <r>
      <rPr>
        <sz val="10"/>
        <rFont val="宋体"/>
        <charset val="134"/>
      </rPr>
      <t>未完施工</t>
    </r>
    <r>
      <rPr>
        <sz val="10"/>
        <rFont val="Times New Roman"/>
        <charset val="134"/>
      </rPr>
      <t>09</t>
    </r>
  </si>
  <si>
    <r>
      <rPr>
        <sz val="10"/>
        <rFont val="宋体"/>
        <charset val="134"/>
      </rPr>
      <t>未完施工</t>
    </r>
    <r>
      <rPr>
        <sz val="10"/>
        <rFont val="Times New Roman"/>
        <charset val="134"/>
      </rPr>
      <t>10</t>
    </r>
  </si>
  <si>
    <r>
      <rPr>
        <sz val="10"/>
        <rFont val="宋体"/>
        <charset val="134"/>
      </rPr>
      <t>未完施工</t>
    </r>
    <r>
      <rPr>
        <sz val="10"/>
        <rFont val="Times New Roman"/>
        <charset val="134"/>
      </rPr>
      <t>11</t>
    </r>
  </si>
  <si>
    <r>
      <rPr>
        <sz val="10"/>
        <rFont val="宋体"/>
        <charset val="134"/>
      </rPr>
      <t>未完施工</t>
    </r>
    <r>
      <rPr>
        <sz val="10"/>
        <rFont val="Times New Roman"/>
        <charset val="134"/>
      </rPr>
      <t>14</t>
    </r>
  </si>
  <si>
    <r>
      <rPr>
        <sz val="10"/>
        <rFont val="宋体"/>
        <charset val="134"/>
      </rPr>
      <t>未完施工</t>
    </r>
    <r>
      <rPr>
        <sz val="10"/>
        <rFont val="Times New Roman"/>
        <charset val="134"/>
      </rPr>
      <t>15</t>
    </r>
  </si>
  <si>
    <r>
      <rPr>
        <sz val="10"/>
        <rFont val="宋体"/>
        <charset val="134"/>
      </rPr>
      <t>未完施工</t>
    </r>
    <r>
      <rPr>
        <sz val="10"/>
        <rFont val="Times New Roman"/>
        <charset val="134"/>
      </rPr>
      <t>16</t>
    </r>
  </si>
  <si>
    <r>
      <rPr>
        <sz val="10"/>
        <rFont val="宋体"/>
        <charset val="134"/>
      </rPr>
      <t>未完施工</t>
    </r>
    <r>
      <rPr>
        <sz val="10"/>
        <rFont val="Times New Roman"/>
        <charset val="134"/>
      </rPr>
      <t>17</t>
    </r>
  </si>
  <si>
    <r>
      <rPr>
        <sz val="10"/>
        <rFont val="宋体"/>
        <charset val="134"/>
      </rPr>
      <t>未完施工</t>
    </r>
    <r>
      <rPr>
        <sz val="10"/>
        <rFont val="Times New Roman"/>
        <charset val="134"/>
      </rPr>
      <t>18</t>
    </r>
  </si>
  <si>
    <r>
      <rPr>
        <sz val="10"/>
        <rFont val="宋体"/>
        <charset val="134"/>
      </rPr>
      <t>未完施工</t>
    </r>
    <r>
      <rPr>
        <sz val="10"/>
        <rFont val="Times New Roman"/>
        <charset val="134"/>
      </rPr>
      <t>19</t>
    </r>
  </si>
  <si>
    <r>
      <rPr>
        <sz val="10"/>
        <rFont val="宋体"/>
        <charset val="134"/>
      </rPr>
      <t>未完施工</t>
    </r>
    <r>
      <rPr>
        <sz val="10"/>
        <rFont val="Times New Roman"/>
        <charset val="134"/>
      </rPr>
      <t>20</t>
    </r>
  </si>
  <si>
    <r>
      <rPr>
        <b/>
        <sz val="9"/>
        <color indexed="8"/>
        <rFont val="宋体"/>
        <charset val="134"/>
      </rPr>
      <t>账面余额合计</t>
    </r>
  </si>
  <si>
    <t>减：预计风险损失</t>
  </si>
  <si>
    <r>
      <rPr>
        <b/>
        <sz val="9"/>
        <color indexed="8"/>
        <rFont val="宋体"/>
        <charset val="134"/>
      </rPr>
      <t>账面净值合计</t>
    </r>
  </si>
  <si>
    <t>合同资产评估汇总表</t>
  </si>
  <si>
    <t>合同资产-未完施工评估明细表</t>
  </si>
  <si>
    <r>
      <rPr>
        <b/>
        <sz val="10"/>
        <color indexed="8"/>
        <rFont val="宋体"/>
        <charset val="134"/>
      </rPr>
      <t>经业主确认的已完成工程额（工程结算）</t>
    </r>
  </si>
  <si>
    <t>预计合同损失</t>
  </si>
  <si>
    <r>
      <rPr>
        <b/>
        <sz val="10"/>
        <color indexed="10"/>
        <rFont val="宋体"/>
        <charset val="134"/>
      </rPr>
      <t>调整分录</t>
    </r>
    <r>
      <rPr>
        <b/>
        <sz val="10"/>
        <color indexed="10"/>
        <rFont val="Times New Roman"/>
        <charset val="134"/>
      </rPr>
      <t>-</t>
    </r>
    <r>
      <rPr>
        <b/>
        <sz val="10"/>
        <color indexed="10"/>
        <rFont val="宋体"/>
        <charset val="134"/>
      </rPr>
      <t>预计合同损失</t>
    </r>
  </si>
  <si>
    <r>
      <rPr>
        <sz val="10"/>
        <rFont val="宋体"/>
        <charset val="134"/>
      </rPr>
      <t>合同资产</t>
    </r>
    <r>
      <rPr>
        <sz val="10"/>
        <rFont val="Times New Roman"/>
        <charset val="134"/>
      </rPr>
      <t>-</t>
    </r>
    <r>
      <rPr>
        <sz val="10"/>
        <rFont val="宋体"/>
        <charset val="134"/>
      </rPr>
      <t>未完施工</t>
    </r>
    <r>
      <rPr>
        <sz val="10"/>
        <rFont val="Times New Roman"/>
        <charset val="134"/>
      </rPr>
      <t>01</t>
    </r>
  </si>
  <si>
    <r>
      <rPr>
        <sz val="10"/>
        <rFont val="宋体"/>
        <charset val="134"/>
      </rPr>
      <t>合同资产</t>
    </r>
    <r>
      <rPr>
        <sz val="10"/>
        <rFont val="Times New Roman"/>
        <charset val="134"/>
      </rPr>
      <t>-</t>
    </r>
    <r>
      <rPr>
        <sz val="10"/>
        <rFont val="宋体"/>
        <charset val="134"/>
      </rPr>
      <t>未完施工</t>
    </r>
    <r>
      <rPr>
        <sz val="10"/>
        <rFont val="Times New Roman"/>
        <charset val="134"/>
      </rPr>
      <t>02</t>
    </r>
  </si>
  <si>
    <r>
      <rPr>
        <sz val="10"/>
        <rFont val="宋体"/>
        <charset val="134"/>
      </rPr>
      <t>合同资产</t>
    </r>
    <r>
      <rPr>
        <sz val="10"/>
        <rFont val="Times New Roman"/>
        <charset val="134"/>
      </rPr>
      <t>-</t>
    </r>
    <r>
      <rPr>
        <sz val="10"/>
        <rFont val="宋体"/>
        <charset val="134"/>
      </rPr>
      <t>未完施工</t>
    </r>
    <r>
      <rPr>
        <sz val="10"/>
        <rFont val="Times New Roman"/>
        <charset val="134"/>
      </rPr>
      <t>03</t>
    </r>
  </si>
  <si>
    <r>
      <rPr>
        <sz val="10"/>
        <rFont val="宋体"/>
        <charset val="134"/>
      </rPr>
      <t>合同资产</t>
    </r>
    <r>
      <rPr>
        <sz val="10"/>
        <rFont val="Times New Roman"/>
        <charset val="134"/>
      </rPr>
      <t>-</t>
    </r>
    <r>
      <rPr>
        <sz val="10"/>
        <rFont val="宋体"/>
        <charset val="134"/>
      </rPr>
      <t>未完施工</t>
    </r>
    <r>
      <rPr>
        <sz val="10"/>
        <rFont val="Times New Roman"/>
        <charset val="134"/>
      </rPr>
      <t>04</t>
    </r>
  </si>
  <si>
    <r>
      <rPr>
        <sz val="10"/>
        <rFont val="宋体"/>
        <charset val="134"/>
      </rPr>
      <t>合同资产</t>
    </r>
    <r>
      <rPr>
        <sz val="10"/>
        <rFont val="Times New Roman"/>
        <charset val="134"/>
      </rPr>
      <t>-</t>
    </r>
    <r>
      <rPr>
        <sz val="10"/>
        <rFont val="宋体"/>
        <charset val="134"/>
      </rPr>
      <t>未完施工</t>
    </r>
    <r>
      <rPr>
        <sz val="10"/>
        <rFont val="Times New Roman"/>
        <charset val="134"/>
      </rPr>
      <t>05</t>
    </r>
  </si>
  <si>
    <r>
      <rPr>
        <sz val="10"/>
        <rFont val="宋体"/>
        <charset val="134"/>
      </rPr>
      <t>合同资产</t>
    </r>
    <r>
      <rPr>
        <sz val="10"/>
        <rFont val="Times New Roman"/>
        <charset val="134"/>
      </rPr>
      <t>-</t>
    </r>
    <r>
      <rPr>
        <sz val="10"/>
        <rFont val="宋体"/>
        <charset val="134"/>
      </rPr>
      <t>未完施工</t>
    </r>
    <r>
      <rPr>
        <sz val="10"/>
        <rFont val="Times New Roman"/>
        <charset val="134"/>
      </rPr>
      <t>06</t>
    </r>
  </si>
  <si>
    <r>
      <rPr>
        <sz val="10"/>
        <rFont val="宋体"/>
        <charset val="134"/>
      </rPr>
      <t>合同资产</t>
    </r>
    <r>
      <rPr>
        <sz val="10"/>
        <rFont val="Times New Roman"/>
        <charset val="134"/>
      </rPr>
      <t>-</t>
    </r>
    <r>
      <rPr>
        <sz val="10"/>
        <rFont val="宋体"/>
        <charset val="134"/>
      </rPr>
      <t>未完施工</t>
    </r>
    <r>
      <rPr>
        <sz val="10"/>
        <rFont val="Times New Roman"/>
        <charset val="134"/>
      </rPr>
      <t>07</t>
    </r>
  </si>
  <si>
    <r>
      <rPr>
        <sz val="10"/>
        <rFont val="宋体"/>
        <charset val="134"/>
      </rPr>
      <t>合同资产</t>
    </r>
    <r>
      <rPr>
        <sz val="10"/>
        <rFont val="Times New Roman"/>
        <charset val="134"/>
      </rPr>
      <t>-</t>
    </r>
    <r>
      <rPr>
        <sz val="10"/>
        <rFont val="宋体"/>
        <charset val="134"/>
      </rPr>
      <t>未完施工</t>
    </r>
    <r>
      <rPr>
        <sz val="10"/>
        <rFont val="Times New Roman"/>
        <charset val="134"/>
      </rPr>
      <t>08</t>
    </r>
  </si>
  <si>
    <r>
      <rPr>
        <sz val="10"/>
        <rFont val="宋体"/>
        <charset val="134"/>
      </rPr>
      <t>合同资产</t>
    </r>
    <r>
      <rPr>
        <sz val="10"/>
        <rFont val="Times New Roman"/>
        <charset val="134"/>
      </rPr>
      <t>-</t>
    </r>
    <r>
      <rPr>
        <sz val="10"/>
        <rFont val="宋体"/>
        <charset val="134"/>
      </rPr>
      <t>未完施工</t>
    </r>
    <r>
      <rPr>
        <sz val="10"/>
        <rFont val="Times New Roman"/>
        <charset val="134"/>
      </rPr>
      <t>09</t>
    </r>
  </si>
  <si>
    <r>
      <rPr>
        <sz val="10"/>
        <rFont val="宋体"/>
        <charset val="134"/>
      </rPr>
      <t>合同资产</t>
    </r>
    <r>
      <rPr>
        <sz val="10"/>
        <rFont val="Times New Roman"/>
        <charset val="134"/>
      </rPr>
      <t>-</t>
    </r>
    <r>
      <rPr>
        <sz val="10"/>
        <rFont val="宋体"/>
        <charset val="134"/>
      </rPr>
      <t>未完施工</t>
    </r>
    <r>
      <rPr>
        <sz val="10"/>
        <rFont val="Times New Roman"/>
        <charset val="134"/>
      </rPr>
      <t>12</t>
    </r>
  </si>
  <si>
    <r>
      <rPr>
        <sz val="10"/>
        <rFont val="宋体"/>
        <charset val="134"/>
      </rPr>
      <t>合同资产</t>
    </r>
    <r>
      <rPr>
        <sz val="10"/>
        <rFont val="Times New Roman"/>
        <charset val="134"/>
      </rPr>
      <t>-</t>
    </r>
    <r>
      <rPr>
        <sz val="10"/>
        <rFont val="宋体"/>
        <charset val="134"/>
      </rPr>
      <t>未完施工</t>
    </r>
    <r>
      <rPr>
        <sz val="10"/>
        <rFont val="Times New Roman"/>
        <charset val="134"/>
      </rPr>
      <t>13</t>
    </r>
  </si>
  <si>
    <r>
      <rPr>
        <sz val="10"/>
        <rFont val="宋体"/>
        <charset val="134"/>
      </rPr>
      <t>合同资产</t>
    </r>
    <r>
      <rPr>
        <sz val="10"/>
        <rFont val="Times New Roman"/>
        <charset val="134"/>
      </rPr>
      <t>-</t>
    </r>
    <r>
      <rPr>
        <sz val="10"/>
        <rFont val="宋体"/>
        <charset val="134"/>
      </rPr>
      <t>未完施工</t>
    </r>
    <r>
      <rPr>
        <sz val="10"/>
        <rFont val="Times New Roman"/>
        <charset val="134"/>
      </rPr>
      <t>14</t>
    </r>
  </si>
  <si>
    <r>
      <rPr>
        <sz val="10"/>
        <rFont val="宋体"/>
        <charset val="134"/>
      </rPr>
      <t>合同资产</t>
    </r>
    <r>
      <rPr>
        <sz val="10"/>
        <rFont val="Times New Roman"/>
        <charset val="134"/>
      </rPr>
      <t>-</t>
    </r>
    <r>
      <rPr>
        <sz val="10"/>
        <rFont val="宋体"/>
        <charset val="134"/>
      </rPr>
      <t>未完施工</t>
    </r>
    <r>
      <rPr>
        <sz val="10"/>
        <rFont val="Times New Roman"/>
        <charset val="134"/>
      </rPr>
      <t>15</t>
    </r>
  </si>
  <si>
    <r>
      <rPr>
        <sz val="10"/>
        <rFont val="宋体"/>
        <charset val="134"/>
      </rPr>
      <t>合同资产</t>
    </r>
    <r>
      <rPr>
        <sz val="10"/>
        <rFont val="Times New Roman"/>
        <charset val="134"/>
      </rPr>
      <t>-</t>
    </r>
    <r>
      <rPr>
        <sz val="10"/>
        <rFont val="宋体"/>
        <charset val="134"/>
      </rPr>
      <t>未完施工</t>
    </r>
    <r>
      <rPr>
        <sz val="10"/>
        <rFont val="Times New Roman"/>
        <charset val="134"/>
      </rPr>
      <t>16</t>
    </r>
  </si>
  <si>
    <r>
      <rPr>
        <sz val="10"/>
        <rFont val="宋体"/>
        <charset val="134"/>
      </rPr>
      <t>合同资产</t>
    </r>
    <r>
      <rPr>
        <sz val="10"/>
        <rFont val="Times New Roman"/>
        <charset val="134"/>
      </rPr>
      <t>-</t>
    </r>
    <r>
      <rPr>
        <sz val="10"/>
        <rFont val="宋体"/>
        <charset val="134"/>
      </rPr>
      <t>未完施工</t>
    </r>
    <r>
      <rPr>
        <sz val="10"/>
        <rFont val="Times New Roman"/>
        <charset val="134"/>
      </rPr>
      <t>17</t>
    </r>
  </si>
  <si>
    <r>
      <rPr>
        <sz val="10"/>
        <rFont val="宋体"/>
        <charset val="134"/>
      </rPr>
      <t>合同资产</t>
    </r>
    <r>
      <rPr>
        <sz val="10"/>
        <rFont val="Times New Roman"/>
        <charset val="134"/>
      </rPr>
      <t>-</t>
    </r>
    <r>
      <rPr>
        <sz val="10"/>
        <rFont val="宋体"/>
        <charset val="134"/>
      </rPr>
      <t>未完施工</t>
    </r>
    <r>
      <rPr>
        <sz val="10"/>
        <rFont val="Times New Roman"/>
        <charset val="134"/>
      </rPr>
      <t>18</t>
    </r>
  </si>
  <si>
    <r>
      <rPr>
        <sz val="10"/>
        <rFont val="宋体"/>
        <charset val="134"/>
      </rPr>
      <t>合同资产</t>
    </r>
    <r>
      <rPr>
        <sz val="10"/>
        <rFont val="Times New Roman"/>
        <charset val="134"/>
      </rPr>
      <t>-</t>
    </r>
    <r>
      <rPr>
        <sz val="10"/>
        <rFont val="宋体"/>
        <charset val="134"/>
      </rPr>
      <t>未完施工</t>
    </r>
    <r>
      <rPr>
        <sz val="10"/>
        <rFont val="Times New Roman"/>
        <charset val="134"/>
      </rPr>
      <t>19</t>
    </r>
  </si>
  <si>
    <r>
      <rPr>
        <sz val="10"/>
        <rFont val="宋体"/>
        <charset val="134"/>
      </rPr>
      <t>合同资产</t>
    </r>
    <r>
      <rPr>
        <sz val="10"/>
        <rFont val="Times New Roman"/>
        <charset val="134"/>
      </rPr>
      <t>-</t>
    </r>
    <r>
      <rPr>
        <sz val="10"/>
        <rFont val="宋体"/>
        <charset val="134"/>
      </rPr>
      <t>未完施工</t>
    </r>
    <r>
      <rPr>
        <sz val="10"/>
        <rFont val="Times New Roman"/>
        <charset val="134"/>
      </rPr>
      <t>20</t>
    </r>
  </si>
  <si>
    <r>
      <rPr>
        <b/>
        <sz val="10"/>
        <rFont val="宋体"/>
        <charset val="134"/>
      </rPr>
      <t>净额</t>
    </r>
  </si>
  <si>
    <t>合同资产-其他评估明细表</t>
  </si>
  <si>
    <r>
      <rPr>
        <sz val="10"/>
        <rFont val="宋体"/>
        <charset val="134"/>
      </rPr>
      <t>合同资产</t>
    </r>
    <r>
      <rPr>
        <sz val="10"/>
        <rFont val="Times New Roman"/>
        <charset val="134"/>
      </rPr>
      <t>-</t>
    </r>
    <r>
      <rPr>
        <sz val="10"/>
        <rFont val="宋体"/>
        <charset val="134"/>
      </rPr>
      <t>其他</t>
    </r>
    <r>
      <rPr>
        <sz val="10"/>
        <rFont val="Times New Roman"/>
        <charset val="134"/>
      </rPr>
      <t>01</t>
    </r>
  </si>
  <si>
    <r>
      <rPr>
        <sz val="10"/>
        <rFont val="宋体"/>
        <charset val="134"/>
      </rPr>
      <t>合同资产</t>
    </r>
    <r>
      <rPr>
        <sz val="10"/>
        <rFont val="Times New Roman"/>
        <charset val="134"/>
      </rPr>
      <t>-</t>
    </r>
    <r>
      <rPr>
        <sz val="10"/>
        <rFont val="宋体"/>
        <charset val="134"/>
      </rPr>
      <t>其他</t>
    </r>
    <r>
      <rPr>
        <sz val="10"/>
        <rFont val="Times New Roman"/>
        <charset val="134"/>
      </rPr>
      <t>02</t>
    </r>
  </si>
  <si>
    <r>
      <rPr>
        <sz val="10"/>
        <rFont val="宋体"/>
        <charset val="134"/>
      </rPr>
      <t>合同资产</t>
    </r>
    <r>
      <rPr>
        <sz val="10"/>
        <rFont val="Times New Roman"/>
        <charset val="134"/>
      </rPr>
      <t>-</t>
    </r>
    <r>
      <rPr>
        <sz val="10"/>
        <rFont val="宋体"/>
        <charset val="134"/>
      </rPr>
      <t>其他</t>
    </r>
    <r>
      <rPr>
        <sz val="10"/>
        <rFont val="Times New Roman"/>
        <charset val="134"/>
      </rPr>
      <t>03</t>
    </r>
  </si>
  <si>
    <r>
      <rPr>
        <sz val="10"/>
        <rFont val="宋体"/>
        <charset val="134"/>
      </rPr>
      <t>合同资产</t>
    </r>
    <r>
      <rPr>
        <sz val="10"/>
        <rFont val="Times New Roman"/>
        <charset val="134"/>
      </rPr>
      <t>-</t>
    </r>
    <r>
      <rPr>
        <sz val="10"/>
        <rFont val="宋体"/>
        <charset val="134"/>
      </rPr>
      <t>其他</t>
    </r>
    <r>
      <rPr>
        <sz val="10"/>
        <rFont val="Times New Roman"/>
        <charset val="134"/>
      </rPr>
      <t>04</t>
    </r>
  </si>
  <si>
    <r>
      <rPr>
        <sz val="10"/>
        <rFont val="宋体"/>
        <charset val="134"/>
      </rPr>
      <t>合同资产</t>
    </r>
    <r>
      <rPr>
        <sz val="10"/>
        <rFont val="Times New Roman"/>
        <charset val="134"/>
      </rPr>
      <t>-</t>
    </r>
    <r>
      <rPr>
        <sz val="10"/>
        <rFont val="宋体"/>
        <charset val="134"/>
      </rPr>
      <t>其他</t>
    </r>
    <r>
      <rPr>
        <sz val="10"/>
        <rFont val="Times New Roman"/>
        <charset val="134"/>
      </rPr>
      <t>05</t>
    </r>
  </si>
  <si>
    <r>
      <rPr>
        <sz val="10"/>
        <rFont val="宋体"/>
        <charset val="134"/>
      </rPr>
      <t>合同资产</t>
    </r>
    <r>
      <rPr>
        <sz val="10"/>
        <rFont val="Times New Roman"/>
        <charset val="134"/>
      </rPr>
      <t>-</t>
    </r>
    <r>
      <rPr>
        <sz val="10"/>
        <rFont val="宋体"/>
        <charset val="134"/>
      </rPr>
      <t>其他</t>
    </r>
    <r>
      <rPr>
        <sz val="10"/>
        <rFont val="Times New Roman"/>
        <charset val="134"/>
      </rPr>
      <t>06</t>
    </r>
  </si>
  <si>
    <r>
      <rPr>
        <sz val="10"/>
        <rFont val="宋体"/>
        <charset val="134"/>
      </rPr>
      <t>合同资产</t>
    </r>
    <r>
      <rPr>
        <sz val="10"/>
        <rFont val="Times New Roman"/>
        <charset val="134"/>
      </rPr>
      <t>-</t>
    </r>
    <r>
      <rPr>
        <sz val="10"/>
        <rFont val="宋体"/>
        <charset val="134"/>
      </rPr>
      <t>其他</t>
    </r>
    <r>
      <rPr>
        <sz val="10"/>
        <rFont val="Times New Roman"/>
        <charset val="134"/>
      </rPr>
      <t>07</t>
    </r>
  </si>
  <si>
    <r>
      <rPr>
        <sz val="10"/>
        <rFont val="宋体"/>
        <charset val="134"/>
      </rPr>
      <t>合同资产</t>
    </r>
    <r>
      <rPr>
        <sz val="10"/>
        <rFont val="Times New Roman"/>
        <charset val="134"/>
      </rPr>
      <t>-</t>
    </r>
    <r>
      <rPr>
        <sz val="10"/>
        <rFont val="宋体"/>
        <charset val="134"/>
      </rPr>
      <t>其他</t>
    </r>
    <r>
      <rPr>
        <sz val="10"/>
        <rFont val="Times New Roman"/>
        <charset val="134"/>
      </rPr>
      <t>08</t>
    </r>
  </si>
  <si>
    <r>
      <rPr>
        <sz val="10"/>
        <rFont val="宋体"/>
        <charset val="134"/>
      </rPr>
      <t>合同资产</t>
    </r>
    <r>
      <rPr>
        <sz val="10"/>
        <rFont val="Times New Roman"/>
        <charset val="134"/>
      </rPr>
      <t>-</t>
    </r>
    <r>
      <rPr>
        <sz val="10"/>
        <rFont val="宋体"/>
        <charset val="134"/>
      </rPr>
      <t>其他</t>
    </r>
    <r>
      <rPr>
        <sz val="10"/>
        <rFont val="Times New Roman"/>
        <charset val="134"/>
      </rPr>
      <t>09</t>
    </r>
  </si>
  <si>
    <r>
      <rPr>
        <sz val="10"/>
        <rFont val="宋体"/>
        <charset val="134"/>
      </rPr>
      <t>合同资产</t>
    </r>
    <r>
      <rPr>
        <sz val="10"/>
        <rFont val="Times New Roman"/>
        <charset val="134"/>
      </rPr>
      <t>-</t>
    </r>
    <r>
      <rPr>
        <sz val="10"/>
        <rFont val="宋体"/>
        <charset val="134"/>
      </rPr>
      <t>其他</t>
    </r>
    <r>
      <rPr>
        <sz val="10"/>
        <rFont val="Times New Roman"/>
        <charset val="134"/>
      </rPr>
      <t>10</t>
    </r>
  </si>
  <si>
    <r>
      <rPr>
        <sz val="10"/>
        <rFont val="宋体"/>
        <charset val="134"/>
      </rPr>
      <t>合同资产</t>
    </r>
    <r>
      <rPr>
        <sz val="10"/>
        <rFont val="Times New Roman"/>
        <charset val="134"/>
      </rPr>
      <t>-</t>
    </r>
    <r>
      <rPr>
        <sz val="10"/>
        <rFont val="宋体"/>
        <charset val="134"/>
      </rPr>
      <t>其他</t>
    </r>
    <r>
      <rPr>
        <sz val="10"/>
        <rFont val="Times New Roman"/>
        <charset val="134"/>
      </rPr>
      <t>11</t>
    </r>
  </si>
  <si>
    <r>
      <rPr>
        <sz val="10"/>
        <rFont val="宋体"/>
        <charset val="134"/>
      </rPr>
      <t>合同资产</t>
    </r>
    <r>
      <rPr>
        <sz val="10"/>
        <rFont val="Times New Roman"/>
        <charset val="134"/>
      </rPr>
      <t>-</t>
    </r>
    <r>
      <rPr>
        <sz val="10"/>
        <rFont val="宋体"/>
        <charset val="134"/>
      </rPr>
      <t>其他</t>
    </r>
    <r>
      <rPr>
        <sz val="10"/>
        <rFont val="Times New Roman"/>
        <charset val="134"/>
      </rPr>
      <t>12</t>
    </r>
  </si>
  <si>
    <r>
      <rPr>
        <sz val="10"/>
        <rFont val="宋体"/>
        <charset val="134"/>
      </rPr>
      <t>合同资产</t>
    </r>
    <r>
      <rPr>
        <sz val="10"/>
        <rFont val="Times New Roman"/>
        <charset val="134"/>
      </rPr>
      <t>-</t>
    </r>
    <r>
      <rPr>
        <sz val="10"/>
        <rFont val="宋体"/>
        <charset val="134"/>
      </rPr>
      <t>其他</t>
    </r>
    <r>
      <rPr>
        <sz val="10"/>
        <rFont val="Times New Roman"/>
        <charset val="134"/>
      </rPr>
      <t>13</t>
    </r>
  </si>
  <si>
    <r>
      <rPr>
        <sz val="10"/>
        <rFont val="宋体"/>
        <charset val="134"/>
      </rPr>
      <t>合同资产</t>
    </r>
    <r>
      <rPr>
        <sz val="10"/>
        <rFont val="Times New Roman"/>
        <charset val="134"/>
      </rPr>
      <t>-</t>
    </r>
    <r>
      <rPr>
        <sz val="10"/>
        <rFont val="宋体"/>
        <charset val="134"/>
      </rPr>
      <t>其他</t>
    </r>
    <r>
      <rPr>
        <sz val="10"/>
        <rFont val="Times New Roman"/>
        <charset val="134"/>
      </rPr>
      <t>14</t>
    </r>
  </si>
  <si>
    <r>
      <rPr>
        <sz val="10"/>
        <rFont val="宋体"/>
        <charset val="134"/>
      </rPr>
      <t>合同资产</t>
    </r>
    <r>
      <rPr>
        <sz val="10"/>
        <rFont val="Times New Roman"/>
        <charset val="134"/>
      </rPr>
      <t>-</t>
    </r>
    <r>
      <rPr>
        <sz val="10"/>
        <rFont val="宋体"/>
        <charset val="134"/>
      </rPr>
      <t>其他</t>
    </r>
    <r>
      <rPr>
        <sz val="10"/>
        <rFont val="Times New Roman"/>
        <charset val="134"/>
      </rPr>
      <t>15</t>
    </r>
  </si>
  <si>
    <r>
      <rPr>
        <sz val="10"/>
        <rFont val="宋体"/>
        <charset val="134"/>
      </rPr>
      <t>合同资产</t>
    </r>
    <r>
      <rPr>
        <sz val="10"/>
        <rFont val="Times New Roman"/>
        <charset val="134"/>
      </rPr>
      <t>-</t>
    </r>
    <r>
      <rPr>
        <sz val="10"/>
        <rFont val="宋体"/>
        <charset val="134"/>
      </rPr>
      <t>其他</t>
    </r>
    <r>
      <rPr>
        <sz val="10"/>
        <rFont val="Times New Roman"/>
        <charset val="134"/>
      </rPr>
      <t>16</t>
    </r>
  </si>
  <si>
    <r>
      <rPr>
        <sz val="10"/>
        <rFont val="宋体"/>
        <charset val="134"/>
      </rPr>
      <t>合同资产</t>
    </r>
    <r>
      <rPr>
        <sz val="10"/>
        <rFont val="Times New Roman"/>
        <charset val="134"/>
      </rPr>
      <t>-</t>
    </r>
    <r>
      <rPr>
        <sz val="10"/>
        <rFont val="宋体"/>
        <charset val="134"/>
      </rPr>
      <t>其他</t>
    </r>
    <r>
      <rPr>
        <sz val="10"/>
        <rFont val="Times New Roman"/>
        <charset val="134"/>
      </rPr>
      <t>17</t>
    </r>
  </si>
  <si>
    <r>
      <rPr>
        <sz val="10"/>
        <rFont val="宋体"/>
        <charset val="134"/>
      </rPr>
      <t>合同资产</t>
    </r>
    <r>
      <rPr>
        <sz val="10"/>
        <rFont val="Times New Roman"/>
        <charset val="134"/>
      </rPr>
      <t>-</t>
    </r>
    <r>
      <rPr>
        <sz val="10"/>
        <rFont val="宋体"/>
        <charset val="134"/>
      </rPr>
      <t>其他</t>
    </r>
    <r>
      <rPr>
        <sz val="10"/>
        <rFont val="Times New Roman"/>
        <charset val="134"/>
      </rPr>
      <t>18</t>
    </r>
  </si>
  <si>
    <r>
      <rPr>
        <sz val="10"/>
        <rFont val="宋体"/>
        <charset val="134"/>
      </rPr>
      <t>合同资产</t>
    </r>
    <r>
      <rPr>
        <sz val="10"/>
        <rFont val="Times New Roman"/>
        <charset val="134"/>
      </rPr>
      <t>-</t>
    </r>
    <r>
      <rPr>
        <sz val="10"/>
        <rFont val="宋体"/>
        <charset val="134"/>
      </rPr>
      <t>其他</t>
    </r>
    <r>
      <rPr>
        <sz val="10"/>
        <rFont val="Times New Roman"/>
        <charset val="134"/>
      </rPr>
      <t>19</t>
    </r>
  </si>
  <si>
    <r>
      <rPr>
        <sz val="10"/>
        <rFont val="宋体"/>
        <charset val="134"/>
      </rPr>
      <t>合同资产</t>
    </r>
    <r>
      <rPr>
        <sz val="10"/>
        <rFont val="Times New Roman"/>
        <charset val="134"/>
      </rPr>
      <t>-</t>
    </r>
    <r>
      <rPr>
        <sz val="10"/>
        <rFont val="宋体"/>
        <charset val="134"/>
      </rPr>
      <t>其他</t>
    </r>
    <r>
      <rPr>
        <sz val="10"/>
        <rFont val="Times New Roman"/>
        <charset val="134"/>
      </rPr>
      <t>20</t>
    </r>
  </si>
  <si>
    <r>
      <rPr>
        <sz val="18"/>
        <rFont val="宋体"/>
        <charset val="134"/>
      </rPr>
      <t>持有待售资产评估明细表</t>
    </r>
  </si>
  <si>
    <t>投资类型</t>
  </si>
  <si>
    <r>
      <rPr>
        <sz val="10"/>
        <rFont val="宋体"/>
        <charset val="134"/>
      </rPr>
      <t>持有待售资产</t>
    </r>
    <r>
      <rPr>
        <sz val="10"/>
        <rFont val="Times New Roman"/>
        <charset val="134"/>
      </rPr>
      <t>01</t>
    </r>
  </si>
  <si>
    <r>
      <rPr>
        <sz val="10"/>
        <rFont val="宋体"/>
        <charset val="134"/>
      </rPr>
      <t>持有待售资产</t>
    </r>
    <r>
      <rPr>
        <sz val="10"/>
        <rFont val="Times New Roman"/>
        <charset val="134"/>
      </rPr>
      <t>02</t>
    </r>
  </si>
  <si>
    <r>
      <rPr>
        <sz val="10"/>
        <rFont val="宋体"/>
        <charset val="134"/>
      </rPr>
      <t>持有待售资产</t>
    </r>
    <r>
      <rPr>
        <sz val="10"/>
        <rFont val="Times New Roman"/>
        <charset val="134"/>
      </rPr>
      <t>03</t>
    </r>
  </si>
  <si>
    <r>
      <rPr>
        <sz val="10"/>
        <rFont val="宋体"/>
        <charset val="134"/>
      </rPr>
      <t>持有待售资产</t>
    </r>
    <r>
      <rPr>
        <sz val="10"/>
        <rFont val="Times New Roman"/>
        <charset val="134"/>
      </rPr>
      <t>04</t>
    </r>
  </si>
  <si>
    <r>
      <rPr>
        <sz val="10"/>
        <rFont val="宋体"/>
        <charset val="134"/>
      </rPr>
      <t>持有待售资产</t>
    </r>
    <r>
      <rPr>
        <sz val="10"/>
        <rFont val="Times New Roman"/>
        <charset val="134"/>
      </rPr>
      <t>05</t>
    </r>
  </si>
  <si>
    <r>
      <rPr>
        <sz val="10"/>
        <rFont val="宋体"/>
        <charset val="134"/>
      </rPr>
      <t>持有待售资产</t>
    </r>
    <r>
      <rPr>
        <sz val="10"/>
        <rFont val="Times New Roman"/>
        <charset val="134"/>
      </rPr>
      <t>06</t>
    </r>
  </si>
  <si>
    <r>
      <rPr>
        <sz val="10"/>
        <rFont val="宋体"/>
        <charset val="134"/>
      </rPr>
      <t>持有待售资产</t>
    </r>
    <r>
      <rPr>
        <sz val="10"/>
        <rFont val="Times New Roman"/>
        <charset val="134"/>
      </rPr>
      <t>07</t>
    </r>
  </si>
  <si>
    <r>
      <rPr>
        <sz val="10"/>
        <rFont val="宋体"/>
        <charset val="134"/>
      </rPr>
      <t>持有待售资产</t>
    </r>
    <r>
      <rPr>
        <sz val="10"/>
        <rFont val="Times New Roman"/>
        <charset val="134"/>
      </rPr>
      <t>08</t>
    </r>
  </si>
  <si>
    <r>
      <rPr>
        <sz val="10"/>
        <rFont val="宋体"/>
        <charset val="134"/>
      </rPr>
      <t>持有待售资产</t>
    </r>
    <r>
      <rPr>
        <sz val="10"/>
        <rFont val="Times New Roman"/>
        <charset val="134"/>
      </rPr>
      <t>09</t>
    </r>
  </si>
  <si>
    <r>
      <rPr>
        <sz val="10"/>
        <rFont val="宋体"/>
        <charset val="134"/>
      </rPr>
      <t>持有待售资产</t>
    </r>
    <r>
      <rPr>
        <sz val="10"/>
        <rFont val="Times New Roman"/>
        <charset val="134"/>
      </rPr>
      <t>10</t>
    </r>
  </si>
  <si>
    <r>
      <rPr>
        <sz val="10"/>
        <rFont val="宋体"/>
        <charset val="134"/>
      </rPr>
      <t>持有待售资产</t>
    </r>
    <r>
      <rPr>
        <sz val="10"/>
        <rFont val="Times New Roman"/>
        <charset val="134"/>
      </rPr>
      <t>11</t>
    </r>
  </si>
  <si>
    <r>
      <rPr>
        <sz val="10"/>
        <rFont val="宋体"/>
        <charset val="134"/>
      </rPr>
      <t>持有待售资产</t>
    </r>
    <r>
      <rPr>
        <sz val="10"/>
        <rFont val="Times New Roman"/>
        <charset val="134"/>
      </rPr>
      <t>12</t>
    </r>
  </si>
  <si>
    <r>
      <rPr>
        <sz val="10"/>
        <rFont val="宋体"/>
        <charset val="134"/>
      </rPr>
      <t>持有待售资产</t>
    </r>
    <r>
      <rPr>
        <sz val="10"/>
        <rFont val="Times New Roman"/>
        <charset val="134"/>
      </rPr>
      <t>13</t>
    </r>
  </si>
  <si>
    <r>
      <rPr>
        <sz val="10"/>
        <rFont val="宋体"/>
        <charset val="134"/>
      </rPr>
      <t>持有待售资产</t>
    </r>
    <r>
      <rPr>
        <sz val="10"/>
        <rFont val="Times New Roman"/>
        <charset val="134"/>
      </rPr>
      <t>14</t>
    </r>
  </si>
  <si>
    <r>
      <rPr>
        <sz val="10"/>
        <rFont val="宋体"/>
        <charset val="134"/>
      </rPr>
      <t>持有待售资产</t>
    </r>
    <r>
      <rPr>
        <sz val="10"/>
        <rFont val="Times New Roman"/>
        <charset val="134"/>
      </rPr>
      <t>15</t>
    </r>
  </si>
  <si>
    <r>
      <rPr>
        <sz val="10"/>
        <rFont val="宋体"/>
        <charset val="134"/>
      </rPr>
      <t>持有待售资产</t>
    </r>
    <r>
      <rPr>
        <sz val="10"/>
        <rFont val="Times New Roman"/>
        <charset val="134"/>
      </rPr>
      <t>16</t>
    </r>
  </si>
  <si>
    <r>
      <rPr>
        <sz val="10"/>
        <rFont val="宋体"/>
        <charset val="134"/>
      </rPr>
      <t>持有待售资产</t>
    </r>
    <r>
      <rPr>
        <sz val="10"/>
        <rFont val="Times New Roman"/>
        <charset val="134"/>
      </rPr>
      <t>17</t>
    </r>
  </si>
  <si>
    <r>
      <rPr>
        <sz val="10"/>
        <rFont val="宋体"/>
        <charset val="134"/>
      </rPr>
      <t>持有待售资产</t>
    </r>
    <r>
      <rPr>
        <sz val="10"/>
        <rFont val="Times New Roman"/>
        <charset val="134"/>
      </rPr>
      <t>18</t>
    </r>
  </si>
  <si>
    <r>
      <rPr>
        <sz val="10"/>
        <rFont val="宋体"/>
        <charset val="134"/>
      </rPr>
      <t>持有待售资产</t>
    </r>
    <r>
      <rPr>
        <sz val="10"/>
        <rFont val="Times New Roman"/>
        <charset val="134"/>
      </rPr>
      <t>19</t>
    </r>
  </si>
  <si>
    <r>
      <rPr>
        <sz val="10"/>
        <rFont val="宋体"/>
        <charset val="134"/>
      </rPr>
      <t>持有待售资产</t>
    </r>
    <r>
      <rPr>
        <sz val="10"/>
        <rFont val="Times New Roman"/>
        <charset val="134"/>
      </rPr>
      <t>20</t>
    </r>
  </si>
  <si>
    <r>
      <rPr>
        <sz val="18"/>
        <rFont val="宋体"/>
        <charset val="134"/>
      </rPr>
      <t>一年内到期的非流动资产评估明细表</t>
    </r>
  </si>
  <si>
    <r>
      <rPr>
        <b/>
        <sz val="10"/>
        <rFont val="宋体"/>
        <charset val="134"/>
      </rPr>
      <t>结算内容</t>
    </r>
  </si>
  <si>
    <r>
      <rPr>
        <sz val="10"/>
        <rFont val="宋体"/>
        <charset val="134"/>
      </rPr>
      <t>一年到期非流动资产</t>
    </r>
    <r>
      <rPr>
        <sz val="10"/>
        <rFont val="Times New Roman"/>
        <charset val="134"/>
      </rPr>
      <t>01</t>
    </r>
  </si>
  <si>
    <r>
      <rPr>
        <sz val="10"/>
        <rFont val="宋体"/>
        <charset val="134"/>
      </rPr>
      <t>一年到期非流动资产</t>
    </r>
    <r>
      <rPr>
        <sz val="10"/>
        <rFont val="Times New Roman"/>
        <charset val="134"/>
      </rPr>
      <t>02</t>
    </r>
  </si>
  <si>
    <r>
      <rPr>
        <sz val="10"/>
        <rFont val="宋体"/>
        <charset val="134"/>
      </rPr>
      <t>一年到期非流动资产</t>
    </r>
    <r>
      <rPr>
        <sz val="10"/>
        <rFont val="Times New Roman"/>
        <charset val="134"/>
      </rPr>
      <t>03</t>
    </r>
  </si>
  <si>
    <r>
      <rPr>
        <sz val="10"/>
        <rFont val="宋体"/>
        <charset val="134"/>
      </rPr>
      <t>一年到期非流动资产</t>
    </r>
    <r>
      <rPr>
        <sz val="10"/>
        <rFont val="Times New Roman"/>
        <charset val="134"/>
      </rPr>
      <t>04</t>
    </r>
  </si>
  <si>
    <r>
      <rPr>
        <sz val="10"/>
        <rFont val="宋体"/>
        <charset val="134"/>
      </rPr>
      <t>一年到期非流动资产</t>
    </r>
    <r>
      <rPr>
        <sz val="10"/>
        <rFont val="Times New Roman"/>
        <charset val="134"/>
      </rPr>
      <t>05</t>
    </r>
  </si>
  <si>
    <r>
      <rPr>
        <sz val="10"/>
        <rFont val="宋体"/>
        <charset val="134"/>
      </rPr>
      <t>一年到期非流动资产</t>
    </r>
    <r>
      <rPr>
        <sz val="10"/>
        <rFont val="Times New Roman"/>
        <charset val="134"/>
      </rPr>
      <t>06</t>
    </r>
  </si>
  <si>
    <r>
      <rPr>
        <sz val="10"/>
        <rFont val="宋体"/>
        <charset val="134"/>
      </rPr>
      <t>一年到期非流动资产</t>
    </r>
    <r>
      <rPr>
        <sz val="10"/>
        <rFont val="Times New Roman"/>
        <charset val="134"/>
      </rPr>
      <t>07</t>
    </r>
  </si>
  <si>
    <r>
      <rPr>
        <sz val="10"/>
        <rFont val="宋体"/>
        <charset val="134"/>
      </rPr>
      <t>一年到期非流动资产</t>
    </r>
    <r>
      <rPr>
        <sz val="10"/>
        <rFont val="Times New Roman"/>
        <charset val="134"/>
      </rPr>
      <t>08</t>
    </r>
  </si>
  <si>
    <r>
      <rPr>
        <sz val="10"/>
        <rFont val="宋体"/>
        <charset val="134"/>
      </rPr>
      <t>一年到期非流动资产</t>
    </r>
    <r>
      <rPr>
        <sz val="10"/>
        <rFont val="Times New Roman"/>
        <charset val="134"/>
      </rPr>
      <t>09</t>
    </r>
  </si>
  <si>
    <r>
      <rPr>
        <sz val="10"/>
        <rFont val="宋体"/>
        <charset val="134"/>
      </rPr>
      <t>一年到期非流动资产</t>
    </r>
    <r>
      <rPr>
        <sz val="10"/>
        <rFont val="Times New Roman"/>
        <charset val="134"/>
      </rPr>
      <t>10</t>
    </r>
  </si>
  <si>
    <r>
      <rPr>
        <sz val="10"/>
        <rFont val="宋体"/>
        <charset val="134"/>
      </rPr>
      <t>一年到期非流动资产</t>
    </r>
    <r>
      <rPr>
        <sz val="10"/>
        <rFont val="Times New Roman"/>
        <charset val="134"/>
      </rPr>
      <t>11</t>
    </r>
  </si>
  <si>
    <r>
      <rPr>
        <sz val="10"/>
        <rFont val="宋体"/>
        <charset val="134"/>
      </rPr>
      <t>一年到期非流动资产</t>
    </r>
    <r>
      <rPr>
        <sz val="10"/>
        <rFont val="Times New Roman"/>
        <charset val="134"/>
      </rPr>
      <t>12</t>
    </r>
  </si>
  <si>
    <r>
      <rPr>
        <sz val="10"/>
        <rFont val="宋体"/>
        <charset val="134"/>
      </rPr>
      <t>一年到期非流动资产</t>
    </r>
    <r>
      <rPr>
        <sz val="10"/>
        <rFont val="Times New Roman"/>
        <charset val="134"/>
      </rPr>
      <t>13</t>
    </r>
  </si>
  <si>
    <r>
      <rPr>
        <sz val="10"/>
        <rFont val="宋体"/>
        <charset val="134"/>
      </rPr>
      <t>一年到期非流动资产</t>
    </r>
    <r>
      <rPr>
        <sz val="10"/>
        <rFont val="Times New Roman"/>
        <charset val="134"/>
      </rPr>
      <t>14</t>
    </r>
  </si>
  <si>
    <r>
      <rPr>
        <sz val="10"/>
        <rFont val="宋体"/>
        <charset val="134"/>
      </rPr>
      <t>一年到期非流动资产</t>
    </r>
    <r>
      <rPr>
        <sz val="10"/>
        <rFont val="Times New Roman"/>
        <charset val="134"/>
      </rPr>
      <t>15</t>
    </r>
  </si>
  <si>
    <r>
      <rPr>
        <sz val="10"/>
        <rFont val="宋体"/>
        <charset val="134"/>
      </rPr>
      <t>一年到期非流动资产</t>
    </r>
    <r>
      <rPr>
        <sz val="10"/>
        <rFont val="Times New Roman"/>
        <charset val="134"/>
      </rPr>
      <t>16</t>
    </r>
  </si>
  <si>
    <r>
      <rPr>
        <sz val="10"/>
        <rFont val="宋体"/>
        <charset val="134"/>
      </rPr>
      <t>一年到期非流动资产</t>
    </r>
    <r>
      <rPr>
        <sz val="10"/>
        <rFont val="Times New Roman"/>
        <charset val="134"/>
      </rPr>
      <t>17</t>
    </r>
  </si>
  <si>
    <r>
      <rPr>
        <sz val="10"/>
        <rFont val="宋体"/>
        <charset val="134"/>
      </rPr>
      <t>一年到期非流动资产</t>
    </r>
    <r>
      <rPr>
        <sz val="10"/>
        <rFont val="Times New Roman"/>
        <charset val="134"/>
      </rPr>
      <t>18</t>
    </r>
  </si>
  <si>
    <r>
      <rPr>
        <sz val="10"/>
        <rFont val="宋体"/>
        <charset val="134"/>
      </rPr>
      <t>一年到期非流动资产</t>
    </r>
    <r>
      <rPr>
        <sz val="10"/>
        <rFont val="Times New Roman"/>
        <charset val="134"/>
      </rPr>
      <t>19</t>
    </r>
  </si>
  <si>
    <r>
      <rPr>
        <sz val="10"/>
        <rFont val="宋体"/>
        <charset val="134"/>
      </rPr>
      <t>一年到期非流动资产</t>
    </r>
    <r>
      <rPr>
        <sz val="10"/>
        <rFont val="Times New Roman"/>
        <charset val="134"/>
      </rPr>
      <t>20</t>
    </r>
  </si>
  <si>
    <r>
      <rPr>
        <sz val="18"/>
        <rFont val="宋体"/>
        <charset val="134"/>
      </rPr>
      <t>其他流动资产评估明细表</t>
    </r>
  </si>
  <si>
    <r>
      <rPr>
        <b/>
        <sz val="10"/>
        <rFont val="宋体"/>
        <charset val="134"/>
      </rPr>
      <t>项目及内容</t>
    </r>
  </si>
  <si>
    <r>
      <rPr>
        <sz val="10"/>
        <rFont val="宋体"/>
        <charset val="134"/>
      </rPr>
      <t>其他流动资产</t>
    </r>
    <r>
      <rPr>
        <sz val="10"/>
        <rFont val="Times New Roman"/>
        <charset val="134"/>
      </rPr>
      <t>01</t>
    </r>
  </si>
  <si>
    <r>
      <rPr>
        <sz val="10"/>
        <rFont val="宋体"/>
        <charset val="134"/>
      </rPr>
      <t>其他流动资产</t>
    </r>
    <r>
      <rPr>
        <sz val="10"/>
        <rFont val="Times New Roman"/>
        <charset val="134"/>
      </rPr>
      <t>02</t>
    </r>
  </si>
  <si>
    <r>
      <rPr>
        <sz val="10"/>
        <rFont val="宋体"/>
        <charset val="134"/>
      </rPr>
      <t>其他流动资产</t>
    </r>
    <r>
      <rPr>
        <sz val="10"/>
        <rFont val="Times New Roman"/>
        <charset val="134"/>
      </rPr>
      <t>03</t>
    </r>
  </si>
  <si>
    <r>
      <rPr>
        <sz val="10"/>
        <rFont val="宋体"/>
        <charset val="134"/>
      </rPr>
      <t>其他流动资产</t>
    </r>
    <r>
      <rPr>
        <sz val="10"/>
        <rFont val="Times New Roman"/>
        <charset val="134"/>
      </rPr>
      <t>04</t>
    </r>
  </si>
  <si>
    <r>
      <rPr>
        <sz val="10"/>
        <rFont val="宋体"/>
        <charset val="134"/>
      </rPr>
      <t>其他流动资产</t>
    </r>
    <r>
      <rPr>
        <sz val="10"/>
        <rFont val="Times New Roman"/>
        <charset val="134"/>
      </rPr>
      <t>05</t>
    </r>
  </si>
  <si>
    <r>
      <rPr>
        <sz val="10"/>
        <rFont val="宋体"/>
        <charset val="134"/>
      </rPr>
      <t>其他流动资产</t>
    </r>
    <r>
      <rPr>
        <sz val="10"/>
        <rFont val="Times New Roman"/>
        <charset val="134"/>
      </rPr>
      <t>06</t>
    </r>
  </si>
  <si>
    <r>
      <rPr>
        <sz val="10"/>
        <rFont val="宋体"/>
        <charset val="134"/>
      </rPr>
      <t>其他流动资产</t>
    </r>
    <r>
      <rPr>
        <sz val="10"/>
        <rFont val="Times New Roman"/>
        <charset val="134"/>
      </rPr>
      <t>07</t>
    </r>
  </si>
  <si>
    <r>
      <rPr>
        <sz val="10"/>
        <rFont val="宋体"/>
        <charset val="134"/>
      </rPr>
      <t>其他流动资产</t>
    </r>
    <r>
      <rPr>
        <sz val="10"/>
        <rFont val="Times New Roman"/>
        <charset val="134"/>
      </rPr>
      <t>08</t>
    </r>
  </si>
  <si>
    <r>
      <rPr>
        <sz val="10"/>
        <rFont val="宋体"/>
        <charset val="134"/>
      </rPr>
      <t>其他流动资产</t>
    </r>
    <r>
      <rPr>
        <sz val="10"/>
        <rFont val="Times New Roman"/>
        <charset val="134"/>
      </rPr>
      <t>09</t>
    </r>
  </si>
  <si>
    <r>
      <rPr>
        <sz val="10"/>
        <rFont val="宋体"/>
        <charset val="134"/>
      </rPr>
      <t>其他流动资产</t>
    </r>
    <r>
      <rPr>
        <sz val="10"/>
        <rFont val="Times New Roman"/>
        <charset val="134"/>
      </rPr>
      <t>10</t>
    </r>
  </si>
  <si>
    <r>
      <rPr>
        <sz val="10"/>
        <rFont val="宋体"/>
        <charset val="134"/>
      </rPr>
      <t>其他流动资产</t>
    </r>
    <r>
      <rPr>
        <sz val="10"/>
        <rFont val="Times New Roman"/>
        <charset val="134"/>
      </rPr>
      <t>11</t>
    </r>
  </si>
  <si>
    <r>
      <rPr>
        <sz val="10"/>
        <rFont val="宋体"/>
        <charset val="134"/>
      </rPr>
      <t>其他流动资产</t>
    </r>
    <r>
      <rPr>
        <sz val="10"/>
        <rFont val="Times New Roman"/>
        <charset val="134"/>
      </rPr>
      <t>12</t>
    </r>
  </si>
  <si>
    <r>
      <rPr>
        <sz val="10"/>
        <rFont val="宋体"/>
        <charset val="134"/>
      </rPr>
      <t>其他流动资产</t>
    </r>
    <r>
      <rPr>
        <sz val="10"/>
        <rFont val="Times New Roman"/>
        <charset val="134"/>
      </rPr>
      <t>13</t>
    </r>
  </si>
  <si>
    <r>
      <rPr>
        <sz val="10"/>
        <rFont val="宋体"/>
        <charset val="134"/>
      </rPr>
      <t>其他流动资产</t>
    </r>
    <r>
      <rPr>
        <sz val="10"/>
        <rFont val="Times New Roman"/>
        <charset val="134"/>
      </rPr>
      <t>14</t>
    </r>
  </si>
  <si>
    <r>
      <rPr>
        <sz val="10"/>
        <rFont val="宋体"/>
        <charset val="134"/>
      </rPr>
      <t>其他流动资产</t>
    </r>
    <r>
      <rPr>
        <sz val="10"/>
        <rFont val="Times New Roman"/>
        <charset val="134"/>
      </rPr>
      <t>15</t>
    </r>
  </si>
  <si>
    <r>
      <rPr>
        <sz val="10"/>
        <rFont val="宋体"/>
        <charset val="134"/>
      </rPr>
      <t>其他流动资产</t>
    </r>
    <r>
      <rPr>
        <sz val="10"/>
        <rFont val="Times New Roman"/>
        <charset val="134"/>
      </rPr>
      <t>16</t>
    </r>
  </si>
  <si>
    <r>
      <rPr>
        <sz val="10"/>
        <rFont val="宋体"/>
        <charset val="134"/>
      </rPr>
      <t>其他流动资产</t>
    </r>
    <r>
      <rPr>
        <sz val="10"/>
        <rFont val="Times New Roman"/>
        <charset val="134"/>
      </rPr>
      <t>17</t>
    </r>
  </si>
  <si>
    <r>
      <rPr>
        <sz val="10"/>
        <rFont val="宋体"/>
        <charset val="134"/>
      </rPr>
      <t>其他流动资产</t>
    </r>
    <r>
      <rPr>
        <sz val="10"/>
        <rFont val="Times New Roman"/>
        <charset val="134"/>
      </rPr>
      <t>18</t>
    </r>
  </si>
  <si>
    <r>
      <rPr>
        <sz val="10"/>
        <rFont val="宋体"/>
        <charset val="134"/>
      </rPr>
      <t>其他流动资产</t>
    </r>
    <r>
      <rPr>
        <sz val="10"/>
        <rFont val="Times New Roman"/>
        <charset val="134"/>
      </rPr>
      <t>19</t>
    </r>
  </si>
  <si>
    <r>
      <rPr>
        <sz val="10"/>
        <rFont val="宋体"/>
        <charset val="134"/>
      </rPr>
      <t>其他流动资产</t>
    </r>
    <r>
      <rPr>
        <sz val="10"/>
        <rFont val="Times New Roman"/>
        <charset val="134"/>
      </rPr>
      <t>20</t>
    </r>
  </si>
  <si>
    <r>
      <rPr>
        <sz val="18"/>
        <rFont val="宋体"/>
        <charset val="134"/>
      </rPr>
      <t>非流动资产评估汇总表</t>
    </r>
  </si>
  <si>
    <r>
      <rPr>
        <sz val="10"/>
        <rFont val="宋体"/>
        <charset val="134"/>
      </rPr>
      <t>表</t>
    </r>
    <r>
      <rPr>
        <sz val="10"/>
        <rFont val="Times New Roman"/>
        <charset val="134"/>
      </rPr>
      <t>4</t>
    </r>
  </si>
  <si>
    <r>
      <rPr>
        <sz val="10"/>
        <rFont val="宋体"/>
        <charset val="134"/>
      </rPr>
      <t>可供出售金融资产</t>
    </r>
  </si>
  <si>
    <r>
      <rPr>
        <sz val="10"/>
        <rFont val="宋体"/>
        <charset val="134"/>
      </rPr>
      <t>持有至到期投资</t>
    </r>
  </si>
  <si>
    <r>
      <rPr>
        <sz val="10"/>
        <rFont val="宋体"/>
        <charset val="134"/>
      </rPr>
      <t>债权投资</t>
    </r>
  </si>
  <si>
    <r>
      <rPr>
        <sz val="10"/>
        <rFont val="宋体"/>
        <charset val="134"/>
      </rPr>
      <t>其他债权投资</t>
    </r>
  </si>
  <si>
    <r>
      <rPr>
        <sz val="10"/>
        <rFont val="宋体"/>
        <charset val="134"/>
      </rPr>
      <t>长期应收款</t>
    </r>
  </si>
  <si>
    <r>
      <rPr>
        <sz val="10"/>
        <rFont val="宋体"/>
        <charset val="134"/>
      </rPr>
      <t>长期股权投资</t>
    </r>
  </si>
  <si>
    <r>
      <rPr>
        <sz val="10"/>
        <rFont val="宋体"/>
        <charset val="134"/>
      </rPr>
      <t>其他非流动金融资产</t>
    </r>
  </si>
  <si>
    <r>
      <rPr>
        <sz val="10"/>
        <rFont val="宋体"/>
        <charset val="134"/>
      </rPr>
      <t>投资性房地产</t>
    </r>
  </si>
  <si>
    <r>
      <rPr>
        <sz val="10"/>
        <rFont val="宋体"/>
        <charset val="134"/>
      </rPr>
      <t>固定资产</t>
    </r>
  </si>
  <si>
    <r>
      <rPr>
        <sz val="10"/>
        <rFont val="宋体"/>
        <charset val="134"/>
      </rPr>
      <t>在建工程</t>
    </r>
  </si>
  <si>
    <r>
      <rPr>
        <sz val="10"/>
        <rFont val="宋体"/>
        <charset val="134"/>
      </rPr>
      <t>生产性生物资产</t>
    </r>
  </si>
  <si>
    <r>
      <rPr>
        <sz val="10"/>
        <rFont val="宋体"/>
        <charset val="134"/>
      </rPr>
      <t>油气资产</t>
    </r>
  </si>
  <si>
    <r>
      <rPr>
        <sz val="10"/>
        <rFont val="宋体"/>
        <charset val="134"/>
      </rPr>
      <t>使用权资产</t>
    </r>
  </si>
  <si>
    <r>
      <rPr>
        <sz val="10"/>
        <rFont val="宋体"/>
        <charset val="134"/>
      </rPr>
      <t>开发支出</t>
    </r>
  </si>
  <si>
    <r>
      <rPr>
        <sz val="10"/>
        <rFont val="宋体"/>
        <charset val="134"/>
      </rPr>
      <t>商誉</t>
    </r>
  </si>
  <si>
    <r>
      <rPr>
        <sz val="10"/>
        <rFont val="宋体"/>
        <charset val="134"/>
      </rPr>
      <t>长期待摊费用</t>
    </r>
  </si>
  <si>
    <r>
      <rPr>
        <sz val="10"/>
        <rFont val="宋体"/>
        <charset val="134"/>
      </rPr>
      <t>递延所得税资产</t>
    </r>
  </si>
  <si>
    <t>非流动资产合计</t>
  </si>
  <si>
    <r>
      <rPr>
        <sz val="18"/>
        <rFont val="宋体"/>
        <charset val="134"/>
      </rPr>
      <t>可供出售金融资产评估汇总表</t>
    </r>
  </si>
  <si>
    <r>
      <rPr>
        <sz val="10"/>
        <rFont val="宋体"/>
        <charset val="134"/>
      </rPr>
      <t>可供出售金融资产</t>
    </r>
    <r>
      <rPr>
        <sz val="10"/>
        <rFont val="Times New Roman"/>
        <charset val="134"/>
      </rPr>
      <t>-</t>
    </r>
    <r>
      <rPr>
        <sz val="10"/>
        <rFont val="宋体"/>
        <charset val="134"/>
      </rPr>
      <t>股票投资</t>
    </r>
  </si>
  <si>
    <r>
      <rPr>
        <sz val="10"/>
        <rFont val="宋体"/>
        <charset val="134"/>
      </rPr>
      <t>可供出售金融资产</t>
    </r>
    <r>
      <rPr>
        <sz val="10"/>
        <rFont val="Times New Roman"/>
        <charset val="134"/>
      </rPr>
      <t>-</t>
    </r>
    <r>
      <rPr>
        <sz val="10"/>
        <rFont val="宋体"/>
        <charset val="134"/>
      </rPr>
      <t>债券投资</t>
    </r>
  </si>
  <si>
    <r>
      <rPr>
        <sz val="10"/>
        <rFont val="宋体"/>
        <charset val="134"/>
      </rPr>
      <t>可供出售金融资产</t>
    </r>
    <r>
      <rPr>
        <sz val="10"/>
        <rFont val="Times New Roman"/>
        <charset val="134"/>
      </rPr>
      <t>-</t>
    </r>
    <r>
      <rPr>
        <sz val="10"/>
        <rFont val="宋体"/>
        <charset val="134"/>
      </rPr>
      <t>其他投资</t>
    </r>
  </si>
  <si>
    <t>可供出售金融资产合计</t>
  </si>
  <si>
    <r>
      <rPr>
        <sz val="18"/>
        <rFont val="宋体"/>
        <charset val="134"/>
      </rPr>
      <t>可供出售金融资产</t>
    </r>
    <r>
      <rPr>
        <sz val="18"/>
        <rFont val="Times New Roman"/>
        <charset val="134"/>
      </rPr>
      <t>—</t>
    </r>
    <r>
      <rPr>
        <sz val="18"/>
        <rFont val="宋体"/>
        <charset val="134"/>
      </rPr>
      <t>股票投资评估明细表</t>
    </r>
  </si>
  <si>
    <r>
      <rPr>
        <b/>
        <sz val="10"/>
        <rFont val="宋体"/>
        <charset val="134"/>
      </rPr>
      <t>股票性质</t>
    </r>
  </si>
  <si>
    <r>
      <rPr>
        <b/>
        <sz val="10"/>
        <rFont val="宋体"/>
        <charset val="134"/>
      </rPr>
      <t>基准日市价</t>
    </r>
  </si>
  <si>
    <r>
      <rPr>
        <b/>
        <sz val="10"/>
        <rFont val="宋体"/>
        <charset val="134"/>
      </rPr>
      <t>取得成本</t>
    </r>
  </si>
  <si>
    <r>
      <rPr>
        <sz val="10"/>
        <rFont val="宋体"/>
        <charset val="134"/>
      </rPr>
      <t>可出售</t>
    </r>
    <r>
      <rPr>
        <sz val="10"/>
        <rFont val="Times New Roman"/>
        <charset val="134"/>
      </rPr>
      <t>-</t>
    </r>
    <r>
      <rPr>
        <sz val="10"/>
        <rFont val="宋体"/>
        <charset val="134"/>
      </rPr>
      <t>股票</t>
    </r>
    <r>
      <rPr>
        <sz val="10"/>
        <rFont val="Times New Roman"/>
        <charset val="134"/>
      </rPr>
      <t>01</t>
    </r>
  </si>
  <si>
    <r>
      <rPr>
        <sz val="10"/>
        <rFont val="宋体"/>
        <charset val="134"/>
      </rPr>
      <t>可出售</t>
    </r>
    <r>
      <rPr>
        <sz val="10"/>
        <rFont val="Times New Roman"/>
        <charset val="134"/>
      </rPr>
      <t>-</t>
    </r>
    <r>
      <rPr>
        <sz val="10"/>
        <rFont val="宋体"/>
        <charset val="134"/>
      </rPr>
      <t>股票</t>
    </r>
    <r>
      <rPr>
        <sz val="10"/>
        <rFont val="Times New Roman"/>
        <charset val="134"/>
      </rPr>
      <t>02</t>
    </r>
  </si>
  <si>
    <r>
      <rPr>
        <sz val="10"/>
        <rFont val="宋体"/>
        <charset val="134"/>
      </rPr>
      <t>可出售</t>
    </r>
    <r>
      <rPr>
        <sz val="10"/>
        <rFont val="Times New Roman"/>
        <charset val="134"/>
      </rPr>
      <t>-</t>
    </r>
    <r>
      <rPr>
        <sz val="10"/>
        <rFont val="宋体"/>
        <charset val="134"/>
      </rPr>
      <t>股票</t>
    </r>
    <r>
      <rPr>
        <sz val="10"/>
        <rFont val="Times New Roman"/>
        <charset val="134"/>
      </rPr>
      <t>03</t>
    </r>
  </si>
  <si>
    <r>
      <rPr>
        <sz val="10"/>
        <rFont val="宋体"/>
        <charset val="134"/>
      </rPr>
      <t>可出售</t>
    </r>
    <r>
      <rPr>
        <sz val="10"/>
        <rFont val="Times New Roman"/>
        <charset val="134"/>
      </rPr>
      <t>-</t>
    </r>
    <r>
      <rPr>
        <sz val="10"/>
        <rFont val="宋体"/>
        <charset val="134"/>
      </rPr>
      <t>股票</t>
    </r>
    <r>
      <rPr>
        <sz val="10"/>
        <rFont val="Times New Roman"/>
        <charset val="134"/>
      </rPr>
      <t>04</t>
    </r>
  </si>
  <si>
    <r>
      <rPr>
        <sz val="10"/>
        <rFont val="宋体"/>
        <charset val="134"/>
      </rPr>
      <t>可出售</t>
    </r>
    <r>
      <rPr>
        <sz val="10"/>
        <rFont val="Times New Roman"/>
        <charset val="134"/>
      </rPr>
      <t>-</t>
    </r>
    <r>
      <rPr>
        <sz val="10"/>
        <rFont val="宋体"/>
        <charset val="134"/>
      </rPr>
      <t>股票</t>
    </r>
    <r>
      <rPr>
        <sz val="10"/>
        <rFont val="Times New Roman"/>
        <charset val="134"/>
      </rPr>
      <t>05</t>
    </r>
  </si>
  <si>
    <r>
      <rPr>
        <sz val="10"/>
        <rFont val="宋体"/>
        <charset val="134"/>
      </rPr>
      <t>可出售</t>
    </r>
    <r>
      <rPr>
        <sz val="10"/>
        <rFont val="Times New Roman"/>
        <charset val="134"/>
      </rPr>
      <t>-</t>
    </r>
    <r>
      <rPr>
        <sz val="10"/>
        <rFont val="宋体"/>
        <charset val="134"/>
      </rPr>
      <t>股票</t>
    </r>
    <r>
      <rPr>
        <sz val="10"/>
        <rFont val="Times New Roman"/>
        <charset val="134"/>
      </rPr>
      <t>06</t>
    </r>
  </si>
  <si>
    <r>
      <rPr>
        <sz val="10"/>
        <rFont val="宋体"/>
        <charset val="134"/>
      </rPr>
      <t>可出售</t>
    </r>
    <r>
      <rPr>
        <sz val="10"/>
        <rFont val="Times New Roman"/>
        <charset val="134"/>
      </rPr>
      <t>-</t>
    </r>
    <r>
      <rPr>
        <sz val="10"/>
        <rFont val="宋体"/>
        <charset val="134"/>
      </rPr>
      <t>股票</t>
    </r>
    <r>
      <rPr>
        <sz val="10"/>
        <rFont val="Times New Roman"/>
        <charset val="134"/>
      </rPr>
      <t>07</t>
    </r>
  </si>
  <si>
    <r>
      <rPr>
        <sz val="10"/>
        <rFont val="宋体"/>
        <charset val="134"/>
      </rPr>
      <t>可出售</t>
    </r>
    <r>
      <rPr>
        <sz val="10"/>
        <rFont val="Times New Roman"/>
        <charset val="134"/>
      </rPr>
      <t>-</t>
    </r>
    <r>
      <rPr>
        <sz val="10"/>
        <rFont val="宋体"/>
        <charset val="134"/>
      </rPr>
      <t>股票</t>
    </r>
    <r>
      <rPr>
        <sz val="10"/>
        <rFont val="Times New Roman"/>
        <charset val="134"/>
      </rPr>
      <t>08</t>
    </r>
  </si>
  <si>
    <r>
      <rPr>
        <sz val="10"/>
        <rFont val="宋体"/>
        <charset val="134"/>
      </rPr>
      <t>可出售</t>
    </r>
    <r>
      <rPr>
        <sz val="10"/>
        <rFont val="Times New Roman"/>
        <charset val="134"/>
      </rPr>
      <t>-</t>
    </r>
    <r>
      <rPr>
        <sz val="10"/>
        <rFont val="宋体"/>
        <charset val="134"/>
      </rPr>
      <t>股票</t>
    </r>
    <r>
      <rPr>
        <sz val="10"/>
        <rFont val="Times New Roman"/>
        <charset val="134"/>
      </rPr>
      <t>09</t>
    </r>
  </si>
  <si>
    <r>
      <rPr>
        <sz val="10"/>
        <rFont val="宋体"/>
        <charset val="134"/>
      </rPr>
      <t>可出售</t>
    </r>
    <r>
      <rPr>
        <sz val="10"/>
        <rFont val="Times New Roman"/>
        <charset val="134"/>
      </rPr>
      <t>-</t>
    </r>
    <r>
      <rPr>
        <sz val="10"/>
        <rFont val="宋体"/>
        <charset val="134"/>
      </rPr>
      <t>股票</t>
    </r>
    <r>
      <rPr>
        <sz val="10"/>
        <rFont val="Times New Roman"/>
        <charset val="134"/>
      </rPr>
      <t>10</t>
    </r>
  </si>
  <si>
    <r>
      <rPr>
        <sz val="10"/>
        <rFont val="宋体"/>
        <charset val="134"/>
      </rPr>
      <t>可出售</t>
    </r>
    <r>
      <rPr>
        <sz val="10"/>
        <rFont val="Times New Roman"/>
        <charset val="134"/>
      </rPr>
      <t>-</t>
    </r>
    <r>
      <rPr>
        <sz val="10"/>
        <rFont val="宋体"/>
        <charset val="134"/>
      </rPr>
      <t>股票</t>
    </r>
    <r>
      <rPr>
        <sz val="10"/>
        <rFont val="Times New Roman"/>
        <charset val="134"/>
      </rPr>
      <t>11</t>
    </r>
  </si>
  <si>
    <r>
      <rPr>
        <sz val="10"/>
        <rFont val="宋体"/>
        <charset val="134"/>
      </rPr>
      <t>可出售</t>
    </r>
    <r>
      <rPr>
        <sz val="10"/>
        <rFont val="Times New Roman"/>
        <charset val="134"/>
      </rPr>
      <t>-</t>
    </r>
    <r>
      <rPr>
        <sz val="10"/>
        <rFont val="宋体"/>
        <charset val="134"/>
      </rPr>
      <t>股票</t>
    </r>
    <r>
      <rPr>
        <sz val="10"/>
        <rFont val="Times New Roman"/>
        <charset val="134"/>
      </rPr>
      <t>12</t>
    </r>
  </si>
  <si>
    <r>
      <rPr>
        <sz val="10"/>
        <rFont val="宋体"/>
        <charset val="134"/>
      </rPr>
      <t>可出售</t>
    </r>
    <r>
      <rPr>
        <sz val="10"/>
        <rFont val="Times New Roman"/>
        <charset val="134"/>
      </rPr>
      <t>-</t>
    </r>
    <r>
      <rPr>
        <sz val="10"/>
        <rFont val="宋体"/>
        <charset val="134"/>
      </rPr>
      <t>股票</t>
    </r>
    <r>
      <rPr>
        <sz val="10"/>
        <rFont val="Times New Roman"/>
        <charset val="134"/>
      </rPr>
      <t>13</t>
    </r>
  </si>
  <si>
    <r>
      <rPr>
        <sz val="10"/>
        <rFont val="宋体"/>
        <charset val="134"/>
      </rPr>
      <t>可出售</t>
    </r>
    <r>
      <rPr>
        <sz val="10"/>
        <rFont val="Times New Roman"/>
        <charset val="134"/>
      </rPr>
      <t>-</t>
    </r>
    <r>
      <rPr>
        <sz val="10"/>
        <rFont val="宋体"/>
        <charset val="134"/>
      </rPr>
      <t>股票</t>
    </r>
    <r>
      <rPr>
        <sz val="10"/>
        <rFont val="Times New Roman"/>
        <charset val="134"/>
      </rPr>
      <t>14</t>
    </r>
  </si>
  <si>
    <r>
      <rPr>
        <sz val="10"/>
        <rFont val="宋体"/>
        <charset val="134"/>
      </rPr>
      <t>可出售</t>
    </r>
    <r>
      <rPr>
        <sz val="10"/>
        <rFont val="Times New Roman"/>
        <charset val="134"/>
      </rPr>
      <t>-</t>
    </r>
    <r>
      <rPr>
        <sz val="10"/>
        <rFont val="宋体"/>
        <charset val="134"/>
      </rPr>
      <t>股票</t>
    </r>
    <r>
      <rPr>
        <sz val="10"/>
        <rFont val="Times New Roman"/>
        <charset val="134"/>
      </rPr>
      <t>15</t>
    </r>
  </si>
  <si>
    <r>
      <rPr>
        <sz val="10"/>
        <rFont val="宋体"/>
        <charset val="134"/>
      </rPr>
      <t>可出售</t>
    </r>
    <r>
      <rPr>
        <sz val="10"/>
        <rFont val="Times New Roman"/>
        <charset val="134"/>
      </rPr>
      <t>-</t>
    </r>
    <r>
      <rPr>
        <sz val="10"/>
        <rFont val="宋体"/>
        <charset val="134"/>
      </rPr>
      <t>股票</t>
    </r>
    <r>
      <rPr>
        <sz val="10"/>
        <rFont val="Times New Roman"/>
        <charset val="134"/>
      </rPr>
      <t>16</t>
    </r>
  </si>
  <si>
    <r>
      <rPr>
        <sz val="10"/>
        <rFont val="宋体"/>
        <charset val="134"/>
      </rPr>
      <t>可出售</t>
    </r>
    <r>
      <rPr>
        <sz val="10"/>
        <rFont val="Times New Roman"/>
        <charset val="134"/>
      </rPr>
      <t>-</t>
    </r>
    <r>
      <rPr>
        <sz val="10"/>
        <rFont val="宋体"/>
        <charset val="134"/>
      </rPr>
      <t>股票</t>
    </r>
    <r>
      <rPr>
        <sz val="10"/>
        <rFont val="Times New Roman"/>
        <charset val="134"/>
      </rPr>
      <t>17</t>
    </r>
  </si>
  <si>
    <r>
      <rPr>
        <sz val="10"/>
        <rFont val="宋体"/>
        <charset val="134"/>
      </rPr>
      <t>可出售</t>
    </r>
    <r>
      <rPr>
        <sz val="10"/>
        <rFont val="Times New Roman"/>
        <charset val="134"/>
      </rPr>
      <t>-</t>
    </r>
    <r>
      <rPr>
        <sz val="10"/>
        <rFont val="宋体"/>
        <charset val="134"/>
      </rPr>
      <t>股票</t>
    </r>
    <r>
      <rPr>
        <sz val="10"/>
        <rFont val="Times New Roman"/>
        <charset val="134"/>
      </rPr>
      <t>18</t>
    </r>
  </si>
  <si>
    <r>
      <rPr>
        <sz val="10"/>
        <rFont val="宋体"/>
        <charset val="134"/>
      </rPr>
      <t>可出售</t>
    </r>
    <r>
      <rPr>
        <sz val="10"/>
        <rFont val="Times New Roman"/>
        <charset val="134"/>
      </rPr>
      <t>-</t>
    </r>
    <r>
      <rPr>
        <sz val="10"/>
        <rFont val="宋体"/>
        <charset val="134"/>
      </rPr>
      <t>股票</t>
    </r>
    <r>
      <rPr>
        <sz val="10"/>
        <rFont val="Times New Roman"/>
        <charset val="134"/>
      </rPr>
      <t>19</t>
    </r>
  </si>
  <si>
    <r>
      <rPr>
        <sz val="10"/>
        <rFont val="宋体"/>
        <charset val="134"/>
      </rPr>
      <t>可出售</t>
    </r>
    <r>
      <rPr>
        <sz val="10"/>
        <rFont val="Times New Roman"/>
        <charset val="134"/>
      </rPr>
      <t>-</t>
    </r>
    <r>
      <rPr>
        <sz val="10"/>
        <rFont val="宋体"/>
        <charset val="134"/>
      </rPr>
      <t>股票</t>
    </r>
    <r>
      <rPr>
        <sz val="10"/>
        <rFont val="Times New Roman"/>
        <charset val="134"/>
      </rPr>
      <t>20</t>
    </r>
  </si>
  <si>
    <r>
      <rPr>
        <sz val="10"/>
        <rFont val="宋体"/>
        <charset val="134"/>
      </rPr>
      <t>减：减值准备</t>
    </r>
  </si>
  <si>
    <r>
      <rPr>
        <sz val="18"/>
        <rFont val="宋体"/>
        <charset val="134"/>
      </rPr>
      <t>可供出售金融资产</t>
    </r>
    <r>
      <rPr>
        <sz val="18"/>
        <rFont val="Times New Roman"/>
        <charset val="134"/>
      </rPr>
      <t>—</t>
    </r>
    <r>
      <rPr>
        <sz val="18"/>
        <rFont val="宋体"/>
        <charset val="134"/>
      </rPr>
      <t>债券投资评估明细表</t>
    </r>
  </si>
  <si>
    <r>
      <rPr>
        <b/>
        <sz val="10"/>
        <rFont val="宋体"/>
        <charset val="134"/>
      </rPr>
      <t>债券种类</t>
    </r>
  </si>
  <si>
    <r>
      <rPr>
        <b/>
        <sz val="10"/>
        <rFont val="宋体"/>
        <charset val="134"/>
      </rPr>
      <t>到期日</t>
    </r>
  </si>
  <si>
    <r>
      <rPr>
        <b/>
        <sz val="10"/>
        <rFont val="宋体"/>
        <charset val="134"/>
      </rPr>
      <t>成本（面值）</t>
    </r>
  </si>
  <si>
    <r>
      <rPr>
        <b/>
        <sz val="10"/>
        <rFont val="宋体"/>
        <charset val="134"/>
      </rPr>
      <t>是否计提应收利息</t>
    </r>
  </si>
  <si>
    <r>
      <rPr>
        <b/>
        <sz val="10"/>
        <rFont val="宋体"/>
        <charset val="134"/>
      </rPr>
      <t>购置时长</t>
    </r>
  </si>
  <si>
    <r>
      <rPr>
        <b/>
        <sz val="10"/>
        <rFont val="宋体"/>
        <charset val="134"/>
      </rPr>
      <t>面值</t>
    </r>
  </si>
  <si>
    <r>
      <rPr>
        <b/>
        <sz val="10"/>
        <rFont val="宋体"/>
        <charset val="134"/>
      </rPr>
      <t>票面利率</t>
    </r>
  </si>
  <si>
    <r>
      <rPr>
        <sz val="10"/>
        <rFont val="宋体"/>
        <charset val="134"/>
      </rPr>
      <t>可出售</t>
    </r>
    <r>
      <rPr>
        <sz val="10"/>
        <rFont val="Times New Roman"/>
        <charset val="134"/>
      </rPr>
      <t>-</t>
    </r>
    <r>
      <rPr>
        <sz val="10"/>
        <rFont val="宋体"/>
        <charset val="134"/>
      </rPr>
      <t>债券</t>
    </r>
    <r>
      <rPr>
        <sz val="10"/>
        <rFont val="Times New Roman"/>
        <charset val="134"/>
      </rPr>
      <t>01</t>
    </r>
  </si>
  <si>
    <r>
      <rPr>
        <sz val="10"/>
        <rFont val="宋体"/>
        <charset val="134"/>
      </rPr>
      <t>可出售</t>
    </r>
    <r>
      <rPr>
        <sz val="10"/>
        <rFont val="Times New Roman"/>
        <charset val="134"/>
      </rPr>
      <t>-</t>
    </r>
    <r>
      <rPr>
        <sz val="10"/>
        <rFont val="宋体"/>
        <charset val="134"/>
      </rPr>
      <t>债券</t>
    </r>
    <r>
      <rPr>
        <sz val="10"/>
        <rFont val="Times New Roman"/>
        <charset val="134"/>
      </rPr>
      <t>02</t>
    </r>
  </si>
  <si>
    <r>
      <rPr>
        <sz val="10"/>
        <rFont val="宋体"/>
        <charset val="134"/>
      </rPr>
      <t>可出售</t>
    </r>
    <r>
      <rPr>
        <sz val="10"/>
        <rFont val="Times New Roman"/>
        <charset val="134"/>
      </rPr>
      <t>-</t>
    </r>
    <r>
      <rPr>
        <sz val="10"/>
        <rFont val="宋体"/>
        <charset val="134"/>
      </rPr>
      <t>债券</t>
    </r>
    <r>
      <rPr>
        <sz val="10"/>
        <rFont val="Times New Roman"/>
        <charset val="134"/>
      </rPr>
      <t>03</t>
    </r>
  </si>
  <si>
    <r>
      <rPr>
        <sz val="10"/>
        <rFont val="宋体"/>
        <charset val="134"/>
      </rPr>
      <t>可出售</t>
    </r>
    <r>
      <rPr>
        <sz val="10"/>
        <rFont val="Times New Roman"/>
        <charset val="134"/>
      </rPr>
      <t>-</t>
    </r>
    <r>
      <rPr>
        <sz val="10"/>
        <rFont val="宋体"/>
        <charset val="134"/>
      </rPr>
      <t>债券</t>
    </r>
    <r>
      <rPr>
        <sz val="10"/>
        <rFont val="Times New Roman"/>
        <charset val="134"/>
      </rPr>
      <t>04</t>
    </r>
  </si>
  <si>
    <r>
      <rPr>
        <sz val="10"/>
        <rFont val="宋体"/>
        <charset val="134"/>
      </rPr>
      <t>可出售</t>
    </r>
    <r>
      <rPr>
        <sz val="10"/>
        <rFont val="Times New Roman"/>
        <charset val="134"/>
      </rPr>
      <t>-</t>
    </r>
    <r>
      <rPr>
        <sz val="10"/>
        <rFont val="宋体"/>
        <charset val="134"/>
      </rPr>
      <t>债券</t>
    </r>
    <r>
      <rPr>
        <sz val="10"/>
        <rFont val="Times New Roman"/>
        <charset val="134"/>
      </rPr>
      <t>05</t>
    </r>
  </si>
  <si>
    <r>
      <rPr>
        <sz val="10"/>
        <rFont val="宋体"/>
        <charset val="134"/>
      </rPr>
      <t>可出售</t>
    </r>
    <r>
      <rPr>
        <sz val="10"/>
        <rFont val="Times New Roman"/>
        <charset val="134"/>
      </rPr>
      <t>-</t>
    </r>
    <r>
      <rPr>
        <sz val="10"/>
        <rFont val="宋体"/>
        <charset val="134"/>
      </rPr>
      <t>债券</t>
    </r>
    <r>
      <rPr>
        <sz val="10"/>
        <rFont val="Times New Roman"/>
        <charset val="134"/>
      </rPr>
      <t>06</t>
    </r>
  </si>
  <si>
    <r>
      <rPr>
        <sz val="10"/>
        <rFont val="宋体"/>
        <charset val="134"/>
      </rPr>
      <t>可出售</t>
    </r>
    <r>
      <rPr>
        <sz val="10"/>
        <rFont val="Times New Roman"/>
        <charset val="134"/>
      </rPr>
      <t>-</t>
    </r>
    <r>
      <rPr>
        <sz val="10"/>
        <rFont val="宋体"/>
        <charset val="134"/>
      </rPr>
      <t>债券</t>
    </r>
    <r>
      <rPr>
        <sz val="10"/>
        <rFont val="Times New Roman"/>
        <charset val="134"/>
      </rPr>
      <t>07</t>
    </r>
  </si>
  <si>
    <r>
      <rPr>
        <sz val="10"/>
        <rFont val="宋体"/>
        <charset val="134"/>
      </rPr>
      <t>可出售</t>
    </r>
    <r>
      <rPr>
        <sz val="10"/>
        <rFont val="Times New Roman"/>
        <charset val="134"/>
      </rPr>
      <t>-</t>
    </r>
    <r>
      <rPr>
        <sz val="10"/>
        <rFont val="宋体"/>
        <charset val="134"/>
      </rPr>
      <t>债券</t>
    </r>
    <r>
      <rPr>
        <sz val="10"/>
        <rFont val="Times New Roman"/>
        <charset val="134"/>
      </rPr>
      <t>08</t>
    </r>
  </si>
  <si>
    <r>
      <rPr>
        <sz val="10"/>
        <rFont val="宋体"/>
        <charset val="134"/>
      </rPr>
      <t>可出售</t>
    </r>
    <r>
      <rPr>
        <sz val="10"/>
        <rFont val="Times New Roman"/>
        <charset val="134"/>
      </rPr>
      <t>-</t>
    </r>
    <r>
      <rPr>
        <sz val="10"/>
        <rFont val="宋体"/>
        <charset val="134"/>
      </rPr>
      <t>债券</t>
    </r>
    <r>
      <rPr>
        <sz val="10"/>
        <rFont val="Times New Roman"/>
        <charset val="134"/>
      </rPr>
      <t>09</t>
    </r>
  </si>
  <si>
    <r>
      <rPr>
        <sz val="10"/>
        <rFont val="宋体"/>
        <charset val="134"/>
      </rPr>
      <t>可出售</t>
    </r>
    <r>
      <rPr>
        <sz val="10"/>
        <rFont val="Times New Roman"/>
        <charset val="134"/>
      </rPr>
      <t>-</t>
    </r>
    <r>
      <rPr>
        <sz val="10"/>
        <rFont val="宋体"/>
        <charset val="134"/>
      </rPr>
      <t>债券</t>
    </r>
    <r>
      <rPr>
        <sz val="10"/>
        <rFont val="Times New Roman"/>
        <charset val="134"/>
      </rPr>
      <t>10</t>
    </r>
  </si>
  <si>
    <r>
      <rPr>
        <sz val="10"/>
        <rFont val="宋体"/>
        <charset val="134"/>
      </rPr>
      <t>可出售</t>
    </r>
    <r>
      <rPr>
        <sz val="10"/>
        <rFont val="Times New Roman"/>
        <charset val="134"/>
      </rPr>
      <t>-</t>
    </r>
    <r>
      <rPr>
        <sz val="10"/>
        <rFont val="宋体"/>
        <charset val="134"/>
      </rPr>
      <t>债券</t>
    </r>
    <r>
      <rPr>
        <sz val="10"/>
        <rFont val="Times New Roman"/>
        <charset val="134"/>
      </rPr>
      <t>11</t>
    </r>
  </si>
  <si>
    <r>
      <rPr>
        <sz val="10"/>
        <rFont val="宋体"/>
        <charset val="134"/>
      </rPr>
      <t>可出售</t>
    </r>
    <r>
      <rPr>
        <sz val="10"/>
        <rFont val="Times New Roman"/>
        <charset val="134"/>
      </rPr>
      <t>-</t>
    </r>
    <r>
      <rPr>
        <sz val="10"/>
        <rFont val="宋体"/>
        <charset val="134"/>
      </rPr>
      <t>债券</t>
    </r>
    <r>
      <rPr>
        <sz val="10"/>
        <rFont val="Times New Roman"/>
        <charset val="134"/>
      </rPr>
      <t>12</t>
    </r>
  </si>
  <si>
    <r>
      <rPr>
        <sz val="10"/>
        <rFont val="宋体"/>
        <charset val="134"/>
      </rPr>
      <t>可出售</t>
    </r>
    <r>
      <rPr>
        <sz val="10"/>
        <rFont val="Times New Roman"/>
        <charset val="134"/>
      </rPr>
      <t>-</t>
    </r>
    <r>
      <rPr>
        <sz val="10"/>
        <rFont val="宋体"/>
        <charset val="134"/>
      </rPr>
      <t>债券</t>
    </r>
    <r>
      <rPr>
        <sz val="10"/>
        <rFont val="Times New Roman"/>
        <charset val="134"/>
      </rPr>
      <t>13</t>
    </r>
  </si>
  <si>
    <r>
      <rPr>
        <sz val="10"/>
        <rFont val="宋体"/>
        <charset val="134"/>
      </rPr>
      <t>可出售</t>
    </r>
    <r>
      <rPr>
        <sz val="10"/>
        <rFont val="Times New Roman"/>
        <charset val="134"/>
      </rPr>
      <t>-</t>
    </r>
    <r>
      <rPr>
        <sz val="10"/>
        <rFont val="宋体"/>
        <charset val="134"/>
      </rPr>
      <t>债券</t>
    </r>
    <r>
      <rPr>
        <sz val="10"/>
        <rFont val="Times New Roman"/>
        <charset val="134"/>
      </rPr>
      <t>14</t>
    </r>
  </si>
  <si>
    <r>
      <rPr>
        <sz val="10"/>
        <rFont val="宋体"/>
        <charset val="134"/>
      </rPr>
      <t>可出售</t>
    </r>
    <r>
      <rPr>
        <sz val="10"/>
        <rFont val="Times New Roman"/>
        <charset val="134"/>
      </rPr>
      <t>-</t>
    </r>
    <r>
      <rPr>
        <sz val="10"/>
        <rFont val="宋体"/>
        <charset val="134"/>
      </rPr>
      <t>债券</t>
    </r>
    <r>
      <rPr>
        <sz val="10"/>
        <rFont val="Times New Roman"/>
        <charset val="134"/>
      </rPr>
      <t>15</t>
    </r>
  </si>
  <si>
    <r>
      <rPr>
        <sz val="10"/>
        <rFont val="宋体"/>
        <charset val="134"/>
      </rPr>
      <t>可出售</t>
    </r>
    <r>
      <rPr>
        <sz val="10"/>
        <rFont val="Times New Roman"/>
        <charset val="134"/>
      </rPr>
      <t>-</t>
    </r>
    <r>
      <rPr>
        <sz val="10"/>
        <rFont val="宋体"/>
        <charset val="134"/>
      </rPr>
      <t>债券</t>
    </r>
    <r>
      <rPr>
        <sz val="10"/>
        <rFont val="Times New Roman"/>
        <charset val="134"/>
      </rPr>
      <t>16</t>
    </r>
  </si>
  <si>
    <r>
      <rPr>
        <sz val="10"/>
        <rFont val="宋体"/>
        <charset val="134"/>
      </rPr>
      <t>可出售</t>
    </r>
    <r>
      <rPr>
        <sz val="10"/>
        <rFont val="Times New Roman"/>
        <charset val="134"/>
      </rPr>
      <t>-</t>
    </r>
    <r>
      <rPr>
        <sz val="10"/>
        <rFont val="宋体"/>
        <charset val="134"/>
      </rPr>
      <t>债券</t>
    </r>
    <r>
      <rPr>
        <sz val="10"/>
        <rFont val="Times New Roman"/>
        <charset val="134"/>
      </rPr>
      <t>17</t>
    </r>
  </si>
  <si>
    <r>
      <rPr>
        <sz val="10"/>
        <rFont val="宋体"/>
        <charset val="134"/>
      </rPr>
      <t>可出售</t>
    </r>
    <r>
      <rPr>
        <sz val="10"/>
        <rFont val="Times New Roman"/>
        <charset val="134"/>
      </rPr>
      <t>-</t>
    </r>
    <r>
      <rPr>
        <sz val="10"/>
        <rFont val="宋体"/>
        <charset val="134"/>
      </rPr>
      <t>债券</t>
    </r>
    <r>
      <rPr>
        <sz val="10"/>
        <rFont val="Times New Roman"/>
        <charset val="134"/>
      </rPr>
      <t>18</t>
    </r>
  </si>
  <si>
    <r>
      <rPr>
        <sz val="10"/>
        <rFont val="宋体"/>
        <charset val="134"/>
      </rPr>
      <t>可出售</t>
    </r>
    <r>
      <rPr>
        <sz val="10"/>
        <rFont val="Times New Roman"/>
        <charset val="134"/>
      </rPr>
      <t>-</t>
    </r>
    <r>
      <rPr>
        <sz val="10"/>
        <rFont val="宋体"/>
        <charset val="134"/>
      </rPr>
      <t>债券</t>
    </r>
    <r>
      <rPr>
        <sz val="10"/>
        <rFont val="Times New Roman"/>
        <charset val="134"/>
      </rPr>
      <t>19</t>
    </r>
  </si>
  <si>
    <r>
      <rPr>
        <sz val="10"/>
        <rFont val="宋体"/>
        <charset val="134"/>
      </rPr>
      <t>可出售</t>
    </r>
    <r>
      <rPr>
        <sz val="10"/>
        <rFont val="Times New Roman"/>
        <charset val="134"/>
      </rPr>
      <t>-</t>
    </r>
    <r>
      <rPr>
        <sz val="10"/>
        <rFont val="宋体"/>
        <charset val="134"/>
      </rPr>
      <t>债券</t>
    </r>
    <r>
      <rPr>
        <sz val="10"/>
        <rFont val="Times New Roman"/>
        <charset val="134"/>
      </rPr>
      <t>20</t>
    </r>
  </si>
  <si>
    <r>
      <rPr>
        <sz val="18"/>
        <rFont val="宋体"/>
        <charset val="134"/>
      </rPr>
      <t>可供出售金融资产</t>
    </r>
    <r>
      <rPr>
        <sz val="18"/>
        <rFont val="Times New Roman"/>
        <charset val="134"/>
      </rPr>
      <t>—</t>
    </r>
    <r>
      <rPr>
        <sz val="18"/>
        <rFont val="宋体"/>
        <charset val="134"/>
      </rPr>
      <t>其他投资评估明细表</t>
    </r>
  </si>
  <si>
    <r>
      <rPr>
        <b/>
        <sz val="10"/>
        <rFont val="宋体"/>
        <charset val="134"/>
      </rPr>
      <t>金融资产名称</t>
    </r>
  </si>
  <si>
    <r>
      <rPr>
        <b/>
        <sz val="10"/>
        <rFont val="宋体"/>
        <charset val="134"/>
      </rPr>
      <t>持有数量
持股比例</t>
    </r>
  </si>
  <si>
    <r>
      <rPr>
        <b/>
        <sz val="10"/>
        <rFont val="宋体"/>
        <charset val="134"/>
      </rPr>
      <t>投资类型</t>
    </r>
  </si>
  <si>
    <r>
      <rPr>
        <b/>
        <sz val="10"/>
        <rFont val="宋体"/>
        <charset val="134"/>
      </rPr>
      <t>报表净资产</t>
    </r>
  </si>
  <si>
    <r>
      <rPr>
        <sz val="10"/>
        <rFont val="宋体"/>
        <charset val="134"/>
      </rPr>
      <t>可出售</t>
    </r>
    <r>
      <rPr>
        <sz val="10"/>
        <rFont val="Times New Roman"/>
        <charset val="134"/>
      </rPr>
      <t>-</t>
    </r>
    <r>
      <rPr>
        <sz val="10"/>
        <rFont val="宋体"/>
        <charset val="134"/>
      </rPr>
      <t>其他</t>
    </r>
    <r>
      <rPr>
        <sz val="10"/>
        <rFont val="Times New Roman"/>
        <charset val="134"/>
      </rPr>
      <t>01</t>
    </r>
  </si>
  <si>
    <r>
      <rPr>
        <sz val="10"/>
        <rFont val="宋体"/>
        <charset val="134"/>
      </rPr>
      <t>股权投资</t>
    </r>
  </si>
  <si>
    <r>
      <rPr>
        <sz val="10"/>
        <rFont val="宋体"/>
        <charset val="134"/>
      </rPr>
      <t>可出售</t>
    </r>
    <r>
      <rPr>
        <sz val="10"/>
        <rFont val="Times New Roman"/>
        <charset val="134"/>
      </rPr>
      <t>-</t>
    </r>
    <r>
      <rPr>
        <sz val="10"/>
        <rFont val="宋体"/>
        <charset val="134"/>
      </rPr>
      <t>其他</t>
    </r>
    <r>
      <rPr>
        <sz val="10"/>
        <rFont val="Times New Roman"/>
        <charset val="134"/>
      </rPr>
      <t>02</t>
    </r>
  </si>
  <si>
    <r>
      <rPr>
        <sz val="10"/>
        <rFont val="宋体"/>
        <charset val="134"/>
      </rPr>
      <t>可出售</t>
    </r>
    <r>
      <rPr>
        <sz val="10"/>
        <rFont val="Times New Roman"/>
        <charset val="134"/>
      </rPr>
      <t>-</t>
    </r>
    <r>
      <rPr>
        <sz val="10"/>
        <rFont val="宋体"/>
        <charset val="134"/>
      </rPr>
      <t>其他</t>
    </r>
    <r>
      <rPr>
        <sz val="10"/>
        <rFont val="Times New Roman"/>
        <charset val="134"/>
      </rPr>
      <t>03</t>
    </r>
  </si>
  <si>
    <r>
      <rPr>
        <sz val="10"/>
        <rFont val="宋体"/>
        <charset val="134"/>
      </rPr>
      <t>可出售</t>
    </r>
    <r>
      <rPr>
        <sz val="10"/>
        <rFont val="Times New Roman"/>
        <charset val="134"/>
      </rPr>
      <t>-</t>
    </r>
    <r>
      <rPr>
        <sz val="10"/>
        <rFont val="宋体"/>
        <charset val="134"/>
      </rPr>
      <t>其他</t>
    </r>
    <r>
      <rPr>
        <sz val="10"/>
        <rFont val="Times New Roman"/>
        <charset val="134"/>
      </rPr>
      <t>04</t>
    </r>
  </si>
  <si>
    <r>
      <rPr>
        <sz val="10"/>
        <rFont val="宋体"/>
        <charset val="134"/>
      </rPr>
      <t>可出售</t>
    </r>
    <r>
      <rPr>
        <sz val="10"/>
        <rFont val="Times New Roman"/>
        <charset val="134"/>
      </rPr>
      <t>-</t>
    </r>
    <r>
      <rPr>
        <sz val="10"/>
        <rFont val="宋体"/>
        <charset val="134"/>
      </rPr>
      <t>其他</t>
    </r>
    <r>
      <rPr>
        <sz val="10"/>
        <rFont val="Times New Roman"/>
        <charset val="134"/>
      </rPr>
      <t>05</t>
    </r>
  </si>
  <si>
    <r>
      <rPr>
        <sz val="10"/>
        <rFont val="宋体"/>
        <charset val="134"/>
      </rPr>
      <t>可出售</t>
    </r>
    <r>
      <rPr>
        <sz val="10"/>
        <rFont val="Times New Roman"/>
        <charset val="134"/>
      </rPr>
      <t>-</t>
    </r>
    <r>
      <rPr>
        <sz val="10"/>
        <rFont val="宋体"/>
        <charset val="134"/>
      </rPr>
      <t>其他</t>
    </r>
    <r>
      <rPr>
        <sz val="10"/>
        <rFont val="Times New Roman"/>
        <charset val="134"/>
      </rPr>
      <t>06</t>
    </r>
  </si>
  <si>
    <r>
      <rPr>
        <sz val="10"/>
        <rFont val="宋体"/>
        <charset val="134"/>
      </rPr>
      <t>可出售</t>
    </r>
    <r>
      <rPr>
        <sz val="10"/>
        <rFont val="Times New Roman"/>
        <charset val="134"/>
      </rPr>
      <t>-</t>
    </r>
    <r>
      <rPr>
        <sz val="10"/>
        <rFont val="宋体"/>
        <charset val="134"/>
      </rPr>
      <t>其他</t>
    </r>
    <r>
      <rPr>
        <sz val="10"/>
        <rFont val="Times New Roman"/>
        <charset val="134"/>
      </rPr>
      <t>07</t>
    </r>
  </si>
  <si>
    <r>
      <rPr>
        <sz val="10"/>
        <rFont val="宋体"/>
        <charset val="134"/>
      </rPr>
      <t>可出售</t>
    </r>
    <r>
      <rPr>
        <sz val="10"/>
        <rFont val="Times New Roman"/>
        <charset val="134"/>
      </rPr>
      <t>-</t>
    </r>
    <r>
      <rPr>
        <sz val="10"/>
        <rFont val="宋体"/>
        <charset val="134"/>
      </rPr>
      <t>其他</t>
    </r>
    <r>
      <rPr>
        <sz val="10"/>
        <rFont val="Times New Roman"/>
        <charset val="134"/>
      </rPr>
      <t>08</t>
    </r>
  </si>
  <si>
    <r>
      <rPr>
        <sz val="10"/>
        <rFont val="宋体"/>
        <charset val="134"/>
      </rPr>
      <t>可出售</t>
    </r>
    <r>
      <rPr>
        <sz val="10"/>
        <rFont val="Times New Roman"/>
        <charset val="134"/>
      </rPr>
      <t>-</t>
    </r>
    <r>
      <rPr>
        <sz val="10"/>
        <rFont val="宋体"/>
        <charset val="134"/>
      </rPr>
      <t>其他</t>
    </r>
    <r>
      <rPr>
        <sz val="10"/>
        <rFont val="Times New Roman"/>
        <charset val="134"/>
      </rPr>
      <t>09</t>
    </r>
  </si>
  <si>
    <r>
      <rPr>
        <sz val="10"/>
        <rFont val="宋体"/>
        <charset val="134"/>
      </rPr>
      <t>可出售</t>
    </r>
    <r>
      <rPr>
        <sz val="10"/>
        <rFont val="Times New Roman"/>
        <charset val="134"/>
      </rPr>
      <t>-</t>
    </r>
    <r>
      <rPr>
        <sz val="10"/>
        <rFont val="宋体"/>
        <charset val="134"/>
      </rPr>
      <t>其他</t>
    </r>
    <r>
      <rPr>
        <sz val="10"/>
        <rFont val="Times New Roman"/>
        <charset val="134"/>
      </rPr>
      <t>10</t>
    </r>
  </si>
  <si>
    <r>
      <rPr>
        <sz val="10"/>
        <rFont val="宋体"/>
        <charset val="134"/>
      </rPr>
      <t>可出售</t>
    </r>
    <r>
      <rPr>
        <sz val="10"/>
        <rFont val="Times New Roman"/>
        <charset val="134"/>
      </rPr>
      <t>-</t>
    </r>
    <r>
      <rPr>
        <sz val="10"/>
        <rFont val="宋体"/>
        <charset val="134"/>
      </rPr>
      <t>其他</t>
    </r>
    <r>
      <rPr>
        <sz val="10"/>
        <rFont val="Times New Roman"/>
        <charset val="134"/>
      </rPr>
      <t>11</t>
    </r>
  </si>
  <si>
    <r>
      <rPr>
        <sz val="10"/>
        <rFont val="宋体"/>
        <charset val="134"/>
      </rPr>
      <t>可出售</t>
    </r>
    <r>
      <rPr>
        <sz val="10"/>
        <rFont val="Times New Roman"/>
        <charset val="134"/>
      </rPr>
      <t>-</t>
    </r>
    <r>
      <rPr>
        <sz val="10"/>
        <rFont val="宋体"/>
        <charset val="134"/>
      </rPr>
      <t>其他</t>
    </r>
    <r>
      <rPr>
        <sz val="10"/>
        <rFont val="Times New Roman"/>
        <charset val="134"/>
      </rPr>
      <t>12</t>
    </r>
  </si>
  <si>
    <r>
      <rPr>
        <sz val="10"/>
        <rFont val="宋体"/>
        <charset val="134"/>
      </rPr>
      <t>可出售</t>
    </r>
    <r>
      <rPr>
        <sz val="10"/>
        <rFont val="Times New Roman"/>
        <charset val="134"/>
      </rPr>
      <t>-</t>
    </r>
    <r>
      <rPr>
        <sz val="10"/>
        <rFont val="宋体"/>
        <charset val="134"/>
      </rPr>
      <t>其他</t>
    </r>
    <r>
      <rPr>
        <sz val="10"/>
        <rFont val="Times New Roman"/>
        <charset val="134"/>
      </rPr>
      <t>13</t>
    </r>
  </si>
  <si>
    <r>
      <rPr>
        <sz val="10"/>
        <rFont val="宋体"/>
        <charset val="134"/>
      </rPr>
      <t>可出售</t>
    </r>
    <r>
      <rPr>
        <sz val="10"/>
        <rFont val="Times New Roman"/>
        <charset val="134"/>
      </rPr>
      <t>-</t>
    </r>
    <r>
      <rPr>
        <sz val="10"/>
        <rFont val="宋体"/>
        <charset val="134"/>
      </rPr>
      <t>其他</t>
    </r>
    <r>
      <rPr>
        <sz val="10"/>
        <rFont val="Times New Roman"/>
        <charset val="134"/>
      </rPr>
      <t>14</t>
    </r>
  </si>
  <si>
    <r>
      <rPr>
        <sz val="10"/>
        <rFont val="宋体"/>
        <charset val="134"/>
      </rPr>
      <t>可出售</t>
    </r>
    <r>
      <rPr>
        <sz val="10"/>
        <rFont val="Times New Roman"/>
        <charset val="134"/>
      </rPr>
      <t>-</t>
    </r>
    <r>
      <rPr>
        <sz val="10"/>
        <rFont val="宋体"/>
        <charset val="134"/>
      </rPr>
      <t>其他</t>
    </r>
    <r>
      <rPr>
        <sz val="10"/>
        <rFont val="Times New Roman"/>
        <charset val="134"/>
      </rPr>
      <t>15</t>
    </r>
  </si>
  <si>
    <r>
      <rPr>
        <sz val="10"/>
        <rFont val="宋体"/>
        <charset val="134"/>
      </rPr>
      <t>可出售</t>
    </r>
    <r>
      <rPr>
        <sz val="10"/>
        <rFont val="Times New Roman"/>
        <charset val="134"/>
      </rPr>
      <t>-</t>
    </r>
    <r>
      <rPr>
        <sz val="10"/>
        <rFont val="宋体"/>
        <charset val="134"/>
      </rPr>
      <t>其他</t>
    </r>
    <r>
      <rPr>
        <sz val="10"/>
        <rFont val="Times New Roman"/>
        <charset val="134"/>
      </rPr>
      <t>16</t>
    </r>
  </si>
  <si>
    <r>
      <rPr>
        <sz val="10"/>
        <rFont val="宋体"/>
        <charset val="134"/>
      </rPr>
      <t>可出售</t>
    </r>
    <r>
      <rPr>
        <sz val="10"/>
        <rFont val="Times New Roman"/>
        <charset val="134"/>
      </rPr>
      <t>-</t>
    </r>
    <r>
      <rPr>
        <sz val="10"/>
        <rFont val="宋体"/>
        <charset val="134"/>
      </rPr>
      <t>其他</t>
    </r>
    <r>
      <rPr>
        <sz val="10"/>
        <rFont val="Times New Roman"/>
        <charset val="134"/>
      </rPr>
      <t>17</t>
    </r>
  </si>
  <si>
    <r>
      <rPr>
        <sz val="10"/>
        <rFont val="宋体"/>
        <charset val="134"/>
      </rPr>
      <t>可出售</t>
    </r>
    <r>
      <rPr>
        <sz val="10"/>
        <rFont val="Times New Roman"/>
        <charset val="134"/>
      </rPr>
      <t>-</t>
    </r>
    <r>
      <rPr>
        <sz val="10"/>
        <rFont val="宋体"/>
        <charset val="134"/>
      </rPr>
      <t>其他</t>
    </r>
    <r>
      <rPr>
        <sz val="10"/>
        <rFont val="Times New Roman"/>
        <charset val="134"/>
      </rPr>
      <t>18</t>
    </r>
  </si>
  <si>
    <r>
      <rPr>
        <sz val="10"/>
        <rFont val="宋体"/>
        <charset val="134"/>
      </rPr>
      <t>可出售</t>
    </r>
    <r>
      <rPr>
        <sz val="10"/>
        <rFont val="Times New Roman"/>
        <charset val="134"/>
      </rPr>
      <t>-</t>
    </r>
    <r>
      <rPr>
        <sz val="10"/>
        <rFont val="宋体"/>
        <charset val="134"/>
      </rPr>
      <t>其他</t>
    </r>
    <r>
      <rPr>
        <sz val="10"/>
        <rFont val="Times New Roman"/>
        <charset val="134"/>
      </rPr>
      <t>19</t>
    </r>
  </si>
  <si>
    <r>
      <rPr>
        <sz val="10"/>
        <rFont val="宋体"/>
        <charset val="134"/>
      </rPr>
      <t>可出售</t>
    </r>
    <r>
      <rPr>
        <sz val="10"/>
        <rFont val="Times New Roman"/>
        <charset val="134"/>
      </rPr>
      <t>-</t>
    </r>
    <r>
      <rPr>
        <sz val="10"/>
        <rFont val="宋体"/>
        <charset val="134"/>
      </rPr>
      <t>其他</t>
    </r>
    <r>
      <rPr>
        <sz val="10"/>
        <rFont val="Times New Roman"/>
        <charset val="134"/>
      </rPr>
      <t>20</t>
    </r>
  </si>
  <si>
    <r>
      <rPr>
        <sz val="18"/>
        <rFont val="宋体"/>
        <charset val="134"/>
      </rPr>
      <t>持有至到期投资评估明细表</t>
    </r>
  </si>
  <si>
    <r>
      <rPr>
        <b/>
        <sz val="10"/>
        <rFont val="宋体"/>
        <charset val="134"/>
      </rPr>
      <t>投资类别</t>
    </r>
  </si>
  <si>
    <r>
      <rPr>
        <b/>
        <sz val="10"/>
        <rFont val="宋体"/>
        <charset val="134"/>
      </rPr>
      <t>投资成本</t>
    </r>
  </si>
  <si>
    <r>
      <rPr>
        <sz val="10"/>
        <rFont val="宋体"/>
        <charset val="134"/>
      </rPr>
      <t>持有到期投资</t>
    </r>
    <r>
      <rPr>
        <sz val="10"/>
        <rFont val="Times New Roman"/>
        <charset val="134"/>
      </rPr>
      <t>01</t>
    </r>
  </si>
  <si>
    <r>
      <rPr>
        <sz val="10"/>
        <rFont val="宋体"/>
        <charset val="134"/>
      </rPr>
      <t>持有到期投资</t>
    </r>
    <r>
      <rPr>
        <sz val="10"/>
        <rFont val="Times New Roman"/>
        <charset val="134"/>
      </rPr>
      <t>02</t>
    </r>
  </si>
  <si>
    <r>
      <rPr>
        <sz val="10"/>
        <rFont val="宋体"/>
        <charset val="134"/>
      </rPr>
      <t>持有到期投资</t>
    </r>
    <r>
      <rPr>
        <sz val="10"/>
        <rFont val="Times New Roman"/>
        <charset val="134"/>
      </rPr>
      <t>03</t>
    </r>
  </si>
  <si>
    <r>
      <rPr>
        <sz val="10"/>
        <rFont val="宋体"/>
        <charset val="134"/>
      </rPr>
      <t>持有到期投资</t>
    </r>
    <r>
      <rPr>
        <sz val="10"/>
        <rFont val="Times New Roman"/>
        <charset val="134"/>
      </rPr>
      <t>04</t>
    </r>
  </si>
  <si>
    <r>
      <rPr>
        <sz val="10"/>
        <rFont val="宋体"/>
        <charset val="134"/>
      </rPr>
      <t>持有到期投资</t>
    </r>
    <r>
      <rPr>
        <sz val="10"/>
        <rFont val="Times New Roman"/>
        <charset val="134"/>
      </rPr>
      <t>05</t>
    </r>
  </si>
  <si>
    <r>
      <rPr>
        <sz val="10"/>
        <rFont val="宋体"/>
        <charset val="134"/>
      </rPr>
      <t>持有到期投资</t>
    </r>
    <r>
      <rPr>
        <sz val="10"/>
        <rFont val="Times New Roman"/>
        <charset val="134"/>
      </rPr>
      <t>06</t>
    </r>
  </si>
  <si>
    <r>
      <rPr>
        <sz val="10"/>
        <rFont val="宋体"/>
        <charset val="134"/>
      </rPr>
      <t>持有到期投资</t>
    </r>
    <r>
      <rPr>
        <sz val="10"/>
        <rFont val="Times New Roman"/>
        <charset val="134"/>
      </rPr>
      <t>07</t>
    </r>
  </si>
  <si>
    <r>
      <rPr>
        <sz val="10"/>
        <rFont val="宋体"/>
        <charset val="134"/>
      </rPr>
      <t>持有到期投资</t>
    </r>
    <r>
      <rPr>
        <sz val="10"/>
        <rFont val="Times New Roman"/>
        <charset val="134"/>
      </rPr>
      <t>08</t>
    </r>
  </si>
  <si>
    <r>
      <rPr>
        <sz val="10"/>
        <rFont val="宋体"/>
        <charset val="134"/>
      </rPr>
      <t>持有到期投资</t>
    </r>
    <r>
      <rPr>
        <sz val="10"/>
        <rFont val="Times New Roman"/>
        <charset val="134"/>
      </rPr>
      <t>09</t>
    </r>
  </si>
  <si>
    <r>
      <rPr>
        <sz val="10"/>
        <rFont val="宋体"/>
        <charset val="134"/>
      </rPr>
      <t>持有到期投资</t>
    </r>
    <r>
      <rPr>
        <sz val="10"/>
        <rFont val="Times New Roman"/>
        <charset val="134"/>
      </rPr>
      <t>10</t>
    </r>
  </si>
  <si>
    <r>
      <rPr>
        <sz val="10"/>
        <rFont val="宋体"/>
        <charset val="134"/>
      </rPr>
      <t>持有到期投资</t>
    </r>
    <r>
      <rPr>
        <sz val="10"/>
        <rFont val="Times New Roman"/>
        <charset val="134"/>
      </rPr>
      <t>11</t>
    </r>
  </si>
  <si>
    <r>
      <rPr>
        <sz val="10"/>
        <rFont val="宋体"/>
        <charset val="134"/>
      </rPr>
      <t>持有到期投资</t>
    </r>
    <r>
      <rPr>
        <sz val="10"/>
        <rFont val="Times New Roman"/>
        <charset val="134"/>
      </rPr>
      <t>12</t>
    </r>
  </si>
  <si>
    <r>
      <rPr>
        <sz val="10"/>
        <rFont val="宋体"/>
        <charset val="134"/>
      </rPr>
      <t>持有到期投资</t>
    </r>
    <r>
      <rPr>
        <sz val="10"/>
        <rFont val="Times New Roman"/>
        <charset val="134"/>
      </rPr>
      <t>13</t>
    </r>
  </si>
  <si>
    <r>
      <rPr>
        <sz val="10"/>
        <rFont val="宋体"/>
        <charset val="134"/>
      </rPr>
      <t>持有到期投资</t>
    </r>
    <r>
      <rPr>
        <sz val="10"/>
        <rFont val="Times New Roman"/>
        <charset val="134"/>
      </rPr>
      <t>14</t>
    </r>
  </si>
  <si>
    <r>
      <rPr>
        <sz val="10"/>
        <rFont val="宋体"/>
        <charset val="134"/>
      </rPr>
      <t>持有到期投资</t>
    </r>
    <r>
      <rPr>
        <sz val="10"/>
        <rFont val="Times New Roman"/>
        <charset val="134"/>
      </rPr>
      <t>15</t>
    </r>
  </si>
  <si>
    <r>
      <rPr>
        <sz val="10"/>
        <rFont val="宋体"/>
        <charset val="134"/>
      </rPr>
      <t>持有到期投资</t>
    </r>
    <r>
      <rPr>
        <sz val="10"/>
        <rFont val="Times New Roman"/>
        <charset val="134"/>
      </rPr>
      <t>16</t>
    </r>
  </si>
  <si>
    <r>
      <rPr>
        <sz val="10"/>
        <rFont val="宋体"/>
        <charset val="134"/>
      </rPr>
      <t>持有到期投资</t>
    </r>
    <r>
      <rPr>
        <sz val="10"/>
        <rFont val="Times New Roman"/>
        <charset val="134"/>
      </rPr>
      <t>17</t>
    </r>
  </si>
  <si>
    <r>
      <rPr>
        <sz val="10"/>
        <rFont val="宋体"/>
        <charset val="134"/>
      </rPr>
      <t>持有到期投资</t>
    </r>
    <r>
      <rPr>
        <sz val="10"/>
        <rFont val="Times New Roman"/>
        <charset val="134"/>
      </rPr>
      <t>18</t>
    </r>
  </si>
  <si>
    <r>
      <rPr>
        <sz val="10"/>
        <rFont val="宋体"/>
        <charset val="134"/>
      </rPr>
      <t>持有到期投资</t>
    </r>
    <r>
      <rPr>
        <sz val="10"/>
        <rFont val="Times New Roman"/>
        <charset val="134"/>
      </rPr>
      <t>19</t>
    </r>
  </si>
  <si>
    <r>
      <rPr>
        <sz val="10"/>
        <rFont val="宋体"/>
        <charset val="134"/>
      </rPr>
      <t>持有到期投资</t>
    </r>
    <r>
      <rPr>
        <sz val="10"/>
        <rFont val="Times New Roman"/>
        <charset val="134"/>
      </rPr>
      <t>20</t>
    </r>
  </si>
  <si>
    <r>
      <rPr>
        <sz val="18"/>
        <rFont val="宋体"/>
        <charset val="134"/>
      </rPr>
      <t>债权投资评估明细表</t>
    </r>
  </si>
  <si>
    <r>
      <rPr>
        <sz val="10"/>
        <rFont val="宋体"/>
        <charset val="134"/>
      </rPr>
      <t>债权投资</t>
    </r>
    <r>
      <rPr>
        <sz val="10"/>
        <rFont val="Times New Roman"/>
        <charset val="134"/>
      </rPr>
      <t>01</t>
    </r>
  </si>
  <si>
    <r>
      <rPr>
        <sz val="10"/>
        <rFont val="宋体"/>
        <charset val="134"/>
      </rPr>
      <t>债权投资</t>
    </r>
    <r>
      <rPr>
        <sz val="10"/>
        <rFont val="Times New Roman"/>
        <charset val="134"/>
      </rPr>
      <t>02</t>
    </r>
  </si>
  <si>
    <r>
      <rPr>
        <sz val="10"/>
        <rFont val="宋体"/>
        <charset val="134"/>
      </rPr>
      <t>债权投资</t>
    </r>
    <r>
      <rPr>
        <sz val="10"/>
        <rFont val="Times New Roman"/>
        <charset val="134"/>
      </rPr>
      <t>03</t>
    </r>
  </si>
  <si>
    <r>
      <rPr>
        <sz val="10"/>
        <rFont val="宋体"/>
        <charset val="134"/>
      </rPr>
      <t>债权投资</t>
    </r>
    <r>
      <rPr>
        <sz val="10"/>
        <rFont val="Times New Roman"/>
        <charset val="134"/>
      </rPr>
      <t>04</t>
    </r>
  </si>
  <si>
    <r>
      <rPr>
        <sz val="10"/>
        <rFont val="宋体"/>
        <charset val="134"/>
      </rPr>
      <t>债权投资</t>
    </r>
    <r>
      <rPr>
        <sz val="10"/>
        <rFont val="Times New Roman"/>
        <charset val="134"/>
      </rPr>
      <t>05</t>
    </r>
  </si>
  <si>
    <r>
      <rPr>
        <sz val="10"/>
        <rFont val="宋体"/>
        <charset val="134"/>
      </rPr>
      <t>债权投资</t>
    </r>
    <r>
      <rPr>
        <sz val="10"/>
        <rFont val="Times New Roman"/>
        <charset val="134"/>
      </rPr>
      <t>06</t>
    </r>
  </si>
  <si>
    <r>
      <rPr>
        <sz val="10"/>
        <rFont val="宋体"/>
        <charset val="134"/>
      </rPr>
      <t>债权投资</t>
    </r>
    <r>
      <rPr>
        <sz val="10"/>
        <rFont val="Times New Roman"/>
        <charset val="134"/>
      </rPr>
      <t>07</t>
    </r>
  </si>
  <si>
    <r>
      <rPr>
        <sz val="10"/>
        <rFont val="宋体"/>
        <charset val="134"/>
      </rPr>
      <t>债权投资</t>
    </r>
    <r>
      <rPr>
        <sz val="10"/>
        <rFont val="Times New Roman"/>
        <charset val="134"/>
      </rPr>
      <t>08</t>
    </r>
  </si>
  <si>
    <r>
      <rPr>
        <sz val="10"/>
        <rFont val="宋体"/>
        <charset val="134"/>
      </rPr>
      <t>债权投资</t>
    </r>
    <r>
      <rPr>
        <sz val="10"/>
        <rFont val="Times New Roman"/>
        <charset val="134"/>
      </rPr>
      <t>09</t>
    </r>
  </si>
  <si>
    <r>
      <rPr>
        <sz val="10"/>
        <rFont val="宋体"/>
        <charset val="134"/>
      </rPr>
      <t>债权投资</t>
    </r>
    <r>
      <rPr>
        <sz val="10"/>
        <rFont val="Times New Roman"/>
        <charset val="134"/>
      </rPr>
      <t>10</t>
    </r>
  </si>
  <si>
    <r>
      <rPr>
        <sz val="10"/>
        <rFont val="宋体"/>
        <charset val="134"/>
      </rPr>
      <t>债权投资</t>
    </r>
    <r>
      <rPr>
        <sz val="10"/>
        <rFont val="Times New Roman"/>
        <charset val="134"/>
      </rPr>
      <t>11</t>
    </r>
  </si>
  <si>
    <r>
      <rPr>
        <sz val="10"/>
        <rFont val="宋体"/>
        <charset val="134"/>
      </rPr>
      <t>债权投资</t>
    </r>
    <r>
      <rPr>
        <sz val="10"/>
        <rFont val="Times New Roman"/>
        <charset val="134"/>
      </rPr>
      <t>12</t>
    </r>
  </si>
  <si>
    <r>
      <rPr>
        <sz val="10"/>
        <rFont val="宋体"/>
        <charset val="134"/>
      </rPr>
      <t>债权投资</t>
    </r>
    <r>
      <rPr>
        <sz val="10"/>
        <rFont val="Times New Roman"/>
        <charset val="134"/>
      </rPr>
      <t>13</t>
    </r>
  </si>
  <si>
    <r>
      <rPr>
        <sz val="10"/>
        <rFont val="宋体"/>
        <charset val="134"/>
      </rPr>
      <t>债权投资</t>
    </r>
    <r>
      <rPr>
        <sz val="10"/>
        <rFont val="Times New Roman"/>
        <charset val="134"/>
      </rPr>
      <t>14</t>
    </r>
  </si>
  <si>
    <r>
      <rPr>
        <sz val="10"/>
        <rFont val="宋体"/>
        <charset val="134"/>
      </rPr>
      <t>债权投资</t>
    </r>
    <r>
      <rPr>
        <sz val="10"/>
        <rFont val="Times New Roman"/>
        <charset val="134"/>
      </rPr>
      <t>15</t>
    </r>
  </si>
  <si>
    <r>
      <rPr>
        <sz val="10"/>
        <rFont val="宋体"/>
        <charset val="134"/>
      </rPr>
      <t>债权投资</t>
    </r>
    <r>
      <rPr>
        <sz val="10"/>
        <rFont val="Times New Roman"/>
        <charset val="134"/>
      </rPr>
      <t>16</t>
    </r>
  </si>
  <si>
    <r>
      <rPr>
        <sz val="10"/>
        <rFont val="宋体"/>
        <charset val="134"/>
      </rPr>
      <t>债权投资</t>
    </r>
    <r>
      <rPr>
        <sz val="10"/>
        <rFont val="Times New Roman"/>
        <charset val="134"/>
      </rPr>
      <t>17</t>
    </r>
  </si>
  <si>
    <r>
      <rPr>
        <sz val="10"/>
        <rFont val="宋体"/>
        <charset val="134"/>
      </rPr>
      <t>债权投资</t>
    </r>
    <r>
      <rPr>
        <sz val="10"/>
        <rFont val="Times New Roman"/>
        <charset val="134"/>
      </rPr>
      <t>18</t>
    </r>
  </si>
  <si>
    <r>
      <rPr>
        <sz val="10"/>
        <rFont val="宋体"/>
        <charset val="134"/>
      </rPr>
      <t>债权投资</t>
    </r>
    <r>
      <rPr>
        <sz val="10"/>
        <rFont val="Times New Roman"/>
        <charset val="134"/>
      </rPr>
      <t>19</t>
    </r>
  </si>
  <si>
    <r>
      <rPr>
        <sz val="10"/>
        <rFont val="宋体"/>
        <charset val="134"/>
      </rPr>
      <t>债权投资</t>
    </r>
    <r>
      <rPr>
        <sz val="10"/>
        <rFont val="Times New Roman"/>
        <charset val="134"/>
      </rPr>
      <t>20</t>
    </r>
  </si>
  <si>
    <r>
      <rPr>
        <sz val="18"/>
        <rFont val="宋体"/>
        <charset val="134"/>
      </rPr>
      <t>其他债权投资评估明细表</t>
    </r>
  </si>
  <si>
    <r>
      <rPr>
        <b/>
        <sz val="10"/>
        <rFont val="宋体"/>
        <charset val="134"/>
      </rPr>
      <t>持有数量</t>
    </r>
  </si>
  <si>
    <r>
      <rPr>
        <sz val="10"/>
        <rFont val="宋体"/>
        <charset val="134"/>
      </rPr>
      <t>其他债权投资</t>
    </r>
    <r>
      <rPr>
        <sz val="10"/>
        <rFont val="Times New Roman"/>
        <charset val="134"/>
      </rPr>
      <t>01</t>
    </r>
  </si>
  <si>
    <r>
      <rPr>
        <sz val="10"/>
        <rFont val="宋体"/>
        <charset val="134"/>
      </rPr>
      <t>其他债权投资</t>
    </r>
    <r>
      <rPr>
        <sz val="10"/>
        <rFont val="Times New Roman"/>
        <charset val="134"/>
      </rPr>
      <t>02</t>
    </r>
  </si>
  <si>
    <r>
      <rPr>
        <sz val="10"/>
        <rFont val="宋体"/>
        <charset val="134"/>
      </rPr>
      <t>其他债权投资</t>
    </r>
    <r>
      <rPr>
        <sz val="10"/>
        <rFont val="Times New Roman"/>
        <charset val="134"/>
      </rPr>
      <t>03</t>
    </r>
  </si>
  <si>
    <r>
      <rPr>
        <sz val="10"/>
        <rFont val="宋体"/>
        <charset val="134"/>
      </rPr>
      <t>其他债权投资</t>
    </r>
    <r>
      <rPr>
        <sz val="10"/>
        <rFont val="Times New Roman"/>
        <charset val="134"/>
      </rPr>
      <t>04</t>
    </r>
  </si>
  <si>
    <r>
      <rPr>
        <sz val="10"/>
        <rFont val="宋体"/>
        <charset val="134"/>
      </rPr>
      <t>其他债权投资</t>
    </r>
    <r>
      <rPr>
        <sz val="10"/>
        <rFont val="Times New Roman"/>
        <charset val="134"/>
      </rPr>
      <t>05</t>
    </r>
  </si>
  <si>
    <r>
      <rPr>
        <sz val="10"/>
        <rFont val="宋体"/>
        <charset val="134"/>
      </rPr>
      <t>其他债权投资</t>
    </r>
    <r>
      <rPr>
        <sz val="10"/>
        <rFont val="Times New Roman"/>
        <charset val="134"/>
      </rPr>
      <t>06</t>
    </r>
  </si>
  <si>
    <r>
      <rPr>
        <sz val="10"/>
        <rFont val="宋体"/>
        <charset val="134"/>
      </rPr>
      <t>其他债权投资</t>
    </r>
    <r>
      <rPr>
        <sz val="10"/>
        <rFont val="Times New Roman"/>
        <charset val="134"/>
      </rPr>
      <t>07</t>
    </r>
  </si>
  <si>
    <r>
      <rPr>
        <sz val="10"/>
        <rFont val="宋体"/>
        <charset val="134"/>
      </rPr>
      <t>其他债权投资</t>
    </r>
    <r>
      <rPr>
        <sz val="10"/>
        <rFont val="Times New Roman"/>
        <charset val="134"/>
      </rPr>
      <t>08</t>
    </r>
  </si>
  <si>
    <r>
      <rPr>
        <sz val="10"/>
        <rFont val="宋体"/>
        <charset val="134"/>
      </rPr>
      <t>其他债权投资</t>
    </r>
    <r>
      <rPr>
        <sz val="10"/>
        <rFont val="Times New Roman"/>
        <charset val="134"/>
      </rPr>
      <t>09</t>
    </r>
  </si>
  <si>
    <r>
      <rPr>
        <sz val="10"/>
        <rFont val="宋体"/>
        <charset val="134"/>
      </rPr>
      <t>其他债权投资</t>
    </r>
    <r>
      <rPr>
        <sz val="10"/>
        <rFont val="Times New Roman"/>
        <charset val="134"/>
      </rPr>
      <t>10</t>
    </r>
  </si>
  <si>
    <r>
      <rPr>
        <sz val="10"/>
        <rFont val="宋体"/>
        <charset val="134"/>
      </rPr>
      <t>其他债权投资</t>
    </r>
    <r>
      <rPr>
        <sz val="10"/>
        <rFont val="Times New Roman"/>
        <charset val="134"/>
      </rPr>
      <t>11</t>
    </r>
  </si>
  <si>
    <r>
      <rPr>
        <sz val="10"/>
        <rFont val="宋体"/>
        <charset val="134"/>
      </rPr>
      <t>其他债权投资</t>
    </r>
    <r>
      <rPr>
        <sz val="10"/>
        <rFont val="Times New Roman"/>
        <charset val="134"/>
      </rPr>
      <t>12</t>
    </r>
  </si>
  <si>
    <r>
      <rPr>
        <sz val="10"/>
        <rFont val="宋体"/>
        <charset val="134"/>
      </rPr>
      <t>其他债权投资</t>
    </r>
    <r>
      <rPr>
        <sz val="10"/>
        <rFont val="Times New Roman"/>
        <charset val="134"/>
      </rPr>
      <t>13</t>
    </r>
  </si>
  <si>
    <r>
      <rPr>
        <sz val="10"/>
        <rFont val="宋体"/>
        <charset val="134"/>
      </rPr>
      <t>其他债权投资</t>
    </r>
    <r>
      <rPr>
        <sz val="10"/>
        <rFont val="Times New Roman"/>
        <charset val="134"/>
      </rPr>
      <t>14</t>
    </r>
  </si>
  <si>
    <r>
      <rPr>
        <sz val="10"/>
        <rFont val="宋体"/>
        <charset val="134"/>
      </rPr>
      <t>其他债权投资</t>
    </r>
    <r>
      <rPr>
        <sz val="10"/>
        <rFont val="Times New Roman"/>
        <charset val="134"/>
      </rPr>
      <t>15</t>
    </r>
  </si>
  <si>
    <r>
      <rPr>
        <sz val="10"/>
        <rFont val="宋体"/>
        <charset val="134"/>
      </rPr>
      <t>其他债权投资</t>
    </r>
    <r>
      <rPr>
        <sz val="10"/>
        <rFont val="Times New Roman"/>
        <charset val="134"/>
      </rPr>
      <t>16</t>
    </r>
  </si>
  <si>
    <r>
      <rPr>
        <sz val="10"/>
        <rFont val="宋体"/>
        <charset val="134"/>
      </rPr>
      <t>其他债权投资</t>
    </r>
    <r>
      <rPr>
        <sz val="10"/>
        <rFont val="Times New Roman"/>
        <charset val="134"/>
      </rPr>
      <t>17</t>
    </r>
  </si>
  <si>
    <r>
      <rPr>
        <sz val="10"/>
        <rFont val="宋体"/>
        <charset val="134"/>
      </rPr>
      <t>其他债权投资</t>
    </r>
    <r>
      <rPr>
        <sz val="10"/>
        <rFont val="Times New Roman"/>
        <charset val="134"/>
      </rPr>
      <t>18</t>
    </r>
  </si>
  <si>
    <r>
      <rPr>
        <sz val="10"/>
        <rFont val="宋体"/>
        <charset val="134"/>
      </rPr>
      <t>其他债权投资</t>
    </r>
    <r>
      <rPr>
        <sz val="10"/>
        <rFont val="Times New Roman"/>
        <charset val="134"/>
      </rPr>
      <t>19</t>
    </r>
  </si>
  <si>
    <r>
      <rPr>
        <sz val="10"/>
        <rFont val="宋体"/>
        <charset val="134"/>
      </rPr>
      <t>其他债权投资</t>
    </r>
    <r>
      <rPr>
        <sz val="10"/>
        <rFont val="Times New Roman"/>
        <charset val="134"/>
      </rPr>
      <t>20</t>
    </r>
  </si>
  <si>
    <r>
      <rPr>
        <sz val="18"/>
        <rFont val="宋体"/>
        <charset val="134"/>
      </rPr>
      <t>长期应收款评估明细表</t>
    </r>
  </si>
  <si>
    <r>
      <rPr>
        <sz val="10"/>
        <rFont val="宋体"/>
        <charset val="134"/>
      </rPr>
      <t>长期应收</t>
    </r>
    <r>
      <rPr>
        <sz val="10"/>
        <rFont val="Times New Roman"/>
        <charset val="134"/>
      </rPr>
      <t>01</t>
    </r>
  </si>
  <si>
    <r>
      <rPr>
        <sz val="10"/>
        <rFont val="宋体"/>
        <charset val="134"/>
      </rPr>
      <t>长期应收</t>
    </r>
    <r>
      <rPr>
        <sz val="10"/>
        <rFont val="Times New Roman"/>
        <charset val="134"/>
      </rPr>
      <t>02</t>
    </r>
  </si>
  <si>
    <r>
      <rPr>
        <sz val="10"/>
        <rFont val="宋体"/>
        <charset val="134"/>
      </rPr>
      <t>长期应收</t>
    </r>
    <r>
      <rPr>
        <sz val="10"/>
        <rFont val="Times New Roman"/>
        <charset val="134"/>
      </rPr>
      <t>03</t>
    </r>
  </si>
  <si>
    <r>
      <rPr>
        <sz val="10"/>
        <rFont val="宋体"/>
        <charset val="134"/>
      </rPr>
      <t>长期应收</t>
    </r>
    <r>
      <rPr>
        <sz val="10"/>
        <rFont val="Times New Roman"/>
        <charset val="134"/>
      </rPr>
      <t>04</t>
    </r>
  </si>
  <si>
    <r>
      <rPr>
        <sz val="10"/>
        <rFont val="宋体"/>
        <charset val="134"/>
      </rPr>
      <t>长期应收</t>
    </r>
    <r>
      <rPr>
        <sz val="10"/>
        <rFont val="Times New Roman"/>
        <charset val="134"/>
      </rPr>
      <t>05</t>
    </r>
  </si>
  <si>
    <r>
      <rPr>
        <sz val="10"/>
        <rFont val="宋体"/>
        <charset val="134"/>
      </rPr>
      <t>长期应收</t>
    </r>
    <r>
      <rPr>
        <sz val="10"/>
        <rFont val="Times New Roman"/>
        <charset val="134"/>
      </rPr>
      <t>06</t>
    </r>
  </si>
  <si>
    <r>
      <rPr>
        <sz val="10"/>
        <rFont val="宋体"/>
        <charset val="134"/>
      </rPr>
      <t>长期应收</t>
    </r>
    <r>
      <rPr>
        <sz val="10"/>
        <rFont val="Times New Roman"/>
        <charset val="134"/>
      </rPr>
      <t>07</t>
    </r>
  </si>
  <si>
    <r>
      <rPr>
        <sz val="10"/>
        <rFont val="宋体"/>
        <charset val="134"/>
      </rPr>
      <t>长期应收</t>
    </r>
    <r>
      <rPr>
        <sz val="10"/>
        <rFont val="Times New Roman"/>
        <charset val="134"/>
      </rPr>
      <t>08</t>
    </r>
  </si>
  <si>
    <r>
      <rPr>
        <sz val="10"/>
        <rFont val="宋体"/>
        <charset val="134"/>
      </rPr>
      <t>长期应收</t>
    </r>
    <r>
      <rPr>
        <sz val="10"/>
        <rFont val="Times New Roman"/>
        <charset val="134"/>
      </rPr>
      <t>09</t>
    </r>
  </si>
  <si>
    <r>
      <rPr>
        <sz val="10"/>
        <rFont val="宋体"/>
        <charset val="134"/>
      </rPr>
      <t>长期应收</t>
    </r>
    <r>
      <rPr>
        <sz val="10"/>
        <rFont val="Times New Roman"/>
        <charset val="134"/>
      </rPr>
      <t>10</t>
    </r>
  </si>
  <si>
    <r>
      <rPr>
        <sz val="10"/>
        <rFont val="宋体"/>
        <charset val="134"/>
      </rPr>
      <t>长期应收</t>
    </r>
    <r>
      <rPr>
        <sz val="10"/>
        <rFont val="Times New Roman"/>
        <charset val="134"/>
      </rPr>
      <t>11</t>
    </r>
  </si>
  <si>
    <r>
      <rPr>
        <sz val="10"/>
        <rFont val="宋体"/>
        <charset val="134"/>
      </rPr>
      <t>长期应收</t>
    </r>
    <r>
      <rPr>
        <sz val="10"/>
        <rFont val="Times New Roman"/>
        <charset val="134"/>
      </rPr>
      <t>12</t>
    </r>
  </si>
  <si>
    <r>
      <rPr>
        <sz val="10"/>
        <rFont val="宋体"/>
        <charset val="134"/>
      </rPr>
      <t>长期应收</t>
    </r>
    <r>
      <rPr>
        <sz val="10"/>
        <rFont val="Times New Roman"/>
        <charset val="134"/>
      </rPr>
      <t>13</t>
    </r>
  </si>
  <si>
    <r>
      <rPr>
        <sz val="10"/>
        <rFont val="宋体"/>
        <charset val="134"/>
      </rPr>
      <t>长期应收</t>
    </r>
    <r>
      <rPr>
        <sz val="10"/>
        <rFont val="Times New Roman"/>
        <charset val="134"/>
      </rPr>
      <t>14</t>
    </r>
  </si>
  <si>
    <r>
      <rPr>
        <sz val="10"/>
        <rFont val="宋体"/>
        <charset val="134"/>
      </rPr>
      <t>长期应收</t>
    </r>
    <r>
      <rPr>
        <sz val="10"/>
        <rFont val="Times New Roman"/>
        <charset val="134"/>
      </rPr>
      <t>15</t>
    </r>
  </si>
  <si>
    <r>
      <rPr>
        <sz val="10"/>
        <rFont val="宋体"/>
        <charset val="134"/>
      </rPr>
      <t>长期应收</t>
    </r>
    <r>
      <rPr>
        <sz val="10"/>
        <rFont val="Times New Roman"/>
        <charset val="134"/>
      </rPr>
      <t>16</t>
    </r>
  </si>
  <si>
    <r>
      <rPr>
        <sz val="10"/>
        <rFont val="宋体"/>
        <charset val="134"/>
      </rPr>
      <t>长期应收</t>
    </r>
    <r>
      <rPr>
        <sz val="10"/>
        <rFont val="Times New Roman"/>
        <charset val="134"/>
      </rPr>
      <t>17</t>
    </r>
  </si>
  <si>
    <r>
      <rPr>
        <sz val="10"/>
        <rFont val="宋体"/>
        <charset val="134"/>
      </rPr>
      <t>长期应收</t>
    </r>
    <r>
      <rPr>
        <sz val="10"/>
        <rFont val="Times New Roman"/>
        <charset val="134"/>
      </rPr>
      <t>18</t>
    </r>
  </si>
  <si>
    <r>
      <rPr>
        <sz val="10"/>
        <rFont val="宋体"/>
        <charset val="134"/>
      </rPr>
      <t>长期应收</t>
    </r>
    <r>
      <rPr>
        <sz val="10"/>
        <rFont val="Times New Roman"/>
        <charset val="134"/>
      </rPr>
      <t>19</t>
    </r>
  </si>
  <si>
    <r>
      <rPr>
        <sz val="10"/>
        <rFont val="宋体"/>
        <charset val="134"/>
      </rPr>
      <t>长期应收</t>
    </r>
    <r>
      <rPr>
        <sz val="10"/>
        <rFont val="Times New Roman"/>
        <charset val="134"/>
      </rPr>
      <t>20</t>
    </r>
  </si>
  <si>
    <r>
      <rPr>
        <sz val="18"/>
        <rFont val="宋体"/>
        <charset val="134"/>
      </rPr>
      <t>长期股权投资评估明细表</t>
    </r>
  </si>
  <si>
    <r>
      <rPr>
        <b/>
        <sz val="10"/>
        <rFont val="宋体"/>
        <charset val="134"/>
      </rPr>
      <t>协议投资期限</t>
    </r>
  </si>
  <si>
    <r>
      <rPr>
        <b/>
        <sz val="10"/>
        <rFont val="宋体"/>
        <charset val="134"/>
      </rPr>
      <t>取值方法</t>
    </r>
  </si>
  <si>
    <r>
      <rPr>
        <b/>
        <sz val="10"/>
        <rFont val="宋体"/>
        <charset val="134"/>
      </rPr>
      <t>基础法</t>
    </r>
  </si>
  <si>
    <r>
      <rPr>
        <b/>
        <sz val="10"/>
        <rFont val="宋体"/>
        <charset val="134"/>
      </rPr>
      <t>收益法</t>
    </r>
  </si>
  <si>
    <r>
      <rPr>
        <b/>
        <sz val="10"/>
        <rFont val="宋体"/>
        <charset val="134"/>
      </rPr>
      <t>市场法</t>
    </r>
  </si>
  <si>
    <r>
      <rPr>
        <b/>
        <sz val="10"/>
        <rFont val="宋体"/>
        <charset val="134"/>
      </rPr>
      <t>报表折算法</t>
    </r>
  </si>
  <si>
    <r>
      <rPr>
        <b/>
        <sz val="10"/>
        <rFont val="宋体"/>
        <charset val="134"/>
      </rPr>
      <t>分红折现法</t>
    </r>
  </si>
  <si>
    <t>未实缴出资总额</t>
  </si>
  <si>
    <t>被评估单位未出资额</t>
  </si>
  <si>
    <r>
      <rPr>
        <sz val="10"/>
        <rFont val="宋体"/>
        <charset val="134"/>
      </rPr>
      <t>长期股权投资</t>
    </r>
    <r>
      <rPr>
        <sz val="10"/>
        <rFont val="Times New Roman"/>
        <charset val="134"/>
      </rPr>
      <t>01</t>
    </r>
  </si>
  <si>
    <r>
      <rPr>
        <sz val="10"/>
        <rFont val="宋体"/>
        <charset val="134"/>
      </rPr>
      <t>基础法</t>
    </r>
  </si>
  <si>
    <r>
      <rPr>
        <sz val="10"/>
        <rFont val="宋体"/>
        <charset val="134"/>
      </rPr>
      <t>长期股权投资</t>
    </r>
    <r>
      <rPr>
        <sz val="10"/>
        <rFont val="Times New Roman"/>
        <charset val="134"/>
      </rPr>
      <t>02</t>
    </r>
  </si>
  <si>
    <r>
      <rPr>
        <sz val="10"/>
        <rFont val="宋体"/>
        <charset val="134"/>
      </rPr>
      <t>长期股权投资</t>
    </r>
    <r>
      <rPr>
        <sz val="10"/>
        <rFont val="Times New Roman"/>
        <charset val="134"/>
      </rPr>
      <t>03</t>
    </r>
  </si>
  <si>
    <r>
      <rPr>
        <sz val="10"/>
        <rFont val="宋体"/>
        <charset val="134"/>
      </rPr>
      <t>长期股权投资</t>
    </r>
    <r>
      <rPr>
        <sz val="10"/>
        <rFont val="Times New Roman"/>
        <charset val="134"/>
      </rPr>
      <t>04</t>
    </r>
  </si>
  <si>
    <r>
      <rPr>
        <sz val="10"/>
        <rFont val="宋体"/>
        <charset val="134"/>
      </rPr>
      <t>长期股权投资</t>
    </r>
    <r>
      <rPr>
        <sz val="10"/>
        <rFont val="Times New Roman"/>
        <charset val="134"/>
      </rPr>
      <t>05</t>
    </r>
  </si>
  <si>
    <r>
      <rPr>
        <sz val="10"/>
        <rFont val="宋体"/>
        <charset val="134"/>
      </rPr>
      <t>长期股权投资</t>
    </r>
    <r>
      <rPr>
        <sz val="10"/>
        <rFont val="Times New Roman"/>
        <charset val="134"/>
      </rPr>
      <t>06</t>
    </r>
  </si>
  <si>
    <r>
      <rPr>
        <sz val="10"/>
        <rFont val="宋体"/>
        <charset val="134"/>
      </rPr>
      <t>长期股权投资</t>
    </r>
    <r>
      <rPr>
        <sz val="10"/>
        <rFont val="Times New Roman"/>
        <charset val="134"/>
      </rPr>
      <t>07</t>
    </r>
  </si>
  <si>
    <r>
      <rPr>
        <sz val="10"/>
        <rFont val="宋体"/>
        <charset val="134"/>
      </rPr>
      <t>长期股权投资</t>
    </r>
    <r>
      <rPr>
        <sz val="10"/>
        <rFont val="Times New Roman"/>
        <charset val="134"/>
      </rPr>
      <t>08</t>
    </r>
  </si>
  <si>
    <r>
      <rPr>
        <sz val="10"/>
        <rFont val="宋体"/>
        <charset val="134"/>
      </rPr>
      <t>长期股权投资</t>
    </r>
    <r>
      <rPr>
        <sz val="10"/>
        <rFont val="Times New Roman"/>
        <charset val="134"/>
      </rPr>
      <t>09</t>
    </r>
  </si>
  <si>
    <r>
      <rPr>
        <sz val="10"/>
        <rFont val="宋体"/>
        <charset val="134"/>
      </rPr>
      <t>长期股权投资</t>
    </r>
    <r>
      <rPr>
        <sz val="10"/>
        <rFont val="Times New Roman"/>
        <charset val="134"/>
      </rPr>
      <t>10</t>
    </r>
  </si>
  <si>
    <r>
      <rPr>
        <sz val="10"/>
        <rFont val="宋体"/>
        <charset val="134"/>
      </rPr>
      <t>长期股权投资</t>
    </r>
    <r>
      <rPr>
        <sz val="10"/>
        <rFont val="Times New Roman"/>
        <charset val="134"/>
      </rPr>
      <t>11</t>
    </r>
  </si>
  <si>
    <r>
      <rPr>
        <sz val="10"/>
        <rFont val="宋体"/>
        <charset val="134"/>
      </rPr>
      <t>长期股权投资</t>
    </r>
    <r>
      <rPr>
        <sz val="10"/>
        <rFont val="Times New Roman"/>
        <charset val="134"/>
      </rPr>
      <t>12</t>
    </r>
  </si>
  <si>
    <r>
      <rPr>
        <sz val="10"/>
        <rFont val="宋体"/>
        <charset val="134"/>
      </rPr>
      <t>长期股权投资</t>
    </r>
    <r>
      <rPr>
        <sz val="10"/>
        <rFont val="Times New Roman"/>
        <charset val="134"/>
      </rPr>
      <t>13</t>
    </r>
  </si>
  <si>
    <r>
      <rPr>
        <sz val="10"/>
        <rFont val="宋体"/>
        <charset val="134"/>
      </rPr>
      <t>长期股权投资</t>
    </r>
    <r>
      <rPr>
        <sz val="10"/>
        <rFont val="Times New Roman"/>
        <charset val="134"/>
      </rPr>
      <t>14</t>
    </r>
  </si>
  <si>
    <r>
      <rPr>
        <sz val="10"/>
        <rFont val="宋体"/>
        <charset val="134"/>
      </rPr>
      <t>长期股权投资</t>
    </r>
    <r>
      <rPr>
        <sz val="10"/>
        <rFont val="Times New Roman"/>
        <charset val="134"/>
      </rPr>
      <t>15</t>
    </r>
  </si>
  <si>
    <r>
      <rPr>
        <sz val="10"/>
        <rFont val="宋体"/>
        <charset val="134"/>
      </rPr>
      <t>长期股权投资</t>
    </r>
    <r>
      <rPr>
        <sz val="10"/>
        <rFont val="Times New Roman"/>
        <charset val="134"/>
      </rPr>
      <t>16</t>
    </r>
  </si>
  <si>
    <r>
      <rPr>
        <sz val="10"/>
        <rFont val="宋体"/>
        <charset val="134"/>
      </rPr>
      <t>长期股权投资</t>
    </r>
    <r>
      <rPr>
        <sz val="10"/>
        <rFont val="Times New Roman"/>
        <charset val="134"/>
      </rPr>
      <t>17</t>
    </r>
  </si>
  <si>
    <r>
      <rPr>
        <sz val="10"/>
        <rFont val="宋体"/>
        <charset val="134"/>
      </rPr>
      <t>长期股权投资</t>
    </r>
    <r>
      <rPr>
        <sz val="10"/>
        <rFont val="Times New Roman"/>
        <charset val="134"/>
      </rPr>
      <t>18</t>
    </r>
  </si>
  <si>
    <r>
      <rPr>
        <sz val="10"/>
        <rFont val="宋体"/>
        <charset val="134"/>
      </rPr>
      <t>长期股权投资</t>
    </r>
    <r>
      <rPr>
        <sz val="10"/>
        <rFont val="Times New Roman"/>
        <charset val="134"/>
      </rPr>
      <t>19</t>
    </r>
  </si>
  <si>
    <r>
      <rPr>
        <sz val="10"/>
        <rFont val="宋体"/>
        <charset val="134"/>
      </rPr>
      <t>长期股权投资</t>
    </r>
    <r>
      <rPr>
        <sz val="10"/>
        <rFont val="Times New Roman"/>
        <charset val="134"/>
      </rPr>
      <t>20</t>
    </r>
  </si>
  <si>
    <r>
      <rPr>
        <sz val="10"/>
        <color indexed="10"/>
        <rFont val="宋体"/>
        <charset val="134"/>
      </rPr>
      <t>注意事项：作价、附注，统一从</t>
    </r>
    <r>
      <rPr>
        <sz val="10"/>
        <color indexed="10"/>
        <rFont val="Times New Roman"/>
        <charset val="134"/>
      </rPr>
      <t>BA</t>
    </r>
    <r>
      <rPr>
        <sz val="10"/>
        <color indexed="10"/>
        <rFont val="宋体"/>
        <charset val="134"/>
      </rPr>
      <t>列开始</t>
    </r>
  </si>
  <si>
    <t>其他权益工具投资评估明细表</t>
  </si>
  <si>
    <r>
      <rPr>
        <sz val="10"/>
        <rFont val="宋体"/>
        <charset val="134"/>
      </rPr>
      <t>显示评估值：</t>
    </r>
  </si>
  <si>
    <r>
      <rPr>
        <b/>
        <sz val="10"/>
        <rFont val="宋体"/>
        <charset val="134"/>
      </rPr>
      <t>性质</t>
    </r>
  </si>
  <si>
    <r>
      <rPr>
        <b/>
        <sz val="10"/>
        <rFont val="宋体"/>
        <charset val="134"/>
      </rPr>
      <t>持股比例</t>
    </r>
    <r>
      <rPr>
        <b/>
        <sz val="10"/>
        <rFont val="Times New Roman"/>
        <charset val="134"/>
      </rPr>
      <t>%</t>
    </r>
  </si>
  <si>
    <r>
      <rPr>
        <b/>
        <sz val="10"/>
        <rFont val="宋体"/>
        <charset val="134"/>
      </rPr>
      <t>基准日收盘价</t>
    </r>
  </si>
  <si>
    <r>
      <rPr>
        <sz val="10"/>
        <rFont val="宋体"/>
        <charset val="134"/>
      </rPr>
      <t>其他权益工具投资</t>
    </r>
    <r>
      <rPr>
        <sz val="10"/>
        <rFont val="Times New Roman"/>
        <charset val="134"/>
      </rPr>
      <t>01</t>
    </r>
  </si>
  <si>
    <r>
      <rPr>
        <sz val="10"/>
        <rFont val="宋体"/>
        <charset val="134"/>
      </rPr>
      <t>其他权益工具投资</t>
    </r>
    <r>
      <rPr>
        <sz val="10"/>
        <rFont val="Times New Roman"/>
        <charset val="134"/>
      </rPr>
      <t>02</t>
    </r>
  </si>
  <si>
    <r>
      <rPr>
        <sz val="10"/>
        <rFont val="宋体"/>
        <charset val="134"/>
      </rPr>
      <t>其他权益工具投资</t>
    </r>
    <r>
      <rPr>
        <sz val="10"/>
        <rFont val="Times New Roman"/>
        <charset val="134"/>
      </rPr>
      <t>03</t>
    </r>
  </si>
  <si>
    <r>
      <rPr>
        <sz val="10"/>
        <rFont val="宋体"/>
        <charset val="134"/>
      </rPr>
      <t>其他权益工具投资</t>
    </r>
    <r>
      <rPr>
        <sz val="10"/>
        <rFont val="Times New Roman"/>
        <charset val="134"/>
      </rPr>
      <t>04</t>
    </r>
  </si>
  <si>
    <r>
      <rPr>
        <sz val="10"/>
        <rFont val="宋体"/>
        <charset val="134"/>
      </rPr>
      <t>其他权益工具投资</t>
    </r>
    <r>
      <rPr>
        <sz val="10"/>
        <rFont val="Times New Roman"/>
        <charset val="134"/>
      </rPr>
      <t>05</t>
    </r>
  </si>
  <si>
    <r>
      <rPr>
        <sz val="10"/>
        <rFont val="宋体"/>
        <charset val="134"/>
      </rPr>
      <t>其他权益工具投资</t>
    </r>
    <r>
      <rPr>
        <sz val="10"/>
        <rFont val="Times New Roman"/>
        <charset val="134"/>
      </rPr>
      <t>06</t>
    </r>
  </si>
  <si>
    <r>
      <rPr>
        <sz val="10"/>
        <rFont val="宋体"/>
        <charset val="134"/>
      </rPr>
      <t>其他权益工具投资</t>
    </r>
    <r>
      <rPr>
        <sz val="10"/>
        <rFont val="Times New Roman"/>
        <charset val="134"/>
      </rPr>
      <t>07</t>
    </r>
  </si>
  <si>
    <r>
      <rPr>
        <sz val="10"/>
        <rFont val="宋体"/>
        <charset val="134"/>
      </rPr>
      <t>其他权益工具投资</t>
    </r>
    <r>
      <rPr>
        <sz val="10"/>
        <rFont val="Times New Roman"/>
        <charset val="134"/>
      </rPr>
      <t>08</t>
    </r>
  </si>
  <si>
    <r>
      <rPr>
        <sz val="10"/>
        <rFont val="宋体"/>
        <charset val="134"/>
      </rPr>
      <t>其他权益工具投资</t>
    </r>
    <r>
      <rPr>
        <sz val="10"/>
        <rFont val="Times New Roman"/>
        <charset val="134"/>
      </rPr>
      <t>09</t>
    </r>
  </si>
  <si>
    <r>
      <rPr>
        <sz val="10"/>
        <rFont val="宋体"/>
        <charset val="134"/>
      </rPr>
      <t>其他权益工具投资</t>
    </r>
    <r>
      <rPr>
        <sz val="10"/>
        <rFont val="Times New Roman"/>
        <charset val="134"/>
      </rPr>
      <t>10</t>
    </r>
  </si>
  <si>
    <r>
      <rPr>
        <sz val="10"/>
        <rFont val="宋体"/>
        <charset val="134"/>
      </rPr>
      <t>其他权益工具投资</t>
    </r>
    <r>
      <rPr>
        <sz val="10"/>
        <rFont val="Times New Roman"/>
        <charset val="134"/>
      </rPr>
      <t>11</t>
    </r>
  </si>
  <si>
    <r>
      <rPr>
        <sz val="10"/>
        <rFont val="宋体"/>
        <charset val="134"/>
      </rPr>
      <t>其他权益工具投资</t>
    </r>
    <r>
      <rPr>
        <sz val="10"/>
        <rFont val="Times New Roman"/>
        <charset val="134"/>
      </rPr>
      <t>12</t>
    </r>
  </si>
  <si>
    <r>
      <rPr>
        <sz val="10"/>
        <rFont val="宋体"/>
        <charset val="134"/>
      </rPr>
      <t>其他权益工具投资</t>
    </r>
    <r>
      <rPr>
        <sz val="10"/>
        <rFont val="Times New Roman"/>
        <charset val="134"/>
      </rPr>
      <t>13</t>
    </r>
  </si>
  <si>
    <r>
      <rPr>
        <sz val="10"/>
        <rFont val="宋体"/>
        <charset val="134"/>
      </rPr>
      <t>其他权益工具投资</t>
    </r>
    <r>
      <rPr>
        <sz val="10"/>
        <rFont val="Times New Roman"/>
        <charset val="134"/>
      </rPr>
      <t>14</t>
    </r>
  </si>
  <si>
    <r>
      <rPr>
        <sz val="10"/>
        <rFont val="宋体"/>
        <charset val="134"/>
      </rPr>
      <t>其他权益工具投资</t>
    </r>
    <r>
      <rPr>
        <sz val="10"/>
        <rFont val="Times New Roman"/>
        <charset val="134"/>
      </rPr>
      <t>15</t>
    </r>
  </si>
  <si>
    <r>
      <rPr>
        <sz val="10"/>
        <rFont val="宋体"/>
        <charset val="134"/>
      </rPr>
      <t>其他权益工具投资</t>
    </r>
    <r>
      <rPr>
        <sz val="10"/>
        <rFont val="Times New Roman"/>
        <charset val="134"/>
      </rPr>
      <t>16</t>
    </r>
  </si>
  <si>
    <r>
      <rPr>
        <sz val="10"/>
        <rFont val="宋体"/>
        <charset val="134"/>
      </rPr>
      <t>其他权益工具投资</t>
    </r>
    <r>
      <rPr>
        <sz val="10"/>
        <rFont val="Times New Roman"/>
        <charset val="134"/>
      </rPr>
      <t>17</t>
    </r>
  </si>
  <si>
    <r>
      <rPr>
        <sz val="10"/>
        <rFont val="宋体"/>
        <charset val="134"/>
      </rPr>
      <t>其他权益工具投资</t>
    </r>
    <r>
      <rPr>
        <sz val="10"/>
        <rFont val="Times New Roman"/>
        <charset val="134"/>
      </rPr>
      <t>18</t>
    </r>
  </si>
  <si>
    <r>
      <rPr>
        <sz val="10"/>
        <rFont val="宋体"/>
        <charset val="134"/>
      </rPr>
      <t>其他权益工具投资</t>
    </r>
    <r>
      <rPr>
        <sz val="10"/>
        <rFont val="Times New Roman"/>
        <charset val="134"/>
      </rPr>
      <t>19</t>
    </r>
  </si>
  <si>
    <r>
      <rPr>
        <sz val="10"/>
        <rFont val="宋体"/>
        <charset val="134"/>
      </rPr>
      <t>其他权益工具投资</t>
    </r>
    <r>
      <rPr>
        <sz val="10"/>
        <rFont val="Times New Roman"/>
        <charset val="134"/>
      </rPr>
      <t>20</t>
    </r>
  </si>
  <si>
    <r>
      <rPr>
        <b/>
        <sz val="10"/>
        <rFont val="宋体"/>
        <charset val="134"/>
      </rPr>
      <t>净</t>
    </r>
    <r>
      <rPr>
        <b/>
        <sz val="10"/>
        <rFont val="Times New Roman"/>
        <charset val="134"/>
      </rPr>
      <t xml:space="preserve">            </t>
    </r>
    <r>
      <rPr>
        <b/>
        <sz val="10"/>
        <rFont val="宋体"/>
        <charset val="134"/>
      </rPr>
      <t>额</t>
    </r>
  </si>
  <si>
    <t>其他非流动金融资产评估明细表</t>
  </si>
  <si>
    <r>
      <rPr>
        <b/>
        <sz val="10"/>
        <rFont val="宋体"/>
        <charset val="134"/>
      </rPr>
      <t>结算对象</t>
    </r>
  </si>
  <si>
    <r>
      <rPr>
        <b/>
        <sz val="10"/>
        <rFont val="宋体"/>
        <charset val="134"/>
      </rPr>
      <t>项目内容</t>
    </r>
  </si>
  <si>
    <r>
      <rPr>
        <b/>
        <sz val="10"/>
        <rFont val="宋体"/>
        <charset val="134"/>
      </rPr>
      <t>形成日期</t>
    </r>
  </si>
  <si>
    <t>外币原始金额</t>
  </si>
  <si>
    <r>
      <rPr>
        <b/>
        <sz val="10"/>
        <rFont val="宋体"/>
        <charset val="134"/>
      </rPr>
      <t>原始发生金额</t>
    </r>
  </si>
  <si>
    <r>
      <rPr>
        <sz val="10"/>
        <rFont val="宋体"/>
        <charset val="134"/>
      </rPr>
      <t>其他非流动金融资产</t>
    </r>
    <r>
      <rPr>
        <sz val="10"/>
        <rFont val="Times New Roman"/>
        <charset val="134"/>
      </rPr>
      <t>01</t>
    </r>
  </si>
  <si>
    <r>
      <rPr>
        <sz val="10"/>
        <rFont val="宋体"/>
        <charset val="134"/>
      </rPr>
      <t>其他非流动金融资产</t>
    </r>
    <r>
      <rPr>
        <sz val="10"/>
        <rFont val="Times New Roman"/>
        <charset val="134"/>
      </rPr>
      <t>02</t>
    </r>
  </si>
  <si>
    <r>
      <rPr>
        <sz val="10"/>
        <rFont val="宋体"/>
        <charset val="134"/>
      </rPr>
      <t>其他非流动金融资产</t>
    </r>
    <r>
      <rPr>
        <sz val="10"/>
        <rFont val="Times New Roman"/>
        <charset val="134"/>
      </rPr>
      <t>03</t>
    </r>
  </si>
  <si>
    <r>
      <rPr>
        <sz val="10"/>
        <rFont val="宋体"/>
        <charset val="134"/>
      </rPr>
      <t>其他非流动金融资产</t>
    </r>
    <r>
      <rPr>
        <sz val="10"/>
        <rFont val="Times New Roman"/>
        <charset val="134"/>
      </rPr>
      <t>04</t>
    </r>
  </si>
  <si>
    <r>
      <rPr>
        <sz val="10"/>
        <rFont val="宋体"/>
        <charset val="134"/>
      </rPr>
      <t>其他非流动金融资产</t>
    </r>
    <r>
      <rPr>
        <sz val="10"/>
        <rFont val="Times New Roman"/>
        <charset val="134"/>
      </rPr>
      <t>05</t>
    </r>
  </si>
  <si>
    <r>
      <rPr>
        <sz val="10"/>
        <rFont val="宋体"/>
        <charset val="134"/>
      </rPr>
      <t>其他非流动金融资产</t>
    </r>
    <r>
      <rPr>
        <sz val="10"/>
        <rFont val="Times New Roman"/>
        <charset val="134"/>
      </rPr>
      <t>06</t>
    </r>
  </si>
  <si>
    <r>
      <rPr>
        <sz val="10"/>
        <rFont val="宋体"/>
        <charset val="134"/>
      </rPr>
      <t>其他非流动金融资产</t>
    </r>
    <r>
      <rPr>
        <sz val="10"/>
        <rFont val="Times New Roman"/>
        <charset val="134"/>
      </rPr>
      <t>07</t>
    </r>
  </si>
  <si>
    <r>
      <rPr>
        <sz val="10"/>
        <rFont val="宋体"/>
        <charset val="134"/>
      </rPr>
      <t>其他非流动金融资产</t>
    </r>
    <r>
      <rPr>
        <sz val="10"/>
        <rFont val="Times New Roman"/>
        <charset val="134"/>
      </rPr>
      <t>08</t>
    </r>
  </si>
  <si>
    <r>
      <rPr>
        <sz val="10"/>
        <rFont val="宋体"/>
        <charset val="134"/>
      </rPr>
      <t>其他非流动金融资产</t>
    </r>
    <r>
      <rPr>
        <sz val="10"/>
        <rFont val="Times New Roman"/>
        <charset val="134"/>
      </rPr>
      <t>09</t>
    </r>
  </si>
  <si>
    <r>
      <rPr>
        <sz val="10"/>
        <rFont val="宋体"/>
        <charset val="134"/>
      </rPr>
      <t>其他非流动金融资产</t>
    </r>
    <r>
      <rPr>
        <sz val="10"/>
        <rFont val="Times New Roman"/>
        <charset val="134"/>
      </rPr>
      <t>10</t>
    </r>
  </si>
  <si>
    <r>
      <rPr>
        <sz val="10"/>
        <rFont val="宋体"/>
        <charset val="134"/>
      </rPr>
      <t>其他非流动金融资产</t>
    </r>
    <r>
      <rPr>
        <sz val="10"/>
        <rFont val="Times New Roman"/>
        <charset val="134"/>
      </rPr>
      <t>11</t>
    </r>
  </si>
  <si>
    <r>
      <rPr>
        <sz val="10"/>
        <rFont val="宋体"/>
        <charset val="134"/>
      </rPr>
      <t>其他非流动金融资产</t>
    </r>
    <r>
      <rPr>
        <sz val="10"/>
        <rFont val="Times New Roman"/>
        <charset val="134"/>
      </rPr>
      <t>12</t>
    </r>
  </si>
  <si>
    <r>
      <rPr>
        <sz val="10"/>
        <rFont val="宋体"/>
        <charset val="134"/>
      </rPr>
      <t>其他非流动金融资产</t>
    </r>
    <r>
      <rPr>
        <sz val="10"/>
        <rFont val="Times New Roman"/>
        <charset val="134"/>
      </rPr>
      <t>13</t>
    </r>
  </si>
  <si>
    <r>
      <rPr>
        <sz val="10"/>
        <rFont val="宋体"/>
        <charset val="134"/>
      </rPr>
      <t>其他非流动金融资产</t>
    </r>
    <r>
      <rPr>
        <sz val="10"/>
        <rFont val="Times New Roman"/>
        <charset val="134"/>
      </rPr>
      <t>14</t>
    </r>
  </si>
  <si>
    <r>
      <rPr>
        <sz val="10"/>
        <rFont val="宋体"/>
        <charset val="134"/>
      </rPr>
      <t>其他非流动金融资产</t>
    </r>
    <r>
      <rPr>
        <sz val="10"/>
        <rFont val="Times New Roman"/>
        <charset val="134"/>
      </rPr>
      <t>15</t>
    </r>
  </si>
  <si>
    <r>
      <rPr>
        <sz val="10"/>
        <rFont val="宋体"/>
        <charset val="134"/>
      </rPr>
      <t>其他非流动金融资产</t>
    </r>
    <r>
      <rPr>
        <sz val="10"/>
        <rFont val="Times New Roman"/>
        <charset val="134"/>
      </rPr>
      <t>16</t>
    </r>
  </si>
  <si>
    <r>
      <rPr>
        <sz val="10"/>
        <rFont val="宋体"/>
        <charset val="134"/>
      </rPr>
      <t>其他非流动金融资产</t>
    </r>
    <r>
      <rPr>
        <sz val="10"/>
        <rFont val="Times New Roman"/>
        <charset val="134"/>
      </rPr>
      <t>17</t>
    </r>
  </si>
  <si>
    <r>
      <rPr>
        <sz val="10"/>
        <rFont val="宋体"/>
        <charset val="134"/>
      </rPr>
      <t>其他非流动金融资产</t>
    </r>
    <r>
      <rPr>
        <sz val="10"/>
        <rFont val="Times New Roman"/>
        <charset val="134"/>
      </rPr>
      <t>18</t>
    </r>
  </si>
  <si>
    <r>
      <rPr>
        <sz val="10"/>
        <rFont val="宋体"/>
        <charset val="134"/>
      </rPr>
      <t>其他非流动金融资产</t>
    </r>
    <r>
      <rPr>
        <sz val="10"/>
        <rFont val="Times New Roman"/>
        <charset val="134"/>
      </rPr>
      <t>19</t>
    </r>
  </si>
  <si>
    <r>
      <rPr>
        <sz val="10"/>
        <rFont val="宋体"/>
        <charset val="134"/>
      </rPr>
      <t>其他非流动金融资产</t>
    </r>
    <r>
      <rPr>
        <sz val="10"/>
        <rFont val="Times New Roman"/>
        <charset val="134"/>
      </rPr>
      <t>20</t>
    </r>
  </si>
  <si>
    <r>
      <rPr>
        <sz val="8"/>
        <rFont val="宋体"/>
        <charset val="134"/>
      </rPr>
      <t>返回索引页</t>
    </r>
  </si>
  <si>
    <r>
      <rPr>
        <sz val="18"/>
        <rFont val="宋体"/>
        <charset val="134"/>
      </rPr>
      <t>投资性房地产资产评估汇总表</t>
    </r>
  </si>
  <si>
    <t>投资性房地产-房屋（采用成本模式计量）</t>
  </si>
  <si>
    <t>投资性房地产-房屋（采用公允模式计量）</t>
  </si>
  <si>
    <t>投资性房地产-土地（采用成本模式计量）</t>
  </si>
  <si>
    <t>投资性房地产-土地（采用公允模式计量）</t>
  </si>
  <si>
    <t>投资性房地产合计</t>
  </si>
  <si>
    <r>
      <rPr>
        <sz val="18"/>
        <rFont val="宋体"/>
        <charset val="134"/>
      </rPr>
      <t>投资性房地产</t>
    </r>
    <r>
      <rPr>
        <sz val="18"/>
        <rFont val="Times New Roman"/>
        <charset val="134"/>
      </rPr>
      <t>——</t>
    </r>
    <r>
      <rPr>
        <sz val="18"/>
        <rFont val="宋体"/>
        <charset val="134"/>
      </rPr>
      <t>房屋评估明细表</t>
    </r>
  </si>
  <si>
    <r>
      <rPr>
        <sz val="14"/>
        <rFont val="宋体"/>
        <charset val="134"/>
      </rPr>
      <t>（采用成本模式计量）</t>
    </r>
  </si>
  <si>
    <r>
      <rPr>
        <b/>
        <sz val="10"/>
        <rFont val="宋体"/>
        <charset val="134"/>
      </rPr>
      <t>资产编号</t>
    </r>
  </si>
  <si>
    <r>
      <rPr>
        <b/>
        <sz val="10"/>
        <rFont val="宋体"/>
        <charset val="134"/>
      </rPr>
      <t>权证编号</t>
    </r>
  </si>
  <si>
    <r>
      <rPr>
        <b/>
        <sz val="10"/>
        <rFont val="宋体"/>
        <charset val="134"/>
      </rPr>
      <t>证载权利人</t>
    </r>
  </si>
  <si>
    <r>
      <rPr>
        <b/>
        <sz val="10"/>
        <rFont val="宋体"/>
        <charset val="134"/>
      </rPr>
      <t>是否抵押</t>
    </r>
  </si>
  <si>
    <r>
      <rPr>
        <b/>
        <sz val="10"/>
        <rFont val="宋体"/>
        <charset val="134"/>
      </rPr>
      <t>房屋名称</t>
    </r>
  </si>
  <si>
    <r>
      <rPr>
        <b/>
        <sz val="10"/>
        <rFont val="宋体"/>
        <charset val="134"/>
      </rPr>
      <t>来源</t>
    </r>
  </si>
  <si>
    <r>
      <rPr>
        <b/>
        <sz val="10"/>
        <rFont val="宋体"/>
        <charset val="134"/>
      </rPr>
      <t>位置</t>
    </r>
  </si>
  <si>
    <r>
      <rPr>
        <b/>
        <sz val="10"/>
        <rFont val="宋体"/>
        <charset val="134"/>
      </rPr>
      <t>对应土地证号</t>
    </r>
  </si>
  <si>
    <r>
      <rPr>
        <b/>
        <sz val="10"/>
        <rFont val="宋体"/>
        <charset val="134"/>
      </rPr>
      <t>结构</t>
    </r>
  </si>
  <si>
    <r>
      <rPr>
        <b/>
        <sz val="10"/>
        <rFont val="宋体"/>
        <charset val="134"/>
      </rPr>
      <t>檐高</t>
    </r>
    <r>
      <rPr>
        <b/>
        <sz val="10"/>
        <rFont val="Times New Roman"/>
        <charset val="134"/>
      </rPr>
      <t>(m)</t>
    </r>
  </si>
  <si>
    <r>
      <rPr>
        <b/>
        <sz val="10"/>
        <rFont val="宋体"/>
        <charset val="134"/>
      </rPr>
      <t>层高</t>
    </r>
    <r>
      <rPr>
        <b/>
        <sz val="10"/>
        <rFont val="Times New Roman"/>
        <charset val="134"/>
      </rPr>
      <t>(m)</t>
    </r>
  </si>
  <si>
    <r>
      <rPr>
        <b/>
        <sz val="10"/>
        <rFont val="宋体"/>
        <charset val="134"/>
      </rPr>
      <t>总层数</t>
    </r>
  </si>
  <si>
    <r>
      <rPr>
        <b/>
        <sz val="10"/>
        <rFont val="宋体"/>
        <charset val="134"/>
      </rPr>
      <t>层数</t>
    </r>
  </si>
  <si>
    <r>
      <rPr>
        <b/>
        <sz val="10"/>
        <rFont val="宋体"/>
        <charset val="134"/>
      </rPr>
      <t>朝向</t>
    </r>
  </si>
  <si>
    <r>
      <rPr>
        <b/>
        <sz val="10"/>
        <rFont val="宋体"/>
        <charset val="134"/>
      </rPr>
      <t>吊车吨位</t>
    </r>
  </si>
  <si>
    <r>
      <rPr>
        <b/>
        <sz val="10"/>
        <rFont val="宋体"/>
        <charset val="134"/>
      </rPr>
      <t>跨度</t>
    </r>
    <r>
      <rPr>
        <b/>
        <sz val="10"/>
        <rFont val="Times New Roman"/>
        <charset val="134"/>
      </rPr>
      <t>(m)</t>
    </r>
  </si>
  <si>
    <r>
      <rPr>
        <b/>
        <sz val="10"/>
        <rFont val="宋体"/>
        <charset val="134"/>
      </rPr>
      <t>柱距</t>
    </r>
    <r>
      <rPr>
        <b/>
        <sz val="10"/>
        <rFont val="Times New Roman"/>
        <charset val="134"/>
      </rPr>
      <t>(m)</t>
    </r>
  </si>
  <si>
    <r>
      <rPr>
        <b/>
        <sz val="10"/>
        <rFont val="宋体"/>
        <charset val="134"/>
      </rPr>
      <t>使用单位</t>
    </r>
  </si>
  <si>
    <r>
      <rPr>
        <b/>
        <sz val="10"/>
        <rFont val="宋体"/>
        <charset val="134"/>
      </rPr>
      <t>开工年月</t>
    </r>
  </si>
  <si>
    <r>
      <rPr>
        <b/>
        <sz val="10"/>
        <rFont val="宋体"/>
        <charset val="134"/>
      </rPr>
      <t>折旧年限</t>
    </r>
  </si>
  <si>
    <r>
      <rPr>
        <b/>
        <sz val="10"/>
        <rFont val="宋体"/>
        <charset val="134"/>
      </rPr>
      <t>残值率</t>
    </r>
  </si>
  <si>
    <r>
      <rPr>
        <b/>
        <sz val="10"/>
        <rFont val="宋体"/>
        <charset val="134"/>
      </rPr>
      <t>建成年月</t>
    </r>
  </si>
  <si>
    <r>
      <rPr>
        <b/>
        <sz val="10"/>
        <rFont val="宋体"/>
        <charset val="134"/>
      </rPr>
      <t>建筑</t>
    </r>
    <r>
      <rPr>
        <b/>
        <sz val="10"/>
        <rFont val="Times New Roman"/>
        <charset val="134"/>
      </rPr>
      <t xml:space="preserve">          </t>
    </r>
    <r>
      <rPr>
        <b/>
        <sz val="10"/>
        <rFont val="宋体"/>
        <charset val="134"/>
      </rPr>
      <t>面积</t>
    </r>
    <r>
      <rPr>
        <b/>
        <sz val="10"/>
        <rFont val="Times New Roman"/>
        <charset val="134"/>
      </rPr>
      <t>/</t>
    </r>
    <r>
      <rPr>
        <b/>
        <sz val="10"/>
        <rFont val="宋体"/>
        <charset val="134"/>
      </rPr>
      <t>容积</t>
    </r>
  </si>
  <si>
    <r>
      <rPr>
        <b/>
        <sz val="10"/>
        <rFont val="宋体"/>
        <charset val="134"/>
      </rPr>
      <t>成本单价</t>
    </r>
    <r>
      <rPr>
        <b/>
        <sz val="10"/>
        <rFont val="Times New Roman"/>
        <charset val="134"/>
      </rPr>
      <t>(</t>
    </r>
    <r>
      <rPr>
        <b/>
        <sz val="10"/>
        <rFont val="宋体"/>
        <charset val="134"/>
      </rPr>
      <t>元</t>
    </r>
    <r>
      <rPr>
        <b/>
        <sz val="10"/>
        <rFont val="Times New Roman"/>
        <charset val="134"/>
      </rPr>
      <t>/m</t>
    </r>
    <r>
      <rPr>
        <b/>
        <vertAlign val="superscript"/>
        <sz val="10"/>
        <rFont val="Times New Roman"/>
        <charset val="134"/>
      </rPr>
      <t>2</t>
    </r>
    <r>
      <rPr>
        <b/>
        <sz val="10"/>
        <rFont val="Times New Roman"/>
        <charset val="134"/>
      </rPr>
      <t>)</t>
    </r>
  </si>
  <si>
    <r>
      <rPr>
        <b/>
        <sz val="10"/>
        <rFont val="宋体"/>
        <charset val="134"/>
      </rPr>
      <t>评估单价</t>
    </r>
    <r>
      <rPr>
        <b/>
        <sz val="10"/>
        <rFont val="Times New Roman"/>
        <charset val="134"/>
      </rPr>
      <t>(</t>
    </r>
    <r>
      <rPr>
        <b/>
        <sz val="10"/>
        <rFont val="宋体"/>
        <charset val="134"/>
      </rPr>
      <t>元</t>
    </r>
    <r>
      <rPr>
        <b/>
        <sz val="10"/>
        <rFont val="Times New Roman"/>
        <charset val="134"/>
      </rPr>
      <t>/m</t>
    </r>
    <r>
      <rPr>
        <b/>
        <vertAlign val="superscript"/>
        <sz val="10"/>
        <rFont val="Times New Roman"/>
        <charset val="134"/>
      </rPr>
      <t>2</t>
    </r>
    <r>
      <rPr>
        <b/>
        <sz val="10"/>
        <rFont val="Times New Roman"/>
        <charset val="134"/>
      </rPr>
      <t>)</t>
    </r>
  </si>
  <si>
    <r>
      <rPr>
        <b/>
        <sz val="10"/>
        <rFont val="宋体"/>
        <charset val="134"/>
      </rPr>
      <t>现场勘察简单记录</t>
    </r>
  </si>
  <si>
    <r>
      <rPr>
        <b/>
        <sz val="10"/>
        <rFont val="宋体"/>
        <charset val="134"/>
      </rPr>
      <t>概预结算</t>
    </r>
  </si>
  <si>
    <r>
      <rPr>
        <b/>
        <sz val="10"/>
        <rFont val="宋体"/>
        <charset val="134"/>
      </rPr>
      <t>权属资料</t>
    </r>
  </si>
  <si>
    <r>
      <rPr>
        <b/>
        <sz val="10"/>
        <rFont val="宋体"/>
        <charset val="134"/>
      </rPr>
      <t>调查表</t>
    </r>
  </si>
  <si>
    <r>
      <rPr>
        <b/>
        <sz val="10"/>
        <rFont val="宋体"/>
        <charset val="134"/>
      </rPr>
      <t>市场法收益法评估单价</t>
    </r>
  </si>
  <si>
    <t>原值</t>
  </si>
  <si>
    <t>净值</t>
  </si>
  <si>
    <t>减值准备</t>
  </si>
  <si>
    <r>
      <rPr>
        <b/>
        <sz val="10"/>
        <rFont val="宋体"/>
        <charset val="134"/>
      </rPr>
      <t>减值准备</t>
    </r>
  </si>
  <si>
    <r>
      <rPr>
        <b/>
        <sz val="10"/>
        <color indexed="10"/>
        <rFont val="宋体"/>
        <charset val="134"/>
      </rPr>
      <t>原值</t>
    </r>
  </si>
  <si>
    <r>
      <rPr>
        <b/>
        <sz val="10"/>
        <color indexed="10"/>
        <rFont val="宋体"/>
        <charset val="134"/>
      </rPr>
      <t>净值</t>
    </r>
  </si>
  <si>
    <r>
      <rPr>
        <b/>
        <sz val="10"/>
        <color rgb="FFFF0000"/>
        <rFont val="宋体"/>
        <charset val="134"/>
      </rPr>
      <t>减值准备</t>
    </r>
  </si>
  <si>
    <r>
      <rPr>
        <b/>
        <sz val="10"/>
        <rFont val="宋体"/>
        <charset val="134"/>
      </rPr>
      <t>单平米造价</t>
    </r>
  </si>
  <si>
    <r>
      <rPr>
        <b/>
        <sz val="10"/>
        <rFont val="宋体"/>
        <charset val="134"/>
      </rPr>
      <t>总造价</t>
    </r>
  </si>
  <si>
    <r>
      <rPr>
        <b/>
        <sz val="10"/>
        <rFont val="宋体"/>
        <charset val="134"/>
      </rPr>
      <t>含税其他费费率</t>
    </r>
  </si>
  <si>
    <t>不可扣税费费率</t>
  </si>
  <si>
    <t>按面积计算前期费单价</t>
  </si>
  <si>
    <r>
      <rPr>
        <b/>
        <sz val="10"/>
        <rFont val="宋体"/>
        <charset val="134"/>
      </rPr>
      <t>含税其他费费</t>
    </r>
  </si>
  <si>
    <r>
      <rPr>
        <b/>
        <sz val="10"/>
        <rFont val="宋体"/>
        <charset val="134"/>
      </rPr>
      <t>可抵扣增值税</t>
    </r>
  </si>
  <si>
    <r>
      <rPr>
        <b/>
        <sz val="10"/>
        <rFont val="宋体"/>
        <charset val="134"/>
      </rPr>
      <t>小计</t>
    </r>
  </si>
  <si>
    <r>
      <rPr>
        <b/>
        <sz val="10"/>
        <rFont val="宋体"/>
        <charset val="134"/>
      </rPr>
      <t>合理工期</t>
    </r>
  </si>
  <si>
    <r>
      <rPr>
        <b/>
        <sz val="10"/>
        <rFont val="宋体"/>
        <charset val="134"/>
      </rPr>
      <t>借款利率</t>
    </r>
  </si>
  <si>
    <r>
      <rPr>
        <b/>
        <sz val="10"/>
        <rFont val="宋体"/>
        <charset val="134"/>
      </rPr>
      <t>资金成本</t>
    </r>
  </si>
  <si>
    <r>
      <rPr>
        <b/>
        <sz val="10"/>
        <rFont val="宋体"/>
        <charset val="134"/>
      </rPr>
      <t>评估原值</t>
    </r>
  </si>
  <si>
    <r>
      <rPr>
        <b/>
        <sz val="10"/>
        <rFont val="宋体"/>
        <charset val="134"/>
      </rPr>
      <t>年限成新率</t>
    </r>
  </si>
  <si>
    <r>
      <rPr>
        <b/>
        <sz val="10"/>
        <rFont val="宋体"/>
        <charset val="134"/>
      </rPr>
      <t>勘察成新率</t>
    </r>
  </si>
  <si>
    <r>
      <rPr>
        <b/>
        <sz val="10"/>
        <rFont val="宋体"/>
        <charset val="134"/>
      </rPr>
      <t>综合成新率</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</si>
  <si>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01</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</si>
  <si>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02</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</si>
  <si>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03</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</si>
  <si>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04</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</si>
  <si>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05</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</si>
  <si>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06</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</si>
  <si>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07</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</si>
  <si>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08</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</si>
  <si>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09</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</si>
  <si>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10</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</si>
  <si>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11</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</si>
  <si>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12</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</si>
  <si>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13</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</si>
  <si>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14</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</si>
  <si>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15</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</si>
  <si>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16</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</si>
  <si>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17</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</si>
  <si>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18</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</si>
  <si>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19</t>
    </r>
  </si>
  <si>
    <r>
      <rPr>
        <sz val="10"/>
        <rFont val="宋体"/>
        <charset val="134"/>
      </rPr>
      <t>投资性房地产</t>
    </r>
    <r>
      <rPr>
        <sz val="10"/>
        <rFont val="Times New Roman"/>
        <charset val="134"/>
      </rPr>
      <t>-</t>
    </r>
    <r>
      <rPr>
        <sz val="10"/>
        <rFont val="宋体"/>
        <charset val="134"/>
      </rPr>
      <t>房屋成本模式</t>
    </r>
    <r>
      <rPr>
        <sz val="10"/>
        <rFont val="Times New Roman"/>
        <charset val="134"/>
      </rPr>
      <t>20</t>
    </r>
  </si>
  <si>
    <r>
      <rPr>
        <sz val="14"/>
        <rFont val="宋体"/>
        <charset val="134"/>
      </rPr>
      <t>（采用公允价值模式计量）</t>
    </r>
  </si>
  <si>
    <r>
      <rPr>
        <b/>
        <sz val="9"/>
        <rFont val="宋体"/>
        <charset val="134"/>
      </rPr>
      <t>来源</t>
    </r>
  </si>
  <si>
    <r>
      <rPr>
        <b/>
        <sz val="10"/>
        <rFont val="宋体"/>
        <charset val="134"/>
      </rPr>
      <t>原始入帐价值
（转入日公允价值）</t>
    </r>
  </si>
  <si>
    <r>
      <rPr>
        <b/>
        <sz val="10"/>
        <rFont val="宋体"/>
        <charset val="134"/>
      </rPr>
      <t>概预
结算</t>
    </r>
  </si>
  <si>
    <r>
      <rPr>
        <b/>
        <sz val="10"/>
        <rFont val="宋体"/>
        <charset val="134"/>
      </rPr>
      <t>权属
资料</t>
    </r>
  </si>
  <si>
    <t>原始金额</t>
  </si>
  <si>
    <t>账面金额</t>
  </si>
  <si>
    <r>
      <rPr>
        <sz val="10"/>
        <rFont val="宋体"/>
        <charset val="134"/>
      </rPr>
      <t>投资性房地产</t>
    </r>
    <r>
      <rPr>
        <sz val="10"/>
        <rFont val="Times New Roman"/>
        <charset val="134"/>
      </rPr>
      <t>-</t>
    </r>
    <r>
      <rPr>
        <sz val="10"/>
        <rFont val="宋体"/>
        <charset val="134"/>
      </rPr>
      <t>房屋公允模式</t>
    </r>
    <r>
      <rPr>
        <sz val="10"/>
        <rFont val="Times New Roman"/>
        <charset val="134"/>
      </rPr>
      <t>01</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</si>
  <si>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02</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</si>
  <si>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03</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</si>
  <si>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04</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</si>
  <si>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05</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</si>
  <si>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06</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</si>
  <si>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07</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</si>
  <si>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08</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</si>
  <si>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09</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</si>
  <si>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10</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</si>
  <si>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11</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</si>
  <si>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12</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</si>
  <si>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13</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</si>
  <si>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14</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</si>
  <si>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15</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</si>
  <si>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16</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</si>
  <si>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17</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</si>
  <si>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18</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</si>
  <si>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19</t>
    </r>
  </si>
  <si>
    <r>
      <rPr>
        <sz val="10"/>
        <rFont val="宋体"/>
        <charset val="134"/>
      </rPr>
      <t>投资性房地产</t>
    </r>
    <r>
      <rPr>
        <sz val="10"/>
        <rFont val="Times New Roman"/>
        <charset val="134"/>
      </rPr>
      <t>-</t>
    </r>
    <r>
      <rPr>
        <sz val="10"/>
        <rFont val="宋体"/>
        <charset val="134"/>
      </rPr>
      <t>房屋公允模式</t>
    </r>
    <r>
      <rPr>
        <sz val="10"/>
        <rFont val="Times New Roman"/>
        <charset val="134"/>
      </rPr>
      <t>20</t>
    </r>
  </si>
  <si>
    <r>
      <rPr>
        <b/>
        <sz val="10"/>
        <rFont val="宋体"/>
        <charset val="134"/>
      </rPr>
      <t>合</t>
    </r>
    <r>
      <rPr>
        <b/>
        <sz val="10"/>
        <rFont val="Times New Roman"/>
        <charset val="134"/>
      </rPr>
      <t xml:space="preserve">      </t>
    </r>
    <r>
      <rPr>
        <b/>
        <sz val="10"/>
        <rFont val="宋体"/>
        <charset val="134"/>
      </rPr>
      <t>计</t>
    </r>
  </si>
  <si>
    <r>
      <rPr>
        <sz val="18"/>
        <rFont val="宋体"/>
        <charset val="134"/>
      </rPr>
      <t>投资性房地产</t>
    </r>
    <r>
      <rPr>
        <sz val="18"/>
        <rFont val="Times New Roman"/>
        <charset val="134"/>
      </rPr>
      <t>——</t>
    </r>
    <r>
      <rPr>
        <sz val="18"/>
        <rFont val="宋体"/>
        <charset val="134"/>
      </rPr>
      <t>土地使用权评估明细表</t>
    </r>
  </si>
  <si>
    <r>
      <rPr>
        <b/>
        <sz val="10"/>
        <rFont val="宋体"/>
        <charset val="134"/>
      </rPr>
      <t>计算过程请在</t>
    </r>
    <r>
      <rPr>
        <b/>
        <sz val="10"/>
        <rFont val="Times New Roman"/>
        <charset val="134"/>
      </rPr>
      <t>BP</t>
    </r>
    <r>
      <rPr>
        <b/>
        <sz val="10"/>
        <rFont val="宋体"/>
        <charset val="134"/>
      </rPr>
      <t>列后列示</t>
    </r>
  </si>
  <si>
    <r>
      <rPr>
        <b/>
        <sz val="10"/>
        <rFont val="宋体"/>
        <charset val="134"/>
      </rPr>
      <t>土地权证编号</t>
    </r>
  </si>
  <si>
    <r>
      <rPr>
        <b/>
        <sz val="10"/>
        <rFont val="宋体"/>
        <charset val="134"/>
      </rPr>
      <t>宗地名称</t>
    </r>
  </si>
  <si>
    <r>
      <rPr>
        <b/>
        <sz val="10"/>
        <rFont val="宋体"/>
        <charset val="134"/>
      </rPr>
      <t>土地位置</t>
    </r>
  </si>
  <si>
    <r>
      <rPr>
        <b/>
        <sz val="10"/>
        <rFont val="宋体"/>
        <charset val="134"/>
      </rPr>
      <t>取得日期</t>
    </r>
  </si>
  <si>
    <r>
      <rPr>
        <b/>
        <sz val="10"/>
        <rFont val="宋体"/>
        <charset val="134"/>
      </rPr>
      <t>用地性质</t>
    </r>
  </si>
  <si>
    <r>
      <rPr>
        <b/>
        <sz val="10"/>
        <rFont val="宋体"/>
        <charset val="134"/>
      </rPr>
      <t>土地用途</t>
    </r>
  </si>
  <si>
    <r>
      <rPr>
        <b/>
        <sz val="10"/>
        <rFont val="宋体"/>
        <charset val="134"/>
      </rPr>
      <t>到期时间</t>
    </r>
  </si>
  <si>
    <r>
      <rPr>
        <b/>
        <sz val="10"/>
        <rFont val="宋体"/>
        <charset val="134"/>
      </rPr>
      <t>开发程度</t>
    </r>
  </si>
  <si>
    <r>
      <rPr>
        <b/>
        <sz val="10"/>
        <rFont val="宋体"/>
        <charset val="134"/>
      </rPr>
      <t>面积</t>
    </r>
    <r>
      <rPr>
        <b/>
        <sz val="10"/>
        <rFont val="Times New Roman"/>
        <charset val="134"/>
      </rPr>
      <t>(m</t>
    </r>
    <r>
      <rPr>
        <b/>
        <vertAlign val="superscript"/>
        <sz val="10"/>
        <rFont val="Times New Roman"/>
        <charset val="134"/>
      </rPr>
      <t>2</t>
    </r>
    <r>
      <rPr>
        <b/>
        <sz val="10"/>
        <rFont val="Times New Roman"/>
        <charset val="134"/>
      </rPr>
      <t>)</t>
    </r>
  </si>
  <si>
    <r>
      <rPr>
        <b/>
        <sz val="10"/>
        <rFont val="宋体"/>
        <charset val="134"/>
      </rPr>
      <t>估价期日土地实际使用者</t>
    </r>
  </si>
  <si>
    <r>
      <rPr>
        <b/>
        <sz val="10"/>
        <rFont val="宋体"/>
        <charset val="134"/>
      </rPr>
      <t>地号</t>
    </r>
  </si>
  <si>
    <r>
      <rPr>
        <b/>
        <sz val="10"/>
        <rFont val="宋体"/>
        <charset val="134"/>
      </rPr>
      <t>图号</t>
    </r>
  </si>
  <si>
    <r>
      <rPr>
        <b/>
        <sz val="10"/>
        <rFont val="宋体"/>
        <charset val="134"/>
      </rPr>
      <t>发证日期</t>
    </r>
  </si>
  <si>
    <r>
      <rPr>
        <b/>
        <sz val="10"/>
        <rFont val="宋体"/>
        <charset val="134"/>
      </rPr>
      <t>他项权利状况</t>
    </r>
  </si>
  <si>
    <r>
      <rPr>
        <b/>
        <sz val="10"/>
        <rFont val="宋体"/>
        <charset val="134"/>
      </rPr>
      <t>四至</t>
    </r>
    <r>
      <rPr>
        <b/>
        <sz val="10"/>
        <rFont val="Times New Roman"/>
        <charset val="134"/>
      </rPr>
      <t>-</t>
    </r>
    <r>
      <rPr>
        <b/>
        <sz val="10"/>
        <rFont val="宋体"/>
        <charset val="134"/>
      </rPr>
      <t>东至</t>
    </r>
  </si>
  <si>
    <r>
      <rPr>
        <b/>
        <sz val="10"/>
        <rFont val="宋体"/>
        <charset val="134"/>
      </rPr>
      <t>四至</t>
    </r>
    <r>
      <rPr>
        <b/>
        <sz val="10"/>
        <rFont val="Times New Roman"/>
        <charset val="134"/>
      </rPr>
      <t>-</t>
    </r>
    <r>
      <rPr>
        <b/>
        <sz val="10"/>
        <rFont val="宋体"/>
        <charset val="134"/>
      </rPr>
      <t>西至</t>
    </r>
  </si>
  <si>
    <r>
      <rPr>
        <b/>
        <sz val="10"/>
        <rFont val="宋体"/>
        <charset val="134"/>
      </rPr>
      <t>四至</t>
    </r>
    <r>
      <rPr>
        <b/>
        <sz val="10"/>
        <rFont val="Times New Roman"/>
        <charset val="134"/>
      </rPr>
      <t>-</t>
    </r>
    <r>
      <rPr>
        <b/>
        <sz val="10"/>
        <rFont val="宋体"/>
        <charset val="134"/>
      </rPr>
      <t>南至</t>
    </r>
  </si>
  <si>
    <r>
      <rPr>
        <b/>
        <sz val="10"/>
        <rFont val="宋体"/>
        <charset val="134"/>
      </rPr>
      <t>四至</t>
    </r>
    <r>
      <rPr>
        <b/>
        <sz val="10"/>
        <rFont val="Times New Roman"/>
        <charset val="134"/>
      </rPr>
      <t>-</t>
    </r>
    <r>
      <rPr>
        <b/>
        <sz val="10"/>
        <rFont val="宋体"/>
        <charset val="134"/>
      </rPr>
      <t>北至</t>
    </r>
  </si>
  <si>
    <r>
      <rPr>
        <b/>
        <sz val="10"/>
        <rFont val="宋体"/>
        <charset val="134"/>
      </rPr>
      <t>土地证记事栏</t>
    </r>
  </si>
  <si>
    <r>
      <rPr>
        <b/>
        <sz val="10"/>
        <rFont val="宋体"/>
        <charset val="134"/>
      </rPr>
      <t>其他替代产权文件</t>
    </r>
  </si>
  <si>
    <r>
      <rPr>
        <b/>
        <sz val="10"/>
        <rFont val="宋体"/>
        <charset val="134"/>
      </rPr>
      <t>未办证原因</t>
    </r>
  </si>
  <si>
    <r>
      <rPr>
        <b/>
        <sz val="10"/>
        <rFont val="宋体"/>
        <charset val="134"/>
      </rPr>
      <t>摊销年限</t>
    </r>
  </si>
  <si>
    <t>外币账面价值</t>
  </si>
  <si>
    <t>外币减值准备</t>
  </si>
  <si>
    <r>
      <rPr>
        <sz val="10"/>
        <rFont val="宋体"/>
        <charset val="134"/>
      </rPr>
      <t>投资性地产</t>
    </r>
    <r>
      <rPr>
        <sz val="10"/>
        <rFont val="Times New Roman"/>
        <charset val="134"/>
      </rPr>
      <t>-</t>
    </r>
    <r>
      <rPr>
        <sz val="10"/>
        <rFont val="宋体"/>
        <charset val="134"/>
      </rPr>
      <t>土地成本模式</t>
    </r>
    <r>
      <rPr>
        <sz val="10"/>
        <rFont val="Times New Roman"/>
        <charset val="134"/>
      </rPr>
      <t>01</t>
    </r>
  </si>
  <si>
    <r>
      <rPr>
        <sz val="10"/>
        <rFont val="宋体"/>
        <charset val="134"/>
      </rPr>
      <t>投资性地产</t>
    </r>
    <r>
      <rPr>
        <sz val="10"/>
        <rFont val="Times New Roman"/>
        <charset val="134"/>
      </rPr>
      <t>-</t>
    </r>
    <r>
      <rPr>
        <sz val="10"/>
        <rFont val="宋体"/>
        <charset val="134"/>
      </rPr>
      <t>土地成本模式</t>
    </r>
    <r>
      <rPr>
        <sz val="10"/>
        <rFont val="Times New Roman"/>
        <charset val="134"/>
      </rPr>
      <t>02</t>
    </r>
  </si>
  <si>
    <r>
      <rPr>
        <sz val="10"/>
        <rFont val="宋体"/>
        <charset val="134"/>
      </rPr>
      <t>投资性地产</t>
    </r>
    <r>
      <rPr>
        <sz val="10"/>
        <rFont val="Times New Roman"/>
        <charset val="134"/>
      </rPr>
      <t>-</t>
    </r>
    <r>
      <rPr>
        <sz val="10"/>
        <rFont val="宋体"/>
        <charset val="134"/>
      </rPr>
      <t>土地成本模式</t>
    </r>
    <r>
      <rPr>
        <sz val="10"/>
        <rFont val="Times New Roman"/>
        <charset val="134"/>
      </rPr>
      <t>03</t>
    </r>
  </si>
  <si>
    <r>
      <rPr>
        <sz val="10"/>
        <rFont val="宋体"/>
        <charset val="134"/>
      </rPr>
      <t>投资性地产</t>
    </r>
    <r>
      <rPr>
        <sz val="10"/>
        <rFont val="Times New Roman"/>
        <charset val="134"/>
      </rPr>
      <t>-</t>
    </r>
    <r>
      <rPr>
        <sz val="10"/>
        <rFont val="宋体"/>
        <charset val="134"/>
      </rPr>
      <t>土地成本模式</t>
    </r>
    <r>
      <rPr>
        <sz val="10"/>
        <rFont val="Times New Roman"/>
        <charset val="134"/>
      </rPr>
      <t>04</t>
    </r>
  </si>
  <si>
    <r>
      <rPr>
        <sz val="10"/>
        <rFont val="宋体"/>
        <charset val="134"/>
      </rPr>
      <t>投资性地产</t>
    </r>
    <r>
      <rPr>
        <sz val="10"/>
        <rFont val="Times New Roman"/>
        <charset val="134"/>
      </rPr>
      <t>-</t>
    </r>
    <r>
      <rPr>
        <sz val="10"/>
        <rFont val="宋体"/>
        <charset val="134"/>
      </rPr>
      <t>土地成本模式</t>
    </r>
    <r>
      <rPr>
        <sz val="10"/>
        <rFont val="Times New Roman"/>
        <charset val="134"/>
      </rPr>
      <t>05</t>
    </r>
  </si>
  <si>
    <r>
      <rPr>
        <sz val="10"/>
        <rFont val="宋体"/>
        <charset val="134"/>
      </rPr>
      <t>投资性地产</t>
    </r>
    <r>
      <rPr>
        <sz val="10"/>
        <rFont val="Times New Roman"/>
        <charset val="134"/>
      </rPr>
      <t>-</t>
    </r>
    <r>
      <rPr>
        <sz val="10"/>
        <rFont val="宋体"/>
        <charset val="134"/>
      </rPr>
      <t>土地成本模式</t>
    </r>
    <r>
      <rPr>
        <sz val="10"/>
        <rFont val="Times New Roman"/>
        <charset val="134"/>
      </rPr>
      <t>06</t>
    </r>
  </si>
  <si>
    <r>
      <rPr>
        <sz val="10"/>
        <rFont val="宋体"/>
        <charset val="134"/>
      </rPr>
      <t>投资性地产</t>
    </r>
    <r>
      <rPr>
        <sz val="10"/>
        <rFont val="Times New Roman"/>
        <charset val="134"/>
      </rPr>
      <t>-</t>
    </r>
    <r>
      <rPr>
        <sz val="10"/>
        <rFont val="宋体"/>
        <charset val="134"/>
      </rPr>
      <t>土地成本模式</t>
    </r>
    <r>
      <rPr>
        <sz val="10"/>
        <rFont val="Times New Roman"/>
        <charset val="134"/>
      </rPr>
      <t>07</t>
    </r>
  </si>
  <si>
    <r>
      <rPr>
        <sz val="10"/>
        <rFont val="宋体"/>
        <charset val="134"/>
      </rPr>
      <t>投资性地产</t>
    </r>
    <r>
      <rPr>
        <sz val="10"/>
        <rFont val="Times New Roman"/>
        <charset val="134"/>
      </rPr>
      <t>-</t>
    </r>
    <r>
      <rPr>
        <sz val="10"/>
        <rFont val="宋体"/>
        <charset val="134"/>
      </rPr>
      <t>土地成本模式</t>
    </r>
    <r>
      <rPr>
        <sz val="10"/>
        <rFont val="Times New Roman"/>
        <charset val="134"/>
      </rPr>
      <t>08</t>
    </r>
  </si>
  <si>
    <r>
      <rPr>
        <sz val="10"/>
        <rFont val="宋体"/>
        <charset val="134"/>
      </rPr>
      <t>投资性地产</t>
    </r>
    <r>
      <rPr>
        <sz val="10"/>
        <rFont val="Times New Roman"/>
        <charset val="134"/>
      </rPr>
      <t>-</t>
    </r>
    <r>
      <rPr>
        <sz val="10"/>
        <rFont val="宋体"/>
        <charset val="134"/>
      </rPr>
      <t>土地成本模式</t>
    </r>
    <r>
      <rPr>
        <sz val="10"/>
        <rFont val="Times New Roman"/>
        <charset val="134"/>
      </rPr>
      <t>09</t>
    </r>
  </si>
  <si>
    <r>
      <rPr>
        <sz val="10"/>
        <rFont val="宋体"/>
        <charset val="134"/>
      </rPr>
      <t>投资性地产</t>
    </r>
    <r>
      <rPr>
        <sz val="10"/>
        <rFont val="Times New Roman"/>
        <charset val="134"/>
      </rPr>
      <t>-</t>
    </r>
    <r>
      <rPr>
        <sz val="10"/>
        <rFont val="宋体"/>
        <charset val="134"/>
      </rPr>
      <t>土地成本模式</t>
    </r>
    <r>
      <rPr>
        <sz val="10"/>
        <rFont val="Times New Roman"/>
        <charset val="134"/>
      </rPr>
      <t>10</t>
    </r>
  </si>
  <si>
    <r>
      <rPr>
        <sz val="10"/>
        <rFont val="宋体"/>
        <charset val="134"/>
      </rPr>
      <t>投资性地产</t>
    </r>
    <r>
      <rPr>
        <sz val="10"/>
        <rFont val="Times New Roman"/>
        <charset val="134"/>
      </rPr>
      <t>-</t>
    </r>
    <r>
      <rPr>
        <sz val="10"/>
        <rFont val="宋体"/>
        <charset val="134"/>
      </rPr>
      <t>土地成本模式</t>
    </r>
    <r>
      <rPr>
        <sz val="10"/>
        <rFont val="Times New Roman"/>
        <charset val="134"/>
      </rPr>
      <t>11</t>
    </r>
  </si>
  <si>
    <r>
      <rPr>
        <sz val="10"/>
        <rFont val="宋体"/>
        <charset val="134"/>
      </rPr>
      <t>投资性地产</t>
    </r>
    <r>
      <rPr>
        <sz val="10"/>
        <rFont val="Times New Roman"/>
        <charset val="134"/>
      </rPr>
      <t>-</t>
    </r>
    <r>
      <rPr>
        <sz val="10"/>
        <rFont val="宋体"/>
        <charset val="134"/>
      </rPr>
      <t>土地成本模式</t>
    </r>
    <r>
      <rPr>
        <sz val="10"/>
        <rFont val="Times New Roman"/>
        <charset val="134"/>
      </rPr>
      <t>12</t>
    </r>
  </si>
  <si>
    <r>
      <rPr>
        <sz val="10"/>
        <rFont val="宋体"/>
        <charset val="134"/>
      </rPr>
      <t>投资性地产</t>
    </r>
    <r>
      <rPr>
        <sz val="10"/>
        <rFont val="Times New Roman"/>
        <charset val="134"/>
      </rPr>
      <t>-</t>
    </r>
    <r>
      <rPr>
        <sz val="10"/>
        <rFont val="宋体"/>
        <charset val="134"/>
      </rPr>
      <t>土地成本模式</t>
    </r>
    <r>
      <rPr>
        <sz val="10"/>
        <rFont val="Times New Roman"/>
        <charset val="134"/>
      </rPr>
      <t>13</t>
    </r>
  </si>
  <si>
    <r>
      <rPr>
        <sz val="10"/>
        <rFont val="宋体"/>
        <charset val="134"/>
      </rPr>
      <t>投资性地产</t>
    </r>
    <r>
      <rPr>
        <sz val="10"/>
        <rFont val="Times New Roman"/>
        <charset val="134"/>
      </rPr>
      <t>-</t>
    </r>
    <r>
      <rPr>
        <sz val="10"/>
        <rFont val="宋体"/>
        <charset val="134"/>
      </rPr>
      <t>土地成本模式</t>
    </r>
    <r>
      <rPr>
        <sz val="10"/>
        <rFont val="Times New Roman"/>
        <charset val="134"/>
      </rPr>
      <t>14</t>
    </r>
  </si>
  <si>
    <r>
      <rPr>
        <sz val="10"/>
        <rFont val="宋体"/>
        <charset val="134"/>
      </rPr>
      <t>投资性地产</t>
    </r>
    <r>
      <rPr>
        <sz val="10"/>
        <rFont val="Times New Roman"/>
        <charset val="134"/>
      </rPr>
      <t>-</t>
    </r>
    <r>
      <rPr>
        <sz val="10"/>
        <rFont val="宋体"/>
        <charset val="134"/>
      </rPr>
      <t>土地成本模式</t>
    </r>
    <r>
      <rPr>
        <sz val="10"/>
        <rFont val="Times New Roman"/>
        <charset val="134"/>
      </rPr>
      <t>15</t>
    </r>
  </si>
  <si>
    <r>
      <rPr>
        <sz val="10"/>
        <rFont val="宋体"/>
        <charset val="134"/>
      </rPr>
      <t>投资性地产</t>
    </r>
    <r>
      <rPr>
        <sz val="10"/>
        <rFont val="Times New Roman"/>
        <charset val="134"/>
      </rPr>
      <t>-</t>
    </r>
    <r>
      <rPr>
        <sz val="10"/>
        <rFont val="宋体"/>
        <charset val="134"/>
      </rPr>
      <t>土地成本模式</t>
    </r>
    <r>
      <rPr>
        <sz val="10"/>
        <rFont val="Times New Roman"/>
        <charset val="134"/>
      </rPr>
      <t>16</t>
    </r>
  </si>
  <si>
    <r>
      <rPr>
        <sz val="10"/>
        <rFont val="宋体"/>
        <charset val="134"/>
      </rPr>
      <t>投资性地产</t>
    </r>
    <r>
      <rPr>
        <sz val="10"/>
        <rFont val="Times New Roman"/>
        <charset val="134"/>
      </rPr>
      <t>-</t>
    </r>
    <r>
      <rPr>
        <sz val="10"/>
        <rFont val="宋体"/>
        <charset val="134"/>
      </rPr>
      <t>土地成本模式</t>
    </r>
    <r>
      <rPr>
        <sz val="10"/>
        <rFont val="Times New Roman"/>
        <charset val="134"/>
      </rPr>
      <t>17</t>
    </r>
  </si>
  <si>
    <r>
      <rPr>
        <sz val="10"/>
        <rFont val="宋体"/>
        <charset val="134"/>
      </rPr>
      <t>投资性地产</t>
    </r>
    <r>
      <rPr>
        <sz val="10"/>
        <rFont val="Times New Roman"/>
        <charset val="134"/>
      </rPr>
      <t>-</t>
    </r>
    <r>
      <rPr>
        <sz val="10"/>
        <rFont val="宋体"/>
        <charset val="134"/>
      </rPr>
      <t>土地成本模式</t>
    </r>
    <r>
      <rPr>
        <sz val="10"/>
        <rFont val="Times New Roman"/>
        <charset val="134"/>
      </rPr>
      <t>18</t>
    </r>
  </si>
  <si>
    <r>
      <rPr>
        <sz val="10"/>
        <rFont val="宋体"/>
        <charset val="134"/>
      </rPr>
      <t>投资性地产</t>
    </r>
    <r>
      <rPr>
        <sz val="10"/>
        <rFont val="Times New Roman"/>
        <charset val="134"/>
      </rPr>
      <t>-</t>
    </r>
    <r>
      <rPr>
        <sz val="10"/>
        <rFont val="宋体"/>
        <charset val="134"/>
      </rPr>
      <t>土地成本模式</t>
    </r>
    <r>
      <rPr>
        <sz val="10"/>
        <rFont val="Times New Roman"/>
        <charset val="134"/>
      </rPr>
      <t>19</t>
    </r>
  </si>
  <si>
    <r>
      <rPr>
        <sz val="10"/>
        <rFont val="宋体"/>
        <charset val="134"/>
      </rPr>
      <t>投资性地产</t>
    </r>
    <r>
      <rPr>
        <sz val="10"/>
        <rFont val="Times New Roman"/>
        <charset val="134"/>
      </rPr>
      <t>-</t>
    </r>
    <r>
      <rPr>
        <sz val="10"/>
        <rFont val="宋体"/>
        <charset val="134"/>
      </rPr>
      <t>土地成本模式</t>
    </r>
    <r>
      <rPr>
        <sz val="10"/>
        <rFont val="Times New Roman"/>
        <charset val="134"/>
      </rPr>
      <t>20</t>
    </r>
  </si>
  <si>
    <r>
      <rPr>
        <b/>
        <sz val="10"/>
        <rFont val="宋体"/>
        <charset val="134"/>
      </rPr>
      <t>计算过程请在</t>
    </r>
    <r>
      <rPr>
        <b/>
        <sz val="10"/>
        <rFont val="Times New Roman"/>
        <charset val="134"/>
      </rPr>
      <t>BB</t>
    </r>
    <r>
      <rPr>
        <b/>
        <sz val="10"/>
        <rFont val="宋体"/>
        <charset val="134"/>
      </rPr>
      <t>列后列示</t>
    </r>
  </si>
  <si>
    <r>
      <rPr>
        <sz val="10"/>
        <rFont val="宋体"/>
        <charset val="134"/>
      </rPr>
      <t>投资性地产</t>
    </r>
    <r>
      <rPr>
        <sz val="10"/>
        <rFont val="Times New Roman"/>
        <charset val="134"/>
      </rPr>
      <t>-</t>
    </r>
    <r>
      <rPr>
        <sz val="10"/>
        <rFont val="宋体"/>
        <charset val="134"/>
      </rPr>
      <t>土地公允模式</t>
    </r>
    <r>
      <rPr>
        <sz val="10"/>
        <rFont val="Times New Roman"/>
        <charset val="134"/>
      </rPr>
      <t>01</t>
    </r>
  </si>
  <si>
    <r>
      <rPr>
        <sz val="10"/>
        <rFont val="宋体"/>
        <charset val="134"/>
      </rPr>
      <t>投资性地产</t>
    </r>
    <r>
      <rPr>
        <sz val="10"/>
        <rFont val="Times New Roman"/>
        <charset val="134"/>
      </rPr>
      <t>-</t>
    </r>
    <r>
      <rPr>
        <sz val="10"/>
        <rFont val="宋体"/>
        <charset val="134"/>
      </rPr>
      <t>土地公允模式</t>
    </r>
    <r>
      <rPr>
        <sz val="10"/>
        <rFont val="Times New Roman"/>
        <charset val="134"/>
      </rPr>
      <t>02</t>
    </r>
  </si>
  <si>
    <r>
      <rPr>
        <sz val="10"/>
        <rFont val="宋体"/>
        <charset val="134"/>
      </rPr>
      <t>投资性地产</t>
    </r>
    <r>
      <rPr>
        <sz val="10"/>
        <rFont val="Times New Roman"/>
        <charset val="134"/>
      </rPr>
      <t>-</t>
    </r>
    <r>
      <rPr>
        <sz val="10"/>
        <rFont val="宋体"/>
        <charset val="134"/>
      </rPr>
      <t>土地公允模式</t>
    </r>
    <r>
      <rPr>
        <sz val="10"/>
        <rFont val="Times New Roman"/>
        <charset val="134"/>
      </rPr>
      <t>03</t>
    </r>
  </si>
  <si>
    <r>
      <rPr>
        <sz val="10"/>
        <rFont val="宋体"/>
        <charset val="134"/>
      </rPr>
      <t>投资性地产</t>
    </r>
    <r>
      <rPr>
        <sz val="10"/>
        <rFont val="Times New Roman"/>
        <charset val="134"/>
      </rPr>
      <t>-</t>
    </r>
    <r>
      <rPr>
        <sz val="10"/>
        <rFont val="宋体"/>
        <charset val="134"/>
      </rPr>
      <t>土地公允模式</t>
    </r>
    <r>
      <rPr>
        <sz val="10"/>
        <rFont val="Times New Roman"/>
        <charset val="134"/>
      </rPr>
      <t>04</t>
    </r>
  </si>
  <si>
    <r>
      <rPr>
        <sz val="10"/>
        <rFont val="宋体"/>
        <charset val="134"/>
      </rPr>
      <t>投资性地产</t>
    </r>
    <r>
      <rPr>
        <sz val="10"/>
        <rFont val="Times New Roman"/>
        <charset val="134"/>
      </rPr>
      <t>-</t>
    </r>
    <r>
      <rPr>
        <sz val="10"/>
        <rFont val="宋体"/>
        <charset val="134"/>
      </rPr>
      <t>土地公允模式</t>
    </r>
    <r>
      <rPr>
        <sz val="10"/>
        <rFont val="Times New Roman"/>
        <charset val="134"/>
      </rPr>
      <t>05</t>
    </r>
  </si>
  <si>
    <r>
      <rPr>
        <sz val="10"/>
        <rFont val="宋体"/>
        <charset val="134"/>
      </rPr>
      <t>投资性地产</t>
    </r>
    <r>
      <rPr>
        <sz val="10"/>
        <rFont val="Times New Roman"/>
        <charset val="134"/>
      </rPr>
      <t>-</t>
    </r>
    <r>
      <rPr>
        <sz val="10"/>
        <rFont val="宋体"/>
        <charset val="134"/>
      </rPr>
      <t>土地公允模式</t>
    </r>
    <r>
      <rPr>
        <sz val="10"/>
        <rFont val="Times New Roman"/>
        <charset val="134"/>
      </rPr>
      <t>06</t>
    </r>
  </si>
  <si>
    <r>
      <rPr>
        <sz val="10"/>
        <rFont val="宋体"/>
        <charset val="134"/>
      </rPr>
      <t>投资性地产</t>
    </r>
    <r>
      <rPr>
        <sz val="10"/>
        <rFont val="Times New Roman"/>
        <charset val="134"/>
      </rPr>
      <t>-</t>
    </r>
    <r>
      <rPr>
        <sz val="10"/>
        <rFont val="宋体"/>
        <charset val="134"/>
      </rPr>
      <t>土地公允模式</t>
    </r>
    <r>
      <rPr>
        <sz val="10"/>
        <rFont val="Times New Roman"/>
        <charset val="134"/>
      </rPr>
      <t>07</t>
    </r>
  </si>
  <si>
    <r>
      <rPr>
        <sz val="10"/>
        <rFont val="宋体"/>
        <charset val="134"/>
      </rPr>
      <t>投资性地产</t>
    </r>
    <r>
      <rPr>
        <sz val="10"/>
        <rFont val="Times New Roman"/>
        <charset val="134"/>
      </rPr>
      <t>-</t>
    </r>
    <r>
      <rPr>
        <sz val="10"/>
        <rFont val="宋体"/>
        <charset val="134"/>
      </rPr>
      <t>土地公允模式</t>
    </r>
    <r>
      <rPr>
        <sz val="10"/>
        <rFont val="Times New Roman"/>
        <charset val="134"/>
      </rPr>
      <t>08</t>
    </r>
  </si>
  <si>
    <r>
      <rPr>
        <sz val="10"/>
        <rFont val="宋体"/>
        <charset val="134"/>
      </rPr>
      <t>投资性地产</t>
    </r>
    <r>
      <rPr>
        <sz val="10"/>
        <rFont val="Times New Roman"/>
        <charset val="134"/>
      </rPr>
      <t>-</t>
    </r>
    <r>
      <rPr>
        <sz val="10"/>
        <rFont val="宋体"/>
        <charset val="134"/>
      </rPr>
      <t>土地公允模式</t>
    </r>
    <r>
      <rPr>
        <sz val="10"/>
        <rFont val="Times New Roman"/>
        <charset val="134"/>
      </rPr>
      <t>09</t>
    </r>
  </si>
  <si>
    <r>
      <rPr>
        <sz val="10"/>
        <rFont val="宋体"/>
        <charset val="134"/>
      </rPr>
      <t>投资性地产</t>
    </r>
    <r>
      <rPr>
        <sz val="10"/>
        <rFont val="Times New Roman"/>
        <charset val="134"/>
      </rPr>
      <t>-</t>
    </r>
    <r>
      <rPr>
        <sz val="10"/>
        <rFont val="宋体"/>
        <charset val="134"/>
      </rPr>
      <t>土地公允模式</t>
    </r>
    <r>
      <rPr>
        <sz val="10"/>
        <rFont val="Times New Roman"/>
        <charset val="134"/>
      </rPr>
      <t>10</t>
    </r>
  </si>
  <si>
    <r>
      <rPr>
        <sz val="10"/>
        <rFont val="宋体"/>
        <charset val="134"/>
      </rPr>
      <t>投资性地产</t>
    </r>
    <r>
      <rPr>
        <sz val="10"/>
        <rFont val="Times New Roman"/>
        <charset val="134"/>
      </rPr>
      <t>-</t>
    </r>
    <r>
      <rPr>
        <sz val="10"/>
        <rFont val="宋体"/>
        <charset val="134"/>
      </rPr>
      <t>土地公允模式</t>
    </r>
    <r>
      <rPr>
        <sz val="10"/>
        <rFont val="Times New Roman"/>
        <charset val="134"/>
      </rPr>
      <t>11</t>
    </r>
  </si>
  <si>
    <r>
      <rPr>
        <sz val="10"/>
        <rFont val="宋体"/>
        <charset val="134"/>
      </rPr>
      <t>投资性地产</t>
    </r>
    <r>
      <rPr>
        <sz val="10"/>
        <rFont val="Times New Roman"/>
        <charset val="134"/>
      </rPr>
      <t>-</t>
    </r>
    <r>
      <rPr>
        <sz val="10"/>
        <rFont val="宋体"/>
        <charset val="134"/>
      </rPr>
      <t>土地公允模式</t>
    </r>
    <r>
      <rPr>
        <sz val="10"/>
        <rFont val="Times New Roman"/>
        <charset val="134"/>
      </rPr>
      <t>12</t>
    </r>
  </si>
  <si>
    <r>
      <rPr>
        <sz val="10"/>
        <rFont val="宋体"/>
        <charset val="134"/>
      </rPr>
      <t>投资性地产</t>
    </r>
    <r>
      <rPr>
        <sz val="10"/>
        <rFont val="Times New Roman"/>
        <charset val="134"/>
      </rPr>
      <t>-</t>
    </r>
    <r>
      <rPr>
        <sz val="10"/>
        <rFont val="宋体"/>
        <charset val="134"/>
      </rPr>
      <t>土地公允模式</t>
    </r>
    <r>
      <rPr>
        <sz val="10"/>
        <rFont val="Times New Roman"/>
        <charset val="134"/>
      </rPr>
      <t>13</t>
    </r>
  </si>
  <si>
    <r>
      <rPr>
        <sz val="10"/>
        <rFont val="宋体"/>
        <charset val="134"/>
      </rPr>
      <t>投资性地产</t>
    </r>
    <r>
      <rPr>
        <sz val="10"/>
        <rFont val="Times New Roman"/>
        <charset val="134"/>
      </rPr>
      <t>-</t>
    </r>
    <r>
      <rPr>
        <sz val="10"/>
        <rFont val="宋体"/>
        <charset val="134"/>
      </rPr>
      <t>土地公允模式</t>
    </r>
    <r>
      <rPr>
        <sz val="10"/>
        <rFont val="Times New Roman"/>
        <charset val="134"/>
      </rPr>
      <t>14</t>
    </r>
  </si>
  <si>
    <r>
      <rPr>
        <sz val="10"/>
        <rFont val="宋体"/>
        <charset val="134"/>
      </rPr>
      <t>投资性地产</t>
    </r>
    <r>
      <rPr>
        <sz val="10"/>
        <rFont val="Times New Roman"/>
        <charset val="134"/>
      </rPr>
      <t>-</t>
    </r>
    <r>
      <rPr>
        <sz val="10"/>
        <rFont val="宋体"/>
        <charset val="134"/>
      </rPr>
      <t>土地公允模式</t>
    </r>
    <r>
      <rPr>
        <sz val="10"/>
        <rFont val="Times New Roman"/>
        <charset val="134"/>
      </rPr>
      <t>15</t>
    </r>
  </si>
  <si>
    <r>
      <rPr>
        <sz val="10"/>
        <rFont val="宋体"/>
        <charset val="134"/>
      </rPr>
      <t>投资性地产</t>
    </r>
    <r>
      <rPr>
        <sz val="10"/>
        <rFont val="Times New Roman"/>
        <charset val="134"/>
      </rPr>
      <t>-</t>
    </r>
    <r>
      <rPr>
        <sz val="10"/>
        <rFont val="宋体"/>
        <charset val="134"/>
      </rPr>
      <t>土地公允模式</t>
    </r>
    <r>
      <rPr>
        <sz val="10"/>
        <rFont val="Times New Roman"/>
        <charset val="134"/>
      </rPr>
      <t>16</t>
    </r>
  </si>
  <si>
    <r>
      <rPr>
        <sz val="10"/>
        <rFont val="宋体"/>
        <charset val="134"/>
      </rPr>
      <t>投资性地产</t>
    </r>
    <r>
      <rPr>
        <sz val="10"/>
        <rFont val="Times New Roman"/>
        <charset val="134"/>
      </rPr>
      <t>-</t>
    </r>
    <r>
      <rPr>
        <sz val="10"/>
        <rFont val="宋体"/>
        <charset val="134"/>
      </rPr>
      <t>土地公允模式</t>
    </r>
    <r>
      <rPr>
        <sz val="10"/>
        <rFont val="Times New Roman"/>
        <charset val="134"/>
      </rPr>
      <t>17</t>
    </r>
  </si>
  <si>
    <r>
      <rPr>
        <sz val="10"/>
        <rFont val="宋体"/>
        <charset val="134"/>
      </rPr>
      <t>投资性地产</t>
    </r>
    <r>
      <rPr>
        <sz val="10"/>
        <rFont val="Times New Roman"/>
        <charset val="134"/>
      </rPr>
      <t>-</t>
    </r>
    <r>
      <rPr>
        <sz val="10"/>
        <rFont val="宋体"/>
        <charset val="134"/>
      </rPr>
      <t>土地公允模式</t>
    </r>
    <r>
      <rPr>
        <sz val="10"/>
        <rFont val="Times New Roman"/>
        <charset val="134"/>
      </rPr>
      <t>18</t>
    </r>
  </si>
  <si>
    <r>
      <rPr>
        <sz val="10"/>
        <rFont val="宋体"/>
        <charset val="134"/>
      </rPr>
      <t>投资性地产</t>
    </r>
    <r>
      <rPr>
        <sz val="10"/>
        <rFont val="Times New Roman"/>
        <charset val="134"/>
      </rPr>
      <t>-</t>
    </r>
    <r>
      <rPr>
        <sz val="10"/>
        <rFont val="宋体"/>
        <charset val="134"/>
      </rPr>
      <t>土地公允模式</t>
    </r>
    <r>
      <rPr>
        <sz val="10"/>
        <rFont val="Times New Roman"/>
        <charset val="134"/>
      </rPr>
      <t>19</t>
    </r>
  </si>
  <si>
    <r>
      <rPr>
        <sz val="10"/>
        <rFont val="宋体"/>
        <charset val="134"/>
      </rPr>
      <t>投资性地产</t>
    </r>
    <r>
      <rPr>
        <sz val="10"/>
        <rFont val="Times New Roman"/>
        <charset val="134"/>
      </rPr>
      <t>-</t>
    </r>
    <r>
      <rPr>
        <sz val="10"/>
        <rFont val="宋体"/>
        <charset val="134"/>
      </rPr>
      <t>土地公允模式</t>
    </r>
    <r>
      <rPr>
        <sz val="10"/>
        <rFont val="Times New Roman"/>
        <charset val="134"/>
      </rPr>
      <t>20</t>
    </r>
  </si>
  <si>
    <r>
      <rPr>
        <sz val="18"/>
        <rFont val="宋体"/>
        <charset val="134"/>
      </rPr>
      <t>固定资产评估汇总表</t>
    </r>
  </si>
  <si>
    <r>
      <rPr>
        <b/>
        <sz val="10"/>
        <rFont val="宋体"/>
        <charset val="134"/>
      </rPr>
      <t>增值额</t>
    </r>
  </si>
  <si>
    <t>评估增减值</t>
  </si>
  <si>
    <t>增减值绝对值</t>
  </si>
  <si>
    <t>增减值率绝对值</t>
  </si>
  <si>
    <r>
      <rPr>
        <b/>
        <sz val="10"/>
        <color indexed="8"/>
        <rFont val="宋体"/>
        <charset val="134"/>
      </rPr>
      <t>房屋建筑物类合计</t>
    </r>
  </si>
  <si>
    <r>
      <rPr>
        <sz val="10"/>
        <color indexed="8"/>
        <rFont val="宋体"/>
        <charset val="134"/>
      </rPr>
      <t>固定资产</t>
    </r>
    <r>
      <rPr>
        <sz val="10"/>
        <color indexed="8"/>
        <rFont val="Times New Roman"/>
        <charset val="134"/>
      </rPr>
      <t>-</t>
    </r>
    <r>
      <rPr>
        <sz val="10"/>
        <color indexed="8"/>
        <rFont val="宋体"/>
        <charset val="134"/>
      </rPr>
      <t>房屋建筑物</t>
    </r>
  </si>
  <si>
    <r>
      <rPr>
        <sz val="10"/>
        <color indexed="8"/>
        <rFont val="宋体"/>
        <charset val="134"/>
      </rPr>
      <t>固定资产</t>
    </r>
    <r>
      <rPr>
        <sz val="10"/>
        <color indexed="8"/>
        <rFont val="Times New Roman"/>
        <charset val="134"/>
      </rPr>
      <t>-</t>
    </r>
    <r>
      <rPr>
        <sz val="10"/>
        <color indexed="8"/>
        <rFont val="宋体"/>
        <charset val="134"/>
      </rPr>
      <t>构筑物及其他辅助设施</t>
    </r>
  </si>
  <si>
    <r>
      <rPr>
        <sz val="10"/>
        <color indexed="8"/>
        <rFont val="宋体"/>
        <charset val="134"/>
      </rPr>
      <t>固定资产</t>
    </r>
    <r>
      <rPr>
        <sz val="10"/>
        <color indexed="8"/>
        <rFont val="Times New Roman"/>
        <charset val="134"/>
      </rPr>
      <t>-</t>
    </r>
    <r>
      <rPr>
        <sz val="10"/>
        <color indexed="8"/>
        <rFont val="宋体"/>
        <charset val="134"/>
      </rPr>
      <t>管道及沟槽</t>
    </r>
  </si>
  <si>
    <r>
      <rPr>
        <sz val="10"/>
        <color indexed="8"/>
        <rFont val="宋体"/>
        <charset val="134"/>
      </rPr>
      <t>固定资产</t>
    </r>
    <r>
      <rPr>
        <sz val="10"/>
        <color indexed="8"/>
        <rFont val="Times New Roman"/>
        <charset val="134"/>
      </rPr>
      <t>-</t>
    </r>
    <r>
      <rPr>
        <sz val="10"/>
        <color indexed="8"/>
        <rFont val="宋体"/>
        <charset val="134"/>
      </rPr>
      <t>井巷工程</t>
    </r>
  </si>
  <si>
    <r>
      <rPr>
        <sz val="10"/>
        <color indexed="8"/>
        <rFont val="宋体"/>
        <charset val="134"/>
      </rPr>
      <t>固定资产</t>
    </r>
    <r>
      <rPr>
        <sz val="10"/>
        <color indexed="8"/>
        <rFont val="Times New Roman"/>
        <charset val="134"/>
      </rPr>
      <t>-</t>
    </r>
    <r>
      <rPr>
        <sz val="10"/>
        <color indexed="8"/>
        <rFont val="宋体"/>
        <charset val="134"/>
      </rPr>
      <t>辅轨工程</t>
    </r>
  </si>
  <si>
    <r>
      <rPr>
        <b/>
        <sz val="10"/>
        <color indexed="8"/>
        <rFont val="宋体"/>
        <charset val="134"/>
      </rPr>
      <t>设备类合计</t>
    </r>
  </si>
  <si>
    <r>
      <rPr>
        <sz val="10"/>
        <color indexed="8"/>
        <rFont val="宋体"/>
        <charset val="134"/>
      </rPr>
      <t>固定资产</t>
    </r>
    <r>
      <rPr>
        <sz val="10"/>
        <color indexed="8"/>
        <rFont val="Times New Roman"/>
        <charset val="134"/>
      </rPr>
      <t>-</t>
    </r>
    <r>
      <rPr>
        <sz val="10"/>
        <color indexed="8"/>
        <rFont val="宋体"/>
        <charset val="134"/>
      </rPr>
      <t>机器设备</t>
    </r>
  </si>
  <si>
    <r>
      <rPr>
        <sz val="10"/>
        <color indexed="8"/>
        <rFont val="宋体"/>
        <charset val="134"/>
      </rPr>
      <t>固定资产</t>
    </r>
    <r>
      <rPr>
        <sz val="10"/>
        <color indexed="8"/>
        <rFont val="Times New Roman"/>
        <charset val="134"/>
      </rPr>
      <t>-</t>
    </r>
    <r>
      <rPr>
        <sz val="10"/>
        <color indexed="8"/>
        <rFont val="宋体"/>
        <charset val="134"/>
      </rPr>
      <t>车辆</t>
    </r>
  </si>
  <si>
    <r>
      <rPr>
        <sz val="10"/>
        <color indexed="8"/>
        <rFont val="宋体"/>
        <charset val="134"/>
      </rPr>
      <t>固定资产</t>
    </r>
    <r>
      <rPr>
        <sz val="10"/>
        <color indexed="8"/>
        <rFont val="Times New Roman"/>
        <charset val="134"/>
      </rPr>
      <t>-</t>
    </r>
    <r>
      <rPr>
        <sz val="10"/>
        <color indexed="8"/>
        <rFont val="宋体"/>
        <charset val="134"/>
      </rPr>
      <t>电子设备</t>
    </r>
  </si>
  <si>
    <r>
      <rPr>
        <sz val="10"/>
        <color indexed="8"/>
        <rFont val="宋体"/>
        <charset val="134"/>
      </rPr>
      <t>固定资产</t>
    </r>
    <r>
      <rPr>
        <sz val="10"/>
        <color indexed="8"/>
        <rFont val="Times New Roman"/>
        <charset val="134"/>
      </rPr>
      <t>-</t>
    </r>
    <r>
      <rPr>
        <sz val="10"/>
        <color indexed="8"/>
        <rFont val="宋体"/>
        <charset val="134"/>
      </rPr>
      <t>土地</t>
    </r>
  </si>
  <si>
    <t>固定资产合计</t>
  </si>
  <si>
    <r>
      <rPr>
        <sz val="18"/>
        <rFont val="宋体"/>
        <charset val="134"/>
      </rPr>
      <t>固定资产</t>
    </r>
    <r>
      <rPr>
        <sz val="18"/>
        <rFont val="Times New Roman"/>
        <charset val="134"/>
      </rPr>
      <t>—</t>
    </r>
    <r>
      <rPr>
        <sz val="18"/>
        <rFont val="宋体"/>
        <charset val="134"/>
      </rPr>
      <t>房屋建筑物评估明细表</t>
    </r>
  </si>
  <si>
    <r>
      <rPr>
        <b/>
        <sz val="10"/>
        <rFont val="宋体"/>
        <charset val="134"/>
      </rPr>
      <t>建筑物名称</t>
    </r>
  </si>
  <si>
    <r>
      <rPr>
        <b/>
        <sz val="10"/>
        <rFont val="宋体"/>
        <charset val="134"/>
      </rPr>
      <t>所在层数</t>
    </r>
  </si>
  <si>
    <r>
      <rPr>
        <b/>
        <sz val="10"/>
        <rFont val="宋体"/>
        <charset val="134"/>
      </rPr>
      <t>建筑面积体积</t>
    </r>
    <r>
      <rPr>
        <b/>
        <sz val="10"/>
        <rFont val="Times New Roman"/>
        <charset val="134"/>
      </rPr>
      <t>m</t>
    </r>
    <r>
      <rPr>
        <b/>
        <vertAlign val="superscript"/>
        <sz val="10"/>
        <rFont val="Times New Roman"/>
        <charset val="134"/>
      </rPr>
      <t>2</t>
    </r>
    <r>
      <rPr>
        <b/>
        <sz val="10"/>
        <rFont val="宋体"/>
        <charset val="134"/>
      </rPr>
      <t>或</t>
    </r>
    <r>
      <rPr>
        <b/>
        <sz val="10"/>
        <rFont val="Times New Roman"/>
        <charset val="134"/>
      </rPr>
      <t>m</t>
    </r>
    <r>
      <rPr>
        <b/>
        <vertAlign val="superscript"/>
        <sz val="10"/>
        <rFont val="Times New Roman"/>
        <charset val="134"/>
      </rPr>
      <t>3</t>
    </r>
  </si>
  <si>
    <r>
      <rPr>
        <b/>
        <sz val="10"/>
        <rFont val="宋体"/>
        <charset val="134"/>
      </rPr>
      <t>现场勘察记录</t>
    </r>
  </si>
  <si>
    <r>
      <rPr>
        <sz val="10"/>
        <rFont val="宋体"/>
        <charset val="134"/>
      </rPr>
      <t>房屋建筑物</t>
    </r>
    <r>
      <rPr>
        <sz val="10"/>
        <rFont val="Times New Roman"/>
        <charset val="134"/>
      </rPr>
      <t>01</t>
    </r>
  </si>
  <si>
    <r>
      <rPr>
        <sz val="10"/>
        <rFont val="宋体"/>
        <charset val="134"/>
      </rPr>
      <t>房屋建筑物</t>
    </r>
    <r>
      <rPr>
        <sz val="10"/>
        <rFont val="Times New Roman"/>
        <charset val="134"/>
      </rPr>
      <t>02</t>
    </r>
  </si>
  <si>
    <r>
      <rPr>
        <sz val="10"/>
        <rFont val="宋体"/>
        <charset val="134"/>
      </rPr>
      <t>房屋建筑物</t>
    </r>
    <r>
      <rPr>
        <sz val="10"/>
        <rFont val="Times New Roman"/>
        <charset val="134"/>
      </rPr>
      <t>03</t>
    </r>
  </si>
  <si>
    <r>
      <rPr>
        <sz val="10"/>
        <rFont val="宋体"/>
        <charset val="134"/>
      </rPr>
      <t>房屋建筑物</t>
    </r>
    <r>
      <rPr>
        <sz val="10"/>
        <rFont val="Times New Roman"/>
        <charset val="134"/>
      </rPr>
      <t>04</t>
    </r>
  </si>
  <si>
    <r>
      <rPr>
        <sz val="10"/>
        <rFont val="宋体"/>
        <charset val="134"/>
      </rPr>
      <t>房屋建筑物</t>
    </r>
    <r>
      <rPr>
        <sz val="10"/>
        <rFont val="Times New Roman"/>
        <charset val="134"/>
      </rPr>
      <t>05</t>
    </r>
  </si>
  <si>
    <r>
      <rPr>
        <sz val="10"/>
        <rFont val="宋体"/>
        <charset val="134"/>
      </rPr>
      <t>房屋建筑物</t>
    </r>
    <r>
      <rPr>
        <sz val="10"/>
        <rFont val="Times New Roman"/>
        <charset val="134"/>
      </rPr>
      <t>06</t>
    </r>
  </si>
  <si>
    <r>
      <rPr>
        <sz val="10"/>
        <rFont val="宋体"/>
        <charset val="134"/>
      </rPr>
      <t>房屋建筑物</t>
    </r>
    <r>
      <rPr>
        <sz val="10"/>
        <rFont val="Times New Roman"/>
        <charset val="134"/>
      </rPr>
      <t>07</t>
    </r>
  </si>
  <si>
    <r>
      <rPr>
        <sz val="10"/>
        <rFont val="宋体"/>
        <charset val="134"/>
      </rPr>
      <t>房屋建筑物</t>
    </r>
    <r>
      <rPr>
        <sz val="10"/>
        <rFont val="Times New Roman"/>
        <charset val="134"/>
      </rPr>
      <t>08</t>
    </r>
  </si>
  <si>
    <r>
      <rPr>
        <sz val="10"/>
        <rFont val="宋体"/>
        <charset val="134"/>
      </rPr>
      <t>房屋建筑物</t>
    </r>
    <r>
      <rPr>
        <sz val="10"/>
        <rFont val="Times New Roman"/>
        <charset val="134"/>
      </rPr>
      <t>09</t>
    </r>
  </si>
  <si>
    <r>
      <rPr>
        <sz val="10"/>
        <rFont val="宋体"/>
        <charset val="134"/>
      </rPr>
      <t>房屋建筑物</t>
    </r>
    <r>
      <rPr>
        <sz val="10"/>
        <rFont val="Times New Roman"/>
        <charset val="134"/>
      </rPr>
      <t>10</t>
    </r>
  </si>
  <si>
    <r>
      <rPr>
        <sz val="10"/>
        <rFont val="宋体"/>
        <charset val="134"/>
      </rPr>
      <t>房屋建筑物</t>
    </r>
    <r>
      <rPr>
        <sz val="10"/>
        <rFont val="Times New Roman"/>
        <charset val="134"/>
      </rPr>
      <t>11</t>
    </r>
  </si>
  <si>
    <r>
      <rPr>
        <sz val="10"/>
        <rFont val="宋体"/>
        <charset val="134"/>
      </rPr>
      <t>房屋建筑物</t>
    </r>
    <r>
      <rPr>
        <sz val="10"/>
        <rFont val="Times New Roman"/>
        <charset val="134"/>
      </rPr>
      <t>12</t>
    </r>
  </si>
  <si>
    <r>
      <rPr>
        <sz val="10"/>
        <rFont val="宋体"/>
        <charset val="134"/>
      </rPr>
      <t>房屋建筑物</t>
    </r>
    <r>
      <rPr>
        <sz val="10"/>
        <rFont val="Times New Roman"/>
        <charset val="134"/>
      </rPr>
      <t>13</t>
    </r>
  </si>
  <si>
    <r>
      <rPr>
        <sz val="10"/>
        <rFont val="宋体"/>
        <charset val="134"/>
      </rPr>
      <t>房屋建筑物</t>
    </r>
    <r>
      <rPr>
        <sz val="10"/>
        <rFont val="Times New Roman"/>
        <charset val="134"/>
      </rPr>
      <t>14</t>
    </r>
  </si>
  <si>
    <r>
      <rPr>
        <sz val="10"/>
        <rFont val="宋体"/>
        <charset val="134"/>
      </rPr>
      <t>房屋建筑物</t>
    </r>
    <r>
      <rPr>
        <sz val="10"/>
        <rFont val="Times New Roman"/>
        <charset val="134"/>
      </rPr>
      <t>15</t>
    </r>
  </si>
  <si>
    <r>
      <rPr>
        <sz val="10"/>
        <rFont val="宋体"/>
        <charset val="134"/>
      </rPr>
      <t>房屋建筑物</t>
    </r>
    <r>
      <rPr>
        <sz val="10"/>
        <rFont val="Times New Roman"/>
        <charset val="134"/>
      </rPr>
      <t>16</t>
    </r>
  </si>
  <si>
    <r>
      <rPr>
        <sz val="10"/>
        <rFont val="宋体"/>
        <charset val="134"/>
      </rPr>
      <t>房屋建筑物</t>
    </r>
    <r>
      <rPr>
        <sz val="10"/>
        <rFont val="Times New Roman"/>
        <charset val="134"/>
      </rPr>
      <t>17</t>
    </r>
  </si>
  <si>
    <r>
      <rPr>
        <sz val="10"/>
        <rFont val="宋体"/>
        <charset val="134"/>
      </rPr>
      <t>房屋建筑物</t>
    </r>
    <r>
      <rPr>
        <sz val="10"/>
        <rFont val="Times New Roman"/>
        <charset val="134"/>
      </rPr>
      <t>18</t>
    </r>
  </si>
  <si>
    <r>
      <rPr>
        <sz val="10"/>
        <rFont val="宋体"/>
        <charset val="134"/>
      </rPr>
      <t>房屋建筑物</t>
    </r>
    <r>
      <rPr>
        <sz val="10"/>
        <rFont val="Times New Roman"/>
        <charset val="134"/>
      </rPr>
      <t>19</t>
    </r>
  </si>
  <si>
    <r>
      <rPr>
        <sz val="10"/>
        <rFont val="宋体"/>
        <charset val="134"/>
      </rPr>
      <t>房屋建筑物</t>
    </r>
    <r>
      <rPr>
        <sz val="10"/>
        <rFont val="Times New Roman"/>
        <charset val="134"/>
      </rPr>
      <t>20</t>
    </r>
  </si>
  <si>
    <r>
      <rPr>
        <sz val="18"/>
        <rFont val="宋体"/>
        <charset val="134"/>
      </rPr>
      <t>固定资产</t>
    </r>
    <r>
      <rPr>
        <sz val="18"/>
        <rFont val="Times New Roman"/>
        <charset val="134"/>
      </rPr>
      <t>—</t>
    </r>
    <r>
      <rPr>
        <sz val="18"/>
        <rFont val="宋体"/>
        <charset val="134"/>
      </rPr>
      <t>构筑物及其他辅助设施评估明细表</t>
    </r>
  </si>
  <si>
    <r>
      <rPr>
        <b/>
        <sz val="10"/>
        <rFont val="Times New Roman"/>
        <charset val="134"/>
      </rPr>
      <t xml:space="preserve"> </t>
    </r>
    <r>
      <rPr>
        <b/>
        <sz val="10"/>
        <rFont val="宋体"/>
        <charset val="134"/>
      </rPr>
      <t>名称</t>
    </r>
  </si>
  <si>
    <r>
      <rPr>
        <b/>
        <sz val="10"/>
        <rFont val="宋体"/>
        <charset val="134"/>
      </rPr>
      <t xml:space="preserve">长度
</t>
    </r>
    <r>
      <rPr>
        <b/>
        <sz val="10"/>
        <rFont val="Times New Roman"/>
        <charset val="134"/>
      </rPr>
      <t>(m)</t>
    </r>
  </si>
  <si>
    <r>
      <rPr>
        <b/>
        <sz val="10"/>
        <rFont val="宋体"/>
        <charset val="134"/>
      </rPr>
      <t xml:space="preserve">宽度
</t>
    </r>
    <r>
      <rPr>
        <b/>
        <sz val="10"/>
        <rFont val="Times New Roman"/>
        <charset val="134"/>
      </rPr>
      <t>(m)</t>
    </r>
  </si>
  <si>
    <r>
      <rPr>
        <b/>
        <sz val="10"/>
        <rFont val="宋体"/>
        <charset val="134"/>
      </rPr>
      <t xml:space="preserve">高度
</t>
    </r>
    <r>
      <rPr>
        <b/>
        <sz val="10"/>
        <rFont val="Times New Roman"/>
        <charset val="134"/>
      </rPr>
      <t>(m)</t>
    </r>
  </si>
  <si>
    <r>
      <rPr>
        <b/>
        <sz val="10"/>
        <rFont val="宋体"/>
        <charset val="134"/>
      </rPr>
      <t>面积</t>
    </r>
    <r>
      <rPr>
        <b/>
        <sz val="10"/>
        <rFont val="Times New Roman"/>
        <charset val="134"/>
      </rPr>
      <t>/</t>
    </r>
    <r>
      <rPr>
        <b/>
        <sz val="10"/>
        <rFont val="宋体"/>
        <charset val="134"/>
      </rPr>
      <t>体积</t>
    </r>
    <r>
      <rPr>
        <b/>
        <sz val="10"/>
        <rFont val="Times New Roman"/>
        <charset val="134"/>
      </rPr>
      <t>/</t>
    </r>
    <r>
      <rPr>
        <b/>
        <sz val="10"/>
        <rFont val="宋体"/>
        <charset val="134"/>
      </rPr>
      <t>长度</t>
    </r>
    <r>
      <rPr>
        <b/>
        <sz val="10"/>
        <rFont val="Times New Roman"/>
        <charset val="134"/>
      </rPr>
      <t>/</t>
    </r>
    <r>
      <rPr>
        <b/>
        <sz val="10"/>
        <rFont val="宋体"/>
        <charset val="134"/>
      </rPr>
      <t>深度</t>
    </r>
  </si>
  <si>
    <r>
      <rPr>
        <sz val="10"/>
        <rFont val="宋体"/>
        <charset val="134"/>
      </rPr>
      <t>构筑物</t>
    </r>
    <r>
      <rPr>
        <sz val="10"/>
        <rFont val="Times New Roman"/>
        <charset val="134"/>
      </rPr>
      <t>01</t>
    </r>
  </si>
  <si>
    <r>
      <rPr>
        <sz val="10"/>
        <rFont val="宋体"/>
        <charset val="134"/>
      </rPr>
      <t>构筑物</t>
    </r>
    <r>
      <rPr>
        <sz val="10"/>
        <rFont val="Times New Roman"/>
        <charset val="134"/>
      </rPr>
      <t>02</t>
    </r>
  </si>
  <si>
    <r>
      <rPr>
        <sz val="10"/>
        <rFont val="宋体"/>
        <charset val="134"/>
      </rPr>
      <t>构筑物</t>
    </r>
    <r>
      <rPr>
        <sz val="10"/>
        <rFont val="Times New Roman"/>
        <charset val="134"/>
      </rPr>
      <t>03</t>
    </r>
  </si>
  <si>
    <r>
      <rPr>
        <sz val="10"/>
        <rFont val="宋体"/>
        <charset val="134"/>
      </rPr>
      <t>构筑物</t>
    </r>
    <r>
      <rPr>
        <sz val="10"/>
        <rFont val="Times New Roman"/>
        <charset val="134"/>
      </rPr>
      <t>04</t>
    </r>
  </si>
  <si>
    <r>
      <rPr>
        <sz val="10"/>
        <rFont val="宋体"/>
        <charset val="134"/>
      </rPr>
      <t>构筑物</t>
    </r>
    <r>
      <rPr>
        <sz val="10"/>
        <rFont val="Times New Roman"/>
        <charset val="134"/>
      </rPr>
      <t>05</t>
    </r>
  </si>
  <si>
    <r>
      <rPr>
        <sz val="10"/>
        <rFont val="宋体"/>
        <charset val="134"/>
      </rPr>
      <t>构筑物</t>
    </r>
    <r>
      <rPr>
        <sz val="10"/>
        <rFont val="Times New Roman"/>
        <charset val="134"/>
      </rPr>
      <t>06</t>
    </r>
  </si>
  <si>
    <r>
      <rPr>
        <sz val="10"/>
        <rFont val="宋体"/>
        <charset val="134"/>
      </rPr>
      <t>构筑物</t>
    </r>
    <r>
      <rPr>
        <sz val="10"/>
        <rFont val="Times New Roman"/>
        <charset val="134"/>
      </rPr>
      <t>07</t>
    </r>
  </si>
  <si>
    <r>
      <rPr>
        <sz val="10"/>
        <rFont val="宋体"/>
        <charset val="134"/>
      </rPr>
      <t>构筑物</t>
    </r>
    <r>
      <rPr>
        <sz val="10"/>
        <rFont val="Times New Roman"/>
        <charset val="134"/>
      </rPr>
      <t>08</t>
    </r>
  </si>
  <si>
    <r>
      <rPr>
        <sz val="10"/>
        <rFont val="宋体"/>
        <charset val="134"/>
      </rPr>
      <t>构筑物</t>
    </r>
    <r>
      <rPr>
        <sz val="10"/>
        <rFont val="Times New Roman"/>
        <charset val="134"/>
      </rPr>
      <t>09</t>
    </r>
  </si>
  <si>
    <r>
      <rPr>
        <sz val="10"/>
        <rFont val="宋体"/>
        <charset val="134"/>
      </rPr>
      <t>构筑物</t>
    </r>
    <r>
      <rPr>
        <sz val="10"/>
        <rFont val="Times New Roman"/>
        <charset val="134"/>
      </rPr>
      <t>10</t>
    </r>
  </si>
  <si>
    <r>
      <rPr>
        <sz val="10"/>
        <rFont val="宋体"/>
        <charset val="134"/>
      </rPr>
      <t>构筑物</t>
    </r>
    <r>
      <rPr>
        <sz val="10"/>
        <rFont val="Times New Roman"/>
        <charset val="134"/>
      </rPr>
      <t>11</t>
    </r>
  </si>
  <si>
    <r>
      <rPr>
        <sz val="10"/>
        <rFont val="宋体"/>
        <charset val="134"/>
      </rPr>
      <t>构筑物</t>
    </r>
    <r>
      <rPr>
        <sz val="10"/>
        <rFont val="Times New Roman"/>
        <charset val="134"/>
      </rPr>
      <t>12</t>
    </r>
  </si>
  <si>
    <r>
      <rPr>
        <sz val="10"/>
        <rFont val="宋体"/>
        <charset val="134"/>
      </rPr>
      <t>构筑物</t>
    </r>
    <r>
      <rPr>
        <sz val="10"/>
        <rFont val="Times New Roman"/>
        <charset val="134"/>
      </rPr>
      <t>13</t>
    </r>
  </si>
  <si>
    <r>
      <rPr>
        <sz val="10"/>
        <rFont val="宋体"/>
        <charset val="134"/>
      </rPr>
      <t>构筑物</t>
    </r>
    <r>
      <rPr>
        <sz val="10"/>
        <rFont val="Times New Roman"/>
        <charset val="134"/>
      </rPr>
      <t>14</t>
    </r>
  </si>
  <si>
    <r>
      <rPr>
        <sz val="10"/>
        <rFont val="宋体"/>
        <charset val="134"/>
      </rPr>
      <t>构筑物</t>
    </r>
    <r>
      <rPr>
        <sz val="10"/>
        <rFont val="Times New Roman"/>
        <charset val="134"/>
      </rPr>
      <t>15</t>
    </r>
  </si>
  <si>
    <r>
      <rPr>
        <sz val="10"/>
        <rFont val="宋体"/>
        <charset val="134"/>
      </rPr>
      <t>构筑物</t>
    </r>
    <r>
      <rPr>
        <sz val="10"/>
        <rFont val="Times New Roman"/>
        <charset val="134"/>
      </rPr>
      <t>16</t>
    </r>
  </si>
  <si>
    <r>
      <rPr>
        <sz val="10"/>
        <rFont val="宋体"/>
        <charset val="134"/>
      </rPr>
      <t>构筑物</t>
    </r>
    <r>
      <rPr>
        <sz val="10"/>
        <rFont val="Times New Roman"/>
        <charset val="134"/>
      </rPr>
      <t>17</t>
    </r>
  </si>
  <si>
    <r>
      <rPr>
        <sz val="10"/>
        <rFont val="宋体"/>
        <charset val="134"/>
      </rPr>
      <t>构筑物</t>
    </r>
    <r>
      <rPr>
        <sz val="10"/>
        <rFont val="Times New Roman"/>
        <charset val="134"/>
      </rPr>
      <t>18</t>
    </r>
  </si>
  <si>
    <r>
      <rPr>
        <sz val="10"/>
        <rFont val="宋体"/>
        <charset val="134"/>
      </rPr>
      <t>构筑物</t>
    </r>
    <r>
      <rPr>
        <sz val="10"/>
        <rFont val="Times New Roman"/>
        <charset val="134"/>
      </rPr>
      <t>19</t>
    </r>
  </si>
  <si>
    <r>
      <rPr>
        <sz val="10"/>
        <rFont val="宋体"/>
        <charset val="134"/>
      </rPr>
      <t>构筑物</t>
    </r>
    <r>
      <rPr>
        <sz val="10"/>
        <rFont val="Times New Roman"/>
        <charset val="134"/>
      </rPr>
      <t>20</t>
    </r>
  </si>
  <si>
    <r>
      <rPr>
        <sz val="18"/>
        <rFont val="宋体"/>
        <charset val="134"/>
      </rPr>
      <t>固定资产</t>
    </r>
    <r>
      <rPr>
        <sz val="18"/>
        <rFont val="Times New Roman"/>
        <charset val="134"/>
      </rPr>
      <t>—</t>
    </r>
    <r>
      <rPr>
        <sz val="18"/>
        <rFont val="宋体"/>
        <charset val="134"/>
      </rPr>
      <t>管道和沟槽评估明细表</t>
    </r>
  </si>
  <si>
    <r>
      <rPr>
        <b/>
        <sz val="10"/>
        <rFont val="宋体"/>
        <charset val="134"/>
      </rPr>
      <t xml:space="preserve">漕深
</t>
    </r>
    <r>
      <rPr>
        <b/>
        <sz val="10"/>
        <rFont val="Times New Roman"/>
        <charset val="134"/>
      </rPr>
      <t>(m)</t>
    </r>
  </si>
  <si>
    <r>
      <rPr>
        <b/>
        <sz val="10"/>
        <rFont val="宋体"/>
        <charset val="134"/>
      </rPr>
      <t>沟宽</t>
    </r>
    <r>
      <rPr>
        <b/>
        <sz val="10"/>
        <rFont val="Times New Roman"/>
        <charset val="134"/>
      </rPr>
      <t>*</t>
    </r>
    <r>
      <rPr>
        <b/>
        <sz val="10"/>
        <rFont val="宋体"/>
        <charset val="134"/>
      </rPr>
      <t>沟厚</t>
    </r>
    <r>
      <rPr>
        <b/>
        <sz val="10"/>
        <rFont val="Times New Roman"/>
        <charset val="134"/>
      </rPr>
      <t xml:space="preserve">(mm*mm)
</t>
    </r>
    <r>
      <rPr>
        <b/>
        <sz val="10"/>
        <rFont val="宋体"/>
        <charset val="134"/>
      </rPr>
      <t>管径</t>
    </r>
    <r>
      <rPr>
        <b/>
        <sz val="10"/>
        <rFont val="Times New Roman"/>
        <charset val="134"/>
      </rPr>
      <t>*</t>
    </r>
    <r>
      <rPr>
        <b/>
        <sz val="10"/>
        <rFont val="宋体"/>
        <charset val="134"/>
      </rPr>
      <t>壁厚</t>
    </r>
    <r>
      <rPr>
        <b/>
        <sz val="10"/>
        <rFont val="Times New Roman"/>
        <charset val="134"/>
      </rPr>
      <t>(mm*mm)</t>
    </r>
  </si>
  <si>
    <r>
      <rPr>
        <b/>
        <sz val="10"/>
        <rFont val="宋体"/>
        <charset val="134"/>
      </rPr>
      <t>材质</t>
    </r>
  </si>
  <si>
    <r>
      <rPr>
        <b/>
        <sz val="10"/>
        <rFont val="宋体"/>
        <charset val="134"/>
      </rPr>
      <t>绝缘方式</t>
    </r>
  </si>
  <si>
    <r>
      <rPr>
        <sz val="10"/>
        <rFont val="宋体"/>
        <charset val="134"/>
      </rPr>
      <t>管道沟槽</t>
    </r>
    <r>
      <rPr>
        <sz val="10"/>
        <rFont val="Times New Roman"/>
        <charset val="134"/>
      </rPr>
      <t>01</t>
    </r>
  </si>
  <si>
    <r>
      <rPr>
        <sz val="10"/>
        <rFont val="宋体"/>
        <charset val="134"/>
      </rPr>
      <t>管道沟槽</t>
    </r>
    <r>
      <rPr>
        <sz val="10"/>
        <rFont val="Times New Roman"/>
        <charset val="134"/>
      </rPr>
      <t>02</t>
    </r>
  </si>
  <si>
    <r>
      <rPr>
        <sz val="10"/>
        <rFont val="宋体"/>
        <charset val="134"/>
      </rPr>
      <t>管道沟槽</t>
    </r>
    <r>
      <rPr>
        <sz val="10"/>
        <rFont val="Times New Roman"/>
        <charset val="134"/>
      </rPr>
      <t>03</t>
    </r>
  </si>
  <si>
    <r>
      <rPr>
        <sz val="10"/>
        <rFont val="宋体"/>
        <charset val="134"/>
      </rPr>
      <t>管道沟槽</t>
    </r>
    <r>
      <rPr>
        <sz val="10"/>
        <rFont val="Times New Roman"/>
        <charset val="134"/>
      </rPr>
      <t>04</t>
    </r>
  </si>
  <si>
    <r>
      <rPr>
        <sz val="10"/>
        <rFont val="宋体"/>
        <charset val="134"/>
      </rPr>
      <t>管道沟槽</t>
    </r>
    <r>
      <rPr>
        <sz val="10"/>
        <rFont val="Times New Roman"/>
        <charset val="134"/>
      </rPr>
      <t>05</t>
    </r>
  </si>
  <si>
    <r>
      <rPr>
        <sz val="10"/>
        <rFont val="宋体"/>
        <charset val="134"/>
      </rPr>
      <t>管道沟槽</t>
    </r>
    <r>
      <rPr>
        <sz val="10"/>
        <rFont val="Times New Roman"/>
        <charset val="134"/>
      </rPr>
      <t>06</t>
    </r>
  </si>
  <si>
    <r>
      <rPr>
        <sz val="10"/>
        <rFont val="宋体"/>
        <charset val="134"/>
      </rPr>
      <t>管道沟槽</t>
    </r>
    <r>
      <rPr>
        <sz val="10"/>
        <rFont val="Times New Roman"/>
        <charset val="134"/>
      </rPr>
      <t>07</t>
    </r>
  </si>
  <si>
    <r>
      <rPr>
        <sz val="10"/>
        <rFont val="宋体"/>
        <charset val="134"/>
      </rPr>
      <t>管道沟槽</t>
    </r>
    <r>
      <rPr>
        <sz val="10"/>
        <rFont val="Times New Roman"/>
        <charset val="134"/>
      </rPr>
      <t>08</t>
    </r>
  </si>
  <si>
    <r>
      <rPr>
        <sz val="10"/>
        <rFont val="宋体"/>
        <charset val="134"/>
      </rPr>
      <t>管道沟槽</t>
    </r>
    <r>
      <rPr>
        <sz val="10"/>
        <rFont val="Times New Roman"/>
        <charset val="134"/>
      </rPr>
      <t>09</t>
    </r>
  </si>
  <si>
    <r>
      <rPr>
        <sz val="10"/>
        <rFont val="宋体"/>
        <charset val="134"/>
      </rPr>
      <t>管道沟槽</t>
    </r>
    <r>
      <rPr>
        <sz val="10"/>
        <rFont val="Times New Roman"/>
        <charset val="134"/>
      </rPr>
      <t>10</t>
    </r>
  </si>
  <si>
    <r>
      <rPr>
        <sz val="10"/>
        <rFont val="宋体"/>
        <charset val="134"/>
      </rPr>
      <t>管道沟槽</t>
    </r>
    <r>
      <rPr>
        <sz val="10"/>
        <rFont val="Times New Roman"/>
        <charset val="134"/>
      </rPr>
      <t>11</t>
    </r>
  </si>
  <si>
    <r>
      <rPr>
        <sz val="10"/>
        <rFont val="宋体"/>
        <charset val="134"/>
      </rPr>
      <t>管道沟槽</t>
    </r>
    <r>
      <rPr>
        <sz val="10"/>
        <rFont val="Times New Roman"/>
        <charset val="134"/>
      </rPr>
      <t>12</t>
    </r>
  </si>
  <si>
    <r>
      <rPr>
        <sz val="10"/>
        <rFont val="宋体"/>
        <charset val="134"/>
      </rPr>
      <t>管道沟槽</t>
    </r>
    <r>
      <rPr>
        <sz val="10"/>
        <rFont val="Times New Roman"/>
        <charset val="134"/>
      </rPr>
      <t>13</t>
    </r>
  </si>
  <si>
    <r>
      <rPr>
        <sz val="10"/>
        <rFont val="宋体"/>
        <charset val="134"/>
      </rPr>
      <t>管道沟槽</t>
    </r>
    <r>
      <rPr>
        <sz val="10"/>
        <rFont val="Times New Roman"/>
        <charset val="134"/>
      </rPr>
      <t>14</t>
    </r>
  </si>
  <si>
    <r>
      <rPr>
        <sz val="10"/>
        <rFont val="宋体"/>
        <charset val="134"/>
      </rPr>
      <t>管道沟槽</t>
    </r>
    <r>
      <rPr>
        <sz val="10"/>
        <rFont val="Times New Roman"/>
        <charset val="134"/>
      </rPr>
      <t>15</t>
    </r>
  </si>
  <si>
    <r>
      <rPr>
        <sz val="10"/>
        <rFont val="宋体"/>
        <charset val="134"/>
      </rPr>
      <t>管道沟槽</t>
    </r>
    <r>
      <rPr>
        <sz val="10"/>
        <rFont val="Times New Roman"/>
        <charset val="134"/>
      </rPr>
      <t>16</t>
    </r>
  </si>
  <si>
    <r>
      <rPr>
        <sz val="10"/>
        <rFont val="宋体"/>
        <charset val="134"/>
      </rPr>
      <t>管道沟槽</t>
    </r>
    <r>
      <rPr>
        <sz val="10"/>
        <rFont val="Times New Roman"/>
        <charset val="134"/>
      </rPr>
      <t>17</t>
    </r>
  </si>
  <si>
    <r>
      <rPr>
        <sz val="10"/>
        <rFont val="宋体"/>
        <charset val="134"/>
      </rPr>
      <t>管道沟槽</t>
    </r>
    <r>
      <rPr>
        <sz val="10"/>
        <rFont val="Times New Roman"/>
        <charset val="134"/>
      </rPr>
      <t>18</t>
    </r>
  </si>
  <si>
    <r>
      <rPr>
        <sz val="10"/>
        <rFont val="宋体"/>
        <charset val="134"/>
      </rPr>
      <t>管道沟槽</t>
    </r>
    <r>
      <rPr>
        <sz val="10"/>
        <rFont val="Times New Roman"/>
        <charset val="134"/>
      </rPr>
      <t>19</t>
    </r>
  </si>
  <si>
    <r>
      <rPr>
        <sz val="10"/>
        <rFont val="宋体"/>
        <charset val="134"/>
      </rPr>
      <t>管道沟槽</t>
    </r>
    <r>
      <rPr>
        <sz val="10"/>
        <rFont val="Times New Roman"/>
        <charset val="134"/>
      </rPr>
      <t>20</t>
    </r>
  </si>
  <si>
    <r>
      <rPr>
        <u/>
        <sz val="9"/>
        <color indexed="12"/>
        <rFont val="宋体"/>
        <charset val="134"/>
      </rPr>
      <t>返回索引页</t>
    </r>
  </si>
  <si>
    <r>
      <rPr>
        <u/>
        <sz val="9"/>
        <color indexed="12"/>
        <rFont val="宋体"/>
        <charset val="134"/>
      </rPr>
      <t>返回</t>
    </r>
  </si>
  <si>
    <r>
      <rPr>
        <sz val="20"/>
        <rFont val="宋体"/>
        <charset val="134"/>
      </rPr>
      <t>固定资产</t>
    </r>
    <r>
      <rPr>
        <sz val="20"/>
        <rFont val="Times New Roman"/>
        <charset val="134"/>
      </rPr>
      <t>—</t>
    </r>
    <r>
      <rPr>
        <sz val="20"/>
        <rFont val="宋体"/>
        <charset val="134"/>
      </rPr>
      <t>井巷工程评估明细表</t>
    </r>
  </si>
  <si>
    <r>
      <rPr>
        <b/>
        <sz val="9"/>
        <rFont val="宋体"/>
        <charset val="134"/>
      </rPr>
      <t>资产编号</t>
    </r>
  </si>
  <si>
    <r>
      <rPr>
        <b/>
        <sz val="9"/>
        <rFont val="宋体"/>
        <charset val="134"/>
      </rPr>
      <t>井巷工程名称</t>
    </r>
  </si>
  <si>
    <r>
      <rPr>
        <b/>
        <sz val="9"/>
        <rFont val="宋体"/>
        <charset val="134"/>
      </rPr>
      <t>巷道类别</t>
    </r>
  </si>
  <si>
    <r>
      <rPr>
        <b/>
        <sz val="9"/>
        <rFont val="宋体"/>
        <charset val="134"/>
      </rPr>
      <t>岩石硬度系数</t>
    </r>
  </si>
  <si>
    <r>
      <rPr>
        <b/>
        <sz val="9"/>
        <rFont val="宋体"/>
        <charset val="134"/>
      </rPr>
      <t>支护方式</t>
    </r>
  </si>
  <si>
    <r>
      <rPr>
        <b/>
        <sz val="9"/>
        <rFont val="宋体"/>
        <charset val="134"/>
      </rPr>
      <t>支护厚度</t>
    </r>
    <r>
      <rPr>
        <b/>
        <sz val="9"/>
        <rFont val="Times New Roman"/>
        <charset val="134"/>
      </rPr>
      <t>(mm)</t>
    </r>
  </si>
  <si>
    <r>
      <rPr>
        <b/>
        <sz val="9"/>
        <rFont val="宋体"/>
        <charset val="134"/>
      </rPr>
      <t>轨重</t>
    </r>
    <r>
      <rPr>
        <b/>
        <sz val="9"/>
        <rFont val="Times New Roman"/>
        <charset val="134"/>
      </rPr>
      <t>(KG/m)</t>
    </r>
  </si>
  <si>
    <r>
      <rPr>
        <b/>
        <sz val="9"/>
        <rFont val="宋体"/>
        <charset val="134"/>
      </rPr>
      <t>掘进断面</t>
    </r>
    <r>
      <rPr>
        <b/>
        <sz val="9"/>
        <rFont val="Times New Roman"/>
        <charset val="134"/>
      </rPr>
      <t>(m</t>
    </r>
    <r>
      <rPr>
        <b/>
        <vertAlign val="superscript"/>
        <sz val="9"/>
        <rFont val="Times New Roman"/>
        <charset val="134"/>
      </rPr>
      <t>2</t>
    </r>
    <r>
      <rPr>
        <b/>
        <sz val="9"/>
        <rFont val="Times New Roman"/>
        <charset val="134"/>
      </rPr>
      <t>)</t>
    </r>
  </si>
  <si>
    <r>
      <rPr>
        <b/>
        <sz val="9"/>
        <rFont val="宋体"/>
        <charset val="134"/>
      </rPr>
      <t>净断面</t>
    </r>
  </si>
  <si>
    <r>
      <rPr>
        <b/>
        <sz val="9"/>
        <rFont val="宋体"/>
        <charset val="134"/>
      </rPr>
      <t>巷道倾角</t>
    </r>
    <r>
      <rPr>
        <b/>
        <sz val="9"/>
        <rFont val="Times New Roman"/>
        <charset val="134"/>
      </rPr>
      <t>(</t>
    </r>
    <r>
      <rPr>
        <b/>
        <sz val="9"/>
        <rFont val="宋体"/>
        <charset val="134"/>
      </rPr>
      <t>度</t>
    </r>
    <r>
      <rPr>
        <b/>
        <sz val="9"/>
        <rFont val="Times New Roman"/>
        <charset val="134"/>
      </rPr>
      <t>)</t>
    </r>
  </si>
  <si>
    <r>
      <rPr>
        <b/>
        <sz val="9"/>
        <rFont val="宋体"/>
        <charset val="134"/>
      </rPr>
      <t>巷道长度</t>
    </r>
    <r>
      <rPr>
        <b/>
        <sz val="9"/>
        <rFont val="Times New Roman"/>
        <charset val="134"/>
      </rPr>
      <t>(M)</t>
    </r>
  </si>
  <si>
    <r>
      <rPr>
        <b/>
        <sz val="9"/>
        <rFont val="宋体"/>
        <charset val="134"/>
      </rPr>
      <t>硐室体积</t>
    </r>
    <r>
      <rPr>
        <b/>
        <sz val="9"/>
        <rFont val="Times New Roman"/>
        <charset val="134"/>
      </rPr>
      <t>(M</t>
    </r>
    <r>
      <rPr>
        <b/>
        <vertAlign val="superscript"/>
        <sz val="9"/>
        <rFont val="Times New Roman"/>
        <charset val="134"/>
      </rPr>
      <t>3</t>
    </r>
    <r>
      <rPr>
        <b/>
        <sz val="9"/>
        <rFont val="Times New Roman"/>
        <charset val="134"/>
      </rPr>
      <t>)</t>
    </r>
  </si>
  <si>
    <r>
      <rPr>
        <b/>
        <sz val="9"/>
        <rFont val="宋体"/>
        <charset val="134"/>
      </rPr>
      <t>竣工年月</t>
    </r>
  </si>
  <si>
    <r>
      <rPr>
        <b/>
        <sz val="9"/>
        <rFont val="宋体"/>
        <charset val="134"/>
      </rPr>
      <t>折旧年限</t>
    </r>
  </si>
  <si>
    <r>
      <rPr>
        <b/>
        <sz val="9"/>
        <rFont val="宋体"/>
        <charset val="134"/>
      </rPr>
      <t>残值率</t>
    </r>
  </si>
  <si>
    <r>
      <rPr>
        <b/>
        <sz val="9"/>
        <rFont val="宋体"/>
        <charset val="134"/>
      </rPr>
      <t>尚可服务年限</t>
    </r>
  </si>
  <si>
    <r>
      <rPr>
        <b/>
        <sz val="9"/>
        <rFont val="宋体"/>
        <charset val="134"/>
      </rPr>
      <t>审计前账面值</t>
    </r>
  </si>
  <si>
    <r>
      <rPr>
        <b/>
        <sz val="9"/>
        <color indexed="10"/>
        <rFont val="宋体"/>
        <charset val="134"/>
      </rPr>
      <t>调整分录</t>
    </r>
  </si>
  <si>
    <r>
      <rPr>
        <b/>
        <sz val="9"/>
        <rFont val="宋体"/>
        <charset val="134"/>
      </rPr>
      <t>账表校对（审计前）</t>
    </r>
  </si>
  <si>
    <r>
      <rPr>
        <b/>
        <sz val="9"/>
        <rFont val="宋体"/>
        <charset val="134"/>
      </rPr>
      <t>账表校对（审计后）</t>
    </r>
  </si>
  <si>
    <r>
      <rPr>
        <b/>
        <sz val="9"/>
        <rFont val="宋体"/>
        <charset val="134"/>
      </rPr>
      <t>合同</t>
    </r>
  </si>
  <si>
    <r>
      <rPr>
        <b/>
        <sz val="9"/>
        <rFont val="宋体"/>
        <charset val="134"/>
      </rPr>
      <t>概预结算</t>
    </r>
  </si>
  <si>
    <r>
      <rPr>
        <b/>
        <sz val="9"/>
        <rFont val="宋体"/>
        <charset val="134"/>
      </rPr>
      <t>单据凭证</t>
    </r>
  </si>
  <si>
    <r>
      <rPr>
        <b/>
        <sz val="9"/>
        <rFont val="宋体"/>
        <charset val="134"/>
      </rPr>
      <t>权属资料</t>
    </r>
  </si>
  <si>
    <r>
      <rPr>
        <b/>
        <sz val="9"/>
        <rFont val="宋体"/>
        <charset val="134"/>
      </rPr>
      <t>盘点表</t>
    </r>
  </si>
  <si>
    <r>
      <rPr>
        <b/>
        <sz val="9"/>
        <rFont val="宋体"/>
        <charset val="134"/>
      </rPr>
      <t>未盘点原因</t>
    </r>
  </si>
  <si>
    <r>
      <rPr>
        <b/>
        <sz val="9"/>
        <rFont val="宋体"/>
        <charset val="134"/>
      </rPr>
      <t>调查表</t>
    </r>
  </si>
  <si>
    <r>
      <rPr>
        <b/>
        <sz val="9"/>
        <rFont val="宋体"/>
        <charset val="134"/>
      </rPr>
      <t>特殊事项</t>
    </r>
  </si>
  <si>
    <r>
      <rPr>
        <b/>
        <sz val="9"/>
        <rFont val="宋体"/>
        <charset val="134"/>
      </rPr>
      <t>市场法收益法评估总价</t>
    </r>
  </si>
  <si>
    <r>
      <rPr>
        <b/>
        <sz val="9"/>
        <rFont val="宋体"/>
        <charset val="134"/>
      </rPr>
      <t>减值准备</t>
    </r>
  </si>
  <si>
    <r>
      <rPr>
        <b/>
        <sz val="9"/>
        <color indexed="10"/>
        <rFont val="宋体"/>
        <charset val="134"/>
      </rPr>
      <t>原值</t>
    </r>
  </si>
  <si>
    <r>
      <rPr>
        <b/>
        <sz val="9"/>
        <color indexed="10"/>
        <rFont val="宋体"/>
        <charset val="134"/>
      </rPr>
      <t>净值</t>
    </r>
  </si>
  <si>
    <r>
      <rPr>
        <b/>
        <sz val="9"/>
        <color rgb="FFFF0000"/>
        <rFont val="宋体"/>
        <charset val="134"/>
      </rPr>
      <t>减值准备</t>
    </r>
  </si>
  <si>
    <r>
      <rPr>
        <b/>
        <sz val="9"/>
        <rFont val="宋体"/>
        <charset val="134"/>
      </rPr>
      <t>成新率</t>
    </r>
    <r>
      <rPr>
        <b/>
        <sz val="9"/>
        <rFont val="Times New Roman"/>
        <charset val="134"/>
      </rPr>
      <t>%</t>
    </r>
  </si>
  <si>
    <r>
      <rPr>
        <b/>
        <sz val="9"/>
        <rFont val="宋体"/>
        <charset val="134"/>
      </rPr>
      <t>溢余资产</t>
    </r>
  </si>
  <si>
    <r>
      <rPr>
        <b/>
        <sz val="9"/>
        <rFont val="宋体"/>
        <charset val="134"/>
      </rPr>
      <t>标识</t>
    </r>
  </si>
  <si>
    <r>
      <rPr>
        <b/>
        <sz val="9"/>
        <rFont val="宋体"/>
        <charset val="134"/>
      </rPr>
      <t>选择</t>
    </r>
  </si>
  <si>
    <r>
      <rPr>
        <b/>
        <sz val="9"/>
        <rFont val="宋体"/>
        <charset val="134"/>
      </rPr>
      <t>数量</t>
    </r>
  </si>
  <si>
    <r>
      <rPr>
        <b/>
        <sz val="9"/>
        <rFont val="宋体"/>
        <charset val="134"/>
      </rPr>
      <t>目录描述</t>
    </r>
  </si>
  <si>
    <r>
      <rPr>
        <b/>
        <sz val="9"/>
        <rFont val="宋体"/>
        <charset val="134"/>
      </rPr>
      <t>合理工期</t>
    </r>
  </si>
  <si>
    <r>
      <rPr>
        <b/>
        <sz val="9"/>
        <rFont val="宋体"/>
        <charset val="134"/>
      </rPr>
      <t>借款利率</t>
    </r>
  </si>
  <si>
    <r>
      <rPr>
        <b/>
        <sz val="9"/>
        <rFont val="宋体"/>
        <charset val="134"/>
      </rPr>
      <t>资金成本</t>
    </r>
  </si>
  <si>
    <r>
      <rPr>
        <b/>
        <sz val="9"/>
        <rFont val="宋体"/>
        <charset val="134"/>
      </rPr>
      <t>评估原值</t>
    </r>
  </si>
  <si>
    <r>
      <rPr>
        <b/>
        <sz val="9"/>
        <rFont val="宋体"/>
        <charset val="134"/>
      </rPr>
      <t>已使用年限</t>
    </r>
  </si>
  <si>
    <r>
      <rPr>
        <b/>
        <sz val="9"/>
        <rFont val="宋体"/>
        <charset val="134"/>
      </rPr>
      <t>经济寿命年限</t>
    </r>
  </si>
  <si>
    <r>
      <rPr>
        <b/>
        <sz val="9"/>
        <rFont val="宋体"/>
        <charset val="134"/>
      </rPr>
      <t>年限成新率</t>
    </r>
  </si>
  <si>
    <r>
      <rPr>
        <b/>
        <sz val="9"/>
        <rFont val="宋体"/>
        <charset val="134"/>
      </rPr>
      <t>勘察成新率</t>
    </r>
  </si>
  <si>
    <r>
      <rPr>
        <b/>
        <sz val="9"/>
        <rFont val="宋体"/>
        <charset val="134"/>
      </rPr>
      <t>综合成新率</t>
    </r>
  </si>
  <si>
    <r>
      <rPr>
        <sz val="10"/>
        <rFont val="宋体"/>
        <charset val="134"/>
      </rPr>
      <t>井巷工程</t>
    </r>
    <r>
      <rPr>
        <sz val="10"/>
        <rFont val="Times New Roman"/>
        <charset val="134"/>
      </rPr>
      <t>01</t>
    </r>
  </si>
  <si>
    <r>
      <rPr>
        <sz val="10"/>
        <rFont val="宋体"/>
        <charset val="134"/>
      </rPr>
      <t>井巷工程</t>
    </r>
    <r>
      <rPr>
        <sz val="10"/>
        <rFont val="Times New Roman"/>
        <charset val="134"/>
      </rPr>
      <t>02</t>
    </r>
  </si>
  <si>
    <r>
      <rPr>
        <sz val="10"/>
        <rFont val="宋体"/>
        <charset val="134"/>
      </rPr>
      <t>井巷工程</t>
    </r>
    <r>
      <rPr>
        <sz val="10"/>
        <rFont val="Times New Roman"/>
        <charset val="134"/>
      </rPr>
      <t>03</t>
    </r>
  </si>
  <si>
    <r>
      <rPr>
        <sz val="10"/>
        <rFont val="宋体"/>
        <charset val="134"/>
      </rPr>
      <t>井巷工程</t>
    </r>
    <r>
      <rPr>
        <sz val="10"/>
        <rFont val="Times New Roman"/>
        <charset val="134"/>
      </rPr>
      <t>04</t>
    </r>
  </si>
  <si>
    <r>
      <rPr>
        <sz val="10"/>
        <rFont val="宋体"/>
        <charset val="134"/>
      </rPr>
      <t>井巷工程</t>
    </r>
    <r>
      <rPr>
        <sz val="10"/>
        <rFont val="Times New Roman"/>
        <charset val="134"/>
      </rPr>
      <t>05</t>
    </r>
  </si>
  <si>
    <r>
      <rPr>
        <sz val="10"/>
        <rFont val="宋体"/>
        <charset val="134"/>
      </rPr>
      <t>井巷工程</t>
    </r>
    <r>
      <rPr>
        <sz val="10"/>
        <rFont val="Times New Roman"/>
        <charset val="134"/>
      </rPr>
      <t>06</t>
    </r>
  </si>
  <si>
    <r>
      <rPr>
        <sz val="10"/>
        <rFont val="宋体"/>
        <charset val="134"/>
      </rPr>
      <t>井巷工程</t>
    </r>
    <r>
      <rPr>
        <sz val="10"/>
        <rFont val="Times New Roman"/>
        <charset val="134"/>
      </rPr>
      <t>07</t>
    </r>
  </si>
  <si>
    <r>
      <rPr>
        <sz val="10"/>
        <rFont val="宋体"/>
        <charset val="134"/>
      </rPr>
      <t>井巷工程</t>
    </r>
    <r>
      <rPr>
        <sz val="10"/>
        <rFont val="Times New Roman"/>
        <charset val="134"/>
      </rPr>
      <t>08</t>
    </r>
  </si>
  <si>
    <r>
      <rPr>
        <sz val="10"/>
        <rFont val="宋体"/>
        <charset val="134"/>
      </rPr>
      <t>井巷工程</t>
    </r>
    <r>
      <rPr>
        <sz val="10"/>
        <rFont val="Times New Roman"/>
        <charset val="134"/>
      </rPr>
      <t>09</t>
    </r>
  </si>
  <si>
    <r>
      <rPr>
        <sz val="10"/>
        <rFont val="宋体"/>
        <charset val="134"/>
      </rPr>
      <t>井巷工程</t>
    </r>
    <r>
      <rPr>
        <sz val="10"/>
        <rFont val="Times New Roman"/>
        <charset val="134"/>
      </rPr>
      <t>10</t>
    </r>
  </si>
  <si>
    <r>
      <rPr>
        <sz val="10"/>
        <rFont val="宋体"/>
        <charset val="134"/>
      </rPr>
      <t>井巷工程</t>
    </r>
    <r>
      <rPr>
        <sz val="10"/>
        <rFont val="Times New Roman"/>
        <charset val="134"/>
      </rPr>
      <t>11</t>
    </r>
  </si>
  <si>
    <r>
      <rPr>
        <sz val="10"/>
        <rFont val="宋体"/>
        <charset val="134"/>
      </rPr>
      <t>井巷工程</t>
    </r>
    <r>
      <rPr>
        <sz val="10"/>
        <rFont val="Times New Roman"/>
        <charset val="134"/>
      </rPr>
      <t>12</t>
    </r>
  </si>
  <si>
    <r>
      <rPr>
        <sz val="10"/>
        <rFont val="宋体"/>
        <charset val="134"/>
      </rPr>
      <t>井巷工程</t>
    </r>
    <r>
      <rPr>
        <sz val="10"/>
        <rFont val="Times New Roman"/>
        <charset val="134"/>
      </rPr>
      <t>13</t>
    </r>
  </si>
  <si>
    <r>
      <rPr>
        <sz val="10"/>
        <rFont val="宋体"/>
        <charset val="134"/>
      </rPr>
      <t>井巷工程</t>
    </r>
    <r>
      <rPr>
        <sz val="10"/>
        <rFont val="Times New Roman"/>
        <charset val="134"/>
      </rPr>
      <t>14</t>
    </r>
  </si>
  <si>
    <r>
      <rPr>
        <sz val="10"/>
        <rFont val="宋体"/>
        <charset val="134"/>
      </rPr>
      <t>井巷工程</t>
    </r>
    <r>
      <rPr>
        <sz val="10"/>
        <rFont val="Times New Roman"/>
        <charset val="134"/>
      </rPr>
      <t>15</t>
    </r>
  </si>
  <si>
    <r>
      <rPr>
        <sz val="10"/>
        <rFont val="宋体"/>
        <charset val="134"/>
      </rPr>
      <t>井巷工程</t>
    </r>
    <r>
      <rPr>
        <sz val="10"/>
        <rFont val="Times New Roman"/>
        <charset val="134"/>
      </rPr>
      <t>16</t>
    </r>
  </si>
  <si>
    <r>
      <rPr>
        <sz val="10"/>
        <rFont val="宋体"/>
        <charset val="134"/>
      </rPr>
      <t>井巷工程</t>
    </r>
    <r>
      <rPr>
        <sz val="10"/>
        <rFont val="Times New Roman"/>
        <charset val="134"/>
      </rPr>
      <t>17</t>
    </r>
  </si>
  <si>
    <r>
      <rPr>
        <sz val="10"/>
        <rFont val="宋体"/>
        <charset val="134"/>
      </rPr>
      <t>井巷工程</t>
    </r>
    <r>
      <rPr>
        <sz val="10"/>
        <rFont val="Times New Roman"/>
        <charset val="134"/>
      </rPr>
      <t>18</t>
    </r>
  </si>
  <si>
    <r>
      <rPr>
        <sz val="10"/>
        <rFont val="宋体"/>
        <charset val="134"/>
      </rPr>
      <t>井巷工程</t>
    </r>
    <r>
      <rPr>
        <sz val="10"/>
        <rFont val="Times New Roman"/>
        <charset val="134"/>
      </rPr>
      <t>19</t>
    </r>
  </si>
  <si>
    <r>
      <rPr>
        <sz val="10"/>
        <rFont val="宋体"/>
        <charset val="134"/>
      </rPr>
      <t>井巷工程</t>
    </r>
    <r>
      <rPr>
        <sz val="10"/>
        <rFont val="Times New Roman"/>
        <charset val="134"/>
      </rPr>
      <t>20</t>
    </r>
  </si>
  <si>
    <r>
      <rPr>
        <sz val="18"/>
        <rFont val="宋体"/>
        <charset val="134"/>
      </rPr>
      <t>固定资产</t>
    </r>
    <r>
      <rPr>
        <sz val="18"/>
        <rFont val="Times New Roman"/>
        <charset val="134"/>
      </rPr>
      <t>—</t>
    </r>
    <r>
      <rPr>
        <sz val="18"/>
        <rFont val="宋体"/>
        <charset val="134"/>
      </rPr>
      <t>铺轨工程评估明细表</t>
    </r>
  </si>
  <si>
    <r>
      <rPr>
        <b/>
        <sz val="10"/>
        <rFont val="宋体"/>
        <charset val="134"/>
      </rPr>
      <t>铺轨及道岔名称</t>
    </r>
  </si>
  <si>
    <r>
      <rPr>
        <b/>
        <sz val="10"/>
        <rFont val="宋体"/>
        <charset val="134"/>
      </rPr>
      <t>使用</t>
    </r>
    <r>
      <rPr>
        <b/>
        <sz val="10"/>
        <rFont val="Times New Roman"/>
        <charset val="134"/>
      </rPr>
      <t>/</t>
    </r>
    <r>
      <rPr>
        <b/>
        <sz val="10"/>
        <rFont val="宋体"/>
        <charset val="134"/>
      </rPr>
      <t>存置部门名称</t>
    </r>
  </si>
  <si>
    <r>
      <rPr>
        <b/>
        <sz val="10"/>
        <rFont val="宋体"/>
        <charset val="134"/>
      </rPr>
      <t>安装地点</t>
    </r>
  </si>
  <si>
    <r>
      <rPr>
        <b/>
        <sz val="10"/>
        <rFont val="宋体"/>
        <charset val="134"/>
      </rPr>
      <t>轨型</t>
    </r>
    <r>
      <rPr>
        <b/>
        <sz val="10"/>
        <rFont val="Times New Roman"/>
        <charset val="134"/>
      </rPr>
      <t>(kg/m)</t>
    </r>
  </si>
  <si>
    <r>
      <rPr>
        <b/>
        <sz val="10"/>
        <rFont val="宋体"/>
        <charset val="134"/>
      </rPr>
      <t>轨枕种类及类型</t>
    </r>
    <r>
      <rPr>
        <b/>
        <sz val="10"/>
        <rFont val="Times New Roman"/>
        <charset val="134"/>
      </rPr>
      <t>/</t>
    </r>
    <r>
      <rPr>
        <b/>
        <sz val="10"/>
        <rFont val="宋体"/>
        <charset val="134"/>
      </rPr>
      <t>道岔类型及型号</t>
    </r>
  </si>
  <si>
    <r>
      <rPr>
        <b/>
        <sz val="10"/>
        <rFont val="宋体"/>
        <charset val="134"/>
      </rPr>
      <t>转距（</t>
    </r>
    <r>
      <rPr>
        <b/>
        <sz val="10"/>
        <rFont val="Times New Roman"/>
        <charset val="134"/>
      </rPr>
      <t>mm</t>
    </r>
    <r>
      <rPr>
        <b/>
        <sz val="10"/>
        <rFont val="宋体"/>
        <charset val="134"/>
      </rPr>
      <t>）</t>
    </r>
  </si>
  <si>
    <t>道砟类型及体积(m³)</t>
  </si>
  <si>
    <r>
      <rPr>
        <b/>
        <sz val="10"/>
        <rFont val="宋体"/>
        <charset val="134"/>
      </rPr>
      <t>铺轨</t>
    </r>
    <r>
      <rPr>
        <b/>
        <sz val="10"/>
        <rFont val="Times New Roman"/>
        <charset val="134"/>
      </rPr>
      <t>/</t>
    </r>
    <r>
      <rPr>
        <b/>
        <sz val="10"/>
        <rFont val="宋体"/>
        <charset val="134"/>
      </rPr>
      <t>道岔长度</t>
    </r>
    <r>
      <rPr>
        <b/>
        <sz val="10"/>
        <rFont val="Times New Roman"/>
        <charset val="134"/>
      </rPr>
      <t>(m)</t>
    </r>
  </si>
  <si>
    <t>铺/换轨年月</t>
  </si>
  <si>
    <t>折旧年限</t>
  </si>
  <si>
    <t>残值率</t>
  </si>
  <si>
    <r>
      <rPr>
        <b/>
        <sz val="10"/>
        <rFont val="宋体"/>
        <charset val="134"/>
      </rPr>
      <t>审计前账面价值</t>
    </r>
  </si>
  <si>
    <r>
      <rPr>
        <b/>
        <sz val="10"/>
        <color rgb="FFFF0000"/>
        <rFont val="宋体"/>
        <charset val="134"/>
      </rPr>
      <t>原值</t>
    </r>
  </si>
  <si>
    <r>
      <rPr>
        <b/>
        <sz val="10"/>
        <color rgb="FFFF0000"/>
        <rFont val="宋体"/>
        <charset val="134"/>
      </rPr>
      <t>净值</t>
    </r>
  </si>
  <si>
    <r>
      <rPr>
        <sz val="10"/>
        <rFont val="宋体"/>
        <charset val="134"/>
      </rPr>
      <t>辅轨工程</t>
    </r>
    <r>
      <rPr>
        <sz val="10"/>
        <rFont val="Times New Roman"/>
        <charset val="134"/>
      </rPr>
      <t>01</t>
    </r>
  </si>
  <si>
    <r>
      <rPr>
        <sz val="10"/>
        <rFont val="宋体"/>
        <charset val="134"/>
      </rPr>
      <t>辅轨工程</t>
    </r>
    <r>
      <rPr>
        <sz val="10"/>
        <rFont val="Times New Roman"/>
        <charset val="134"/>
      </rPr>
      <t>02</t>
    </r>
  </si>
  <si>
    <r>
      <rPr>
        <sz val="10"/>
        <rFont val="宋体"/>
        <charset val="134"/>
      </rPr>
      <t>辅轨工程</t>
    </r>
    <r>
      <rPr>
        <sz val="10"/>
        <rFont val="Times New Roman"/>
        <charset val="134"/>
      </rPr>
      <t>03</t>
    </r>
  </si>
  <si>
    <r>
      <rPr>
        <sz val="10"/>
        <rFont val="宋体"/>
        <charset val="134"/>
      </rPr>
      <t>辅轨工程</t>
    </r>
    <r>
      <rPr>
        <sz val="10"/>
        <rFont val="Times New Roman"/>
        <charset val="134"/>
      </rPr>
      <t>04</t>
    </r>
  </si>
  <si>
    <r>
      <rPr>
        <sz val="10"/>
        <rFont val="宋体"/>
        <charset val="134"/>
      </rPr>
      <t>辅轨工程</t>
    </r>
    <r>
      <rPr>
        <sz val="10"/>
        <rFont val="Times New Roman"/>
        <charset val="134"/>
      </rPr>
      <t>05</t>
    </r>
  </si>
  <si>
    <r>
      <rPr>
        <sz val="10"/>
        <rFont val="宋体"/>
        <charset val="134"/>
      </rPr>
      <t>辅轨工程</t>
    </r>
    <r>
      <rPr>
        <sz val="10"/>
        <rFont val="Times New Roman"/>
        <charset val="134"/>
      </rPr>
      <t>06</t>
    </r>
  </si>
  <si>
    <r>
      <rPr>
        <sz val="10"/>
        <rFont val="宋体"/>
        <charset val="134"/>
      </rPr>
      <t>辅轨工程</t>
    </r>
    <r>
      <rPr>
        <sz val="10"/>
        <rFont val="Times New Roman"/>
        <charset val="134"/>
      </rPr>
      <t>07</t>
    </r>
  </si>
  <si>
    <r>
      <rPr>
        <sz val="10"/>
        <rFont val="宋体"/>
        <charset val="134"/>
      </rPr>
      <t>辅轨工程</t>
    </r>
    <r>
      <rPr>
        <sz val="10"/>
        <rFont val="Times New Roman"/>
        <charset val="134"/>
      </rPr>
      <t>08</t>
    </r>
  </si>
  <si>
    <r>
      <rPr>
        <sz val="10"/>
        <rFont val="宋体"/>
        <charset val="134"/>
      </rPr>
      <t>辅轨工程</t>
    </r>
    <r>
      <rPr>
        <sz val="10"/>
        <rFont val="Times New Roman"/>
        <charset val="134"/>
      </rPr>
      <t>09</t>
    </r>
  </si>
  <si>
    <r>
      <rPr>
        <sz val="10"/>
        <rFont val="宋体"/>
        <charset val="134"/>
      </rPr>
      <t>辅轨工程</t>
    </r>
    <r>
      <rPr>
        <sz val="10"/>
        <rFont val="Times New Roman"/>
        <charset val="134"/>
      </rPr>
      <t>10</t>
    </r>
  </si>
  <si>
    <r>
      <rPr>
        <sz val="10"/>
        <rFont val="宋体"/>
        <charset val="134"/>
      </rPr>
      <t>辅轨工程</t>
    </r>
    <r>
      <rPr>
        <sz val="10"/>
        <rFont val="Times New Roman"/>
        <charset val="134"/>
      </rPr>
      <t>11</t>
    </r>
  </si>
  <si>
    <r>
      <rPr>
        <sz val="10"/>
        <rFont val="宋体"/>
        <charset val="134"/>
      </rPr>
      <t>辅轨工程</t>
    </r>
    <r>
      <rPr>
        <sz val="10"/>
        <rFont val="Times New Roman"/>
        <charset val="134"/>
      </rPr>
      <t>12</t>
    </r>
  </si>
  <si>
    <r>
      <rPr>
        <sz val="10"/>
        <rFont val="宋体"/>
        <charset val="134"/>
      </rPr>
      <t>辅轨工程</t>
    </r>
    <r>
      <rPr>
        <sz val="10"/>
        <rFont val="Times New Roman"/>
        <charset val="134"/>
      </rPr>
      <t>13</t>
    </r>
  </si>
  <si>
    <r>
      <rPr>
        <sz val="10"/>
        <rFont val="宋体"/>
        <charset val="134"/>
      </rPr>
      <t>辅轨工程</t>
    </r>
    <r>
      <rPr>
        <sz val="10"/>
        <rFont val="Times New Roman"/>
        <charset val="134"/>
      </rPr>
      <t>14</t>
    </r>
  </si>
  <si>
    <r>
      <rPr>
        <sz val="10"/>
        <rFont val="宋体"/>
        <charset val="134"/>
      </rPr>
      <t>辅轨工程</t>
    </r>
    <r>
      <rPr>
        <sz val="10"/>
        <rFont val="Times New Roman"/>
        <charset val="134"/>
      </rPr>
      <t>15</t>
    </r>
  </si>
  <si>
    <r>
      <rPr>
        <sz val="10"/>
        <rFont val="宋体"/>
        <charset val="134"/>
      </rPr>
      <t>辅轨工程</t>
    </r>
    <r>
      <rPr>
        <sz val="10"/>
        <rFont val="Times New Roman"/>
        <charset val="134"/>
      </rPr>
      <t>16</t>
    </r>
  </si>
  <si>
    <r>
      <rPr>
        <sz val="10"/>
        <rFont val="宋体"/>
        <charset val="134"/>
      </rPr>
      <t>辅轨工程</t>
    </r>
    <r>
      <rPr>
        <sz val="10"/>
        <rFont val="Times New Roman"/>
        <charset val="134"/>
      </rPr>
      <t>17</t>
    </r>
  </si>
  <si>
    <r>
      <rPr>
        <sz val="10"/>
        <rFont val="宋体"/>
        <charset val="134"/>
      </rPr>
      <t>辅轨工程</t>
    </r>
    <r>
      <rPr>
        <sz val="10"/>
        <rFont val="Times New Roman"/>
        <charset val="134"/>
      </rPr>
      <t>18</t>
    </r>
  </si>
  <si>
    <r>
      <rPr>
        <sz val="10"/>
        <rFont val="宋体"/>
        <charset val="134"/>
      </rPr>
      <t>辅轨工程</t>
    </r>
    <r>
      <rPr>
        <sz val="10"/>
        <rFont val="Times New Roman"/>
        <charset val="134"/>
      </rPr>
      <t>19</t>
    </r>
  </si>
  <si>
    <r>
      <rPr>
        <sz val="10"/>
        <rFont val="宋体"/>
        <charset val="134"/>
      </rPr>
      <t>辅轨工程</t>
    </r>
    <r>
      <rPr>
        <sz val="10"/>
        <rFont val="Times New Roman"/>
        <charset val="134"/>
      </rPr>
      <t>20</t>
    </r>
  </si>
  <si>
    <r>
      <rPr>
        <sz val="18"/>
        <rFont val="宋体"/>
        <charset val="134"/>
      </rPr>
      <t>固定资产</t>
    </r>
    <r>
      <rPr>
        <sz val="18"/>
        <rFont val="Times New Roman"/>
        <charset val="134"/>
      </rPr>
      <t>—</t>
    </r>
    <r>
      <rPr>
        <sz val="18"/>
        <rFont val="宋体"/>
        <charset val="134"/>
      </rPr>
      <t>机器设备评估明细表</t>
    </r>
  </si>
  <si>
    <r>
      <rPr>
        <b/>
        <sz val="10"/>
        <rFont val="宋体"/>
        <charset val="134"/>
      </rPr>
      <t>设备编号</t>
    </r>
  </si>
  <si>
    <r>
      <rPr>
        <b/>
        <sz val="10"/>
        <rFont val="宋体"/>
        <charset val="134"/>
      </rPr>
      <t>设备名称</t>
    </r>
  </si>
  <si>
    <r>
      <rPr>
        <b/>
        <sz val="10"/>
        <rFont val="宋体"/>
        <charset val="134"/>
      </rPr>
      <t>所属生产线</t>
    </r>
  </si>
  <si>
    <r>
      <rPr>
        <b/>
        <sz val="10"/>
        <rFont val="宋体"/>
        <charset val="134"/>
      </rPr>
      <t>生产厂家</t>
    </r>
  </si>
  <si>
    <r>
      <rPr>
        <b/>
        <sz val="10"/>
        <rFont val="宋体"/>
        <charset val="134"/>
      </rPr>
      <t>购置日期</t>
    </r>
  </si>
  <si>
    <r>
      <rPr>
        <b/>
        <sz val="10"/>
        <rFont val="宋体"/>
        <charset val="134"/>
      </rPr>
      <t>合同</t>
    </r>
    <r>
      <rPr>
        <b/>
        <sz val="10"/>
        <rFont val="Times New Roman"/>
        <charset val="134"/>
      </rPr>
      <t>/</t>
    </r>
    <r>
      <rPr>
        <b/>
        <sz val="10"/>
        <rFont val="宋体"/>
        <charset val="134"/>
      </rPr>
      <t xml:space="preserve">发票价
</t>
    </r>
    <r>
      <rPr>
        <b/>
        <sz val="10"/>
        <rFont val="Times New Roman"/>
        <charset val="134"/>
      </rPr>
      <t>(</t>
    </r>
    <r>
      <rPr>
        <b/>
        <sz val="10"/>
        <rFont val="宋体"/>
        <charset val="134"/>
      </rPr>
      <t>不含税）</t>
    </r>
  </si>
  <si>
    <r>
      <rPr>
        <b/>
        <sz val="10"/>
        <rFont val="宋体"/>
        <charset val="134"/>
      </rPr>
      <t>评估基准日：</t>
    </r>
  </si>
  <si>
    <t>拆除费</t>
  </si>
  <si>
    <t>评估值</t>
  </si>
  <si>
    <r>
      <rPr>
        <b/>
        <sz val="10"/>
        <rFont val="宋体"/>
        <charset val="134"/>
      </rPr>
      <t>分摊比例</t>
    </r>
  </si>
  <si>
    <r>
      <rPr>
        <b/>
        <sz val="10"/>
        <rFont val="宋体"/>
        <charset val="134"/>
      </rPr>
      <t>分摊前金额</t>
    </r>
  </si>
  <si>
    <r>
      <rPr>
        <b/>
        <sz val="10"/>
        <rFont val="宋体"/>
        <charset val="134"/>
      </rPr>
      <t>运安调基费用比例</t>
    </r>
  </si>
  <si>
    <r>
      <rPr>
        <b/>
        <sz val="10"/>
        <rFont val="宋体"/>
        <charset val="134"/>
      </rPr>
      <t>运安调基费用</t>
    </r>
  </si>
  <si>
    <r>
      <rPr>
        <b/>
        <sz val="10"/>
        <rFont val="宋体"/>
        <charset val="134"/>
      </rPr>
      <t>购置价</t>
    </r>
  </si>
  <si>
    <r>
      <rPr>
        <b/>
        <sz val="10"/>
        <rFont val="宋体"/>
        <charset val="134"/>
      </rPr>
      <t>增值税率</t>
    </r>
  </si>
  <si>
    <t>含税购置单价</t>
  </si>
  <si>
    <r>
      <rPr>
        <b/>
        <sz val="10"/>
        <rFont val="宋体"/>
        <charset val="134"/>
      </rPr>
      <t>含税购置总价</t>
    </r>
  </si>
  <si>
    <r>
      <rPr>
        <b/>
        <sz val="10"/>
        <rFont val="宋体"/>
        <charset val="134"/>
      </rPr>
      <t>设备增值税</t>
    </r>
  </si>
  <si>
    <r>
      <rPr>
        <b/>
        <sz val="10"/>
        <rFont val="宋体"/>
        <charset val="134"/>
      </rPr>
      <t>运费费率</t>
    </r>
  </si>
  <si>
    <r>
      <rPr>
        <b/>
        <sz val="10"/>
        <rFont val="宋体"/>
        <charset val="134"/>
      </rPr>
      <t>运费</t>
    </r>
  </si>
  <si>
    <r>
      <rPr>
        <b/>
        <sz val="10"/>
        <rFont val="宋体"/>
        <charset val="134"/>
      </rPr>
      <t>运费增值税</t>
    </r>
  </si>
  <si>
    <r>
      <rPr>
        <b/>
        <sz val="10"/>
        <rFont val="宋体"/>
        <charset val="134"/>
      </rPr>
      <t>基础费费率</t>
    </r>
  </si>
  <si>
    <r>
      <rPr>
        <b/>
        <sz val="10"/>
        <rFont val="宋体"/>
        <charset val="134"/>
      </rPr>
      <t>基础费</t>
    </r>
  </si>
  <si>
    <r>
      <rPr>
        <b/>
        <sz val="10"/>
        <rFont val="宋体"/>
        <charset val="134"/>
      </rPr>
      <t>基础费增值税</t>
    </r>
  </si>
  <si>
    <r>
      <rPr>
        <b/>
        <sz val="10"/>
        <rFont val="宋体"/>
        <charset val="134"/>
      </rPr>
      <t>安装调试费增值税</t>
    </r>
  </si>
  <si>
    <r>
      <rPr>
        <b/>
        <sz val="10"/>
        <rFont val="宋体"/>
        <charset val="134"/>
      </rPr>
      <t>建设单位管理费率</t>
    </r>
  </si>
  <si>
    <r>
      <rPr>
        <b/>
        <sz val="10"/>
        <rFont val="宋体"/>
        <charset val="134"/>
      </rPr>
      <t>不含税其他费费率</t>
    </r>
  </si>
  <si>
    <r>
      <rPr>
        <b/>
        <sz val="10"/>
        <rFont val="宋体"/>
        <charset val="134"/>
      </rPr>
      <t>含税其他费</t>
    </r>
  </si>
  <si>
    <r>
      <rPr>
        <b/>
        <sz val="10"/>
        <rFont val="宋体"/>
        <charset val="134"/>
      </rPr>
      <t>不含税其他费</t>
    </r>
  </si>
  <si>
    <t>调整前原值</t>
  </si>
  <si>
    <t>机器001</t>
  </si>
  <si>
    <t>电脑</t>
  </si>
  <si>
    <t>机器002</t>
  </si>
  <si>
    <t>机器003</t>
  </si>
  <si>
    <t>机器004</t>
  </si>
  <si>
    <t>机器005</t>
  </si>
  <si>
    <t>机器006</t>
  </si>
  <si>
    <t>机器007</t>
  </si>
  <si>
    <t>机器008</t>
  </si>
  <si>
    <t>机器009</t>
  </si>
  <si>
    <t>机器010</t>
  </si>
  <si>
    <t>机器011</t>
  </si>
  <si>
    <t>打印机</t>
  </si>
  <si>
    <t>机器012</t>
  </si>
  <si>
    <t>机器013</t>
  </si>
  <si>
    <t>机器014</t>
  </si>
  <si>
    <t>机器015</t>
  </si>
  <si>
    <t>机器016</t>
  </si>
  <si>
    <t>机器017</t>
  </si>
  <si>
    <t>机器018</t>
  </si>
  <si>
    <t>机器019</t>
  </si>
  <si>
    <t>机器020</t>
  </si>
  <si>
    <t>机器021</t>
  </si>
  <si>
    <t>机器022</t>
  </si>
  <si>
    <t>机器023</t>
  </si>
  <si>
    <t>机器024</t>
  </si>
  <si>
    <t>机器025</t>
  </si>
  <si>
    <t>机器026</t>
  </si>
  <si>
    <t>机器027</t>
  </si>
  <si>
    <t>机器028</t>
  </si>
  <si>
    <t>机器029</t>
  </si>
  <si>
    <t>办公</t>
  </si>
  <si>
    <t>机器030</t>
  </si>
  <si>
    <t>机器031</t>
  </si>
  <si>
    <t>检测仪器</t>
  </si>
  <si>
    <t>机器032</t>
  </si>
  <si>
    <t>机器033</t>
  </si>
  <si>
    <t>机器034</t>
  </si>
  <si>
    <t>机器035</t>
  </si>
  <si>
    <t>机器036</t>
  </si>
  <si>
    <t>机器037</t>
  </si>
  <si>
    <t>https://i-item.jd.com/10123820447637.html</t>
  </si>
  <si>
    <t>机器038</t>
  </si>
  <si>
    <t>机器039</t>
  </si>
  <si>
    <t>机器040</t>
  </si>
  <si>
    <t>机器041</t>
  </si>
  <si>
    <t>机器042</t>
  </si>
  <si>
    <t>机器043</t>
  </si>
  <si>
    <t>机器044</t>
  </si>
  <si>
    <t>机器045</t>
  </si>
  <si>
    <t>机器046</t>
  </si>
  <si>
    <t>机器047</t>
  </si>
  <si>
    <t>机器048</t>
  </si>
  <si>
    <t>机器049</t>
  </si>
  <si>
    <t>机器050</t>
  </si>
  <si>
    <t>机器051</t>
  </si>
  <si>
    <t>机器052</t>
  </si>
  <si>
    <t>家具</t>
  </si>
  <si>
    <t>机器053</t>
  </si>
  <si>
    <t>机器054</t>
  </si>
  <si>
    <t>机器055</t>
  </si>
  <si>
    <t>机器056</t>
  </si>
  <si>
    <t>机器057</t>
  </si>
  <si>
    <t>机器058</t>
  </si>
  <si>
    <t>机器059</t>
  </si>
  <si>
    <t>机器060</t>
  </si>
  <si>
    <t>机器061</t>
  </si>
  <si>
    <t>机器062</t>
  </si>
  <si>
    <t>机器063</t>
  </si>
  <si>
    <t>机器064</t>
  </si>
  <si>
    <t>机器065</t>
  </si>
  <si>
    <t>机器066</t>
  </si>
  <si>
    <t>机器067</t>
  </si>
  <si>
    <t>机器068</t>
  </si>
  <si>
    <t>机器069</t>
  </si>
  <si>
    <t>机器070</t>
  </si>
  <si>
    <t>机器071</t>
  </si>
  <si>
    <t>机器072</t>
  </si>
  <si>
    <t>机器073</t>
  </si>
  <si>
    <t>机器074</t>
  </si>
  <si>
    <t>机器075</t>
  </si>
  <si>
    <t>机器076</t>
  </si>
  <si>
    <t>机器077</t>
  </si>
  <si>
    <t>机器078</t>
  </si>
  <si>
    <t>机器079</t>
  </si>
  <si>
    <t>机器080</t>
  </si>
  <si>
    <t>机器081</t>
  </si>
  <si>
    <t>机器082</t>
  </si>
  <si>
    <t>机器083</t>
  </si>
  <si>
    <t>机器084</t>
  </si>
  <si>
    <t>机器085</t>
  </si>
  <si>
    <t>机器086</t>
  </si>
  <si>
    <t>机器087</t>
  </si>
  <si>
    <t>机器088</t>
  </si>
  <si>
    <t>机器089</t>
  </si>
  <si>
    <t>机器090</t>
  </si>
  <si>
    <t>机器091</t>
  </si>
  <si>
    <t>机器092</t>
  </si>
  <si>
    <t>机器093</t>
  </si>
  <si>
    <r>
      <rPr>
        <sz val="10"/>
        <color theme="1"/>
        <rFont val="宋体"/>
        <charset val="134"/>
      </rPr>
      <t>【闲鱼】</t>
    </r>
    <r>
      <rPr>
        <sz val="10"/>
        <color theme="1"/>
        <rFont val="Times New Roman"/>
        <charset val="134"/>
      </rPr>
      <t xml:space="preserve">https://m.tb.cn/h.TOzbOOz?tk=QgFGeVMDuzM MF168 </t>
    </r>
    <r>
      <rPr>
        <sz val="10"/>
        <color theme="1"/>
        <rFont val="宋体"/>
        <charset val="134"/>
      </rPr>
      <t>「快来捡漏【联想</t>
    </r>
    <r>
      <rPr>
        <sz val="10"/>
        <color theme="1"/>
        <rFont val="Times New Roman"/>
        <charset val="134"/>
      </rPr>
      <t>GeekPro</t>
    </r>
    <r>
      <rPr>
        <sz val="10"/>
        <color theme="1"/>
        <rFont val="宋体"/>
        <charset val="134"/>
      </rPr>
      <t>设计师】」</t>
    </r>
    <r>
      <rPr>
        <sz val="10"/>
        <color theme="1"/>
        <rFont val="Times New Roman"/>
        <charset val="134"/>
      </rPr>
      <t xml:space="preserve">
</t>
    </r>
    <r>
      <rPr>
        <sz val="10"/>
        <color theme="1"/>
        <rFont val="宋体"/>
        <charset val="134"/>
      </rPr>
      <t>点击链接直接打开</t>
    </r>
  </si>
  <si>
    <t>机器094</t>
  </si>
  <si>
    <t>叉车</t>
  </si>
  <si>
    <t>机器096</t>
  </si>
  <si>
    <t>https://detail.1688.com/offer/824909345582.html?spm=a261b.2187593.0.0.548317e9ywsAOu</t>
  </si>
  <si>
    <t>三轮车</t>
  </si>
  <si>
    <t>机器097</t>
  </si>
  <si>
    <t>机器098</t>
  </si>
  <si>
    <t>https://detail.1688.com/offer/521696759215.html?spm=a261b.2187593.0.0.1c904507X39D2V</t>
  </si>
  <si>
    <t>起重</t>
  </si>
  <si>
    <t>机器099</t>
  </si>
  <si>
    <r>
      <rPr>
        <sz val="10"/>
        <rFont val="Times New Roman"/>
        <charset val="134"/>
      </rPr>
      <t xml:space="preserve"> </t>
    </r>
    <r>
      <rPr>
        <sz val="10"/>
        <rFont val="宋体"/>
        <charset val="134"/>
      </rPr>
      <t>除尘装置</t>
    </r>
  </si>
  <si>
    <t>机器100</t>
  </si>
  <si>
    <t>机器101</t>
  </si>
  <si>
    <t>碳素制品设备</t>
  </si>
  <si>
    <t>机器102</t>
  </si>
  <si>
    <t>机器103</t>
  </si>
  <si>
    <t>机器104</t>
  </si>
  <si>
    <t>锅炉</t>
  </si>
  <si>
    <t>机器105</t>
  </si>
  <si>
    <t>焊接</t>
  </si>
  <si>
    <t>机器106</t>
  </si>
  <si>
    <t>机器107</t>
  </si>
  <si>
    <t>机器108</t>
  </si>
  <si>
    <t>机器109</t>
  </si>
  <si>
    <t>机器110</t>
  </si>
  <si>
    <t>机器111</t>
  </si>
  <si>
    <t>机器112</t>
  </si>
  <si>
    <t>机器113</t>
  </si>
  <si>
    <t>机器114</t>
  </si>
  <si>
    <t>称重</t>
  </si>
  <si>
    <t>机器115</t>
  </si>
  <si>
    <t>机器116</t>
  </si>
  <si>
    <t>https://item.jd.com/100078705623.html#crumb-wrap</t>
  </si>
  <si>
    <t>机器117</t>
  </si>
  <si>
    <t>机器118</t>
  </si>
  <si>
    <t>机器119</t>
  </si>
  <si>
    <t>机器120</t>
  </si>
  <si>
    <t>https://item.jd.com/100111352241.html</t>
  </si>
  <si>
    <t>机器121</t>
  </si>
  <si>
    <t>https://item.jd.com/10095346588543.html#crumb-wrap</t>
  </si>
  <si>
    <t>机器122</t>
  </si>
  <si>
    <t>机器123</t>
  </si>
  <si>
    <t>机器124</t>
  </si>
  <si>
    <t>机器125</t>
  </si>
  <si>
    <t>机器126</t>
  </si>
  <si>
    <t>机器127</t>
  </si>
  <si>
    <t>机器181</t>
  </si>
  <si>
    <r>
      <rPr>
        <sz val="18"/>
        <rFont val="宋体"/>
        <charset val="134"/>
      </rPr>
      <t>固定资产</t>
    </r>
    <r>
      <rPr>
        <sz val="18"/>
        <rFont val="Times New Roman"/>
        <charset val="134"/>
      </rPr>
      <t>—</t>
    </r>
    <r>
      <rPr>
        <sz val="18"/>
        <rFont val="宋体"/>
        <charset val="134"/>
      </rPr>
      <t>车辆评估明细表</t>
    </r>
  </si>
  <si>
    <r>
      <rPr>
        <b/>
        <sz val="10"/>
        <rFont val="宋体"/>
        <charset val="134"/>
      </rPr>
      <t>车辆牌号</t>
    </r>
  </si>
  <si>
    <r>
      <rPr>
        <b/>
        <sz val="10"/>
        <rFont val="宋体"/>
        <charset val="134"/>
      </rPr>
      <t>车辆名称</t>
    </r>
  </si>
  <si>
    <r>
      <rPr>
        <b/>
        <sz val="10"/>
        <rFont val="宋体"/>
        <charset val="134"/>
      </rPr>
      <t>已行驶里程</t>
    </r>
    <r>
      <rPr>
        <b/>
        <sz val="10"/>
        <rFont val="Times New Roman"/>
        <charset val="134"/>
      </rPr>
      <t>(</t>
    </r>
    <r>
      <rPr>
        <b/>
        <sz val="10"/>
        <rFont val="宋体"/>
        <charset val="134"/>
      </rPr>
      <t>公里</t>
    </r>
    <r>
      <rPr>
        <b/>
        <sz val="10"/>
        <rFont val="Times New Roman"/>
        <charset val="134"/>
      </rPr>
      <t>)</t>
    </r>
  </si>
  <si>
    <r>
      <rPr>
        <b/>
        <sz val="10"/>
        <rFont val="宋体"/>
        <charset val="134"/>
      </rPr>
      <t>合同</t>
    </r>
    <r>
      <rPr>
        <b/>
        <sz val="10"/>
        <rFont val="Times New Roman"/>
        <charset val="134"/>
      </rPr>
      <t>/</t>
    </r>
    <r>
      <rPr>
        <b/>
        <sz val="10"/>
        <rFont val="宋体"/>
        <charset val="134"/>
      </rPr>
      <t>发票价</t>
    </r>
  </si>
  <si>
    <r>
      <rPr>
        <b/>
        <sz val="10"/>
        <rFont val="宋体"/>
        <charset val="134"/>
      </rPr>
      <t>购置总价</t>
    </r>
  </si>
  <si>
    <r>
      <rPr>
        <b/>
        <sz val="10"/>
        <rFont val="宋体"/>
        <charset val="134"/>
      </rPr>
      <t>购置税税率</t>
    </r>
  </si>
  <si>
    <r>
      <rPr>
        <b/>
        <sz val="10"/>
        <rFont val="宋体"/>
        <charset val="134"/>
      </rPr>
      <t>购置税</t>
    </r>
  </si>
  <si>
    <r>
      <rPr>
        <b/>
        <sz val="10"/>
        <rFont val="宋体"/>
        <charset val="134"/>
      </rPr>
      <t>拍照手续费</t>
    </r>
  </si>
  <si>
    <r>
      <rPr>
        <b/>
        <sz val="10"/>
        <rFont val="宋体"/>
        <charset val="134"/>
      </rPr>
      <t>重置价</t>
    </r>
  </si>
  <si>
    <r>
      <rPr>
        <b/>
        <sz val="10"/>
        <rFont val="宋体"/>
        <charset val="134"/>
      </rPr>
      <t>已行驶里程</t>
    </r>
  </si>
  <si>
    <r>
      <rPr>
        <b/>
        <sz val="10"/>
        <rFont val="宋体"/>
        <charset val="134"/>
      </rPr>
      <t>规定行驶里程</t>
    </r>
  </si>
  <si>
    <r>
      <rPr>
        <b/>
        <sz val="10"/>
        <rFont val="宋体"/>
        <charset val="134"/>
      </rPr>
      <t>里程成新率</t>
    </r>
  </si>
  <si>
    <r>
      <rPr>
        <b/>
        <sz val="10"/>
        <rFont val="宋体"/>
        <charset val="134"/>
      </rPr>
      <t>比较后成新率</t>
    </r>
  </si>
  <si>
    <t>车辆001</t>
  </si>
  <si>
    <t>https://product.360che.com/m146/36693_param.html</t>
  </si>
  <si>
    <t>车辆002</t>
  </si>
  <si>
    <t>车辆003</t>
  </si>
  <si>
    <t>车辆004</t>
  </si>
  <si>
    <t>车辆005</t>
  </si>
  <si>
    <t>车辆181</t>
  </si>
  <si>
    <r>
      <rPr>
        <sz val="10"/>
        <rFont val="宋体"/>
        <charset val="134"/>
      </rPr>
      <t>半年修正</t>
    </r>
    <r>
      <rPr>
        <sz val="10"/>
        <rFont val="Times New Roman"/>
        <charset val="134"/>
      </rPr>
      <t>5</t>
    </r>
  </si>
  <si>
    <r>
      <rPr>
        <sz val="10"/>
        <rFont val="Times New Roman"/>
        <charset val="134"/>
      </rPr>
      <t>3</t>
    </r>
    <r>
      <rPr>
        <sz val="10"/>
        <rFont val="宋体"/>
        <charset val="134"/>
      </rPr>
      <t>万公里修正</t>
    </r>
    <r>
      <rPr>
        <sz val="10"/>
        <rFont val="Times New Roman"/>
        <charset val="134"/>
      </rPr>
      <t>1</t>
    </r>
  </si>
  <si>
    <r>
      <rPr>
        <sz val="10"/>
        <rFont val="宋体"/>
        <charset val="134"/>
      </rPr>
      <t>车</t>
    </r>
    <r>
      <rPr>
        <sz val="10"/>
        <rFont val="Times New Roman"/>
        <charset val="134"/>
      </rPr>
      <t>1</t>
    </r>
    <r>
      <rPr>
        <sz val="10"/>
        <rFont val="宋体"/>
        <charset val="134"/>
      </rPr>
      <t>可比案例</t>
    </r>
  </si>
  <si>
    <r>
      <rPr>
        <sz val="10"/>
        <rFont val="宋体"/>
        <charset val="134"/>
      </rPr>
      <t>购置价</t>
    </r>
  </si>
  <si>
    <r>
      <rPr>
        <sz val="10"/>
        <rFont val="宋体"/>
        <charset val="134"/>
      </rPr>
      <t>启用年限</t>
    </r>
  </si>
  <si>
    <r>
      <rPr>
        <sz val="10"/>
        <rFont val="宋体"/>
        <charset val="134"/>
      </rPr>
      <t>已行驶里程里程</t>
    </r>
  </si>
  <si>
    <r>
      <rPr>
        <sz val="10"/>
        <rFont val="宋体"/>
        <charset val="134"/>
      </rPr>
      <t>年限因素修正</t>
    </r>
  </si>
  <si>
    <r>
      <rPr>
        <sz val="10"/>
        <rFont val="宋体"/>
        <charset val="134"/>
      </rPr>
      <t>里程因素修正</t>
    </r>
  </si>
  <si>
    <r>
      <rPr>
        <sz val="10"/>
        <rFont val="宋体"/>
        <charset val="134"/>
      </rPr>
      <t>实体因素修正</t>
    </r>
  </si>
  <si>
    <r>
      <rPr>
        <sz val="10"/>
        <rFont val="宋体"/>
        <charset val="134"/>
      </rPr>
      <t>交易因素修正</t>
    </r>
  </si>
  <si>
    <r>
      <rPr>
        <sz val="10"/>
        <rFont val="宋体"/>
        <charset val="134"/>
      </rPr>
      <t>区域因素修正</t>
    </r>
  </si>
  <si>
    <t>GDP</t>
  </si>
  <si>
    <t>郑州</t>
  </si>
  <si>
    <t>杭州</t>
  </si>
  <si>
    <t>福州</t>
  </si>
  <si>
    <r>
      <rPr>
        <sz val="10"/>
        <rFont val="宋体"/>
        <charset val="134"/>
      </rPr>
      <t>评估值</t>
    </r>
  </si>
  <si>
    <r>
      <rPr>
        <sz val="10"/>
        <rFont val="宋体"/>
        <charset val="134"/>
      </rPr>
      <t>岳阳</t>
    </r>
  </si>
  <si>
    <r>
      <rPr>
        <sz val="18"/>
        <rFont val="宋体"/>
        <charset val="134"/>
      </rPr>
      <t>固定资产</t>
    </r>
    <r>
      <rPr>
        <sz val="18"/>
        <rFont val="Times New Roman"/>
        <charset val="134"/>
      </rPr>
      <t>—</t>
    </r>
    <r>
      <rPr>
        <sz val="18"/>
        <rFont val="宋体"/>
        <charset val="134"/>
      </rPr>
      <t>电子设备评估明细表</t>
    </r>
  </si>
  <si>
    <r>
      <rPr>
        <b/>
        <sz val="10"/>
        <rFont val="宋体"/>
        <charset val="134"/>
      </rPr>
      <t>成新率</t>
    </r>
  </si>
  <si>
    <r>
      <rPr>
        <sz val="10"/>
        <rFont val="宋体"/>
        <charset val="134"/>
      </rPr>
      <t>电子设备</t>
    </r>
    <r>
      <rPr>
        <sz val="10"/>
        <rFont val="Times New Roman"/>
        <charset val="134"/>
      </rPr>
      <t>01</t>
    </r>
  </si>
  <si>
    <r>
      <rPr>
        <sz val="10"/>
        <rFont val="宋体"/>
        <charset val="134"/>
      </rPr>
      <t>电子设备</t>
    </r>
    <r>
      <rPr>
        <sz val="10"/>
        <rFont val="Times New Roman"/>
        <charset val="134"/>
      </rPr>
      <t>02</t>
    </r>
  </si>
  <si>
    <r>
      <rPr>
        <sz val="10"/>
        <rFont val="宋体"/>
        <charset val="134"/>
      </rPr>
      <t>电子设备</t>
    </r>
    <r>
      <rPr>
        <sz val="10"/>
        <rFont val="Times New Roman"/>
        <charset val="134"/>
      </rPr>
      <t>03</t>
    </r>
  </si>
  <si>
    <r>
      <rPr>
        <sz val="10"/>
        <rFont val="宋体"/>
        <charset val="134"/>
      </rPr>
      <t>电子设备</t>
    </r>
    <r>
      <rPr>
        <sz val="10"/>
        <rFont val="Times New Roman"/>
        <charset val="134"/>
      </rPr>
      <t>04</t>
    </r>
  </si>
  <si>
    <r>
      <rPr>
        <sz val="10"/>
        <rFont val="宋体"/>
        <charset val="134"/>
      </rPr>
      <t>电子设备</t>
    </r>
    <r>
      <rPr>
        <sz val="10"/>
        <rFont val="Times New Roman"/>
        <charset val="134"/>
      </rPr>
      <t>05</t>
    </r>
  </si>
  <si>
    <r>
      <rPr>
        <sz val="10"/>
        <rFont val="宋体"/>
        <charset val="134"/>
      </rPr>
      <t>电子设备</t>
    </r>
    <r>
      <rPr>
        <sz val="10"/>
        <rFont val="Times New Roman"/>
        <charset val="134"/>
      </rPr>
      <t>06</t>
    </r>
  </si>
  <si>
    <r>
      <rPr>
        <sz val="10"/>
        <rFont val="宋体"/>
        <charset val="134"/>
      </rPr>
      <t>电子设备</t>
    </r>
    <r>
      <rPr>
        <sz val="10"/>
        <rFont val="Times New Roman"/>
        <charset val="134"/>
      </rPr>
      <t>07</t>
    </r>
  </si>
  <si>
    <r>
      <rPr>
        <sz val="10"/>
        <rFont val="宋体"/>
        <charset val="134"/>
      </rPr>
      <t>电子设备</t>
    </r>
    <r>
      <rPr>
        <sz val="10"/>
        <rFont val="Times New Roman"/>
        <charset val="134"/>
      </rPr>
      <t>08</t>
    </r>
  </si>
  <si>
    <r>
      <rPr>
        <sz val="10"/>
        <rFont val="宋体"/>
        <charset val="134"/>
      </rPr>
      <t>电子设备</t>
    </r>
    <r>
      <rPr>
        <sz val="10"/>
        <rFont val="Times New Roman"/>
        <charset val="134"/>
      </rPr>
      <t>09</t>
    </r>
  </si>
  <si>
    <r>
      <rPr>
        <sz val="10"/>
        <rFont val="宋体"/>
        <charset val="134"/>
      </rPr>
      <t>电子设备</t>
    </r>
    <r>
      <rPr>
        <sz val="10"/>
        <rFont val="Times New Roman"/>
        <charset val="134"/>
      </rPr>
      <t>10</t>
    </r>
  </si>
  <si>
    <r>
      <rPr>
        <sz val="10"/>
        <rFont val="宋体"/>
        <charset val="134"/>
      </rPr>
      <t>电子设备</t>
    </r>
    <r>
      <rPr>
        <sz val="10"/>
        <rFont val="Times New Roman"/>
        <charset val="134"/>
      </rPr>
      <t>11</t>
    </r>
  </si>
  <si>
    <r>
      <rPr>
        <sz val="10"/>
        <rFont val="宋体"/>
        <charset val="134"/>
      </rPr>
      <t>电子设备</t>
    </r>
    <r>
      <rPr>
        <sz val="10"/>
        <rFont val="Times New Roman"/>
        <charset val="134"/>
      </rPr>
      <t>12</t>
    </r>
  </si>
  <si>
    <r>
      <rPr>
        <sz val="10"/>
        <rFont val="宋体"/>
        <charset val="134"/>
      </rPr>
      <t>电子设备</t>
    </r>
    <r>
      <rPr>
        <sz val="10"/>
        <rFont val="Times New Roman"/>
        <charset val="134"/>
      </rPr>
      <t>13</t>
    </r>
  </si>
  <si>
    <r>
      <rPr>
        <sz val="10"/>
        <rFont val="宋体"/>
        <charset val="134"/>
      </rPr>
      <t>电子设备</t>
    </r>
    <r>
      <rPr>
        <sz val="10"/>
        <rFont val="Times New Roman"/>
        <charset val="134"/>
      </rPr>
      <t>14</t>
    </r>
  </si>
  <si>
    <r>
      <rPr>
        <sz val="10"/>
        <rFont val="宋体"/>
        <charset val="134"/>
      </rPr>
      <t>电子设备</t>
    </r>
    <r>
      <rPr>
        <sz val="10"/>
        <rFont val="Times New Roman"/>
        <charset val="134"/>
      </rPr>
      <t>15</t>
    </r>
  </si>
  <si>
    <r>
      <rPr>
        <sz val="10"/>
        <rFont val="宋体"/>
        <charset val="134"/>
      </rPr>
      <t>电子设备</t>
    </r>
    <r>
      <rPr>
        <sz val="10"/>
        <rFont val="Times New Roman"/>
        <charset val="134"/>
      </rPr>
      <t>16</t>
    </r>
  </si>
  <si>
    <r>
      <rPr>
        <sz val="10"/>
        <rFont val="宋体"/>
        <charset val="134"/>
      </rPr>
      <t>电子设备</t>
    </r>
    <r>
      <rPr>
        <sz val="10"/>
        <rFont val="Times New Roman"/>
        <charset val="134"/>
      </rPr>
      <t>17</t>
    </r>
  </si>
  <si>
    <r>
      <rPr>
        <sz val="10"/>
        <rFont val="宋体"/>
        <charset val="134"/>
      </rPr>
      <t>电子设备</t>
    </r>
    <r>
      <rPr>
        <sz val="10"/>
        <rFont val="Times New Roman"/>
        <charset val="134"/>
      </rPr>
      <t>18</t>
    </r>
  </si>
  <si>
    <r>
      <rPr>
        <sz val="10"/>
        <rFont val="宋体"/>
        <charset val="134"/>
      </rPr>
      <t>电子设备</t>
    </r>
    <r>
      <rPr>
        <sz val="10"/>
        <rFont val="Times New Roman"/>
        <charset val="134"/>
      </rPr>
      <t>19</t>
    </r>
  </si>
  <si>
    <r>
      <rPr>
        <sz val="10"/>
        <rFont val="宋体"/>
        <charset val="134"/>
      </rPr>
      <t>电子设备</t>
    </r>
    <r>
      <rPr>
        <sz val="10"/>
        <rFont val="Times New Roman"/>
        <charset val="134"/>
      </rPr>
      <t>20</t>
    </r>
  </si>
  <si>
    <r>
      <rPr>
        <sz val="18"/>
        <rFont val="宋体"/>
        <charset val="134"/>
      </rPr>
      <t>固定资产清理评估明细表</t>
    </r>
  </si>
  <si>
    <r>
      <rPr>
        <b/>
        <sz val="10"/>
        <rFont val="宋体"/>
        <charset val="134"/>
      </rPr>
      <t>待处理资产名称</t>
    </r>
  </si>
  <si>
    <r>
      <rPr>
        <b/>
        <sz val="10"/>
        <rFont val="宋体"/>
        <charset val="134"/>
      </rPr>
      <t>型号或主要参数</t>
    </r>
  </si>
  <si>
    <t>计量单位</t>
  </si>
  <si>
    <t>数量</t>
  </si>
  <si>
    <r>
      <rPr>
        <b/>
        <sz val="10"/>
        <rFont val="宋体"/>
        <charset val="134"/>
      </rPr>
      <t>可拆解材料</t>
    </r>
    <r>
      <rPr>
        <b/>
        <sz val="10"/>
        <rFont val="Times New Roman"/>
        <charset val="134"/>
      </rPr>
      <t>1</t>
    </r>
  </si>
  <si>
    <r>
      <rPr>
        <b/>
        <sz val="10"/>
        <rFont val="宋体"/>
        <charset val="134"/>
      </rPr>
      <t>可拆解材料</t>
    </r>
    <r>
      <rPr>
        <b/>
        <sz val="10"/>
        <rFont val="Times New Roman"/>
        <charset val="134"/>
      </rPr>
      <t>2</t>
    </r>
  </si>
  <si>
    <r>
      <rPr>
        <b/>
        <sz val="10"/>
        <rFont val="宋体"/>
        <charset val="134"/>
      </rPr>
      <t>可拆解材料</t>
    </r>
    <r>
      <rPr>
        <b/>
        <sz val="10"/>
        <rFont val="Times New Roman"/>
        <charset val="134"/>
      </rPr>
      <t>3</t>
    </r>
  </si>
  <si>
    <t>账面值</t>
  </si>
  <si>
    <t>出售方式</t>
  </si>
  <si>
    <r>
      <rPr>
        <b/>
        <sz val="10"/>
        <rFont val="宋体"/>
        <charset val="134"/>
      </rPr>
      <t>含税价格</t>
    </r>
  </si>
  <si>
    <t>增值税税率</t>
  </si>
  <si>
    <t>不含税单价</t>
  </si>
  <si>
    <t>评估结果</t>
  </si>
  <si>
    <r>
      <rPr>
        <b/>
        <sz val="10"/>
        <rFont val="宋体"/>
        <charset val="134"/>
      </rPr>
      <t>重量</t>
    </r>
    <r>
      <rPr>
        <b/>
        <sz val="10"/>
        <rFont val="Times New Roman"/>
        <charset val="134"/>
      </rPr>
      <t>(KG)</t>
    </r>
  </si>
  <si>
    <t>账面原值</t>
  </si>
  <si>
    <t>账面净值</t>
  </si>
  <si>
    <r>
      <rPr>
        <b/>
        <sz val="10"/>
        <rFont val="宋体"/>
        <charset val="134"/>
      </rPr>
      <t>整体价格</t>
    </r>
    <r>
      <rPr>
        <b/>
        <sz val="10"/>
        <rFont val="Times New Roman"/>
        <charset val="134"/>
      </rPr>
      <t>/</t>
    </r>
    <r>
      <rPr>
        <b/>
        <sz val="10"/>
        <rFont val="宋体"/>
        <charset val="134"/>
      </rPr>
      <t>材质</t>
    </r>
    <r>
      <rPr>
        <b/>
        <sz val="10"/>
        <rFont val="Times New Roman"/>
        <charset val="134"/>
      </rPr>
      <t>1</t>
    </r>
  </si>
  <si>
    <r>
      <rPr>
        <b/>
        <sz val="10"/>
        <rFont val="宋体"/>
        <charset val="134"/>
      </rPr>
      <t>材质</t>
    </r>
    <r>
      <rPr>
        <b/>
        <sz val="10"/>
        <rFont val="Times New Roman"/>
        <charset val="134"/>
      </rPr>
      <t>2</t>
    </r>
  </si>
  <si>
    <r>
      <rPr>
        <b/>
        <sz val="10"/>
        <rFont val="宋体"/>
        <charset val="134"/>
      </rPr>
      <t>材质</t>
    </r>
    <r>
      <rPr>
        <b/>
        <sz val="10"/>
        <rFont val="Times New Roman"/>
        <charset val="134"/>
      </rPr>
      <t>3</t>
    </r>
  </si>
  <si>
    <t>费率</t>
  </si>
  <si>
    <t>金额</t>
  </si>
  <si>
    <r>
      <rPr>
        <sz val="10"/>
        <rFont val="宋体"/>
        <charset val="134"/>
      </rPr>
      <t>固定资产清理</t>
    </r>
    <r>
      <rPr>
        <sz val="10"/>
        <rFont val="Times New Roman"/>
        <charset val="134"/>
      </rPr>
      <t>01</t>
    </r>
  </si>
  <si>
    <t>整体出售</t>
  </si>
  <si>
    <r>
      <rPr>
        <sz val="10"/>
        <rFont val="宋体"/>
        <charset val="134"/>
      </rPr>
      <t>固定资产清理</t>
    </r>
    <r>
      <rPr>
        <sz val="10"/>
        <rFont val="Times New Roman"/>
        <charset val="134"/>
      </rPr>
      <t>02</t>
    </r>
  </si>
  <si>
    <r>
      <rPr>
        <sz val="10"/>
        <rFont val="宋体"/>
        <charset val="134"/>
      </rPr>
      <t>固定资产清理</t>
    </r>
    <r>
      <rPr>
        <sz val="10"/>
        <rFont val="Times New Roman"/>
        <charset val="134"/>
      </rPr>
      <t>03</t>
    </r>
  </si>
  <si>
    <r>
      <rPr>
        <sz val="10"/>
        <rFont val="宋体"/>
        <charset val="134"/>
      </rPr>
      <t>固定资产清理</t>
    </r>
    <r>
      <rPr>
        <sz val="10"/>
        <rFont val="Times New Roman"/>
        <charset val="134"/>
      </rPr>
      <t>04</t>
    </r>
  </si>
  <si>
    <r>
      <rPr>
        <sz val="10"/>
        <rFont val="宋体"/>
        <charset val="134"/>
      </rPr>
      <t>固定资产清理</t>
    </r>
    <r>
      <rPr>
        <sz val="10"/>
        <rFont val="Times New Roman"/>
        <charset val="134"/>
      </rPr>
      <t>05</t>
    </r>
  </si>
  <si>
    <r>
      <rPr>
        <sz val="10"/>
        <rFont val="宋体"/>
        <charset val="134"/>
      </rPr>
      <t>固定资产清理</t>
    </r>
    <r>
      <rPr>
        <sz val="10"/>
        <rFont val="Times New Roman"/>
        <charset val="134"/>
      </rPr>
      <t>06</t>
    </r>
  </si>
  <si>
    <r>
      <rPr>
        <sz val="10"/>
        <rFont val="宋体"/>
        <charset val="134"/>
      </rPr>
      <t>固定资产清理</t>
    </r>
    <r>
      <rPr>
        <sz val="10"/>
        <rFont val="Times New Roman"/>
        <charset val="134"/>
      </rPr>
      <t>07</t>
    </r>
  </si>
  <si>
    <r>
      <rPr>
        <sz val="10"/>
        <rFont val="宋体"/>
        <charset val="134"/>
      </rPr>
      <t>固定资产清理</t>
    </r>
    <r>
      <rPr>
        <sz val="10"/>
        <rFont val="Times New Roman"/>
        <charset val="134"/>
      </rPr>
      <t>08</t>
    </r>
  </si>
  <si>
    <r>
      <rPr>
        <sz val="10"/>
        <rFont val="宋体"/>
        <charset val="134"/>
      </rPr>
      <t>固定资产清理</t>
    </r>
    <r>
      <rPr>
        <sz val="10"/>
        <rFont val="Times New Roman"/>
        <charset val="134"/>
      </rPr>
      <t>09</t>
    </r>
  </si>
  <si>
    <r>
      <rPr>
        <sz val="10"/>
        <rFont val="宋体"/>
        <charset val="134"/>
      </rPr>
      <t>固定资产清理</t>
    </r>
    <r>
      <rPr>
        <sz val="10"/>
        <rFont val="Times New Roman"/>
        <charset val="134"/>
      </rPr>
      <t>10</t>
    </r>
  </si>
  <si>
    <r>
      <rPr>
        <sz val="10"/>
        <rFont val="宋体"/>
        <charset val="134"/>
      </rPr>
      <t>固定资产清理</t>
    </r>
    <r>
      <rPr>
        <sz val="10"/>
        <rFont val="Times New Roman"/>
        <charset val="134"/>
      </rPr>
      <t>11</t>
    </r>
  </si>
  <si>
    <r>
      <rPr>
        <sz val="10"/>
        <rFont val="宋体"/>
        <charset val="134"/>
      </rPr>
      <t>固定资产清理</t>
    </r>
    <r>
      <rPr>
        <sz val="10"/>
        <rFont val="Times New Roman"/>
        <charset val="134"/>
      </rPr>
      <t>12</t>
    </r>
  </si>
  <si>
    <r>
      <rPr>
        <sz val="10"/>
        <rFont val="宋体"/>
        <charset val="134"/>
      </rPr>
      <t>固定资产清理</t>
    </r>
    <r>
      <rPr>
        <sz val="10"/>
        <rFont val="Times New Roman"/>
        <charset val="134"/>
      </rPr>
      <t>13</t>
    </r>
  </si>
  <si>
    <r>
      <rPr>
        <sz val="10"/>
        <rFont val="宋体"/>
        <charset val="134"/>
      </rPr>
      <t>固定资产清理</t>
    </r>
    <r>
      <rPr>
        <sz val="10"/>
        <rFont val="Times New Roman"/>
        <charset val="134"/>
      </rPr>
      <t>14</t>
    </r>
  </si>
  <si>
    <r>
      <rPr>
        <sz val="10"/>
        <rFont val="宋体"/>
        <charset val="134"/>
      </rPr>
      <t>固定资产清理</t>
    </r>
    <r>
      <rPr>
        <sz val="10"/>
        <rFont val="Times New Roman"/>
        <charset val="134"/>
      </rPr>
      <t>15</t>
    </r>
  </si>
  <si>
    <r>
      <rPr>
        <sz val="10"/>
        <rFont val="宋体"/>
        <charset val="134"/>
      </rPr>
      <t>固定资产清理</t>
    </r>
    <r>
      <rPr>
        <sz val="10"/>
        <rFont val="Times New Roman"/>
        <charset val="134"/>
      </rPr>
      <t>16</t>
    </r>
  </si>
  <si>
    <r>
      <rPr>
        <sz val="10"/>
        <rFont val="宋体"/>
        <charset val="134"/>
      </rPr>
      <t>固定资产清理</t>
    </r>
    <r>
      <rPr>
        <sz val="10"/>
        <rFont val="Times New Roman"/>
        <charset val="134"/>
      </rPr>
      <t>17</t>
    </r>
  </si>
  <si>
    <r>
      <rPr>
        <sz val="10"/>
        <rFont val="宋体"/>
        <charset val="134"/>
      </rPr>
      <t>固定资产清理</t>
    </r>
    <r>
      <rPr>
        <sz val="10"/>
        <rFont val="Times New Roman"/>
        <charset val="134"/>
      </rPr>
      <t>18</t>
    </r>
  </si>
  <si>
    <r>
      <rPr>
        <sz val="10"/>
        <rFont val="宋体"/>
        <charset val="134"/>
      </rPr>
      <t>固定资产清理</t>
    </r>
    <r>
      <rPr>
        <sz val="10"/>
        <rFont val="Times New Roman"/>
        <charset val="134"/>
      </rPr>
      <t>19</t>
    </r>
  </si>
  <si>
    <r>
      <rPr>
        <sz val="10"/>
        <rFont val="宋体"/>
        <charset val="134"/>
      </rPr>
      <t>固定资产清理</t>
    </r>
    <r>
      <rPr>
        <sz val="10"/>
        <rFont val="Times New Roman"/>
        <charset val="134"/>
      </rPr>
      <t>20</t>
    </r>
  </si>
  <si>
    <r>
      <rPr>
        <b/>
        <sz val="10"/>
        <rFont val="宋体"/>
        <charset val="134"/>
      </rPr>
      <t>减：减值准备</t>
    </r>
  </si>
  <si>
    <r>
      <rPr>
        <b/>
        <sz val="10"/>
        <rFont val="宋体"/>
        <charset val="134"/>
      </rPr>
      <t>账面价值合计</t>
    </r>
  </si>
  <si>
    <r>
      <rPr>
        <sz val="18"/>
        <rFont val="宋体"/>
        <charset val="134"/>
      </rPr>
      <t>固定资产</t>
    </r>
    <r>
      <rPr>
        <sz val="18"/>
        <rFont val="Times New Roman"/>
        <charset val="134"/>
      </rPr>
      <t>—</t>
    </r>
    <r>
      <rPr>
        <sz val="18"/>
        <rFont val="宋体"/>
        <charset val="134"/>
      </rPr>
      <t>土地评估明细表</t>
    </r>
  </si>
  <si>
    <r>
      <rPr>
        <sz val="10"/>
        <rFont val="宋体"/>
        <charset val="134"/>
      </rPr>
      <t>土地</t>
    </r>
    <r>
      <rPr>
        <sz val="10"/>
        <rFont val="Times New Roman"/>
        <charset val="134"/>
      </rPr>
      <t>01</t>
    </r>
  </si>
  <si>
    <r>
      <rPr>
        <sz val="10"/>
        <rFont val="宋体"/>
        <charset val="134"/>
      </rPr>
      <t>土地</t>
    </r>
    <r>
      <rPr>
        <sz val="10"/>
        <rFont val="Times New Roman"/>
        <charset val="134"/>
      </rPr>
      <t>02</t>
    </r>
  </si>
  <si>
    <r>
      <rPr>
        <sz val="10"/>
        <rFont val="宋体"/>
        <charset val="134"/>
      </rPr>
      <t>土地</t>
    </r>
    <r>
      <rPr>
        <sz val="10"/>
        <rFont val="Times New Roman"/>
        <charset val="134"/>
      </rPr>
      <t>03</t>
    </r>
  </si>
  <si>
    <r>
      <rPr>
        <sz val="10"/>
        <rFont val="宋体"/>
        <charset val="134"/>
      </rPr>
      <t>土地</t>
    </r>
    <r>
      <rPr>
        <sz val="10"/>
        <rFont val="Times New Roman"/>
        <charset val="134"/>
      </rPr>
      <t>04</t>
    </r>
  </si>
  <si>
    <r>
      <rPr>
        <sz val="10"/>
        <rFont val="宋体"/>
        <charset val="134"/>
      </rPr>
      <t>土地</t>
    </r>
    <r>
      <rPr>
        <sz val="10"/>
        <rFont val="Times New Roman"/>
        <charset val="134"/>
      </rPr>
      <t>05</t>
    </r>
  </si>
  <si>
    <r>
      <rPr>
        <sz val="10"/>
        <rFont val="宋体"/>
        <charset val="134"/>
      </rPr>
      <t>土地</t>
    </r>
    <r>
      <rPr>
        <sz val="10"/>
        <rFont val="Times New Roman"/>
        <charset val="134"/>
      </rPr>
      <t>06</t>
    </r>
  </si>
  <si>
    <r>
      <rPr>
        <sz val="10"/>
        <rFont val="宋体"/>
        <charset val="134"/>
      </rPr>
      <t>土地</t>
    </r>
    <r>
      <rPr>
        <sz val="10"/>
        <rFont val="Times New Roman"/>
        <charset val="134"/>
      </rPr>
      <t>07</t>
    </r>
  </si>
  <si>
    <r>
      <rPr>
        <sz val="10"/>
        <rFont val="宋体"/>
        <charset val="134"/>
      </rPr>
      <t>土地</t>
    </r>
    <r>
      <rPr>
        <sz val="10"/>
        <rFont val="Times New Roman"/>
        <charset val="134"/>
      </rPr>
      <t>08</t>
    </r>
  </si>
  <si>
    <r>
      <rPr>
        <sz val="10"/>
        <rFont val="宋体"/>
        <charset val="134"/>
      </rPr>
      <t>土地</t>
    </r>
    <r>
      <rPr>
        <sz val="10"/>
        <rFont val="Times New Roman"/>
        <charset val="134"/>
      </rPr>
      <t>09</t>
    </r>
  </si>
  <si>
    <r>
      <rPr>
        <sz val="10"/>
        <rFont val="宋体"/>
        <charset val="134"/>
      </rPr>
      <t>土地</t>
    </r>
    <r>
      <rPr>
        <sz val="10"/>
        <rFont val="Times New Roman"/>
        <charset val="134"/>
      </rPr>
      <t>10</t>
    </r>
  </si>
  <si>
    <r>
      <rPr>
        <sz val="10"/>
        <rFont val="宋体"/>
        <charset val="134"/>
      </rPr>
      <t>土地</t>
    </r>
    <r>
      <rPr>
        <sz val="10"/>
        <rFont val="Times New Roman"/>
        <charset val="134"/>
      </rPr>
      <t>11</t>
    </r>
  </si>
  <si>
    <r>
      <rPr>
        <sz val="10"/>
        <rFont val="宋体"/>
        <charset val="134"/>
      </rPr>
      <t>土地</t>
    </r>
    <r>
      <rPr>
        <sz val="10"/>
        <rFont val="Times New Roman"/>
        <charset val="134"/>
      </rPr>
      <t>12</t>
    </r>
  </si>
  <si>
    <r>
      <rPr>
        <sz val="10"/>
        <rFont val="宋体"/>
        <charset val="134"/>
      </rPr>
      <t>土地</t>
    </r>
    <r>
      <rPr>
        <sz val="10"/>
        <rFont val="Times New Roman"/>
        <charset val="134"/>
      </rPr>
      <t>13</t>
    </r>
  </si>
  <si>
    <r>
      <rPr>
        <sz val="10"/>
        <rFont val="宋体"/>
        <charset val="134"/>
      </rPr>
      <t>土地</t>
    </r>
    <r>
      <rPr>
        <sz val="10"/>
        <rFont val="Times New Roman"/>
        <charset val="134"/>
      </rPr>
      <t>14</t>
    </r>
  </si>
  <si>
    <r>
      <rPr>
        <sz val="10"/>
        <rFont val="宋体"/>
        <charset val="134"/>
      </rPr>
      <t>土地</t>
    </r>
    <r>
      <rPr>
        <sz val="10"/>
        <rFont val="Times New Roman"/>
        <charset val="134"/>
      </rPr>
      <t>15</t>
    </r>
  </si>
  <si>
    <r>
      <rPr>
        <sz val="10"/>
        <rFont val="宋体"/>
        <charset val="134"/>
      </rPr>
      <t>土地</t>
    </r>
    <r>
      <rPr>
        <sz val="10"/>
        <rFont val="Times New Roman"/>
        <charset val="134"/>
      </rPr>
      <t>16</t>
    </r>
  </si>
  <si>
    <r>
      <rPr>
        <sz val="10"/>
        <rFont val="宋体"/>
        <charset val="134"/>
      </rPr>
      <t>土地</t>
    </r>
    <r>
      <rPr>
        <sz val="10"/>
        <rFont val="Times New Roman"/>
        <charset val="134"/>
      </rPr>
      <t>17</t>
    </r>
  </si>
  <si>
    <r>
      <rPr>
        <sz val="10"/>
        <rFont val="宋体"/>
        <charset val="134"/>
      </rPr>
      <t>土地</t>
    </r>
    <r>
      <rPr>
        <sz val="10"/>
        <rFont val="Times New Roman"/>
        <charset val="134"/>
      </rPr>
      <t>18</t>
    </r>
  </si>
  <si>
    <r>
      <rPr>
        <sz val="10"/>
        <rFont val="宋体"/>
        <charset val="134"/>
      </rPr>
      <t>土地</t>
    </r>
    <r>
      <rPr>
        <sz val="10"/>
        <rFont val="Times New Roman"/>
        <charset val="134"/>
      </rPr>
      <t>19</t>
    </r>
  </si>
  <si>
    <r>
      <rPr>
        <sz val="10"/>
        <rFont val="宋体"/>
        <charset val="134"/>
      </rPr>
      <t>土地</t>
    </r>
    <r>
      <rPr>
        <sz val="10"/>
        <rFont val="Times New Roman"/>
        <charset val="134"/>
      </rPr>
      <t>20</t>
    </r>
  </si>
  <si>
    <r>
      <rPr>
        <sz val="18"/>
        <rFont val="宋体"/>
        <charset val="134"/>
      </rPr>
      <t>在建工程评估汇总表</t>
    </r>
  </si>
  <si>
    <r>
      <rPr>
        <sz val="10"/>
        <rFont val="宋体"/>
        <charset val="134"/>
      </rPr>
      <t>在建工程</t>
    </r>
    <r>
      <rPr>
        <sz val="10"/>
        <rFont val="Times New Roman"/>
        <charset val="134"/>
      </rPr>
      <t>-</t>
    </r>
    <r>
      <rPr>
        <sz val="10"/>
        <rFont val="宋体"/>
        <charset val="134"/>
      </rPr>
      <t>土建工程</t>
    </r>
  </si>
  <si>
    <r>
      <rPr>
        <sz val="10"/>
        <rFont val="宋体"/>
        <charset val="134"/>
      </rPr>
      <t>在建工程</t>
    </r>
    <r>
      <rPr>
        <sz val="10"/>
        <rFont val="Times New Roman"/>
        <charset val="134"/>
      </rPr>
      <t>-</t>
    </r>
    <r>
      <rPr>
        <sz val="10"/>
        <rFont val="宋体"/>
        <charset val="134"/>
      </rPr>
      <t>设备安装工程</t>
    </r>
  </si>
  <si>
    <r>
      <rPr>
        <sz val="10"/>
        <rFont val="宋体"/>
        <charset val="134"/>
      </rPr>
      <t>在建工程</t>
    </r>
    <r>
      <rPr>
        <sz val="10"/>
        <rFont val="Times New Roman"/>
        <charset val="134"/>
      </rPr>
      <t>-</t>
    </r>
    <r>
      <rPr>
        <sz val="10"/>
        <rFont val="宋体"/>
        <charset val="134"/>
      </rPr>
      <t>待摊投资</t>
    </r>
  </si>
  <si>
    <r>
      <rPr>
        <sz val="10"/>
        <rFont val="宋体"/>
        <charset val="134"/>
      </rPr>
      <t>在建工程</t>
    </r>
    <r>
      <rPr>
        <sz val="10"/>
        <rFont val="Times New Roman"/>
        <charset val="134"/>
      </rPr>
      <t>-</t>
    </r>
    <r>
      <rPr>
        <sz val="10"/>
        <rFont val="宋体"/>
        <charset val="134"/>
      </rPr>
      <t>预付工程款</t>
    </r>
  </si>
  <si>
    <r>
      <rPr>
        <sz val="10"/>
        <rFont val="宋体"/>
        <charset val="134"/>
      </rPr>
      <t>在建工程</t>
    </r>
    <r>
      <rPr>
        <sz val="10"/>
        <rFont val="Times New Roman"/>
        <charset val="134"/>
      </rPr>
      <t>-</t>
    </r>
    <r>
      <rPr>
        <sz val="10"/>
        <rFont val="宋体"/>
        <charset val="134"/>
      </rPr>
      <t>井巷工程</t>
    </r>
  </si>
  <si>
    <r>
      <rPr>
        <sz val="10"/>
        <rFont val="宋体"/>
        <charset val="134"/>
      </rPr>
      <t>在建工程</t>
    </r>
    <r>
      <rPr>
        <sz val="10"/>
        <rFont val="Times New Roman"/>
        <charset val="134"/>
      </rPr>
      <t>-</t>
    </r>
    <r>
      <rPr>
        <sz val="10"/>
        <rFont val="宋体"/>
        <charset val="134"/>
      </rPr>
      <t>工程物资</t>
    </r>
  </si>
  <si>
    <t>在建工程合计</t>
  </si>
  <si>
    <r>
      <rPr>
        <sz val="18"/>
        <rFont val="宋体"/>
        <charset val="134"/>
      </rPr>
      <t>在建工程</t>
    </r>
    <r>
      <rPr>
        <sz val="18"/>
        <rFont val="Times New Roman"/>
        <charset val="134"/>
      </rPr>
      <t>—</t>
    </r>
    <r>
      <rPr>
        <sz val="18"/>
        <rFont val="宋体"/>
        <charset val="134"/>
      </rPr>
      <t>土建工程评估明细表</t>
    </r>
  </si>
  <si>
    <r>
      <rPr>
        <b/>
        <sz val="10"/>
        <rFont val="宋体"/>
        <charset val="134"/>
      </rPr>
      <t>项目名称</t>
    </r>
  </si>
  <si>
    <r>
      <rPr>
        <b/>
        <sz val="10"/>
        <rFont val="宋体"/>
        <charset val="134"/>
      </rPr>
      <t>建筑面积</t>
    </r>
    <r>
      <rPr>
        <b/>
        <sz val="10"/>
        <rFont val="Times New Roman"/>
        <charset val="134"/>
      </rPr>
      <t>/</t>
    </r>
    <r>
      <rPr>
        <b/>
        <sz val="10"/>
        <rFont val="宋体"/>
        <charset val="134"/>
      </rPr>
      <t>容积</t>
    </r>
  </si>
  <si>
    <r>
      <rPr>
        <b/>
        <sz val="10"/>
        <rFont val="宋体"/>
        <charset val="134"/>
      </rPr>
      <t>开工日期</t>
    </r>
  </si>
  <si>
    <r>
      <rPr>
        <b/>
        <sz val="10"/>
        <rFont val="宋体"/>
        <charset val="134"/>
      </rPr>
      <t>预计完工日期</t>
    </r>
  </si>
  <si>
    <r>
      <rPr>
        <b/>
        <sz val="10"/>
        <rFont val="宋体"/>
        <charset val="134"/>
      </rPr>
      <t>形象进度</t>
    </r>
  </si>
  <si>
    <r>
      <rPr>
        <b/>
        <sz val="10"/>
        <rFont val="宋体"/>
        <charset val="134"/>
      </rPr>
      <t>付款比例</t>
    </r>
  </si>
  <si>
    <r>
      <rPr>
        <b/>
        <sz val="10"/>
        <rFont val="宋体"/>
        <charset val="134"/>
      </rPr>
      <t>合同总价</t>
    </r>
  </si>
  <si>
    <r>
      <rPr>
        <b/>
        <sz val="10"/>
        <rFont val="宋体"/>
        <charset val="134"/>
      </rPr>
      <t>批复资料</t>
    </r>
  </si>
  <si>
    <r>
      <rPr>
        <b/>
        <sz val="10"/>
        <rFont val="宋体"/>
        <charset val="134"/>
      </rPr>
      <t>不含利息金额</t>
    </r>
  </si>
  <si>
    <r>
      <rPr>
        <b/>
        <sz val="10"/>
        <rFont val="宋体"/>
        <charset val="134"/>
      </rPr>
      <t>实际建设周期</t>
    </r>
  </si>
  <si>
    <r>
      <rPr>
        <b/>
        <sz val="10"/>
        <rFont val="宋体"/>
        <charset val="134"/>
      </rPr>
      <t>合理建设周期</t>
    </r>
  </si>
  <si>
    <r>
      <rPr>
        <b/>
        <sz val="10"/>
        <rFont val="宋体"/>
        <charset val="134"/>
      </rPr>
      <t>计算用周期</t>
    </r>
  </si>
  <si>
    <r>
      <rPr>
        <sz val="10"/>
        <rFont val="宋体"/>
        <charset val="134"/>
      </rPr>
      <t>在建</t>
    </r>
    <r>
      <rPr>
        <sz val="10"/>
        <rFont val="Times New Roman"/>
        <charset val="134"/>
      </rPr>
      <t>-</t>
    </r>
    <r>
      <rPr>
        <sz val="10"/>
        <rFont val="宋体"/>
        <charset val="134"/>
      </rPr>
      <t>土建</t>
    </r>
    <r>
      <rPr>
        <sz val="10"/>
        <rFont val="Times New Roman"/>
        <charset val="134"/>
      </rPr>
      <t>01</t>
    </r>
  </si>
  <si>
    <r>
      <rPr>
        <sz val="10"/>
        <rFont val="宋体"/>
        <charset val="134"/>
      </rPr>
      <t>在建</t>
    </r>
    <r>
      <rPr>
        <sz val="10"/>
        <rFont val="Times New Roman"/>
        <charset val="134"/>
      </rPr>
      <t>-</t>
    </r>
    <r>
      <rPr>
        <sz val="10"/>
        <rFont val="宋体"/>
        <charset val="134"/>
      </rPr>
      <t>土建</t>
    </r>
    <r>
      <rPr>
        <sz val="10"/>
        <rFont val="Times New Roman"/>
        <charset val="134"/>
      </rPr>
      <t>02</t>
    </r>
  </si>
  <si>
    <r>
      <rPr>
        <sz val="10"/>
        <rFont val="宋体"/>
        <charset val="134"/>
      </rPr>
      <t>在建</t>
    </r>
    <r>
      <rPr>
        <sz val="10"/>
        <rFont val="Times New Roman"/>
        <charset val="134"/>
      </rPr>
      <t>-</t>
    </r>
    <r>
      <rPr>
        <sz val="10"/>
        <rFont val="宋体"/>
        <charset val="134"/>
      </rPr>
      <t>土建</t>
    </r>
    <r>
      <rPr>
        <sz val="10"/>
        <rFont val="Times New Roman"/>
        <charset val="134"/>
      </rPr>
      <t>03</t>
    </r>
  </si>
  <si>
    <r>
      <rPr>
        <sz val="10"/>
        <rFont val="宋体"/>
        <charset val="134"/>
      </rPr>
      <t>在建</t>
    </r>
    <r>
      <rPr>
        <sz val="10"/>
        <rFont val="Times New Roman"/>
        <charset val="134"/>
      </rPr>
      <t>-</t>
    </r>
    <r>
      <rPr>
        <sz val="10"/>
        <rFont val="宋体"/>
        <charset val="134"/>
      </rPr>
      <t>土建</t>
    </r>
    <r>
      <rPr>
        <sz val="10"/>
        <rFont val="Times New Roman"/>
        <charset val="134"/>
      </rPr>
      <t>04</t>
    </r>
  </si>
  <si>
    <r>
      <rPr>
        <sz val="10"/>
        <rFont val="宋体"/>
        <charset val="134"/>
      </rPr>
      <t>在建</t>
    </r>
    <r>
      <rPr>
        <sz val="10"/>
        <rFont val="Times New Roman"/>
        <charset val="134"/>
      </rPr>
      <t>-</t>
    </r>
    <r>
      <rPr>
        <sz val="10"/>
        <rFont val="宋体"/>
        <charset val="134"/>
      </rPr>
      <t>土建</t>
    </r>
    <r>
      <rPr>
        <sz val="10"/>
        <rFont val="Times New Roman"/>
        <charset val="134"/>
      </rPr>
      <t>05</t>
    </r>
  </si>
  <si>
    <r>
      <rPr>
        <sz val="10"/>
        <rFont val="宋体"/>
        <charset val="134"/>
      </rPr>
      <t>在建</t>
    </r>
    <r>
      <rPr>
        <sz val="10"/>
        <rFont val="Times New Roman"/>
        <charset val="134"/>
      </rPr>
      <t>-</t>
    </r>
    <r>
      <rPr>
        <sz val="10"/>
        <rFont val="宋体"/>
        <charset val="134"/>
      </rPr>
      <t>土建</t>
    </r>
    <r>
      <rPr>
        <sz val="10"/>
        <rFont val="Times New Roman"/>
        <charset val="134"/>
      </rPr>
      <t>06</t>
    </r>
  </si>
  <si>
    <r>
      <rPr>
        <sz val="10"/>
        <rFont val="宋体"/>
        <charset val="134"/>
      </rPr>
      <t>在建</t>
    </r>
    <r>
      <rPr>
        <sz val="10"/>
        <rFont val="Times New Roman"/>
        <charset val="134"/>
      </rPr>
      <t>-</t>
    </r>
    <r>
      <rPr>
        <sz val="10"/>
        <rFont val="宋体"/>
        <charset val="134"/>
      </rPr>
      <t>土建</t>
    </r>
    <r>
      <rPr>
        <sz val="10"/>
        <rFont val="Times New Roman"/>
        <charset val="134"/>
      </rPr>
      <t>07</t>
    </r>
  </si>
  <si>
    <r>
      <rPr>
        <sz val="10"/>
        <rFont val="宋体"/>
        <charset val="134"/>
      </rPr>
      <t>在建</t>
    </r>
    <r>
      <rPr>
        <sz val="10"/>
        <rFont val="Times New Roman"/>
        <charset val="134"/>
      </rPr>
      <t>-</t>
    </r>
    <r>
      <rPr>
        <sz val="10"/>
        <rFont val="宋体"/>
        <charset val="134"/>
      </rPr>
      <t>土建</t>
    </r>
    <r>
      <rPr>
        <sz val="10"/>
        <rFont val="Times New Roman"/>
        <charset val="134"/>
      </rPr>
      <t>08</t>
    </r>
  </si>
  <si>
    <r>
      <rPr>
        <sz val="10"/>
        <rFont val="宋体"/>
        <charset val="134"/>
      </rPr>
      <t>在建</t>
    </r>
    <r>
      <rPr>
        <sz val="10"/>
        <rFont val="Times New Roman"/>
        <charset val="134"/>
      </rPr>
      <t>-</t>
    </r>
    <r>
      <rPr>
        <sz val="10"/>
        <rFont val="宋体"/>
        <charset val="134"/>
      </rPr>
      <t>土建</t>
    </r>
    <r>
      <rPr>
        <sz val="10"/>
        <rFont val="Times New Roman"/>
        <charset val="134"/>
      </rPr>
      <t>09</t>
    </r>
  </si>
  <si>
    <r>
      <rPr>
        <sz val="10"/>
        <rFont val="宋体"/>
        <charset val="134"/>
      </rPr>
      <t>在建</t>
    </r>
    <r>
      <rPr>
        <sz val="10"/>
        <rFont val="Times New Roman"/>
        <charset val="134"/>
      </rPr>
      <t>-</t>
    </r>
    <r>
      <rPr>
        <sz val="10"/>
        <rFont val="宋体"/>
        <charset val="134"/>
      </rPr>
      <t>土建</t>
    </r>
    <r>
      <rPr>
        <sz val="10"/>
        <rFont val="Times New Roman"/>
        <charset val="134"/>
      </rPr>
      <t>10</t>
    </r>
  </si>
  <si>
    <r>
      <rPr>
        <sz val="10"/>
        <rFont val="宋体"/>
        <charset val="134"/>
      </rPr>
      <t>在建</t>
    </r>
    <r>
      <rPr>
        <sz val="10"/>
        <rFont val="Times New Roman"/>
        <charset val="134"/>
      </rPr>
      <t>-</t>
    </r>
    <r>
      <rPr>
        <sz val="10"/>
        <rFont val="宋体"/>
        <charset val="134"/>
      </rPr>
      <t>土建</t>
    </r>
    <r>
      <rPr>
        <sz val="10"/>
        <rFont val="Times New Roman"/>
        <charset val="134"/>
      </rPr>
      <t>11</t>
    </r>
  </si>
  <si>
    <r>
      <rPr>
        <sz val="10"/>
        <rFont val="宋体"/>
        <charset val="134"/>
      </rPr>
      <t>在建</t>
    </r>
    <r>
      <rPr>
        <sz val="10"/>
        <rFont val="Times New Roman"/>
        <charset val="134"/>
      </rPr>
      <t>-</t>
    </r>
    <r>
      <rPr>
        <sz val="10"/>
        <rFont val="宋体"/>
        <charset val="134"/>
      </rPr>
      <t>土建</t>
    </r>
    <r>
      <rPr>
        <sz val="10"/>
        <rFont val="Times New Roman"/>
        <charset val="134"/>
      </rPr>
      <t>12</t>
    </r>
  </si>
  <si>
    <r>
      <rPr>
        <sz val="10"/>
        <rFont val="宋体"/>
        <charset val="134"/>
      </rPr>
      <t>在建</t>
    </r>
    <r>
      <rPr>
        <sz val="10"/>
        <rFont val="Times New Roman"/>
        <charset val="134"/>
      </rPr>
      <t>-</t>
    </r>
    <r>
      <rPr>
        <sz val="10"/>
        <rFont val="宋体"/>
        <charset val="134"/>
      </rPr>
      <t>土建</t>
    </r>
    <r>
      <rPr>
        <sz val="10"/>
        <rFont val="Times New Roman"/>
        <charset val="134"/>
      </rPr>
      <t>13</t>
    </r>
  </si>
  <si>
    <r>
      <rPr>
        <sz val="10"/>
        <rFont val="宋体"/>
        <charset val="134"/>
      </rPr>
      <t>在建</t>
    </r>
    <r>
      <rPr>
        <sz val="10"/>
        <rFont val="Times New Roman"/>
        <charset val="134"/>
      </rPr>
      <t>-</t>
    </r>
    <r>
      <rPr>
        <sz val="10"/>
        <rFont val="宋体"/>
        <charset val="134"/>
      </rPr>
      <t>土建</t>
    </r>
    <r>
      <rPr>
        <sz val="10"/>
        <rFont val="Times New Roman"/>
        <charset val="134"/>
      </rPr>
      <t>14</t>
    </r>
  </si>
  <si>
    <r>
      <rPr>
        <sz val="10"/>
        <rFont val="宋体"/>
        <charset val="134"/>
      </rPr>
      <t>在建</t>
    </r>
    <r>
      <rPr>
        <sz val="10"/>
        <rFont val="Times New Roman"/>
        <charset val="134"/>
      </rPr>
      <t>-</t>
    </r>
    <r>
      <rPr>
        <sz val="10"/>
        <rFont val="宋体"/>
        <charset val="134"/>
      </rPr>
      <t>土建</t>
    </r>
    <r>
      <rPr>
        <sz val="10"/>
        <rFont val="Times New Roman"/>
        <charset val="134"/>
      </rPr>
      <t>15</t>
    </r>
  </si>
  <si>
    <r>
      <rPr>
        <sz val="10"/>
        <rFont val="宋体"/>
        <charset val="134"/>
      </rPr>
      <t>在建</t>
    </r>
    <r>
      <rPr>
        <sz val="10"/>
        <rFont val="Times New Roman"/>
        <charset val="134"/>
      </rPr>
      <t>-</t>
    </r>
    <r>
      <rPr>
        <sz val="10"/>
        <rFont val="宋体"/>
        <charset val="134"/>
      </rPr>
      <t>土建</t>
    </r>
    <r>
      <rPr>
        <sz val="10"/>
        <rFont val="Times New Roman"/>
        <charset val="134"/>
      </rPr>
      <t>16</t>
    </r>
  </si>
  <si>
    <r>
      <rPr>
        <sz val="10"/>
        <rFont val="宋体"/>
        <charset val="134"/>
      </rPr>
      <t>在建</t>
    </r>
    <r>
      <rPr>
        <sz val="10"/>
        <rFont val="Times New Roman"/>
        <charset val="134"/>
      </rPr>
      <t>-</t>
    </r>
    <r>
      <rPr>
        <sz val="10"/>
        <rFont val="宋体"/>
        <charset val="134"/>
      </rPr>
      <t>土建</t>
    </r>
    <r>
      <rPr>
        <sz val="10"/>
        <rFont val="Times New Roman"/>
        <charset val="134"/>
      </rPr>
      <t>17</t>
    </r>
  </si>
  <si>
    <r>
      <rPr>
        <sz val="10"/>
        <rFont val="宋体"/>
        <charset val="134"/>
      </rPr>
      <t>在建</t>
    </r>
    <r>
      <rPr>
        <sz val="10"/>
        <rFont val="Times New Roman"/>
        <charset val="134"/>
      </rPr>
      <t>-</t>
    </r>
    <r>
      <rPr>
        <sz val="10"/>
        <rFont val="宋体"/>
        <charset val="134"/>
      </rPr>
      <t>土建</t>
    </r>
    <r>
      <rPr>
        <sz val="10"/>
        <rFont val="Times New Roman"/>
        <charset val="134"/>
      </rPr>
      <t>18</t>
    </r>
  </si>
  <si>
    <r>
      <rPr>
        <sz val="10"/>
        <rFont val="宋体"/>
        <charset val="134"/>
      </rPr>
      <t>在建</t>
    </r>
    <r>
      <rPr>
        <sz val="10"/>
        <rFont val="Times New Roman"/>
        <charset val="134"/>
      </rPr>
      <t>-</t>
    </r>
    <r>
      <rPr>
        <sz val="10"/>
        <rFont val="宋体"/>
        <charset val="134"/>
      </rPr>
      <t>土建</t>
    </r>
    <r>
      <rPr>
        <sz val="10"/>
        <rFont val="Times New Roman"/>
        <charset val="134"/>
      </rPr>
      <t>19</t>
    </r>
  </si>
  <si>
    <r>
      <rPr>
        <sz val="10"/>
        <rFont val="宋体"/>
        <charset val="134"/>
      </rPr>
      <t>在建</t>
    </r>
    <r>
      <rPr>
        <sz val="10"/>
        <rFont val="Times New Roman"/>
        <charset val="134"/>
      </rPr>
      <t>-</t>
    </r>
    <r>
      <rPr>
        <sz val="10"/>
        <rFont val="宋体"/>
        <charset val="134"/>
      </rPr>
      <t>土建</t>
    </r>
    <r>
      <rPr>
        <sz val="10"/>
        <rFont val="Times New Roman"/>
        <charset val="134"/>
      </rPr>
      <t>20</t>
    </r>
  </si>
  <si>
    <r>
      <rPr>
        <sz val="18"/>
        <rFont val="宋体"/>
        <charset val="134"/>
      </rPr>
      <t>在建工程</t>
    </r>
    <r>
      <rPr>
        <sz val="18"/>
        <rFont val="Times New Roman"/>
        <charset val="134"/>
      </rPr>
      <t>—</t>
    </r>
    <r>
      <rPr>
        <sz val="18"/>
        <rFont val="宋体"/>
        <charset val="134"/>
      </rPr>
      <t>设备安装工程评估明细表</t>
    </r>
  </si>
  <si>
    <r>
      <rPr>
        <b/>
        <sz val="10"/>
        <rFont val="宋体"/>
        <charset val="134"/>
      </rPr>
      <t>预计完
工日期</t>
    </r>
  </si>
  <si>
    <r>
      <rPr>
        <b/>
        <sz val="10"/>
        <rFont val="宋体"/>
        <charset val="134"/>
      </rPr>
      <t>设备费</t>
    </r>
  </si>
  <si>
    <r>
      <rPr>
        <b/>
        <sz val="10"/>
        <rFont val="宋体"/>
        <charset val="134"/>
      </rPr>
      <t>安装费及其他</t>
    </r>
  </si>
  <si>
    <r>
      <rPr>
        <b/>
        <sz val="10"/>
        <color indexed="10"/>
        <rFont val="宋体"/>
        <charset val="134"/>
      </rPr>
      <t>设备费</t>
    </r>
  </si>
  <si>
    <r>
      <rPr>
        <b/>
        <sz val="10"/>
        <color indexed="10"/>
        <rFont val="宋体"/>
        <charset val="134"/>
      </rPr>
      <t>资金成本</t>
    </r>
  </si>
  <si>
    <r>
      <rPr>
        <b/>
        <sz val="10"/>
        <color indexed="10"/>
        <rFont val="宋体"/>
        <charset val="134"/>
      </rPr>
      <t>安装费及其他</t>
    </r>
  </si>
  <si>
    <r>
      <rPr>
        <sz val="10"/>
        <rFont val="宋体"/>
        <charset val="134"/>
      </rPr>
      <t>在建</t>
    </r>
    <r>
      <rPr>
        <sz val="10"/>
        <rFont val="Times New Roman"/>
        <charset val="134"/>
      </rPr>
      <t>-</t>
    </r>
    <r>
      <rPr>
        <sz val="10"/>
        <rFont val="宋体"/>
        <charset val="134"/>
      </rPr>
      <t>设备</t>
    </r>
    <r>
      <rPr>
        <sz val="10"/>
        <rFont val="Times New Roman"/>
        <charset val="134"/>
      </rPr>
      <t>01</t>
    </r>
  </si>
  <si>
    <r>
      <rPr>
        <sz val="10"/>
        <rFont val="宋体"/>
        <charset val="134"/>
      </rPr>
      <t>在建</t>
    </r>
    <r>
      <rPr>
        <sz val="10"/>
        <rFont val="Times New Roman"/>
        <charset val="134"/>
      </rPr>
      <t>-</t>
    </r>
    <r>
      <rPr>
        <sz val="10"/>
        <rFont val="宋体"/>
        <charset val="134"/>
      </rPr>
      <t>设备</t>
    </r>
    <r>
      <rPr>
        <sz val="10"/>
        <rFont val="Times New Roman"/>
        <charset val="134"/>
      </rPr>
      <t>02</t>
    </r>
  </si>
  <si>
    <r>
      <rPr>
        <sz val="10"/>
        <rFont val="宋体"/>
        <charset val="134"/>
      </rPr>
      <t>在建</t>
    </r>
    <r>
      <rPr>
        <sz val="10"/>
        <rFont val="Times New Roman"/>
        <charset val="134"/>
      </rPr>
      <t>-</t>
    </r>
    <r>
      <rPr>
        <sz val="10"/>
        <rFont val="宋体"/>
        <charset val="134"/>
      </rPr>
      <t>设备</t>
    </r>
    <r>
      <rPr>
        <sz val="10"/>
        <rFont val="Times New Roman"/>
        <charset val="134"/>
      </rPr>
      <t>03</t>
    </r>
  </si>
  <si>
    <r>
      <rPr>
        <sz val="10"/>
        <rFont val="宋体"/>
        <charset val="134"/>
      </rPr>
      <t>在建</t>
    </r>
    <r>
      <rPr>
        <sz val="10"/>
        <rFont val="Times New Roman"/>
        <charset val="134"/>
      </rPr>
      <t>-</t>
    </r>
    <r>
      <rPr>
        <sz val="10"/>
        <rFont val="宋体"/>
        <charset val="134"/>
      </rPr>
      <t>设备</t>
    </r>
    <r>
      <rPr>
        <sz val="10"/>
        <rFont val="Times New Roman"/>
        <charset val="134"/>
      </rPr>
      <t>04</t>
    </r>
  </si>
  <si>
    <r>
      <rPr>
        <sz val="10"/>
        <rFont val="宋体"/>
        <charset val="134"/>
      </rPr>
      <t>在建</t>
    </r>
    <r>
      <rPr>
        <sz val="10"/>
        <rFont val="Times New Roman"/>
        <charset val="134"/>
      </rPr>
      <t>-</t>
    </r>
    <r>
      <rPr>
        <sz val="10"/>
        <rFont val="宋体"/>
        <charset val="134"/>
      </rPr>
      <t>设备</t>
    </r>
    <r>
      <rPr>
        <sz val="10"/>
        <rFont val="Times New Roman"/>
        <charset val="134"/>
      </rPr>
      <t>05</t>
    </r>
  </si>
  <si>
    <r>
      <rPr>
        <sz val="10"/>
        <rFont val="宋体"/>
        <charset val="134"/>
      </rPr>
      <t>在建</t>
    </r>
    <r>
      <rPr>
        <sz val="10"/>
        <rFont val="Times New Roman"/>
        <charset val="134"/>
      </rPr>
      <t>-</t>
    </r>
    <r>
      <rPr>
        <sz val="10"/>
        <rFont val="宋体"/>
        <charset val="134"/>
      </rPr>
      <t>设备</t>
    </r>
    <r>
      <rPr>
        <sz val="10"/>
        <rFont val="Times New Roman"/>
        <charset val="134"/>
      </rPr>
      <t>06</t>
    </r>
  </si>
  <si>
    <r>
      <rPr>
        <sz val="10"/>
        <rFont val="宋体"/>
        <charset val="134"/>
      </rPr>
      <t>在建</t>
    </r>
    <r>
      <rPr>
        <sz val="10"/>
        <rFont val="Times New Roman"/>
        <charset val="134"/>
      </rPr>
      <t>-</t>
    </r>
    <r>
      <rPr>
        <sz val="10"/>
        <rFont val="宋体"/>
        <charset val="134"/>
      </rPr>
      <t>设备</t>
    </r>
    <r>
      <rPr>
        <sz val="10"/>
        <rFont val="Times New Roman"/>
        <charset val="134"/>
      </rPr>
      <t>07</t>
    </r>
  </si>
  <si>
    <r>
      <rPr>
        <sz val="10"/>
        <rFont val="宋体"/>
        <charset val="134"/>
      </rPr>
      <t>在建</t>
    </r>
    <r>
      <rPr>
        <sz val="10"/>
        <rFont val="Times New Roman"/>
        <charset val="134"/>
      </rPr>
      <t>-</t>
    </r>
    <r>
      <rPr>
        <sz val="10"/>
        <rFont val="宋体"/>
        <charset val="134"/>
      </rPr>
      <t>设备</t>
    </r>
    <r>
      <rPr>
        <sz val="10"/>
        <rFont val="Times New Roman"/>
        <charset val="134"/>
      </rPr>
      <t>08</t>
    </r>
  </si>
  <si>
    <r>
      <rPr>
        <sz val="10"/>
        <rFont val="宋体"/>
        <charset val="134"/>
      </rPr>
      <t>在建</t>
    </r>
    <r>
      <rPr>
        <sz val="10"/>
        <rFont val="Times New Roman"/>
        <charset val="134"/>
      </rPr>
      <t>-</t>
    </r>
    <r>
      <rPr>
        <sz val="10"/>
        <rFont val="宋体"/>
        <charset val="134"/>
      </rPr>
      <t>设备</t>
    </r>
    <r>
      <rPr>
        <sz val="10"/>
        <rFont val="Times New Roman"/>
        <charset val="134"/>
      </rPr>
      <t>09</t>
    </r>
  </si>
  <si>
    <r>
      <rPr>
        <sz val="10"/>
        <rFont val="宋体"/>
        <charset val="134"/>
      </rPr>
      <t>在建</t>
    </r>
    <r>
      <rPr>
        <sz val="10"/>
        <rFont val="Times New Roman"/>
        <charset val="134"/>
      </rPr>
      <t>-</t>
    </r>
    <r>
      <rPr>
        <sz val="10"/>
        <rFont val="宋体"/>
        <charset val="134"/>
      </rPr>
      <t>设备</t>
    </r>
    <r>
      <rPr>
        <sz val="10"/>
        <rFont val="Times New Roman"/>
        <charset val="134"/>
      </rPr>
      <t>10</t>
    </r>
  </si>
  <si>
    <r>
      <rPr>
        <sz val="10"/>
        <rFont val="宋体"/>
        <charset val="134"/>
      </rPr>
      <t>在建</t>
    </r>
    <r>
      <rPr>
        <sz val="10"/>
        <rFont val="Times New Roman"/>
        <charset val="134"/>
      </rPr>
      <t>-</t>
    </r>
    <r>
      <rPr>
        <sz val="10"/>
        <rFont val="宋体"/>
        <charset val="134"/>
      </rPr>
      <t>设备</t>
    </r>
    <r>
      <rPr>
        <sz val="10"/>
        <rFont val="Times New Roman"/>
        <charset val="134"/>
      </rPr>
      <t>11</t>
    </r>
  </si>
  <si>
    <r>
      <rPr>
        <sz val="10"/>
        <rFont val="宋体"/>
        <charset val="134"/>
      </rPr>
      <t>在建</t>
    </r>
    <r>
      <rPr>
        <sz val="10"/>
        <rFont val="Times New Roman"/>
        <charset val="134"/>
      </rPr>
      <t>-</t>
    </r>
    <r>
      <rPr>
        <sz val="10"/>
        <rFont val="宋体"/>
        <charset val="134"/>
      </rPr>
      <t>设备</t>
    </r>
    <r>
      <rPr>
        <sz val="10"/>
        <rFont val="Times New Roman"/>
        <charset val="134"/>
      </rPr>
      <t>12</t>
    </r>
  </si>
  <si>
    <r>
      <rPr>
        <sz val="10"/>
        <rFont val="宋体"/>
        <charset val="134"/>
      </rPr>
      <t>在建</t>
    </r>
    <r>
      <rPr>
        <sz val="10"/>
        <rFont val="Times New Roman"/>
        <charset val="134"/>
      </rPr>
      <t>-</t>
    </r>
    <r>
      <rPr>
        <sz val="10"/>
        <rFont val="宋体"/>
        <charset val="134"/>
      </rPr>
      <t>设备</t>
    </r>
    <r>
      <rPr>
        <sz val="10"/>
        <rFont val="Times New Roman"/>
        <charset val="134"/>
      </rPr>
      <t>13</t>
    </r>
  </si>
  <si>
    <r>
      <rPr>
        <sz val="10"/>
        <rFont val="宋体"/>
        <charset val="134"/>
      </rPr>
      <t>在建</t>
    </r>
    <r>
      <rPr>
        <sz val="10"/>
        <rFont val="Times New Roman"/>
        <charset val="134"/>
      </rPr>
      <t>-</t>
    </r>
    <r>
      <rPr>
        <sz val="10"/>
        <rFont val="宋体"/>
        <charset val="134"/>
      </rPr>
      <t>设备</t>
    </r>
    <r>
      <rPr>
        <sz val="10"/>
        <rFont val="Times New Roman"/>
        <charset val="134"/>
      </rPr>
      <t>14</t>
    </r>
  </si>
  <si>
    <r>
      <rPr>
        <sz val="10"/>
        <rFont val="宋体"/>
        <charset val="134"/>
      </rPr>
      <t>在建</t>
    </r>
    <r>
      <rPr>
        <sz val="10"/>
        <rFont val="Times New Roman"/>
        <charset val="134"/>
      </rPr>
      <t>-</t>
    </r>
    <r>
      <rPr>
        <sz val="10"/>
        <rFont val="宋体"/>
        <charset val="134"/>
      </rPr>
      <t>设备</t>
    </r>
    <r>
      <rPr>
        <sz val="10"/>
        <rFont val="Times New Roman"/>
        <charset val="134"/>
      </rPr>
      <t>15</t>
    </r>
  </si>
  <si>
    <r>
      <rPr>
        <sz val="10"/>
        <rFont val="宋体"/>
        <charset val="134"/>
      </rPr>
      <t>在建</t>
    </r>
    <r>
      <rPr>
        <sz val="10"/>
        <rFont val="Times New Roman"/>
        <charset val="134"/>
      </rPr>
      <t>-</t>
    </r>
    <r>
      <rPr>
        <sz val="10"/>
        <rFont val="宋体"/>
        <charset val="134"/>
      </rPr>
      <t>设备</t>
    </r>
    <r>
      <rPr>
        <sz val="10"/>
        <rFont val="Times New Roman"/>
        <charset val="134"/>
      </rPr>
      <t>16</t>
    </r>
  </si>
  <si>
    <r>
      <rPr>
        <sz val="10"/>
        <rFont val="宋体"/>
        <charset val="134"/>
      </rPr>
      <t>在建</t>
    </r>
    <r>
      <rPr>
        <sz val="10"/>
        <rFont val="Times New Roman"/>
        <charset val="134"/>
      </rPr>
      <t>-</t>
    </r>
    <r>
      <rPr>
        <sz val="10"/>
        <rFont val="宋体"/>
        <charset val="134"/>
      </rPr>
      <t>设备</t>
    </r>
    <r>
      <rPr>
        <sz val="10"/>
        <rFont val="Times New Roman"/>
        <charset val="134"/>
      </rPr>
      <t>17</t>
    </r>
  </si>
  <si>
    <r>
      <rPr>
        <sz val="10"/>
        <rFont val="宋体"/>
        <charset val="134"/>
      </rPr>
      <t>在建</t>
    </r>
    <r>
      <rPr>
        <sz val="10"/>
        <rFont val="Times New Roman"/>
        <charset val="134"/>
      </rPr>
      <t>-</t>
    </r>
    <r>
      <rPr>
        <sz val="10"/>
        <rFont val="宋体"/>
        <charset val="134"/>
      </rPr>
      <t>设备</t>
    </r>
    <r>
      <rPr>
        <sz val="10"/>
        <rFont val="Times New Roman"/>
        <charset val="134"/>
      </rPr>
      <t>18</t>
    </r>
  </si>
  <si>
    <r>
      <rPr>
        <sz val="10"/>
        <rFont val="宋体"/>
        <charset val="134"/>
      </rPr>
      <t>在建</t>
    </r>
    <r>
      <rPr>
        <sz val="10"/>
        <rFont val="Times New Roman"/>
        <charset val="134"/>
      </rPr>
      <t>-</t>
    </r>
    <r>
      <rPr>
        <sz val="10"/>
        <rFont val="宋体"/>
        <charset val="134"/>
      </rPr>
      <t>设备</t>
    </r>
    <r>
      <rPr>
        <sz val="10"/>
        <rFont val="Times New Roman"/>
        <charset val="134"/>
      </rPr>
      <t>19</t>
    </r>
  </si>
  <si>
    <r>
      <rPr>
        <sz val="10"/>
        <rFont val="宋体"/>
        <charset val="134"/>
      </rPr>
      <t>在建</t>
    </r>
    <r>
      <rPr>
        <sz val="10"/>
        <rFont val="Times New Roman"/>
        <charset val="134"/>
      </rPr>
      <t>-</t>
    </r>
    <r>
      <rPr>
        <sz val="10"/>
        <rFont val="宋体"/>
        <charset val="134"/>
      </rPr>
      <t>设备</t>
    </r>
    <r>
      <rPr>
        <sz val="10"/>
        <rFont val="Times New Roman"/>
        <charset val="134"/>
      </rPr>
      <t>20</t>
    </r>
  </si>
  <si>
    <r>
      <rPr>
        <sz val="18"/>
        <rFont val="宋体"/>
        <charset val="134"/>
      </rPr>
      <t>在建工程</t>
    </r>
    <r>
      <rPr>
        <sz val="18"/>
        <rFont val="Times New Roman"/>
        <charset val="134"/>
      </rPr>
      <t>—</t>
    </r>
    <r>
      <rPr>
        <sz val="18"/>
        <rFont val="宋体"/>
        <charset val="134"/>
      </rPr>
      <t>待摊费用评估明细表</t>
    </r>
  </si>
  <si>
    <r>
      <rPr>
        <b/>
        <sz val="10"/>
        <rFont val="宋体"/>
        <charset val="134"/>
      </rPr>
      <t>是否在其他资产评估</t>
    </r>
  </si>
  <si>
    <r>
      <rPr>
        <sz val="10"/>
        <rFont val="宋体"/>
        <charset val="134"/>
      </rPr>
      <t>在建</t>
    </r>
    <r>
      <rPr>
        <sz val="10"/>
        <rFont val="Times New Roman"/>
        <charset val="134"/>
      </rPr>
      <t>-</t>
    </r>
    <r>
      <rPr>
        <sz val="10"/>
        <rFont val="宋体"/>
        <charset val="134"/>
      </rPr>
      <t>待摊费用</t>
    </r>
    <r>
      <rPr>
        <sz val="10"/>
        <rFont val="Times New Roman"/>
        <charset val="134"/>
      </rPr>
      <t>01</t>
    </r>
  </si>
  <si>
    <r>
      <rPr>
        <sz val="10"/>
        <rFont val="宋体"/>
        <charset val="134"/>
      </rPr>
      <t>在建</t>
    </r>
    <r>
      <rPr>
        <sz val="10"/>
        <rFont val="Times New Roman"/>
        <charset val="134"/>
      </rPr>
      <t>-</t>
    </r>
    <r>
      <rPr>
        <sz val="10"/>
        <rFont val="宋体"/>
        <charset val="134"/>
      </rPr>
      <t>待摊费用</t>
    </r>
    <r>
      <rPr>
        <sz val="10"/>
        <rFont val="Times New Roman"/>
        <charset val="134"/>
      </rPr>
      <t>02</t>
    </r>
  </si>
  <si>
    <r>
      <rPr>
        <sz val="10"/>
        <rFont val="宋体"/>
        <charset val="134"/>
      </rPr>
      <t>在建</t>
    </r>
    <r>
      <rPr>
        <sz val="10"/>
        <rFont val="Times New Roman"/>
        <charset val="134"/>
      </rPr>
      <t>-</t>
    </r>
    <r>
      <rPr>
        <sz val="10"/>
        <rFont val="宋体"/>
        <charset val="134"/>
      </rPr>
      <t>待摊费用</t>
    </r>
    <r>
      <rPr>
        <sz val="10"/>
        <rFont val="Times New Roman"/>
        <charset val="134"/>
      </rPr>
      <t>03</t>
    </r>
  </si>
  <si>
    <r>
      <rPr>
        <sz val="10"/>
        <rFont val="宋体"/>
        <charset val="134"/>
      </rPr>
      <t>在建</t>
    </r>
    <r>
      <rPr>
        <sz val="10"/>
        <rFont val="Times New Roman"/>
        <charset val="134"/>
      </rPr>
      <t>-</t>
    </r>
    <r>
      <rPr>
        <sz val="10"/>
        <rFont val="宋体"/>
        <charset val="134"/>
      </rPr>
      <t>待摊费用</t>
    </r>
    <r>
      <rPr>
        <sz val="10"/>
        <rFont val="Times New Roman"/>
        <charset val="134"/>
      </rPr>
      <t>04</t>
    </r>
  </si>
  <si>
    <r>
      <rPr>
        <sz val="10"/>
        <rFont val="宋体"/>
        <charset val="134"/>
      </rPr>
      <t>在建</t>
    </r>
    <r>
      <rPr>
        <sz val="10"/>
        <rFont val="Times New Roman"/>
        <charset val="134"/>
      </rPr>
      <t>-</t>
    </r>
    <r>
      <rPr>
        <sz val="10"/>
        <rFont val="宋体"/>
        <charset val="134"/>
      </rPr>
      <t>待摊费用</t>
    </r>
    <r>
      <rPr>
        <sz val="10"/>
        <rFont val="Times New Roman"/>
        <charset val="134"/>
      </rPr>
      <t>05</t>
    </r>
  </si>
  <si>
    <r>
      <rPr>
        <sz val="10"/>
        <rFont val="宋体"/>
        <charset val="134"/>
      </rPr>
      <t>在建</t>
    </r>
    <r>
      <rPr>
        <sz val="10"/>
        <rFont val="Times New Roman"/>
        <charset val="134"/>
      </rPr>
      <t>-</t>
    </r>
    <r>
      <rPr>
        <sz val="10"/>
        <rFont val="宋体"/>
        <charset val="134"/>
      </rPr>
      <t>待摊费用</t>
    </r>
    <r>
      <rPr>
        <sz val="10"/>
        <rFont val="Times New Roman"/>
        <charset val="134"/>
      </rPr>
      <t>06</t>
    </r>
  </si>
  <si>
    <r>
      <rPr>
        <sz val="10"/>
        <rFont val="宋体"/>
        <charset val="134"/>
      </rPr>
      <t>在建</t>
    </r>
    <r>
      <rPr>
        <sz val="10"/>
        <rFont val="Times New Roman"/>
        <charset val="134"/>
      </rPr>
      <t>-</t>
    </r>
    <r>
      <rPr>
        <sz val="10"/>
        <rFont val="宋体"/>
        <charset val="134"/>
      </rPr>
      <t>待摊费用</t>
    </r>
    <r>
      <rPr>
        <sz val="10"/>
        <rFont val="Times New Roman"/>
        <charset val="134"/>
      </rPr>
      <t>07</t>
    </r>
  </si>
  <si>
    <r>
      <rPr>
        <sz val="10"/>
        <rFont val="宋体"/>
        <charset val="134"/>
      </rPr>
      <t>在建</t>
    </r>
    <r>
      <rPr>
        <sz val="10"/>
        <rFont val="Times New Roman"/>
        <charset val="134"/>
      </rPr>
      <t>-</t>
    </r>
    <r>
      <rPr>
        <sz val="10"/>
        <rFont val="宋体"/>
        <charset val="134"/>
      </rPr>
      <t>待摊费用</t>
    </r>
    <r>
      <rPr>
        <sz val="10"/>
        <rFont val="Times New Roman"/>
        <charset val="134"/>
      </rPr>
      <t>08</t>
    </r>
  </si>
  <si>
    <r>
      <rPr>
        <sz val="10"/>
        <rFont val="宋体"/>
        <charset val="134"/>
      </rPr>
      <t>在建</t>
    </r>
    <r>
      <rPr>
        <sz val="10"/>
        <rFont val="Times New Roman"/>
        <charset val="134"/>
      </rPr>
      <t>-</t>
    </r>
    <r>
      <rPr>
        <sz val="10"/>
        <rFont val="宋体"/>
        <charset val="134"/>
      </rPr>
      <t>待摊费用</t>
    </r>
    <r>
      <rPr>
        <sz val="10"/>
        <rFont val="Times New Roman"/>
        <charset val="134"/>
      </rPr>
      <t>09</t>
    </r>
  </si>
  <si>
    <r>
      <rPr>
        <sz val="10"/>
        <rFont val="宋体"/>
        <charset val="134"/>
      </rPr>
      <t>在建</t>
    </r>
    <r>
      <rPr>
        <sz val="10"/>
        <rFont val="Times New Roman"/>
        <charset val="134"/>
      </rPr>
      <t>-</t>
    </r>
    <r>
      <rPr>
        <sz val="10"/>
        <rFont val="宋体"/>
        <charset val="134"/>
      </rPr>
      <t>待摊费用</t>
    </r>
    <r>
      <rPr>
        <sz val="10"/>
        <rFont val="Times New Roman"/>
        <charset val="134"/>
      </rPr>
      <t>10</t>
    </r>
  </si>
  <si>
    <r>
      <rPr>
        <sz val="10"/>
        <rFont val="宋体"/>
        <charset val="134"/>
      </rPr>
      <t>在建</t>
    </r>
    <r>
      <rPr>
        <sz val="10"/>
        <rFont val="Times New Roman"/>
        <charset val="134"/>
      </rPr>
      <t>-</t>
    </r>
    <r>
      <rPr>
        <sz val="10"/>
        <rFont val="宋体"/>
        <charset val="134"/>
      </rPr>
      <t>待摊费用</t>
    </r>
    <r>
      <rPr>
        <sz val="10"/>
        <rFont val="Times New Roman"/>
        <charset val="134"/>
      </rPr>
      <t>11</t>
    </r>
  </si>
  <si>
    <r>
      <rPr>
        <sz val="10"/>
        <rFont val="宋体"/>
        <charset val="134"/>
      </rPr>
      <t>在建</t>
    </r>
    <r>
      <rPr>
        <sz val="10"/>
        <rFont val="Times New Roman"/>
        <charset val="134"/>
      </rPr>
      <t>-</t>
    </r>
    <r>
      <rPr>
        <sz val="10"/>
        <rFont val="宋体"/>
        <charset val="134"/>
      </rPr>
      <t>待摊费用</t>
    </r>
    <r>
      <rPr>
        <sz val="10"/>
        <rFont val="Times New Roman"/>
        <charset val="134"/>
      </rPr>
      <t>12</t>
    </r>
  </si>
  <si>
    <r>
      <rPr>
        <sz val="10"/>
        <rFont val="宋体"/>
        <charset val="134"/>
      </rPr>
      <t>在建</t>
    </r>
    <r>
      <rPr>
        <sz val="10"/>
        <rFont val="Times New Roman"/>
        <charset val="134"/>
      </rPr>
      <t>-</t>
    </r>
    <r>
      <rPr>
        <sz val="10"/>
        <rFont val="宋体"/>
        <charset val="134"/>
      </rPr>
      <t>待摊费用</t>
    </r>
    <r>
      <rPr>
        <sz val="10"/>
        <rFont val="Times New Roman"/>
        <charset val="134"/>
      </rPr>
      <t>13</t>
    </r>
  </si>
  <si>
    <r>
      <rPr>
        <sz val="10"/>
        <rFont val="宋体"/>
        <charset val="134"/>
      </rPr>
      <t>在建</t>
    </r>
    <r>
      <rPr>
        <sz val="10"/>
        <rFont val="Times New Roman"/>
        <charset val="134"/>
      </rPr>
      <t>-</t>
    </r>
    <r>
      <rPr>
        <sz val="10"/>
        <rFont val="宋体"/>
        <charset val="134"/>
      </rPr>
      <t>待摊费用</t>
    </r>
    <r>
      <rPr>
        <sz val="10"/>
        <rFont val="Times New Roman"/>
        <charset val="134"/>
      </rPr>
      <t>14</t>
    </r>
  </si>
  <si>
    <r>
      <rPr>
        <sz val="10"/>
        <rFont val="宋体"/>
        <charset val="134"/>
      </rPr>
      <t>在建</t>
    </r>
    <r>
      <rPr>
        <sz val="10"/>
        <rFont val="Times New Roman"/>
        <charset val="134"/>
      </rPr>
      <t>-</t>
    </r>
    <r>
      <rPr>
        <sz val="10"/>
        <rFont val="宋体"/>
        <charset val="134"/>
      </rPr>
      <t>待摊费用</t>
    </r>
    <r>
      <rPr>
        <sz val="10"/>
        <rFont val="Times New Roman"/>
        <charset val="134"/>
      </rPr>
      <t>15</t>
    </r>
  </si>
  <si>
    <r>
      <rPr>
        <sz val="10"/>
        <rFont val="宋体"/>
        <charset val="134"/>
      </rPr>
      <t>在建</t>
    </r>
    <r>
      <rPr>
        <sz val="10"/>
        <rFont val="Times New Roman"/>
        <charset val="134"/>
      </rPr>
      <t>-</t>
    </r>
    <r>
      <rPr>
        <sz val="10"/>
        <rFont val="宋体"/>
        <charset val="134"/>
      </rPr>
      <t>待摊费用</t>
    </r>
    <r>
      <rPr>
        <sz val="10"/>
        <rFont val="Times New Roman"/>
        <charset val="134"/>
      </rPr>
      <t>16</t>
    </r>
  </si>
  <si>
    <r>
      <rPr>
        <sz val="10"/>
        <rFont val="宋体"/>
        <charset val="134"/>
      </rPr>
      <t>在建</t>
    </r>
    <r>
      <rPr>
        <sz val="10"/>
        <rFont val="Times New Roman"/>
        <charset val="134"/>
      </rPr>
      <t>-</t>
    </r>
    <r>
      <rPr>
        <sz val="10"/>
        <rFont val="宋体"/>
        <charset val="134"/>
      </rPr>
      <t>待摊费用</t>
    </r>
    <r>
      <rPr>
        <sz val="10"/>
        <rFont val="Times New Roman"/>
        <charset val="134"/>
      </rPr>
      <t>17</t>
    </r>
  </si>
  <si>
    <r>
      <rPr>
        <sz val="10"/>
        <rFont val="宋体"/>
        <charset val="134"/>
      </rPr>
      <t>在建</t>
    </r>
    <r>
      <rPr>
        <sz val="10"/>
        <rFont val="Times New Roman"/>
        <charset val="134"/>
      </rPr>
      <t>-</t>
    </r>
    <r>
      <rPr>
        <sz val="10"/>
        <rFont val="宋体"/>
        <charset val="134"/>
      </rPr>
      <t>待摊费用</t>
    </r>
    <r>
      <rPr>
        <sz val="10"/>
        <rFont val="Times New Roman"/>
        <charset val="134"/>
      </rPr>
      <t>18</t>
    </r>
  </si>
  <si>
    <r>
      <rPr>
        <sz val="10"/>
        <rFont val="宋体"/>
        <charset val="134"/>
      </rPr>
      <t>在建</t>
    </r>
    <r>
      <rPr>
        <sz val="10"/>
        <rFont val="Times New Roman"/>
        <charset val="134"/>
      </rPr>
      <t>-</t>
    </r>
    <r>
      <rPr>
        <sz val="10"/>
        <rFont val="宋体"/>
        <charset val="134"/>
      </rPr>
      <t>待摊费用</t>
    </r>
    <r>
      <rPr>
        <sz val="10"/>
        <rFont val="Times New Roman"/>
        <charset val="134"/>
      </rPr>
      <t>19</t>
    </r>
  </si>
  <si>
    <r>
      <rPr>
        <sz val="10"/>
        <rFont val="宋体"/>
        <charset val="134"/>
      </rPr>
      <t>在建</t>
    </r>
    <r>
      <rPr>
        <sz val="10"/>
        <rFont val="Times New Roman"/>
        <charset val="134"/>
      </rPr>
      <t>-</t>
    </r>
    <r>
      <rPr>
        <sz val="10"/>
        <rFont val="宋体"/>
        <charset val="134"/>
      </rPr>
      <t>待摊费用</t>
    </r>
    <r>
      <rPr>
        <sz val="10"/>
        <rFont val="Times New Roman"/>
        <charset val="134"/>
      </rPr>
      <t>20</t>
    </r>
  </si>
  <si>
    <r>
      <rPr>
        <sz val="18"/>
        <rFont val="宋体"/>
        <charset val="134"/>
      </rPr>
      <t>在建工程</t>
    </r>
    <r>
      <rPr>
        <sz val="18"/>
        <rFont val="Times New Roman"/>
        <charset val="134"/>
      </rPr>
      <t>—</t>
    </r>
    <r>
      <rPr>
        <sz val="18"/>
        <rFont val="宋体"/>
        <charset val="134"/>
      </rPr>
      <t>预付工程款评估明细表</t>
    </r>
  </si>
  <si>
    <r>
      <rPr>
        <b/>
        <sz val="10"/>
        <rFont val="宋体"/>
        <charset val="134"/>
      </rPr>
      <t>收款单位名称</t>
    </r>
  </si>
  <si>
    <r>
      <rPr>
        <sz val="10"/>
        <rFont val="宋体"/>
        <charset val="134"/>
      </rPr>
      <t>在建</t>
    </r>
    <r>
      <rPr>
        <sz val="10"/>
        <rFont val="Times New Roman"/>
        <charset val="134"/>
      </rPr>
      <t>-</t>
    </r>
    <r>
      <rPr>
        <sz val="10"/>
        <rFont val="宋体"/>
        <charset val="134"/>
      </rPr>
      <t>预付工程款</t>
    </r>
    <r>
      <rPr>
        <sz val="10"/>
        <rFont val="Times New Roman"/>
        <charset val="134"/>
      </rPr>
      <t>01</t>
    </r>
  </si>
  <si>
    <r>
      <rPr>
        <sz val="10"/>
        <rFont val="宋体"/>
        <charset val="134"/>
      </rPr>
      <t>在建</t>
    </r>
    <r>
      <rPr>
        <sz val="10"/>
        <rFont val="Times New Roman"/>
        <charset val="134"/>
      </rPr>
      <t>-</t>
    </r>
    <r>
      <rPr>
        <sz val="10"/>
        <rFont val="宋体"/>
        <charset val="134"/>
      </rPr>
      <t>预付工程款</t>
    </r>
    <r>
      <rPr>
        <sz val="10"/>
        <rFont val="Times New Roman"/>
        <charset val="134"/>
      </rPr>
      <t>02</t>
    </r>
  </si>
  <si>
    <r>
      <rPr>
        <sz val="10"/>
        <rFont val="宋体"/>
        <charset val="134"/>
      </rPr>
      <t>在建</t>
    </r>
    <r>
      <rPr>
        <sz val="10"/>
        <rFont val="Times New Roman"/>
        <charset val="134"/>
      </rPr>
      <t>-</t>
    </r>
    <r>
      <rPr>
        <sz val="10"/>
        <rFont val="宋体"/>
        <charset val="134"/>
      </rPr>
      <t>预付工程款</t>
    </r>
    <r>
      <rPr>
        <sz val="10"/>
        <rFont val="Times New Roman"/>
        <charset val="134"/>
      </rPr>
      <t>03</t>
    </r>
  </si>
  <si>
    <r>
      <rPr>
        <sz val="10"/>
        <rFont val="宋体"/>
        <charset val="134"/>
      </rPr>
      <t>在建</t>
    </r>
    <r>
      <rPr>
        <sz val="10"/>
        <rFont val="Times New Roman"/>
        <charset val="134"/>
      </rPr>
      <t>-</t>
    </r>
    <r>
      <rPr>
        <sz val="10"/>
        <rFont val="宋体"/>
        <charset val="134"/>
      </rPr>
      <t>预付工程款</t>
    </r>
    <r>
      <rPr>
        <sz val="10"/>
        <rFont val="Times New Roman"/>
        <charset val="134"/>
      </rPr>
      <t>04</t>
    </r>
  </si>
  <si>
    <r>
      <rPr>
        <sz val="10"/>
        <rFont val="宋体"/>
        <charset val="134"/>
      </rPr>
      <t>在建</t>
    </r>
    <r>
      <rPr>
        <sz val="10"/>
        <rFont val="Times New Roman"/>
        <charset val="134"/>
      </rPr>
      <t>-</t>
    </r>
    <r>
      <rPr>
        <sz val="10"/>
        <rFont val="宋体"/>
        <charset val="134"/>
      </rPr>
      <t>预付工程款</t>
    </r>
    <r>
      <rPr>
        <sz val="10"/>
        <rFont val="Times New Roman"/>
        <charset val="134"/>
      </rPr>
      <t>05</t>
    </r>
  </si>
  <si>
    <r>
      <rPr>
        <sz val="10"/>
        <rFont val="宋体"/>
        <charset val="134"/>
      </rPr>
      <t>在建</t>
    </r>
    <r>
      <rPr>
        <sz val="10"/>
        <rFont val="Times New Roman"/>
        <charset val="134"/>
      </rPr>
      <t>-</t>
    </r>
    <r>
      <rPr>
        <sz val="10"/>
        <rFont val="宋体"/>
        <charset val="134"/>
      </rPr>
      <t>预付工程款</t>
    </r>
    <r>
      <rPr>
        <sz val="10"/>
        <rFont val="Times New Roman"/>
        <charset val="134"/>
      </rPr>
      <t>06</t>
    </r>
  </si>
  <si>
    <r>
      <rPr>
        <sz val="10"/>
        <rFont val="宋体"/>
        <charset val="134"/>
      </rPr>
      <t>在建</t>
    </r>
    <r>
      <rPr>
        <sz val="10"/>
        <rFont val="Times New Roman"/>
        <charset val="134"/>
      </rPr>
      <t>-</t>
    </r>
    <r>
      <rPr>
        <sz val="10"/>
        <rFont val="宋体"/>
        <charset val="134"/>
      </rPr>
      <t>预付工程款</t>
    </r>
    <r>
      <rPr>
        <sz val="10"/>
        <rFont val="Times New Roman"/>
        <charset val="134"/>
      </rPr>
      <t>07</t>
    </r>
  </si>
  <si>
    <r>
      <rPr>
        <sz val="10"/>
        <rFont val="宋体"/>
        <charset val="134"/>
      </rPr>
      <t>在建</t>
    </r>
    <r>
      <rPr>
        <sz val="10"/>
        <rFont val="Times New Roman"/>
        <charset val="134"/>
      </rPr>
      <t>-</t>
    </r>
    <r>
      <rPr>
        <sz val="10"/>
        <rFont val="宋体"/>
        <charset val="134"/>
      </rPr>
      <t>预付工程款</t>
    </r>
    <r>
      <rPr>
        <sz val="10"/>
        <rFont val="Times New Roman"/>
        <charset val="134"/>
      </rPr>
      <t>08</t>
    </r>
  </si>
  <si>
    <r>
      <rPr>
        <sz val="10"/>
        <rFont val="宋体"/>
        <charset val="134"/>
      </rPr>
      <t>在建</t>
    </r>
    <r>
      <rPr>
        <sz val="10"/>
        <rFont val="Times New Roman"/>
        <charset val="134"/>
      </rPr>
      <t>-</t>
    </r>
    <r>
      <rPr>
        <sz val="10"/>
        <rFont val="宋体"/>
        <charset val="134"/>
      </rPr>
      <t>预付工程款</t>
    </r>
    <r>
      <rPr>
        <sz val="10"/>
        <rFont val="Times New Roman"/>
        <charset val="134"/>
      </rPr>
      <t>09</t>
    </r>
  </si>
  <si>
    <r>
      <rPr>
        <sz val="10"/>
        <rFont val="宋体"/>
        <charset val="134"/>
      </rPr>
      <t>在建</t>
    </r>
    <r>
      <rPr>
        <sz val="10"/>
        <rFont val="Times New Roman"/>
        <charset val="134"/>
      </rPr>
      <t>-</t>
    </r>
    <r>
      <rPr>
        <sz val="10"/>
        <rFont val="宋体"/>
        <charset val="134"/>
      </rPr>
      <t>预付工程款</t>
    </r>
    <r>
      <rPr>
        <sz val="10"/>
        <rFont val="Times New Roman"/>
        <charset val="134"/>
      </rPr>
      <t>10</t>
    </r>
  </si>
  <si>
    <r>
      <rPr>
        <sz val="10"/>
        <rFont val="宋体"/>
        <charset val="134"/>
      </rPr>
      <t>在建</t>
    </r>
    <r>
      <rPr>
        <sz val="10"/>
        <rFont val="Times New Roman"/>
        <charset val="134"/>
      </rPr>
      <t>-</t>
    </r>
    <r>
      <rPr>
        <sz val="10"/>
        <rFont val="宋体"/>
        <charset val="134"/>
      </rPr>
      <t>预付工程款</t>
    </r>
    <r>
      <rPr>
        <sz val="10"/>
        <rFont val="Times New Roman"/>
        <charset val="134"/>
      </rPr>
      <t>11</t>
    </r>
  </si>
  <si>
    <r>
      <rPr>
        <sz val="10"/>
        <rFont val="宋体"/>
        <charset val="134"/>
      </rPr>
      <t>在建</t>
    </r>
    <r>
      <rPr>
        <sz val="10"/>
        <rFont val="Times New Roman"/>
        <charset val="134"/>
      </rPr>
      <t>-</t>
    </r>
    <r>
      <rPr>
        <sz val="10"/>
        <rFont val="宋体"/>
        <charset val="134"/>
      </rPr>
      <t>预付工程款</t>
    </r>
    <r>
      <rPr>
        <sz val="10"/>
        <rFont val="Times New Roman"/>
        <charset val="134"/>
      </rPr>
      <t>12</t>
    </r>
  </si>
  <si>
    <r>
      <rPr>
        <sz val="10"/>
        <rFont val="宋体"/>
        <charset val="134"/>
      </rPr>
      <t>在建</t>
    </r>
    <r>
      <rPr>
        <sz val="10"/>
        <rFont val="Times New Roman"/>
        <charset val="134"/>
      </rPr>
      <t>-</t>
    </r>
    <r>
      <rPr>
        <sz val="10"/>
        <rFont val="宋体"/>
        <charset val="134"/>
      </rPr>
      <t>预付工程款</t>
    </r>
    <r>
      <rPr>
        <sz val="10"/>
        <rFont val="Times New Roman"/>
        <charset val="134"/>
      </rPr>
      <t>13</t>
    </r>
  </si>
  <si>
    <r>
      <rPr>
        <sz val="10"/>
        <rFont val="宋体"/>
        <charset val="134"/>
      </rPr>
      <t>在建</t>
    </r>
    <r>
      <rPr>
        <sz val="10"/>
        <rFont val="Times New Roman"/>
        <charset val="134"/>
      </rPr>
      <t>-</t>
    </r>
    <r>
      <rPr>
        <sz val="10"/>
        <rFont val="宋体"/>
        <charset val="134"/>
      </rPr>
      <t>预付工程款</t>
    </r>
    <r>
      <rPr>
        <sz val="10"/>
        <rFont val="Times New Roman"/>
        <charset val="134"/>
      </rPr>
      <t>14</t>
    </r>
  </si>
  <si>
    <r>
      <rPr>
        <sz val="10"/>
        <rFont val="宋体"/>
        <charset val="134"/>
      </rPr>
      <t>在建</t>
    </r>
    <r>
      <rPr>
        <sz val="10"/>
        <rFont val="Times New Roman"/>
        <charset val="134"/>
      </rPr>
      <t>-</t>
    </r>
    <r>
      <rPr>
        <sz val="10"/>
        <rFont val="宋体"/>
        <charset val="134"/>
      </rPr>
      <t>预付工程款</t>
    </r>
    <r>
      <rPr>
        <sz val="10"/>
        <rFont val="Times New Roman"/>
        <charset val="134"/>
      </rPr>
      <t>15</t>
    </r>
  </si>
  <si>
    <r>
      <rPr>
        <sz val="10"/>
        <rFont val="宋体"/>
        <charset val="134"/>
      </rPr>
      <t>在建</t>
    </r>
    <r>
      <rPr>
        <sz val="10"/>
        <rFont val="Times New Roman"/>
        <charset val="134"/>
      </rPr>
      <t>-</t>
    </r>
    <r>
      <rPr>
        <sz val="10"/>
        <rFont val="宋体"/>
        <charset val="134"/>
      </rPr>
      <t>预付工程款</t>
    </r>
    <r>
      <rPr>
        <sz val="10"/>
        <rFont val="Times New Roman"/>
        <charset val="134"/>
      </rPr>
      <t>16</t>
    </r>
  </si>
  <si>
    <r>
      <rPr>
        <sz val="10"/>
        <rFont val="宋体"/>
        <charset val="134"/>
      </rPr>
      <t>在建</t>
    </r>
    <r>
      <rPr>
        <sz val="10"/>
        <rFont val="Times New Roman"/>
        <charset val="134"/>
      </rPr>
      <t>-</t>
    </r>
    <r>
      <rPr>
        <sz val="10"/>
        <rFont val="宋体"/>
        <charset val="134"/>
      </rPr>
      <t>预付工程款</t>
    </r>
    <r>
      <rPr>
        <sz val="10"/>
        <rFont val="Times New Roman"/>
        <charset val="134"/>
      </rPr>
      <t>17</t>
    </r>
  </si>
  <si>
    <r>
      <rPr>
        <sz val="10"/>
        <rFont val="宋体"/>
        <charset val="134"/>
      </rPr>
      <t>在建</t>
    </r>
    <r>
      <rPr>
        <sz val="10"/>
        <rFont val="Times New Roman"/>
        <charset val="134"/>
      </rPr>
      <t>-</t>
    </r>
    <r>
      <rPr>
        <sz val="10"/>
        <rFont val="宋体"/>
        <charset val="134"/>
      </rPr>
      <t>预付工程款</t>
    </r>
    <r>
      <rPr>
        <sz val="10"/>
        <rFont val="Times New Roman"/>
        <charset val="134"/>
      </rPr>
      <t>18</t>
    </r>
  </si>
  <si>
    <r>
      <rPr>
        <sz val="10"/>
        <rFont val="宋体"/>
        <charset val="134"/>
      </rPr>
      <t>在建</t>
    </r>
    <r>
      <rPr>
        <sz val="10"/>
        <rFont val="Times New Roman"/>
        <charset val="134"/>
      </rPr>
      <t>-</t>
    </r>
    <r>
      <rPr>
        <sz val="10"/>
        <rFont val="宋体"/>
        <charset val="134"/>
      </rPr>
      <t>预付工程款</t>
    </r>
    <r>
      <rPr>
        <sz val="10"/>
        <rFont val="Times New Roman"/>
        <charset val="134"/>
      </rPr>
      <t>19</t>
    </r>
  </si>
  <si>
    <r>
      <rPr>
        <sz val="10"/>
        <rFont val="宋体"/>
        <charset val="134"/>
      </rPr>
      <t>在建</t>
    </r>
    <r>
      <rPr>
        <sz val="10"/>
        <rFont val="Times New Roman"/>
        <charset val="134"/>
      </rPr>
      <t>-</t>
    </r>
    <r>
      <rPr>
        <sz val="10"/>
        <rFont val="宋体"/>
        <charset val="134"/>
      </rPr>
      <t>预付工程款</t>
    </r>
    <r>
      <rPr>
        <sz val="10"/>
        <rFont val="Times New Roman"/>
        <charset val="134"/>
      </rPr>
      <t>20</t>
    </r>
  </si>
  <si>
    <r>
      <rPr>
        <sz val="20"/>
        <rFont val="宋体"/>
        <charset val="134"/>
      </rPr>
      <t>在建工程</t>
    </r>
    <r>
      <rPr>
        <sz val="20"/>
        <rFont val="Times New Roman"/>
        <charset val="134"/>
      </rPr>
      <t>—</t>
    </r>
    <r>
      <rPr>
        <sz val="20"/>
        <rFont val="宋体"/>
        <charset val="134"/>
      </rPr>
      <t>井巷工程评估明细表</t>
    </r>
  </si>
  <si>
    <r>
      <rPr>
        <b/>
        <sz val="9"/>
        <rFont val="宋体"/>
        <charset val="134"/>
      </rPr>
      <t>帐面价值</t>
    </r>
  </si>
  <si>
    <r>
      <rPr>
        <sz val="10"/>
        <rFont val="宋体"/>
        <charset val="134"/>
      </rPr>
      <t>在建</t>
    </r>
    <r>
      <rPr>
        <sz val="10"/>
        <rFont val="Times New Roman"/>
        <charset val="134"/>
      </rPr>
      <t>-</t>
    </r>
    <r>
      <rPr>
        <sz val="10"/>
        <rFont val="宋体"/>
        <charset val="134"/>
      </rPr>
      <t>井巷</t>
    </r>
    <r>
      <rPr>
        <sz val="10"/>
        <rFont val="Times New Roman"/>
        <charset val="134"/>
      </rPr>
      <t>01</t>
    </r>
  </si>
  <si>
    <r>
      <rPr>
        <sz val="10"/>
        <rFont val="宋体"/>
        <charset val="134"/>
      </rPr>
      <t>在建</t>
    </r>
    <r>
      <rPr>
        <sz val="10"/>
        <rFont val="Times New Roman"/>
        <charset val="134"/>
      </rPr>
      <t>-</t>
    </r>
    <r>
      <rPr>
        <sz val="10"/>
        <rFont val="宋体"/>
        <charset val="134"/>
      </rPr>
      <t>井巷</t>
    </r>
    <r>
      <rPr>
        <sz val="10"/>
        <rFont val="Times New Roman"/>
        <charset val="134"/>
      </rPr>
      <t>02</t>
    </r>
  </si>
  <si>
    <r>
      <rPr>
        <sz val="10"/>
        <rFont val="宋体"/>
        <charset val="134"/>
      </rPr>
      <t>在建</t>
    </r>
    <r>
      <rPr>
        <sz val="10"/>
        <rFont val="Times New Roman"/>
        <charset val="134"/>
      </rPr>
      <t>-</t>
    </r>
    <r>
      <rPr>
        <sz val="10"/>
        <rFont val="宋体"/>
        <charset val="134"/>
      </rPr>
      <t>井巷</t>
    </r>
    <r>
      <rPr>
        <sz val="10"/>
        <rFont val="Times New Roman"/>
        <charset val="134"/>
      </rPr>
      <t>03</t>
    </r>
  </si>
  <si>
    <r>
      <rPr>
        <sz val="10"/>
        <rFont val="宋体"/>
        <charset val="134"/>
      </rPr>
      <t>在建</t>
    </r>
    <r>
      <rPr>
        <sz val="10"/>
        <rFont val="Times New Roman"/>
        <charset val="134"/>
      </rPr>
      <t>-</t>
    </r>
    <r>
      <rPr>
        <sz val="10"/>
        <rFont val="宋体"/>
        <charset val="134"/>
      </rPr>
      <t>井巷</t>
    </r>
    <r>
      <rPr>
        <sz val="10"/>
        <rFont val="Times New Roman"/>
        <charset val="134"/>
      </rPr>
      <t>04</t>
    </r>
  </si>
  <si>
    <r>
      <rPr>
        <sz val="10"/>
        <rFont val="宋体"/>
        <charset val="134"/>
      </rPr>
      <t>在建</t>
    </r>
    <r>
      <rPr>
        <sz val="10"/>
        <rFont val="Times New Roman"/>
        <charset val="134"/>
      </rPr>
      <t>-</t>
    </r>
    <r>
      <rPr>
        <sz val="10"/>
        <rFont val="宋体"/>
        <charset val="134"/>
      </rPr>
      <t>井巷</t>
    </r>
    <r>
      <rPr>
        <sz val="10"/>
        <rFont val="Times New Roman"/>
        <charset val="134"/>
      </rPr>
      <t>05</t>
    </r>
  </si>
  <si>
    <r>
      <rPr>
        <sz val="10"/>
        <rFont val="宋体"/>
        <charset val="134"/>
      </rPr>
      <t>在建</t>
    </r>
    <r>
      <rPr>
        <sz val="10"/>
        <rFont val="Times New Roman"/>
        <charset val="134"/>
      </rPr>
      <t>-</t>
    </r>
    <r>
      <rPr>
        <sz val="10"/>
        <rFont val="宋体"/>
        <charset val="134"/>
      </rPr>
      <t>井巷</t>
    </r>
    <r>
      <rPr>
        <sz val="10"/>
        <rFont val="Times New Roman"/>
        <charset val="134"/>
      </rPr>
      <t>06</t>
    </r>
  </si>
  <si>
    <r>
      <rPr>
        <sz val="10"/>
        <rFont val="宋体"/>
        <charset val="134"/>
      </rPr>
      <t>在建</t>
    </r>
    <r>
      <rPr>
        <sz val="10"/>
        <rFont val="Times New Roman"/>
        <charset val="134"/>
      </rPr>
      <t>-</t>
    </r>
    <r>
      <rPr>
        <sz val="10"/>
        <rFont val="宋体"/>
        <charset val="134"/>
      </rPr>
      <t>井巷</t>
    </r>
    <r>
      <rPr>
        <sz val="10"/>
        <rFont val="Times New Roman"/>
        <charset val="134"/>
      </rPr>
      <t>07</t>
    </r>
  </si>
  <si>
    <r>
      <rPr>
        <sz val="10"/>
        <rFont val="宋体"/>
        <charset val="134"/>
      </rPr>
      <t>在建</t>
    </r>
    <r>
      <rPr>
        <sz val="10"/>
        <rFont val="Times New Roman"/>
        <charset val="134"/>
      </rPr>
      <t>-</t>
    </r>
    <r>
      <rPr>
        <sz val="10"/>
        <rFont val="宋体"/>
        <charset val="134"/>
      </rPr>
      <t>井巷</t>
    </r>
    <r>
      <rPr>
        <sz val="10"/>
        <rFont val="Times New Roman"/>
        <charset val="134"/>
      </rPr>
      <t>08</t>
    </r>
  </si>
  <si>
    <r>
      <rPr>
        <sz val="10"/>
        <rFont val="宋体"/>
        <charset val="134"/>
      </rPr>
      <t>在建</t>
    </r>
    <r>
      <rPr>
        <sz val="10"/>
        <rFont val="Times New Roman"/>
        <charset val="134"/>
      </rPr>
      <t>-</t>
    </r>
    <r>
      <rPr>
        <sz val="10"/>
        <rFont val="宋体"/>
        <charset val="134"/>
      </rPr>
      <t>井巷</t>
    </r>
    <r>
      <rPr>
        <sz val="10"/>
        <rFont val="Times New Roman"/>
        <charset val="134"/>
      </rPr>
      <t>09</t>
    </r>
  </si>
  <si>
    <r>
      <rPr>
        <sz val="10"/>
        <rFont val="宋体"/>
        <charset val="134"/>
      </rPr>
      <t>在建</t>
    </r>
    <r>
      <rPr>
        <sz val="10"/>
        <rFont val="Times New Roman"/>
        <charset val="134"/>
      </rPr>
      <t>-</t>
    </r>
    <r>
      <rPr>
        <sz val="10"/>
        <rFont val="宋体"/>
        <charset val="134"/>
      </rPr>
      <t>井巷</t>
    </r>
    <r>
      <rPr>
        <sz val="10"/>
        <rFont val="Times New Roman"/>
        <charset val="134"/>
      </rPr>
      <t>10</t>
    </r>
  </si>
  <si>
    <r>
      <rPr>
        <sz val="10"/>
        <rFont val="宋体"/>
        <charset val="134"/>
      </rPr>
      <t>在建</t>
    </r>
    <r>
      <rPr>
        <sz val="10"/>
        <rFont val="Times New Roman"/>
        <charset val="134"/>
      </rPr>
      <t>-</t>
    </r>
    <r>
      <rPr>
        <sz val="10"/>
        <rFont val="宋体"/>
        <charset val="134"/>
      </rPr>
      <t>井巷</t>
    </r>
    <r>
      <rPr>
        <sz val="10"/>
        <rFont val="Times New Roman"/>
        <charset val="134"/>
      </rPr>
      <t>11</t>
    </r>
  </si>
  <si>
    <r>
      <rPr>
        <sz val="10"/>
        <rFont val="宋体"/>
        <charset val="134"/>
      </rPr>
      <t>在建</t>
    </r>
    <r>
      <rPr>
        <sz val="10"/>
        <rFont val="Times New Roman"/>
        <charset val="134"/>
      </rPr>
      <t>-</t>
    </r>
    <r>
      <rPr>
        <sz val="10"/>
        <rFont val="宋体"/>
        <charset val="134"/>
      </rPr>
      <t>井巷</t>
    </r>
    <r>
      <rPr>
        <sz val="10"/>
        <rFont val="Times New Roman"/>
        <charset val="134"/>
      </rPr>
      <t>12</t>
    </r>
  </si>
  <si>
    <r>
      <rPr>
        <sz val="10"/>
        <rFont val="宋体"/>
        <charset val="134"/>
      </rPr>
      <t>在建</t>
    </r>
    <r>
      <rPr>
        <sz val="10"/>
        <rFont val="Times New Roman"/>
        <charset val="134"/>
      </rPr>
      <t>-</t>
    </r>
    <r>
      <rPr>
        <sz val="10"/>
        <rFont val="宋体"/>
        <charset val="134"/>
      </rPr>
      <t>井巷</t>
    </r>
    <r>
      <rPr>
        <sz val="10"/>
        <rFont val="Times New Roman"/>
        <charset val="134"/>
      </rPr>
      <t>13</t>
    </r>
  </si>
  <si>
    <r>
      <rPr>
        <sz val="10"/>
        <rFont val="宋体"/>
        <charset val="134"/>
      </rPr>
      <t>在建</t>
    </r>
    <r>
      <rPr>
        <sz val="10"/>
        <rFont val="Times New Roman"/>
        <charset val="134"/>
      </rPr>
      <t>-</t>
    </r>
    <r>
      <rPr>
        <sz val="10"/>
        <rFont val="宋体"/>
        <charset val="134"/>
      </rPr>
      <t>井巷</t>
    </r>
    <r>
      <rPr>
        <sz val="10"/>
        <rFont val="Times New Roman"/>
        <charset val="134"/>
      </rPr>
      <t>14</t>
    </r>
  </si>
  <si>
    <r>
      <rPr>
        <sz val="10"/>
        <rFont val="宋体"/>
        <charset val="134"/>
      </rPr>
      <t>在建</t>
    </r>
    <r>
      <rPr>
        <sz val="10"/>
        <rFont val="Times New Roman"/>
        <charset val="134"/>
      </rPr>
      <t>-</t>
    </r>
    <r>
      <rPr>
        <sz val="10"/>
        <rFont val="宋体"/>
        <charset val="134"/>
      </rPr>
      <t>井巷</t>
    </r>
    <r>
      <rPr>
        <sz val="10"/>
        <rFont val="Times New Roman"/>
        <charset val="134"/>
      </rPr>
      <t>15</t>
    </r>
  </si>
  <si>
    <r>
      <rPr>
        <sz val="10"/>
        <rFont val="宋体"/>
        <charset val="134"/>
      </rPr>
      <t>在建</t>
    </r>
    <r>
      <rPr>
        <sz val="10"/>
        <rFont val="Times New Roman"/>
        <charset val="134"/>
      </rPr>
      <t>-</t>
    </r>
    <r>
      <rPr>
        <sz val="10"/>
        <rFont val="宋体"/>
        <charset val="134"/>
      </rPr>
      <t>井巷</t>
    </r>
    <r>
      <rPr>
        <sz val="10"/>
        <rFont val="Times New Roman"/>
        <charset val="134"/>
      </rPr>
      <t>16</t>
    </r>
  </si>
  <si>
    <r>
      <rPr>
        <sz val="10"/>
        <rFont val="宋体"/>
        <charset val="134"/>
      </rPr>
      <t>在建</t>
    </r>
    <r>
      <rPr>
        <sz val="10"/>
        <rFont val="Times New Roman"/>
        <charset val="134"/>
      </rPr>
      <t>-</t>
    </r>
    <r>
      <rPr>
        <sz val="10"/>
        <rFont val="宋体"/>
        <charset val="134"/>
      </rPr>
      <t>井巷</t>
    </r>
    <r>
      <rPr>
        <sz val="10"/>
        <rFont val="Times New Roman"/>
        <charset val="134"/>
      </rPr>
      <t>17</t>
    </r>
  </si>
  <si>
    <r>
      <rPr>
        <sz val="10"/>
        <rFont val="宋体"/>
        <charset val="134"/>
      </rPr>
      <t>在建</t>
    </r>
    <r>
      <rPr>
        <sz val="10"/>
        <rFont val="Times New Roman"/>
        <charset val="134"/>
      </rPr>
      <t>-</t>
    </r>
    <r>
      <rPr>
        <sz val="10"/>
        <rFont val="宋体"/>
        <charset val="134"/>
      </rPr>
      <t>井巷</t>
    </r>
    <r>
      <rPr>
        <sz val="10"/>
        <rFont val="Times New Roman"/>
        <charset val="134"/>
      </rPr>
      <t>18</t>
    </r>
  </si>
  <si>
    <r>
      <rPr>
        <sz val="10"/>
        <rFont val="宋体"/>
        <charset val="134"/>
      </rPr>
      <t>在建</t>
    </r>
    <r>
      <rPr>
        <sz val="10"/>
        <rFont val="Times New Roman"/>
        <charset val="134"/>
      </rPr>
      <t>-</t>
    </r>
    <r>
      <rPr>
        <sz val="10"/>
        <rFont val="宋体"/>
        <charset val="134"/>
      </rPr>
      <t>井巷</t>
    </r>
    <r>
      <rPr>
        <sz val="10"/>
        <rFont val="Times New Roman"/>
        <charset val="134"/>
      </rPr>
      <t>19</t>
    </r>
  </si>
  <si>
    <r>
      <rPr>
        <sz val="10"/>
        <rFont val="宋体"/>
        <charset val="134"/>
      </rPr>
      <t>在建</t>
    </r>
    <r>
      <rPr>
        <sz val="10"/>
        <rFont val="Times New Roman"/>
        <charset val="134"/>
      </rPr>
      <t>-</t>
    </r>
    <r>
      <rPr>
        <sz val="10"/>
        <rFont val="宋体"/>
        <charset val="134"/>
      </rPr>
      <t>井巷</t>
    </r>
    <r>
      <rPr>
        <sz val="10"/>
        <rFont val="Times New Roman"/>
        <charset val="134"/>
      </rPr>
      <t>20</t>
    </r>
  </si>
  <si>
    <r>
      <rPr>
        <b/>
        <sz val="9"/>
        <rFont val="宋体"/>
        <charset val="134"/>
      </rPr>
      <t>合</t>
    </r>
    <r>
      <rPr>
        <b/>
        <sz val="9"/>
        <rFont val="Times New Roman"/>
        <charset val="134"/>
      </rPr>
      <t xml:space="preserve">            </t>
    </r>
    <r>
      <rPr>
        <b/>
        <sz val="9"/>
        <rFont val="宋体"/>
        <charset val="134"/>
      </rPr>
      <t>计</t>
    </r>
  </si>
  <si>
    <r>
      <rPr>
        <sz val="20"/>
        <rFont val="宋体"/>
        <charset val="134"/>
      </rPr>
      <t>工程物资评估明细表</t>
    </r>
  </si>
  <si>
    <r>
      <rPr>
        <b/>
        <sz val="10"/>
        <rFont val="宋体"/>
        <charset val="134"/>
      </rPr>
      <t>工程项目</t>
    </r>
  </si>
  <si>
    <r>
      <rPr>
        <b/>
        <sz val="10"/>
        <rFont val="宋体"/>
        <charset val="134"/>
      </rPr>
      <t>物资购置日期</t>
    </r>
  </si>
  <si>
    <r>
      <rPr>
        <b/>
        <sz val="10"/>
        <rFont val="宋体"/>
        <charset val="134"/>
      </rPr>
      <t>计量
单位</t>
    </r>
  </si>
  <si>
    <r>
      <rPr>
        <b/>
        <sz val="10"/>
        <rFont val="宋体"/>
        <charset val="134"/>
      </rPr>
      <t>外币</t>
    </r>
  </si>
  <si>
    <r>
      <rPr>
        <b/>
        <sz val="10"/>
        <rFont val="宋体"/>
        <charset val="134"/>
      </rPr>
      <t>账面余额</t>
    </r>
  </si>
  <si>
    <r>
      <rPr>
        <b/>
        <sz val="10"/>
        <color rgb="FFFF0000"/>
        <rFont val="宋体"/>
        <charset val="134"/>
      </rPr>
      <t>数量</t>
    </r>
  </si>
  <si>
    <t>实际数量</t>
  </si>
  <si>
    <t>不含税购置单价</t>
  </si>
  <si>
    <r>
      <rPr>
        <b/>
        <sz val="10"/>
        <rFont val="宋体"/>
        <charset val="134"/>
      </rPr>
      <t>净值合计</t>
    </r>
  </si>
  <si>
    <r>
      <rPr>
        <b/>
        <sz val="10"/>
        <rFont val="宋体"/>
        <charset val="134"/>
      </rPr>
      <t>净额合计</t>
    </r>
  </si>
  <si>
    <r>
      <rPr>
        <sz val="18"/>
        <rFont val="宋体"/>
        <charset val="134"/>
      </rPr>
      <t>生产性生物资产评估明细表</t>
    </r>
  </si>
  <si>
    <r>
      <rPr>
        <b/>
        <sz val="10"/>
        <rFont val="宋体"/>
        <charset val="134"/>
      </rPr>
      <t>种类</t>
    </r>
  </si>
  <si>
    <r>
      <rPr>
        <b/>
        <sz val="10"/>
        <rFont val="宋体"/>
        <charset val="134"/>
      </rPr>
      <t>群别</t>
    </r>
  </si>
  <si>
    <r>
      <rPr>
        <b/>
        <sz val="10"/>
        <rFont val="宋体"/>
        <charset val="134"/>
      </rPr>
      <t>单价计算过程请列式到</t>
    </r>
    <r>
      <rPr>
        <b/>
        <sz val="10"/>
        <rFont val="Times New Roman"/>
        <charset val="134"/>
      </rPr>
      <t>BE</t>
    </r>
    <r>
      <rPr>
        <b/>
        <sz val="10"/>
        <rFont val="宋体"/>
        <charset val="134"/>
      </rPr>
      <t>列之后</t>
    </r>
  </si>
  <si>
    <r>
      <rPr>
        <sz val="10"/>
        <rFont val="宋体"/>
        <charset val="134"/>
      </rPr>
      <t>生产性生物资产</t>
    </r>
    <r>
      <rPr>
        <sz val="10"/>
        <rFont val="Times New Roman"/>
        <charset val="134"/>
      </rPr>
      <t>01</t>
    </r>
  </si>
  <si>
    <r>
      <rPr>
        <sz val="10"/>
        <rFont val="宋体"/>
        <charset val="134"/>
      </rPr>
      <t>生产性生物资产</t>
    </r>
    <r>
      <rPr>
        <sz val="10"/>
        <rFont val="Times New Roman"/>
        <charset val="134"/>
      </rPr>
      <t>02</t>
    </r>
  </si>
  <si>
    <r>
      <rPr>
        <sz val="10"/>
        <rFont val="宋体"/>
        <charset val="134"/>
      </rPr>
      <t>生产性生物资产</t>
    </r>
    <r>
      <rPr>
        <sz val="10"/>
        <rFont val="Times New Roman"/>
        <charset val="134"/>
      </rPr>
      <t>03</t>
    </r>
  </si>
  <si>
    <r>
      <rPr>
        <sz val="10"/>
        <rFont val="宋体"/>
        <charset val="134"/>
      </rPr>
      <t>生产性生物资产</t>
    </r>
    <r>
      <rPr>
        <sz val="10"/>
        <rFont val="Times New Roman"/>
        <charset val="134"/>
      </rPr>
      <t>04</t>
    </r>
  </si>
  <si>
    <r>
      <rPr>
        <sz val="10"/>
        <rFont val="宋体"/>
        <charset val="134"/>
      </rPr>
      <t>生产性生物资产</t>
    </r>
    <r>
      <rPr>
        <sz val="10"/>
        <rFont val="Times New Roman"/>
        <charset val="134"/>
      </rPr>
      <t>05</t>
    </r>
  </si>
  <si>
    <r>
      <rPr>
        <sz val="10"/>
        <rFont val="宋体"/>
        <charset val="134"/>
      </rPr>
      <t>生产性生物资产</t>
    </r>
    <r>
      <rPr>
        <sz val="10"/>
        <rFont val="Times New Roman"/>
        <charset val="134"/>
      </rPr>
      <t>06</t>
    </r>
  </si>
  <si>
    <r>
      <rPr>
        <sz val="10"/>
        <rFont val="宋体"/>
        <charset val="134"/>
      </rPr>
      <t>生产性生物资产</t>
    </r>
    <r>
      <rPr>
        <sz val="10"/>
        <rFont val="Times New Roman"/>
        <charset val="134"/>
      </rPr>
      <t>07</t>
    </r>
  </si>
  <si>
    <r>
      <rPr>
        <sz val="10"/>
        <rFont val="宋体"/>
        <charset val="134"/>
      </rPr>
      <t>生产性生物资产</t>
    </r>
    <r>
      <rPr>
        <sz val="10"/>
        <rFont val="Times New Roman"/>
        <charset val="134"/>
      </rPr>
      <t>08</t>
    </r>
  </si>
  <si>
    <r>
      <rPr>
        <sz val="10"/>
        <rFont val="宋体"/>
        <charset val="134"/>
      </rPr>
      <t>生产性生物资产</t>
    </r>
    <r>
      <rPr>
        <sz val="10"/>
        <rFont val="Times New Roman"/>
        <charset val="134"/>
      </rPr>
      <t>09</t>
    </r>
  </si>
  <si>
    <r>
      <rPr>
        <sz val="10"/>
        <rFont val="宋体"/>
        <charset val="134"/>
      </rPr>
      <t>生产性生物资产</t>
    </r>
    <r>
      <rPr>
        <sz val="10"/>
        <rFont val="Times New Roman"/>
        <charset val="134"/>
      </rPr>
      <t>10</t>
    </r>
  </si>
  <si>
    <r>
      <rPr>
        <sz val="10"/>
        <rFont val="宋体"/>
        <charset val="134"/>
      </rPr>
      <t>生产性生物资产</t>
    </r>
    <r>
      <rPr>
        <sz val="10"/>
        <rFont val="Times New Roman"/>
        <charset val="134"/>
      </rPr>
      <t>11</t>
    </r>
  </si>
  <si>
    <r>
      <rPr>
        <sz val="10"/>
        <rFont val="宋体"/>
        <charset val="134"/>
      </rPr>
      <t>生产性生物资产</t>
    </r>
    <r>
      <rPr>
        <sz val="10"/>
        <rFont val="Times New Roman"/>
        <charset val="134"/>
      </rPr>
      <t>12</t>
    </r>
  </si>
  <si>
    <r>
      <rPr>
        <sz val="10"/>
        <rFont val="宋体"/>
        <charset val="134"/>
      </rPr>
      <t>生产性生物资产</t>
    </r>
    <r>
      <rPr>
        <sz val="10"/>
        <rFont val="Times New Roman"/>
        <charset val="134"/>
      </rPr>
      <t>13</t>
    </r>
  </si>
  <si>
    <r>
      <rPr>
        <sz val="10"/>
        <rFont val="宋体"/>
        <charset val="134"/>
      </rPr>
      <t>生产性生物资产</t>
    </r>
    <r>
      <rPr>
        <sz val="10"/>
        <rFont val="Times New Roman"/>
        <charset val="134"/>
      </rPr>
      <t>14</t>
    </r>
  </si>
  <si>
    <r>
      <rPr>
        <sz val="10"/>
        <rFont val="宋体"/>
        <charset val="134"/>
      </rPr>
      <t>生产性生物资产</t>
    </r>
    <r>
      <rPr>
        <sz val="10"/>
        <rFont val="Times New Roman"/>
        <charset val="134"/>
      </rPr>
      <t>15</t>
    </r>
  </si>
  <si>
    <r>
      <rPr>
        <sz val="10"/>
        <rFont val="宋体"/>
        <charset val="134"/>
      </rPr>
      <t>生产性生物资产</t>
    </r>
    <r>
      <rPr>
        <sz val="10"/>
        <rFont val="Times New Roman"/>
        <charset val="134"/>
      </rPr>
      <t>16</t>
    </r>
  </si>
  <si>
    <r>
      <rPr>
        <sz val="10"/>
        <rFont val="宋体"/>
        <charset val="134"/>
      </rPr>
      <t>生产性生物资产</t>
    </r>
    <r>
      <rPr>
        <sz val="10"/>
        <rFont val="Times New Roman"/>
        <charset val="134"/>
      </rPr>
      <t>17</t>
    </r>
  </si>
  <si>
    <r>
      <rPr>
        <sz val="10"/>
        <rFont val="宋体"/>
        <charset val="134"/>
      </rPr>
      <t>生产性生物资产</t>
    </r>
    <r>
      <rPr>
        <sz val="10"/>
        <rFont val="Times New Roman"/>
        <charset val="134"/>
      </rPr>
      <t>18</t>
    </r>
  </si>
  <si>
    <r>
      <rPr>
        <sz val="10"/>
        <rFont val="宋体"/>
        <charset val="134"/>
      </rPr>
      <t>生产性生物资产</t>
    </r>
    <r>
      <rPr>
        <sz val="10"/>
        <rFont val="Times New Roman"/>
        <charset val="134"/>
      </rPr>
      <t>19</t>
    </r>
  </si>
  <si>
    <r>
      <rPr>
        <sz val="10"/>
        <rFont val="宋体"/>
        <charset val="134"/>
      </rPr>
      <t>生产性生物资产</t>
    </r>
    <r>
      <rPr>
        <sz val="10"/>
        <rFont val="Times New Roman"/>
        <charset val="134"/>
      </rPr>
      <t>20</t>
    </r>
  </si>
  <si>
    <r>
      <rPr>
        <sz val="18"/>
        <rFont val="宋体"/>
        <charset val="134"/>
      </rPr>
      <t>油气资产评估明细表</t>
    </r>
  </si>
  <si>
    <r>
      <rPr>
        <b/>
        <sz val="10"/>
        <rFont val="宋体"/>
        <charset val="134"/>
      </rPr>
      <t>矿区（或油田）</t>
    </r>
  </si>
  <si>
    <r>
      <rPr>
        <sz val="10"/>
        <rFont val="宋体"/>
        <charset val="134"/>
      </rPr>
      <t>油气资产</t>
    </r>
    <r>
      <rPr>
        <sz val="10"/>
        <rFont val="Times New Roman"/>
        <charset val="134"/>
      </rPr>
      <t>01</t>
    </r>
  </si>
  <si>
    <r>
      <rPr>
        <sz val="10"/>
        <rFont val="宋体"/>
        <charset val="134"/>
      </rPr>
      <t>油气资产</t>
    </r>
    <r>
      <rPr>
        <sz val="10"/>
        <rFont val="Times New Roman"/>
        <charset val="134"/>
      </rPr>
      <t>02</t>
    </r>
  </si>
  <si>
    <r>
      <rPr>
        <sz val="10"/>
        <rFont val="宋体"/>
        <charset val="134"/>
      </rPr>
      <t>油气资产</t>
    </r>
    <r>
      <rPr>
        <sz val="10"/>
        <rFont val="Times New Roman"/>
        <charset val="134"/>
      </rPr>
      <t>03</t>
    </r>
  </si>
  <si>
    <r>
      <rPr>
        <sz val="10"/>
        <rFont val="宋体"/>
        <charset val="134"/>
      </rPr>
      <t>油气资产</t>
    </r>
    <r>
      <rPr>
        <sz val="10"/>
        <rFont val="Times New Roman"/>
        <charset val="134"/>
      </rPr>
      <t>04</t>
    </r>
  </si>
  <si>
    <r>
      <rPr>
        <sz val="10"/>
        <rFont val="宋体"/>
        <charset val="134"/>
      </rPr>
      <t>油气资产</t>
    </r>
    <r>
      <rPr>
        <sz val="10"/>
        <rFont val="Times New Roman"/>
        <charset val="134"/>
      </rPr>
      <t>05</t>
    </r>
  </si>
  <si>
    <r>
      <rPr>
        <sz val="10"/>
        <rFont val="宋体"/>
        <charset val="134"/>
      </rPr>
      <t>油气资产</t>
    </r>
    <r>
      <rPr>
        <sz val="10"/>
        <rFont val="Times New Roman"/>
        <charset val="134"/>
      </rPr>
      <t>06</t>
    </r>
  </si>
  <si>
    <r>
      <rPr>
        <sz val="10"/>
        <rFont val="宋体"/>
        <charset val="134"/>
      </rPr>
      <t>油气资产</t>
    </r>
    <r>
      <rPr>
        <sz val="10"/>
        <rFont val="Times New Roman"/>
        <charset val="134"/>
      </rPr>
      <t>07</t>
    </r>
  </si>
  <si>
    <r>
      <rPr>
        <sz val="10"/>
        <rFont val="宋体"/>
        <charset val="134"/>
      </rPr>
      <t>油气资产</t>
    </r>
    <r>
      <rPr>
        <sz val="10"/>
        <rFont val="Times New Roman"/>
        <charset val="134"/>
      </rPr>
      <t>08</t>
    </r>
  </si>
  <si>
    <r>
      <rPr>
        <sz val="10"/>
        <rFont val="宋体"/>
        <charset val="134"/>
      </rPr>
      <t>油气资产</t>
    </r>
    <r>
      <rPr>
        <sz val="10"/>
        <rFont val="Times New Roman"/>
        <charset val="134"/>
      </rPr>
      <t>09</t>
    </r>
  </si>
  <si>
    <r>
      <rPr>
        <sz val="10"/>
        <rFont val="宋体"/>
        <charset val="134"/>
      </rPr>
      <t>油气资产</t>
    </r>
    <r>
      <rPr>
        <sz val="10"/>
        <rFont val="Times New Roman"/>
        <charset val="134"/>
      </rPr>
      <t>10</t>
    </r>
  </si>
  <si>
    <r>
      <rPr>
        <sz val="10"/>
        <rFont val="宋体"/>
        <charset val="134"/>
      </rPr>
      <t>油气资产</t>
    </r>
    <r>
      <rPr>
        <sz val="10"/>
        <rFont val="Times New Roman"/>
        <charset val="134"/>
      </rPr>
      <t>11</t>
    </r>
  </si>
  <si>
    <r>
      <rPr>
        <sz val="10"/>
        <rFont val="宋体"/>
        <charset val="134"/>
      </rPr>
      <t>油气资产</t>
    </r>
    <r>
      <rPr>
        <sz val="10"/>
        <rFont val="Times New Roman"/>
        <charset val="134"/>
      </rPr>
      <t>12</t>
    </r>
  </si>
  <si>
    <r>
      <rPr>
        <sz val="10"/>
        <rFont val="宋体"/>
        <charset val="134"/>
      </rPr>
      <t>油气资产</t>
    </r>
    <r>
      <rPr>
        <sz val="10"/>
        <rFont val="Times New Roman"/>
        <charset val="134"/>
      </rPr>
      <t>13</t>
    </r>
  </si>
  <si>
    <r>
      <rPr>
        <sz val="10"/>
        <rFont val="宋体"/>
        <charset val="134"/>
      </rPr>
      <t>油气资产</t>
    </r>
    <r>
      <rPr>
        <sz val="10"/>
        <rFont val="Times New Roman"/>
        <charset val="134"/>
      </rPr>
      <t>14</t>
    </r>
  </si>
  <si>
    <r>
      <rPr>
        <sz val="10"/>
        <rFont val="宋体"/>
        <charset val="134"/>
      </rPr>
      <t>油气资产</t>
    </r>
    <r>
      <rPr>
        <sz val="10"/>
        <rFont val="Times New Roman"/>
        <charset val="134"/>
      </rPr>
      <t>15</t>
    </r>
  </si>
  <si>
    <r>
      <rPr>
        <sz val="10"/>
        <rFont val="宋体"/>
        <charset val="134"/>
      </rPr>
      <t>油气资产</t>
    </r>
    <r>
      <rPr>
        <sz val="10"/>
        <rFont val="Times New Roman"/>
        <charset val="134"/>
      </rPr>
      <t>16</t>
    </r>
  </si>
  <si>
    <r>
      <rPr>
        <sz val="10"/>
        <rFont val="宋体"/>
        <charset val="134"/>
      </rPr>
      <t>油气资产</t>
    </r>
    <r>
      <rPr>
        <sz val="10"/>
        <rFont val="Times New Roman"/>
        <charset val="134"/>
      </rPr>
      <t>17</t>
    </r>
  </si>
  <si>
    <r>
      <rPr>
        <sz val="10"/>
        <rFont val="宋体"/>
        <charset val="134"/>
      </rPr>
      <t>油气资产</t>
    </r>
    <r>
      <rPr>
        <sz val="10"/>
        <rFont val="Times New Roman"/>
        <charset val="134"/>
      </rPr>
      <t>18</t>
    </r>
  </si>
  <si>
    <r>
      <rPr>
        <sz val="10"/>
        <rFont val="宋体"/>
        <charset val="134"/>
      </rPr>
      <t>油气资产</t>
    </r>
    <r>
      <rPr>
        <sz val="10"/>
        <rFont val="Times New Roman"/>
        <charset val="134"/>
      </rPr>
      <t>19</t>
    </r>
  </si>
  <si>
    <r>
      <rPr>
        <sz val="10"/>
        <rFont val="宋体"/>
        <charset val="134"/>
      </rPr>
      <t>油气资产</t>
    </r>
    <r>
      <rPr>
        <sz val="10"/>
        <rFont val="Times New Roman"/>
        <charset val="134"/>
      </rPr>
      <t>20</t>
    </r>
  </si>
  <si>
    <r>
      <rPr>
        <sz val="18"/>
        <rFont val="宋体"/>
        <charset val="134"/>
      </rPr>
      <t>使用权资产评估明细表</t>
    </r>
  </si>
  <si>
    <r>
      <rPr>
        <b/>
        <sz val="10"/>
        <rFont val="宋体"/>
        <charset val="134"/>
      </rPr>
      <t>资产名称</t>
    </r>
  </si>
  <si>
    <r>
      <rPr>
        <b/>
        <sz val="10"/>
        <rFont val="宋体"/>
        <charset val="134"/>
      </rPr>
      <t>租赁用途</t>
    </r>
  </si>
  <si>
    <r>
      <rPr>
        <b/>
        <sz val="10"/>
        <rFont val="宋体"/>
        <charset val="134"/>
      </rPr>
      <t>租赁数量</t>
    </r>
  </si>
  <si>
    <r>
      <rPr>
        <b/>
        <sz val="10"/>
        <rFont val="宋体"/>
        <charset val="134"/>
      </rPr>
      <t>期限单位</t>
    </r>
  </si>
  <si>
    <r>
      <rPr>
        <b/>
        <sz val="10"/>
        <rFont val="宋体"/>
        <charset val="134"/>
      </rPr>
      <t>每期租金</t>
    </r>
  </si>
  <si>
    <r>
      <rPr>
        <b/>
        <sz val="10"/>
        <rFont val="宋体"/>
        <charset val="134"/>
      </rPr>
      <t>租金涨幅比例</t>
    </r>
  </si>
  <si>
    <r>
      <rPr>
        <sz val="10"/>
        <rFont val="宋体"/>
        <charset val="134"/>
      </rPr>
      <t>使用权资产</t>
    </r>
    <r>
      <rPr>
        <sz val="10"/>
        <rFont val="Times New Roman"/>
        <charset val="134"/>
      </rPr>
      <t>01</t>
    </r>
  </si>
  <si>
    <r>
      <rPr>
        <sz val="10"/>
        <rFont val="宋体"/>
        <charset val="134"/>
      </rPr>
      <t>使用权资产</t>
    </r>
    <r>
      <rPr>
        <sz val="10"/>
        <rFont val="Times New Roman"/>
        <charset val="134"/>
      </rPr>
      <t>02</t>
    </r>
  </si>
  <si>
    <r>
      <rPr>
        <sz val="10"/>
        <rFont val="宋体"/>
        <charset val="134"/>
      </rPr>
      <t>使用权资产</t>
    </r>
    <r>
      <rPr>
        <sz val="10"/>
        <rFont val="Times New Roman"/>
        <charset val="134"/>
      </rPr>
      <t>03</t>
    </r>
  </si>
  <si>
    <r>
      <rPr>
        <sz val="10"/>
        <rFont val="宋体"/>
        <charset val="134"/>
      </rPr>
      <t>使用权资产</t>
    </r>
    <r>
      <rPr>
        <sz val="10"/>
        <rFont val="Times New Roman"/>
        <charset val="134"/>
      </rPr>
      <t>04</t>
    </r>
  </si>
  <si>
    <r>
      <rPr>
        <sz val="10"/>
        <rFont val="宋体"/>
        <charset val="134"/>
      </rPr>
      <t>使用权资产</t>
    </r>
    <r>
      <rPr>
        <sz val="10"/>
        <rFont val="Times New Roman"/>
        <charset val="134"/>
      </rPr>
      <t>05</t>
    </r>
  </si>
  <si>
    <r>
      <rPr>
        <sz val="10"/>
        <rFont val="宋体"/>
        <charset val="134"/>
      </rPr>
      <t>使用权资产</t>
    </r>
    <r>
      <rPr>
        <sz val="10"/>
        <rFont val="Times New Roman"/>
        <charset val="134"/>
      </rPr>
      <t>06</t>
    </r>
  </si>
  <si>
    <r>
      <rPr>
        <sz val="10"/>
        <rFont val="宋体"/>
        <charset val="134"/>
      </rPr>
      <t>使用权资产</t>
    </r>
    <r>
      <rPr>
        <sz val="10"/>
        <rFont val="Times New Roman"/>
        <charset val="134"/>
      </rPr>
      <t>07</t>
    </r>
  </si>
  <si>
    <r>
      <rPr>
        <sz val="10"/>
        <rFont val="宋体"/>
        <charset val="134"/>
      </rPr>
      <t>使用权资产</t>
    </r>
    <r>
      <rPr>
        <sz val="10"/>
        <rFont val="Times New Roman"/>
        <charset val="134"/>
      </rPr>
      <t>08</t>
    </r>
  </si>
  <si>
    <r>
      <rPr>
        <sz val="10"/>
        <rFont val="宋体"/>
        <charset val="134"/>
      </rPr>
      <t>使用权资产</t>
    </r>
    <r>
      <rPr>
        <sz val="10"/>
        <rFont val="Times New Roman"/>
        <charset val="134"/>
      </rPr>
      <t>09</t>
    </r>
  </si>
  <si>
    <r>
      <rPr>
        <sz val="10"/>
        <rFont val="宋体"/>
        <charset val="134"/>
      </rPr>
      <t>使用权资产</t>
    </r>
    <r>
      <rPr>
        <sz val="10"/>
        <rFont val="Times New Roman"/>
        <charset val="134"/>
      </rPr>
      <t>10</t>
    </r>
  </si>
  <si>
    <r>
      <rPr>
        <sz val="10"/>
        <rFont val="宋体"/>
        <charset val="134"/>
      </rPr>
      <t>使用权资产</t>
    </r>
    <r>
      <rPr>
        <sz val="10"/>
        <rFont val="Times New Roman"/>
        <charset val="134"/>
      </rPr>
      <t>11</t>
    </r>
  </si>
  <si>
    <r>
      <rPr>
        <sz val="10"/>
        <rFont val="宋体"/>
        <charset val="134"/>
      </rPr>
      <t>使用权资产</t>
    </r>
    <r>
      <rPr>
        <sz val="10"/>
        <rFont val="Times New Roman"/>
        <charset val="134"/>
      </rPr>
      <t>12</t>
    </r>
  </si>
  <si>
    <r>
      <rPr>
        <sz val="10"/>
        <rFont val="宋体"/>
        <charset val="134"/>
      </rPr>
      <t>使用权资产</t>
    </r>
    <r>
      <rPr>
        <sz val="10"/>
        <rFont val="Times New Roman"/>
        <charset val="134"/>
      </rPr>
      <t>13</t>
    </r>
  </si>
  <si>
    <r>
      <rPr>
        <sz val="10"/>
        <rFont val="宋体"/>
        <charset val="134"/>
      </rPr>
      <t>使用权资产</t>
    </r>
    <r>
      <rPr>
        <sz val="10"/>
        <rFont val="Times New Roman"/>
        <charset val="134"/>
      </rPr>
      <t>14</t>
    </r>
  </si>
  <si>
    <r>
      <rPr>
        <sz val="10"/>
        <rFont val="宋体"/>
        <charset val="134"/>
      </rPr>
      <t>使用权资产</t>
    </r>
    <r>
      <rPr>
        <sz val="10"/>
        <rFont val="Times New Roman"/>
        <charset val="134"/>
      </rPr>
      <t>15</t>
    </r>
  </si>
  <si>
    <r>
      <rPr>
        <sz val="10"/>
        <rFont val="宋体"/>
        <charset val="134"/>
      </rPr>
      <t>使用权资产</t>
    </r>
    <r>
      <rPr>
        <sz val="10"/>
        <rFont val="Times New Roman"/>
        <charset val="134"/>
      </rPr>
      <t>16</t>
    </r>
  </si>
  <si>
    <r>
      <rPr>
        <sz val="10"/>
        <rFont val="宋体"/>
        <charset val="134"/>
      </rPr>
      <t>使用权资产</t>
    </r>
    <r>
      <rPr>
        <sz val="10"/>
        <rFont val="Times New Roman"/>
        <charset val="134"/>
      </rPr>
      <t>17</t>
    </r>
  </si>
  <si>
    <r>
      <rPr>
        <sz val="10"/>
        <rFont val="宋体"/>
        <charset val="134"/>
      </rPr>
      <t>使用权资产</t>
    </r>
    <r>
      <rPr>
        <sz val="10"/>
        <rFont val="Times New Roman"/>
        <charset val="134"/>
      </rPr>
      <t>18</t>
    </r>
  </si>
  <si>
    <r>
      <rPr>
        <sz val="10"/>
        <rFont val="宋体"/>
        <charset val="134"/>
      </rPr>
      <t>使用权资产</t>
    </r>
    <r>
      <rPr>
        <sz val="10"/>
        <rFont val="Times New Roman"/>
        <charset val="134"/>
      </rPr>
      <t>19</t>
    </r>
  </si>
  <si>
    <r>
      <rPr>
        <sz val="10"/>
        <rFont val="宋体"/>
        <charset val="134"/>
      </rPr>
      <t>使用权资产</t>
    </r>
    <r>
      <rPr>
        <sz val="10"/>
        <rFont val="Times New Roman"/>
        <charset val="134"/>
      </rPr>
      <t>20</t>
    </r>
  </si>
  <si>
    <r>
      <rPr>
        <sz val="10"/>
        <rFont val="宋体"/>
        <charset val="134"/>
      </rPr>
      <t>日</t>
    </r>
  </si>
  <si>
    <r>
      <rPr>
        <sz val="10"/>
        <rFont val="宋体"/>
        <charset val="134"/>
      </rPr>
      <t>周</t>
    </r>
  </si>
  <si>
    <r>
      <rPr>
        <sz val="10"/>
        <rFont val="宋体"/>
        <charset val="134"/>
      </rPr>
      <t>月</t>
    </r>
  </si>
  <si>
    <r>
      <rPr>
        <sz val="10"/>
        <rFont val="宋体"/>
        <charset val="134"/>
      </rPr>
      <t>季</t>
    </r>
  </si>
  <si>
    <r>
      <rPr>
        <sz val="18"/>
        <rFont val="宋体"/>
        <charset val="134"/>
      </rPr>
      <t>无形资产评估汇总表</t>
    </r>
  </si>
  <si>
    <r>
      <rPr>
        <sz val="10"/>
        <rFont val="宋体"/>
        <charset val="134"/>
      </rPr>
      <t>无形资产</t>
    </r>
    <r>
      <rPr>
        <sz val="10"/>
        <rFont val="Times New Roman"/>
        <charset val="134"/>
      </rPr>
      <t>-</t>
    </r>
    <r>
      <rPr>
        <sz val="10"/>
        <rFont val="宋体"/>
        <charset val="134"/>
      </rPr>
      <t>土地使用权</t>
    </r>
  </si>
  <si>
    <r>
      <rPr>
        <sz val="10"/>
        <rFont val="宋体"/>
        <charset val="134"/>
      </rPr>
      <t>无形资产</t>
    </r>
    <r>
      <rPr>
        <sz val="10"/>
        <rFont val="Times New Roman"/>
        <charset val="134"/>
      </rPr>
      <t>-</t>
    </r>
    <r>
      <rPr>
        <sz val="10"/>
        <rFont val="宋体"/>
        <charset val="134"/>
      </rPr>
      <t>矿业权</t>
    </r>
  </si>
  <si>
    <r>
      <rPr>
        <sz val="10"/>
        <rFont val="宋体"/>
        <charset val="134"/>
      </rPr>
      <t>无形资产</t>
    </r>
    <r>
      <rPr>
        <sz val="10"/>
        <rFont val="Times New Roman"/>
        <charset val="134"/>
      </rPr>
      <t>-</t>
    </r>
    <r>
      <rPr>
        <sz val="10"/>
        <rFont val="宋体"/>
        <charset val="134"/>
      </rPr>
      <t>其他无形资产</t>
    </r>
  </si>
  <si>
    <t>无形资产合计</t>
  </si>
  <si>
    <r>
      <rPr>
        <sz val="18"/>
        <rFont val="宋体"/>
        <charset val="134"/>
      </rPr>
      <t>无形资产</t>
    </r>
    <r>
      <rPr>
        <sz val="18"/>
        <rFont val="Times New Roman"/>
        <charset val="134"/>
      </rPr>
      <t>—</t>
    </r>
    <r>
      <rPr>
        <sz val="18"/>
        <rFont val="宋体"/>
        <charset val="134"/>
      </rPr>
      <t>土地使用权评估明细表</t>
    </r>
  </si>
  <si>
    <r>
      <rPr>
        <sz val="10"/>
        <rFont val="宋体"/>
        <charset val="134"/>
      </rPr>
      <t>无形</t>
    </r>
    <r>
      <rPr>
        <sz val="10"/>
        <rFont val="Times New Roman"/>
        <charset val="134"/>
      </rPr>
      <t>-</t>
    </r>
    <r>
      <rPr>
        <sz val="10"/>
        <rFont val="宋体"/>
        <charset val="134"/>
      </rPr>
      <t>土地</t>
    </r>
    <r>
      <rPr>
        <sz val="10"/>
        <rFont val="Times New Roman"/>
        <charset val="134"/>
      </rPr>
      <t>01</t>
    </r>
  </si>
  <si>
    <r>
      <rPr>
        <sz val="10"/>
        <rFont val="宋体"/>
        <charset val="134"/>
      </rPr>
      <t>无形</t>
    </r>
    <r>
      <rPr>
        <sz val="10"/>
        <rFont val="Times New Roman"/>
        <charset val="134"/>
      </rPr>
      <t>-</t>
    </r>
    <r>
      <rPr>
        <sz val="10"/>
        <rFont val="宋体"/>
        <charset val="134"/>
      </rPr>
      <t>土地</t>
    </r>
    <r>
      <rPr>
        <sz val="10"/>
        <rFont val="Times New Roman"/>
        <charset val="134"/>
      </rPr>
      <t>02</t>
    </r>
  </si>
  <si>
    <r>
      <rPr>
        <sz val="10"/>
        <rFont val="宋体"/>
        <charset val="134"/>
      </rPr>
      <t>无形</t>
    </r>
    <r>
      <rPr>
        <sz val="10"/>
        <rFont val="Times New Roman"/>
        <charset val="134"/>
      </rPr>
      <t>-</t>
    </r>
    <r>
      <rPr>
        <sz val="10"/>
        <rFont val="宋体"/>
        <charset val="134"/>
      </rPr>
      <t>土地</t>
    </r>
    <r>
      <rPr>
        <sz val="10"/>
        <rFont val="Times New Roman"/>
        <charset val="134"/>
      </rPr>
      <t>03</t>
    </r>
  </si>
  <si>
    <r>
      <rPr>
        <sz val="10"/>
        <rFont val="宋体"/>
        <charset val="134"/>
      </rPr>
      <t>无形</t>
    </r>
    <r>
      <rPr>
        <sz val="10"/>
        <rFont val="Times New Roman"/>
        <charset val="134"/>
      </rPr>
      <t>-</t>
    </r>
    <r>
      <rPr>
        <sz val="10"/>
        <rFont val="宋体"/>
        <charset val="134"/>
      </rPr>
      <t>土地</t>
    </r>
    <r>
      <rPr>
        <sz val="10"/>
        <rFont val="Times New Roman"/>
        <charset val="134"/>
      </rPr>
      <t>04</t>
    </r>
  </si>
  <si>
    <r>
      <rPr>
        <sz val="10"/>
        <rFont val="宋体"/>
        <charset val="134"/>
      </rPr>
      <t>无形</t>
    </r>
    <r>
      <rPr>
        <sz val="10"/>
        <rFont val="Times New Roman"/>
        <charset val="134"/>
      </rPr>
      <t>-</t>
    </r>
    <r>
      <rPr>
        <sz val="10"/>
        <rFont val="宋体"/>
        <charset val="134"/>
      </rPr>
      <t>土地</t>
    </r>
    <r>
      <rPr>
        <sz val="10"/>
        <rFont val="Times New Roman"/>
        <charset val="134"/>
      </rPr>
      <t>05</t>
    </r>
  </si>
  <si>
    <r>
      <rPr>
        <sz val="10"/>
        <rFont val="宋体"/>
        <charset val="134"/>
      </rPr>
      <t>无形</t>
    </r>
    <r>
      <rPr>
        <sz val="10"/>
        <rFont val="Times New Roman"/>
        <charset val="134"/>
      </rPr>
      <t>-</t>
    </r>
    <r>
      <rPr>
        <sz val="10"/>
        <rFont val="宋体"/>
        <charset val="134"/>
      </rPr>
      <t>土地</t>
    </r>
    <r>
      <rPr>
        <sz val="10"/>
        <rFont val="Times New Roman"/>
        <charset val="134"/>
      </rPr>
      <t>06</t>
    </r>
  </si>
  <si>
    <r>
      <rPr>
        <sz val="10"/>
        <rFont val="宋体"/>
        <charset val="134"/>
      </rPr>
      <t>无形</t>
    </r>
    <r>
      <rPr>
        <sz val="10"/>
        <rFont val="Times New Roman"/>
        <charset val="134"/>
      </rPr>
      <t>-</t>
    </r>
    <r>
      <rPr>
        <sz val="10"/>
        <rFont val="宋体"/>
        <charset val="134"/>
      </rPr>
      <t>土地</t>
    </r>
    <r>
      <rPr>
        <sz val="10"/>
        <rFont val="Times New Roman"/>
        <charset val="134"/>
      </rPr>
      <t>07</t>
    </r>
  </si>
  <si>
    <r>
      <rPr>
        <sz val="10"/>
        <rFont val="宋体"/>
        <charset val="134"/>
      </rPr>
      <t>无形</t>
    </r>
    <r>
      <rPr>
        <sz val="10"/>
        <rFont val="Times New Roman"/>
        <charset val="134"/>
      </rPr>
      <t>-</t>
    </r>
    <r>
      <rPr>
        <sz val="10"/>
        <rFont val="宋体"/>
        <charset val="134"/>
      </rPr>
      <t>土地</t>
    </r>
    <r>
      <rPr>
        <sz val="10"/>
        <rFont val="Times New Roman"/>
        <charset val="134"/>
      </rPr>
      <t>08</t>
    </r>
  </si>
  <si>
    <r>
      <rPr>
        <sz val="10"/>
        <rFont val="宋体"/>
        <charset val="134"/>
      </rPr>
      <t>无形</t>
    </r>
    <r>
      <rPr>
        <sz val="10"/>
        <rFont val="Times New Roman"/>
        <charset val="134"/>
      </rPr>
      <t>-</t>
    </r>
    <r>
      <rPr>
        <sz val="10"/>
        <rFont val="宋体"/>
        <charset val="134"/>
      </rPr>
      <t>土地</t>
    </r>
    <r>
      <rPr>
        <sz val="10"/>
        <rFont val="Times New Roman"/>
        <charset val="134"/>
      </rPr>
      <t>09</t>
    </r>
  </si>
  <si>
    <r>
      <rPr>
        <sz val="10"/>
        <rFont val="宋体"/>
        <charset val="134"/>
      </rPr>
      <t>无形</t>
    </r>
    <r>
      <rPr>
        <sz val="10"/>
        <rFont val="Times New Roman"/>
        <charset val="134"/>
      </rPr>
      <t>-</t>
    </r>
    <r>
      <rPr>
        <sz val="10"/>
        <rFont val="宋体"/>
        <charset val="134"/>
      </rPr>
      <t>土地</t>
    </r>
    <r>
      <rPr>
        <sz val="10"/>
        <rFont val="Times New Roman"/>
        <charset val="134"/>
      </rPr>
      <t>10</t>
    </r>
  </si>
  <si>
    <r>
      <rPr>
        <sz val="10"/>
        <rFont val="宋体"/>
        <charset val="134"/>
      </rPr>
      <t>无形</t>
    </r>
    <r>
      <rPr>
        <sz val="10"/>
        <rFont val="Times New Roman"/>
        <charset val="134"/>
      </rPr>
      <t>-</t>
    </r>
    <r>
      <rPr>
        <sz val="10"/>
        <rFont val="宋体"/>
        <charset val="134"/>
      </rPr>
      <t>土地</t>
    </r>
    <r>
      <rPr>
        <sz val="10"/>
        <rFont val="Times New Roman"/>
        <charset val="134"/>
      </rPr>
      <t>11</t>
    </r>
  </si>
  <si>
    <r>
      <rPr>
        <sz val="10"/>
        <rFont val="宋体"/>
        <charset val="134"/>
      </rPr>
      <t>无形</t>
    </r>
    <r>
      <rPr>
        <sz val="10"/>
        <rFont val="Times New Roman"/>
        <charset val="134"/>
      </rPr>
      <t>-</t>
    </r>
    <r>
      <rPr>
        <sz val="10"/>
        <rFont val="宋体"/>
        <charset val="134"/>
      </rPr>
      <t>土地</t>
    </r>
    <r>
      <rPr>
        <sz val="10"/>
        <rFont val="Times New Roman"/>
        <charset val="134"/>
      </rPr>
      <t>12</t>
    </r>
  </si>
  <si>
    <r>
      <rPr>
        <sz val="10"/>
        <rFont val="宋体"/>
        <charset val="134"/>
      </rPr>
      <t>无形</t>
    </r>
    <r>
      <rPr>
        <sz val="10"/>
        <rFont val="Times New Roman"/>
        <charset val="134"/>
      </rPr>
      <t>-</t>
    </r>
    <r>
      <rPr>
        <sz val="10"/>
        <rFont val="宋体"/>
        <charset val="134"/>
      </rPr>
      <t>土地</t>
    </r>
    <r>
      <rPr>
        <sz val="10"/>
        <rFont val="Times New Roman"/>
        <charset val="134"/>
      </rPr>
      <t>13</t>
    </r>
  </si>
  <si>
    <r>
      <rPr>
        <sz val="10"/>
        <rFont val="宋体"/>
        <charset val="134"/>
      </rPr>
      <t>无形</t>
    </r>
    <r>
      <rPr>
        <sz val="10"/>
        <rFont val="Times New Roman"/>
        <charset val="134"/>
      </rPr>
      <t>-</t>
    </r>
    <r>
      <rPr>
        <sz val="10"/>
        <rFont val="宋体"/>
        <charset val="134"/>
      </rPr>
      <t>土地</t>
    </r>
    <r>
      <rPr>
        <sz val="10"/>
        <rFont val="Times New Roman"/>
        <charset val="134"/>
      </rPr>
      <t>14</t>
    </r>
  </si>
  <si>
    <r>
      <rPr>
        <sz val="10"/>
        <rFont val="宋体"/>
        <charset val="134"/>
      </rPr>
      <t>无形</t>
    </r>
    <r>
      <rPr>
        <sz val="10"/>
        <rFont val="Times New Roman"/>
        <charset val="134"/>
      </rPr>
      <t>-</t>
    </r>
    <r>
      <rPr>
        <sz val="10"/>
        <rFont val="宋体"/>
        <charset val="134"/>
      </rPr>
      <t>土地</t>
    </r>
    <r>
      <rPr>
        <sz val="10"/>
        <rFont val="Times New Roman"/>
        <charset val="134"/>
      </rPr>
      <t>15</t>
    </r>
  </si>
  <si>
    <r>
      <rPr>
        <sz val="10"/>
        <rFont val="宋体"/>
        <charset val="134"/>
      </rPr>
      <t>无形</t>
    </r>
    <r>
      <rPr>
        <sz val="10"/>
        <rFont val="Times New Roman"/>
        <charset val="134"/>
      </rPr>
      <t>-</t>
    </r>
    <r>
      <rPr>
        <sz val="10"/>
        <rFont val="宋体"/>
        <charset val="134"/>
      </rPr>
      <t>土地</t>
    </r>
    <r>
      <rPr>
        <sz val="10"/>
        <rFont val="Times New Roman"/>
        <charset val="134"/>
      </rPr>
      <t>16</t>
    </r>
  </si>
  <si>
    <r>
      <rPr>
        <sz val="10"/>
        <rFont val="宋体"/>
        <charset val="134"/>
      </rPr>
      <t>无形</t>
    </r>
    <r>
      <rPr>
        <sz val="10"/>
        <rFont val="Times New Roman"/>
        <charset val="134"/>
      </rPr>
      <t>-</t>
    </r>
    <r>
      <rPr>
        <sz val="10"/>
        <rFont val="宋体"/>
        <charset val="134"/>
      </rPr>
      <t>土地</t>
    </r>
    <r>
      <rPr>
        <sz val="10"/>
        <rFont val="Times New Roman"/>
        <charset val="134"/>
      </rPr>
      <t>17</t>
    </r>
  </si>
  <si>
    <r>
      <rPr>
        <sz val="10"/>
        <rFont val="宋体"/>
        <charset val="134"/>
      </rPr>
      <t>无形</t>
    </r>
    <r>
      <rPr>
        <sz val="10"/>
        <rFont val="Times New Roman"/>
        <charset val="134"/>
      </rPr>
      <t>-</t>
    </r>
    <r>
      <rPr>
        <sz val="10"/>
        <rFont val="宋体"/>
        <charset val="134"/>
      </rPr>
      <t>土地</t>
    </r>
    <r>
      <rPr>
        <sz val="10"/>
        <rFont val="Times New Roman"/>
        <charset val="134"/>
      </rPr>
      <t>18</t>
    </r>
  </si>
  <si>
    <r>
      <rPr>
        <sz val="10"/>
        <rFont val="宋体"/>
        <charset val="134"/>
      </rPr>
      <t>无形</t>
    </r>
    <r>
      <rPr>
        <sz val="10"/>
        <rFont val="Times New Roman"/>
        <charset val="134"/>
      </rPr>
      <t>-</t>
    </r>
    <r>
      <rPr>
        <sz val="10"/>
        <rFont val="宋体"/>
        <charset val="134"/>
      </rPr>
      <t>土地</t>
    </r>
    <r>
      <rPr>
        <sz val="10"/>
        <rFont val="Times New Roman"/>
        <charset val="134"/>
      </rPr>
      <t>19</t>
    </r>
  </si>
  <si>
    <r>
      <rPr>
        <sz val="10"/>
        <rFont val="宋体"/>
        <charset val="134"/>
      </rPr>
      <t>无形</t>
    </r>
    <r>
      <rPr>
        <sz val="10"/>
        <rFont val="Times New Roman"/>
        <charset val="134"/>
      </rPr>
      <t>-</t>
    </r>
    <r>
      <rPr>
        <sz val="10"/>
        <rFont val="宋体"/>
        <charset val="134"/>
      </rPr>
      <t>土地</t>
    </r>
    <r>
      <rPr>
        <sz val="10"/>
        <rFont val="Times New Roman"/>
        <charset val="134"/>
      </rPr>
      <t>20</t>
    </r>
  </si>
  <si>
    <r>
      <rPr>
        <sz val="18"/>
        <rFont val="宋体"/>
        <charset val="134"/>
      </rPr>
      <t>无形资产</t>
    </r>
    <r>
      <rPr>
        <sz val="18"/>
        <rFont val="Times New Roman"/>
        <charset val="134"/>
      </rPr>
      <t>—</t>
    </r>
    <r>
      <rPr>
        <sz val="18"/>
        <rFont val="宋体"/>
        <charset val="134"/>
      </rPr>
      <t>矿业权评估明细表</t>
    </r>
  </si>
  <si>
    <r>
      <rPr>
        <b/>
        <sz val="10"/>
        <rFont val="宋体"/>
        <charset val="134"/>
      </rPr>
      <t>名称、种类（探矿权</t>
    </r>
    <r>
      <rPr>
        <b/>
        <sz val="10"/>
        <rFont val="Times New Roman"/>
        <charset val="134"/>
      </rPr>
      <t>/</t>
    </r>
    <r>
      <rPr>
        <b/>
        <sz val="10"/>
        <rFont val="宋体"/>
        <charset val="134"/>
      </rPr>
      <t>采矿权）</t>
    </r>
  </si>
  <si>
    <r>
      <rPr>
        <b/>
        <sz val="10"/>
        <rFont val="宋体"/>
        <charset val="134"/>
      </rPr>
      <t>勘查（采矿）许可证编号</t>
    </r>
  </si>
  <si>
    <r>
      <rPr>
        <b/>
        <sz val="10"/>
        <rFont val="宋体"/>
        <charset val="134"/>
      </rPr>
      <t>取得方式</t>
    </r>
  </si>
  <si>
    <r>
      <rPr>
        <b/>
        <sz val="10"/>
        <rFont val="宋体"/>
        <charset val="134"/>
      </rPr>
      <t>剩余有效年限</t>
    </r>
  </si>
  <si>
    <r>
      <rPr>
        <b/>
        <sz val="10"/>
        <rFont val="宋体"/>
        <charset val="134"/>
      </rPr>
      <t>勘查开发阶段</t>
    </r>
  </si>
  <si>
    <r>
      <rPr>
        <b/>
        <sz val="10"/>
        <rFont val="宋体"/>
        <charset val="134"/>
      </rPr>
      <t>核定（批准）生产规模</t>
    </r>
  </si>
  <si>
    <r>
      <rPr>
        <sz val="10"/>
        <rFont val="宋体"/>
        <charset val="134"/>
      </rPr>
      <t>无形</t>
    </r>
    <r>
      <rPr>
        <sz val="10"/>
        <rFont val="Times New Roman"/>
        <charset val="134"/>
      </rPr>
      <t>-</t>
    </r>
    <r>
      <rPr>
        <sz val="10"/>
        <rFont val="宋体"/>
        <charset val="134"/>
      </rPr>
      <t>矿业权</t>
    </r>
    <r>
      <rPr>
        <sz val="10"/>
        <rFont val="Times New Roman"/>
        <charset val="134"/>
      </rPr>
      <t>01</t>
    </r>
  </si>
  <si>
    <r>
      <rPr>
        <sz val="10"/>
        <rFont val="宋体"/>
        <charset val="134"/>
      </rPr>
      <t>无形</t>
    </r>
    <r>
      <rPr>
        <sz val="10"/>
        <rFont val="Times New Roman"/>
        <charset val="134"/>
      </rPr>
      <t>-</t>
    </r>
    <r>
      <rPr>
        <sz val="10"/>
        <rFont val="宋体"/>
        <charset val="134"/>
      </rPr>
      <t>矿业权</t>
    </r>
    <r>
      <rPr>
        <sz val="10"/>
        <rFont val="Times New Roman"/>
        <charset val="134"/>
      </rPr>
      <t>02</t>
    </r>
  </si>
  <si>
    <r>
      <rPr>
        <sz val="10"/>
        <rFont val="宋体"/>
        <charset val="134"/>
      </rPr>
      <t>无形</t>
    </r>
    <r>
      <rPr>
        <sz val="10"/>
        <rFont val="Times New Roman"/>
        <charset val="134"/>
      </rPr>
      <t>-</t>
    </r>
    <r>
      <rPr>
        <sz val="10"/>
        <rFont val="宋体"/>
        <charset val="134"/>
      </rPr>
      <t>矿业权</t>
    </r>
    <r>
      <rPr>
        <sz val="10"/>
        <rFont val="Times New Roman"/>
        <charset val="134"/>
      </rPr>
      <t>03</t>
    </r>
  </si>
  <si>
    <r>
      <rPr>
        <sz val="10"/>
        <rFont val="宋体"/>
        <charset val="134"/>
      </rPr>
      <t>无形</t>
    </r>
    <r>
      <rPr>
        <sz val="10"/>
        <rFont val="Times New Roman"/>
        <charset val="134"/>
      </rPr>
      <t>-</t>
    </r>
    <r>
      <rPr>
        <sz val="10"/>
        <rFont val="宋体"/>
        <charset val="134"/>
      </rPr>
      <t>矿业权</t>
    </r>
    <r>
      <rPr>
        <sz val="10"/>
        <rFont val="Times New Roman"/>
        <charset val="134"/>
      </rPr>
      <t>04</t>
    </r>
  </si>
  <si>
    <r>
      <rPr>
        <sz val="10"/>
        <rFont val="宋体"/>
        <charset val="134"/>
      </rPr>
      <t>无形</t>
    </r>
    <r>
      <rPr>
        <sz val="10"/>
        <rFont val="Times New Roman"/>
        <charset val="134"/>
      </rPr>
      <t>-</t>
    </r>
    <r>
      <rPr>
        <sz val="10"/>
        <rFont val="宋体"/>
        <charset val="134"/>
      </rPr>
      <t>矿业权</t>
    </r>
    <r>
      <rPr>
        <sz val="10"/>
        <rFont val="Times New Roman"/>
        <charset val="134"/>
      </rPr>
      <t>05</t>
    </r>
  </si>
  <si>
    <r>
      <rPr>
        <sz val="10"/>
        <rFont val="宋体"/>
        <charset val="134"/>
      </rPr>
      <t>无形</t>
    </r>
    <r>
      <rPr>
        <sz val="10"/>
        <rFont val="Times New Roman"/>
        <charset val="134"/>
      </rPr>
      <t>-</t>
    </r>
    <r>
      <rPr>
        <sz val="10"/>
        <rFont val="宋体"/>
        <charset val="134"/>
      </rPr>
      <t>矿业权</t>
    </r>
    <r>
      <rPr>
        <sz val="10"/>
        <rFont val="Times New Roman"/>
        <charset val="134"/>
      </rPr>
      <t>06</t>
    </r>
  </si>
  <si>
    <r>
      <rPr>
        <sz val="10"/>
        <rFont val="宋体"/>
        <charset val="134"/>
      </rPr>
      <t>无形</t>
    </r>
    <r>
      <rPr>
        <sz val="10"/>
        <rFont val="Times New Roman"/>
        <charset val="134"/>
      </rPr>
      <t>-</t>
    </r>
    <r>
      <rPr>
        <sz val="10"/>
        <rFont val="宋体"/>
        <charset val="134"/>
      </rPr>
      <t>矿业权</t>
    </r>
    <r>
      <rPr>
        <sz val="10"/>
        <rFont val="Times New Roman"/>
        <charset val="134"/>
      </rPr>
      <t>07</t>
    </r>
  </si>
  <si>
    <r>
      <rPr>
        <sz val="10"/>
        <rFont val="宋体"/>
        <charset val="134"/>
      </rPr>
      <t>无形</t>
    </r>
    <r>
      <rPr>
        <sz val="10"/>
        <rFont val="Times New Roman"/>
        <charset val="134"/>
      </rPr>
      <t>-</t>
    </r>
    <r>
      <rPr>
        <sz val="10"/>
        <rFont val="宋体"/>
        <charset val="134"/>
      </rPr>
      <t>矿业权</t>
    </r>
    <r>
      <rPr>
        <sz val="10"/>
        <rFont val="Times New Roman"/>
        <charset val="134"/>
      </rPr>
      <t>08</t>
    </r>
  </si>
  <si>
    <r>
      <rPr>
        <sz val="10"/>
        <rFont val="宋体"/>
        <charset val="134"/>
      </rPr>
      <t>无形</t>
    </r>
    <r>
      <rPr>
        <sz val="10"/>
        <rFont val="Times New Roman"/>
        <charset val="134"/>
      </rPr>
      <t>-</t>
    </r>
    <r>
      <rPr>
        <sz val="10"/>
        <rFont val="宋体"/>
        <charset val="134"/>
      </rPr>
      <t>矿业权</t>
    </r>
    <r>
      <rPr>
        <sz val="10"/>
        <rFont val="Times New Roman"/>
        <charset val="134"/>
      </rPr>
      <t>09</t>
    </r>
  </si>
  <si>
    <r>
      <rPr>
        <sz val="10"/>
        <rFont val="宋体"/>
        <charset val="134"/>
      </rPr>
      <t>无形</t>
    </r>
    <r>
      <rPr>
        <sz val="10"/>
        <rFont val="Times New Roman"/>
        <charset val="134"/>
      </rPr>
      <t>-</t>
    </r>
    <r>
      <rPr>
        <sz val="10"/>
        <rFont val="宋体"/>
        <charset val="134"/>
      </rPr>
      <t>矿业权</t>
    </r>
    <r>
      <rPr>
        <sz val="10"/>
        <rFont val="Times New Roman"/>
        <charset val="134"/>
      </rPr>
      <t>10</t>
    </r>
  </si>
  <si>
    <r>
      <rPr>
        <sz val="10"/>
        <rFont val="宋体"/>
        <charset val="134"/>
      </rPr>
      <t>无形</t>
    </r>
    <r>
      <rPr>
        <sz val="10"/>
        <rFont val="Times New Roman"/>
        <charset val="134"/>
      </rPr>
      <t>-</t>
    </r>
    <r>
      <rPr>
        <sz val="10"/>
        <rFont val="宋体"/>
        <charset val="134"/>
      </rPr>
      <t>矿业权</t>
    </r>
    <r>
      <rPr>
        <sz val="10"/>
        <rFont val="Times New Roman"/>
        <charset val="134"/>
      </rPr>
      <t>11</t>
    </r>
  </si>
  <si>
    <r>
      <rPr>
        <sz val="10"/>
        <rFont val="宋体"/>
        <charset val="134"/>
      </rPr>
      <t>无形</t>
    </r>
    <r>
      <rPr>
        <sz val="10"/>
        <rFont val="Times New Roman"/>
        <charset val="134"/>
      </rPr>
      <t>-</t>
    </r>
    <r>
      <rPr>
        <sz val="10"/>
        <rFont val="宋体"/>
        <charset val="134"/>
      </rPr>
      <t>矿业权</t>
    </r>
    <r>
      <rPr>
        <sz val="10"/>
        <rFont val="Times New Roman"/>
        <charset val="134"/>
      </rPr>
      <t>12</t>
    </r>
  </si>
  <si>
    <r>
      <rPr>
        <sz val="10"/>
        <rFont val="宋体"/>
        <charset val="134"/>
      </rPr>
      <t>无形</t>
    </r>
    <r>
      <rPr>
        <sz val="10"/>
        <rFont val="Times New Roman"/>
        <charset val="134"/>
      </rPr>
      <t>-</t>
    </r>
    <r>
      <rPr>
        <sz val="10"/>
        <rFont val="宋体"/>
        <charset val="134"/>
      </rPr>
      <t>矿业权</t>
    </r>
    <r>
      <rPr>
        <sz val="10"/>
        <rFont val="Times New Roman"/>
        <charset val="134"/>
      </rPr>
      <t>13</t>
    </r>
  </si>
  <si>
    <r>
      <rPr>
        <sz val="10"/>
        <rFont val="宋体"/>
        <charset val="134"/>
      </rPr>
      <t>无形</t>
    </r>
    <r>
      <rPr>
        <sz val="10"/>
        <rFont val="Times New Roman"/>
        <charset val="134"/>
      </rPr>
      <t>-</t>
    </r>
    <r>
      <rPr>
        <sz val="10"/>
        <rFont val="宋体"/>
        <charset val="134"/>
      </rPr>
      <t>矿业权</t>
    </r>
    <r>
      <rPr>
        <sz val="10"/>
        <rFont val="Times New Roman"/>
        <charset val="134"/>
      </rPr>
      <t>14</t>
    </r>
  </si>
  <si>
    <r>
      <rPr>
        <sz val="10"/>
        <rFont val="宋体"/>
        <charset val="134"/>
      </rPr>
      <t>无形</t>
    </r>
    <r>
      <rPr>
        <sz val="10"/>
        <rFont val="Times New Roman"/>
        <charset val="134"/>
      </rPr>
      <t>-</t>
    </r>
    <r>
      <rPr>
        <sz val="10"/>
        <rFont val="宋体"/>
        <charset val="134"/>
      </rPr>
      <t>矿业权</t>
    </r>
    <r>
      <rPr>
        <sz val="10"/>
        <rFont val="Times New Roman"/>
        <charset val="134"/>
      </rPr>
      <t>15</t>
    </r>
  </si>
  <si>
    <r>
      <rPr>
        <sz val="10"/>
        <rFont val="宋体"/>
        <charset val="134"/>
      </rPr>
      <t>无形</t>
    </r>
    <r>
      <rPr>
        <sz val="10"/>
        <rFont val="Times New Roman"/>
        <charset val="134"/>
      </rPr>
      <t>-</t>
    </r>
    <r>
      <rPr>
        <sz val="10"/>
        <rFont val="宋体"/>
        <charset val="134"/>
      </rPr>
      <t>矿业权</t>
    </r>
    <r>
      <rPr>
        <sz val="10"/>
        <rFont val="Times New Roman"/>
        <charset val="134"/>
      </rPr>
      <t>16</t>
    </r>
  </si>
  <si>
    <r>
      <rPr>
        <sz val="10"/>
        <rFont val="宋体"/>
        <charset val="134"/>
      </rPr>
      <t>无形</t>
    </r>
    <r>
      <rPr>
        <sz val="10"/>
        <rFont val="Times New Roman"/>
        <charset val="134"/>
      </rPr>
      <t>-</t>
    </r>
    <r>
      <rPr>
        <sz val="10"/>
        <rFont val="宋体"/>
        <charset val="134"/>
      </rPr>
      <t>矿业权</t>
    </r>
    <r>
      <rPr>
        <sz val="10"/>
        <rFont val="Times New Roman"/>
        <charset val="134"/>
      </rPr>
      <t>17</t>
    </r>
  </si>
  <si>
    <r>
      <rPr>
        <sz val="10"/>
        <rFont val="宋体"/>
        <charset val="134"/>
      </rPr>
      <t>无形</t>
    </r>
    <r>
      <rPr>
        <sz val="10"/>
        <rFont val="Times New Roman"/>
        <charset val="134"/>
      </rPr>
      <t>-</t>
    </r>
    <r>
      <rPr>
        <sz val="10"/>
        <rFont val="宋体"/>
        <charset val="134"/>
      </rPr>
      <t>矿业权</t>
    </r>
    <r>
      <rPr>
        <sz val="10"/>
        <rFont val="Times New Roman"/>
        <charset val="134"/>
      </rPr>
      <t>18</t>
    </r>
  </si>
  <si>
    <r>
      <rPr>
        <sz val="10"/>
        <rFont val="宋体"/>
        <charset val="134"/>
      </rPr>
      <t>无形</t>
    </r>
    <r>
      <rPr>
        <sz val="10"/>
        <rFont val="Times New Roman"/>
        <charset val="134"/>
      </rPr>
      <t>-</t>
    </r>
    <r>
      <rPr>
        <sz val="10"/>
        <rFont val="宋体"/>
        <charset val="134"/>
      </rPr>
      <t>矿业权</t>
    </r>
    <r>
      <rPr>
        <sz val="10"/>
        <rFont val="Times New Roman"/>
        <charset val="134"/>
      </rPr>
      <t>19</t>
    </r>
  </si>
  <si>
    <r>
      <rPr>
        <sz val="10"/>
        <rFont val="宋体"/>
        <charset val="134"/>
      </rPr>
      <t>无形</t>
    </r>
    <r>
      <rPr>
        <sz val="10"/>
        <rFont val="Times New Roman"/>
        <charset val="134"/>
      </rPr>
      <t>-</t>
    </r>
    <r>
      <rPr>
        <sz val="10"/>
        <rFont val="宋体"/>
        <charset val="134"/>
      </rPr>
      <t>矿业权</t>
    </r>
    <r>
      <rPr>
        <sz val="10"/>
        <rFont val="Times New Roman"/>
        <charset val="134"/>
      </rPr>
      <t>20</t>
    </r>
  </si>
  <si>
    <r>
      <rPr>
        <sz val="18"/>
        <rFont val="宋体"/>
        <charset val="134"/>
      </rPr>
      <t>无形资产</t>
    </r>
    <r>
      <rPr>
        <sz val="18"/>
        <rFont val="Times New Roman"/>
        <charset val="134"/>
      </rPr>
      <t>—</t>
    </r>
    <r>
      <rPr>
        <sz val="18"/>
        <rFont val="宋体"/>
        <charset val="134"/>
      </rPr>
      <t>其他无形资产评估明细表</t>
    </r>
  </si>
  <si>
    <r>
      <rPr>
        <sz val="10"/>
        <rFont val="宋体"/>
        <charset val="134"/>
      </rPr>
      <t>专利、商标等无形资产的评估值均在</t>
    </r>
    <r>
      <rPr>
        <sz val="10"/>
        <rFont val="Times New Roman"/>
        <charset val="134"/>
      </rPr>
      <t>BO</t>
    </r>
    <r>
      <rPr>
        <sz val="10"/>
        <rFont val="宋体"/>
        <charset val="134"/>
      </rPr>
      <t>列填写，增值税率为空</t>
    </r>
  </si>
  <si>
    <t>专利技术评估方法</t>
  </si>
  <si>
    <r>
      <rPr>
        <b/>
        <sz val="10"/>
        <rFont val="宋体"/>
        <charset val="134"/>
      </rPr>
      <t>无形资产名称和内容</t>
    </r>
  </si>
  <si>
    <r>
      <rPr>
        <b/>
        <sz val="10"/>
        <rFont val="宋体"/>
        <charset val="134"/>
      </rPr>
      <t>法定</t>
    </r>
    <r>
      <rPr>
        <b/>
        <sz val="10"/>
        <rFont val="Times New Roman"/>
        <charset val="134"/>
      </rPr>
      <t>/</t>
    </r>
    <r>
      <rPr>
        <b/>
        <sz val="10"/>
        <rFont val="宋体"/>
        <charset val="134"/>
      </rPr>
      <t>预计使用年限</t>
    </r>
  </si>
  <si>
    <r>
      <rPr>
        <b/>
        <sz val="10"/>
        <rFont val="宋体"/>
        <charset val="134"/>
      </rPr>
      <t>尚可使用年限</t>
    </r>
  </si>
  <si>
    <r>
      <rPr>
        <b/>
        <sz val="10"/>
        <rFont val="宋体"/>
        <charset val="134"/>
      </rPr>
      <t>购置价格</t>
    </r>
  </si>
  <si>
    <r>
      <rPr>
        <sz val="10"/>
        <rFont val="宋体"/>
        <charset val="134"/>
      </rPr>
      <t>无形</t>
    </r>
    <r>
      <rPr>
        <sz val="10"/>
        <rFont val="Times New Roman"/>
        <charset val="134"/>
      </rPr>
      <t>-</t>
    </r>
    <r>
      <rPr>
        <sz val="10"/>
        <rFont val="宋体"/>
        <charset val="134"/>
      </rPr>
      <t>其他</t>
    </r>
    <r>
      <rPr>
        <sz val="10"/>
        <rFont val="Times New Roman"/>
        <charset val="134"/>
      </rPr>
      <t>01</t>
    </r>
  </si>
  <si>
    <r>
      <rPr>
        <sz val="10"/>
        <rFont val="宋体"/>
        <charset val="134"/>
      </rPr>
      <t>无形</t>
    </r>
    <r>
      <rPr>
        <sz val="10"/>
        <rFont val="Times New Roman"/>
        <charset val="134"/>
      </rPr>
      <t>-</t>
    </r>
    <r>
      <rPr>
        <sz val="10"/>
        <rFont val="宋体"/>
        <charset val="134"/>
      </rPr>
      <t>其他</t>
    </r>
    <r>
      <rPr>
        <sz val="10"/>
        <rFont val="Times New Roman"/>
        <charset val="134"/>
      </rPr>
      <t>02</t>
    </r>
  </si>
  <si>
    <r>
      <rPr>
        <sz val="10"/>
        <rFont val="宋体"/>
        <charset val="134"/>
      </rPr>
      <t>无形</t>
    </r>
    <r>
      <rPr>
        <sz val="10"/>
        <rFont val="Times New Roman"/>
        <charset val="134"/>
      </rPr>
      <t>-</t>
    </r>
    <r>
      <rPr>
        <sz val="10"/>
        <rFont val="宋体"/>
        <charset val="134"/>
      </rPr>
      <t>其他</t>
    </r>
    <r>
      <rPr>
        <sz val="10"/>
        <rFont val="Times New Roman"/>
        <charset val="134"/>
      </rPr>
      <t>03</t>
    </r>
  </si>
  <si>
    <r>
      <rPr>
        <sz val="10"/>
        <rFont val="宋体"/>
        <charset val="134"/>
      </rPr>
      <t>无形</t>
    </r>
    <r>
      <rPr>
        <sz val="10"/>
        <rFont val="Times New Roman"/>
        <charset val="134"/>
      </rPr>
      <t>-</t>
    </r>
    <r>
      <rPr>
        <sz val="10"/>
        <rFont val="宋体"/>
        <charset val="134"/>
      </rPr>
      <t>其他</t>
    </r>
    <r>
      <rPr>
        <sz val="10"/>
        <rFont val="Times New Roman"/>
        <charset val="134"/>
      </rPr>
      <t>04</t>
    </r>
  </si>
  <si>
    <r>
      <rPr>
        <sz val="10"/>
        <rFont val="宋体"/>
        <charset val="134"/>
      </rPr>
      <t>无形</t>
    </r>
    <r>
      <rPr>
        <sz val="10"/>
        <rFont val="Times New Roman"/>
        <charset val="134"/>
      </rPr>
      <t>-</t>
    </r>
    <r>
      <rPr>
        <sz val="10"/>
        <rFont val="宋体"/>
        <charset val="134"/>
      </rPr>
      <t>其他</t>
    </r>
    <r>
      <rPr>
        <sz val="10"/>
        <rFont val="Times New Roman"/>
        <charset val="134"/>
      </rPr>
      <t>05</t>
    </r>
  </si>
  <si>
    <r>
      <rPr>
        <sz val="10"/>
        <rFont val="宋体"/>
        <charset val="134"/>
      </rPr>
      <t>无形</t>
    </r>
    <r>
      <rPr>
        <sz val="10"/>
        <rFont val="Times New Roman"/>
        <charset val="134"/>
      </rPr>
      <t>-</t>
    </r>
    <r>
      <rPr>
        <sz val="10"/>
        <rFont val="宋体"/>
        <charset val="134"/>
      </rPr>
      <t>其他</t>
    </r>
    <r>
      <rPr>
        <sz val="10"/>
        <rFont val="Times New Roman"/>
        <charset val="134"/>
      </rPr>
      <t>06</t>
    </r>
  </si>
  <si>
    <r>
      <rPr>
        <sz val="10"/>
        <rFont val="宋体"/>
        <charset val="134"/>
      </rPr>
      <t>无形</t>
    </r>
    <r>
      <rPr>
        <sz val="10"/>
        <rFont val="Times New Roman"/>
        <charset val="134"/>
      </rPr>
      <t>-</t>
    </r>
    <r>
      <rPr>
        <sz val="10"/>
        <rFont val="宋体"/>
        <charset val="134"/>
      </rPr>
      <t>其他</t>
    </r>
    <r>
      <rPr>
        <sz val="10"/>
        <rFont val="Times New Roman"/>
        <charset val="134"/>
      </rPr>
      <t>07</t>
    </r>
  </si>
  <si>
    <r>
      <rPr>
        <sz val="10"/>
        <rFont val="宋体"/>
        <charset val="134"/>
      </rPr>
      <t>无形</t>
    </r>
    <r>
      <rPr>
        <sz val="10"/>
        <rFont val="Times New Roman"/>
        <charset val="134"/>
      </rPr>
      <t>-</t>
    </r>
    <r>
      <rPr>
        <sz val="10"/>
        <rFont val="宋体"/>
        <charset val="134"/>
      </rPr>
      <t>其他</t>
    </r>
    <r>
      <rPr>
        <sz val="10"/>
        <rFont val="Times New Roman"/>
        <charset val="134"/>
      </rPr>
      <t>08</t>
    </r>
  </si>
  <si>
    <r>
      <rPr>
        <sz val="10"/>
        <rFont val="宋体"/>
        <charset val="134"/>
      </rPr>
      <t>无形</t>
    </r>
    <r>
      <rPr>
        <sz val="10"/>
        <rFont val="Times New Roman"/>
        <charset val="134"/>
      </rPr>
      <t>-</t>
    </r>
    <r>
      <rPr>
        <sz val="10"/>
        <rFont val="宋体"/>
        <charset val="134"/>
      </rPr>
      <t>其他</t>
    </r>
    <r>
      <rPr>
        <sz val="10"/>
        <rFont val="Times New Roman"/>
        <charset val="134"/>
      </rPr>
      <t>09</t>
    </r>
  </si>
  <si>
    <r>
      <rPr>
        <sz val="10"/>
        <rFont val="宋体"/>
        <charset val="134"/>
      </rPr>
      <t>无形</t>
    </r>
    <r>
      <rPr>
        <sz val="10"/>
        <rFont val="Times New Roman"/>
        <charset val="134"/>
      </rPr>
      <t>-</t>
    </r>
    <r>
      <rPr>
        <sz val="10"/>
        <rFont val="宋体"/>
        <charset val="134"/>
      </rPr>
      <t>其他</t>
    </r>
    <r>
      <rPr>
        <sz val="10"/>
        <rFont val="Times New Roman"/>
        <charset val="134"/>
      </rPr>
      <t>10</t>
    </r>
  </si>
  <si>
    <r>
      <rPr>
        <sz val="10"/>
        <rFont val="宋体"/>
        <charset val="134"/>
      </rPr>
      <t>无形</t>
    </r>
    <r>
      <rPr>
        <sz val="10"/>
        <rFont val="Times New Roman"/>
        <charset val="134"/>
      </rPr>
      <t>-</t>
    </r>
    <r>
      <rPr>
        <sz val="10"/>
        <rFont val="宋体"/>
        <charset val="134"/>
      </rPr>
      <t>其他</t>
    </r>
    <r>
      <rPr>
        <sz val="10"/>
        <rFont val="Times New Roman"/>
        <charset val="134"/>
      </rPr>
      <t>11</t>
    </r>
  </si>
  <si>
    <r>
      <rPr>
        <sz val="10"/>
        <rFont val="宋体"/>
        <charset val="134"/>
      </rPr>
      <t>无形</t>
    </r>
    <r>
      <rPr>
        <sz val="10"/>
        <rFont val="Times New Roman"/>
        <charset val="134"/>
      </rPr>
      <t>-</t>
    </r>
    <r>
      <rPr>
        <sz val="10"/>
        <rFont val="宋体"/>
        <charset val="134"/>
      </rPr>
      <t>其他</t>
    </r>
    <r>
      <rPr>
        <sz val="10"/>
        <rFont val="Times New Roman"/>
        <charset val="134"/>
      </rPr>
      <t>12</t>
    </r>
  </si>
  <si>
    <r>
      <rPr>
        <sz val="10"/>
        <rFont val="宋体"/>
        <charset val="134"/>
      </rPr>
      <t>无形</t>
    </r>
    <r>
      <rPr>
        <sz val="10"/>
        <rFont val="Times New Roman"/>
        <charset val="134"/>
      </rPr>
      <t>-</t>
    </r>
    <r>
      <rPr>
        <sz val="10"/>
        <rFont val="宋体"/>
        <charset val="134"/>
      </rPr>
      <t>其他</t>
    </r>
    <r>
      <rPr>
        <sz val="10"/>
        <rFont val="Times New Roman"/>
        <charset val="134"/>
      </rPr>
      <t>13</t>
    </r>
  </si>
  <si>
    <r>
      <rPr>
        <sz val="10"/>
        <rFont val="宋体"/>
        <charset val="134"/>
      </rPr>
      <t>无形</t>
    </r>
    <r>
      <rPr>
        <sz val="10"/>
        <rFont val="Times New Roman"/>
        <charset val="134"/>
      </rPr>
      <t>-</t>
    </r>
    <r>
      <rPr>
        <sz val="10"/>
        <rFont val="宋体"/>
        <charset val="134"/>
      </rPr>
      <t>其他</t>
    </r>
    <r>
      <rPr>
        <sz val="10"/>
        <rFont val="Times New Roman"/>
        <charset val="134"/>
      </rPr>
      <t>14</t>
    </r>
  </si>
  <si>
    <r>
      <rPr>
        <sz val="10"/>
        <rFont val="宋体"/>
        <charset val="134"/>
      </rPr>
      <t>无形</t>
    </r>
    <r>
      <rPr>
        <sz val="10"/>
        <rFont val="Times New Roman"/>
        <charset val="134"/>
      </rPr>
      <t>-</t>
    </r>
    <r>
      <rPr>
        <sz val="10"/>
        <rFont val="宋体"/>
        <charset val="134"/>
      </rPr>
      <t>其他</t>
    </r>
    <r>
      <rPr>
        <sz val="10"/>
        <rFont val="Times New Roman"/>
        <charset val="134"/>
      </rPr>
      <t>15</t>
    </r>
  </si>
  <si>
    <r>
      <rPr>
        <sz val="10"/>
        <rFont val="宋体"/>
        <charset val="134"/>
      </rPr>
      <t>无形</t>
    </r>
    <r>
      <rPr>
        <sz val="10"/>
        <rFont val="Times New Roman"/>
        <charset val="134"/>
      </rPr>
      <t>-</t>
    </r>
    <r>
      <rPr>
        <sz val="10"/>
        <rFont val="宋体"/>
        <charset val="134"/>
      </rPr>
      <t>其他</t>
    </r>
    <r>
      <rPr>
        <sz val="10"/>
        <rFont val="Times New Roman"/>
        <charset val="134"/>
      </rPr>
      <t>16</t>
    </r>
  </si>
  <si>
    <r>
      <rPr>
        <sz val="10"/>
        <rFont val="宋体"/>
        <charset val="134"/>
      </rPr>
      <t>无形</t>
    </r>
    <r>
      <rPr>
        <sz val="10"/>
        <rFont val="Times New Roman"/>
        <charset val="134"/>
      </rPr>
      <t>-</t>
    </r>
    <r>
      <rPr>
        <sz val="10"/>
        <rFont val="宋体"/>
        <charset val="134"/>
      </rPr>
      <t>其他</t>
    </r>
    <r>
      <rPr>
        <sz val="10"/>
        <rFont val="Times New Roman"/>
        <charset val="134"/>
      </rPr>
      <t>17</t>
    </r>
  </si>
  <si>
    <r>
      <rPr>
        <sz val="10"/>
        <rFont val="宋体"/>
        <charset val="134"/>
      </rPr>
      <t>无形</t>
    </r>
    <r>
      <rPr>
        <sz val="10"/>
        <rFont val="Times New Roman"/>
        <charset val="134"/>
      </rPr>
      <t>-</t>
    </r>
    <r>
      <rPr>
        <sz val="10"/>
        <rFont val="宋体"/>
        <charset val="134"/>
      </rPr>
      <t>其他</t>
    </r>
    <r>
      <rPr>
        <sz val="10"/>
        <rFont val="Times New Roman"/>
        <charset val="134"/>
      </rPr>
      <t>18</t>
    </r>
  </si>
  <si>
    <r>
      <rPr>
        <sz val="10"/>
        <rFont val="宋体"/>
        <charset val="134"/>
      </rPr>
      <t>无形</t>
    </r>
    <r>
      <rPr>
        <sz val="10"/>
        <rFont val="Times New Roman"/>
        <charset val="134"/>
      </rPr>
      <t>-</t>
    </r>
    <r>
      <rPr>
        <sz val="10"/>
        <rFont val="宋体"/>
        <charset val="134"/>
      </rPr>
      <t>其他</t>
    </r>
    <r>
      <rPr>
        <sz val="10"/>
        <rFont val="Times New Roman"/>
        <charset val="134"/>
      </rPr>
      <t>19</t>
    </r>
  </si>
  <si>
    <r>
      <rPr>
        <sz val="10"/>
        <rFont val="宋体"/>
        <charset val="134"/>
      </rPr>
      <t>无形</t>
    </r>
    <r>
      <rPr>
        <sz val="10"/>
        <rFont val="Times New Roman"/>
        <charset val="134"/>
      </rPr>
      <t>-</t>
    </r>
    <r>
      <rPr>
        <sz val="10"/>
        <rFont val="宋体"/>
        <charset val="134"/>
      </rPr>
      <t>其他</t>
    </r>
    <r>
      <rPr>
        <sz val="10"/>
        <rFont val="Times New Roman"/>
        <charset val="134"/>
      </rPr>
      <t>20</t>
    </r>
  </si>
  <si>
    <r>
      <rPr>
        <sz val="9"/>
        <rFont val="Times New Roman"/>
        <charset val="134"/>
      </rPr>
      <t>“</t>
    </r>
    <r>
      <rPr>
        <sz val="9"/>
        <rFont val="宋体"/>
        <charset val="134"/>
      </rPr>
      <t>十三五</t>
    </r>
    <r>
      <rPr>
        <sz val="9"/>
        <rFont val="Times New Roman"/>
        <charset val="134"/>
      </rPr>
      <t>”</t>
    </r>
    <r>
      <rPr>
        <sz val="9"/>
        <rFont val="宋体"/>
        <charset val="134"/>
      </rPr>
      <t>期间专利实施许可使用费有关数据</t>
    </r>
  </si>
  <si>
    <t>https://www.cnipa.gov.cn/art/2021/12/17/art_430_172260.html</t>
  </si>
  <si>
    <r>
      <rPr>
        <sz val="9"/>
        <rFont val="宋体"/>
        <charset val="134"/>
      </rPr>
      <t>行业区分明细</t>
    </r>
  </si>
  <si>
    <t>行业</t>
  </si>
  <si>
    <t>固定许可费</t>
  </si>
  <si>
    <t>按收入提成</t>
  </si>
  <si>
    <t>按利润提成</t>
  </si>
  <si>
    <t>分成率计算表</t>
  </si>
  <si>
    <r>
      <rPr>
        <sz val="9"/>
        <rFont val="宋体"/>
        <charset val="134"/>
      </rPr>
      <t>预测期限</t>
    </r>
  </si>
  <si>
    <r>
      <rPr>
        <sz val="9"/>
        <rFont val="宋体"/>
        <charset val="134"/>
      </rPr>
      <t>所属行业</t>
    </r>
  </si>
  <si>
    <r>
      <rPr>
        <sz val="9"/>
        <rFont val="宋体"/>
        <charset val="134"/>
      </rPr>
      <t>收入分成率</t>
    </r>
  </si>
  <si>
    <t>许可年限</t>
  </si>
  <si>
    <t>平均每年许可费</t>
  </si>
  <si>
    <t>无入门费</t>
  </si>
  <si>
    <t>有入门费</t>
  </si>
  <si>
    <r>
      <rPr>
        <sz val="9"/>
        <color indexed="8"/>
        <rFont val="宋体"/>
        <charset val="134"/>
      </rPr>
      <t>权重</t>
    </r>
  </si>
  <si>
    <r>
      <rPr>
        <sz val="9"/>
        <color indexed="8"/>
        <rFont val="宋体"/>
        <charset val="134"/>
      </rPr>
      <t>考虑因素</t>
    </r>
  </si>
  <si>
    <r>
      <rPr>
        <sz val="9"/>
        <color indexed="8"/>
        <rFont val="宋体"/>
        <charset val="134"/>
      </rPr>
      <t>分</t>
    </r>
    <r>
      <rPr>
        <sz val="9"/>
        <color indexed="8"/>
        <rFont val="Times New Roman"/>
        <charset val="134"/>
      </rPr>
      <t xml:space="preserve">             </t>
    </r>
    <r>
      <rPr>
        <sz val="9"/>
        <color indexed="8"/>
        <rFont val="宋体"/>
        <charset val="134"/>
      </rPr>
      <t>值</t>
    </r>
  </si>
  <si>
    <r>
      <rPr>
        <sz val="9"/>
        <color theme="1"/>
        <rFont val="宋体"/>
        <charset val="134"/>
      </rPr>
      <t>技术风险取值表</t>
    </r>
  </si>
  <si>
    <t>折现率汇总表</t>
  </si>
  <si>
    <r>
      <rPr>
        <sz val="9"/>
        <rFont val="宋体"/>
        <charset val="134"/>
      </rPr>
      <t>分成类型</t>
    </r>
  </si>
  <si>
    <r>
      <rPr>
        <sz val="9"/>
        <rFont val="宋体"/>
        <charset val="134"/>
      </rPr>
      <t>底限</t>
    </r>
  </si>
  <si>
    <r>
      <rPr>
        <sz val="9"/>
        <rFont val="宋体"/>
        <charset val="134"/>
      </rPr>
      <t>高限</t>
    </r>
  </si>
  <si>
    <t>平均提成率</t>
  </si>
  <si>
    <t>提成率中位数</t>
  </si>
  <si>
    <t>入门费</t>
  </si>
  <si>
    <r>
      <rPr>
        <sz val="9"/>
        <color theme="1"/>
        <rFont val="Times New Roman"/>
        <charset val="134"/>
      </rPr>
      <t>80</t>
    </r>
    <r>
      <rPr>
        <sz val="9"/>
        <rFont val="Times New Roman"/>
        <charset val="134"/>
      </rPr>
      <t>-99</t>
    </r>
  </si>
  <si>
    <r>
      <rPr>
        <sz val="9"/>
        <color theme="1"/>
        <rFont val="Times New Roman"/>
        <charset val="134"/>
      </rPr>
      <t>60</t>
    </r>
    <r>
      <rPr>
        <sz val="9"/>
        <rFont val="Times New Roman"/>
        <charset val="134"/>
      </rPr>
      <t>-79</t>
    </r>
  </si>
  <si>
    <r>
      <rPr>
        <sz val="9"/>
        <color theme="1"/>
        <rFont val="Times New Roman"/>
        <charset val="134"/>
      </rPr>
      <t>40</t>
    </r>
    <r>
      <rPr>
        <sz val="9"/>
        <rFont val="Times New Roman"/>
        <charset val="134"/>
      </rPr>
      <t>-59</t>
    </r>
  </si>
  <si>
    <r>
      <rPr>
        <sz val="9"/>
        <color theme="1"/>
        <rFont val="Times New Roman"/>
        <charset val="134"/>
      </rPr>
      <t>20</t>
    </r>
    <r>
      <rPr>
        <sz val="9"/>
        <rFont val="Times New Roman"/>
        <charset val="134"/>
      </rPr>
      <t>-39</t>
    </r>
  </si>
  <si>
    <t>0-19</t>
  </si>
  <si>
    <r>
      <rPr>
        <sz val="9"/>
        <color indexed="8"/>
        <rFont val="宋体"/>
        <charset val="134"/>
      </rPr>
      <t>得分数</t>
    </r>
  </si>
  <si>
    <r>
      <rPr>
        <sz val="9"/>
        <color indexed="8"/>
        <rFont val="宋体"/>
        <charset val="134"/>
      </rPr>
      <t>合计</t>
    </r>
  </si>
  <si>
    <r>
      <rPr>
        <b/>
        <sz val="9"/>
        <color theme="1"/>
        <rFont val="宋体"/>
        <charset val="134"/>
      </rPr>
      <t>权重</t>
    </r>
  </si>
  <si>
    <r>
      <rPr>
        <b/>
        <sz val="9"/>
        <color theme="1"/>
        <rFont val="宋体"/>
        <charset val="134"/>
      </rPr>
      <t>考虑因素</t>
    </r>
  </si>
  <si>
    <r>
      <rPr>
        <b/>
        <sz val="9"/>
        <color theme="1"/>
        <rFont val="宋体"/>
        <charset val="134"/>
      </rPr>
      <t>分值</t>
    </r>
  </si>
  <si>
    <r>
      <rPr>
        <b/>
        <sz val="9"/>
        <color theme="1"/>
        <rFont val="宋体"/>
        <charset val="134"/>
      </rPr>
      <t>合计</t>
    </r>
  </si>
  <si>
    <r>
      <rPr>
        <sz val="9"/>
        <color theme="1"/>
        <rFont val="宋体"/>
        <charset val="134"/>
      </rPr>
      <t>项目</t>
    </r>
  </si>
  <si>
    <t>取值依据</t>
  </si>
  <si>
    <t>打分</t>
  </si>
  <si>
    <t>测评比例</t>
  </si>
  <si>
    <r>
      <rPr>
        <sz val="9"/>
        <color theme="1"/>
        <rFont val="宋体"/>
        <charset val="134"/>
      </rPr>
      <t>数值</t>
    </r>
  </si>
  <si>
    <r>
      <rPr>
        <sz val="9"/>
        <rFont val="宋体"/>
        <charset val="134"/>
      </rPr>
      <t>全民所有制行业</t>
    </r>
  </si>
  <si>
    <t xml:space="preserve">制造业 </t>
  </si>
  <si>
    <r>
      <rPr>
        <sz val="9"/>
        <color indexed="8"/>
        <rFont val="宋体"/>
        <charset val="134"/>
      </rPr>
      <t>法律因素</t>
    </r>
  </si>
  <si>
    <t>技术类型及法律状态</t>
  </si>
  <si>
    <t>一</t>
  </si>
  <si>
    <r>
      <rPr>
        <sz val="9"/>
        <color theme="1"/>
        <rFont val="宋体"/>
        <charset val="134"/>
      </rPr>
      <t>无风险报酬率</t>
    </r>
  </si>
  <si>
    <r>
      <rPr>
        <sz val="9"/>
        <color theme="1"/>
        <rFont val="Times New Roman"/>
        <charset val="134"/>
      </rPr>
      <t>5</t>
    </r>
    <r>
      <rPr>
        <sz val="9"/>
        <color theme="1"/>
        <rFont val="宋体"/>
        <charset val="134"/>
      </rPr>
      <t>年期国债收益率</t>
    </r>
  </si>
  <si>
    <r>
      <rPr>
        <sz val="9"/>
        <rFont val="宋体"/>
        <charset val="134"/>
      </rPr>
      <t>项目</t>
    </r>
    <r>
      <rPr>
        <sz val="9"/>
        <rFont val="Times New Roman"/>
        <charset val="134"/>
      </rPr>
      <t>/</t>
    </r>
    <r>
      <rPr>
        <sz val="9"/>
        <rFont val="宋体"/>
        <charset val="134"/>
      </rPr>
      <t>时间</t>
    </r>
  </si>
  <si>
    <r>
      <rPr>
        <sz val="9"/>
        <rFont val="宋体"/>
        <charset val="134"/>
      </rPr>
      <t>全民与集体合营工业</t>
    </r>
  </si>
  <si>
    <t>保护范围</t>
  </si>
  <si>
    <r>
      <rPr>
        <sz val="9"/>
        <color theme="1"/>
        <rFont val="宋体"/>
        <charset val="134"/>
      </rPr>
      <t>技术转化风险</t>
    </r>
  </si>
  <si>
    <r>
      <rPr>
        <sz val="9"/>
        <color theme="1"/>
        <rFont val="宋体"/>
        <charset val="134"/>
      </rPr>
      <t>工业化生产</t>
    </r>
    <r>
      <rPr>
        <sz val="9"/>
        <color theme="1"/>
        <rFont val="Times New Roman"/>
        <charset val="134"/>
      </rPr>
      <t>(0)</t>
    </r>
    <r>
      <rPr>
        <sz val="9"/>
        <color theme="1"/>
        <rFont val="宋体"/>
        <charset val="134"/>
      </rPr>
      <t>；小批量生产</t>
    </r>
    <r>
      <rPr>
        <sz val="9"/>
        <color theme="1"/>
        <rFont val="Times New Roman"/>
        <charset val="134"/>
      </rPr>
      <t>(20)</t>
    </r>
    <r>
      <rPr>
        <sz val="9"/>
        <color theme="1"/>
        <rFont val="宋体"/>
        <charset val="134"/>
      </rPr>
      <t>；中试</t>
    </r>
    <r>
      <rPr>
        <sz val="9"/>
        <color theme="1"/>
        <rFont val="Times New Roman"/>
        <charset val="134"/>
      </rPr>
      <t>(40)</t>
    </r>
    <r>
      <rPr>
        <sz val="9"/>
        <color theme="1"/>
        <rFont val="宋体"/>
        <charset val="134"/>
      </rPr>
      <t>；小试</t>
    </r>
    <r>
      <rPr>
        <sz val="9"/>
        <color theme="1"/>
        <rFont val="Times New Roman"/>
        <charset val="134"/>
      </rPr>
      <t>(80)</t>
    </r>
    <r>
      <rPr>
        <sz val="9"/>
        <color theme="1"/>
        <rFont val="宋体"/>
        <charset val="134"/>
      </rPr>
      <t>；试验室阶段</t>
    </r>
    <r>
      <rPr>
        <sz val="9"/>
        <color theme="1"/>
        <rFont val="Times New Roman"/>
        <charset val="134"/>
      </rPr>
      <t>(100)</t>
    </r>
    <r>
      <rPr>
        <sz val="9"/>
        <color theme="1"/>
        <rFont val="宋体"/>
        <charset val="134"/>
      </rPr>
      <t>。</t>
    </r>
  </si>
  <si>
    <t>二</t>
  </si>
  <si>
    <r>
      <rPr>
        <sz val="9"/>
        <color theme="1"/>
        <rFont val="宋体"/>
        <charset val="134"/>
      </rPr>
      <t>风险报酬率</t>
    </r>
  </si>
  <si>
    <r>
      <rPr>
        <sz val="9"/>
        <rFont val="宋体"/>
        <charset val="134"/>
      </rPr>
      <t>集体所有制工业</t>
    </r>
  </si>
  <si>
    <t>侵权判定</t>
  </si>
  <si>
    <r>
      <rPr>
        <sz val="9"/>
        <color theme="1"/>
        <rFont val="宋体"/>
        <charset val="134"/>
      </rPr>
      <t>技术替代风险</t>
    </r>
  </si>
  <si>
    <r>
      <rPr>
        <sz val="9"/>
        <color theme="1"/>
        <rFont val="宋体"/>
        <charset val="134"/>
      </rPr>
      <t>技术后续更新能力强，</t>
    </r>
    <r>
      <rPr>
        <sz val="9"/>
        <color theme="1"/>
        <rFont val="Times New Roman"/>
        <charset val="134"/>
      </rPr>
      <t>R&amp;D</t>
    </r>
    <r>
      <rPr>
        <sz val="9"/>
        <color theme="1"/>
        <rFont val="宋体"/>
        <charset val="134"/>
      </rPr>
      <t>投入高</t>
    </r>
    <r>
      <rPr>
        <sz val="9"/>
        <color theme="1"/>
        <rFont val="Times New Roman"/>
        <charset val="134"/>
      </rPr>
      <t>(0)</t>
    </r>
    <r>
      <rPr>
        <sz val="9"/>
        <color theme="1"/>
        <rFont val="宋体"/>
        <charset val="134"/>
      </rPr>
      <t>；技术后续更新能力较强，</t>
    </r>
    <r>
      <rPr>
        <sz val="9"/>
        <color theme="1"/>
        <rFont val="Times New Roman"/>
        <charset val="134"/>
      </rPr>
      <t>R&amp;D</t>
    </r>
    <r>
      <rPr>
        <sz val="9"/>
        <color theme="1"/>
        <rFont val="宋体"/>
        <charset val="134"/>
      </rPr>
      <t>投入较高</t>
    </r>
    <r>
      <rPr>
        <sz val="9"/>
        <color theme="1"/>
        <rFont val="Times New Roman"/>
        <charset val="134"/>
      </rPr>
      <t>(40)</t>
    </r>
    <r>
      <rPr>
        <sz val="9"/>
        <color theme="1"/>
        <rFont val="宋体"/>
        <charset val="134"/>
      </rPr>
      <t>；技术后续更新能力一般，有一定</t>
    </r>
    <r>
      <rPr>
        <sz val="9"/>
        <color theme="1"/>
        <rFont val="Times New Roman"/>
        <charset val="134"/>
      </rPr>
      <t>R&amp;D</t>
    </r>
    <r>
      <rPr>
        <sz val="9"/>
        <color theme="1"/>
        <rFont val="宋体"/>
        <charset val="134"/>
      </rPr>
      <t>投入</t>
    </r>
    <r>
      <rPr>
        <sz val="9"/>
        <color theme="1"/>
        <rFont val="Times New Roman"/>
        <charset val="134"/>
      </rPr>
      <t>(60)</t>
    </r>
    <r>
      <rPr>
        <sz val="9"/>
        <color theme="1"/>
        <rFont val="宋体"/>
        <charset val="134"/>
      </rPr>
      <t>；技术后续更新能力弱，</t>
    </r>
    <r>
      <rPr>
        <sz val="9"/>
        <color theme="1"/>
        <rFont val="Times New Roman"/>
        <charset val="134"/>
      </rPr>
      <t>R&amp;D</t>
    </r>
    <r>
      <rPr>
        <sz val="9"/>
        <color theme="1"/>
        <rFont val="宋体"/>
        <charset val="134"/>
      </rPr>
      <t>投入少</t>
    </r>
    <r>
      <rPr>
        <sz val="9"/>
        <color theme="1"/>
        <rFont val="Times New Roman"/>
        <charset val="134"/>
      </rPr>
      <t>(100)</t>
    </r>
  </si>
  <si>
    <t>政策风险</t>
  </si>
  <si>
    <t>根据国家政策确定</t>
  </si>
  <si>
    <r>
      <rPr>
        <sz val="9"/>
        <rFont val="宋体"/>
        <charset val="134"/>
      </rPr>
      <t>黑色金属矿采选业</t>
    </r>
  </si>
  <si>
    <r>
      <rPr>
        <sz val="9"/>
        <color indexed="8"/>
        <rFont val="宋体"/>
        <charset val="134"/>
      </rPr>
      <t>技术因素</t>
    </r>
  </si>
  <si>
    <t>技术所属领域</t>
  </si>
  <si>
    <r>
      <rPr>
        <sz val="9"/>
        <color theme="1"/>
        <rFont val="宋体"/>
        <charset val="134"/>
      </rPr>
      <t>技术权利风险</t>
    </r>
  </si>
  <si>
    <r>
      <rPr>
        <sz val="9"/>
        <color theme="1"/>
        <rFont val="宋体"/>
        <charset val="134"/>
      </rPr>
      <t>没有取得相关权利证书或鉴定文件</t>
    </r>
    <r>
      <rPr>
        <sz val="9"/>
        <color theme="1"/>
        <rFont val="Times New Roman"/>
        <charset val="134"/>
      </rPr>
      <t>(100</t>
    </r>
    <r>
      <rPr>
        <sz val="9"/>
        <color theme="1"/>
        <rFont val="宋体"/>
        <charset val="134"/>
      </rPr>
      <t>分</t>
    </r>
    <r>
      <rPr>
        <sz val="9"/>
        <color theme="1"/>
        <rFont val="Times New Roman"/>
        <charset val="134"/>
      </rPr>
      <t>)</t>
    </r>
    <r>
      <rPr>
        <sz val="9"/>
        <color theme="1"/>
        <rFont val="宋体"/>
        <charset val="134"/>
      </rPr>
      <t>；取得相关权利证书或鉴定文件</t>
    </r>
    <r>
      <rPr>
        <sz val="9"/>
        <color theme="1"/>
        <rFont val="Times New Roman"/>
        <charset val="134"/>
      </rPr>
      <t>(40</t>
    </r>
    <r>
      <rPr>
        <sz val="9"/>
        <color theme="1"/>
        <rFont val="宋体"/>
        <charset val="134"/>
      </rPr>
      <t>分</t>
    </r>
    <r>
      <rPr>
        <sz val="9"/>
        <color theme="1"/>
        <rFont val="Times New Roman"/>
        <charset val="134"/>
      </rPr>
      <t>)</t>
    </r>
    <r>
      <rPr>
        <sz val="9"/>
        <color theme="1"/>
        <rFont val="宋体"/>
        <charset val="134"/>
      </rPr>
      <t>。</t>
    </r>
  </si>
  <si>
    <r>
      <rPr>
        <sz val="9"/>
        <color theme="1"/>
        <rFont val="宋体"/>
        <charset val="134"/>
      </rPr>
      <t>技术风险</t>
    </r>
  </si>
  <si>
    <t>打分×测评比例</t>
  </si>
  <si>
    <r>
      <rPr>
        <sz val="9"/>
        <rFont val="宋体"/>
        <charset val="134"/>
      </rPr>
      <t>分成衰减率</t>
    </r>
  </si>
  <si>
    <r>
      <rPr>
        <sz val="9"/>
        <rFont val="宋体"/>
        <charset val="134"/>
      </rPr>
      <t>木材加工及草编制造业</t>
    </r>
  </si>
  <si>
    <t xml:space="preserve">木材加工和木、竹、藤、棕、草制品业 </t>
  </si>
  <si>
    <t>替代技术</t>
  </si>
  <si>
    <r>
      <rPr>
        <sz val="9"/>
        <color theme="1"/>
        <rFont val="宋体"/>
        <charset val="134"/>
      </rPr>
      <t>技术整合风险</t>
    </r>
  </si>
  <si>
    <r>
      <rPr>
        <sz val="9"/>
        <color theme="1"/>
        <rFont val="宋体"/>
        <charset val="134"/>
      </rPr>
      <t>技术已模拟正常运营</t>
    </r>
    <r>
      <rPr>
        <sz val="9"/>
        <color theme="1"/>
        <rFont val="Times New Roman"/>
        <charset val="134"/>
      </rPr>
      <t>(0)</t>
    </r>
    <r>
      <rPr>
        <sz val="9"/>
        <color theme="1"/>
        <rFont val="宋体"/>
        <charset val="134"/>
      </rPr>
      <t>；技术已模拟小规模试运营</t>
    </r>
    <r>
      <rPr>
        <sz val="9"/>
        <color theme="1"/>
        <rFont val="Times New Roman"/>
        <charset val="134"/>
      </rPr>
      <t>(60)</t>
    </r>
    <r>
      <rPr>
        <sz val="9"/>
        <color theme="1"/>
        <rFont val="宋体"/>
        <charset val="134"/>
      </rPr>
      <t>；技术尚处于开发阶段</t>
    </r>
    <r>
      <rPr>
        <sz val="9"/>
        <color theme="1"/>
        <rFont val="Times New Roman"/>
        <charset val="134"/>
      </rPr>
      <t>(100)</t>
    </r>
  </si>
  <si>
    <r>
      <rPr>
        <sz val="9"/>
        <color theme="1"/>
        <rFont val="宋体"/>
        <charset val="134"/>
      </rPr>
      <t>市场风险</t>
    </r>
  </si>
  <si>
    <r>
      <rPr>
        <sz val="9"/>
        <rFont val="宋体"/>
        <charset val="134"/>
      </rPr>
      <t>分成额</t>
    </r>
  </si>
  <si>
    <r>
      <rPr>
        <sz val="9"/>
        <rFont val="宋体"/>
        <charset val="134"/>
      </rPr>
      <t>印刷业</t>
    </r>
  </si>
  <si>
    <t>先进性</t>
  </si>
  <si>
    <r>
      <rPr>
        <sz val="9"/>
        <color theme="1"/>
        <rFont val="宋体"/>
        <charset val="134"/>
      </rPr>
      <t>资金风险</t>
    </r>
  </si>
  <si>
    <r>
      <rPr>
        <sz val="9"/>
        <rFont val="宋体"/>
        <charset val="134"/>
      </rPr>
      <t>造纸业</t>
    </r>
  </si>
  <si>
    <t>创新性</t>
  </si>
  <si>
    <r>
      <rPr>
        <sz val="9"/>
        <color theme="1"/>
        <rFont val="宋体"/>
        <charset val="134"/>
      </rPr>
      <t>管理风险</t>
    </r>
  </si>
  <si>
    <r>
      <rPr>
        <sz val="9"/>
        <rFont val="宋体"/>
        <charset val="134"/>
      </rPr>
      <t>折现年限</t>
    </r>
  </si>
  <si>
    <r>
      <rPr>
        <sz val="9"/>
        <rFont val="宋体"/>
        <charset val="134"/>
      </rPr>
      <t>工业艺术品制造</t>
    </r>
  </si>
  <si>
    <t>成熟度</t>
  </si>
  <si>
    <r>
      <rPr>
        <sz val="9"/>
        <color indexed="8"/>
        <rFont val="宋体"/>
        <charset val="134"/>
      </rPr>
      <t>市场风险取值表</t>
    </r>
  </si>
  <si>
    <t>三</t>
  </si>
  <si>
    <r>
      <rPr>
        <sz val="9"/>
        <rFont val="宋体"/>
        <charset val="134"/>
      </rPr>
      <t>折现系数</t>
    </r>
  </si>
  <si>
    <r>
      <rPr>
        <sz val="9"/>
        <rFont val="宋体"/>
        <charset val="134"/>
      </rPr>
      <t>文教体育用品制造业</t>
    </r>
  </si>
  <si>
    <t xml:space="preserve">文教、工美、体育和娱乐用品制造业 </t>
  </si>
  <si>
    <t>应用范围</t>
  </si>
  <si>
    <r>
      <rPr>
        <b/>
        <sz val="9"/>
        <color indexed="8"/>
        <rFont val="宋体"/>
        <charset val="134"/>
      </rPr>
      <t>权重</t>
    </r>
  </si>
  <si>
    <r>
      <rPr>
        <b/>
        <sz val="9"/>
        <color indexed="8"/>
        <rFont val="宋体"/>
        <charset val="134"/>
      </rPr>
      <t>考虑因素</t>
    </r>
  </si>
  <si>
    <r>
      <rPr>
        <b/>
        <sz val="9"/>
        <color indexed="8"/>
        <rFont val="宋体"/>
        <charset val="134"/>
      </rPr>
      <t>分</t>
    </r>
    <r>
      <rPr>
        <b/>
        <sz val="9"/>
        <color indexed="8"/>
        <rFont val="Times New Roman"/>
        <charset val="134"/>
      </rPr>
      <t xml:space="preserve">     </t>
    </r>
    <r>
      <rPr>
        <b/>
        <sz val="9"/>
        <color indexed="8"/>
        <rFont val="宋体"/>
        <charset val="134"/>
      </rPr>
      <t>值</t>
    </r>
  </si>
  <si>
    <r>
      <rPr>
        <b/>
        <sz val="9"/>
        <color indexed="8"/>
        <rFont val="宋体"/>
        <charset val="134"/>
      </rPr>
      <t>合计</t>
    </r>
  </si>
  <si>
    <r>
      <rPr>
        <sz val="9"/>
        <rFont val="宋体"/>
        <charset val="134"/>
      </rPr>
      <t>现值</t>
    </r>
  </si>
  <si>
    <r>
      <rPr>
        <sz val="9"/>
        <rFont val="宋体"/>
        <charset val="134"/>
      </rPr>
      <t>石油加工业</t>
    </r>
  </si>
  <si>
    <t>技术防御力</t>
  </si>
  <si>
    <r>
      <rPr>
        <sz val="9"/>
        <rFont val="宋体"/>
        <charset val="134"/>
      </rPr>
      <t>评估值</t>
    </r>
  </si>
  <si>
    <r>
      <rPr>
        <sz val="9"/>
        <rFont val="宋体"/>
        <charset val="134"/>
      </rPr>
      <t>化学工业</t>
    </r>
  </si>
  <si>
    <t xml:space="preserve">化学原料和化学制品制造业 </t>
  </si>
  <si>
    <r>
      <rPr>
        <sz val="9"/>
        <color indexed="8"/>
        <rFont val="宋体"/>
        <charset val="134"/>
      </rPr>
      <t>经济因素</t>
    </r>
  </si>
  <si>
    <t>供求关系</t>
  </si>
  <si>
    <r>
      <rPr>
        <sz val="9"/>
        <color indexed="8"/>
        <rFont val="宋体"/>
        <charset val="134"/>
      </rPr>
      <t>市场容量风险</t>
    </r>
  </si>
  <si>
    <r>
      <rPr>
        <sz val="9"/>
        <color theme="1"/>
        <rFont val="宋体"/>
        <charset val="134"/>
      </rPr>
      <t>市场总容量大且平稳</t>
    </r>
    <r>
      <rPr>
        <sz val="9"/>
        <color theme="1"/>
        <rFont val="Times New Roman"/>
        <charset val="134"/>
      </rPr>
      <t>(0)</t>
    </r>
    <r>
      <rPr>
        <sz val="9"/>
        <color theme="1"/>
        <rFont val="宋体"/>
        <charset val="134"/>
      </rPr>
      <t>；市场总容量一般，但发展前景好</t>
    </r>
    <r>
      <rPr>
        <sz val="9"/>
        <color theme="1"/>
        <rFont val="Times New Roman"/>
        <charset val="134"/>
      </rPr>
      <t>(20)</t>
    </r>
    <r>
      <rPr>
        <sz val="9"/>
        <color theme="1"/>
        <rFont val="宋体"/>
        <charset val="134"/>
      </rPr>
      <t>；市场总容量一般且发展平稳</t>
    </r>
    <r>
      <rPr>
        <sz val="9"/>
        <color theme="1"/>
        <rFont val="Times New Roman"/>
        <charset val="134"/>
      </rPr>
      <t>(40)</t>
    </r>
    <r>
      <rPr>
        <sz val="9"/>
        <color theme="1"/>
        <rFont val="宋体"/>
        <charset val="134"/>
      </rPr>
      <t>；市场总容量小，呈增长趋势</t>
    </r>
    <r>
      <rPr>
        <sz val="9"/>
        <color theme="1"/>
        <rFont val="Times New Roman"/>
        <charset val="134"/>
      </rPr>
      <t>(80)</t>
    </r>
    <r>
      <rPr>
        <sz val="9"/>
        <color theme="1"/>
        <rFont val="宋体"/>
        <charset val="134"/>
      </rPr>
      <t>；市场总容量小，发展平稳</t>
    </r>
    <r>
      <rPr>
        <sz val="9"/>
        <color theme="1"/>
        <rFont val="Times New Roman"/>
        <charset val="134"/>
      </rPr>
      <t>(100)</t>
    </r>
  </si>
  <si>
    <r>
      <rPr>
        <sz val="9"/>
        <rFont val="宋体"/>
        <charset val="134"/>
      </rPr>
      <t>电力、蒸汽、热水生产及供应业</t>
    </r>
  </si>
  <si>
    <t xml:space="preserve">电力、热力、燃气及水生产和供应业 </t>
  </si>
  <si>
    <r>
      <rPr>
        <sz val="9"/>
        <color indexed="8"/>
        <rFont val="宋体"/>
        <charset val="134"/>
      </rPr>
      <t>合计</t>
    </r>
    <r>
      <rPr>
        <sz val="9"/>
        <color indexed="8"/>
        <rFont val="Times New Roman"/>
        <charset val="134"/>
      </rPr>
      <t>r=</t>
    </r>
  </si>
  <si>
    <r>
      <rPr>
        <sz val="9"/>
        <color indexed="8"/>
        <rFont val="宋体"/>
        <charset val="134"/>
      </rPr>
      <t>市场现有竞争风险</t>
    </r>
  </si>
  <si>
    <r>
      <rPr>
        <sz val="9"/>
        <color theme="1"/>
        <rFont val="宋体"/>
        <charset val="134"/>
      </rPr>
      <t>市场为新市场，无其他同类服务商</t>
    </r>
    <r>
      <rPr>
        <sz val="9"/>
        <color theme="1"/>
        <rFont val="Times New Roman"/>
        <charset val="134"/>
      </rPr>
      <t>(0)</t>
    </r>
    <r>
      <rPr>
        <sz val="9"/>
        <color theme="1"/>
        <rFont val="宋体"/>
        <charset val="134"/>
      </rPr>
      <t>；市场总服务商数量较少，实力无明显优势</t>
    </r>
    <r>
      <rPr>
        <sz val="9"/>
        <color theme="1"/>
        <rFont val="Times New Roman"/>
        <charset val="134"/>
      </rPr>
      <t>(20)</t>
    </r>
    <r>
      <rPr>
        <sz val="9"/>
        <color theme="1"/>
        <rFont val="宋体"/>
        <charset val="134"/>
      </rPr>
      <t>；市场总服务商数量较多，但其中有几个服务商具有技术优势</t>
    </r>
    <r>
      <rPr>
        <sz val="9"/>
        <color theme="1"/>
        <rFont val="Times New Roman"/>
        <charset val="134"/>
      </rPr>
      <t>(40)</t>
    </r>
    <r>
      <rPr>
        <sz val="9"/>
        <color theme="1"/>
        <rFont val="宋体"/>
        <charset val="134"/>
      </rPr>
      <t>；市场总服务商数量较多，但其中有几个服务具有较明显的优势</t>
    </r>
    <r>
      <rPr>
        <sz val="9"/>
        <color theme="1"/>
        <rFont val="Times New Roman"/>
        <charset val="134"/>
      </rPr>
      <t>(60)</t>
    </r>
    <r>
      <rPr>
        <sz val="9"/>
        <color theme="1"/>
        <rFont val="宋体"/>
        <charset val="134"/>
      </rPr>
      <t>；市场总服务商数量众多，且无明显优势</t>
    </r>
    <r>
      <rPr>
        <sz val="9"/>
        <color theme="1"/>
        <rFont val="Times New Roman"/>
        <charset val="134"/>
      </rPr>
      <t>(100)</t>
    </r>
  </si>
  <si>
    <r>
      <rPr>
        <sz val="9"/>
        <rFont val="宋体"/>
        <charset val="134"/>
      </rPr>
      <t>医药业</t>
    </r>
  </si>
  <si>
    <t xml:space="preserve">医药制造业 </t>
  </si>
  <si>
    <r>
      <rPr>
        <sz val="9"/>
        <color indexed="8"/>
        <rFont val="宋体"/>
        <charset val="134"/>
      </rPr>
      <t>市场潜在竞争风险</t>
    </r>
  </si>
  <si>
    <r>
      <rPr>
        <sz val="9"/>
        <color theme="1"/>
        <rFont val="宋体"/>
        <charset val="134"/>
      </rPr>
      <t>下表明确预测</t>
    </r>
  </si>
  <si>
    <r>
      <rPr>
        <sz val="9"/>
        <rFont val="宋体"/>
        <charset val="134"/>
      </rPr>
      <t>橡胶制造业</t>
    </r>
  </si>
  <si>
    <t xml:space="preserve">橡胶和塑料制品业 </t>
  </si>
  <si>
    <r>
      <rPr>
        <sz val="9"/>
        <rFont val="宋体"/>
        <charset val="134"/>
      </rPr>
      <t>行业区分：</t>
    </r>
  </si>
  <si>
    <t>明细</t>
  </si>
  <si>
    <r>
      <rPr>
        <sz val="9"/>
        <rFont val="宋体"/>
        <charset val="134"/>
      </rPr>
      <t>黑色金属冶炼及压延工业</t>
    </r>
  </si>
  <si>
    <r>
      <rPr>
        <sz val="9"/>
        <rFont val="宋体"/>
        <charset val="134"/>
      </rPr>
      <t>金属制造业</t>
    </r>
  </si>
  <si>
    <t xml:space="preserve">金属制品业 </t>
  </si>
  <si>
    <r>
      <rPr>
        <sz val="9"/>
        <color indexed="8"/>
        <rFont val="宋体"/>
        <charset val="134"/>
      </rPr>
      <t>市场潜在竞争风险评测取值表</t>
    </r>
  </si>
  <si>
    <r>
      <rPr>
        <sz val="9"/>
        <rFont val="宋体"/>
        <charset val="134"/>
      </rPr>
      <t>通用设备制造业</t>
    </r>
  </si>
  <si>
    <t xml:space="preserve">通用设备制造业 </t>
  </si>
  <si>
    <r>
      <rPr>
        <sz val="9"/>
        <rFont val="宋体"/>
        <charset val="134"/>
      </rPr>
      <t>铸毛坯制造业</t>
    </r>
  </si>
  <si>
    <r>
      <rPr>
        <sz val="9"/>
        <rFont val="宋体"/>
        <charset val="134"/>
      </rPr>
      <t>农、林、牧、副、渔机械制造业</t>
    </r>
  </si>
  <si>
    <r>
      <rPr>
        <sz val="9"/>
        <color theme="1"/>
        <rFont val="宋体"/>
        <charset val="134"/>
      </rPr>
      <t>市场存在明显的规模经济（</t>
    </r>
    <r>
      <rPr>
        <sz val="9"/>
        <color theme="1"/>
        <rFont val="Times New Roman"/>
        <charset val="134"/>
      </rPr>
      <t>0</t>
    </r>
    <r>
      <rPr>
        <sz val="9"/>
        <color theme="1"/>
        <rFont val="宋体"/>
        <charset val="134"/>
      </rPr>
      <t>）；市场存在一定的规模经济（</t>
    </r>
    <r>
      <rPr>
        <sz val="9"/>
        <color theme="1"/>
        <rFont val="Times New Roman"/>
        <charset val="134"/>
      </rPr>
      <t>20</t>
    </r>
    <r>
      <rPr>
        <sz val="9"/>
        <color theme="1"/>
        <rFont val="宋体"/>
        <charset val="134"/>
      </rPr>
      <t>）；市场存在较小规模经济</t>
    </r>
    <r>
      <rPr>
        <sz val="9"/>
        <color theme="1"/>
        <rFont val="Times New Roman"/>
        <charset val="134"/>
      </rPr>
      <t>(60)</t>
    </r>
    <r>
      <rPr>
        <sz val="9"/>
        <color theme="1"/>
        <rFont val="宋体"/>
        <charset val="134"/>
      </rPr>
      <t>；市场基本不具规模经济（</t>
    </r>
    <r>
      <rPr>
        <sz val="9"/>
        <color theme="1"/>
        <rFont val="Times New Roman"/>
        <charset val="134"/>
      </rPr>
      <t>100</t>
    </r>
    <r>
      <rPr>
        <sz val="9"/>
        <color theme="1"/>
        <rFont val="宋体"/>
        <charset val="134"/>
      </rPr>
      <t>）</t>
    </r>
  </si>
  <si>
    <r>
      <rPr>
        <sz val="9"/>
        <rFont val="宋体"/>
        <charset val="134"/>
      </rPr>
      <t>电器器材制造业</t>
    </r>
  </si>
  <si>
    <t xml:space="preserve">电气机械和器材制造业 </t>
  </si>
  <si>
    <r>
      <rPr>
        <sz val="9"/>
        <rFont val="宋体"/>
        <charset val="134"/>
      </rPr>
      <t>利润分成率</t>
    </r>
  </si>
  <si>
    <r>
      <rPr>
        <sz val="9"/>
        <color theme="1"/>
        <rFont val="宋体"/>
        <charset val="134"/>
      </rPr>
      <t>项目的投资额及转换费用高（</t>
    </r>
    <r>
      <rPr>
        <sz val="9"/>
        <color theme="1"/>
        <rFont val="Times New Roman"/>
        <charset val="134"/>
      </rPr>
      <t>100</t>
    </r>
    <r>
      <rPr>
        <sz val="9"/>
        <color theme="1"/>
        <rFont val="宋体"/>
        <charset val="134"/>
      </rPr>
      <t>）；项目的投资额及转换费用中等（</t>
    </r>
    <r>
      <rPr>
        <sz val="9"/>
        <color theme="1"/>
        <rFont val="Times New Roman"/>
        <charset val="134"/>
      </rPr>
      <t>40</t>
    </r>
    <r>
      <rPr>
        <sz val="9"/>
        <color theme="1"/>
        <rFont val="宋体"/>
        <charset val="134"/>
      </rPr>
      <t>）；项目的投资额及转换费用中等偏上，取</t>
    </r>
    <r>
      <rPr>
        <sz val="9"/>
        <color theme="1"/>
        <rFont val="Times New Roman"/>
        <charset val="134"/>
      </rPr>
      <t>60</t>
    </r>
    <r>
      <rPr>
        <sz val="9"/>
        <color theme="1"/>
        <rFont val="宋体"/>
        <charset val="134"/>
      </rPr>
      <t>分；项目的投资额及转换费用低（</t>
    </r>
    <r>
      <rPr>
        <sz val="9"/>
        <color theme="1"/>
        <rFont val="Times New Roman"/>
        <charset val="134"/>
      </rPr>
      <t>0</t>
    </r>
    <r>
      <rPr>
        <sz val="9"/>
        <color theme="1"/>
        <rFont val="宋体"/>
        <charset val="134"/>
      </rPr>
      <t>）</t>
    </r>
  </si>
  <si>
    <r>
      <rPr>
        <sz val="9"/>
        <rFont val="宋体"/>
        <charset val="134"/>
      </rPr>
      <t>重工业</t>
    </r>
  </si>
  <si>
    <r>
      <rPr>
        <sz val="9"/>
        <color theme="1"/>
        <rFont val="宋体"/>
        <charset val="134"/>
      </rPr>
      <t>产品的销售依赖固有的销售网络（</t>
    </r>
    <r>
      <rPr>
        <sz val="9"/>
        <color theme="1"/>
        <rFont val="Times New Roman"/>
        <charset val="134"/>
      </rPr>
      <t>0</t>
    </r>
    <r>
      <rPr>
        <sz val="9"/>
        <color theme="1"/>
        <rFont val="宋体"/>
        <charset val="134"/>
      </rPr>
      <t>）；产品的销售在一定程度上依赖固有的销售网络（</t>
    </r>
    <r>
      <rPr>
        <sz val="9"/>
        <color theme="1"/>
        <rFont val="Times New Roman"/>
        <charset val="134"/>
      </rPr>
      <t>40</t>
    </r>
    <r>
      <rPr>
        <sz val="9"/>
        <color theme="1"/>
        <rFont val="宋体"/>
        <charset val="134"/>
      </rPr>
      <t>）；产品在较小程度上依赖固有的销售网络，取</t>
    </r>
    <r>
      <rPr>
        <sz val="9"/>
        <color theme="1"/>
        <rFont val="Times New Roman"/>
        <charset val="134"/>
      </rPr>
      <t>60</t>
    </r>
    <r>
      <rPr>
        <sz val="9"/>
        <color theme="1"/>
        <rFont val="宋体"/>
        <charset val="134"/>
      </rPr>
      <t>分；产品的销售不依赖固有的销售网络（</t>
    </r>
    <r>
      <rPr>
        <sz val="9"/>
        <color theme="1"/>
        <rFont val="Times New Roman"/>
        <charset val="134"/>
      </rPr>
      <t>100</t>
    </r>
    <r>
      <rPr>
        <sz val="9"/>
        <color theme="1"/>
        <rFont val="宋体"/>
        <charset val="134"/>
      </rPr>
      <t>）</t>
    </r>
  </si>
  <si>
    <r>
      <rPr>
        <sz val="9"/>
        <rFont val="宋体"/>
        <charset val="134"/>
      </rPr>
      <t>轻工业</t>
    </r>
  </si>
  <si>
    <r>
      <rPr>
        <sz val="9"/>
        <rFont val="宋体"/>
        <charset val="134"/>
      </rPr>
      <t>有色金属矿采选业</t>
    </r>
  </si>
  <si>
    <r>
      <rPr>
        <sz val="9"/>
        <rFont val="宋体"/>
        <charset val="134"/>
      </rPr>
      <t>建筑材料及其他非金属矿采选业</t>
    </r>
  </si>
  <si>
    <r>
      <rPr>
        <sz val="9"/>
        <color indexed="8"/>
        <rFont val="宋体"/>
        <charset val="134"/>
      </rPr>
      <t>资金风险取值表</t>
    </r>
  </si>
  <si>
    <r>
      <rPr>
        <sz val="9"/>
        <rFont val="宋体"/>
        <charset val="134"/>
      </rPr>
      <t>采盐业</t>
    </r>
  </si>
  <si>
    <r>
      <rPr>
        <sz val="9"/>
        <rFont val="宋体"/>
        <charset val="134"/>
      </rPr>
      <t>木材及竹材采运业</t>
    </r>
  </si>
  <si>
    <r>
      <rPr>
        <sz val="9"/>
        <rFont val="宋体"/>
        <charset val="134"/>
      </rPr>
      <t>自来水生产及供应业</t>
    </r>
  </si>
  <si>
    <t>融资风险</t>
  </si>
  <si>
    <r>
      <rPr>
        <sz val="9"/>
        <color theme="1"/>
        <rFont val="宋体"/>
        <charset val="134"/>
      </rPr>
      <t>项目投资额低，取</t>
    </r>
    <r>
      <rPr>
        <sz val="9"/>
        <color theme="1"/>
        <rFont val="Times New Roman"/>
        <charset val="134"/>
      </rPr>
      <t>0</t>
    </r>
    <r>
      <rPr>
        <sz val="9"/>
        <color theme="1"/>
        <rFont val="宋体"/>
        <charset val="134"/>
      </rPr>
      <t>分，项目投资额中等，取</t>
    </r>
    <r>
      <rPr>
        <sz val="9"/>
        <color theme="1"/>
        <rFont val="Times New Roman"/>
        <charset val="134"/>
      </rPr>
      <t>40</t>
    </r>
    <r>
      <rPr>
        <sz val="9"/>
        <color theme="1"/>
        <rFont val="宋体"/>
        <charset val="134"/>
      </rPr>
      <t>分，项目投资额较高，取</t>
    </r>
    <r>
      <rPr>
        <sz val="9"/>
        <color theme="1"/>
        <rFont val="Times New Roman"/>
        <charset val="134"/>
      </rPr>
      <t>60</t>
    </r>
    <r>
      <rPr>
        <sz val="9"/>
        <color theme="1"/>
        <rFont val="宋体"/>
        <charset val="134"/>
      </rPr>
      <t>分，项目投资额高取</t>
    </r>
    <r>
      <rPr>
        <sz val="9"/>
        <color theme="1"/>
        <rFont val="Times New Roman"/>
        <charset val="134"/>
      </rPr>
      <t>100</t>
    </r>
    <r>
      <rPr>
        <sz val="9"/>
        <color theme="1"/>
        <rFont val="宋体"/>
        <charset val="134"/>
      </rPr>
      <t>分</t>
    </r>
  </si>
  <si>
    <r>
      <rPr>
        <sz val="9"/>
        <rFont val="宋体"/>
        <charset val="134"/>
      </rPr>
      <t>食品制造业</t>
    </r>
  </si>
  <si>
    <t xml:space="preserve">食品制造业 </t>
  </si>
  <si>
    <t>流动资金风险</t>
  </si>
  <si>
    <r>
      <rPr>
        <sz val="9"/>
        <color theme="1"/>
        <rFont val="宋体"/>
        <charset val="134"/>
      </rPr>
      <t>流动资金需要额少，取</t>
    </r>
    <r>
      <rPr>
        <sz val="9"/>
        <color theme="1"/>
        <rFont val="Times New Roman"/>
        <charset val="134"/>
      </rPr>
      <t>0</t>
    </r>
    <r>
      <rPr>
        <sz val="9"/>
        <color theme="1"/>
        <rFont val="宋体"/>
        <charset val="134"/>
      </rPr>
      <t>分；流动资金需要额中等取</t>
    </r>
    <r>
      <rPr>
        <sz val="9"/>
        <color theme="1"/>
        <rFont val="Times New Roman"/>
        <charset val="134"/>
      </rPr>
      <t>40</t>
    </r>
    <r>
      <rPr>
        <sz val="9"/>
        <color theme="1"/>
        <rFont val="宋体"/>
        <charset val="134"/>
      </rPr>
      <t>分；流动资金需要额较高取</t>
    </r>
    <r>
      <rPr>
        <sz val="9"/>
        <color theme="1"/>
        <rFont val="Times New Roman"/>
        <charset val="134"/>
      </rPr>
      <t>60</t>
    </r>
    <r>
      <rPr>
        <sz val="9"/>
        <color theme="1"/>
        <rFont val="宋体"/>
        <charset val="134"/>
      </rPr>
      <t>分；流动资金需要额高，取</t>
    </r>
    <r>
      <rPr>
        <sz val="9"/>
        <color theme="1"/>
        <rFont val="Times New Roman"/>
        <charset val="134"/>
      </rPr>
      <t>100</t>
    </r>
    <r>
      <rPr>
        <sz val="9"/>
        <color theme="1"/>
        <rFont val="宋体"/>
        <charset val="134"/>
      </rPr>
      <t>分</t>
    </r>
  </si>
  <si>
    <r>
      <rPr>
        <sz val="9"/>
        <rFont val="宋体"/>
        <charset val="134"/>
      </rPr>
      <t>饮料制造业</t>
    </r>
  </si>
  <si>
    <t xml:space="preserve">酒、饮料和精制茶制造业 </t>
  </si>
  <si>
    <r>
      <rPr>
        <sz val="9"/>
        <rFont val="宋体"/>
        <charset val="134"/>
      </rPr>
      <t>纺织业</t>
    </r>
  </si>
  <si>
    <r>
      <rPr>
        <sz val="9"/>
        <rFont val="宋体"/>
        <charset val="134"/>
      </rPr>
      <t>饲料工业</t>
    </r>
  </si>
  <si>
    <r>
      <rPr>
        <sz val="9"/>
        <color indexed="8"/>
        <rFont val="宋体"/>
        <charset val="134"/>
      </rPr>
      <t>管理风险评测取值表</t>
    </r>
  </si>
  <si>
    <r>
      <rPr>
        <sz val="9"/>
        <rFont val="宋体"/>
        <charset val="134"/>
      </rPr>
      <t>皮革皮毛及其制造业</t>
    </r>
  </si>
  <si>
    <t xml:space="preserve">皮革、毛皮、羽毛及其制品和制鞋业 </t>
  </si>
  <si>
    <r>
      <rPr>
        <sz val="9"/>
        <rFont val="宋体"/>
        <charset val="134"/>
      </rPr>
      <t>建筑材料及其他非金属矿制造业</t>
    </r>
  </si>
  <si>
    <t xml:space="preserve">非金属矿物制品业 </t>
  </si>
  <si>
    <r>
      <rPr>
        <sz val="9"/>
        <rFont val="宋体"/>
        <charset val="134"/>
      </rPr>
      <t>有色金属冶炼及压延加工业</t>
    </r>
  </si>
  <si>
    <t>销售服务风险</t>
  </si>
  <si>
    <r>
      <rPr>
        <sz val="9"/>
        <color theme="1"/>
        <rFont val="宋体"/>
        <charset val="134"/>
      </rPr>
      <t>已有销售网点和人员（</t>
    </r>
    <r>
      <rPr>
        <sz val="9"/>
        <color theme="1"/>
        <rFont val="Times New Roman"/>
        <charset val="134"/>
      </rPr>
      <t>0</t>
    </r>
    <r>
      <rPr>
        <sz val="9"/>
        <color theme="1"/>
        <rFont val="宋体"/>
        <charset val="134"/>
      </rPr>
      <t>）；除利用现有网点外，还需要建立一部分新销售服务网点（</t>
    </r>
    <r>
      <rPr>
        <sz val="9"/>
        <color theme="1"/>
        <rFont val="Times New Roman"/>
        <charset val="134"/>
      </rPr>
      <t>20</t>
    </r>
    <r>
      <rPr>
        <sz val="9"/>
        <color theme="1"/>
        <rFont val="宋体"/>
        <charset val="134"/>
      </rPr>
      <t>）；必须开辟与现有网点数相当的新网点和增加一部分新人力投入（</t>
    </r>
    <r>
      <rPr>
        <sz val="9"/>
        <color theme="1"/>
        <rFont val="Times New Roman"/>
        <charset val="134"/>
      </rPr>
      <t>60</t>
    </r>
    <r>
      <rPr>
        <sz val="9"/>
        <color theme="1"/>
        <rFont val="宋体"/>
        <charset val="134"/>
      </rPr>
      <t>）；全部是新网点和新的销售服务人员（</t>
    </r>
    <r>
      <rPr>
        <sz val="9"/>
        <color theme="1"/>
        <rFont val="Times New Roman"/>
        <charset val="134"/>
      </rPr>
      <t>100</t>
    </r>
    <r>
      <rPr>
        <sz val="9"/>
        <color theme="1"/>
        <rFont val="宋体"/>
        <charset val="134"/>
      </rPr>
      <t>）</t>
    </r>
  </si>
  <si>
    <r>
      <rPr>
        <sz val="9"/>
        <rFont val="宋体"/>
        <charset val="134"/>
      </rPr>
      <t>机械工业</t>
    </r>
  </si>
  <si>
    <t>质量管理风险</t>
  </si>
  <si>
    <r>
      <rPr>
        <sz val="9"/>
        <color theme="1"/>
        <rFont val="宋体"/>
        <charset val="134"/>
      </rPr>
      <t>质保体系建立完善，实施全过程质量控制（</t>
    </r>
    <r>
      <rPr>
        <sz val="9"/>
        <color theme="1"/>
        <rFont val="Times New Roman"/>
        <charset val="134"/>
      </rPr>
      <t>0</t>
    </r>
    <r>
      <rPr>
        <sz val="9"/>
        <color theme="1"/>
        <rFont val="宋体"/>
        <charset val="134"/>
      </rPr>
      <t>）；质保体系建立但不完善，部分服务过程实施质量控制（</t>
    </r>
    <r>
      <rPr>
        <sz val="9"/>
        <color theme="1"/>
        <rFont val="Times New Roman"/>
        <charset val="134"/>
      </rPr>
      <t>20</t>
    </r>
    <r>
      <rPr>
        <sz val="9"/>
        <color theme="1"/>
        <rFont val="宋体"/>
        <charset val="134"/>
      </rPr>
      <t>）；质保体系建立但不完善，大部分服务过程实施质量控制（</t>
    </r>
    <r>
      <rPr>
        <sz val="9"/>
        <color theme="1"/>
        <rFont val="Times New Roman"/>
        <charset val="134"/>
      </rPr>
      <t>40</t>
    </r>
    <r>
      <rPr>
        <sz val="9"/>
        <color theme="1"/>
        <rFont val="宋体"/>
        <charset val="134"/>
      </rPr>
      <t>）；质保体系尚待建立，只在个别环节实施质量控制（</t>
    </r>
    <r>
      <rPr>
        <sz val="9"/>
        <color theme="1"/>
        <rFont val="Times New Roman"/>
        <charset val="134"/>
      </rPr>
      <t>100</t>
    </r>
    <r>
      <rPr>
        <sz val="9"/>
        <color theme="1"/>
        <rFont val="宋体"/>
        <charset val="134"/>
      </rPr>
      <t>）。</t>
    </r>
  </si>
  <si>
    <r>
      <rPr>
        <sz val="9"/>
        <rFont val="宋体"/>
        <charset val="134"/>
      </rPr>
      <t>通用零部件制造业</t>
    </r>
  </si>
  <si>
    <t>技术开发风险</t>
  </si>
  <si>
    <r>
      <rPr>
        <sz val="9"/>
        <color theme="1"/>
        <rFont val="宋体"/>
        <charset val="134"/>
      </rPr>
      <t>技术力量很强，</t>
    </r>
    <r>
      <rPr>
        <sz val="9"/>
        <color theme="1"/>
        <rFont val="Times New Roman"/>
        <charset val="134"/>
      </rPr>
      <t>R&amp;D</t>
    </r>
    <r>
      <rPr>
        <sz val="9"/>
        <color theme="1"/>
        <rFont val="宋体"/>
        <charset val="134"/>
      </rPr>
      <t>投入很高（</t>
    </r>
    <r>
      <rPr>
        <sz val="9"/>
        <color theme="1"/>
        <rFont val="Times New Roman"/>
        <charset val="134"/>
      </rPr>
      <t>0</t>
    </r>
    <r>
      <rPr>
        <sz val="9"/>
        <color theme="1"/>
        <rFont val="宋体"/>
        <charset val="134"/>
      </rPr>
      <t>）；技术力量强，</t>
    </r>
    <r>
      <rPr>
        <sz val="9"/>
        <color theme="1"/>
        <rFont val="Times New Roman"/>
        <charset val="134"/>
      </rPr>
      <t>R&amp;D</t>
    </r>
    <r>
      <rPr>
        <sz val="9"/>
        <color theme="1"/>
        <rFont val="宋体"/>
        <charset val="134"/>
      </rPr>
      <t>投入高（</t>
    </r>
    <r>
      <rPr>
        <sz val="9"/>
        <color theme="1"/>
        <rFont val="Times New Roman"/>
        <charset val="134"/>
      </rPr>
      <t>20</t>
    </r>
    <r>
      <rPr>
        <sz val="9"/>
        <color theme="1"/>
        <rFont val="宋体"/>
        <charset val="134"/>
      </rPr>
      <t>）；技术力量较强，</t>
    </r>
    <r>
      <rPr>
        <sz val="9"/>
        <color theme="1"/>
        <rFont val="Times New Roman"/>
        <charset val="134"/>
      </rPr>
      <t>R&amp;D</t>
    </r>
    <r>
      <rPr>
        <sz val="9"/>
        <color theme="1"/>
        <rFont val="宋体"/>
        <charset val="134"/>
      </rPr>
      <t>投入较高（</t>
    </r>
    <r>
      <rPr>
        <sz val="9"/>
        <color theme="1"/>
        <rFont val="Times New Roman"/>
        <charset val="134"/>
      </rPr>
      <t>40</t>
    </r>
    <r>
      <rPr>
        <sz val="9"/>
        <color theme="1"/>
        <rFont val="宋体"/>
        <charset val="134"/>
      </rPr>
      <t>）；技术力量一般，有一定</t>
    </r>
    <r>
      <rPr>
        <sz val="9"/>
        <color theme="1"/>
        <rFont val="Times New Roman"/>
        <charset val="134"/>
      </rPr>
      <t>R&amp;D</t>
    </r>
    <r>
      <rPr>
        <sz val="9"/>
        <color theme="1"/>
        <rFont val="宋体"/>
        <charset val="134"/>
      </rPr>
      <t>投入（</t>
    </r>
    <r>
      <rPr>
        <sz val="9"/>
        <color theme="1"/>
        <rFont val="Times New Roman"/>
        <charset val="134"/>
      </rPr>
      <t>60</t>
    </r>
    <r>
      <rPr>
        <sz val="9"/>
        <color theme="1"/>
        <rFont val="宋体"/>
        <charset val="134"/>
      </rPr>
      <t>）；技术力量弱，</t>
    </r>
    <r>
      <rPr>
        <sz val="9"/>
        <color theme="1"/>
        <rFont val="Times New Roman"/>
        <charset val="134"/>
      </rPr>
      <t>R&amp;D</t>
    </r>
    <r>
      <rPr>
        <sz val="9"/>
        <color theme="1"/>
        <rFont val="宋体"/>
        <charset val="134"/>
      </rPr>
      <t>投入少（</t>
    </r>
    <r>
      <rPr>
        <sz val="9"/>
        <color theme="1"/>
        <rFont val="Times New Roman"/>
        <charset val="134"/>
      </rPr>
      <t>100</t>
    </r>
    <r>
      <rPr>
        <sz val="9"/>
        <color theme="1"/>
        <rFont val="宋体"/>
        <charset val="134"/>
      </rPr>
      <t>）</t>
    </r>
  </si>
  <si>
    <r>
      <rPr>
        <sz val="9"/>
        <rFont val="宋体"/>
        <charset val="134"/>
      </rPr>
      <t>工业专业设备制造业</t>
    </r>
  </si>
  <si>
    <t xml:space="preserve">专用设备制造业 </t>
  </si>
  <si>
    <r>
      <rPr>
        <sz val="9"/>
        <rFont val="宋体"/>
        <charset val="134"/>
      </rPr>
      <t>交通运输设备制造业</t>
    </r>
  </si>
  <si>
    <t xml:space="preserve">铁路、船舶、航空航天和其他运输设备制造业 </t>
  </si>
  <si>
    <r>
      <rPr>
        <sz val="9"/>
        <rFont val="宋体"/>
        <charset val="134"/>
      </rPr>
      <t>电子及通信设备制造业</t>
    </r>
  </si>
  <si>
    <t xml:space="preserve">计算机、通信和其他电子设备制造业 </t>
  </si>
  <si>
    <r>
      <rPr>
        <sz val="9"/>
        <rFont val="宋体"/>
        <charset val="134"/>
      </rPr>
      <t>缝纫业</t>
    </r>
  </si>
  <si>
    <r>
      <rPr>
        <sz val="9"/>
        <rFont val="宋体"/>
        <charset val="134"/>
      </rPr>
      <t>家具制造业</t>
    </r>
  </si>
  <si>
    <t xml:space="preserve">家具制造业 </t>
  </si>
  <si>
    <r>
      <rPr>
        <sz val="9"/>
        <rFont val="宋体"/>
        <charset val="134"/>
      </rPr>
      <t>其他采选业</t>
    </r>
  </si>
  <si>
    <r>
      <rPr>
        <sz val="9"/>
        <rFont val="宋体"/>
        <charset val="134"/>
      </rPr>
      <t>行业区分简易</t>
    </r>
  </si>
  <si>
    <r>
      <rPr>
        <sz val="9"/>
        <color indexed="8"/>
        <rFont val="宋体"/>
        <charset val="134"/>
      </rPr>
      <t>石油化工行业</t>
    </r>
  </si>
  <si>
    <r>
      <rPr>
        <sz val="9"/>
        <color indexed="8"/>
        <rFont val="宋体"/>
        <charset val="134"/>
      </rPr>
      <t>日用消费品行业</t>
    </r>
  </si>
  <si>
    <r>
      <rPr>
        <sz val="9"/>
        <color indexed="8"/>
        <rFont val="宋体"/>
        <charset val="134"/>
      </rPr>
      <t>机械制造行业</t>
    </r>
  </si>
  <si>
    <r>
      <rPr>
        <sz val="9"/>
        <color indexed="8"/>
        <rFont val="宋体"/>
        <charset val="134"/>
      </rPr>
      <t>化学行业</t>
    </r>
  </si>
  <si>
    <r>
      <rPr>
        <sz val="9"/>
        <color indexed="8"/>
        <rFont val="宋体"/>
        <charset val="134"/>
      </rPr>
      <t>制药行业</t>
    </r>
  </si>
  <si>
    <r>
      <rPr>
        <sz val="9"/>
        <color indexed="8"/>
        <rFont val="宋体"/>
        <charset val="134"/>
      </rPr>
      <t>电器行业</t>
    </r>
  </si>
  <si>
    <r>
      <rPr>
        <sz val="9"/>
        <color indexed="8"/>
        <rFont val="宋体"/>
        <charset val="134"/>
      </rPr>
      <t>精密仪器行业</t>
    </r>
  </si>
  <si>
    <t xml:space="preserve">仪器仪表制造业 </t>
  </si>
  <si>
    <r>
      <rPr>
        <sz val="9"/>
        <color indexed="8"/>
        <rFont val="宋体"/>
        <charset val="134"/>
      </rPr>
      <t>汽车行业</t>
    </r>
  </si>
  <si>
    <t xml:space="preserve">汽车制造业 </t>
  </si>
  <si>
    <r>
      <rPr>
        <sz val="9"/>
        <color indexed="8"/>
        <rFont val="宋体"/>
        <charset val="134"/>
      </rPr>
      <t>光学及电子产品</t>
    </r>
  </si>
  <si>
    <t xml:space="preserve">其他制造业 </t>
  </si>
  <si>
    <t xml:space="preserve">废弃资源综合利用业 </t>
  </si>
  <si>
    <t xml:space="preserve">农副食品加工业 </t>
  </si>
  <si>
    <t xml:space="preserve">金属制品、机械和设备修理业 </t>
  </si>
  <si>
    <t xml:space="preserve">科学研究和技术服务业 </t>
  </si>
  <si>
    <t xml:space="preserve">研究和试验发展 </t>
  </si>
  <si>
    <t xml:space="preserve">专业技术服务业 </t>
  </si>
  <si>
    <t xml:space="preserve">科技推广和应用服务业 </t>
  </si>
  <si>
    <t xml:space="preserve">建筑业 </t>
  </si>
  <si>
    <t xml:space="preserve">建筑装饰、装修和其他建筑业 </t>
  </si>
  <si>
    <t xml:space="preserve">土木工程建筑业 </t>
  </si>
  <si>
    <t xml:space="preserve">房屋建筑业 </t>
  </si>
  <si>
    <t xml:space="preserve">建筑安装业 </t>
  </si>
  <si>
    <t xml:space="preserve">信息传输、软件和信息技术服务业 </t>
  </si>
  <si>
    <t xml:space="preserve">软件和信息技术服务业 </t>
  </si>
  <si>
    <t xml:space="preserve">批发和零售业 </t>
  </si>
  <si>
    <t xml:space="preserve">批发业 </t>
  </si>
  <si>
    <t xml:space="preserve">零售业 </t>
  </si>
  <si>
    <t xml:space="preserve">农、林、牧、渔业 </t>
  </si>
  <si>
    <t xml:space="preserve">农业 </t>
  </si>
  <si>
    <t xml:space="preserve">农、林、牧、渔专业及辅助性活动 </t>
  </si>
  <si>
    <t xml:space="preserve">居民服务、修理和其他服务业 </t>
  </si>
  <si>
    <r>
      <rPr>
        <b/>
        <sz val="9"/>
        <color indexed="8"/>
        <rFont val="宋体"/>
        <charset val="134"/>
      </rPr>
      <t>证券代码</t>
    </r>
  </si>
  <si>
    <r>
      <rPr>
        <b/>
        <sz val="9"/>
        <color indexed="8"/>
        <rFont val="宋体"/>
        <charset val="134"/>
      </rPr>
      <t>证券简称</t>
    </r>
  </si>
  <si>
    <r>
      <rPr>
        <b/>
        <sz val="9"/>
        <rFont val="宋体"/>
        <charset val="134"/>
      </rPr>
      <t>投入资本回报率</t>
    </r>
    <r>
      <rPr>
        <b/>
        <sz val="9"/>
        <rFont val="Times New Roman"/>
        <charset val="134"/>
      </rPr>
      <t>ROIC(TTM)(%)</t>
    </r>
  </si>
  <si>
    <t>当年剩余月份：</t>
  </si>
  <si>
    <r>
      <rPr>
        <sz val="9"/>
        <rFont val="宋体"/>
        <charset val="134"/>
      </rPr>
      <t>科目</t>
    </r>
    <r>
      <rPr>
        <sz val="9"/>
        <rFont val="Times New Roman"/>
        <charset val="134"/>
      </rPr>
      <t>/</t>
    </r>
    <r>
      <rPr>
        <sz val="9"/>
        <rFont val="宋体"/>
        <charset val="134"/>
      </rPr>
      <t>时间</t>
    </r>
  </si>
  <si>
    <t>编号</t>
  </si>
  <si>
    <t>计算过程</t>
  </si>
  <si>
    <t>数据</t>
  </si>
  <si>
    <r>
      <rPr>
        <sz val="9"/>
        <rFont val="宋体"/>
        <charset val="134"/>
      </rPr>
      <t>设备购置费</t>
    </r>
  </si>
  <si>
    <t>002049.SZ</t>
  </si>
  <si>
    <r>
      <rPr>
        <sz val="9"/>
        <color theme="1"/>
        <rFont val="宋体"/>
        <charset val="134"/>
      </rPr>
      <t>紫光国微</t>
    </r>
  </si>
  <si>
    <t>重置成本</t>
  </si>
  <si>
    <r>
      <rPr>
        <sz val="9"/>
        <rFont val="宋体"/>
        <charset val="134"/>
      </rPr>
      <t>房屋水电费</t>
    </r>
  </si>
  <si>
    <t>002180.SZ</t>
  </si>
  <si>
    <r>
      <rPr>
        <sz val="9"/>
        <color theme="1"/>
        <rFont val="宋体"/>
        <charset val="134"/>
      </rPr>
      <t>纳思达</t>
    </r>
  </si>
  <si>
    <r>
      <rPr>
        <sz val="9"/>
        <rFont val="宋体"/>
        <charset val="134"/>
      </rPr>
      <t>开始使用年限</t>
    </r>
  </si>
  <si>
    <r>
      <rPr>
        <sz val="9"/>
        <rFont val="宋体"/>
        <charset val="134"/>
      </rPr>
      <t>人员报酬</t>
    </r>
  </si>
  <si>
    <t>002185.SZ</t>
  </si>
  <si>
    <r>
      <rPr>
        <sz val="9"/>
        <color theme="1"/>
        <rFont val="宋体"/>
        <charset val="134"/>
      </rPr>
      <t>华天科技</t>
    </r>
  </si>
  <si>
    <r>
      <rPr>
        <sz val="9"/>
        <rFont val="宋体"/>
        <charset val="134"/>
      </rPr>
      <t>评估基准日</t>
    </r>
  </si>
  <si>
    <r>
      <rPr>
        <sz val="9"/>
        <rFont val="宋体"/>
        <charset val="134"/>
      </rPr>
      <t>材料购置</t>
    </r>
  </si>
  <si>
    <t>002371.SZ</t>
  </si>
  <si>
    <r>
      <rPr>
        <sz val="9"/>
        <color theme="1"/>
        <rFont val="宋体"/>
        <charset val="134"/>
      </rPr>
      <t>北方华创</t>
    </r>
  </si>
  <si>
    <r>
      <rPr>
        <sz val="9"/>
        <rFont val="宋体"/>
        <charset val="134"/>
      </rPr>
      <t>已使用年限</t>
    </r>
  </si>
  <si>
    <t>D=(C-B)÷365.25</t>
  </si>
  <si>
    <r>
      <rPr>
        <sz val="9"/>
        <rFont val="宋体"/>
        <charset val="134"/>
      </rPr>
      <t>其他费用</t>
    </r>
  </si>
  <si>
    <t>300223.SZ</t>
  </si>
  <si>
    <r>
      <rPr>
        <sz val="9"/>
        <color theme="1"/>
        <rFont val="宋体"/>
        <charset val="134"/>
      </rPr>
      <t>北京君正</t>
    </r>
  </si>
  <si>
    <r>
      <rPr>
        <sz val="9"/>
        <rFont val="宋体"/>
        <charset val="134"/>
      </rPr>
      <t>剩余经济寿命年限</t>
    </r>
  </si>
  <si>
    <r>
      <rPr>
        <sz val="9"/>
        <rFont val="宋体"/>
        <charset val="134"/>
      </rPr>
      <t>合计</t>
    </r>
    <r>
      <rPr>
        <sz val="9"/>
        <rFont val="Times New Roman"/>
        <charset val="134"/>
      </rPr>
      <t xml:space="preserve">   </t>
    </r>
  </si>
  <si>
    <t>300346.SZ</t>
  </si>
  <si>
    <r>
      <rPr>
        <sz val="9"/>
        <color theme="1"/>
        <rFont val="宋体"/>
        <charset val="134"/>
      </rPr>
      <t>南大光电</t>
    </r>
  </si>
  <si>
    <r>
      <rPr>
        <sz val="9"/>
        <rFont val="宋体"/>
        <charset val="134"/>
      </rPr>
      <t>总经济寿命年限</t>
    </r>
  </si>
  <si>
    <t>F=D+E</t>
  </si>
  <si>
    <t>300493.SZ</t>
  </si>
  <si>
    <r>
      <rPr>
        <sz val="9"/>
        <color theme="1"/>
        <rFont val="宋体"/>
        <charset val="134"/>
      </rPr>
      <t>润欣科技</t>
    </r>
  </si>
  <si>
    <r>
      <rPr>
        <sz val="9"/>
        <rFont val="宋体"/>
        <charset val="134"/>
      </rPr>
      <t>成新率</t>
    </r>
  </si>
  <si>
    <t>G=E÷F</t>
  </si>
  <si>
    <r>
      <rPr>
        <sz val="9"/>
        <rFont val="宋体"/>
        <charset val="134"/>
      </rPr>
      <t>时间</t>
    </r>
  </si>
  <si>
    <t>600171.SH</t>
  </si>
  <si>
    <r>
      <rPr>
        <sz val="9"/>
        <color theme="1"/>
        <rFont val="宋体"/>
        <charset val="134"/>
      </rPr>
      <t>上海贝岭</t>
    </r>
  </si>
  <si>
    <t>H=A×G</t>
  </si>
  <si>
    <r>
      <rPr>
        <sz val="9"/>
        <rFont val="宋体"/>
        <charset val="134"/>
      </rPr>
      <t>工业品出厂价格指数</t>
    </r>
  </si>
  <si>
    <t>600360.SH</t>
  </si>
  <si>
    <r>
      <rPr>
        <sz val="9"/>
        <color theme="1"/>
        <rFont val="宋体"/>
        <charset val="134"/>
      </rPr>
      <t>华微电子</t>
    </r>
  </si>
  <si>
    <r>
      <rPr>
        <sz val="9"/>
        <rFont val="宋体"/>
        <charset val="134"/>
      </rPr>
      <t>企业商品价格指数</t>
    </r>
  </si>
  <si>
    <t>600584.SH</t>
  </si>
  <si>
    <r>
      <rPr>
        <sz val="9"/>
        <color theme="1"/>
        <rFont val="宋体"/>
        <charset val="134"/>
      </rPr>
      <t>长电科技</t>
    </r>
  </si>
  <si>
    <r>
      <rPr>
        <sz val="9"/>
        <rFont val="宋体"/>
        <charset val="134"/>
      </rPr>
      <t>北京平均工资环比</t>
    </r>
  </si>
  <si>
    <t>600667.SH</t>
  </si>
  <si>
    <r>
      <rPr>
        <sz val="9"/>
        <color theme="1"/>
        <rFont val="宋体"/>
        <charset val="134"/>
      </rPr>
      <t>太极实业</t>
    </r>
  </si>
  <si>
    <t>603986.SH</t>
  </si>
  <si>
    <r>
      <rPr>
        <sz val="9"/>
        <color theme="1"/>
        <rFont val="宋体"/>
        <charset val="134"/>
      </rPr>
      <t>兆易创新</t>
    </r>
  </si>
  <si>
    <r>
      <rPr>
        <sz val="9"/>
        <rFont val="宋体"/>
        <charset val="134"/>
      </rPr>
      <t>北京年平均工资（元</t>
    </r>
    <r>
      <rPr>
        <sz val="9"/>
        <rFont val="Times New Roman"/>
        <charset val="134"/>
      </rPr>
      <t>/</t>
    </r>
    <r>
      <rPr>
        <sz val="9"/>
        <rFont val="宋体"/>
        <charset val="134"/>
      </rPr>
      <t>月）</t>
    </r>
  </si>
  <si>
    <t>工业品出厂价格指数-定基</t>
  </si>
  <si>
    <t>企业商品价格指数-定基</t>
  </si>
  <si>
    <r>
      <rPr>
        <sz val="9"/>
        <rFont val="宋体"/>
        <charset val="134"/>
      </rPr>
      <t>指数调整后数据</t>
    </r>
  </si>
  <si>
    <r>
      <rPr>
        <sz val="9"/>
        <rFont val="宋体"/>
        <charset val="134"/>
      </rPr>
      <t>平均净资产收益率</t>
    </r>
  </si>
  <si>
    <r>
      <rPr>
        <sz val="9"/>
        <rFont val="宋体"/>
        <charset val="134"/>
      </rPr>
      <t>增长率</t>
    </r>
  </si>
  <si>
    <r>
      <rPr>
        <sz val="9"/>
        <rFont val="宋体"/>
        <charset val="134"/>
      </rPr>
      <t>收益率调整后数据</t>
    </r>
  </si>
  <si>
    <r>
      <rPr>
        <sz val="9"/>
        <color theme="1"/>
        <rFont val="宋体"/>
        <charset val="134"/>
      </rPr>
      <t>平均</t>
    </r>
  </si>
  <si>
    <r>
      <rPr>
        <sz val="9"/>
        <rFont val="宋体"/>
        <charset val="134"/>
      </rPr>
      <t>贷款利率</t>
    </r>
  </si>
  <si>
    <r>
      <rPr>
        <sz val="9"/>
        <rFont val="宋体"/>
        <charset val="134"/>
      </rPr>
      <t>增加资金成本后数据</t>
    </r>
  </si>
  <si>
    <r>
      <rPr>
        <sz val="18"/>
        <rFont val="宋体"/>
        <charset val="134"/>
      </rPr>
      <t>开发支出评估明细表</t>
    </r>
  </si>
  <si>
    <r>
      <rPr>
        <b/>
        <sz val="10"/>
        <rFont val="宋体"/>
        <charset val="134"/>
      </rPr>
      <t>内容或名称</t>
    </r>
  </si>
  <si>
    <r>
      <rPr>
        <sz val="10"/>
        <rFont val="宋体"/>
        <charset val="134"/>
      </rPr>
      <t>开发支出</t>
    </r>
    <r>
      <rPr>
        <sz val="10"/>
        <rFont val="Times New Roman"/>
        <charset val="134"/>
      </rPr>
      <t>01</t>
    </r>
  </si>
  <si>
    <r>
      <rPr>
        <sz val="10"/>
        <rFont val="宋体"/>
        <charset val="134"/>
      </rPr>
      <t>开发支出</t>
    </r>
    <r>
      <rPr>
        <sz val="10"/>
        <rFont val="Times New Roman"/>
        <charset val="134"/>
      </rPr>
      <t>02</t>
    </r>
  </si>
  <si>
    <r>
      <rPr>
        <sz val="10"/>
        <rFont val="宋体"/>
        <charset val="134"/>
      </rPr>
      <t>开发支出</t>
    </r>
    <r>
      <rPr>
        <sz val="10"/>
        <rFont val="Times New Roman"/>
        <charset val="134"/>
      </rPr>
      <t>03</t>
    </r>
  </si>
  <si>
    <r>
      <rPr>
        <sz val="10"/>
        <rFont val="宋体"/>
        <charset val="134"/>
      </rPr>
      <t>开发支出</t>
    </r>
    <r>
      <rPr>
        <sz val="10"/>
        <rFont val="Times New Roman"/>
        <charset val="134"/>
      </rPr>
      <t>04</t>
    </r>
  </si>
  <si>
    <r>
      <rPr>
        <sz val="10"/>
        <rFont val="宋体"/>
        <charset val="134"/>
      </rPr>
      <t>开发支出</t>
    </r>
    <r>
      <rPr>
        <sz val="10"/>
        <rFont val="Times New Roman"/>
        <charset val="134"/>
      </rPr>
      <t>05</t>
    </r>
  </si>
  <si>
    <r>
      <rPr>
        <sz val="10"/>
        <rFont val="宋体"/>
        <charset val="134"/>
      </rPr>
      <t>开发支出</t>
    </r>
    <r>
      <rPr>
        <sz val="10"/>
        <rFont val="Times New Roman"/>
        <charset val="134"/>
      </rPr>
      <t>06</t>
    </r>
  </si>
  <si>
    <r>
      <rPr>
        <sz val="10"/>
        <rFont val="宋体"/>
        <charset val="134"/>
      </rPr>
      <t>开发支出</t>
    </r>
    <r>
      <rPr>
        <sz val="10"/>
        <rFont val="Times New Roman"/>
        <charset val="134"/>
      </rPr>
      <t>07</t>
    </r>
  </si>
  <si>
    <r>
      <rPr>
        <sz val="10"/>
        <rFont val="宋体"/>
        <charset val="134"/>
      </rPr>
      <t>开发支出</t>
    </r>
    <r>
      <rPr>
        <sz val="10"/>
        <rFont val="Times New Roman"/>
        <charset val="134"/>
      </rPr>
      <t>08</t>
    </r>
  </si>
  <si>
    <r>
      <rPr>
        <sz val="10"/>
        <rFont val="宋体"/>
        <charset val="134"/>
      </rPr>
      <t>开发支出</t>
    </r>
    <r>
      <rPr>
        <sz val="10"/>
        <rFont val="Times New Roman"/>
        <charset val="134"/>
      </rPr>
      <t>09</t>
    </r>
  </si>
  <si>
    <r>
      <rPr>
        <sz val="10"/>
        <rFont val="宋体"/>
        <charset val="134"/>
      </rPr>
      <t>开发支出</t>
    </r>
    <r>
      <rPr>
        <sz val="10"/>
        <rFont val="Times New Roman"/>
        <charset val="134"/>
      </rPr>
      <t>10</t>
    </r>
  </si>
  <si>
    <r>
      <rPr>
        <sz val="10"/>
        <rFont val="宋体"/>
        <charset val="134"/>
      </rPr>
      <t>开发支出</t>
    </r>
    <r>
      <rPr>
        <sz val="10"/>
        <rFont val="Times New Roman"/>
        <charset val="134"/>
      </rPr>
      <t>11</t>
    </r>
  </si>
  <si>
    <r>
      <rPr>
        <sz val="10"/>
        <rFont val="宋体"/>
        <charset val="134"/>
      </rPr>
      <t>开发支出</t>
    </r>
    <r>
      <rPr>
        <sz val="10"/>
        <rFont val="Times New Roman"/>
        <charset val="134"/>
      </rPr>
      <t>12</t>
    </r>
  </si>
  <si>
    <r>
      <rPr>
        <sz val="10"/>
        <rFont val="宋体"/>
        <charset val="134"/>
      </rPr>
      <t>开发支出</t>
    </r>
    <r>
      <rPr>
        <sz val="10"/>
        <rFont val="Times New Roman"/>
        <charset val="134"/>
      </rPr>
      <t>13</t>
    </r>
  </si>
  <si>
    <r>
      <rPr>
        <sz val="10"/>
        <rFont val="宋体"/>
        <charset val="134"/>
      </rPr>
      <t>开发支出</t>
    </r>
    <r>
      <rPr>
        <sz val="10"/>
        <rFont val="Times New Roman"/>
        <charset val="134"/>
      </rPr>
      <t>14</t>
    </r>
  </si>
  <si>
    <r>
      <rPr>
        <sz val="10"/>
        <rFont val="宋体"/>
        <charset val="134"/>
      </rPr>
      <t>开发支出</t>
    </r>
    <r>
      <rPr>
        <sz val="10"/>
        <rFont val="Times New Roman"/>
        <charset val="134"/>
      </rPr>
      <t>15</t>
    </r>
  </si>
  <si>
    <r>
      <rPr>
        <sz val="10"/>
        <rFont val="宋体"/>
        <charset val="134"/>
      </rPr>
      <t>开发支出</t>
    </r>
    <r>
      <rPr>
        <sz val="10"/>
        <rFont val="Times New Roman"/>
        <charset val="134"/>
      </rPr>
      <t>16</t>
    </r>
  </si>
  <si>
    <r>
      <rPr>
        <sz val="10"/>
        <rFont val="宋体"/>
        <charset val="134"/>
      </rPr>
      <t>开发支出</t>
    </r>
    <r>
      <rPr>
        <sz val="10"/>
        <rFont val="Times New Roman"/>
        <charset val="134"/>
      </rPr>
      <t>17</t>
    </r>
  </si>
  <si>
    <r>
      <rPr>
        <sz val="10"/>
        <rFont val="宋体"/>
        <charset val="134"/>
      </rPr>
      <t>开发支出</t>
    </r>
    <r>
      <rPr>
        <sz val="10"/>
        <rFont val="Times New Roman"/>
        <charset val="134"/>
      </rPr>
      <t>18</t>
    </r>
  </si>
  <si>
    <r>
      <rPr>
        <sz val="10"/>
        <rFont val="宋体"/>
        <charset val="134"/>
      </rPr>
      <t>开发支出</t>
    </r>
    <r>
      <rPr>
        <sz val="10"/>
        <rFont val="Times New Roman"/>
        <charset val="134"/>
      </rPr>
      <t>19</t>
    </r>
  </si>
  <si>
    <r>
      <rPr>
        <sz val="10"/>
        <rFont val="宋体"/>
        <charset val="134"/>
      </rPr>
      <t>开发支出</t>
    </r>
    <r>
      <rPr>
        <sz val="10"/>
        <rFont val="Times New Roman"/>
        <charset val="134"/>
      </rPr>
      <t>20</t>
    </r>
  </si>
  <si>
    <r>
      <rPr>
        <sz val="18"/>
        <rFont val="宋体"/>
        <charset val="134"/>
      </rPr>
      <t>商誉评估明细表</t>
    </r>
  </si>
  <si>
    <r>
      <rPr>
        <sz val="10"/>
        <rFont val="宋体"/>
        <charset val="134"/>
      </rPr>
      <t>商誉</t>
    </r>
    <r>
      <rPr>
        <sz val="10"/>
        <rFont val="Times New Roman"/>
        <charset val="134"/>
      </rPr>
      <t>01</t>
    </r>
  </si>
  <si>
    <r>
      <rPr>
        <sz val="10"/>
        <rFont val="宋体"/>
        <charset val="134"/>
      </rPr>
      <t>商誉</t>
    </r>
    <r>
      <rPr>
        <sz val="10"/>
        <rFont val="Times New Roman"/>
        <charset val="134"/>
      </rPr>
      <t>02</t>
    </r>
  </si>
  <si>
    <r>
      <rPr>
        <sz val="10"/>
        <rFont val="宋体"/>
        <charset val="134"/>
      </rPr>
      <t>商誉</t>
    </r>
    <r>
      <rPr>
        <sz val="10"/>
        <rFont val="Times New Roman"/>
        <charset val="134"/>
      </rPr>
      <t>03</t>
    </r>
  </si>
  <si>
    <r>
      <rPr>
        <sz val="10"/>
        <rFont val="宋体"/>
        <charset val="134"/>
      </rPr>
      <t>商誉</t>
    </r>
    <r>
      <rPr>
        <sz val="10"/>
        <rFont val="Times New Roman"/>
        <charset val="134"/>
      </rPr>
      <t>04</t>
    </r>
  </si>
  <si>
    <r>
      <rPr>
        <sz val="10"/>
        <rFont val="宋体"/>
        <charset val="134"/>
      </rPr>
      <t>商誉</t>
    </r>
    <r>
      <rPr>
        <sz val="10"/>
        <rFont val="Times New Roman"/>
        <charset val="134"/>
      </rPr>
      <t>05</t>
    </r>
  </si>
  <si>
    <r>
      <rPr>
        <sz val="10"/>
        <rFont val="宋体"/>
        <charset val="134"/>
      </rPr>
      <t>商誉</t>
    </r>
    <r>
      <rPr>
        <sz val="10"/>
        <rFont val="Times New Roman"/>
        <charset val="134"/>
      </rPr>
      <t>06</t>
    </r>
  </si>
  <si>
    <r>
      <rPr>
        <sz val="10"/>
        <rFont val="宋体"/>
        <charset val="134"/>
      </rPr>
      <t>商誉</t>
    </r>
    <r>
      <rPr>
        <sz val="10"/>
        <rFont val="Times New Roman"/>
        <charset val="134"/>
      </rPr>
      <t>07</t>
    </r>
  </si>
  <si>
    <r>
      <rPr>
        <sz val="10"/>
        <rFont val="宋体"/>
        <charset val="134"/>
      </rPr>
      <t>商誉</t>
    </r>
    <r>
      <rPr>
        <sz val="10"/>
        <rFont val="Times New Roman"/>
        <charset val="134"/>
      </rPr>
      <t>08</t>
    </r>
  </si>
  <si>
    <r>
      <rPr>
        <sz val="10"/>
        <rFont val="宋体"/>
        <charset val="134"/>
      </rPr>
      <t>商誉</t>
    </r>
    <r>
      <rPr>
        <sz val="10"/>
        <rFont val="Times New Roman"/>
        <charset val="134"/>
      </rPr>
      <t>09</t>
    </r>
  </si>
  <si>
    <r>
      <rPr>
        <sz val="10"/>
        <rFont val="宋体"/>
        <charset val="134"/>
      </rPr>
      <t>商誉</t>
    </r>
    <r>
      <rPr>
        <sz val="10"/>
        <rFont val="Times New Roman"/>
        <charset val="134"/>
      </rPr>
      <t>10</t>
    </r>
  </si>
  <si>
    <r>
      <rPr>
        <sz val="10"/>
        <rFont val="宋体"/>
        <charset val="134"/>
      </rPr>
      <t>商誉</t>
    </r>
    <r>
      <rPr>
        <sz val="10"/>
        <rFont val="Times New Roman"/>
        <charset val="134"/>
      </rPr>
      <t>11</t>
    </r>
  </si>
  <si>
    <r>
      <rPr>
        <sz val="10"/>
        <rFont val="宋体"/>
        <charset val="134"/>
      </rPr>
      <t>商誉</t>
    </r>
    <r>
      <rPr>
        <sz val="10"/>
        <rFont val="Times New Roman"/>
        <charset val="134"/>
      </rPr>
      <t>12</t>
    </r>
  </si>
  <si>
    <r>
      <rPr>
        <sz val="10"/>
        <rFont val="宋体"/>
        <charset val="134"/>
      </rPr>
      <t>商誉</t>
    </r>
    <r>
      <rPr>
        <sz val="10"/>
        <rFont val="Times New Roman"/>
        <charset val="134"/>
      </rPr>
      <t>13</t>
    </r>
  </si>
  <si>
    <r>
      <rPr>
        <sz val="10"/>
        <rFont val="宋体"/>
        <charset val="134"/>
      </rPr>
      <t>商誉</t>
    </r>
    <r>
      <rPr>
        <sz val="10"/>
        <rFont val="Times New Roman"/>
        <charset val="134"/>
      </rPr>
      <t>14</t>
    </r>
  </si>
  <si>
    <r>
      <rPr>
        <sz val="10"/>
        <rFont val="宋体"/>
        <charset val="134"/>
      </rPr>
      <t>商誉</t>
    </r>
    <r>
      <rPr>
        <sz val="10"/>
        <rFont val="Times New Roman"/>
        <charset val="134"/>
      </rPr>
      <t>15</t>
    </r>
  </si>
  <si>
    <r>
      <rPr>
        <sz val="10"/>
        <rFont val="宋体"/>
        <charset val="134"/>
      </rPr>
      <t>商誉</t>
    </r>
    <r>
      <rPr>
        <sz val="10"/>
        <rFont val="Times New Roman"/>
        <charset val="134"/>
      </rPr>
      <t>16</t>
    </r>
  </si>
  <si>
    <r>
      <rPr>
        <sz val="10"/>
        <rFont val="宋体"/>
        <charset val="134"/>
      </rPr>
      <t>商誉</t>
    </r>
    <r>
      <rPr>
        <sz val="10"/>
        <rFont val="Times New Roman"/>
        <charset val="134"/>
      </rPr>
      <t>17</t>
    </r>
  </si>
  <si>
    <r>
      <rPr>
        <sz val="10"/>
        <rFont val="宋体"/>
        <charset val="134"/>
      </rPr>
      <t>商誉</t>
    </r>
    <r>
      <rPr>
        <sz val="10"/>
        <rFont val="Times New Roman"/>
        <charset val="134"/>
      </rPr>
      <t>18</t>
    </r>
  </si>
  <si>
    <r>
      <rPr>
        <sz val="10"/>
        <rFont val="宋体"/>
        <charset val="134"/>
      </rPr>
      <t>商誉</t>
    </r>
    <r>
      <rPr>
        <sz val="10"/>
        <rFont val="Times New Roman"/>
        <charset val="134"/>
      </rPr>
      <t>19</t>
    </r>
  </si>
  <si>
    <r>
      <rPr>
        <sz val="10"/>
        <rFont val="宋体"/>
        <charset val="134"/>
      </rPr>
      <t>商誉</t>
    </r>
    <r>
      <rPr>
        <sz val="10"/>
        <rFont val="Times New Roman"/>
        <charset val="134"/>
      </rPr>
      <t>20</t>
    </r>
  </si>
  <si>
    <r>
      <rPr>
        <sz val="18"/>
        <rFont val="宋体"/>
        <charset val="134"/>
      </rPr>
      <t>长期待摊费用评估明细表</t>
    </r>
  </si>
  <si>
    <r>
      <rPr>
        <b/>
        <sz val="10"/>
        <rFont val="宋体"/>
        <charset val="134"/>
      </rPr>
      <t>费用名称或内容</t>
    </r>
  </si>
  <si>
    <r>
      <rPr>
        <b/>
        <sz val="10"/>
        <rFont val="宋体"/>
        <charset val="134"/>
      </rPr>
      <t>原始发生额</t>
    </r>
  </si>
  <si>
    <t>预计摊
销年数</t>
  </si>
  <si>
    <t>尚存受
益年数</t>
  </si>
  <si>
    <t>已使用年限</t>
  </si>
  <si>
    <r>
      <rPr>
        <b/>
        <sz val="10"/>
        <rFont val="宋体"/>
        <charset val="134"/>
      </rPr>
      <t>是否有对应实物资产</t>
    </r>
  </si>
  <si>
    <r>
      <rPr>
        <sz val="10"/>
        <rFont val="宋体"/>
        <charset val="134"/>
      </rPr>
      <t>长期待摊费用</t>
    </r>
    <r>
      <rPr>
        <sz val="10"/>
        <rFont val="Times New Roman"/>
        <charset val="134"/>
      </rPr>
      <t>01</t>
    </r>
  </si>
  <si>
    <r>
      <rPr>
        <sz val="10"/>
        <rFont val="宋体"/>
        <charset val="134"/>
      </rPr>
      <t>长期待摊费用</t>
    </r>
    <r>
      <rPr>
        <sz val="10"/>
        <rFont val="Times New Roman"/>
        <charset val="134"/>
      </rPr>
      <t>02</t>
    </r>
  </si>
  <si>
    <r>
      <rPr>
        <sz val="10"/>
        <rFont val="宋体"/>
        <charset val="134"/>
      </rPr>
      <t>长期待摊费用</t>
    </r>
    <r>
      <rPr>
        <sz val="10"/>
        <rFont val="Times New Roman"/>
        <charset val="134"/>
      </rPr>
      <t>03</t>
    </r>
  </si>
  <si>
    <r>
      <rPr>
        <sz val="10"/>
        <rFont val="宋体"/>
        <charset val="134"/>
      </rPr>
      <t>长期待摊费用</t>
    </r>
    <r>
      <rPr>
        <sz val="10"/>
        <rFont val="Times New Roman"/>
        <charset val="134"/>
      </rPr>
      <t>04</t>
    </r>
  </si>
  <si>
    <r>
      <rPr>
        <sz val="10"/>
        <rFont val="宋体"/>
        <charset val="134"/>
      </rPr>
      <t>长期待摊费用</t>
    </r>
    <r>
      <rPr>
        <sz val="10"/>
        <rFont val="Times New Roman"/>
        <charset val="134"/>
      </rPr>
      <t>05</t>
    </r>
  </si>
  <si>
    <r>
      <rPr>
        <sz val="10"/>
        <rFont val="宋体"/>
        <charset val="134"/>
      </rPr>
      <t>长期待摊费用</t>
    </r>
    <r>
      <rPr>
        <sz val="10"/>
        <rFont val="Times New Roman"/>
        <charset val="134"/>
      </rPr>
      <t>06</t>
    </r>
  </si>
  <si>
    <r>
      <rPr>
        <sz val="10"/>
        <rFont val="宋体"/>
        <charset val="134"/>
      </rPr>
      <t>长期待摊费用</t>
    </r>
    <r>
      <rPr>
        <sz val="10"/>
        <rFont val="Times New Roman"/>
        <charset val="134"/>
      </rPr>
      <t>07</t>
    </r>
  </si>
  <si>
    <r>
      <rPr>
        <sz val="10"/>
        <rFont val="宋体"/>
        <charset val="134"/>
      </rPr>
      <t>长期待摊费用</t>
    </r>
    <r>
      <rPr>
        <sz val="10"/>
        <rFont val="Times New Roman"/>
        <charset val="134"/>
      </rPr>
      <t>08</t>
    </r>
  </si>
  <si>
    <r>
      <rPr>
        <sz val="10"/>
        <rFont val="宋体"/>
        <charset val="134"/>
      </rPr>
      <t>长期待摊费用</t>
    </r>
    <r>
      <rPr>
        <sz val="10"/>
        <rFont val="Times New Roman"/>
        <charset val="134"/>
      </rPr>
      <t>09</t>
    </r>
  </si>
  <si>
    <r>
      <rPr>
        <sz val="10"/>
        <rFont val="宋体"/>
        <charset val="134"/>
      </rPr>
      <t>长期待摊费用</t>
    </r>
    <r>
      <rPr>
        <sz val="10"/>
        <rFont val="Times New Roman"/>
        <charset val="134"/>
      </rPr>
      <t>10</t>
    </r>
  </si>
  <si>
    <r>
      <rPr>
        <sz val="10"/>
        <rFont val="宋体"/>
        <charset val="134"/>
      </rPr>
      <t>长期待摊费用</t>
    </r>
    <r>
      <rPr>
        <sz val="10"/>
        <rFont val="Times New Roman"/>
        <charset val="134"/>
      </rPr>
      <t>11</t>
    </r>
  </si>
  <si>
    <r>
      <rPr>
        <sz val="10"/>
        <rFont val="宋体"/>
        <charset val="134"/>
      </rPr>
      <t>长期待摊费用</t>
    </r>
    <r>
      <rPr>
        <sz val="10"/>
        <rFont val="Times New Roman"/>
        <charset val="134"/>
      </rPr>
      <t>12</t>
    </r>
  </si>
  <si>
    <r>
      <rPr>
        <sz val="10"/>
        <rFont val="宋体"/>
        <charset val="134"/>
      </rPr>
      <t>长期待摊费用</t>
    </r>
    <r>
      <rPr>
        <sz val="10"/>
        <rFont val="Times New Roman"/>
        <charset val="134"/>
      </rPr>
      <t>13</t>
    </r>
  </si>
  <si>
    <r>
      <rPr>
        <sz val="10"/>
        <rFont val="宋体"/>
        <charset val="134"/>
      </rPr>
      <t>长期待摊费用</t>
    </r>
    <r>
      <rPr>
        <sz val="10"/>
        <rFont val="Times New Roman"/>
        <charset val="134"/>
      </rPr>
      <t>14</t>
    </r>
  </si>
  <si>
    <r>
      <rPr>
        <sz val="10"/>
        <rFont val="宋体"/>
        <charset val="134"/>
      </rPr>
      <t>长期待摊费用</t>
    </r>
    <r>
      <rPr>
        <sz val="10"/>
        <rFont val="Times New Roman"/>
        <charset val="134"/>
      </rPr>
      <t>15</t>
    </r>
  </si>
  <si>
    <r>
      <rPr>
        <sz val="10"/>
        <rFont val="宋体"/>
        <charset val="134"/>
      </rPr>
      <t>长期待摊费用</t>
    </r>
    <r>
      <rPr>
        <sz val="10"/>
        <rFont val="Times New Roman"/>
        <charset val="134"/>
      </rPr>
      <t>16</t>
    </r>
  </si>
  <si>
    <r>
      <rPr>
        <sz val="10"/>
        <rFont val="宋体"/>
        <charset val="134"/>
      </rPr>
      <t>长期待摊费用</t>
    </r>
    <r>
      <rPr>
        <sz val="10"/>
        <rFont val="Times New Roman"/>
        <charset val="134"/>
      </rPr>
      <t>17</t>
    </r>
  </si>
  <si>
    <r>
      <rPr>
        <sz val="10"/>
        <rFont val="宋体"/>
        <charset val="134"/>
      </rPr>
      <t>长期待摊费用</t>
    </r>
    <r>
      <rPr>
        <sz val="10"/>
        <rFont val="Times New Roman"/>
        <charset val="134"/>
      </rPr>
      <t>18</t>
    </r>
  </si>
  <si>
    <r>
      <rPr>
        <sz val="10"/>
        <rFont val="宋体"/>
        <charset val="134"/>
      </rPr>
      <t>长期待摊费用</t>
    </r>
    <r>
      <rPr>
        <sz val="10"/>
        <rFont val="Times New Roman"/>
        <charset val="134"/>
      </rPr>
      <t>19</t>
    </r>
  </si>
  <si>
    <r>
      <rPr>
        <sz val="10"/>
        <rFont val="宋体"/>
        <charset val="134"/>
      </rPr>
      <t>长期待摊费用</t>
    </r>
    <r>
      <rPr>
        <sz val="10"/>
        <rFont val="Times New Roman"/>
        <charset val="134"/>
      </rPr>
      <t>20</t>
    </r>
  </si>
  <si>
    <r>
      <rPr>
        <b/>
        <sz val="10"/>
        <rFont val="宋体"/>
        <charset val="134"/>
      </rPr>
      <t>合</t>
    </r>
    <r>
      <rPr>
        <b/>
        <sz val="10"/>
        <rFont val="Times New Roman"/>
        <charset val="134"/>
      </rPr>
      <t xml:space="preserve">                    </t>
    </r>
    <r>
      <rPr>
        <b/>
        <sz val="10"/>
        <rFont val="宋体"/>
        <charset val="134"/>
      </rPr>
      <t>计</t>
    </r>
  </si>
  <si>
    <r>
      <rPr>
        <sz val="18"/>
        <rFont val="宋体"/>
        <charset val="134"/>
      </rPr>
      <t>递延所得税资产评估明细表</t>
    </r>
  </si>
  <si>
    <r>
      <rPr>
        <b/>
        <sz val="10"/>
        <rFont val="宋体"/>
        <charset val="134"/>
      </rPr>
      <t>计提坏账</t>
    </r>
    <r>
      <rPr>
        <b/>
        <sz val="10"/>
        <rFont val="Times New Roman"/>
        <charset val="134"/>
      </rPr>
      <t>/</t>
    </r>
    <r>
      <rPr>
        <b/>
        <sz val="10"/>
        <rFont val="宋体"/>
        <charset val="134"/>
      </rPr>
      <t>减值</t>
    </r>
    <r>
      <rPr>
        <b/>
        <sz val="10"/>
        <rFont val="Times New Roman"/>
        <charset val="134"/>
      </rPr>
      <t>/</t>
    </r>
    <r>
      <rPr>
        <b/>
        <sz val="10"/>
        <rFont val="宋体"/>
        <charset val="134"/>
      </rPr>
      <t>跌价准备金额</t>
    </r>
  </si>
  <si>
    <t>计提坏账/减值/跌价准备金额</t>
  </si>
  <si>
    <r>
      <rPr>
        <sz val="10"/>
        <rFont val="宋体"/>
        <charset val="134"/>
      </rPr>
      <t>递延所得税资产</t>
    </r>
    <r>
      <rPr>
        <sz val="10"/>
        <rFont val="Times New Roman"/>
        <charset val="134"/>
      </rPr>
      <t>01</t>
    </r>
  </si>
  <si>
    <r>
      <rPr>
        <sz val="10"/>
        <rFont val="宋体"/>
        <charset val="134"/>
      </rPr>
      <t>递延所得税资产</t>
    </r>
    <r>
      <rPr>
        <sz val="10"/>
        <rFont val="Times New Roman"/>
        <charset val="134"/>
      </rPr>
      <t>02</t>
    </r>
  </si>
  <si>
    <r>
      <rPr>
        <sz val="10"/>
        <rFont val="宋体"/>
        <charset val="134"/>
      </rPr>
      <t>递延所得税资产</t>
    </r>
    <r>
      <rPr>
        <sz val="10"/>
        <rFont val="Times New Roman"/>
        <charset val="134"/>
      </rPr>
      <t>03</t>
    </r>
  </si>
  <si>
    <r>
      <rPr>
        <sz val="10"/>
        <rFont val="宋体"/>
        <charset val="134"/>
      </rPr>
      <t>递延所得税资产</t>
    </r>
    <r>
      <rPr>
        <sz val="10"/>
        <rFont val="Times New Roman"/>
        <charset val="134"/>
      </rPr>
      <t>04</t>
    </r>
  </si>
  <si>
    <r>
      <rPr>
        <sz val="10"/>
        <rFont val="宋体"/>
        <charset val="134"/>
      </rPr>
      <t>递延所得税资产</t>
    </r>
    <r>
      <rPr>
        <sz val="10"/>
        <rFont val="Times New Roman"/>
        <charset val="134"/>
      </rPr>
      <t>05</t>
    </r>
  </si>
  <si>
    <r>
      <rPr>
        <sz val="10"/>
        <rFont val="宋体"/>
        <charset val="134"/>
      </rPr>
      <t>递延所得税资产</t>
    </r>
    <r>
      <rPr>
        <sz val="10"/>
        <rFont val="Times New Roman"/>
        <charset val="134"/>
      </rPr>
      <t>06</t>
    </r>
  </si>
  <si>
    <r>
      <rPr>
        <sz val="10"/>
        <rFont val="宋体"/>
        <charset val="134"/>
      </rPr>
      <t>递延所得税资产</t>
    </r>
    <r>
      <rPr>
        <sz val="10"/>
        <rFont val="Times New Roman"/>
        <charset val="134"/>
      </rPr>
      <t>07</t>
    </r>
  </si>
  <si>
    <r>
      <rPr>
        <sz val="10"/>
        <rFont val="宋体"/>
        <charset val="134"/>
      </rPr>
      <t>递延所得税资产</t>
    </r>
    <r>
      <rPr>
        <sz val="10"/>
        <rFont val="Times New Roman"/>
        <charset val="134"/>
      </rPr>
      <t>08</t>
    </r>
  </si>
  <si>
    <r>
      <rPr>
        <sz val="10"/>
        <rFont val="宋体"/>
        <charset val="134"/>
      </rPr>
      <t>递延所得税资产</t>
    </r>
    <r>
      <rPr>
        <sz val="10"/>
        <rFont val="Times New Roman"/>
        <charset val="134"/>
      </rPr>
      <t>09</t>
    </r>
  </si>
  <si>
    <r>
      <rPr>
        <sz val="10"/>
        <rFont val="宋体"/>
        <charset val="134"/>
      </rPr>
      <t>递延所得税资产</t>
    </r>
    <r>
      <rPr>
        <sz val="10"/>
        <rFont val="Times New Roman"/>
        <charset val="134"/>
      </rPr>
      <t>10</t>
    </r>
  </si>
  <si>
    <r>
      <rPr>
        <sz val="10"/>
        <rFont val="宋体"/>
        <charset val="134"/>
      </rPr>
      <t>递延所得税资产</t>
    </r>
    <r>
      <rPr>
        <sz val="10"/>
        <rFont val="Times New Roman"/>
        <charset val="134"/>
      </rPr>
      <t>11</t>
    </r>
  </si>
  <si>
    <r>
      <rPr>
        <sz val="10"/>
        <rFont val="宋体"/>
        <charset val="134"/>
      </rPr>
      <t>递延所得税资产</t>
    </r>
    <r>
      <rPr>
        <sz val="10"/>
        <rFont val="Times New Roman"/>
        <charset val="134"/>
      </rPr>
      <t>12</t>
    </r>
  </si>
  <si>
    <r>
      <rPr>
        <sz val="10"/>
        <rFont val="宋体"/>
        <charset val="134"/>
      </rPr>
      <t>递延所得税资产</t>
    </r>
    <r>
      <rPr>
        <sz val="10"/>
        <rFont val="Times New Roman"/>
        <charset val="134"/>
      </rPr>
      <t>13</t>
    </r>
  </si>
  <si>
    <r>
      <rPr>
        <sz val="10"/>
        <rFont val="宋体"/>
        <charset val="134"/>
      </rPr>
      <t>递延所得税资产</t>
    </r>
    <r>
      <rPr>
        <sz val="10"/>
        <rFont val="Times New Roman"/>
        <charset val="134"/>
      </rPr>
      <t>14</t>
    </r>
  </si>
  <si>
    <r>
      <rPr>
        <sz val="10"/>
        <rFont val="宋体"/>
        <charset val="134"/>
      </rPr>
      <t>递延所得税资产</t>
    </r>
    <r>
      <rPr>
        <sz val="10"/>
        <rFont val="Times New Roman"/>
        <charset val="134"/>
      </rPr>
      <t>15</t>
    </r>
  </si>
  <si>
    <r>
      <rPr>
        <sz val="10"/>
        <rFont val="宋体"/>
        <charset val="134"/>
      </rPr>
      <t>递延所得税资产</t>
    </r>
    <r>
      <rPr>
        <sz val="10"/>
        <rFont val="Times New Roman"/>
        <charset val="134"/>
      </rPr>
      <t>16</t>
    </r>
  </si>
  <si>
    <r>
      <rPr>
        <sz val="10"/>
        <rFont val="宋体"/>
        <charset val="134"/>
      </rPr>
      <t>递延所得税资产</t>
    </r>
    <r>
      <rPr>
        <sz val="10"/>
        <rFont val="Times New Roman"/>
        <charset val="134"/>
      </rPr>
      <t>17</t>
    </r>
  </si>
  <si>
    <r>
      <rPr>
        <sz val="10"/>
        <rFont val="宋体"/>
        <charset val="134"/>
      </rPr>
      <t>递延所得税资产</t>
    </r>
    <r>
      <rPr>
        <sz val="10"/>
        <rFont val="Times New Roman"/>
        <charset val="134"/>
      </rPr>
      <t>18</t>
    </r>
  </si>
  <si>
    <r>
      <rPr>
        <sz val="10"/>
        <rFont val="宋体"/>
        <charset val="134"/>
      </rPr>
      <t>递延所得税资产</t>
    </r>
    <r>
      <rPr>
        <sz val="10"/>
        <rFont val="Times New Roman"/>
        <charset val="134"/>
      </rPr>
      <t>19</t>
    </r>
  </si>
  <si>
    <r>
      <rPr>
        <sz val="10"/>
        <rFont val="宋体"/>
        <charset val="134"/>
      </rPr>
      <t>递延所得税资产</t>
    </r>
    <r>
      <rPr>
        <sz val="10"/>
        <rFont val="Times New Roman"/>
        <charset val="134"/>
      </rPr>
      <t>20</t>
    </r>
  </si>
  <si>
    <r>
      <rPr>
        <sz val="18"/>
        <rFont val="宋体"/>
        <charset val="134"/>
      </rPr>
      <t>其他非流动资产评估明细表</t>
    </r>
  </si>
  <si>
    <r>
      <rPr>
        <sz val="10"/>
        <rFont val="宋体"/>
        <charset val="134"/>
      </rPr>
      <t>其他非流动资产</t>
    </r>
    <r>
      <rPr>
        <sz val="10"/>
        <rFont val="Times New Roman"/>
        <charset val="134"/>
      </rPr>
      <t>01</t>
    </r>
  </si>
  <si>
    <r>
      <rPr>
        <sz val="10"/>
        <rFont val="宋体"/>
        <charset val="134"/>
      </rPr>
      <t>其他非流动资产</t>
    </r>
    <r>
      <rPr>
        <sz val="10"/>
        <rFont val="Times New Roman"/>
        <charset val="134"/>
      </rPr>
      <t>02</t>
    </r>
  </si>
  <si>
    <r>
      <rPr>
        <sz val="10"/>
        <rFont val="宋体"/>
        <charset val="134"/>
      </rPr>
      <t>其他非流动资产</t>
    </r>
    <r>
      <rPr>
        <sz val="10"/>
        <rFont val="Times New Roman"/>
        <charset val="134"/>
      </rPr>
      <t>03</t>
    </r>
  </si>
  <si>
    <r>
      <rPr>
        <sz val="10"/>
        <rFont val="宋体"/>
        <charset val="134"/>
      </rPr>
      <t>其他非流动资产</t>
    </r>
    <r>
      <rPr>
        <sz val="10"/>
        <rFont val="Times New Roman"/>
        <charset val="134"/>
      </rPr>
      <t>04</t>
    </r>
  </si>
  <si>
    <r>
      <rPr>
        <sz val="10"/>
        <rFont val="宋体"/>
        <charset val="134"/>
      </rPr>
      <t>其他非流动资产</t>
    </r>
    <r>
      <rPr>
        <sz val="10"/>
        <rFont val="Times New Roman"/>
        <charset val="134"/>
      </rPr>
      <t>05</t>
    </r>
  </si>
  <si>
    <r>
      <rPr>
        <sz val="10"/>
        <rFont val="宋体"/>
        <charset val="134"/>
      </rPr>
      <t>其他非流动资产</t>
    </r>
    <r>
      <rPr>
        <sz val="10"/>
        <rFont val="Times New Roman"/>
        <charset val="134"/>
      </rPr>
      <t>06</t>
    </r>
  </si>
  <si>
    <r>
      <rPr>
        <sz val="10"/>
        <rFont val="宋体"/>
        <charset val="134"/>
      </rPr>
      <t>其他非流动资产</t>
    </r>
    <r>
      <rPr>
        <sz val="10"/>
        <rFont val="Times New Roman"/>
        <charset val="134"/>
      </rPr>
      <t>07</t>
    </r>
  </si>
  <si>
    <r>
      <rPr>
        <sz val="10"/>
        <rFont val="宋体"/>
        <charset val="134"/>
      </rPr>
      <t>其他非流动资产</t>
    </r>
    <r>
      <rPr>
        <sz val="10"/>
        <rFont val="Times New Roman"/>
        <charset val="134"/>
      </rPr>
      <t>08</t>
    </r>
  </si>
  <si>
    <r>
      <rPr>
        <sz val="10"/>
        <rFont val="宋体"/>
        <charset val="134"/>
      </rPr>
      <t>其他非流动资产</t>
    </r>
    <r>
      <rPr>
        <sz val="10"/>
        <rFont val="Times New Roman"/>
        <charset val="134"/>
      </rPr>
      <t>09</t>
    </r>
  </si>
  <si>
    <r>
      <rPr>
        <sz val="10"/>
        <rFont val="宋体"/>
        <charset val="134"/>
      </rPr>
      <t>其他非流动资产</t>
    </r>
    <r>
      <rPr>
        <sz val="10"/>
        <rFont val="Times New Roman"/>
        <charset val="134"/>
      </rPr>
      <t>10</t>
    </r>
  </si>
  <si>
    <r>
      <rPr>
        <sz val="10"/>
        <rFont val="宋体"/>
        <charset val="134"/>
      </rPr>
      <t>其他非流动资产</t>
    </r>
    <r>
      <rPr>
        <sz val="10"/>
        <rFont val="Times New Roman"/>
        <charset val="134"/>
      </rPr>
      <t>11</t>
    </r>
  </si>
  <si>
    <r>
      <rPr>
        <sz val="10"/>
        <rFont val="宋体"/>
        <charset val="134"/>
      </rPr>
      <t>其他非流动资产</t>
    </r>
    <r>
      <rPr>
        <sz val="10"/>
        <rFont val="Times New Roman"/>
        <charset val="134"/>
      </rPr>
      <t>12</t>
    </r>
  </si>
  <si>
    <r>
      <rPr>
        <sz val="10"/>
        <rFont val="宋体"/>
        <charset val="134"/>
      </rPr>
      <t>其他非流动资产</t>
    </r>
    <r>
      <rPr>
        <sz val="10"/>
        <rFont val="Times New Roman"/>
        <charset val="134"/>
      </rPr>
      <t>13</t>
    </r>
  </si>
  <si>
    <r>
      <rPr>
        <sz val="10"/>
        <rFont val="宋体"/>
        <charset val="134"/>
      </rPr>
      <t>其他非流动资产</t>
    </r>
    <r>
      <rPr>
        <sz val="10"/>
        <rFont val="Times New Roman"/>
        <charset val="134"/>
      </rPr>
      <t>14</t>
    </r>
  </si>
  <si>
    <r>
      <rPr>
        <sz val="10"/>
        <rFont val="宋体"/>
        <charset val="134"/>
      </rPr>
      <t>其他非流动资产</t>
    </r>
    <r>
      <rPr>
        <sz val="10"/>
        <rFont val="Times New Roman"/>
        <charset val="134"/>
      </rPr>
      <t>15</t>
    </r>
  </si>
  <si>
    <r>
      <rPr>
        <sz val="10"/>
        <rFont val="宋体"/>
        <charset val="134"/>
      </rPr>
      <t>其他非流动资产</t>
    </r>
    <r>
      <rPr>
        <sz val="10"/>
        <rFont val="Times New Roman"/>
        <charset val="134"/>
      </rPr>
      <t>16</t>
    </r>
  </si>
  <si>
    <r>
      <rPr>
        <sz val="10"/>
        <rFont val="宋体"/>
        <charset val="134"/>
      </rPr>
      <t>其他非流动资产</t>
    </r>
    <r>
      <rPr>
        <sz val="10"/>
        <rFont val="Times New Roman"/>
        <charset val="134"/>
      </rPr>
      <t>17</t>
    </r>
  </si>
  <si>
    <r>
      <rPr>
        <sz val="10"/>
        <rFont val="宋体"/>
        <charset val="134"/>
      </rPr>
      <t>其他非流动资产</t>
    </r>
    <r>
      <rPr>
        <sz val="10"/>
        <rFont val="Times New Roman"/>
        <charset val="134"/>
      </rPr>
      <t>18</t>
    </r>
  </si>
  <si>
    <r>
      <rPr>
        <sz val="10"/>
        <rFont val="宋体"/>
        <charset val="134"/>
      </rPr>
      <t>其他非流动资产</t>
    </r>
    <r>
      <rPr>
        <sz val="10"/>
        <rFont val="Times New Roman"/>
        <charset val="134"/>
      </rPr>
      <t>19</t>
    </r>
  </si>
  <si>
    <r>
      <rPr>
        <sz val="10"/>
        <rFont val="宋体"/>
        <charset val="134"/>
      </rPr>
      <t>其他非流动资产</t>
    </r>
    <r>
      <rPr>
        <sz val="10"/>
        <rFont val="Times New Roman"/>
        <charset val="134"/>
      </rPr>
      <t>20</t>
    </r>
  </si>
  <si>
    <r>
      <rPr>
        <sz val="18"/>
        <rFont val="宋体"/>
        <charset val="134"/>
      </rPr>
      <t>流动负债评估汇总表</t>
    </r>
  </si>
  <si>
    <r>
      <rPr>
        <sz val="10"/>
        <rFont val="宋体"/>
        <charset val="134"/>
      </rPr>
      <t>短期借款</t>
    </r>
  </si>
  <si>
    <r>
      <rPr>
        <sz val="10"/>
        <rFont val="宋体"/>
        <charset val="134"/>
      </rPr>
      <t>以公允价值计量其其变动计入当期损益的金融负债</t>
    </r>
  </si>
  <si>
    <r>
      <rPr>
        <sz val="10"/>
        <rFont val="宋体"/>
        <charset val="134"/>
      </rPr>
      <t>交易性金融负债</t>
    </r>
  </si>
  <si>
    <r>
      <rPr>
        <sz val="10"/>
        <rFont val="宋体"/>
        <charset val="134"/>
      </rPr>
      <t>衍生金融负债</t>
    </r>
  </si>
  <si>
    <r>
      <rPr>
        <sz val="10"/>
        <rFont val="宋体"/>
        <charset val="134"/>
      </rPr>
      <t>应付票据</t>
    </r>
  </si>
  <si>
    <r>
      <rPr>
        <sz val="10"/>
        <rFont val="宋体"/>
        <charset val="134"/>
      </rPr>
      <t>应付账款</t>
    </r>
  </si>
  <si>
    <r>
      <rPr>
        <sz val="10"/>
        <rFont val="宋体"/>
        <charset val="134"/>
      </rPr>
      <t>预收款项</t>
    </r>
  </si>
  <si>
    <r>
      <rPr>
        <sz val="10"/>
        <rFont val="宋体"/>
        <charset val="134"/>
      </rPr>
      <t>合同负债</t>
    </r>
  </si>
  <si>
    <r>
      <rPr>
        <sz val="10"/>
        <rFont val="宋体"/>
        <charset val="134"/>
      </rPr>
      <t>应付职工薪酬</t>
    </r>
  </si>
  <si>
    <r>
      <rPr>
        <sz val="10"/>
        <rFont val="宋体"/>
        <charset val="134"/>
      </rPr>
      <t>应交税费</t>
    </r>
  </si>
  <si>
    <r>
      <rPr>
        <sz val="10"/>
        <rFont val="宋体"/>
        <charset val="134"/>
      </rPr>
      <t>其他应付款</t>
    </r>
  </si>
  <si>
    <r>
      <rPr>
        <sz val="10"/>
        <rFont val="宋体"/>
        <charset val="134"/>
      </rPr>
      <t>持有待售负债</t>
    </r>
  </si>
  <si>
    <r>
      <rPr>
        <sz val="10"/>
        <rFont val="宋体"/>
        <charset val="134"/>
      </rPr>
      <t>一年内到期的非流动负债</t>
    </r>
  </si>
  <si>
    <r>
      <rPr>
        <sz val="10"/>
        <rFont val="宋体"/>
        <charset val="134"/>
      </rPr>
      <t>其他流动负债</t>
    </r>
  </si>
  <si>
    <r>
      <rPr>
        <sz val="18"/>
        <rFont val="宋体"/>
        <charset val="134"/>
      </rPr>
      <t>短期借款评估明细表</t>
    </r>
  </si>
  <si>
    <r>
      <rPr>
        <b/>
        <sz val="10"/>
        <rFont val="宋体"/>
        <charset val="134"/>
      </rPr>
      <t>放款银行或机构名称</t>
    </r>
  </si>
  <si>
    <r>
      <rPr>
        <b/>
        <sz val="10"/>
        <rFont val="宋体"/>
        <charset val="134"/>
      </rPr>
      <t>年利率</t>
    </r>
    <r>
      <rPr>
        <b/>
        <sz val="10"/>
        <rFont val="Times New Roman"/>
        <charset val="134"/>
      </rPr>
      <t>%</t>
    </r>
  </si>
  <si>
    <r>
      <rPr>
        <b/>
        <sz val="10"/>
        <rFont val="宋体"/>
        <charset val="134"/>
      </rPr>
      <t>担保方式</t>
    </r>
  </si>
  <si>
    <r>
      <rPr>
        <b/>
        <sz val="10"/>
        <rFont val="宋体"/>
        <charset val="134"/>
      </rPr>
      <t>是非函证</t>
    </r>
  </si>
  <si>
    <r>
      <rPr>
        <sz val="10"/>
        <rFont val="宋体"/>
        <charset val="134"/>
      </rPr>
      <t>短期借款</t>
    </r>
    <r>
      <rPr>
        <sz val="10"/>
        <rFont val="Times New Roman"/>
        <charset val="134"/>
      </rPr>
      <t>01</t>
    </r>
  </si>
  <si>
    <r>
      <rPr>
        <sz val="10"/>
        <rFont val="宋体"/>
        <charset val="134"/>
      </rPr>
      <t>短期借款</t>
    </r>
    <r>
      <rPr>
        <sz val="10"/>
        <rFont val="Times New Roman"/>
        <charset val="134"/>
      </rPr>
      <t>02</t>
    </r>
  </si>
  <si>
    <r>
      <rPr>
        <sz val="10"/>
        <rFont val="宋体"/>
        <charset val="134"/>
      </rPr>
      <t>短期借款</t>
    </r>
    <r>
      <rPr>
        <sz val="10"/>
        <rFont val="Times New Roman"/>
        <charset val="134"/>
      </rPr>
      <t>03</t>
    </r>
  </si>
  <si>
    <r>
      <rPr>
        <sz val="10"/>
        <rFont val="宋体"/>
        <charset val="134"/>
      </rPr>
      <t>短期借款</t>
    </r>
    <r>
      <rPr>
        <sz val="10"/>
        <rFont val="Times New Roman"/>
        <charset val="134"/>
      </rPr>
      <t>04</t>
    </r>
  </si>
  <si>
    <r>
      <rPr>
        <sz val="10"/>
        <rFont val="宋体"/>
        <charset val="134"/>
      </rPr>
      <t>短期借款</t>
    </r>
    <r>
      <rPr>
        <sz val="10"/>
        <rFont val="Times New Roman"/>
        <charset val="134"/>
      </rPr>
      <t>05</t>
    </r>
  </si>
  <si>
    <r>
      <rPr>
        <sz val="10"/>
        <rFont val="宋体"/>
        <charset val="134"/>
      </rPr>
      <t>短期借款</t>
    </r>
    <r>
      <rPr>
        <sz val="10"/>
        <rFont val="Times New Roman"/>
        <charset val="134"/>
      </rPr>
      <t>06</t>
    </r>
  </si>
  <si>
    <r>
      <rPr>
        <sz val="10"/>
        <rFont val="宋体"/>
        <charset val="134"/>
      </rPr>
      <t>短期借款</t>
    </r>
    <r>
      <rPr>
        <sz val="10"/>
        <rFont val="Times New Roman"/>
        <charset val="134"/>
      </rPr>
      <t>07</t>
    </r>
  </si>
  <si>
    <r>
      <rPr>
        <sz val="10"/>
        <rFont val="宋体"/>
        <charset val="134"/>
      </rPr>
      <t>短期借款</t>
    </r>
    <r>
      <rPr>
        <sz val="10"/>
        <rFont val="Times New Roman"/>
        <charset val="134"/>
      </rPr>
      <t>08</t>
    </r>
  </si>
  <si>
    <r>
      <rPr>
        <sz val="10"/>
        <rFont val="宋体"/>
        <charset val="134"/>
      </rPr>
      <t>短期借款</t>
    </r>
    <r>
      <rPr>
        <sz val="10"/>
        <rFont val="Times New Roman"/>
        <charset val="134"/>
      </rPr>
      <t>09</t>
    </r>
  </si>
  <si>
    <r>
      <rPr>
        <sz val="10"/>
        <rFont val="宋体"/>
        <charset val="134"/>
      </rPr>
      <t>短期借款</t>
    </r>
    <r>
      <rPr>
        <sz val="10"/>
        <rFont val="Times New Roman"/>
        <charset val="134"/>
      </rPr>
      <t>10</t>
    </r>
  </si>
  <si>
    <r>
      <rPr>
        <sz val="10"/>
        <rFont val="宋体"/>
        <charset val="134"/>
      </rPr>
      <t>短期借款</t>
    </r>
    <r>
      <rPr>
        <sz val="10"/>
        <rFont val="Times New Roman"/>
        <charset val="134"/>
      </rPr>
      <t>11</t>
    </r>
  </si>
  <si>
    <r>
      <rPr>
        <sz val="10"/>
        <rFont val="宋体"/>
        <charset val="134"/>
      </rPr>
      <t>短期借款</t>
    </r>
    <r>
      <rPr>
        <sz val="10"/>
        <rFont val="Times New Roman"/>
        <charset val="134"/>
      </rPr>
      <t>12</t>
    </r>
  </si>
  <si>
    <r>
      <rPr>
        <sz val="10"/>
        <rFont val="宋体"/>
        <charset val="134"/>
      </rPr>
      <t>短期借款</t>
    </r>
    <r>
      <rPr>
        <sz val="10"/>
        <rFont val="Times New Roman"/>
        <charset val="134"/>
      </rPr>
      <t>13</t>
    </r>
  </si>
  <si>
    <r>
      <rPr>
        <sz val="10"/>
        <rFont val="宋体"/>
        <charset val="134"/>
      </rPr>
      <t>短期借款</t>
    </r>
    <r>
      <rPr>
        <sz val="10"/>
        <rFont val="Times New Roman"/>
        <charset val="134"/>
      </rPr>
      <t>14</t>
    </r>
  </si>
  <si>
    <r>
      <rPr>
        <sz val="10"/>
        <rFont val="宋体"/>
        <charset val="134"/>
      </rPr>
      <t>短期借款</t>
    </r>
    <r>
      <rPr>
        <sz val="10"/>
        <rFont val="Times New Roman"/>
        <charset val="134"/>
      </rPr>
      <t>15</t>
    </r>
  </si>
  <si>
    <r>
      <rPr>
        <sz val="10"/>
        <rFont val="宋体"/>
        <charset val="134"/>
      </rPr>
      <t>短期借款</t>
    </r>
    <r>
      <rPr>
        <sz val="10"/>
        <rFont val="Times New Roman"/>
        <charset val="134"/>
      </rPr>
      <t>16</t>
    </r>
  </si>
  <si>
    <r>
      <rPr>
        <sz val="10"/>
        <rFont val="宋体"/>
        <charset val="134"/>
      </rPr>
      <t>短期借款</t>
    </r>
    <r>
      <rPr>
        <sz val="10"/>
        <rFont val="Times New Roman"/>
        <charset val="134"/>
      </rPr>
      <t>17</t>
    </r>
  </si>
  <si>
    <r>
      <rPr>
        <sz val="10"/>
        <rFont val="宋体"/>
        <charset val="134"/>
      </rPr>
      <t>短期借款</t>
    </r>
    <r>
      <rPr>
        <sz val="10"/>
        <rFont val="Times New Roman"/>
        <charset val="134"/>
      </rPr>
      <t>18</t>
    </r>
  </si>
  <si>
    <r>
      <rPr>
        <sz val="10"/>
        <rFont val="宋体"/>
        <charset val="134"/>
      </rPr>
      <t>短期借款</t>
    </r>
    <r>
      <rPr>
        <sz val="10"/>
        <rFont val="Times New Roman"/>
        <charset val="134"/>
      </rPr>
      <t>19</t>
    </r>
  </si>
  <si>
    <r>
      <rPr>
        <sz val="10"/>
        <rFont val="宋体"/>
        <charset val="134"/>
      </rPr>
      <t>短期借款</t>
    </r>
    <r>
      <rPr>
        <sz val="10"/>
        <rFont val="Times New Roman"/>
        <charset val="134"/>
      </rPr>
      <t>20</t>
    </r>
  </si>
  <si>
    <r>
      <rPr>
        <b/>
        <sz val="10"/>
        <rFont val="宋体"/>
        <charset val="134"/>
      </rPr>
      <t>合</t>
    </r>
    <r>
      <rPr>
        <b/>
        <sz val="10"/>
        <rFont val="Times New Roman"/>
        <charset val="134"/>
      </rPr>
      <t xml:space="preserve">                       </t>
    </r>
    <r>
      <rPr>
        <b/>
        <sz val="10"/>
        <rFont val="宋体"/>
        <charset val="134"/>
      </rPr>
      <t>计</t>
    </r>
  </si>
  <si>
    <r>
      <rPr>
        <sz val="18"/>
        <rFont val="宋体"/>
        <charset val="134"/>
      </rPr>
      <t>以公允价值计量且其变动计入当期损益的金融负债评估明细表</t>
    </r>
  </si>
  <si>
    <r>
      <rPr>
        <sz val="10"/>
        <rFont val="宋体"/>
        <charset val="134"/>
      </rPr>
      <t>以公允价值计量且其变动计入当期损益的金融负债</t>
    </r>
    <r>
      <rPr>
        <sz val="10"/>
        <rFont val="Times New Roman"/>
        <charset val="134"/>
      </rPr>
      <t>01</t>
    </r>
  </si>
  <si>
    <r>
      <rPr>
        <sz val="10"/>
        <rFont val="宋体"/>
        <charset val="134"/>
      </rPr>
      <t>以公允价值计量且其变动计入当期损益的金融负债</t>
    </r>
    <r>
      <rPr>
        <sz val="10"/>
        <rFont val="Times New Roman"/>
        <charset val="134"/>
      </rPr>
      <t>02</t>
    </r>
  </si>
  <si>
    <r>
      <rPr>
        <sz val="10"/>
        <rFont val="宋体"/>
        <charset val="134"/>
      </rPr>
      <t>以公允价值计量且其变动计入当期损益的金融负债</t>
    </r>
    <r>
      <rPr>
        <sz val="10"/>
        <rFont val="Times New Roman"/>
        <charset val="134"/>
      </rPr>
      <t>03</t>
    </r>
  </si>
  <si>
    <r>
      <rPr>
        <sz val="10"/>
        <rFont val="宋体"/>
        <charset val="134"/>
      </rPr>
      <t>以公允价值计量且其变动计入当期损益的金融负债</t>
    </r>
    <r>
      <rPr>
        <sz val="10"/>
        <rFont val="Times New Roman"/>
        <charset val="134"/>
      </rPr>
      <t>04</t>
    </r>
  </si>
  <si>
    <r>
      <rPr>
        <sz val="10"/>
        <rFont val="宋体"/>
        <charset val="134"/>
      </rPr>
      <t>以公允价值计量且其变动计入当期损益的金融负债</t>
    </r>
    <r>
      <rPr>
        <sz val="10"/>
        <rFont val="Times New Roman"/>
        <charset val="134"/>
      </rPr>
      <t>05</t>
    </r>
  </si>
  <si>
    <r>
      <rPr>
        <sz val="10"/>
        <rFont val="宋体"/>
        <charset val="134"/>
      </rPr>
      <t>以公允价值计量且其变动计入当期损益的金融负债</t>
    </r>
    <r>
      <rPr>
        <sz val="10"/>
        <rFont val="Times New Roman"/>
        <charset val="134"/>
      </rPr>
      <t>06</t>
    </r>
  </si>
  <si>
    <r>
      <rPr>
        <sz val="10"/>
        <rFont val="宋体"/>
        <charset val="134"/>
      </rPr>
      <t>以公允价值计量且其变动计入当期损益的金融负债</t>
    </r>
    <r>
      <rPr>
        <sz val="10"/>
        <rFont val="Times New Roman"/>
        <charset val="134"/>
      </rPr>
      <t>07</t>
    </r>
  </si>
  <si>
    <r>
      <rPr>
        <sz val="10"/>
        <rFont val="宋体"/>
        <charset val="134"/>
      </rPr>
      <t>以公允价值计量且其变动计入当期损益的金融负债</t>
    </r>
    <r>
      <rPr>
        <sz val="10"/>
        <rFont val="Times New Roman"/>
        <charset val="134"/>
      </rPr>
      <t>08</t>
    </r>
  </si>
  <si>
    <r>
      <rPr>
        <sz val="10"/>
        <rFont val="宋体"/>
        <charset val="134"/>
      </rPr>
      <t>以公允价值计量且其变动计入当期损益的金融负债</t>
    </r>
    <r>
      <rPr>
        <sz val="10"/>
        <rFont val="Times New Roman"/>
        <charset val="134"/>
      </rPr>
      <t>09</t>
    </r>
  </si>
  <si>
    <r>
      <rPr>
        <sz val="10"/>
        <rFont val="宋体"/>
        <charset val="134"/>
      </rPr>
      <t>以公允价值计量且其变动计入当期损益的金融负债</t>
    </r>
    <r>
      <rPr>
        <sz val="10"/>
        <rFont val="Times New Roman"/>
        <charset val="134"/>
      </rPr>
      <t>10</t>
    </r>
  </si>
  <si>
    <r>
      <rPr>
        <sz val="10"/>
        <rFont val="宋体"/>
        <charset val="134"/>
      </rPr>
      <t>以公允价值计量且其变动计入当期损益的金融负债</t>
    </r>
    <r>
      <rPr>
        <sz val="10"/>
        <rFont val="Times New Roman"/>
        <charset val="134"/>
      </rPr>
      <t>11</t>
    </r>
  </si>
  <si>
    <r>
      <rPr>
        <sz val="10"/>
        <rFont val="宋体"/>
        <charset val="134"/>
      </rPr>
      <t>以公允价值计量且其变动计入当期损益的金融负债</t>
    </r>
    <r>
      <rPr>
        <sz val="10"/>
        <rFont val="Times New Roman"/>
        <charset val="134"/>
      </rPr>
      <t>12</t>
    </r>
  </si>
  <si>
    <r>
      <rPr>
        <sz val="10"/>
        <rFont val="宋体"/>
        <charset val="134"/>
      </rPr>
      <t>以公允价值计量且其变动计入当期损益的金融负债</t>
    </r>
    <r>
      <rPr>
        <sz val="10"/>
        <rFont val="Times New Roman"/>
        <charset val="134"/>
      </rPr>
      <t>13</t>
    </r>
  </si>
  <si>
    <r>
      <rPr>
        <sz val="10"/>
        <rFont val="宋体"/>
        <charset val="134"/>
      </rPr>
      <t>以公允价值计量且其变动计入当期损益的金融负债</t>
    </r>
    <r>
      <rPr>
        <sz val="10"/>
        <rFont val="Times New Roman"/>
        <charset val="134"/>
      </rPr>
      <t>14</t>
    </r>
  </si>
  <si>
    <r>
      <rPr>
        <sz val="10"/>
        <rFont val="宋体"/>
        <charset val="134"/>
      </rPr>
      <t>以公允价值计量且其变动计入当期损益的金融负债</t>
    </r>
    <r>
      <rPr>
        <sz val="10"/>
        <rFont val="Times New Roman"/>
        <charset val="134"/>
      </rPr>
      <t>15</t>
    </r>
  </si>
  <si>
    <r>
      <rPr>
        <sz val="10"/>
        <rFont val="宋体"/>
        <charset val="134"/>
      </rPr>
      <t>以公允价值计量且其变动计入当期损益的金融负债</t>
    </r>
    <r>
      <rPr>
        <sz val="10"/>
        <rFont val="Times New Roman"/>
        <charset val="134"/>
      </rPr>
      <t>16</t>
    </r>
  </si>
  <si>
    <r>
      <rPr>
        <sz val="10"/>
        <rFont val="宋体"/>
        <charset val="134"/>
      </rPr>
      <t>以公允价值计量且其变动计入当期损益的金融负债</t>
    </r>
    <r>
      <rPr>
        <sz val="10"/>
        <rFont val="Times New Roman"/>
        <charset val="134"/>
      </rPr>
      <t>17</t>
    </r>
  </si>
  <si>
    <r>
      <rPr>
        <sz val="10"/>
        <rFont val="宋体"/>
        <charset val="134"/>
      </rPr>
      <t>以公允价值计量且其变动计入当期损益的金融负债</t>
    </r>
    <r>
      <rPr>
        <sz val="10"/>
        <rFont val="Times New Roman"/>
        <charset val="134"/>
      </rPr>
      <t>18</t>
    </r>
  </si>
  <si>
    <r>
      <rPr>
        <sz val="10"/>
        <rFont val="宋体"/>
        <charset val="134"/>
      </rPr>
      <t>以公允价值计量且其变动计入当期损益的金融负债</t>
    </r>
    <r>
      <rPr>
        <sz val="10"/>
        <rFont val="Times New Roman"/>
        <charset val="134"/>
      </rPr>
      <t>19</t>
    </r>
  </si>
  <si>
    <r>
      <rPr>
        <sz val="10"/>
        <rFont val="宋体"/>
        <charset val="134"/>
      </rPr>
      <t>以公允价值计量且其变动计入当期损益的金融负债</t>
    </r>
    <r>
      <rPr>
        <sz val="10"/>
        <rFont val="Times New Roman"/>
        <charset val="134"/>
      </rPr>
      <t>20</t>
    </r>
  </si>
  <si>
    <r>
      <rPr>
        <b/>
        <sz val="10"/>
        <rFont val="宋体"/>
        <charset val="134"/>
      </rPr>
      <t>合</t>
    </r>
    <r>
      <rPr>
        <b/>
        <sz val="10"/>
        <rFont val="Times New Roman"/>
        <charset val="134"/>
      </rPr>
      <t xml:space="preserve">                                    </t>
    </r>
    <r>
      <rPr>
        <b/>
        <sz val="10"/>
        <rFont val="宋体"/>
        <charset val="134"/>
      </rPr>
      <t>计</t>
    </r>
  </si>
  <si>
    <r>
      <rPr>
        <sz val="18"/>
        <rFont val="宋体"/>
        <charset val="134"/>
      </rPr>
      <t>交易性金融负债评估明细表</t>
    </r>
  </si>
  <si>
    <r>
      <rPr>
        <sz val="10"/>
        <rFont val="宋体"/>
        <charset val="134"/>
      </rPr>
      <t>交易性金融负债</t>
    </r>
    <r>
      <rPr>
        <sz val="10"/>
        <rFont val="Times New Roman"/>
        <charset val="134"/>
      </rPr>
      <t>01</t>
    </r>
  </si>
  <si>
    <r>
      <rPr>
        <sz val="10"/>
        <rFont val="宋体"/>
        <charset val="134"/>
      </rPr>
      <t>交易性金融负债</t>
    </r>
    <r>
      <rPr>
        <sz val="10"/>
        <rFont val="Times New Roman"/>
        <charset val="134"/>
      </rPr>
      <t>02</t>
    </r>
  </si>
  <si>
    <r>
      <rPr>
        <sz val="10"/>
        <rFont val="宋体"/>
        <charset val="134"/>
      </rPr>
      <t>交易性金融负债</t>
    </r>
    <r>
      <rPr>
        <sz val="10"/>
        <rFont val="Times New Roman"/>
        <charset val="134"/>
      </rPr>
      <t>03</t>
    </r>
  </si>
  <si>
    <r>
      <rPr>
        <sz val="10"/>
        <rFont val="宋体"/>
        <charset val="134"/>
      </rPr>
      <t>交易性金融负债</t>
    </r>
    <r>
      <rPr>
        <sz val="10"/>
        <rFont val="Times New Roman"/>
        <charset val="134"/>
      </rPr>
      <t>04</t>
    </r>
  </si>
  <si>
    <r>
      <rPr>
        <sz val="10"/>
        <rFont val="宋体"/>
        <charset val="134"/>
      </rPr>
      <t>交易性金融负债</t>
    </r>
    <r>
      <rPr>
        <sz val="10"/>
        <rFont val="Times New Roman"/>
        <charset val="134"/>
      </rPr>
      <t>05</t>
    </r>
  </si>
  <si>
    <r>
      <rPr>
        <sz val="10"/>
        <rFont val="宋体"/>
        <charset val="134"/>
      </rPr>
      <t>交易性金融负债</t>
    </r>
    <r>
      <rPr>
        <sz val="10"/>
        <rFont val="Times New Roman"/>
        <charset val="134"/>
      </rPr>
      <t>06</t>
    </r>
  </si>
  <si>
    <r>
      <rPr>
        <sz val="10"/>
        <rFont val="宋体"/>
        <charset val="134"/>
      </rPr>
      <t>交易性金融负债</t>
    </r>
    <r>
      <rPr>
        <sz val="10"/>
        <rFont val="Times New Roman"/>
        <charset val="134"/>
      </rPr>
      <t>07</t>
    </r>
  </si>
  <si>
    <r>
      <rPr>
        <sz val="10"/>
        <rFont val="宋体"/>
        <charset val="134"/>
      </rPr>
      <t>交易性金融负债</t>
    </r>
    <r>
      <rPr>
        <sz val="10"/>
        <rFont val="Times New Roman"/>
        <charset val="134"/>
      </rPr>
      <t>08</t>
    </r>
  </si>
  <si>
    <r>
      <rPr>
        <sz val="10"/>
        <rFont val="宋体"/>
        <charset val="134"/>
      </rPr>
      <t>交易性金融负债</t>
    </r>
    <r>
      <rPr>
        <sz val="10"/>
        <rFont val="Times New Roman"/>
        <charset val="134"/>
      </rPr>
      <t>09</t>
    </r>
  </si>
  <si>
    <r>
      <rPr>
        <sz val="10"/>
        <rFont val="宋体"/>
        <charset val="134"/>
      </rPr>
      <t>交易性金融负债</t>
    </r>
    <r>
      <rPr>
        <sz val="10"/>
        <rFont val="Times New Roman"/>
        <charset val="134"/>
      </rPr>
      <t>10</t>
    </r>
  </si>
  <si>
    <r>
      <rPr>
        <sz val="10"/>
        <rFont val="宋体"/>
        <charset val="134"/>
      </rPr>
      <t>交易性金融负债</t>
    </r>
    <r>
      <rPr>
        <sz val="10"/>
        <rFont val="Times New Roman"/>
        <charset val="134"/>
      </rPr>
      <t>11</t>
    </r>
  </si>
  <si>
    <r>
      <rPr>
        <sz val="10"/>
        <rFont val="宋体"/>
        <charset val="134"/>
      </rPr>
      <t>交易性金融负债</t>
    </r>
    <r>
      <rPr>
        <sz val="10"/>
        <rFont val="Times New Roman"/>
        <charset val="134"/>
      </rPr>
      <t>12</t>
    </r>
  </si>
  <si>
    <r>
      <rPr>
        <sz val="10"/>
        <rFont val="宋体"/>
        <charset val="134"/>
      </rPr>
      <t>交易性金融负债</t>
    </r>
    <r>
      <rPr>
        <sz val="10"/>
        <rFont val="Times New Roman"/>
        <charset val="134"/>
      </rPr>
      <t>13</t>
    </r>
  </si>
  <si>
    <r>
      <rPr>
        <sz val="10"/>
        <rFont val="宋体"/>
        <charset val="134"/>
      </rPr>
      <t>交易性金融负债</t>
    </r>
    <r>
      <rPr>
        <sz val="10"/>
        <rFont val="Times New Roman"/>
        <charset val="134"/>
      </rPr>
      <t>14</t>
    </r>
  </si>
  <si>
    <r>
      <rPr>
        <sz val="10"/>
        <rFont val="宋体"/>
        <charset val="134"/>
      </rPr>
      <t>交易性金融负债</t>
    </r>
    <r>
      <rPr>
        <sz val="10"/>
        <rFont val="Times New Roman"/>
        <charset val="134"/>
      </rPr>
      <t>15</t>
    </r>
  </si>
  <si>
    <r>
      <rPr>
        <sz val="10"/>
        <rFont val="宋体"/>
        <charset val="134"/>
      </rPr>
      <t>交易性金融负债</t>
    </r>
    <r>
      <rPr>
        <sz val="10"/>
        <rFont val="Times New Roman"/>
        <charset val="134"/>
      </rPr>
      <t>16</t>
    </r>
  </si>
  <si>
    <r>
      <rPr>
        <sz val="10"/>
        <rFont val="宋体"/>
        <charset val="134"/>
      </rPr>
      <t>交易性金融负债</t>
    </r>
    <r>
      <rPr>
        <sz val="10"/>
        <rFont val="Times New Roman"/>
        <charset val="134"/>
      </rPr>
      <t>17</t>
    </r>
  </si>
  <si>
    <r>
      <rPr>
        <sz val="10"/>
        <rFont val="宋体"/>
        <charset val="134"/>
      </rPr>
      <t>交易性金融负债</t>
    </r>
    <r>
      <rPr>
        <sz val="10"/>
        <rFont val="Times New Roman"/>
        <charset val="134"/>
      </rPr>
      <t>18</t>
    </r>
  </si>
  <si>
    <r>
      <rPr>
        <sz val="10"/>
        <rFont val="宋体"/>
        <charset val="134"/>
      </rPr>
      <t>交易性金融负债</t>
    </r>
    <r>
      <rPr>
        <sz val="10"/>
        <rFont val="Times New Roman"/>
        <charset val="134"/>
      </rPr>
      <t>19</t>
    </r>
  </si>
  <si>
    <r>
      <rPr>
        <sz val="10"/>
        <rFont val="宋体"/>
        <charset val="134"/>
      </rPr>
      <t>交易性金融负债</t>
    </r>
    <r>
      <rPr>
        <sz val="10"/>
        <rFont val="Times New Roman"/>
        <charset val="134"/>
      </rPr>
      <t>20</t>
    </r>
  </si>
  <si>
    <r>
      <rPr>
        <sz val="18"/>
        <rFont val="宋体"/>
        <charset val="134"/>
      </rPr>
      <t>衍生金融负债评估明细表</t>
    </r>
  </si>
  <si>
    <r>
      <rPr>
        <sz val="10"/>
        <rFont val="宋体"/>
        <charset val="134"/>
      </rPr>
      <t>衍生金融负债</t>
    </r>
    <r>
      <rPr>
        <sz val="10"/>
        <rFont val="Times New Roman"/>
        <charset val="134"/>
      </rPr>
      <t>01</t>
    </r>
  </si>
  <si>
    <r>
      <rPr>
        <sz val="10"/>
        <rFont val="宋体"/>
        <charset val="134"/>
      </rPr>
      <t>衍生金融负债</t>
    </r>
    <r>
      <rPr>
        <sz val="10"/>
        <rFont val="Times New Roman"/>
        <charset val="134"/>
      </rPr>
      <t>02</t>
    </r>
  </si>
  <si>
    <r>
      <rPr>
        <sz val="10"/>
        <rFont val="宋体"/>
        <charset val="134"/>
      </rPr>
      <t>衍生金融负债</t>
    </r>
    <r>
      <rPr>
        <sz val="10"/>
        <rFont val="Times New Roman"/>
        <charset val="134"/>
      </rPr>
      <t>03</t>
    </r>
  </si>
  <si>
    <r>
      <rPr>
        <sz val="10"/>
        <rFont val="宋体"/>
        <charset val="134"/>
      </rPr>
      <t>衍生金融负债</t>
    </r>
    <r>
      <rPr>
        <sz val="10"/>
        <rFont val="Times New Roman"/>
        <charset val="134"/>
      </rPr>
      <t>04</t>
    </r>
  </si>
  <si>
    <r>
      <rPr>
        <sz val="10"/>
        <rFont val="宋体"/>
        <charset val="134"/>
      </rPr>
      <t>衍生金融负债</t>
    </r>
    <r>
      <rPr>
        <sz val="10"/>
        <rFont val="Times New Roman"/>
        <charset val="134"/>
      </rPr>
      <t>05</t>
    </r>
  </si>
  <si>
    <r>
      <rPr>
        <sz val="10"/>
        <rFont val="宋体"/>
        <charset val="134"/>
      </rPr>
      <t>衍生金融负债</t>
    </r>
    <r>
      <rPr>
        <sz val="10"/>
        <rFont val="Times New Roman"/>
        <charset val="134"/>
      </rPr>
      <t>06</t>
    </r>
  </si>
  <si>
    <r>
      <rPr>
        <sz val="10"/>
        <rFont val="宋体"/>
        <charset val="134"/>
      </rPr>
      <t>衍生金融负债</t>
    </r>
    <r>
      <rPr>
        <sz val="10"/>
        <rFont val="Times New Roman"/>
        <charset val="134"/>
      </rPr>
      <t>07</t>
    </r>
  </si>
  <si>
    <r>
      <rPr>
        <sz val="10"/>
        <rFont val="宋体"/>
        <charset val="134"/>
      </rPr>
      <t>衍生金融负债</t>
    </r>
    <r>
      <rPr>
        <sz val="10"/>
        <rFont val="Times New Roman"/>
        <charset val="134"/>
      </rPr>
      <t>08</t>
    </r>
  </si>
  <si>
    <r>
      <rPr>
        <sz val="10"/>
        <rFont val="宋体"/>
        <charset val="134"/>
      </rPr>
      <t>衍生金融负债</t>
    </r>
    <r>
      <rPr>
        <sz val="10"/>
        <rFont val="Times New Roman"/>
        <charset val="134"/>
      </rPr>
      <t>09</t>
    </r>
  </si>
  <si>
    <r>
      <rPr>
        <sz val="10"/>
        <rFont val="宋体"/>
        <charset val="134"/>
      </rPr>
      <t>衍生金融负债</t>
    </r>
    <r>
      <rPr>
        <sz val="10"/>
        <rFont val="Times New Roman"/>
        <charset val="134"/>
      </rPr>
      <t>10</t>
    </r>
  </si>
  <si>
    <r>
      <rPr>
        <sz val="10"/>
        <rFont val="宋体"/>
        <charset val="134"/>
      </rPr>
      <t>衍生金融负债</t>
    </r>
    <r>
      <rPr>
        <sz val="10"/>
        <rFont val="Times New Roman"/>
        <charset val="134"/>
      </rPr>
      <t>11</t>
    </r>
  </si>
  <si>
    <r>
      <rPr>
        <sz val="10"/>
        <rFont val="宋体"/>
        <charset val="134"/>
      </rPr>
      <t>衍生金融负债</t>
    </r>
    <r>
      <rPr>
        <sz val="10"/>
        <rFont val="Times New Roman"/>
        <charset val="134"/>
      </rPr>
      <t>12</t>
    </r>
  </si>
  <si>
    <r>
      <rPr>
        <sz val="10"/>
        <rFont val="宋体"/>
        <charset val="134"/>
      </rPr>
      <t>衍生金融负债</t>
    </r>
    <r>
      <rPr>
        <sz val="10"/>
        <rFont val="Times New Roman"/>
        <charset val="134"/>
      </rPr>
      <t>13</t>
    </r>
  </si>
  <si>
    <r>
      <rPr>
        <sz val="10"/>
        <rFont val="宋体"/>
        <charset val="134"/>
      </rPr>
      <t>衍生金融负债</t>
    </r>
    <r>
      <rPr>
        <sz val="10"/>
        <rFont val="Times New Roman"/>
        <charset val="134"/>
      </rPr>
      <t>14</t>
    </r>
  </si>
  <si>
    <r>
      <rPr>
        <sz val="10"/>
        <rFont val="宋体"/>
        <charset val="134"/>
      </rPr>
      <t>衍生金融负债</t>
    </r>
    <r>
      <rPr>
        <sz val="10"/>
        <rFont val="Times New Roman"/>
        <charset val="134"/>
      </rPr>
      <t>15</t>
    </r>
  </si>
  <si>
    <r>
      <rPr>
        <sz val="10"/>
        <rFont val="宋体"/>
        <charset val="134"/>
      </rPr>
      <t>衍生金融负债</t>
    </r>
    <r>
      <rPr>
        <sz val="10"/>
        <rFont val="Times New Roman"/>
        <charset val="134"/>
      </rPr>
      <t>16</t>
    </r>
  </si>
  <si>
    <r>
      <rPr>
        <sz val="10"/>
        <rFont val="宋体"/>
        <charset val="134"/>
      </rPr>
      <t>衍生金融负债</t>
    </r>
    <r>
      <rPr>
        <sz val="10"/>
        <rFont val="Times New Roman"/>
        <charset val="134"/>
      </rPr>
      <t>17</t>
    </r>
  </si>
  <si>
    <r>
      <rPr>
        <sz val="10"/>
        <rFont val="宋体"/>
        <charset val="134"/>
      </rPr>
      <t>衍生金融负债</t>
    </r>
    <r>
      <rPr>
        <sz val="10"/>
        <rFont val="Times New Roman"/>
        <charset val="134"/>
      </rPr>
      <t>18</t>
    </r>
  </si>
  <si>
    <r>
      <rPr>
        <sz val="10"/>
        <rFont val="宋体"/>
        <charset val="134"/>
      </rPr>
      <t>衍生金融负债</t>
    </r>
    <r>
      <rPr>
        <sz val="10"/>
        <rFont val="Times New Roman"/>
        <charset val="134"/>
      </rPr>
      <t>19</t>
    </r>
  </si>
  <si>
    <r>
      <rPr>
        <sz val="10"/>
        <rFont val="宋体"/>
        <charset val="134"/>
      </rPr>
      <t>衍生金融负债</t>
    </r>
    <r>
      <rPr>
        <sz val="10"/>
        <rFont val="Times New Roman"/>
        <charset val="134"/>
      </rPr>
      <t>20</t>
    </r>
  </si>
  <si>
    <r>
      <rPr>
        <b/>
        <sz val="10"/>
        <rFont val="宋体"/>
        <charset val="134"/>
      </rPr>
      <t>合</t>
    </r>
    <r>
      <rPr>
        <b/>
        <sz val="10"/>
        <rFont val="Times New Roman"/>
        <charset val="134"/>
      </rPr>
      <t xml:space="preserve">                         </t>
    </r>
    <r>
      <rPr>
        <b/>
        <sz val="10"/>
        <rFont val="宋体"/>
        <charset val="134"/>
      </rPr>
      <t>计</t>
    </r>
  </si>
  <si>
    <r>
      <rPr>
        <sz val="18"/>
        <rFont val="宋体"/>
        <charset val="134"/>
      </rPr>
      <t>应付票据评估明细表</t>
    </r>
  </si>
  <si>
    <r>
      <rPr>
        <b/>
        <sz val="10"/>
        <rFont val="宋体"/>
        <charset val="134"/>
      </rPr>
      <t>时长</t>
    </r>
    <r>
      <rPr>
        <b/>
        <sz val="10"/>
        <rFont val="Times New Roman"/>
        <charset val="134"/>
      </rPr>
      <t>(</t>
    </r>
    <r>
      <rPr>
        <b/>
        <sz val="10"/>
        <rFont val="宋体"/>
        <charset val="134"/>
      </rPr>
      <t>月）</t>
    </r>
  </si>
  <si>
    <r>
      <rPr>
        <sz val="10"/>
        <rFont val="宋体"/>
        <charset val="134"/>
      </rPr>
      <t>应付票据</t>
    </r>
    <r>
      <rPr>
        <sz val="10"/>
        <rFont val="Times New Roman"/>
        <charset val="134"/>
      </rPr>
      <t>01</t>
    </r>
  </si>
  <si>
    <r>
      <rPr>
        <sz val="10"/>
        <rFont val="宋体"/>
        <charset val="134"/>
      </rPr>
      <t>应付票据</t>
    </r>
    <r>
      <rPr>
        <sz val="10"/>
        <rFont val="Times New Roman"/>
        <charset val="134"/>
      </rPr>
      <t>02</t>
    </r>
  </si>
  <si>
    <r>
      <rPr>
        <sz val="10"/>
        <rFont val="宋体"/>
        <charset val="134"/>
      </rPr>
      <t>应付票据</t>
    </r>
    <r>
      <rPr>
        <sz val="10"/>
        <rFont val="Times New Roman"/>
        <charset val="134"/>
      </rPr>
      <t>03</t>
    </r>
  </si>
  <si>
    <r>
      <rPr>
        <sz val="10"/>
        <rFont val="宋体"/>
        <charset val="134"/>
      </rPr>
      <t>应付票据</t>
    </r>
    <r>
      <rPr>
        <sz val="10"/>
        <rFont val="Times New Roman"/>
        <charset val="134"/>
      </rPr>
      <t>04</t>
    </r>
  </si>
  <si>
    <r>
      <rPr>
        <sz val="10"/>
        <rFont val="宋体"/>
        <charset val="134"/>
      </rPr>
      <t>应付票据</t>
    </r>
    <r>
      <rPr>
        <sz val="10"/>
        <rFont val="Times New Roman"/>
        <charset val="134"/>
      </rPr>
      <t>05</t>
    </r>
  </si>
  <si>
    <r>
      <rPr>
        <sz val="10"/>
        <rFont val="宋体"/>
        <charset val="134"/>
      </rPr>
      <t>应付票据</t>
    </r>
    <r>
      <rPr>
        <sz val="10"/>
        <rFont val="Times New Roman"/>
        <charset val="134"/>
      </rPr>
      <t>06</t>
    </r>
  </si>
  <si>
    <r>
      <rPr>
        <sz val="10"/>
        <rFont val="宋体"/>
        <charset val="134"/>
      </rPr>
      <t>应付票据</t>
    </r>
    <r>
      <rPr>
        <sz val="10"/>
        <rFont val="Times New Roman"/>
        <charset val="134"/>
      </rPr>
      <t>07</t>
    </r>
  </si>
  <si>
    <r>
      <rPr>
        <sz val="10"/>
        <rFont val="宋体"/>
        <charset val="134"/>
      </rPr>
      <t>应付票据</t>
    </r>
    <r>
      <rPr>
        <sz val="10"/>
        <rFont val="Times New Roman"/>
        <charset val="134"/>
      </rPr>
      <t>08</t>
    </r>
  </si>
  <si>
    <r>
      <rPr>
        <sz val="10"/>
        <rFont val="宋体"/>
        <charset val="134"/>
      </rPr>
      <t>应付票据</t>
    </r>
    <r>
      <rPr>
        <sz val="10"/>
        <rFont val="Times New Roman"/>
        <charset val="134"/>
      </rPr>
      <t>09</t>
    </r>
  </si>
  <si>
    <r>
      <rPr>
        <sz val="10"/>
        <rFont val="宋体"/>
        <charset val="134"/>
      </rPr>
      <t>应付票据</t>
    </r>
    <r>
      <rPr>
        <sz val="10"/>
        <rFont val="Times New Roman"/>
        <charset val="134"/>
      </rPr>
      <t>10</t>
    </r>
  </si>
  <si>
    <r>
      <rPr>
        <sz val="10"/>
        <rFont val="宋体"/>
        <charset val="134"/>
      </rPr>
      <t>应付票据</t>
    </r>
    <r>
      <rPr>
        <sz val="10"/>
        <rFont val="Times New Roman"/>
        <charset val="134"/>
      </rPr>
      <t>11</t>
    </r>
  </si>
  <si>
    <r>
      <rPr>
        <sz val="10"/>
        <rFont val="宋体"/>
        <charset val="134"/>
      </rPr>
      <t>应付票据</t>
    </r>
    <r>
      <rPr>
        <sz val="10"/>
        <rFont val="Times New Roman"/>
        <charset val="134"/>
      </rPr>
      <t>12</t>
    </r>
  </si>
  <si>
    <r>
      <rPr>
        <sz val="10"/>
        <rFont val="宋体"/>
        <charset val="134"/>
      </rPr>
      <t>应付票据</t>
    </r>
    <r>
      <rPr>
        <sz val="10"/>
        <rFont val="Times New Roman"/>
        <charset val="134"/>
      </rPr>
      <t>13</t>
    </r>
  </si>
  <si>
    <r>
      <rPr>
        <sz val="10"/>
        <rFont val="宋体"/>
        <charset val="134"/>
      </rPr>
      <t>应付票据</t>
    </r>
    <r>
      <rPr>
        <sz val="10"/>
        <rFont val="Times New Roman"/>
        <charset val="134"/>
      </rPr>
      <t>14</t>
    </r>
  </si>
  <si>
    <r>
      <rPr>
        <sz val="10"/>
        <rFont val="宋体"/>
        <charset val="134"/>
      </rPr>
      <t>应付票据</t>
    </r>
    <r>
      <rPr>
        <sz val="10"/>
        <rFont val="Times New Roman"/>
        <charset val="134"/>
      </rPr>
      <t>15</t>
    </r>
  </si>
  <si>
    <r>
      <rPr>
        <sz val="10"/>
        <rFont val="宋体"/>
        <charset val="134"/>
      </rPr>
      <t>应付票据</t>
    </r>
    <r>
      <rPr>
        <sz val="10"/>
        <rFont val="Times New Roman"/>
        <charset val="134"/>
      </rPr>
      <t>16</t>
    </r>
  </si>
  <si>
    <r>
      <rPr>
        <sz val="10"/>
        <rFont val="宋体"/>
        <charset val="134"/>
      </rPr>
      <t>应付票据</t>
    </r>
    <r>
      <rPr>
        <sz val="10"/>
        <rFont val="Times New Roman"/>
        <charset val="134"/>
      </rPr>
      <t>17</t>
    </r>
  </si>
  <si>
    <r>
      <rPr>
        <sz val="10"/>
        <rFont val="宋体"/>
        <charset val="134"/>
      </rPr>
      <t>应付票据</t>
    </r>
    <r>
      <rPr>
        <sz val="10"/>
        <rFont val="Times New Roman"/>
        <charset val="134"/>
      </rPr>
      <t>18</t>
    </r>
  </si>
  <si>
    <r>
      <rPr>
        <sz val="10"/>
        <rFont val="宋体"/>
        <charset val="134"/>
      </rPr>
      <t>应付票据</t>
    </r>
    <r>
      <rPr>
        <sz val="10"/>
        <rFont val="Times New Roman"/>
        <charset val="134"/>
      </rPr>
      <t>19</t>
    </r>
  </si>
  <si>
    <r>
      <rPr>
        <sz val="10"/>
        <rFont val="宋体"/>
        <charset val="134"/>
      </rPr>
      <t>应付票据</t>
    </r>
    <r>
      <rPr>
        <sz val="10"/>
        <rFont val="Times New Roman"/>
        <charset val="134"/>
      </rPr>
      <t>20</t>
    </r>
  </si>
  <si>
    <r>
      <rPr>
        <sz val="18"/>
        <rFont val="宋体"/>
        <charset val="134"/>
      </rPr>
      <t>应付账款评估明细表</t>
    </r>
  </si>
  <si>
    <r>
      <rPr>
        <sz val="10"/>
        <rFont val="宋体"/>
        <charset val="134"/>
      </rPr>
      <t>应付账款</t>
    </r>
    <r>
      <rPr>
        <sz val="10"/>
        <rFont val="Times New Roman"/>
        <charset val="134"/>
      </rPr>
      <t>01</t>
    </r>
  </si>
  <si>
    <r>
      <rPr>
        <sz val="10"/>
        <rFont val="宋体"/>
        <charset val="134"/>
      </rPr>
      <t>应付账款</t>
    </r>
    <r>
      <rPr>
        <sz val="10"/>
        <rFont val="Times New Roman"/>
        <charset val="134"/>
      </rPr>
      <t>02</t>
    </r>
  </si>
  <si>
    <r>
      <rPr>
        <sz val="10"/>
        <rFont val="宋体"/>
        <charset val="134"/>
      </rPr>
      <t>应付账款</t>
    </r>
    <r>
      <rPr>
        <sz val="10"/>
        <rFont val="Times New Roman"/>
        <charset val="134"/>
      </rPr>
      <t>03</t>
    </r>
  </si>
  <si>
    <r>
      <rPr>
        <sz val="10"/>
        <rFont val="宋体"/>
        <charset val="134"/>
      </rPr>
      <t>应付账款</t>
    </r>
    <r>
      <rPr>
        <sz val="10"/>
        <rFont val="Times New Roman"/>
        <charset val="134"/>
      </rPr>
      <t>04</t>
    </r>
  </si>
  <si>
    <r>
      <rPr>
        <sz val="10"/>
        <rFont val="宋体"/>
        <charset val="134"/>
      </rPr>
      <t>应付账款</t>
    </r>
    <r>
      <rPr>
        <sz val="10"/>
        <rFont val="Times New Roman"/>
        <charset val="134"/>
      </rPr>
      <t>05</t>
    </r>
  </si>
  <si>
    <r>
      <rPr>
        <sz val="10"/>
        <rFont val="宋体"/>
        <charset val="134"/>
      </rPr>
      <t>应付账款</t>
    </r>
    <r>
      <rPr>
        <sz val="10"/>
        <rFont val="Times New Roman"/>
        <charset val="134"/>
      </rPr>
      <t>06</t>
    </r>
  </si>
  <si>
    <r>
      <rPr>
        <sz val="10"/>
        <rFont val="宋体"/>
        <charset val="134"/>
      </rPr>
      <t>应付账款</t>
    </r>
    <r>
      <rPr>
        <sz val="10"/>
        <rFont val="Times New Roman"/>
        <charset val="134"/>
      </rPr>
      <t>07</t>
    </r>
  </si>
  <si>
    <r>
      <rPr>
        <sz val="10"/>
        <rFont val="宋体"/>
        <charset val="134"/>
      </rPr>
      <t>应付账款</t>
    </r>
    <r>
      <rPr>
        <sz val="10"/>
        <rFont val="Times New Roman"/>
        <charset val="134"/>
      </rPr>
      <t>08</t>
    </r>
  </si>
  <si>
    <r>
      <rPr>
        <sz val="10"/>
        <rFont val="宋体"/>
        <charset val="134"/>
      </rPr>
      <t>应付账款</t>
    </r>
    <r>
      <rPr>
        <sz val="10"/>
        <rFont val="Times New Roman"/>
        <charset val="134"/>
      </rPr>
      <t>09</t>
    </r>
  </si>
  <si>
    <r>
      <rPr>
        <sz val="10"/>
        <rFont val="宋体"/>
        <charset val="134"/>
      </rPr>
      <t>应付账款</t>
    </r>
    <r>
      <rPr>
        <sz val="10"/>
        <rFont val="Times New Roman"/>
        <charset val="134"/>
      </rPr>
      <t>10</t>
    </r>
  </si>
  <si>
    <r>
      <rPr>
        <sz val="10"/>
        <rFont val="宋体"/>
        <charset val="134"/>
      </rPr>
      <t>应付账款</t>
    </r>
    <r>
      <rPr>
        <sz val="10"/>
        <rFont val="Times New Roman"/>
        <charset val="134"/>
      </rPr>
      <t>11</t>
    </r>
  </si>
  <si>
    <r>
      <rPr>
        <sz val="10"/>
        <rFont val="宋体"/>
        <charset val="134"/>
      </rPr>
      <t>应付账款</t>
    </r>
    <r>
      <rPr>
        <sz val="10"/>
        <rFont val="Times New Roman"/>
        <charset val="134"/>
      </rPr>
      <t>12</t>
    </r>
  </si>
  <si>
    <r>
      <rPr>
        <sz val="10"/>
        <rFont val="宋体"/>
        <charset val="134"/>
      </rPr>
      <t>应付账款</t>
    </r>
    <r>
      <rPr>
        <sz val="10"/>
        <rFont val="Times New Roman"/>
        <charset val="134"/>
      </rPr>
      <t>13</t>
    </r>
  </si>
  <si>
    <r>
      <rPr>
        <sz val="10"/>
        <rFont val="宋体"/>
        <charset val="134"/>
      </rPr>
      <t>应付账款</t>
    </r>
    <r>
      <rPr>
        <sz val="10"/>
        <rFont val="Times New Roman"/>
        <charset val="134"/>
      </rPr>
      <t>14</t>
    </r>
  </si>
  <si>
    <r>
      <rPr>
        <sz val="10"/>
        <rFont val="宋体"/>
        <charset val="134"/>
      </rPr>
      <t>应付账款</t>
    </r>
    <r>
      <rPr>
        <sz val="10"/>
        <rFont val="Times New Roman"/>
        <charset val="134"/>
      </rPr>
      <t>15</t>
    </r>
  </si>
  <si>
    <r>
      <rPr>
        <sz val="10"/>
        <rFont val="宋体"/>
        <charset val="134"/>
      </rPr>
      <t>应付账款</t>
    </r>
    <r>
      <rPr>
        <sz val="10"/>
        <rFont val="Times New Roman"/>
        <charset val="134"/>
      </rPr>
      <t>16</t>
    </r>
  </si>
  <si>
    <r>
      <rPr>
        <sz val="10"/>
        <rFont val="宋体"/>
        <charset val="134"/>
      </rPr>
      <t>应付账款</t>
    </r>
    <r>
      <rPr>
        <sz val="10"/>
        <rFont val="Times New Roman"/>
        <charset val="134"/>
      </rPr>
      <t>17</t>
    </r>
  </si>
  <si>
    <r>
      <rPr>
        <sz val="10"/>
        <rFont val="宋体"/>
        <charset val="134"/>
      </rPr>
      <t>应付账款</t>
    </r>
    <r>
      <rPr>
        <sz val="10"/>
        <rFont val="Times New Roman"/>
        <charset val="134"/>
      </rPr>
      <t>18</t>
    </r>
  </si>
  <si>
    <r>
      <rPr>
        <sz val="10"/>
        <rFont val="宋体"/>
        <charset val="134"/>
      </rPr>
      <t>应付账款</t>
    </r>
    <r>
      <rPr>
        <sz val="10"/>
        <rFont val="Times New Roman"/>
        <charset val="134"/>
      </rPr>
      <t>19</t>
    </r>
  </si>
  <si>
    <r>
      <rPr>
        <sz val="10"/>
        <rFont val="宋体"/>
        <charset val="134"/>
      </rPr>
      <t>应付账款</t>
    </r>
    <r>
      <rPr>
        <sz val="10"/>
        <rFont val="Times New Roman"/>
        <charset val="134"/>
      </rPr>
      <t>20</t>
    </r>
  </si>
  <si>
    <r>
      <rPr>
        <sz val="18"/>
        <rFont val="宋体"/>
        <charset val="134"/>
      </rPr>
      <t>预收账款评估明细表</t>
    </r>
  </si>
  <si>
    <r>
      <rPr>
        <sz val="10"/>
        <rFont val="宋体"/>
        <charset val="134"/>
      </rPr>
      <t>预收账款</t>
    </r>
    <r>
      <rPr>
        <sz val="10"/>
        <rFont val="Times New Roman"/>
        <charset val="134"/>
      </rPr>
      <t>01</t>
    </r>
  </si>
  <si>
    <r>
      <rPr>
        <sz val="10"/>
        <rFont val="宋体"/>
        <charset val="134"/>
      </rPr>
      <t>预收账款</t>
    </r>
    <r>
      <rPr>
        <sz val="10"/>
        <rFont val="Times New Roman"/>
        <charset val="134"/>
      </rPr>
      <t>02</t>
    </r>
  </si>
  <si>
    <r>
      <rPr>
        <sz val="10"/>
        <rFont val="宋体"/>
        <charset val="134"/>
      </rPr>
      <t>预收账款</t>
    </r>
    <r>
      <rPr>
        <sz val="10"/>
        <rFont val="Times New Roman"/>
        <charset val="134"/>
      </rPr>
      <t>03</t>
    </r>
  </si>
  <si>
    <r>
      <rPr>
        <sz val="10"/>
        <rFont val="宋体"/>
        <charset val="134"/>
      </rPr>
      <t>预收账款</t>
    </r>
    <r>
      <rPr>
        <sz val="10"/>
        <rFont val="Times New Roman"/>
        <charset val="134"/>
      </rPr>
      <t>04</t>
    </r>
  </si>
  <si>
    <r>
      <rPr>
        <sz val="10"/>
        <rFont val="宋体"/>
        <charset val="134"/>
      </rPr>
      <t>预收账款</t>
    </r>
    <r>
      <rPr>
        <sz val="10"/>
        <rFont val="Times New Roman"/>
        <charset val="134"/>
      </rPr>
      <t>05</t>
    </r>
  </si>
  <si>
    <r>
      <rPr>
        <sz val="10"/>
        <rFont val="宋体"/>
        <charset val="134"/>
      </rPr>
      <t>预收账款</t>
    </r>
    <r>
      <rPr>
        <sz val="10"/>
        <rFont val="Times New Roman"/>
        <charset val="134"/>
      </rPr>
      <t>06</t>
    </r>
  </si>
  <si>
    <r>
      <rPr>
        <sz val="10"/>
        <rFont val="宋体"/>
        <charset val="134"/>
      </rPr>
      <t>预收账款</t>
    </r>
    <r>
      <rPr>
        <sz val="10"/>
        <rFont val="Times New Roman"/>
        <charset val="134"/>
      </rPr>
      <t>07</t>
    </r>
  </si>
  <si>
    <r>
      <rPr>
        <sz val="10"/>
        <rFont val="宋体"/>
        <charset val="134"/>
      </rPr>
      <t>预收账款</t>
    </r>
    <r>
      <rPr>
        <sz val="10"/>
        <rFont val="Times New Roman"/>
        <charset val="134"/>
      </rPr>
      <t>08</t>
    </r>
  </si>
  <si>
    <r>
      <rPr>
        <sz val="10"/>
        <rFont val="宋体"/>
        <charset val="134"/>
      </rPr>
      <t>预收账款</t>
    </r>
    <r>
      <rPr>
        <sz val="10"/>
        <rFont val="Times New Roman"/>
        <charset val="134"/>
      </rPr>
      <t>09</t>
    </r>
  </si>
  <si>
    <r>
      <rPr>
        <sz val="10"/>
        <rFont val="宋体"/>
        <charset val="134"/>
      </rPr>
      <t>预收账款</t>
    </r>
    <r>
      <rPr>
        <sz val="10"/>
        <rFont val="Times New Roman"/>
        <charset val="134"/>
      </rPr>
      <t>10</t>
    </r>
  </si>
  <si>
    <r>
      <rPr>
        <sz val="10"/>
        <rFont val="宋体"/>
        <charset val="134"/>
      </rPr>
      <t>预收账款</t>
    </r>
    <r>
      <rPr>
        <sz val="10"/>
        <rFont val="Times New Roman"/>
        <charset val="134"/>
      </rPr>
      <t>11</t>
    </r>
  </si>
  <si>
    <r>
      <rPr>
        <sz val="10"/>
        <rFont val="宋体"/>
        <charset val="134"/>
      </rPr>
      <t>预收账款</t>
    </r>
    <r>
      <rPr>
        <sz val="10"/>
        <rFont val="Times New Roman"/>
        <charset val="134"/>
      </rPr>
      <t>12</t>
    </r>
  </si>
  <si>
    <r>
      <rPr>
        <sz val="10"/>
        <rFont val="宋体"/>
        <charset val="134"/>
      </rPr>
      <t>预收账款</t>
    </r>
    <r>
      <rPr>
        <sz val="10"/>
        <rFont val="Times New Roman"/>
        <charset val="134"/>
      </rPr>
      <t>13</t>
    </r>
  </si>
  <si>
    <r>
      <rPr>
        <sz val="10"/>
        <rFont val="宋体"/>
        <charset val="134"/>
      </rPr>
      <t>预收账款</t>
    </r>
    <r>
      <rPr>
        <sz val="10"/>
        <rFont val="Times New Roman"/>
        <charset val="134"/>
      </rPr>
      <t>14</t>
    </r>
  </si>
  <si>
    <r>
      <rPr>
        <sz val="10"/>
        <rFont val="宋体"/>
        <charset val="134"/>
      </rPr>
      <t>预收账款</t>
    </r>
    <r>
      <rPr>
        <sz val="10"/>
        <rFont val="Times New Roman"/>
        <charset val="134"/>
      </rPr>
      <t>15</t>
    </r>
  </si>
  <si>
    <r>
      <rPr>
        <sz val="10"/>
        <rFont val="宋体"/>
        <charset val="134"/>
      </rPr>
      <t>预收账款</t>
    </r>
    <r>
      <rPr>
        <sz val="10"/>
        <rFont val="Times New Roman"/>
        <charset val="134"/>
      </rPr>
      <t>16</t>
    </r>
  </si>
  <si>
    <r>
      <rPr>
        <sz val="10"/>
        <rFont val="宋体"/>
        <charset val="134"/>
      </rPr>
      <t>预收账款</t>
    </r>
    <r>
      <rPr>
        <sz val="10"/>
        <rFont val="Times New Roman"/>
        <charset val="134"/>
      </rPr>
      <t>17</t>
    </r>
  </si>
  <si>
    <r>
      <rPr>
        <sz val="10"/>
        <rFont val="宋体"/>
        <charset val="134"/>
      </rPr>
      <t>预收账款</t>
    </r>
    <r>
      <rPr>
        <sz val="10"/>
        <rFont val="Times New Roman"/>
        <charset val="134"/>
      </rPr>
      <t>18</t>
    </r>
  </si>
  <si>
    <r>
      <rPr>
        <sz val="10"/>
        <rFont val="宋体"/>
        <charset val="134"/>
      </rPr>
      <t>预收账款</t>
    </r>
    <r>
      <rPr>
        <sz val="10"/>
        <rFont val="Times New Roman"/>
        <charset val="134"/>
      </rPr>
      <t>19</t>
    </r>
  </si>
  <si>
    <r>
      <rPr>
        <sz val="10"/>
        <rFont val="宋体"/>
        <charset val="134"/>
      </rPr>
      <t>预收账款</t>
    </r>
    <r>
      <rPr>
        <sz val="10"/>
        <rFont val="Times New Roman"/>
        <charset val="134"/>
      </rPr>
      <t>20</t>
    </r>
  </si>
  <si>
    <t>合同负债评估汇总表</t>
  </si>
  <si>
    <t>合同负债-未完施工</t>
  </si>
  <si>
    <t>合同负债-其他</t>
  </si>
  <si>
    <t>合同负债合计</t>
  </si>
  <si>
    <t>合同负债-未完施工评估明细表</t>
  </si>
  <si>
    <r>
      <rPr>
        <sz val="10"/>
        <rFont val="宋体"/>
        <charset val="134"/>
      </rPr>
      <t>合同负债</t>
    </r>
    <r>
      <rPr>
        <sz val="10"/>
        <rFont val="Times New Roman"/>
        <charset val="134"/>
      </rPr>
      <t>01</t>
    </r>
  </si>
  <si>
    <r>
      <rPr>
        <sz val="10"/>
        <rFont val="宋体"/>
        <charset val="134"/>
      </rPr>
      <t>合同负债</t>
    </r>
    <r>
      <rPr>
        <sz val="10"/>
        <rFont val="Times New Roman"/>
        <charset val="134"/>
      </rPr>
      <t>02</t>
    </r>
  </si>
  <si>
    <r>
      <rPr>
        <sz val="10"/>
        <rFont val="宋体"/>
        <charset val="134"/>
      </rPr>
      <t>合同负债</t>
    </r>
    <r>
      <rPr>
        <sz val="10"/>
        <rFont val="Times New Roman"/>
        <charset val="134"/>
      </rPr>
      <t>03</t>
    </r>
  </si>
  <si>
    <r>
      <rPr>
        <sz val="10"/>
        <rFont val="宋体"/>
        <charset val="134"/>
      </rPr>
      <t>合同负债</t>
    </r>
    <r>
      <rPr>
        <sz val="10"/>
        <rFont val="Times New Roman"/>
        <charset val="134"/>
      </rPr>
      <t>04</t>
    </r>
  </si>
  <si>
    <r>
      <rPr>
        <sz val="10"/>
        <rFont val="宋体"/>
        <charset val="134"/>
      </rPr>
      <t>合同负债</t>
    </r>
    <r>
      <rPr>
        <sz val="10"/>
        <rFont val="Times New Roman"/>
        <charset val="134"/>
      </rPr>
      <t>05</t>
    </r>
  </si>
  <si>
    <r>
      <rPr>
        <sz val="10"/>
        <rFont val="宋体"/>
        <charset val="134"/>
      </rPr>
      <t>合同负债</t>
    </r>
    <r>
      <rPr>
        <sz val="10"/>
        <rFont val="Times New Roman"/>
        <charset val="134"/>
      </rPr>
      <t>06</t>
    </r>
  </si>
  <si>
    <r>
      <rPr>
        <sz val="10"/>
        <rFont val="宋体"/>
        <charset val="134"/>
      </rPr>
      <t>合同负债</t>
    </r>
    <r>
      <rPr>
        <sz val="10"/>
        <rFont val="Times New Roman"/>
        <charset val="134"/>
      </rPr>
      <t>07</t>
    </r>
  </si>
  <si>
    <r>
      <rPr>
        <sz val="10"/>
        <rFont val="宋体"/>
        <charset val="134"/>
      </rPr>
      <t>合同负债</t>
    </r>
    <r>
      <rPr>
        <sz val="10"/>
        <rFont val="Times New Roman"/>
        <charset val="134"/>
      </rPr>
      <t>08</t>
    </r>
  </si>
  <si>
    <r>
      <rPr>
        <sz val="10"/>
        <rFont val="宋体"/>
        <charset val="134"/>
      </rPr>
      <t>合同负债</t>
    </r>
    <r>
      <rPr>
        <sz val="10"/>
        <rFont val="Times New Roman"/>
        <charset val="134"/>
      </rPr>
      <t>09</t>
    </r>
  </si>
  <si>
    <r>
      <rPr>
        <sz val="10"/>
        <rFont val="宋体"/>
        <charset val="134"/>
      </rPr>
      <t>合同负债</t>
    </r>
    <r>
      <rPr>
        <sz val="10"/>
        <rFont val="Times New Roman"/>
        <charset val="134"/>
      </rPr>
      <t>10</t>
    </r>
  </si>
  <si>
    <r>
      <rPr>
        <sz val="10"/>
        <rFont val="宋体"/>
        <charset val="134"/>
      </rPr>
      <t>合同负债</t>
    </r>
    <r>
      <rPr>
        <sz val="10"/>
        <rFont val="Times New Roman"/>
        <charset val="134"/>
      </rPr>
      <t>11</t>
    </r>
  </si>
  <si>
    <r>
      <rPr>
        <sz val="10"/>
        <rFont val="宋体"/>
        <charset val="134"/>
      </rPr>
      <t>合同负债</t>
    </r>
    <r>
      <rPr>
        <sz val="10"/>
        <rFont val="Times New Roman"/>
        <charset val="134"/>
      </rPr>
      <t>12</t>
    </r>
  </si>
  <si>
    <r>
      <rPr>
        <sz val="10"/>
        <rFont val="宋体"/>
        <charset val="134"/>
      </rPr>
      <t>合同负债</t>
    </r>
    <r>
      <rPr>
        <sz val="10"/>
        <rFont val="Times New Roman"/>
        <charset val="134"/>
      </rPr>
      <t>13</t>
    </r>
  </si>
  <si>
    <r>
      <rPr>
        <sz val="10"/>
        <rFont val="宋体"/>
        <charset val="134"/>
      </rPr>
      <t>合同负债</t>
    </r>
    <r>
      <rPr>
        <sz val="10"/>
        <rFont val="Times New Roman"/>
        <charset val="134"/>
      </rPr>
      <t>14</t>
    </r>
  </si>
  <si>
    <r>
      <rPr>
        <sz val="10"/>
        <rFont val="宋体"/>
        <charset val="134"/>
      </rPr>
      <t>合同负债</t>
    </r>
    <r>
      <rPr>
        <sz val="10"/>
        <rFont val="Times New Roman"/>
        <charset val="134"/>
      </rPr>
      <t>15</t>
    </r>
  </si>
  <si>
    <r>
      <rPr>
        <sz val="10"/>
        <rFont val="宋体"/>
        <charset val="134"/>
      </rPr>
      <t>合同负债</t>
    </r>
    <r>
      <rPr>
        <sz val="10"/>
        <rFont val="Times New Roman"/>
        <charset val="134"/>
      </rPr>
      <t>16</t>
    </r>
  </si>
  <si>
    <r>
      <rPr>
        <sz val="10"/>
        <rFont val="宋体"/>
        <charset val="134"/>
      </rPr>
      <t>合同负债</t>
    </r>
    <r>
      <rPr>
        <sz val="10"/>
        <rFont val="Times New Roman"/>
        <charset val="134"/>
      </rPr>
      <t>17</t>
    </r>
  </si>
  <si>
    <r>
      <rPr>
        <sz val="10"/>
        <rFont val="宋体"/>
        <charset val="134"/>
      </rPr>
      <t>合同负债</t>
    </r>
    <r>
      <rPr>
        <sz val="10"/>
        <rFont val="Times New Roman"/>
        <charset val="134"/>
      </rPr>
      <t>18</t>
    </r>
  </si>
  <si>
    <r>
      <rPr>
        <sz val="10"/>
        <rFont val="宋体"/>
        <charset val="134"/>
      </rPr>
      <t>合同负债</t>
    </r>
    <r>
      <rPr>
        <sz val="10"/>
        <rFont val="Times New Roman"/>
        <charset val="134"/>
      </rPr>
      <t>19</t>
    </r>
  </si>
  <si>
    <r>
      <rPr>
        <sz val="10"/>
        <rFont val="宋体"/>
        <charset val="134"/>
      </rPr>
      <t>合同负债</t>
    </r>
    <r>
      <rPr>
        <sz val="10"/>
        <rFont val="Times New Roman"/>
        <charset val="134"/>
      </rPr>
      <t>20</t>
    </r>
  </si>
  <si>
    <t>合同负债-其他评估明细表</t>
  </si>
  <si>
    <r>
      <rPr>
        <sz val="10"/>
        <rFont val="宋体"/>
        <charset val="134"/>
      </rPr>
      <t>合同负债</t>
    </r>
    <r>
      <rPr>
        <sz val="10"/>
        <rFont val="Times New Roman"/>
        <charset val="134"/>
      </rPr>
      <t>-</t>
    </r>
    <r>
      <rPr>
        <sz val="10"/>
        <rFont val="宋体"/>
        <charset val="134"/>
      </rPr>
      <t>其他</t>
    </r>
    <r>
      <rPr>
        <sz val="10"/>
        <rFont val="Times New Roman"/>
        <charset val="134"/>
      </rPr>
      <t>01</t>
    </r>
  </si>
  <si>
    <r>
      <rPr>
        <sz val="10"/>
        <rFont val="宋体"/>
        <charset val="134"/>
      </rPr>
      <t>合同负债</t>
    </r>
    <r>
      <rPr>
        <sz val="10"/>
        <rFont val="Times New Roman"/>
        <charset val="134"/>
      </rPr>
      <t>-</t>
    </r>
    <r>
      <rPr>
        <sz val="10"/>
        <rFont val="宋体"/>
        <charset val="134"/>
      </rPr>
      <t>其他</t>
    </r>
    <r>
      <rPr>
        <sz val="10"/>
        <rFont val="Times New Roman"/>
        <charset val="134"/>
      </rPr>
      <t>02</t>
    </r>
  </si>
  <si>
    <r>
      <rPr>
        <sz val="10"/>
        <rFont val="宋体"/>
        <charset val="134"/>
      </rPr>
      <t>合同负债</t>
    </r>
    <r>
      <rPr>
        <sz val="10"/>
        <rFont val="Times New Roman"/>
        <charset val="134"/>
      </rPr>
      <t>-</t>
    </r>
    <r>
      <rPr>
        <sz val="10"/>
        <rFont val="宋体"/>
        <charset val="134"/>
      </rPr>
      <t>其他</t>
    </r>
    <r>
      <rPr>
        <sz val="10"/>
        <rFont val="Times New Roman"/>
        <charset val="134"/>
      </rPr>
      <t>03</t>
    </r>
  </si>
  <si>
    <r>
      <rPr>
        <sz val="10"/>
        <rFont val="宋体"/>
        <charset val="134"/>
      </rPr>
      <t>合同负债</t>
    </r>
    <r>
      <rPr>
        <sz val="10"/>
        <rFont val="Times New Roman"/>
        <charset val="134"/>
      </rPr>
      <t>-</t>
    </r>
    <r>
      <rPr>
        <sz val="10"/>
        <rFont val="宋体"/>
        <charset val="134"/>
      </rPr>
      <t>其他</t>
    </r>
    <r>
      <rPr>
        <sz val="10"/>
        <rFont val="Times New Roman"/>
        <charset val="134"/>
      </rPr>
      <t>04</t>
    </r>
  </si>
  <si>
    <r>
      <rPr>
        <sz val="10"/>
        <rFont val="宋体"/>
        <charset val="134"/>
      </rPr>
      <t>合同负债</t>
    </r>
    <r>
      <rPr>
        <sz val="10"/>
        <rFont val="Times New Roman"/>
        <charset val="134"/>
      </rPr>
      <t>-</t>
    </r>
    <r>
      <rPr>
        <sz val="10"/>
        <rFont val="宋体"/>
        <charset val="134"/>
      </rPr>
      <t>其他</t>
    </r>
    <r>
      <rPr>
        <sz val="10"/>
        <rFont val="Times New Roman"/>
        <charset val="134"/>
      </rPr>
      <t>05</t>
    </r>
  </si>
  <si>
    <r>
      <rPr>
        <sz val="10"/>
        <rFont val="宋体"/>
        <charset val="134"/>
      </rPr>
      <t>合同负债</t>
    </r>
    <r>
      <rPr>
        <sz val="10"/>
        <rFont val="Times New Roman"/>
        <charset val="134"/>
      </rPr>
      <t>-</t>
    </r>
    <r>
      <rPr>
        <sz val="10"/>
        <rFont val="宋体"/>
        <charset val="134"/>
      </rPr>
      <t>其他</t>
    </r>
    <r>
      <rPr>
        <sz val="10"/>
        <rFont val="Times New Roman"/>
        <charset val="134"/>
      </rPr>
      <t>06</t>
    </r>
  </si>
  <si>
    <r>
      <rPr>
        <sz val="10"/>
        <rFont val="宋体"/>
        <charset val="134"/>
      </rPr>
      <t>合同负债</t>
    </r>
    <r>
      <rPr>
        <sz val="10"/>
        <rFont val="Times New Roman"/>
        <charset val="134"/>
      </rPr>
      <t>-</t>
    </r>
    <r>
      <rPr>
        <sz val="10"/>
        <rFont val="宋体"/>
        <charset val="134"/>
      </rPr>
      <t>其他</t>
    </r>
    <r>
      <rPr>
        <sz val="10"/>
        <rFont val="Times New Roman"/>
        <charset val="134"/>
      </rPr>
      <t>07</t>
    </r>
  </si>
  <si>
    <r>
      <rPr>
        <sz val="10"/>
        <rFont val="宋体"/>
        <charset val="134"/>
      </rPr>
      <t>合同负债</t>
    </r>
    <r>
      <rPr>
        <sz val="10"/>
        <rFont val="Times New Roman"/>
        <charset val="134"/>
      </rPr>
      <t>-</t>
    </r>
    <r>
      <rPr>
        <sz val="10"/>
        <rFont val="宋体"/>
        <charset val="134"/>
      </rPr>
      <t>其他</t>
    </r>
    <r>
      <rPr>
        <sz val="10"/>
        <rFont val="Times New Roman"/>
        <charset val="134"/>
      </rPr>
      <t>08</t>
    </r>
  </si>
  <si>
    <r>
      <rPr>
        <sz val="10"/>
        <rFont val="宋体"/>
        <charset val="134"/>
      </rPr>
      <t>合同负债</t>
    </r>
    <r>
      <rPr>
        <sz val="10"/>
        <rFont val="Times New Roman"/>
        <charset val="134"/>
      </rPr>
      <t>-</t>
    </r>
    <r>
      <rPr>
        <sz val="10"/>
        <rFont val="宋体"/>
        <charset val="134"/>
      </rPr>
      <t>其他</t>
    </r>
    <r>
      <rPr>
        <sz val="10"/>
        <rFont val="Times New Roman"/>
        <charset val="134"/>
      </rPr>
      <t>09</t>
    </r>
  </si>
  <si>
    <r>
      <rPr>
        <sz val="10"/>
        <rFont val="宋体"/>
        <charset val="134"/>
      </rPr>
      <t>合同负债</t>
    </r>
    <r>
      <rPr>
        <sz val="10"/>
        <rFont val="Times New Roman"/>
        <charset val="134"/>
      </rPr>
      <t>-</t>
    </r>
    <r>
      <rPr>
        <sz val="10"/>
        <rFont val="宋体"/>
        <charset val="134"/>
      </rPr>
      <t>其他</t>
    </r>
    <r>
      <rPr>
        <sz val="10"/>
        <rFont val="Times New Roman"/>
        <charset val="134"/>
      </rPr>
      <t>10</t>
    </r>
  </si>
  <si>
    <r>
      <rPr>
        <sz val="10"/>
        <rFont val="宋体"/>
        <charset val="134"/>
      </rPr>
      <t>合同负债</t>
    </r>
    <r>
      <rPr>
        <sz val="10"/>
        <rFont val="Times New Roman"/>
        <charset val="134"/>
      </rPr>
      <t>-</t>
    </r>
    <r>
      <rPr>
        <sz val="10"/>
        <rFont val="宋体"/>
        <charset val="134"/>
      </rPr>
      <t>其他</t>
    </r>
    <r>
      <rPr>
        <sz val="10"/>
        <rFont val="Times New Roman"/>
        <charset val="134"/>
      </rPr>
      <t>11</t>
    </r>
  </si>
  <si>
    <r>
      <rPr>
        <sz val="10"/>
        <rFont val="宋体"/>
        <charset val="134"/>
      </rPr>
      <t>合同负债</t>
    </r>
    <r>
      <rPr>
        <sz val="10"/>
        <rFont val="Times New Roman"/>
        <charset val="134"/>
      </rPr>
      <t>-</t>
    </r>
    <r>
      <rPr>
        <sz val="10"/>
        <rFont val="宋体"/>
        <charset val="134"/>
      </rPr>
      <t>其他</t>
    </r>
    <r>
      <rPr>
        <sz val="10"/>
        <rFont val="Times New Roman"/>
        <charset val="134"/>
      </rPr>
      <t>12</t>
    </r>
  </si>
  <si>
    <r>
      <rPr>
        <sz val="10"/>
        <rFont val="宋体"/>
        <charset val="134"/>
      </rPr>
      <t>合同负债</t>
    </r>
    <r>
      <rPr>
        <sz val="10"/>
        <rFont val="Times New Roman"/>
        <charset val="134"/>
      </rPr>
      <t>-</t>
    </r>
    <r>
      <rPr>
        <sz val="10"/>
        <rFont val="宋体"/>
        <charset val="134"/>
      </rPr>
      <t>其他</t>
    </r>
    <r>
      <rPr>
        <sz val="10"/>
        <rFont val="Times New Roman"/>
        <charset val="134"/>
      </rPr>
      <t>13</t>
    </r>
  </si>
  <si>
    <r>
      <rPr>
        <sz val="10"/>
        <rFont val="宋体"/>
        <charset val="134"/>
      </rPr>
      <t>合同负债</t>
    </r>
    <r>
      <rPr>
        <sz val="10"/>
        <rFont val="Times New Roman"/>
        <charset val="134"/>
      </rPr>
      <t>-</t>
    </r>
    <r>
      <rPr>
        <sz val="10"/>
        <rFont val="宋体"/>
        <charset val="134"/>
      </rPr>
      <t>其他</t>
    </r>
    <r>
      <rPr>
        <sz val="10"/>
        <rFont val="Times New Roman"/>
        <charset val="134"/>
      </rPr>
      <t>14</t>
    </r>
  </si>
  <si>
    <r>
      <rPr>
        <sz val="10"/>
        <rFont val="宋体"/>
        <charset val="134"/>
      </rPr>
      <t>合同负债</t>
    </r>
    <r>
      <rPr>
        <sz val="10"/>
        <rFont val="Times New Roman"/>
        <charset val="134"/>
      </rPr>
      <t>-</t>
    </r>
    <r>
      <rPr>
        <sz val="10"/>
        <rFont val="宋体"/>
        <charset val="134"/>
      </rPr>
      <t>其他</t>
    </r>
    <r>
      <rPr>
        <sz val="10"/>
        <rFont val="Times New Roman"/>
        <charset val="134"/>
      </rPr>
      <t>15</t>
    </r>
  </si>
  <si>
    <r>
      <rPr>
        <sz val="10"/>
        <rFont val="宋体"/>
        <charset val="134"/>
      </rPr>
      <t>合同负债</t>
    </r>
    <r>
      <rPr>
        <sz val="10"/>
        <rFont val="Times New Roman"/>
        <charset val="134"/>
      </rPr>
      <t>-</t>
    </r>
    <r>
      <rPr>
        <sz val="10"/>
        <rFont val="宋体"/>
        <charset val="134"/>
      </rPr>
      <t>其他</t>
    </r>
    <r>
      <rPr>
        <sz val="10"/>
        <rFont val="Times New Roman"/>
        <charset val="134"/>
      </rPr>
      <t>16</t>
    </r>
  </si>
  <si>
    <r>
      <rPr>
        <sz val="10"/>
        <rFont val="宋体"/>
        <charset val="134"/>
      </rPr>
      <t>合同负债</t>
    </r>
    <r>
      <rPr>
        <sz val="10"/>
        <rFont val="Times New Roman"/>
        <charset val="134"/>
      </rPr>
      <t>-</t>
    </r>
    <r>
      <rPr>
        <sz val="10"/>
        <rFont val="宋体"/>
        <charset val="134"/>
      </rPr>
      <t>其他</t>
    </r>
    <r>
      <rPr>
        <sz val="10"/>
        <rFont val="Times New Roman"/>
        <charset val="134"/>
      </rPr>
      <t>17</t>
    </r>
  </si>
  <si>
    <r>
      <rPr>
        <sz val="10"/>
        <rFont val="宋体"/>
        <charset val="134"/>
      </rPr>
      <t>合同负债</t>
    </r>
    <r>
      <rPr>
        <sz val="10"/>
        <rFont val="Times New Roman"/>
        <charset val="134"/>
      </rPr>
      <t>-</t>
    </r>
    <r>
      <rPr>
        <sz val="10"/>
        <rFont val="宋体"/>
        <charset val="134"/>
      </rPr>
      <t>其他</t>
    </r>
    <r>
      <rPr>
        <sz val="10"/>
        <rFont val="Times New Roman"/>
        <charset val="134"/>
      </rPr>
      <t>18</t>
    </r>
  </si>
  <si>
    <r>
      <rPr>
        <sz val="10"/>
        <rFont val="宋体"/>
        <charset val="134"/>
      </rPr>
      <t>合同负债</t>
    </r>
    <r>
      <rPr>
        <sz val="10"/>
        <rFont val="Times New Roman"/>
        <charset val="134"/>
      </rPr>
      <t>-</t>
    </r>
    <r>
      <rPr>
        <sz val="10"/>
        <rFont val="宋体"/>
        <charset val="134"/>
      </rPr>
      <t>其他</t>
    </r>
    <r>
      <rPr>
        <sz val="10"/>
        <rFont val="Times New Roman"/>
        <charset val="134"/>
      </rPr>
      <t>19</t>
    </r>
  </si>
  <si>
    <r>
      <rPr>
        <sz val="10"/>
        <rFont val="宋体"/>
        <charset val="134"/>
      </rPr>
      <t>合同负债</t>
    </r>
    <r>
      <rPr>
        <sz val="10"/>
        <rFont val="Times New Roman"/>
        <charset val="134"/>
      </rPr>
      <t>-</t>
    </r>
    <r>
      <rPr>
        <sz val="10"/>
        <rFont val="宋体"/>
        <charset val="134"/>
      </rPr>
      <t>其他</t>
    </r>
    <r>
      <rPr>
        <sz val="10"/>
        <rFont val="Times New Roman"/>
        <charset val="134"/>
      </rPr>
      <t>20</t>
    </r>
  </si>
  <si>
    <r>
      <rPr>
        <sz val="18"/>
        <rFont val="宋体"/>
        <charset val="134"/>
      </rPr>
      <t>应付职工薪酬评估明细表</t>
    </r>
  </si>
  <si>
    <r>
      <rPr>
        <sz val="10"/>
        <rFont val="宋体"/>
        <charset val="134"/>
      </rPr>
      <t>工资、奖金、津贴和补贴</t>
    </r>
  </si>
  <si>
    <r>
      <rPr>
        <sz val="10"/>
        <rFont val="宋体"/>
        <charset val="134"/>
      </rPr>
      <t>职工薪酬</t>
    </r>
    <r>
      <rPr>
        <sz val="10"/>
        <rFont val="Times New Roman"/>
        <charset val="134"/>
      </rPr>
      <t>01</t>
    </r>
  </si>
  <si>
    <r>
      <rPr>
        <sz val="10"/>
        <rFont val="宋体"/>
        <charset val="134"/>
      </rPr>
      <t>职工福利费</t>
    </r>
  </si>
  <si>
    <r>
      <rPr>
        <sz val="10"/>
        <rFont val="宋体"/>
        <charset val="134"/>
      </rPr>
      <t>职工薪酬</t>
    </r>
    <r>
      <rPr>
        <sz val="10"/>
        <rFont val="Times New Roman"/>
        <charset val="134"/>
      </rPr>
      <t>02</t>
    </r>
  </si>
  <si>
    <r>
      <rPr>
        <sz val="10"/>
        <rFont val="宋体"/>
        <charset val="134"/>
      </rPr>
      <t>医疗保险费</t>
    </r>
  </si>
  <si>
    <r>
      <rPr>
        <sz val="10"/>
        <rFont val="宋体"/>
        <charset val="134"/>
      </rPr>
      <t>职工薪酬</t>
    </r>
    <r>
      <rPr>
        <sz val="10"/>
        <rFont val="Times New Roman"/>
        <charset val="134"/>
      </rPr>
      <t>03</t>
    </r>
  </si>
  <si>
    <r>
      <rPr>
        <sz val="10"/>
        <rFont val="宋体"/>
        <charset val="134"/>
      </rPr>
      <t>基本养老保险费</t>
    </r>
  </si>
  <si>
    <r>
      <rPr>
        <sz val="10"/>
        <rFont val="宋体"/>
        <charset val="134"/>
      </rPr>
      <t>职工薪酬</t>
    </r>
    <r>
      <rPr>
        <sz val="10"/>
        <rFont val="Times New Roman"/>
        <charset val="134"/>
      </rPr>
      <t>04</t>
    </r>
  </si>
  <si>
    <r>
      <rPr>
        <sz val="10"/>
        <rFont val="宋体"/>
        <charset val="134"/>
      </rPr>
      <t>年金缴费</t>
    </r>
  </si>
  <si>
    <r>
      <rPr>
        <sz val="10"/>
        <rFont val="宋体"/>
        <charset val="134"/>
      </rPr>
      <t>职工薪酬</t>
    </r>
    <r>
      <rPr>
        <sz val="10"/>
        <rFont val="Times New Roman"/>
        <charset val="134"/>
      </rPr>
      <t>05</t>
    </r>
  </si>
  <si>
    <r>
      <rPr>
        <sz val="10"/>
        <rFont val="宋体"/>
        <charset val="134"/>
      </rPr>
      <t>失业保险费</t>
    </r>
  </si>
  <si>
    <r>
      <rPr>
        <sz val="10"/>
        <rFont val="宋体"/>
        <charset val="134"/>
      </rPr>
      <t>职工薪酬</t>
    </r>
    <r>
      <rPr>
        <sz val="10"/>
        <rFont val="Times New Roman"/>
        <charset val="134"/>
      </rPr>
      <t>06</t>
    </r>
  </si>
  <si>
    <r>
      <rPr>
        <sz val="10"/>
        <rFont val="宋体"/>
        <charset val="134"/>
      </rPr>
      <t>工伤保险费</t>
    </r>
  </si>
  <si>
    <r>
      <rPr>
        <sz val="10"/>
        <rFont val="宋体"/>
        <charset val="134"/>
      </rPr>
      <t>职工薪酬</t>
    </r>
    <r>
      <rPr>
        <sz val="10"/>
        <rFont val="Times New Roman"/>
        <charset val="134"/>
      </rPr>
      <t>07</t>
    </r>
  </si>
  <si>
    <r>
      <rPr>
        <sz val="10"/>
        <rFont val="宋体"/>
        <charset val="134"/>
      </rPr>
      <t>生育保险费</t>
    </r>
  </si>
  <si>
    <r>
      <rPr>
        <sz val="10"/>
        <rFont val="宋体"/>
        <charset val="134"/>
      </rPr>
      <t>职工薪酬</t>
    </r>
    <r>
      <rPr>
        <sz val="10"/>
        <rFont val="Times New Roman"/>
        <charset val="134"/>
      </rPr>
      <t>08</t>
    </r>
  </si>
  <si>
    <r>
      <rPr>
        <sz val="10"/>
        <rFont val="宋体"/>
        <charset val="134"/>
      </rPr>
      <t>住房公积金</t>
    </r>
  </si>
  <si>
    <r>
      <rPr>
        <sz val="10"/>
        <rFont val="宋体"/>
        <charset val="134"/>
      </rPr>
      <t>职工薪酬</t>
    </r>
    <r>
      <rPr>
        <sz val="10"/>
        <rFont val="Times New Roman"/>
        <charset val="134"/>
      </rPr>
      <t>09</t>
    </r>
  </si>
  <si>
    <r>
      <rPr>
        <sz val="10"/>
        <rFont val="宋体"/>
        <charset val="134"/>
      </rPr>
      <t>工会经费</t>
    </r>
  </si>
  <si>
    <r>
      <rPr>
        <sz val="10"/>
        <rFont val="宋体"/>
        <charset val="134"/>
      </rPr>
      <t>职工薪酬</t>
    </r>
    <r>
      <rPr>
        <sz val="10"/>
        <rFont val="Times New Roman"/>
        <charset val="134"/>
      </rPr>
      <t>10</t>
    </r>
  </si>
  <si>
    <r>
      <rPr>
        <sz val="10"/>
        <rFont val="宋体"/>
        <charset val="134"/>
      </rPr>
      <t>职工教育经费</t>
    </r>
  </si>
  <si>
    <r>
      <rPr>
        <sz val="10"/>
        <rFont val="宋体"/>
        <charset val="134"/>
      </rPr>
      <t>职工薪酬</t>
    </r>
    <r>
      <rPr>
        <sz val="10"/>
        <rFont val="Times New Roman"/>
        <charset val="134"/>
      </rPr>
      <t>11</t>
    </r>
  </si>
  <si>
    <r>
      <rPr>
        <sz val="10"/>
        <rFont val="宋体"/>
        <charset val="134"/>
      </rPr>
      <t>非货币性福利</t>
    </r>
  </si>
  <si>
    <r>
      <rPr>
        <sz val="10"/>
        <rFont val="宋体"/>
        <charset val="134"/>
      </rPr>
      <t>职工薪酬</t>
    </r>
    <r>
      <rPr>
        <sz val="10"/>
        <rFont val="Times New Roman"/>
        <charset val="134"/>
      </rPr>
      <t>12</t>
    </r>
  </si>
  <si>
    <r>
      <rPr>
        <sz val="10"/>
        <rFont val="宋体"/>
        <charset val="134"/>
      </rPr>
      <t>辞退福利</t>
    </r>
  </si>
  <si>
    <r>
      <rPr>
        <sz val="10"/>
        <rFont val="宋体"/>
        <charset val="134"/>
      </rPr>
      <t>职工薪酬</t>
    </r>
    <r>
      <rPr>
        <sz val="10"/>
        <rFont val="Times New Roman"/>
        <charset val="134"/>
      </rPr>
      <t>13</t>
    </r>
  </si>
  <si>
    <r>
      <rPr>
        <sz val="10"/>
        <rFont val="宋体"/>
        <charset val="134"/>
      </rPr>
      <t>股份支付</t>
    </r>
  </si>
  <si>
    <r>
      <rPr>
        <sz val="10"/>
        <rFont val="宋体"/>
        <charset val="134"/>
      </rPr>
      <t>职工薪酬</t>
    </r>
    <r>
      <rPr>
        <sz val="10"/>
        <rFont val="Times New Roman"/>
        <charset val="134"/>
      </rPr>
      <t>14</t>
    </r>
  </si>
  <si>
    <r>
      <rPr>
        <sz val="10"/>
        <rFont val="宋体"/>
        <charset val="134"/>
      </rPr>
      <t>其他</t>
    </r>
  </si>
  <si>
    <r>
      <rPr>
        <sz val="10"/>
        <rFont val="宋体"/>
        <charset val="134"/>
      </rPr>
      <t>职工薪酬</t>
    </r>
    <r>
      <rPr>
        <sz val="10"/>
        <rFont val="Times New Roman"/>
        <charset val="134"/>
      </rPr>
      <t>15</t>
    </r>
  </si>
  <si>
    <r>
      <rPr>
        <sz val="10"/>
        <rFont val="宋体"/>
        <charset val="134"/>
      </rPr>
      <t>职工薪酬</t>
    </r>
    <r>
      <rPr>
        <sz val="10"/>
        <rFont val="Times New Roman"/>
        <charset val="134"/>
      </rPr>
      <t>16</t>
    </r>
  </si>
  <si>
    <r>
      <rPr>
        <sz val="10"/>
        <rFont val="宋体"/>
        <charset val="134"/>
      </rPr>
      <t>职工薪酬</t>
    </r>
    <r>
      <rPr>
        <sz val="10"/>
        <rFont val="Times New Roman"/>
        <charset val="134"/>
      </rPr>
      <t>17</t>
    </r>
  </si>
  <si>
    <r>
      <rPr>
        <sz val="10"/>
        <rFont val="宋体"/>
        <charset val="134"/>
      </rPr>
      <t>职工薪酬</t>
    </r>
    <r>
      <rPr>
        <sz val="10"/>
        <rFont val="Times New Roman"/>
        <charset val="134"/>
      </rPr>
      <t>18</t>
    </r>
  </si>
  <si>
    <r>
      <rPr>
        <sz val="10"/>
        <rFont val="宋体"/>
        <charset val="134"/>
      </rPr>
      <t>职工薪酬</t>
    </r>
    <r>
      <rPr>
        <sz val="10"/>
        <rFont val="Times New Roman"/>
        <charset val="134"/>
      </rPr>
      <t>19</t>
    </r>
  </si>
  <si>
    <r>
      <rPr>
        <sz val="10"/>
        <rFont val="宋体"/>
        <charset val="134"/>
      </rPr>
      <t>职工薪酬</t>
    </r>
    <r>
      <rPr>
        <sz val="10"/>
        <rFont val="Times New Roman"/>
        <charset val="134"/>
      </rPr>
      <t>20</t>
    </r>
  </si>
  <si>
    <r>
      <rPr>
        <b/>
        <sz val="10"/>
        <rFont val="宋体"/>
        <charset val="134"/>
      </rPr>
      <t>合</t>
    </r>
    <r>
      <rPr>
        <b/>
        <sz val="10"/>
        <rFont val="Times New Roman"/>
        <charset val="134"/>
      </rPr>
      <t xml:space="preserve">                          </t>
    </r>
    <r>
      <rPr>
        <b/>
        <sz val="10"/>
        <rFont val="宋体"/>
        <charset val="134"/>
      </rPr>
      <t>计</t>
    </r>
  </si>
  <si>
    <r>
      <rPr>
        <sz val="18"/>
        <rFont val="宋体"/>
        <charset val="134"/>
      </rPr>
      <t>应交税费评估明细表</t>
    </r>
  </si>
  <si>
    <r>
      <rPr>
        <b/>
        <sz val="10"/>
        <rFont val="宋体"/>
        <charset val="134"/>
      </rPr>
      <t>征税机关</t>
    </r>
  </si>
  <si>
    <r>
      <rPr>
        <b/>
        <sz val="10"/>
        <rFont val="宋体"/>
        <charset val="134"/>
      </rPr>
      <t>税费种类</t>
    </r>
  </si>
  <si>
    <r>
      <rPr>
        <b/>
        <sz val="10"/>
        <rFont val="宋体"/>
        <charset val="134"/>
      </rPr>
      <t>税率</t>
    </r>
  </si>
  <si>
    <r>
      <rPr>
        <sz val="10"/>
        <rFont val="宋体"/>
        <charset val="134"/>
      </rPr>
      <t>应交税费</t>
    </r>
    <r>
      <rPr>
        <sz val="10"/>
        <rFont val="Times New Roman"/>
        <charset val="134"/>
      </rPr>
      <t>01</t>
    </r>
  </si>
  <si>
    <r>
      <rPr>
        <sz val="10"/>
        <rFont val="宋体"/>
        <charset val="134"/>
      </rPr>
      <t>应交税费</t>
    </r>
    <r>
      <rPr>
        <sz val="10"/>
        <rFont val="Times New Roman"/>
        <charset val="134"/>
      </rPr>
      <t>02</t>
    </r>
  </si>
  <si>
    <r>
      <rPr>
        <sz val="10"/>
        <rFont val="宋体"/>
        <charset val="134"/>
      </rPr>
      <t>应交税费</t>
    </r>
    <r>
      <rPr>
        <sz val="10"/>
        <rFont val="Times New Roman"/>
        <charset val="134"/>
      </rPr>
      <t>03</t>
    </r>
  </si>
  <si>
    <r>
      <rPr>
        <sz val="10"/>
        <rFont val="宋体"/>
        <charset val="134"/>
      </rPr>
      <t>应交税费</t>
    </r>
    <r>
      <rPr>
        <sz val="10"/>
        <rFont val="Times New Roman"/>
        <charset val="134"/>
      </rPr>
      <t>04</t>
    </r>
  </si>
  <si>
    <r>
      <rPr>
        <sz val="10"/>
        <rFont val="宋体"/>
        <charset val="134"/>
      </rPr>
      <t>应交税费</t>
    </r>
    <r>
      <rPr>
        <sz val="10"/>
        <rFont val="Times New Roman"/>
        <charset val="134"/>
      </rPr>
      <t>05</t>
    </r>
  </si>
  <si>
    <r>
      <rPr>
        <sz val="10"/>
        <rFont val="宋体"/>
        <charset val="134"/>
      </rPr>
      <t>应交税费</t>
    </r>
    <r>
      <rPr>
        <sz val="10"/>
        <rFont val="Times New Roman"/>
        <charset val="134"/>
      </rPr>
      <t>06</t>
    </r>
  </si>
  <si>
    <r>
      <rPr>
        <sz val="10"/>
        <rFont val="宋体"/>
        <charset val="134"/>
      </rPr>
      <t>应交税费</t>
    </r>
    <r>
      <rPr>
        <sz val="10"/>
        <rFont val="Times New Roman"/>
        <charset val="134"/>
      </rPr>
      <t>07</t>
    </r>
  </si>
  <si>
    <r>
      <rPr>
        <sz val="10"/>
        <rFont val="宋体"/>
        <charset val="134"/>
      </rPr>
      <t>应交税费</t>
    </r>
    <r>
      <rPr>
        <sz val="10"/>
        <rFont val="Times New Roman"/>
        <charset val="134"/>
      </rPr>
      <t>08</t>
    </r>
  </si>
  <si>
    <r>
      <rPr>
        <sz val="10"/>
        <rFont val="宋体"/>
        <charset val="134"/>
      </rPr>
      <t>应交税费</t>
    </r>
    <r>
      <rPr>
        <sz val="10"/>
        <rFont val="Times New Roman"/>
        <charset val="134"/>
      </rPr>
      <t>09</t>
    </r>
  </si>
  <si>
    <r>
      <rPr>
        <sz val="10"/>
        <rFont val="宋体"/>
        <charset val="134"/>
      </rPr>
      <t>应交税费</t>
    </r>
    <r>
      <rPr>
        <sz val="10"/>
        <rFont val="Times New Roman"/>
        <charset val="134"/>
      </rPr>
      <t>10</t>
    </r>
  </si>
  <si>
    <r>
      <rPr>
        <sz val="10"/>
        <rFont val="宋体"/>
        <charset val="134"/>
      </rPr>
      <t>应交税费</t>
    </r>
    <r>
      <rPr>
        <sz val="10"/>
        <rFont val="Times New Roman"/>
        <charset val="134"/>
      </rPr>
      <t>11</t>
    </r>
  </si>
  <si>
    <r>
      <rPr>
        <sz val="10"/>
        <rFont val="宋体"/>
        <charset val="134"/>
      </rPr>
      <t>应交税费</t>
    </r>
    <r>
      <rPr>
        <sz val="10"/>
        <rFont val="Times New Roman"/>
        <charset val="134"/>
      </rPr>
      <t>12</t>
    </r>
  </si>
  <si>
    <r>
      <rPr>
        <sz val="10"/>
        <rFont val="宋体"/>
        <charset val="134"/>
      </rPr>
      <t>应交税费</t>
    </r>
    <r>
      <rPr>
        <sz val="10"/>
        <rFont val="Times New Roman"/>
        <charset val="134"/>
      </rPr>
      <t>13</t>
    </r>
  </si>
  <si>
    <r>
      <rPr>
        <sz val="10"/>
        <rFont val="宋体"/>
        <charset val="134"/>
      </rPr>
      <t>应交税费</t>
    </r>
    <r>
      <rPr>
        <sz val="10"/>
        <rFont val="Times New Roman"/>
        <charset val="134"/>
      </rPr>
      <t>14</t>
    </r>
  </si>
  <si>
    <r>
      <rPr>
        <sz val="10"/>
        <rFont val="宋体"/>
        <charset val="134"/>
      </rPr>
      <t>应交税费</t>
    </r>
    <r>
      <rPr>
        <sz val="10"/>
        <rFont val="Times New Roman"/>
        <charset val="134"/>
      </rPr>
      <t>15</t>
    </r>
  </si>
  <si>
    <r>
      <rPr>
        <sz val="10"/>
        <rFont val="宋体"/>
        <charset val="134"/>
      </rPr>
      <t>应交税费</t>
    </r>
    <r>
      <rPr>
        <sz val="10"/>
        <rFont val="Times New Roman"/>
        <charset val="134"/>
      </rPr>
      <t>16</t>
    </r>
  </si>
  <si>
    <r>
      <rPr>
        <sz val="10"/>
        <rFont val="宋体"/>
        <charset val="134"/>
      </rPr>
      <t>应交税费</t>
    </r>
    <r>
      <rPr>
        <sz val="10"/>
        <rFont val="Times New Roman"/>
        <charset val="134"/>
      </rPr>
      <t>17</t>
    </r>
  </si>
  <si>
    <r>
      <rPr>
        <sz val="10"/>
        <rFont val="宋体"/>
        <charset val="134"/>
      </rPr>
      <t>应交税费</t>
    </r>
    <r>
      <rPr>
        <sz val="10"/>
        <rFont val="Times New Roman"/>
        <charset val="134"/>
      </rPr>
      <t>18</t>
    </r>
  </si>
  <si>
    <r>
      <rPr>
        <sz val="10"/>
        <rFont val="宋体"/>
        <charset val="134"/>
      </rPr>
      <t>应交税费</t>
    </r>
    <r>
      <rPr>
        <sz val="10"/>
        <rFont val="Times New Roman"/>
        <charset val="134"/>
      </rPr>
      <t>19</t>
    </r>
  </si>
  <si>
    <r>
      <rPr>
        <sz val="10"/>
        <rFont val="宋体"/>
        <charset val="134"/>
      </rPr>
      <t>应交税费</t>
    </r>
    <r>
      <rPr>
        <sz val="10"/>
        <rFont val="Times New Roman"/>
        <charset val="134"/>
      </rPr>
      <t>20</t>
    </r>
  </si>
  <si>
    <r>
      <rPr>
        <b/>
        <sz val="10"/>
        <rFont val="宋体"/>
        <charset val="134"/>
      </rPr>
      <t>合</t>
    </r>
    <r>
      <rPr>
        <b/>
        <sz val="10"/>
        <rFont val="Times New Roman"/>
        <charset val="134"/>
      </rPr>
      <t xml:space="preserve">                             </t>
    </r>
    <r>
      <rPr>
        <b/>
        <sz val="10"/>
        <rFont val="宋体"/>
        <charset val="134"/>
      </rPr>
      <t>计</t>
    </r>
  </si>
  <si>
    <r>
      <rPr>
        <sz val="18"/>
        <rFont val="宋体"/>
        <charset val="134"/>
      </rPr>
      <t>其他应付款评估汇总表</t>
    </r>
  </si>
  <si>
    <r>
      <rPr>
        <sz val="10"/>
        <rFont val="宋体"/>
        <charset val="134"/>
      </rPr>
      <t>其他应付</t>
    </r>
    <r>
      <rPr>
        <sz val="10"/>
        <rFont val="Times New Roman"/>
        <charset val="134"/>
      </rPr>
      <t>-</t>
    </r>
    <r>
      <rPr>
        <sz val="10"/>
        <rFont val="宋体"/>
        <charset val="134"/>
      </rPr>
      <t>利息</t>
    </r>
  </si>
  <si>
    <r>
      <rPr>
        <sz val="10"/>
        <rFont val="宋体"/>
        <charset val="134"/>
      </rPr>
      <t>其他应付</t>
    </r>
    <r>
      <rPr>
        <sz val="10"/>
        <rFont val="Times New Roman"/>
        <charset val="134"/>
      </rPr>
      <t>-</t>
    </r>
    <r>
      <rPr>
        <sz val="10"/>
        <rFont val="宋体"/>
        <charset val="134"/>
      </rPr>
      <t>股利</t>
    </r>
  </si>
  <si>
    <r>
      <rPr>
        <sz val="10"/>
        <rFont val="宋体"/>
        <charset val="134"/>
      </rPr>
      <t>其他应付</t>
    </r>
    <r>
      <rPr>
        <sz val="10"/>
        <rFont val="Times New Roman"/>
        <charset val="134"/>
      </rPr>
      <t>-</t>
    </r>
    <r>
      <rPr>
        <sz val="10"/>
        <rFont val="宋体"/>
        <charset val="134"/>
      </rPr>
      <t>其他款项</t>
    </r>
  </si>
  <si>
    <r>
      <rPr>
        <b/>
        <sz val="10"/>
        <rFont val="宋体"/>
        <charset val="134"/>
      </rPr>
      <t>其他应付款合计</t>
    </r>
  </si>
  <si>
    <r>
      <rPr>
        <sz val="18"/>
        <rFont val="宋体"/>
        <charset val="134"/>
      </rPr>
      <t>其他应付</t>
    </r>
    <r>
      <rPr>
        <sz val="18"/>
        <rFont val="Times New Roman"/>
        <charset val="134"/>
      </rPr>
      <t>-</t>
    </r>
    <r>
      <rPr>
        <sz val="18"/>
        <rFont val="宋体"/>
        <charset val="134"/>
      </rPr>
      <t>利息评估明细表</t>
    </r>
  </si>
  <si>
    <t>外币本金</t>
  </si>
  <si>
    <r>
      <rPr>
        <sz val="10"/>
        <rFont val="宋体"/>
        <charset val="134"/>
      </rPr>
      <t>其他应付</t>
    </r>
    <r>
      <rPr>
        <sz val="10"/>
        <rFont val="Times New Roman"/>
        <charset val="134"/>
      </rPr>
      <t>-</t>
    </r>
    <r>
      <rPr>
        <sz val="10"/>
        <rFont val="宋体"/>
        <charset val="134"/>
      </rPr>
      <t>利息</t>
    </r>
    <r>
      <rPr>
        <sz val="10"/>
        <rFont val="Times New Roman"/>
        <charset val="134"/>
      </rPr>
      <t>01</t>
    </r>
  </si>
  <si>
    <r>
      <rPr>
        <sz val="10"/>
        <rFont val="宋体"/>
        <charset val="134"/>
      </rPr>
      <t>其他应付</t>
    </r>
    <r>
      <rPr>
        <sz val="10"/>
        <rFont val="Times New Roman"/>
        <charset val="134"/>
      </rPr>
      <t>-</t>
    </r>
    <r>
      <rPr>
        <sz val="10"/>
        <rFont val="宋体"/>
        <charset val="134"/>
      </rPr>
      <t>利息</t>
    </r>
    <r>
      <rPr>
        <sz val="10"/>
        <rFont val="Times New Roman"/>
        <charset val="134"/>
      </rPr>
      <t>02</t>
    </r>
  </si>
  <si>
    <r>
      <rPr>
        <sz val="10"/>
        <rFont val="宋体"/>
        <charset val="134"/>
      </rPr>
      <t>其他应付</t>
    </r>
    <r>
      <rPr>
        <sz val="10"/>
        <rFont val="Times New Roman"/>
        <charset val="134"/>
      </rPr>
      <t>-</t>
    </r>
    <r>
      <rPr>
        <sz val="10"/>
        <rFont val="宋体"/>
        <charset val="134"/>
      </rPr>
      <t>利息</t>
    </r>
    <r>
      <rPr>
        <sz val="10"/>
        <rFont val="Times New Roman"/>
        <charset val="134"/>
      </rPr>
      <t>03</t>
    </r>
  </si>
  <si>
    <r>
      <rPr>
        <sz val="10"/>
        <rFont val="宋体"/>
        <charset val="134"/>
      </rPr>
      <t>其他应付</t>
    </r>
    <r>
      <rPr>
        <sz val="10"/>
        <rFont val="Times New Roman"/>
        <charset val="134"/>
      </rPr>
      <t>-</t>
    </r>
    <r>
      <rPr>
        <sz val="10"/>
        <rFont val="宋体"/>
        <charset val="134"/>
      </rPr>
      <t>利息</t>
    </r>
    <r>
      <rPr>
        <sz val="10"/>
        <rFont val="Times New Roman"/>
        <charset val="134"/>
      </rPr>
      <t>04</t>
    </r>
  </si>
  <si>
    <r>
      <rPr>
        <sz val="10"/>
        <rFont val="宋体"/>
        <charset val="134"/>
      </rPr>
      <t>其他应付</t>
    </r>
    <r>
      <rPr>
        <sz val="10"/>
        <rFont val="Times New Roman"/>
        <charset val="134"/>
      </rPr>
      <t>-</t>
    </r>
    <r>
      <rPr>
        <sz val="10"/>
        <rFont val="宋体"/>
        <charset val="134"/>
      </rPr>
      <t>利息</t>
    </r>
    <r>
      <rPr>
        <sz val="10"/>
        <rFont val="Times New Roman"/>
        <charset val="134"/>
      </rPr>
      <t>05</t>
    </r>
  </si>
  <si>
    <r>
      <rPr>
        <sz val="10"/>
        <rFont val="宋体"/>
        <charset val="134"/>
      </rPr>
      <t>其他应付</t>
    </r>
    <r>
      <rPr>
        <sz val="10"/>
        <rFont val="Times New Roman"/>
        <charset val="134"/>
      </rPr>
      <t>-</t>
    </r>
    <r>
      <rPr>
        <sz val="10"/>
        <rFont val="宋体"/>
        <charset val="134"/>
      </rPr>
      <t>利息</t>
    </r>
    <r>
      <rPr>
        <sz val="10"/>
        <rFont val="Times New Roman"/>
        <charset val="134"/>
      </rPr>
      <t>06</t>
    </r>
  </si>
  <si>
    <r>
      <rPr>
        <sz val="10"/>
        <rFont val="宋体"/>
        <charset val="134"/>
      </rPr>
      <t>其他应付</t>
    </r>
    <r>
      <rPr>
        <sz val="10"/>
        <rFont val="Times New Roman"/>
        <charset val="134"/>
      </rPr>
      <t>-</t>
    </r>
    <r>
      <rPr>
        <sz val="10"/>
        <rFont val="宋体"/>
        <charset val="134"/>
      </rPr>
      <t>利息</t>
    </r>
    <r>
      <rPr>
        <sz val="10"/>
        <rFont val="Times New Roman"/>
        <charset val="134"/>
      </rPr>
      <t>07</t>
    </r>
  </si>
  <si>
    <r>
      <rPr>
        <sz val="10"/>
        <rFont val="宋体"/>
        <charset val="134"/>
      </rPr>
      <t>其他应付</t>
    </r>
    <r>
      <rPr>
        <sz val="10"/>
        <rFont val="Times New Roman"/>
        <charset val="134"/>
      </rPr>
      <t>-</t>
    </r>
    <r>
      <rPr>
        <sz val="10"/>
        <rFont val="宋体"/>
        <charset val="134"/>
      </rPr>
      <t>利息</t>
    </r>
    <r>
      <rPr>
        <sz val="10"/>
        <rFont val="Times New Roman"/>
        <charset val="134"/>
      </rPr>
      <t>08</t>
    </r>
  </si>
  <si>
    <r>
      <rPr>
        <sz val="10"/>
        <rFont val="宋体"/>
        <charset val="134"/>
      </rPr>
      <t>其他应付</t>
    </r>
    <r>
      <rPr>
        <sz val="10"/>
        <rFont val="Times New Roman"/>
        <charset val="134"/>
      </rPr>
      <t>-</t>
    </r>
    <r>
      <rPr>
        <sz val="10"/>
        <rFont val="宋体"/>
        <charset val="134"/>
      </rPr>
      <t>利息</t>
    </r>
    <r>
      <rPr>
        <sz val="10"/>
        <rFont val="Times New Roman"/>
        <charset val="134"/>
      </rPr>
      <t>09</t>
    </r>
  </si>
  <si>
    <r>
      <rPr>
        <sz val="10"/>
        <rFont val="宋体"/>
        <charset val="134"/>
      </rPr>
      <t>其他应付</t>
    </r>
    <r>
      <rPr>
        <sz val="10"/>
        <rFont val="Times New Roman"/>
        <charset val="134"/>
      </rPr>
      <t>-</t>
    </r>
    <r>
      <rPr>
        <sz val="10"/>
        <rFont val="宋体"/>
        <charset val="134"/>
      </rPr>
      <t>利息</t>
    </r>
    <r>
      <rPr>
        <sz val="10"/>
        <rFont val="Times New Roman"/>
        <charset val="134"/>
      </rPr>
      <t>10</t>
    </r>
  </si>
  <si>
    <r>
      <rPr>
        <sz val="10"/>
        <rFont val="宋体"/>
        <charset val="134"/>
      </rPr>
      <t>其他应付</t>
    </r>
    <r>
      <rPr>
        <sz val="10"/>
        <rFont val="Times New Roman"/>
        <charset val="134"/>
      </rPr>
      <t>-</t>
    </r>
    <r>
      <rPr>
        <sz val="10"/>
        <rFont val="宋体"/>
        <charset val="134"/>
      </rPr>
      <t>利息</t>
    </r>
    <r>
      <rPr>
        <sz val="10"/>
        <rFont val="Times New Roman"/>
        <charset val="134"/>
      </rPr>
      <t>11</t>
    </r>
  </si>
  <si>
    <r>
      <rPr>
        <sz val="10"/>
        <rFont val="宋体"/>
        <charset val="134"/>
      </rPr>
      <t>其他应付</t>
    </r>
    <r>
      <rPr>
        <sz val="10"/>
        <rFont val="Times New Roman"/>
        <charset val="134"/>
      </rPr>
      <t>-</t>
    </r>
    <r>
      <rPr>
        <sz val="10"/>
        <rFont val="宋体"/>
        <charset val="134"/>
      </rPr>
      <t>利息</t>
    </r>
    <r>
      <rPr>
        <sz val="10"/>
        <rFont val="Times New Roman"/>
        <charset val="134"/>
      </rPr>
      <t>12</t>
    </r>
  </si>
  <si>
    <r>
      <rPr>
        <sz val="10"/>
        <rFont val="宋体"/>
        <charset val="134"/>
      </rPr>
      <t>其他应付</t>
    </r>
    <r>
      <rPr>
        <sz val="10"/>
        <rFont val="Times New Roman"/>
        <charset val="134"/>
      </rPr>
      <t>-</t>
    </r>
    <r>
      <rPr>
        <sz val="10"/>
        <rFont val="宋体"/>
        <charset val="134"/>
      </rPr>
      <t>利息</t>
    </r>
    <r>
      <rPr>
        <sz val="10"/>
        <rFont val="Times New Roman"/>
        <charset val="134"/>
      </rPr>
      <t>13</t>
    </r>
  </si>
  <si>
    <r>
      <rPr>
        <sz val="10"/>
        <rFont val="宋体"/>
        <charset val="134"/>
      </rPr>
      <t>其他应付</t>
    </r>
    <r>
      <rPr>
        <sz val="10"/>
        <rFont val="Times New Roman"/>
        <charset val="134"/>
      </rPr>
      <t>-</t>
    </r>
    <r>
      <rPr>
        <sz val="10"/>
        <rFont val="宋体"/>
        <charset val="134"/>
      </rPr>
      <t>利息</t>
    </r>
    <r>
      <rPr>
        <sz val="10"/>
        <rFont val="Times New Roman"/>
        <charset val="134"/>
      </rPr>
      <t>14</t>
    </r>
  </si>
  <si>
    <r>
      <rPr>
        <sz val="10"/>
        <rFont val="宋体"/>
        <charset val="134"/>
      </rPr>
      <t>其他应付</t>
    </r>
    <r>
      <rPr>
        <sz val="10"/>
        <rFont val="Times New Roman"/>
        <charset val="134"/>
      </rPr>
      <t>-</t>
    </r>
    <r>
      <rPr>
        <sz val="10"/>
        <rFont val="宋体"/>
        <charset val="134"/>
      </rPr>
      <t>利息</t>
    </r>
    <r>
      <rPr>
        <sz val="10"/>
        <rFont val="Times New Roman"/>
        <charset val="134"/>
      </rPr>
      <t>15</t>
    </r>
  </si>
  <si>
    <r>
      <rPr>
        <sz val="10"/>
        <rFont val="宋体"/>
        <charset val="134"/>
      </rPr>
      <t>其他应付</t>
    </r>
    <r>
      <rPr>
        <sz val="10"/>
        <rFont val="Times New Roman"/>
        <charset val="134"/>
      </rPr>
      <t>-</t>
    </r>
    <r>
      <rPr>
        <sz val="10"/>
        <rFont val="宋体"/>
        <charset val="134"/>
      </rPr>
      <t>利息</t>
    </r>
    <r>
      <rPr>
        <sz val="10"/>
        <rFont val="Times New Roman"/>
        <charset val="134"/>
      </rPr>
      <t>16</t>
    </r>
  </si>
  <si>
    <r>
      <rPr>
        <sz val="10"/>
        <rFont val="宋体"/>
        <charset val="134"/>
      </rPr>
      <t>其他应付</t>
    </r>
    <r>
      <rPr>
        <sz val="10"/>
        <rFont val="Times New Roman"/>
        <charset val="134"/>
      </rPr>
      <t>-</t>
    </r>
    <r>
      <rPr>
        <sz val="10"/>
        <rFont val="宋体"/>
        <charset val="134"/>
      </rPr>
      <t>利息</t>
    </r>
    <r>
      <rPr>
        <sz val="10"/>
        <rFont val="Times New Roman"/>
        <charset val="134"/>
      </rPr>
      <t>17</t>
    </r>
  </si>
  <si>
    <r>
      <rPr>
        <sz val="10"/>
        <rFont val="宋体"/>
        <charset val="134"/>
      </rPr>
      <t>其他应付</t>
    </r>
    <r>
      <rPr>
        <sz val="10"/>
        <rFont val="Times New Roman"/>
        <charset val="134"/>
      </rPr>
      <t>-</t>
    </r>
    <r>
      <rPr>
        <sz val="10"/>
        <rFont val="宋体"/>
        <charset val="134"/>
      </rPr>
      <t>利息</t>
    </r>
    <r>
      <rPr>
        <sz val="10"/>
        <rFont val="Times New Roman"/>
        <charset val="134"/>
      </rPr>
      <t>18</t>
    </r>
  </si>
  <si>
    <r>
      <rPr>
        <sz val="10"/>
        <rFont val="宋体"/>
        <charset val="134"/>
      </rPr>
      <t>其他应付</t>
    </r>
    <r>
      <rPr>
        <sz val="10"/>
        <rFont val="Times New Roman"/>
        <charset val="134"/>
      </rPr>
      <t>-</t>
    </r>
    <r>
      <rPr>
        <sz val="10"/>
        <rFont val="宋体"/>
        <charset val="134"/>
      </rPr>
      <t>利息</t>
    </r>
    <r>
      <rPr>
        <sz val="10"/>
        <rFont val="Times New Roman"/>
        <charset val="134"/>
      </rPr>
      <t>19</t>
    </r>
  </si>
  <si>
    <r>
      <rPr>
        <sz val="10"/>
        <rFont val="宋体"/>
        <charset val="134"/>
      </rPr>
      <t>其他应付</t>
    </r>
    <r>
      <rPr>
        <sz val="10"/>
        <rFont val="Times New Roman"/>
        <charset val="134"/>
      </rPr>
      <t>-</t>
    </r>
    <r>
      <rPr>
        <sz val="10"/>
        <rFont val="宋体"/>
        <charset val="134"/>
      </rPr>
      <t>利息</t>
    </r>
    <r>
      <rPr>
        <sz val="10"/>
        <rFont val="Times New Roman"/>
        <charset val="134"/>
      </rPr>
      <t>20</t>
    </r>
  </si>
  <si>
    <r>
      <rPr>
        <sz val="18"/>
        <rFont val="宋体"/>
        <charset val="134"/>
      </rPr>
      <t>其他应付</t>
    </r>
    <r>
      <rPr>
        <sz val="18"/>
        <rFont val="Times New Roman"/>
        <charset val="134"/>
      </rPr>
      <t>-</t>
    </r>
    <r>
      <rPr>
        <sz val="18"/>
        <rFont val="宋体"/>
        <charset val="134"/>
      </rPr>
      <t>股利评估明细表</t>
    </r>
  </si>
  <si>
    <r>
      <rPr>
        <b/>
        <sz val="10"/>
        <rFont val="宋体"/>
        <charset val="134"/>
      </rPr>
      <t>投资单位名称（股东）</t>
    </r>
  </si>
  <si>
    <r>
      <rPr>
        <b/>
        <sz val="10"/>
        <rFont val="宋体"/>
        <charset val="134"/>
      </rPr>
      <t>利润所属期间</t>
    </r>
  </si>
  <si>
    <r>
      <rPr>
        <sz val="10"/>
        <rFont val="宋体"/>
        <charset val="134"/>
      </rPr>
      <t>其他应付</t>
    </r>
    <r>
      <rPr>
        <sz val="10"/>
        <rFont val="Times New Roman"/>
        <charset val="134"/>
      </rPr>
      <t>-</t>
    </r>
    <r>
      <rPr>
        <sz val="10"/>
        <rFont val="宋体"/>
        <charset val="134"/>
      </rPr>
      <t>股利</t>
    </r>
    <r>
      <rPr>
        <sz val="10"/>
        <rFont val="Times New Roman"/>
        <charset val="134"/>
      </rPr>
      <t>01</t>
    </r>
  </si>
  <si>
    <r>
      <rPr>
        <sz val="10"/>
        <rFont val="宋体"/>
        <charset val="134"/>
      </rPr>
      <t>其他应付</t>
    </r>
    <r>
      <rPr>
        <sz val="10"/>
        <rFont val="Times New Roman"/>
        <charset val="134"/>
      </rPr>
      <t>-</t>
    </r>
    <r>
      <rPr>
        <sz val="10"/>
        <rFont val="宋体"/>
        <charset val="134"/>
      </rPr>
      <t>股利</t>
    </r>
    <r>
      <rPr>
        <sz val="10"/>
        <rFont val="Times New Roman"/>
        <charset val="134"/>
      </rPr>
      <t>02</t>
    </r>
  </si>
  <si>
    <r>
      <rPr>
        <sz val="10"/>
        <rFont val="宋体"/>
        <charset val="134"/>
      </rPr>
      <t>其他应付</t>
    </r>
    <r>
      <rPr>
        <sz val="10"/>
        <rFont val="Times New Roman"/>
        <charset val="134"/>
      </rPr>
      <t>-</t>
    </r>
    <r>
      <rPr>
        <sz val="10"/>
        <rFont val="宋体"/>
        <charset val="134"/>
      </rPr>
      <t>股利</t>
    </r>
    <r>
      <rPr>
        <sz val="10"/>
        <rFont val="Times New Roman"/>
        <charset val="134"/>
      </rPr>
      <t>03</t>
    </r>
  </si>
  <si>
    <r>
      <rPr>
        <sz val="10"/>
        <rFont val="宋体"/>
        <charset val="134"/>
      </rPr>
      <t>其他应付</t>
    </r>
    <r>
      <rPr>
        <sz val="10"/>
        <rFont val="Times New Roman"/>
        <charset val="134"/>
      </rPr>
      <t>-</t>
    </r>
    <r>
      <rPr>
        <sz val="10"/>
        <rFont val="宋体"/>
        <charset val="134"/>
      </rPr>
      <t>股利</t>
    </r>
    <r>
      <rPr>
        <sz val="10"/>
        <rFont val="Times New Roman"/>
        <charset val="134"/>
      </rPr>
      <t>04</t>
    </r>
  </si>
  <si>
    <r>
      <rPr>
        <sz val="10"/>
        <rFont val="宋体"/>
        <charset val="134"/>
      </rPr>
      <t>其他应付</t>
    </r>
    <r>
      <rPr>
        <sz val="10"/>
        <rFont val="Times New Roman"/>
        <charset val="134"/>
      </rPr>
      <t>-</t>
    </r>
    <r>
      <rPr>
        <sz val="10"/>
        <rFont val="宋体"/>
        <charset val="134"/>
      </rPr>
      <t>股利</t>
    </r>
    <r>
      <rPr>
        <sz val="10"/>
        <rFont val="Times New Roman"/>
        <charset val="134"/>
      </rPr>
      <t>05</t>
    </r>
  </si>
  <si>
    <r>
      <rPr>
        <sz val="10"/>
        <rFont val="宋体"/>
        <charset val="134"/>
      </rPr>
      <t>其他应付</t>
    </r>
    <r>
      <rPr>
        <sz val="10"/>
        <rFont val="Times New Roman"/>
        <charset val="134"/>
      </rPr>
      <t>-</t>
    </r>
    <r>
      <rPr>
        <sz val="10"/>
        <rFont val="宋体"/>
        <charset val="134"/>
      </rPr>
      <t>股利</t>
    </r>
    <r>
      <rPr>
        <sz val="10"/>
        <rFont val="Times New Roman"/>
        <charset val="134"/>
      </rPr>
      <t>06</t>
    </r>
  </si>
  <si>
    <r>
      <rPr>
        <sz val="10"/>
        <rFont val="宋体"/>
        <charset val="134"/>
      </rPr>
      <t>其他应付</t>
    </r>
    <r>
      <rPr>
        <sz val="10"/>
        <rFont val="Times New Roman"/>
        <charset val="134"/>
      </rPr>
      <t>-</t>
    </r>
    <r>
      <rPr>
        <sz val="10"/>
        <rFont val="宋体"/>
        <charset val="134"/>
      </rPr>
      <t>股利</t>
    </r>
    <r>
      <rPr>
        <sz val="10"/>
        <rFont val="Times New Roman"/>
        <charset val="134"/>
      </rPr>
      <t>07</t>
    </r>
  </si>
  <si>
    <r>
      <rPr>
        <sz val="10"/>
        <rFont val="宋体"/>
        <charset val="134"/>
      </rPr>
      <t>其他应付</t>
    </r>
    <r>
      <rPr>
        <sz val="10"/>
        <rFont val="Times New Roman"/>
        <charset val="134"/>
      </rPr>
      <t>-</t>
    </r>
    <r>
      <rPr>
        <sz val="10"/>
        <rFont val="宋体"/>
        <charset val="134"/>
      </rPr>
      <t>股利</t>
    </r>
    <r>
      <rPr>
        <sz val="10"/>
        <rFont val="Times New Roman"/>
        <charset val="134"/>
      </rPr>
      <t>08</t>
    </r>
  </si>
  <si>
    <r>
      <rPr>
        <sz val="10"/>
        <rFont val="宋体"/>
        <charset val="134"/>
      </rPr>
      <t>其他应付</t>
    </r>
    <r>
      <rPr>
        <sz val="10"/>
        <rFont val="Times New Roman"/>
        <charset val="134"/>
      </rPr>
      <t>-</t>
    </r>
    <r>
      <rPr>
        <sz val="10"/>
        <rFont val="宋体"/>
        <charset val="134"/>
      </rPr>
      <t>股利</t>
    </r>
    <r>
      <rPr>
        <sz val="10"/>
        <rFont val="Times New Roman"/>
        <charset val="134"/>
      </rPr>
      <t>09</t>
    </r>
  </si>
  <si>
    <r>
      <rPr>
        <sz val="10"/>
        <rFont val="宋体"/>
        <charset val="134"/>
      </rPr>
      <t>其他应付</t>
    </r>
    <r>
      <rPr>
        <sz val="10"/>
        <rFont val="Times New Roman"/>
        <charset val="134"/>
      </rPr>
      <t>-</t>
    </r>
    <r>
      <rPr>
        <sz val="10"/>
        <rFont val="宋体"/>
        <charset val="134"/>
      </rPr>
      <t>股利</t>
    </r>
    <r>
      <rPr>
        <sz val="10"/>
        <rFont val="Times New Roman"/>
        <charset val="134"/>
      </rPr>
      <t>10</t>
    </r>
  </si>
  <si>
    <r>
      <rPr>
        <sz val="10"/>
        <rFont val="宋体"/>
        <charset val="134"/>
      </rPr>
      <t>其他应付</t>
    </r>
    <r>
      <rPr>
        <sz val="10"/>
        <rFont val="Times New Roman"/>
        <charset val="134"/>
      </rPr>
      <t>-</t>
    </r>
    <r>
      <rPr>
        <sz val="10"/>
        <rFont val="宋体"/>
        <charset val="134"/>
      </rPr>
      <t>股利</t>
    </r>
    <r>
      <rPr>
        <sz val="10"/>
        <rFont val="Times New Roman"/>
        <charset val="134"/>
      </rPr>
      <t>11</t>
    </r>
  </si>
  <si>
    <r>
      <rPr>
        <sz val="10"/>
        <rFont val="宋体"/>
        <charset val="134"/>
      </rPr>
      <t>其他应付</t>
    </r>
    <r>
      <rPr>
        <sz val="10"/>
        <rFont val="Times New Roman"/>
        <charset val="134"/>
      </rPr>
      <t>-</t>
    </r>
    <r>
      <rPr>
        <sz val="10"/>
        <rFont val="宋体"/>
        <charset val="134"/>
      </rPr>
      <t>股利</t>
    </r>
    <r>
      <rPr>
        <sz val="10"/>
        <rFont val="Times New Roman"/>
        <charset val="134"/>
      </rPr>
      <t>12</t>
    </r>
  </si>
  <si>
    <r>
      <rPr>
        <sz val="10"/>
        <rFont val="宋体"/>
        <charset val="134"/>
      </rPr>
      <t>其他应付</t>
    </r>
    <r>
      <rPr>
        <sz val="10"/>
        <rFont val="Times New Roman"/>
        <charset val="134"/>
      </rPr>
      <t>-</t>
    </r>
    <r>
      <rPr>
        <sz val="10"/>
        <rFont val="宋体"/>
        <charset val="134"/>
      </rPr>
      <t>股利</t>
    </r>
    <r>
      <rPr>
        <sz val="10"/>
        <rFont val="Times New Roman"/>
        <charset val="134"/>
      </rPr>
      <t>13</t>
    </r>
  </si>
  <si>
    <r>
      <rPr>
        <sz val="10"/>
        <rFont val="宋体"/>
        <charset val="134"/>
      </rPr>
      <t>其他应付</t>
    </r>
    <r>
      <rPr>
        <sz val="10"/>
        <rFont val="Times New Roman"/>
        <charset val="134"/>
      </rPr>
      <t>-</t>
    </r>
    <r>
      <rPr>
        <sz val="10"/>
        <rFont val="宋体"/>
        <charset val="134"/>
      </rPr>
      <t>股利</t>
    </r>
    <r>
      <rPr>
        <sz val="10"/>
        <rFont val="Times New Roman"/>
        <charset val="134"/>
      </rPr>
      <t>14</t>
    </r>
  </si>
  <si>
    <r>
      <rPr>
        <sz val="10"/>
        <rFont val="宋体"/>
        <charset val="134"/>
      </rPr>
      <t>其他应付</t>
    </r>
    <r>
      <rPr>
        <sz val="10"/>
        <rFont val="Times New Roman"/>
        <charset val="134"/>
      </rPr>
      <t>-</t>
    </r>
    <r>
      <rPr>
        <sz val="10"/>
        <rFont val="宋体"/>
        <charset val="134"/>
      </rPr>
      <t>股利</t>
    </r>
    <r>
      <rPr>
        <sz val="10"/>
        <rFont val="Times New Roman"/>
        <charset val="134"/>
      </rPr>
      <t>15</t>
    </r>
  </si>
  <si>
    <r>
      <rPr>
        <sz val="10"/>
        <rFont val="宋体"/>
        <charset val="134"/>
      </rPr>
      <t>其他应付</t>
    </r>
    <r>
      <rPr>
        <sz val="10"/>
        <rFont val="Times New Roman"/>
        <charset val="134"/>
      </rPr>
      <t>-</t>
    </r>
    <r>
      <rPr>
        <sz val="10"/>
        <rFont val="宋体"/>
        <charset val="134"/>
      </rPr>
      <t>股利</t>
    </r>
    <r>
      <rPr>
        <sz val="10"/>
        <rFont val="Times New Roman"/>
        <charset val="134"/>
      </rPr>
      <t>16</t>
    </r>
  </si>
  <si>
    <r>
      <rPr>
        <sz val="10"/>
        <rFont val="宋体"/>
        <charset val="134"/>
      </rPr>
      <t>其他应付</t>
    </r>
    <r>
      <rPr>
        <sz val="10"/>
        <rFont val="Times New Roman"/>
        <charset val="134"/>
      </rPr>
      <t>-</t>
    </r>
    <r>
      <rPr>
        <sz val="10"/>
        <rFont val="宋体"/>
        <charset val="134"/>
      </rPr>
      <t>股利</t>
    </r>
    <r>
      <rPr>
        <sz val="10"/>
        <rFont val="Times New Roman"/>
        <charset val="134"/>
      </rPr>
      <t>17</t>
    </r>
  </si>
  <si>
    <r>
      <rPr>
        <sz val="10"/>
        <rFont val="宋体"/>
        <charset val="134"/>
      </rPr>
      <t>其他应付</t>
    </r>
    <r>
      <rPr>
        <sz val="10"/>
        <rFont val="Times New Roman"/>
        <charset val="134"/>
      </rPr>
      <t>-</t>
    </r>
    <r>
      <rPr>
        <sz val="10"/>
        <rFont val="宋体"/>
        <charset val="134"/>
      </rPr>
      <t>股利</t>
    </r>
    <r>
      <rPr>
        <sz val="10"/>
        <rFont val="Times New Roman"/>
        <charset val="134"/>
      </rPr>
      <t>18</t>
    </r>
  </si>
  <si>
    <r>
      <rPr>
        <sz val="10"/>
        <rFont val="宋体"/>
        <charset val="134"/>
      </rPr>
      <t>其他应付</t>
    </r>
    <r>
      <rPr>
        <sz val="10"/>
        <rFont val="Times New Roman"/>
        <charset val="134"/>
      </rPr>
      <t>-</t>
    </r>
    <r>
      <rPr>
        <sz val="10"/>
        <rFont val="宋体"/>
        <charset val="134"/>
      </rPr>
      <t>股利</t>
    </r>
    <r>
      <rPr>
        <sz val="10"/>
        <rFont val="Times New Roman"/>
        <charset val="134"/>
      </rPr>
      <t>19</t>
    </r>
  </si>
  <si>
    <r>
      <rPr>
        <sz val="10"/>
        <rFont val="宋体"/>
        <charset val="134"/>
      </rPr>
      <t>其他应付</t>
    </r>
    <r>
      <rPr>
        <sz val="10"/>
        <rFont val="Times New Roman"/>
        <charset val="134"/>
      </rPr>
      <t>-</t>
    </r>
    <r>
      <rPr>
        <sz val="10"/>
        <rFont val="宋体"/>
        <charset val="134"/>
      </rPr>
      <t>股利</t>
    </r>
    <r>
      <rPr>
        <sz val="10"/>
        <rFont val="Times New Roman"/>
        <charset val="134"/>
      </rPr>
      <t>20</t>
    </r>
  </si>
  <si>
    <r>
      <rPr>
        <sz val="18"/>
        <rFont val="宋体"/>
        <charset val="134"/>
      </rPr>
      <t>其他应付</t>
    </r>
    <r>
      <rPr>
        <sz val="18"/>
        <rFont val="Times New Roman"/>
        <charset val="134"/>
      </rPr>
      <t>-</t>
    </r>
    <r>
      <rPr>
        <sz val="18"/>
        <rFont val="宋体"/>
        <charset val="134"/>
      </rPr>
      <t>其他款项评估明细表</t>
    </r>
  </si>
  <si>
    <r>
      <rPr>
        <sz val="10"/>
        <rFont val="宋体"/>
        <charset val="134"/>
      </rPr>
      <t>其他应付</t>
    </r>
    <r>
      <rPr>
        <sz val="10"/>
        <rFont val="Times New Roman"/>
        <charset val="134"/>
      </rPr>
      <t>-</t>
    </r>
    <r>
      <rPr>
        <sz val="10"/>
        <rFont val="宋体"/>
        <charset val="134"/>
      </rPr>
      <t>其他</t>
    </r>
    <r>
      <rPr>
        <sz val="10"/>
        <rFont val="Times New Roman"/>
        <charset val="134"/>
      </rPr>
      <t>01</t>
    </r>
  </si>
  <si>
    <r>
      <rPr>
        <sz val="10"/>
        <rFont val="宋体"/>
        <charset val="134"/>
      </rPr>
      <t>其他应付</t>
    </r>
    <r>
      <rPr>
        <sz val="10"/>
        <rFont val="Times New Roman"/>
        <charset val="134"/>
      </rPr>
      <t>-</t>
    </r>
    <r>
      <rPr>
        <sz val="10"/>
        <rFont val="宋体"/>
        <charset val="134"/>
      </rPr>
      <t>其他</t>
    </r>
    <r>
      <rPr>
        <sz val="10"/>
        <rFont val="Times New Roman"/>
        <charset val="134"/>
      </rPr>
      <t>02</t>
    </r>
  </si>
  <si>
    <r>
      <rPr>
        <sz val="10"/>
        <rFont val="宋体"/>
        <charset val="134"/>
      </rPr>
      <t>其他应付</t>
    </r>
    <r>
      <rPr>
        <sz val="10"/>
        <rFont val="Times New Roman"/>
        <charset val="134"/>
      </rPr>
      <t>-</t>
    </r>
    <r>
      <rPr>
        <sz val="10"/>
        <rFont val="宋体"/>
        <charset val="134"/>
      </rPr>
      <t>其他</t>
    </r>
    <r>
      <rPr>
        <sz val="10"/>
        <rFont val="Times New Roman"/>
        <charset val="134"/>
      </rPr>
      <t>03</t>
    </r>
  </si>
  <si>
    <r>
      <rPr>
        <sz val="10"/>
        <rFont val="宋体"/>
        <charset val="134"/>
      </rPr>
      <t>其他应付</t>
    </r>
    <r>
      <rPr>
        <sz val="10"/>
        <rFont val="Times New Roman"/>
        <charset val="134"/>
      </rPr>
      <t>-</t>
    </r>
    <r>
      <rPr>
        <sz val="10"/>
        <rFont val="宋体"/>
        <charset val="134"/>
      </rPr>
      <t>其他</t>
    </r>
    <r>
      <rPr>
        <sz val="10"/>
        <rFont val="Times New Roman"/>
        <charset val="134"/>
      </rPr>
      <t>04</t>
    </r>
  </si>
  <si>
    <r>
      <rPr>
        <sz val="10"/>
        <rFont val="宋体"/>
        <charset val="134"/>
      </rPr>
      <t>其他应付</t>
    </r>
    <r>
      <rPr>
        <sz val="10"/>
        <rFont val="Times New Roman"/>
        <charset val="134"/>
      </rPr>
      <t>-</t>
    </r>
    <r>
      <rPr>
        <sz val="10"/>
        <rFont val="宋体"/>
        <charset val="134"/>
      </rPr>
      <t>其他</t>
    </r>
    <r>
      <rPr>
        <sz val="10"/>
        <rFont val="Times New Roman"/>
        <charset val="134"/>
      </rPr>
      <t>05</t>
    </r>
  </si>
  <si>
    <r>
      <rPr>
        <sz val="10"/>
        <rFont val="宋体"/>
        <charset val="134"/>
      </rPr>
      <t>其他应付</t>
    </r>
    <r>
      <rPr>
        <sz val="10"/>
        <rFont val="Times New Roman"/>
        <charset val="134"/>
      </rPr>
      <t>-</t>
    </r>
    <r>
      <rPr>
        <sz val="10"/>
        <rFont val="宋体"/>
        <charset val="134"/>
      </rPr>
      <t>其他</t>
    </r>
    <r>
      <rPr>
        <sz val="10"/>
        <rFont val="Times New Roman"/>
        <charset val="134"/>
      </rPr>
      <t>06</t>
    </r>
  </si>
  <si>
    <r>
      <rPr>
        <sz val="10"/>
        <rFont val="宋体"/>
        <charset val="134"/>
      </rPr>
      <t>其他应付</t>
    </r>
    <r>
      <rPr>
        <sz val="10"/>
        <rFont val="Times New Roman"/>
        <charset val="134"/>
      </rPr>
      <t>-</t>
    </r>
    <r>
      <rPr>
        <sz val="10"/>
        <rFont val="宋体"/>
        <charset val="134"/>
      </rPr>
      <t>其他</t>
    </r>
    <r>
      <rPr>
        <sz val="10"/>
        <rFont val="Times New Roman"/>
        <charset val="134"/>
      </rPr>
      <t>07</t>
    </r>
  </si>
  <si>
    <r>
      <rPr>
        <sz val="10"/>
        <rFont val="宋体"/>
        <charset val="134"/>
      </rPr>
      <t>其他应付</t>
    </r>
    <r>
      <rPr>
        <sz val="10"/>
        <rFont val="Times New Roman"/>
        <charset val="134"/>
      </rPr>
      <t>-</t>
    </r>
    <r>
      <rPr>
        <sz val="10"/>
        <rFont val="宋体"/>
        <charset val="134"/>
      </rPr>
      <t>其他</t>
    </r>
    <r>
      <rPr>
        <sz val="10"/>
        <rFont val="Times New Roman"/>
        <charset val="134"/>
      </rPr>
      <t>08</t>
    </r>
  </si>
  <si>
    <r>
      <rPr>
        <sz val="10"/>
        <rFont val="宋体"/>
        <charset val="134"/>
      </rPr>
      <t>其他应付</t>
    </r>
    <r>
      <rPr>
        <sz val="10"/>
        <rFont val="Times New Roman"/>
        <charset val="134"/>
      </rPr>
      <t>-</t>
    </r>
    <r>
      <rPr>
        <sz val="10"/>
        <rFont val="宋体"/>
        <charset val="134"/>
      </rPr>
      <t>其他</t>
    </r>
    <r>
      <rPr>
        <sz val="10"/>
        <rFont val="Times New Roman"/>
        <charset val="134"/>
      </rPr>
      <t>09</t>
    </r>
  </si>
  <si>
    <r>
      <rPr>
        <sz val="10"/>
        <rFont val="宋体"/>
        <charset val="134"/>
      </rPr>
      <t>其他应付</t>
    </r>
    <r>
      <rPr>
        <sz val="10"/>
        <rFont val="Times New Roman"/>
        <charset val="134"/>
      </rPr>
      <t>-</t>
    </r>
    <r>
      <rPr>
        <sz val="10"/>
        <rFont val="宋体"/>
        <charset val="134"/>
      </rPr>
      <t>其他</t>
    </r>
    <r>
      <rPr>
        <sz val="10"/>
        <rFont val="Times New Roman"/>
        <charset val="134"/>
      </rPr>
      <t>10</t>
    </r>
  </si>
  <si>
    <r>
      <rPr>
        <sz val="10"/>
        <rFont val="宋体"/>
        <charset val="134"/>
      </rPr>
      <t>其他应付</t>
    </r>
    <r>
      <rPr>
        <sz val="10"/>
        <rFont val="Times New Roman"/>
        <charset val="134"/>
      </rPr>
      <t>-</t>
    </r>
    <r>
      <rPr>
        <sz val="10"/>
        <rFont val="宋体"/>
        <charset val="134"/>
      </rPr>
      <t>其他</t>
    </r>
    <r>
      <rPr>
        <sz val="10"/>
        <rFont val="Times New Roman"/>
        <charset val="134"/>
      </rPr>
      <t>11</t>
    </r>
  </si>
  <si>
    <r>
      <rPr>
        <sz val="10"/>
        <rFont val="宋体"/>
        <charset val="134"/>
      </rPr>
      <t>其他应付</t>
    </r>
    <r>
      <rPr>
        <sz val="10"/>
        <rFont val="Times New Roman"/>
        <charset val="134"/>
      </rPr>
      <t>-</t>
    </r>
    <r>
      <rPr>
        <sz val="10"/>
        <rFont val="宋体"/>
        <charset val="134"/>
      </rPr>
      <t>其他</t>
    </r>
    <r>
      <rPr>
        <sz val="10"/>
        <rFont val="Times New Roman"/>
        <charset val="134"/>
      </rPr>
      <t>12</t>
    </r>
  </si>
  <si>
    <r>
      <rPr>
        <sz val="10"/>
        <rFont val="宋体"/>
        <charset val="134"/>
      </rPr>
      <t>其他应付</t>
    </r>
    <r>
      <rPr>
        <sz val="10"/>
        <rFont val="Times New Roman"/>
        <charset val="134"/>
      </rPr>
      <t>-</t>
    </r>
    <r>
      <rPr>
        <sz val="10"/>
        <rFont val="宋体"/>
        <charset val="134"/>
      </rPr>
      <t>其他</t>
    </r>
    <r>
      <rPr>
        <sz val="10"/>
        <rFont val="Times New Roman"/>
        <charset val="134"/>
      </rPr>
      <t>13</t>
    </r>
  </si>
  <si>
    <r>
      <rPr>
        <sz val="10"/>
        <rFont val="宋体"/>
        <charset val="134"/>
      </rPr>
      <t>其他应付</t>
    </r>
    <r>
      <rPr>
        <sz val="10"/>
        <rFont val="Times New Roman"/>
        <charset val="134"/>
      </rPr>
      <t>-</t>
    </r>
    <r>
      <rPr>
        <sz val="10"/>
        <rFont val="宋体"/>
        <charset val="134"/>
      </rPr>
      <t>其他</t>
    </r>
    <r>
      <rPr>
        <sz val="10"/>
        <rFont val="Times New Roman"/>
        <charset val="134"/>
      </rPr>
      <t>14</t>
    </r>
  </si>
  <si>
    <r>
      <rPr>
        <sz val="10"/>
        <rFont val="宋体"/>
        <charset val="134"/>
      </rPr>
      <t>其他应付</t>
    </r>
    <r>
      <rPr>
        <sz val="10"/>
        <rFont val="Times New Roman"/>
        <charset val="134"/>
      </rPr>
      <t>-</t>
    </r>
    <r>
      <rPr>
        <sz val="10"/>
        <rFont val="宋体"/>
        <charset val="134"/>
      </rPr>
      <t>其他</t>
    </r>
    <r>
      <rPr>
        <sz val="10"/>
        <rFont val="Times New Roman"/>
        <charset val="134"/>
      </rPr>
      <t>15</t>
    </r>
  </si>
  <si>
    <r>
      <rPr>
        <sz val="10"/>
        <rFont val="宋体"/>
        <charset val="134"/>
      </rPr>
      <t>其他应付</t>
    </r>
    <r>
      <rPr>
        <sz val="10"/>
        <rFont val="Times New Roman"/>
        <charset val="134"/>
      </rPr>
      <t>-</t>
    </r>
    <r>
      <rPr>
        <sz val="10"/>
        <rFont val="宋体"/>
        <charset val="134"/>
      </rPr>
      <t>其他</t>
    </r>
    <r>
      <rPr>
        <sz val="10"/>
        <rFont val="Times New Roman"/>
        <charset val="134"/>
      </rPr>
      <t>16</t>
    </r>
  </si>
  <si>
    <r>
      <rPr>
        <sz val="10"/>
        <rFont val="宋体"/>
        <charset val="134"/>
      </rPr>
      <t>其他应付</t>
    </r>
    <r>
      <rPr>
        <sz val="10"/>
        <rFont val="Times New Roman"/>
        <charset val="134"/>
      </rPr>
      <t>-</t>
    </r>
    <r>
      <rPr>
        <sz val="10"/>
        <rFont val="宋体"/>
        <charset val="134"/>
      </rPr>
      <t>其他</t>
    </r>
    <r>
      <rPr>
        <sz val="10"/>
        <rFont val="Times New Roman"/>
        <charset val="134"/>
      </rPr>
      <t>17</t>
    </r>
  </si>
  <si>
    <r>
      <rPr>
        <sz val="10"/>
        <rFont val="宋体"/>
        <charset val="134"/>
      </rPr>
      <t>其他应付</t>
    </r>
    <r>
      <rPr>
        <sz val="10"/>
        <rFont val="Times New Roman"/>
        <charset val="134"/>
      </rPr>
      <t>-</t>
    </r>
    <r>
      <rPr>
        <sz val="10"/>
        <rFont val="宋体"/>
        <charset val="134"/>
      </rPr>
      <t>其他</t>
    </r>
    <r>
      <rPr>
        <sz val="10"/>
        <rFont val="Times New Roman"/>
        <charset val="134"/>
      </rPr>
      <t>18</t>
    </r>
  </si>
  <si>
    <r>
      <rPr>
        <sz val="10"/>
        <rFont val="宋体"/>
        <charset val="134"/>
      </rPr>
      <t>其他应付</t>
    </r>
    <r>
      <rPr>
        <sz val="10"/>
        <rFont val="Times New Roman"/>
        <charset val="134"/>
      </rPr>
      <t>-</t>
    </r>
    <r>
      <rPr>
        <sz val="10"/>
        <rFont val="宋体"/>
        <charset val="134"/>
      </rPr>
      <t>其他</t>
    </r>
    <r>
      <rPr>
        <sz val="10"/>
        <rFont val="Times New Roman"/>
        <charset val="134"/>
      </rPr>
      <t>19</t>
    </r>
  </si>
  <si>
    <r>
      <rPr>
        <sz val="10"/>
        <rFont val="宋体"/>
        <charset val="134"/>
      </rPr>
      <t>其他应付</t>
    </r>
    <r>
      <rPr>
        <sz val="10"/>
        <rFont val="Times New Roman"/>
        <charset val="134"/>
      </rPr>
      <t>-</t>
    </r>
    <r>
      <rPr>
        <sz val="10"/>
        <rFont val="宋体"/>
        <charset val="134"/>
      </rPr>
      <t>其他</t>
    </r>
    <r>
      <rPr>
        <sz val="10"/>
        <rFont val="Times New Roman"/>
        <charset val="134"/>
      </rPr>
      <t>20</t>
    </r>
  </si>
  <si>
    <r>
      <rPr>
        <sz val="18"/>
        <rFont val="宋体"/>
        <charset val="134"/>
      </rPr>
      <t>持有至待售负债评估明细表</t>
    </r>
  </si>
  <si>
    <t>结算内容</t>
  </si>
  <si>
    <r>
      <rPr>
        <sz val="10"/>
        <rFont val="宋体"/>
        <charset val="134"/>
      </rPr>
      <t>持有待售负债</t>
    </r>
    <r>
      <rPr>
        <sz val="10"/>
        <rFont val="Times New Roman"/>
        <charset val="134"/>
      </rPr>
      <t>01</t>
    </r>
  </si>
  <si>
    <r>
      <rPr>
        <sz val="10"/>
        <rFont val="宋体"/>
        <charset val="134"/>
      </rPr>
      <t>持有待售负债</t>
    </r>
    <r>
      <rPr>
        <sz val="10"/>
        <rFont val="Times New Roman"/>
        <charset val="134"/>
      </rPr>
      <t>02</t>
    </r>
  </si>
  <si>
    <r>
      <rPr>
        <sz val="10"/>
        <rFont val="宋体"/>
        <charset val="134"/>
      </rPr>
      <t>持有待售负债</t>
    </r>
    <r>
      <rPr>
        <sz val="10"/>
        <rFont val="Times New Roman"/>
        <charset val="134"/>
      </rPr>
      <t>03</t>
    </r>
  </si>
  <si>
    <r>
      <rPr>
        <sz val="10"/>
        <rFont val="宋体"/>
        <charset val="134"/>
      </rPr>
      <t>持有待售负债</t>
    </r>
    <r>
      <rPr>
        <sz val="10"/>
        <rFont val="Times New Roman"/>
        <charset val="134"/>
      </rPr>
      <t>04</t>
    </r>
  </si>
  <si>
    <r>
      <rPr>
        <sz val="10"/>
        <rFont val="宋体"/>
        <charset val="134"/>
      </rPr>
      <t>持有待售负债</t>
    </r>
    <r>
      <rPr>
        <sz val="10"/>
        <rFont val="Times New Roman"/>
        <charset val="134"/>
      </rPr>
      <t>05</t>
    </r>
  </si>
  <si>
    <r>
      <rPr>
        <sz val="10"/>
        <rFont val="宋体"/>
        <charset val="134"/>
      </rPr>
      <t>持有待售负债</t>
    </r>
    <r>
      <rPr>
        <sz val="10"/>
        <rFont val="Times New Roman"/>
        <charset val="134"/>
      </rPr>
      <t>06</t>
    </r>
  </si>
  <si>
    <r>
      <rPr>
        <sz val="10"/>
        <rFont val="宋体"/>
        <charset val="134"/>
      </rPr>
      <t>持有待售负债</t>
    </r>
    <r>
      <rPr>
        <sz val="10"/>
        <rFont val="Times New Roman"/>
        <charset val="134"/>
      </rPr>
      <t>07</t>
    </r>
  </si>
  <si>
    <r>
      <rPr>
        <sz val="10"/>
        <rFont val="宋体"/>
        <charset val="134"/>
      </rPr>
      <t>持有待售负债</t>
    </r>
    <r>
      <rPr>
        <sz val="10"/>
        <rFont val="Times New Roman"/>
        <charset val="134"/>
      </rPr>
      <t>08</t>
    </r>
  </si>
  <si>
    <r>
      <rPr>
        <sz val="10"/>
        <rFont val="宋体"/>
        <charset val="134"/>
      </rPr>
      <t>持有待售负债</t>
    </r>
    <r>
      <rPr>
        <sz val="10"/>
        <rFont val="Times New Roman"/>
        <charset val="134"/>
      </rPr>
      <t>09</t>
    </r>
  </si>
  <si>
    <r>
      <rPr>
        <sz val="10"/>
        <rFont val="宋体"/>
        <charset val="134"/>
      </rPr>
      <t>持有待售负债</t>
    </r>
    <r>
      <rPr>
        <sz val="10"/>
        <rFont val="Times New Roman"/>
        <charset val="134"/>
      </rPr>
      <t>10</t>
    </r>
  </si>
  <si>
    <r>
      <rPr>
        <sz val="10"/>
        <rFont val="宋体"/>
        <charset val="134"/>
      </rPr>
      <t>持有待售负债</t>
    </r>
    <r>
      <rPr>
        <sz val="10"/>
        <rFont val="Times New Roman"/>
        <charset val="134"/>
      </rPr>
      <t>11</t>
    </r>
  </si>
  <si>
    <r>
      <rPr>
        <sz val="10"/>
        <rFont val="宋体"/>
        <charset val="134"/>
      </rPr>
      <t>持有待售负债</t>
    </r>
    <r>
      <rPr>
        <sz val="10"/>
        <rFont val="Times New Roman"/>
        <charset val="134"/>
      </rPr>
      <t>12</t>
    </r>
  </si>
  <si>
    <r>
      <rPr>
        <sz val="10"/>
        <rFont val="宋体"/>
        <charset val="134"/>
      </rPr>
      <t>持有待售负债</t>
    </r>
    <r>
      <rPr>
        <sz val="10"/>
        <rFont val="Times New Roman"/>
        <charset val="134"/>
      </rPr>
      <t>13</t>
    </r>
  </si>
  <si>
    <r>
      <rPr>
        <sz val="10"/>
        <rFont val="宋体"/>
        <charset val="134"/>
      </rPr>
      <t>持有待售负债</t>
    </r>
    <r>
      <rPr>
        <sz val="10"/>
        <rFont val="Times New Roman"/>
        <charset val="134"/>
      </rPr>
      <t>14</t>
    </r>
  </si>
  <si>
    <r>
      <rPr>
        <sz val="10"/>
        <rFont val="宋体"/>
        <charset val="134"/>
      </rPr>
      <t>持有待售负债</t>
    </r>
    <r>
      <rPr>
        <sz val="10"/>
        <rFont val="Times New Roman"/>
        <charset val="134"/>
      </rPr>
      <t>15</t>
    </r>
  </si>
  <si>
    <r>
      <rPr>
        <sz val="10"/>
        <rFont val="宋体"/>
        <charset val="134"/>
      </rPr>
      <t>持有待售负债</t>
    </r>
    <r>
      <rPr>
        <sz val="10"/>
        <rFont val="Times New Roman"/>
        <charset val="134"/>
      </rPr>
      <t>16</t>
    </r>
  </si>
  <si>
    <r>
      <rPr>
        <sz val="10"/>
        <rFont val="宋体"/>
        <charset val="134"/>
      </rPr>
      <t>持有待售负债</t>
    </r>
    <r>
      <rPr>
        <sz val="10"/>
        <rFont val="Times New Roman"/>
        <charset val="134"/>
      </rPr>
      <t>17</t>
    </r>
  </si>
  <si>
    <r>
      <rPr>
        <sz val="10"/>
        <rFont val="宋体"/>
        <charset val="134"/>
      </rPr>
      <t>持有待售负债</t>
    </r>
    <r>
      <rPr>
        <sz val="10"/>
        <rFont val="Times New Roman"/>
        <charset val="134"/>
      </rPr>
      <t>18</t>
    </r>
  </si>
  <si>
    <r>
      <rPr>
        <sz val="10"/>
        <rFont val="宋体"/>
        <charset val="134"/>
      </rPr>
      <t>持有待售负债</t>
    </r>
    <r>
      <rPr>
        <sz val="10"/>
        <rFont val="Times New Roman"/>
        <charset val="134"/>
      </rPr>
      <t>19</t>
    </r>
  </si>
  <si>
    <r>
      <rPr>
        <sz val="10"/>
        <rFont val="宋体"/>
        <charset val="134"/>
      </rPr>
      <t>持有待售负债</t>
    </r>
    <r>
      <rPr>
        <sz val="10"/>
        <rFont val="Times New Roman"/>
        <charset val="134"/>
      </rPr>
      <t>20</t>
    </r>
  </si>
  <si>
    <r>
      <rPr>
        <sz val="18"/>
        <rFont val="宋体"/>
        <charset val="134"/>
      </rPr>
      <t>一年内到期的非流动负债评估明细表</t>
    </r>
  </si>
  <si>
    <r>
      <rPr>
        <b/>
        <sz val="10"/>
        <rFont val="宋体"/>
        <charset val="134"/>
      </rPr>
      <t>结算项目</t>
    </r>
  </si>
  <si>
    <r>
      <rPr>
        <sz val="10"/>
        <rFont val="宋体"/>
        <charset val="134"/>
      </rPr>
      <t>一年到期非流动负债</t>
    </r>
    <r>
      <rPr>
        <sz val="10"/>
        <rFont val="Times New Roman"/>
        <charset val="134"/>
      </rPr>
      <t>01</t>
    </r>
  </si>
  <si>
    <r>
      <rPr>
        <sz val="10"/>
        <rFont val="宋体"/>
        <charset val="134"/>
      </rPr>
      <t>一年到期非流动负债</t>
    </r>
    <r>
      <rPr>
        <sz val="10"/>
        <rFont val="Times New Roman"/>
        <charset val="134"/>
      </rPr>
      <t>02</t>
    </r>
  </si>
  <si>
    <r>
      <rPr>
        <sz val="10"/>
        <rFont val="宋体"/>
        <charset val="134"/>
      </rPr>
      <t>一年到期非流动负债</t>
    </r>
    <r>
      <rPr>
        <sz val="10"/>
        <rFont val="Times New Roman"/>
        <charset val="134"/>
      </rPr>
      <t>03</t>
    </r>
  </si>
  <si>
    <r>
      <rPr>
        <sz val="10"/>
        <rFont val="宋体"/>
        <charset val="134"/>
      </rPr>
      <t>一年到期非流动负债</t>
    </r>
    <r>
      <rPr>
        <sz val="10"/>
        <rFont val="Times New Roman"/>
        <charset val="134"/>
      </rPr>
      <t>04</t>
    </r>
  </si>
  <si>
    <r>
      <rPr>
        <sz val="10"/>
        <rFont val="宋体"/>
        <charset val="134"/>
      </rPr>
      <t>一年到期非流动负债</t>
    </r>
    <r>
      <rPr>
        <sz val="10"/>
        <rFont val="Times New Roman"/>
        <charset val="134"/>
      </rPr>
      <t>05</t>
    </r>
  </si>
  <si>
    <r>
      <rPr>
        <sz val="10"/>
        <rFont val="宋体"/>
        <charset val="134"/>
      </rPr>
      <t>一年到期非流动负债</t>
    </r>
    <r>
      <rPr>
        <sz val="10"/>
        <rFont val="Times New Roman"/>
        <charset val="134"/>
      </rPr>
      <t>06</t>
    </r>
  </si>
  <si>
    <r>
      <rPr>
        <sz val="10"/>
        <rFont val="宋体"/>
        <charset val="134"/>
      </rPr>
      <t>一年到期非流动负债</t>
    </r>
    <r>
      <rPr>
        <sz val="10"/>
        <rFont val="Times New Roman"/>
        <charset val="134"/>
      </rPr>
      <t>07</t>
    </r>
  </si>
  <si>
    <r>
      <rPr>
        <sz val="10"/>
        <rFont val="宋体"/>
        <charset val="134"/>
      </rPr>
      <t>一年到期非流动负债</t>
    </r>
    <r>
      <rPr>
        <sz val="10"/>
        <rFont val="Times New Roman"/>
        <charset val="134"/>
      </rPr>
      <t>08</t>
    </r>
  </si>
  <si>
    <r>
      <rPr>
        <sz val="10"/>
        <rFont val="宋体"/>
        <charset val="134"/>
      </rPr>
      <t>一年到期非流动负债</t>
    </r>
    <r>
      <rPr>
        <sz val="10"/>
        <rFont val="Times New Roman"/>
        <charset val="134"/>
      </rPr>
      <t>09</t>
    </r>
  </si>
  <si>
    <r>
      <rPr>
        <sz val="10"/>
        <rFont val="宋体"/>
        <charset val="134"/>
      </rPr>
      <t>一年到期非流动负债</t>
    </r>
    <r>
      <rPr>
        <sz val="10"/>
        <rFont val="Times New Roman"/>
        <charset val="134"/>
      </rPr>
      <t>10</t>
    </r>
  </si>
  <si>
    <r>
      <rPr>
        <sz val="10"/>
        <rFont val="宋体"/>
        <charset val="134"/>
      </rPr>
      <t>一年到期非流动负债</t>
    </r>
    <r>
      <rPr>
        <sz val="10"/>
        <rFont val="Times New Roman"/>
        <charset val="134"/>
      </rPr>
      <t>11</t>
    </r>
  </si>
  <si>
    <r>
      <rPr>
        <sz val="10"/>
        <rFont val="宋体"/>
        <charset val="134"/>
      </rPr>
      <t>一年到期非流动负债</t>
    </r>
    <r>
      <rPr>
        <sz val="10"/>
        <rFont val="Times New Roman"/>
        <charset val="134"/>
      </rPr>
      <t>12</t>
    </r>
  </si>
  <si>
    <r>
      <rPr>
        <sz val="10"/>
        <rFont val="宋体"/>
        <charset val="134"/>
      </rPr>
      <t>一年到期非流动负债</t>
    </r>
    <r>
      <rPr>
        <sz val="10"/>
        <rFont val="Times New Roman"/>
        <charset val="134"/>
      </rPr>
      <t>13</t>
    </r>
  </si>
  <si>
    <r>
      <rPr>
        <sz val="10"/>
        <rFont val="宋体"/>
        <charset val="134"/>
      </rPr>
      <t>一年到期非流动负债</t>
    </r>
    <r>
      <rPr>
        <sz val="10"/>
        <rFont val="Times New Roman"/>
        <charset val="134"/>
      </rPr>
      <t>14</t>
    </r>
  </si>
  <si>
    <r>
      <rPr>
        <sz val="10"/>
        <rFont val="宋体"/>
        <charset val="134"/>
      </rPr>
      <t>一年到期非流动负债</t>
    </r>
    <r>
      <rPr>
        <sz val="10"/>
        <rFont val="Times New Roman"/>
        <charset val="134"/>
      </rPr>
      <t>15</t>
    </r>
  </si>
  <si>
    <r>
      <rPr>
        <sz val="10"/>
        <rFont val="宋体"/>
        <charset val="134"/>
      </rPr>
      <t>一年到期非流动负债</t>
    </r>
    <r>
      <rPr>
        <sz val="10"/>
        <rFont val="Times New Roman"/>
        <charset val="134"/>
      </rPr>
      <t>16</t>
    </r>
  </si>
  <si>
    <r>
      <rPr>
        <sz val="10"/>
        <rFont val="宋体"/>
        <charset val="134"/>
      </rPr>
      <t>一年到期非流动负债</t>
    </r>
    <r>
      <rPr>
        <sz val="10"/>
        <rFont val="Times New Roman"/>
        <charset val="134"/>
      </rPr>
      <t>17</t>
    </r>
  </si>
  <si>
    <r>
      <rPr>
        <sz val="10"/>
        <rFont val="宋体"/>
        <charset val="134"/>
      </rPr>
      <t>一年到期非流动负债</t>
    </r>
    <r>
      <rPr>
        <sz val="10"/>
        <rFont val="Times New Roman"/>
        <charset val="134"/>
      </rPr>
      <t>18</t>
    </r>
  </si>
  <si>
    <r>
      <rPr>
        <sz val="10"/>
        <rFont val="宋体"/>
        <charset val="134"/>
      </rPr>
      <t>一年到期非流动负债</t>
    </r>
    <r>
      <rPr>
        <sz val="10"/>
        <rFont val="Times New Roman"/>
        <charset val="134"/>
      </rPr>
      <t>19</t>
    </r>
  </si>
  <si>
    <r>
      <rPr>
        <sz val="10"/>
        <rFont val="宋体"/>
        <charset val="134"/>
      </rPr>
      <t>一年到期非流动负债</t>
    </r>
    <r>
      <rPr>
        <sz val="10"/>
        <rFont val="Times New Roman"/>
        <charset val="134"/>
      </rPr>
      <t>20</t>
    </r>
  </si>
  <si>
    <r>
      <rPr>
        <sz val="18"/>
        <rFont val="宋体"/>
        <charset val="134"/>
      </rPr>
      <t>其他流动负债评估明细表</t>
    </r>
  </si>
  <si>
    <r>
      <rPr>
        <sz val="10"/>
        <rFont val="宋体"/>
        <charset val="134"/>
      </rPr>
      <t>其他流动负债</t>
    </r>
    <r>
      <rPr>
        <sz val="10"/>
        <rFont val="Times New Roman"/>
        <charset val="134"/>
      </rPr>
      <t>01</t>
    </r>
  </si>
  <si>
    <r>
      <rPr>
        <sz val="10"/>
        <rFont val="宋体"/>
        <charset val="134"/>
      </rPr>
      <t>其他流动负债</t>
    </r>
    <r>
      <rPr>
        <sz val="10"/>
        <rFont val="Times New Roman"/>
        <charset val="134"/>
      </rPr>
      <t>02</t>
    </r>
  </si>
  <si>
    <r>
      <rPr>
        <sz val="10"/>
        <rFont val="宋体"/>
        <charset val="134"/>
      </rPr>
      <t>其他流动负债</t>
    </r>
    <r>
      <rPr>
        <sz val="10"/>
        <rFont val="Times New Roman"/>
        <charset val="134"/>
      </rPr>
      <t>03</t>
    </r>
  </si>
  <si>
    <r>
      <rPr>
        <sz val="10"/>
        <rFont val="宋体"/>
        <charset val="134"/>
      </rPr>
      <t>其他流动负债</t>
    </r>
    <r>
      <rPr>
        <sz val="10"/>
        <rFont val="Times New Roman"/>
        <charset val="134"/>
      </rPr>
      <t>04</t>
    </r>
  </si>
  <si>
    <r>
      <rPr>
        <sz val="10"/>
        <rFont val="宋体"/>
        <charset val="134"/>
      </rPr>
      <t>其他流动负债</t>
    </r>
    <r>
      <rPr>
        <sz val="10"/>
        <rFont val="Times New Roman"/>
        <charset val="134"/>
      </rPr>
      <t>05</t>
    </r>
  </si>
  <si>
    <r>
      <rPr>
        <sz val="10"/>
        <rFont val="宋体"/>
        <charset val="134"/>
      </rPr>
      <t>其他流动负债</t>
    </r>
    <r>
      <rPr>
        <sz val="10"/>
        <rFont val="Times New Roman"/>
        <charset val="134"/>
      </rPr>
      <t>06</t>
    </r>
  </si>
  <si>
    <r>
      <rPr>
        <sz val="10"/>
        <rFont val="宋体"/>
        <charset val="134"/>
      </rPr>
      <t>其他流动负债</t>
    </r>
    <r>
      <rPr>
        <sz val="10"/>
        <rFont val="Times New Roman"/>
        <charset val="134"/>
      </rPr>
      <t>07</t>
    </r>
  </si>
  <si>
    <r>
      <rPr>
        <sz val="10"/>
        <rFont val="宋体"/>
        <charset val="134"/>
      </rPr>
      <t>其他流动负债</t>
    </r>
    <r>
      <rPr>
        <sz val="10"/>
        <rFont val="Times New Roman"/>
        <charset val="134"/>
      </rPr>
      <t>08</t>
    </r>
  </si>
  <si>
    <r>
      <rPr>
        <sz val="10"/>
        <rFont val="宋体"/>
        <charset val="134"/>
      </rPr>
      <t>其他流动负债</t>
    </r>
    <r>
      <rPr>
        <sz val="10"/>
        <rFont val="Times New Roman"/>
        <charset val="134"/>
      </rPr>
      <t>09</t>
    </r>
  </si>
  <si>
    <r>
      <rPr>
        <sz val="10"/>
        <rFont val="宋体"/>
        <charset val="134"/>
      </rPr>
      <t>其他流动负债</t>
    </r>
    <r>
      <rPr>
        <sz val="10"/>
        <rFont val="Times New Roman"/>
        <charset val="134"/>
      </rPr>
      <t>10</t>
    </r>
  </si>
  <si>
    <r>
      <rPr>
        <sz val="10"/>
        <rFont val="宋体"/>
        <charset val="134"/>
      </rPr>
      <t>其他流动负债</t>
    </r>
    <r>
      <rPr>
        <sz val="10"/>
        <rFont val="Times New Roman"/>
        <charset val="134"/>
      </rPr>
      <t>11</t>
    </r>
  </si>
  <si>
    <r>
      <rPr>
        <sz val="10"/>
        <rFont val="宋体"/>
        <charset val="134"/>
      </rPr>
      <t>其他流动负债</t>
    </r>
    <r>
      <rPr>
        <sz val="10"/>
        <rFont val="Times New Roman"/>
        <charset val="134"/>
      </rPr>
      <t>12</t>
    </r>
  </si>
  <si>
    <r>
      <rPr>
        <sz val="10"/>
        <rFont val="宋体"/>
        <charset val="134"/>
      </rPr>
      <t>其他流动负债</t>
    </r>
    <r>
      <rPr>
        <sz val="10"/>
        <rFont val="Times New Roman"/>
        <charset val="134"/>
      </rPr>
      <t>13</t>
    </r>
  </si>
  <si>
    <r>
      <rPr>
        <sz val="10"/>
        <rFont val="宋体"/>
        <charset val="134"/>
      </rPr>
      <t>其他流动负债</t>
    </r>
    <r>
      <rPr>
        <sz val="10"/>
        <rFont val="Times New Roman"/>
        <charset val="134"/>
      </rPr>
      <t>14</t>
    </r>
  </si>
  <si>
    <r>
      <rPr>
        <sz val="10"/>
        <rFont val="宋体"/>
        <charset val="134"/>
      </rPr>
      <t>其他流动负债</t>
    </r>
    <r>
      <rPr>
        <sz val="10"/>
        <rFont val="Times New Roman"/>
        <charset val="134"/>
      </rPr>
      <t>15</t>
    </r>
  </si>
  <si>
    <r>
      <rPr>
        <sz val="10"/>
        <rFont val="宋体"/>
        <charset val="134"/>
      </rPr>
      <t>其他流动负债</t>
    </r>
    <r>
      <rPr>
        <sz val="10"/>
        <rFont val="Times New Roman"/>
        <charset val="134"/>
      </rPr>
      <t>16</t>
    </r>
  </si>
  <si>
    <r>
      <rPr>
        <sz val="10"/>
        <rFont val="宋体"/>
        <charset val="134"/>
      </rPr>
      <t>其他流动负债</t>
    </r>
    <r>
      <rPr>
        <sz val="10"/>
        <rFont val="Times New Roman"/>
        <charset val="134"/>
      </rPr>
      <t>17</t>
    </r>
  </si>
  <si>
    <r>
      <rPr>
        <sz val="10"/>
        <rFont val="宋体"/>
        <charset val="134"/>
      </rPr>
      <t>其他流动负债</t>
    </r>
    <r>
      <rPr>
        <sz val="10"/>
        <rFont val="Times New Roman"/>
        <charset val="134"/>
      </rPr>
      <t>18</t>
    </r>
  </si>
  <si>
    <r>
      <rPr>
        <sz val="10"/>
        <rFont val="宋体"/>
        <charset val="134"/>
      </rPr>
      <t>其他流动负债</t>
    </r>
    <r>
      <rPr>
        <sz val="10"/>
        <rFont val="Times New Roman"/>
        <charset val="134"/>
      </rPr>
      <t>19</t>
    </r>
  </si>
  <si>
    <r>
      <rPr>
        <sz val="10"/>
        <rFont val="宋体"/>
        <charset val="134"/>
      </rPr>
      <t>其他流动负债</t>
    </r>
    <r>
      <rPr>
        <sz val="10"/>
        <rFont val="Times New Roman"/>
        <charset val="134"/>
      </rPr>
      <t>20</t>
    </r>
  </si>
  <si>
    <r>
      <rPr>
        <sz val="18"/>
        <rFont val="宋体"/>
        <charset val="134"/>
      </rPr>
      <t>非流动负债评估汇总表</t>
    </r>
  </si>
  <si>
    <r>
      <rPr>
        <sz val="10"/>
        <rFont val="宋体"/>
        <charset val="134"/>
      </rPr>
      <t>长期借款</t>
    </r>
  </si>
  <si>
    <r>
      <rPr>
        <sz val="10"/>
        <rFont val="宋体"/>
        <charset val="134"/>
      </rPr>
      <t>应付债券</t>
    </r>
  </si>
  <si>
    <r>
      <rPr>
        <sz val="10"/>
        <rFont val="宋体"/>
        <charset val="134"/>
      </rPr>
      <t>租赁负债</t>
    </r>
  </si>
  <si>
    <r>
      <rPr>
        <sz val="10"/>
        <rFont val="宋体"/>
        <charset val="134"/>
      </rPr>
      <t>长期应付款</t>
    </r>
  </si>
  <si>
    <r>
      <rPr>
        <sz val="10"/>
        <rFont val="宋体"/>
        <charset val="134"/>
      </rPr>
      <t>预计负债</t>
    </r>
  </si>
  <si>
    <r>
      <rPr>
        <sz val="10"/>
        <rFont val="宋体"/>
        <charset val="134"/>
      </rPr>
      <t>递延所得税负债</t>
    </r>
  </si>
  <si>
    <r>
      <rPr>
        <sz val="10"/>
        <rFont val="宋体"/>
        <charset val="134"/>
      </rPr>
      <t>其他非流动负债</t>
    </r>
  </si>
  <si>
    <r>
      <rPr>
        <sz val="18"/>
        <rFont val="宋体"/>
        <charset val="134"/>
      </rPr>
      <t>长期借款评估明细表</t>
    </r>
  </si>
  <si>
    <r>
      <rPr>
        <sz val="10"/>
        <rFont val="宋体"/>
        <charset val="134"/>
      </rPr>
      <t>长期借款</t>
    </r>
    <r>
      <rPr>
        <sz val="10"/>
        <rFont val="Times New Roman"/>
        <charset val="134"/>
      </rPr>
      <t>01</t>
    </r>
  </si>
  <si>
    <r>
      <rPr>
        <sz val="10"/>
        <rFont val="宋体"/>
        <charset val="134"/>
      </rPr>
      <t>长期借款</t>
    </r>
    <r>
      <rPr>
        <sz val="10"/>
        <rFont val="Times New Roman"/>
        <charset val="134"/>
      </rPr>
      <t>02</t>
    </r>
  </si>
  <si>
    <r>
      <rPr>
        <sz val="10"/>
        <rFont val="宋体"/>
        <charset val="134"/>
      </rPr>
      <t>长期借款</t>
    </r>
    <r>
      <rPr>
        <sz val="10"/>
        <rFont val="Times New Roman"/>
        <charset val="134"/>
      </rPr>
      <t>03</t>
    </r>
  </si>
  <si>
    <r>
      <rPr>
        <sz val="10"/>
        <rFont val="宋体"/>
        <charset val="134"/>
      </rPr>
      <t>长期借款</t>
    </r>
    <r>
      <rPr>
        <sz val="10"/>
        <rFont val="Times New Roman"/>
        <charset val="134"/>
      </rPr>
      <t>04</t>
    </r>
  </si>
  <si>
    <r>
      <rPr>
        <sz val="10"/>
        <rFont val="宋体"/>
        <charset val="134"/>
      </rPr>
      <t>长期借款</t>
    </r>
    <r>
      <rPr>
        <sz val="10"/>
        <rFont val="Times New Roman"/>
        <charset val="134"/>
      </rPr>
      <t>05</t>
    </r>
  </si>
  <si>
    <r>
      <rPr>
        <sz val="10"/>
        <rFont val="宋体"/>
        <charset val="134"/>
      </rPr>
      <t>长期借款</t>
    </r>
    <r>
      <rPr>
        <sz val="10"/>
        <rFont val="Times New Roman"/>
        <charset val="134"/>
      </rPr>
      <t>06</t>
    </r>
  </si>
  <si>
    <r>
      <rPr>
        <sz val="10"/>
        <rFont val="宋体"/>
        <charset val="134"/>
      </rPr>
      <t>长期借款</t>
    </r>
    <r>
      <rPr>
        <sz val="10"/>
        <rFont val="Times New Roman"/>
        <charset val="134"/>
      </rPr>
      <t>07</t>
    </r>
  </si>
  <si>
    <r>
      <rPr>
        <sz val="10"/>
        <rFont val="宋体"/>
        <charset val="134"/>
      </rPr>
      <t>长期借款</t>
    </r>
    <r>
      <rPr>
        <sz val="10"/>
        <rFont val="Times New Roman"/>
        <charset val="134"/>
      </rPr>
      <t>08</t>
    </r>
  </si>
  <si>
    <r>
      <rPr>
        <sz val="10"/>
        <rFont val="宋体"/>
        <charset val="134"/>
      </rPr>
      <t>长期借款</t>
    </r>
    <r>
      <rPr>
        <sz val="10"/>
        <rFont val="Times New Roman"/>
        <charset val="134"/>
      </rPr>
      <t>09</t>
    </r>
  </si>
  <si>
    <r>
      <rPr>
        <sz val="10"/>
        <rFont val="宋体"/>
        <charset val="134"/>
      </rPr>
      <t>长期借款</t>
    </r>
    <r>
      <rPr>
        <sz val="10"/>
        <rFont val="Times New Roman"/>
        <charset val="134"/>
      </rPr>
      <t>10</t>
    </r>
  </si>
  <si>
    <r>
      <rPr>
        <sz val="10"/>
        <rFont val="宋体"/>
        <charset val="134"/>
      </rPr>
      <t>长期借款</t>
    </r>
    <r>
      <rPr>
        <sz val="10"/>
        <rFont val="Times New Roman"/>
        <charset val="134"/>
      </rPr>
      <t>11</t>
    </r>
  </si>
  <si>
    <r>
      <rPr>
        <sz val="10"/>
        <rFont val="宋体"/>
        <charset val="134"/>
      </rPr>
      <t>长期借款</t>
    </r>
    <r>
      <rPr>
        <sz val="10"/>
        <rFont val="Times New Roman"/>
        <charset val="134"/>
      </rPr>
      <t>12</t>
    </r>
  </si>
  <si>
    <r>
      <rPr>
        <sz val="10"/>
        <rFont val="宋体"/>
        <charset val="134"/>
      </rPr>
      <t>长期借款</t>
    </r>
    <r>
      <rPr>
        <sz val="10"/>
        <rFont val="Times New Roman"/>
        <charset val="134"/>
      </rPr>
      <t>13</t>
    </r>
  </si>
  <si>
    <r>
      <rPr>
        <sz val="10"/>
        <rFont val="宋体"/>
        <charset val="134"/>
      </rPr>
      <t>长期借款</t>
    </r>
    <r>
      <rPr>
        <sz val="10"/>
        <rFont val="Times New Roman"/>
        <charset val="134"/>
      </rPr>
      <t>14</t>
    </r>
  </si>
  <si>
    <r>
      <rPr>
        <sz val="10"/>
        <rFont val="宋体"/>
        <charset val="134"/>
      </rPr>
      <t>长期借款</t>
    </r>
    <r>
      <rPr>
        <sz val="10"/>
        <rFont val="Times New Roman"/>
        <charset val="134"/>
      </rPr>
      <t>15</t>
    </r>
  </si>
  <si>
    <r>
      <rPr>
        <sz val="10"/>
        <rFont val="宋体"/>
        <charset val="134"/>
      </rPr>
      <t>长期借款</t>
    </r>
    <r>
      <rPr>
        <sz val="10"/>
        <rFont val="Times New Roman"/>
        <charset val="134"/>
      </rPr>
      <t>16</t>
    </r>
  </si>
  <si>
    <r>
      <rPr>
        <sz val="10"/>
        <rFont val="宋体"/>
        <charset val="134"/>
      </rPr>
      <t>长期借款</t>
    </r>
    <r>
      <rPr>
        <sz val="10"/>
        <rFont val="Times New Roman"/>
        <charset val="134"/>
      </rPr>
      <t>17</t>
    </r>
  </si>
  <si>
    <r>
      <rPr>
        <sz val="10"/>
        <rFont val="宋体"/>
        <charset val="134"/>
      </rPr>
      <t>长期借款</t>
    </r>
    <r>
      <rPr>
        <sz val="10"/>
        <rFont val="Times New Roman"/>
        <charset val="134"/>
      </rPr>
      <t>18</t>
    </r>
  </si>
  <si>
    <r>
      <rPr>
        <sz val="10"/>
        <rFont val="宋体"/>
        <charset val="134"/>
      </rPr>
      <t>长期借款</t>
    </r>
    <r>
      <rPr>
        <sz val="10"/>
        <rFont val="Times New Roman"/>
        <charset val="134"/>
      </rPr>
      <t>19</t>
    </r>
  </si>
  <si>
    <r>
      <rPr>
        <sz val="10"/>
        <rFont val="宋体"/>
        <charset val="134"/>
      </rPr>
      <t>长期借款</t>
    </r>
    <r>
      <rPr>
        <sz val="10"/>
        <rFont val="Times New Roman"/>
        <charset val="134"/>
      </rPr>
      <t>20</t>
    </r>
  </si>
  <si>
    <r>
      <rPr>
        <sz val="18"/>
        <rFont val="宋体"/>
        <charset val="134"/>
      </rPr>
      <t>应付债券评估明细表</t>
    </r>
  </si>
  <si>
    <r>
      <rPr>
        <b/>
        <sz val="10"/>
        <rFont val="宋体"/>
        <charset val="134"/>
      </rPr>
      <t>债券发行单位</t>
    </r>
  </si>
  <si>
    <r>
      <rPr>
        <b/>
        <sz val="10"/>
        <rFont val="Times New Roman"/>
        <charset val="134"/>
      </rPr>
      <t xml:space="preserve"> </t>
    </r>
    <r>
      <rPr>
        <b/>
        <sz val="10"/>
        <rFont val="宋体"/>
        <charset val="134"/>
      </rPr>
      <t>备</t>
    </r>
    <r>
      <rPr>
        <b/>
        <sz val="10"/>
        <rFont val="Times New Roman"/>
        <charset val="134"/>
      </rPr>
      <t xml:space="preserve"> </t>
    </r>
    <r>
      <rPr>
        <b/>
        <sz val="10"/>
        <rFont val="宋体"/>
        <charset val="134"/>
      </rPr>
      <t>注</t>
    </r>
  </si>
  <si>
    <r>
      <rPr>
        <b/>
        <sz val="10"/>
        <rFont val="宋体"/>
        <charset val="134"/>
      </rPr>
      <t>是否已计提应付利息</t>
    </r>
  </si>
  <si>
    <r>
      <rPr>
        <sz val="10"/>
        <rFont val="宋体"/>
        <charset val="134"/>
      </rPr>
      <t>应付债券</t>
    </r>
    <r>
      <rPr>
        <sz val="10"/>
        <rFont val="Times New Roman"/>
        <charset val="134"/>
      </rPr>
      <t>01</t>
    </r>
  </si>
  <si>
    <r>
      <rPr>
        <sz val="10"/>
        <rFont val="宋体"/>
        <charset val="134"/>
      </rPr>
      <t>应付债券</t>
    </r>
    <r>
      <rPr>
        <sz val="10"/>
        <rFont val="Times New Roman"/>
        <charset val="134"/>
      </rPr>
      <t>02</t>
    </r>
  </si>
  <si>
    <r>
      <rPr>
        <sz val="10"/>
        <rFont val="宋体"/>
        <charset val="134"/>
      </rPr>
      <t>应付债券</t>
    </r>
    <r>
      <rPr>
        <sz val="10"/>
        <rFont val="Times New Roman"/>
        <charset val="134"/>
      </rPr>
      <t>03</t>
    </r>
  </si>
  <si>
    <r>
      <rPr>
        <sz val="10"/>
        <rFont val="宋体"/>
        <charset val="134"/>
      </rPr>
      <t>应付债券</t>
    </r>
    <r>
      <rPr>
        <sz val="10"/>
        <rFont val="Times New Roman"/>
        <charset val="134"/>
      </rPr>
      <t>04</t>
    </r>
  </si>
  <si>
    <r>
      <rPr>
        <sz val="10"/>
        <rFont val="宋体"/>
        <charset val="134"/>
      </rPr>
      <t>应付债券</t>
    </r>
    <r>
      <rPr>
        <sz val="10"/>
        <rFont val="Times New Roman"/>
        <charset val="134"/>
      </rPr>
      <t>05</t>
    </r>
  </si>
  <si>
    <r>
      <rPr>
        <sz val="10"/>
        <rFont val="宋体"/>
        <charset val="134"/>
      </rPr>
      <t>应付债券</t>
    </r>
    <r>
      <rPr>
        <sz val="10"/>
        <rFont val="Times New Roman"/>
        <charset val="134"/>
      </rPr>
      <t>06</t>
    </r>
  </si>
  <si>
    <r>
      <rPr>
        <sz val="10"/>
        <rFont val="宋体"/>
        <charset val="134"/>
      </rPr>
      <t>应付债券</t>
    </r>
    <r>
      <rPr>
        <sz val="10"/>
        <rFont val="Times New Roman"/>
        <charset val="134"/>
      </rPr>
      <t>07</t>
    </r>
  </si>
  <si>
    <r>
      <rPr>
        <sz val="10"/>
        <rFont val="宋体"/>
        <charset val="134"/>
      </rPr>
      <t>应付债券</t>
    </r>
    <r>
      <rPr>
        <sz val="10"/>
        <rFont val="Times New Roman"/>
        <charset val="134"/>
      </rPr>
      <t>08</t>
    </r>
  </si>
  <si>
    <r>
      <rPr>
        <sz val="10"/>
        <rFont val="宋体"/>
        <charset val="134"/>
      </rPr>
      <t>应付债券</t>
    </r>
    <r>
      <rPr>
        <sz val="10"/>
        <rFont val="Times New Roman"/>
        <charset val="134"/>
      </rPr>
      <t>09</t>
    </r>
  </si>
  <si>
    <r>
      <rPr>
        <sz val="10"/>
        <rFont val="宋体"/>
        <charset val="134"/>
      </rPr>
      <t>应付债券</t>
    </r>
    <r>
      <rPr>
        <sz val="10"/>
        <rFont val="Times New Roman"/>
        <charset val="134"/>
      </rPr>
      <t>10</t>
    </r>
  </si>
  <si>
    <r>
      <rPr>
        <sz val="10"/>
        <rFont val="宋体"/>
        <charset val="134"/>
      </rPr>
      <t>应付债券</t>
    </r>
    <r>
      <rPr>
        <sz val="10"/>
        <rFont val="Times New Roman"/>
        <charset val="134"/>
      </rPr>
      <t>11</t>
    </r>
  </si>
  <si>
    <r>
      <rPr>
        <sz val="10"/>
        <rFont val="宋体"/>
        <charset val="134"/>
      </rPr>
      <t>应付债券</t>
    </r>
    <r>
      <rPr>
        <sz val="10"/>
        <rFont val="Times New Roman"/>
        <charset val="134"/>
      </rPr>
      <t>12</t>
    </r>
  </si>
  <si>
    <r>
      <rPr>
        <sz val="10"/>
        <rFont val="宋体"/>
        <charset val="134"/>
      </rPr>
      <t>应付债券</t>
    </r>
    <r>
      <rPr>
        <sz val="10"/>
        <rFont val="Times New Roman"/>
        <charset val="134"/>
      </rPr>
      <t>13</t>
    </r>
  </si>
  <si>
    <r>
      <rPr>
        <sz val="10"/>
        <rFont val="宋体"/>
        <charset val="134"/>
      </rPr>
      <t>应付债券</t>
    </r>
    <r>
      <rPr>
        <sz val="10"/>
        <rFont val="Times New Roman"/>
        <charset val="134"/>
      </rPr>
      <t>14</t>
    </r>
  </si>
  <si>
    <r>
      <rPr>
        <sz val="10"/>
        <rFont val="宋体"/>
        <charset val="134"/>
      </rPr>
      <t>应付债券</t>
    </r>
    <r>
      <rPr>
        <sz val="10"/>
        <rFont val="Times New Roman"/>
        <charset val="134"/>
      </rPr>
      <t>15</t>
    </r>
  </si>
  <si>
    <r>
      <rPr>
        <sz val="10"/>
        <rFont val="宋体"/>
        <charset val="134"/>
      </rPr>
      <t>应付债券</t>
    </r>
    <r>
      <rPr>
        <sz val="10"/>
        <rFont val="Times New Roman"/>
        <charset val="134"/>
      </rPr>
      <t>16</t>
    </r>
  </si>
  <si>
    <r>
      <rPr>
        <sz val="10"/>
        <rFont val="宋体"/>
        <charset val="134"/>
      </rPr>
      <t>应付债券</t>
    </r>
    <r>
      <rPr>
        <sz val="10"/>
        <rFont val="Times New Roman"/>
        <charset val="134"/>
      </rPr>
      <t>17</t>
    </r>
  </si>
  <si>
    <r>
      <rPr>
        <sz val="10"/>
        <rFont val="宋体"/>
        <charset val="134"/>
      </rPr>
      <t>应付债券</t>
    </r>
    <r>
      <rPr>
        <sz val="10"/>
        <rFont val="Times New Roman"/>
        <charset val="134"/>
      </rPr>
      <t>18</t>
    </r>
  </si>
  <si>
    <r>
      <rPr>
        <sz val="10"/>
        <rFont val="宋体"/>
        <charset val="134"/>
      </rPr>
      <t>应付债券</t>
    </r>
    <r>
      <rPr>
        <sz val="10"/>
        <rFont val="Times New Roman"/>
        <charset val="134"/>
      </rPr>
      <t>19</t>
    </r>
  </si>
  <si>
    <r>
      <rPr>
        <sz val="10"/>
        <rFont val="宋体"/>
        <charset val="134"/>
      </rPr>
      <t>应付债券</t>
    </r>
    <r>
      <rPr>
        <sz val="10"/>
        <rFont val="Times New Roman"/>
        <charset val="134"/>
      </rPr>
      <t>20</t>
    </r>
  </si>
  <si>
    <r>
      <rPr>
        <sz val="18"/>
        <rFont val="宋体"/>
        <charset val="134"/>
      </rPr>
      <t>租赁负债评估明细表</t>
    </r>
  </si>
  <si>
    <r>
      <rPr>
        <sz val="10"/>
        <rFont val="宋体"/>
        <charset val="134"/>
      </rPr>
      <t>租赁负债</t>
    </r>
    <r>
      <rPr>
        <sz val="10"/>
        <rFont val="Times New Roman"/>
        <charset val="134"/>
      </rPr>
      <t>01</t>
    </r>
  </si>
  <si>
    <r>
      <rPr>
        <sz val="10"/>
        <rFont val="宋体"/>
        <charset val="134"/>
      </rPr>
      <t>租赁负债</t>
    </r>
    <r>
      <rPr>
        <sz val="10"/>
        <rFont val="Times New Roman"/>
        <charset val="134"/>
      </rPr>
      <t>02</t>
    </r>
  </si>
  <si>
    <r>
      <rPr>
        <sz val="10"/>
        <rFont val="宋体"/>
        <charset val="134"/>
      </rPr>
      <t>租赁负债</t>
    </r>
    <r>
      <rPr>
        <sz val="10"/>
        <rFont val="Times New Roman"/>
        <charset val="134"/>
      </rPr>
      <t>03</t>
    </r>
  </si>
  <si>
    <r>
      <rPr>
        <sz val="10"/>
        <rFont val="宋体"/>
        <charset val="134"/>
      </rPr>
      <t>租赁负债</t>
    </r>
    <r>
      <rPr>
        <sz val="10"/>
        <rFont val="Times New Roman"/>
        <charset val="134"/>
      </rPr>
      <t>04</t>
    </r>
  </si>
  <si>
    <r>
      <rPr>
        <sz val="10"/>
        <rFont val="宋体"/>
        <charset val="134"/>
      </rPr>
      <t>租赁负债</t>
    </r>
    <r>
      <rPr>
        <sz val="10"/>
        <rFont val="Times New Roman"/>
        <charset val="134"/>
      </rPr>
      <t>05</t>
    </r>
  </si>
  <si>
    <r>
      <rPr>
        <sz val="10"/>
        <rFont val="宋体"/>
        <charset val="134"/>
      </rPr>
      <t>租赁负债</t>
    </r>
    <r>
      <rPr>
        <sz val="10"/>
        <rFont val="Times New Roman"/>
        <charset val="134"/>
      </rPr>
      <t>06</t>
    </r>
  </si>
  <si>
    <r>
      <rPr>
        <sz val="10"/>
        <rFont val="宋体"/>
        <charset val="134"/>
      </rPr>
      <t>租赁负债</t>
    </r>
    <r>
      <rPr>
        <sz val="10"/>
        <rFont val="Times New Roman"/>
        <charset val="134"/>
      </rPr>
      <t>07</t>
    </r>
  </si>
  <si>
    <r>
      <rPr>
        <sz val="10"/>
        <rFont val="宋体"/>
        <charset val="134"/>
      </rPr>
      <t>租赁负债</t>
    </r>
    <r>
      <rPr>
        <sz val="10"/>
        <rFont val="Times New Roman"/>
        <charset val="134"/>
      </rPr>
      <t>08</t>
    </r>
  </si>
  <si>
    <r>
      <rPr>
        <sz val="10"/>
        <rFont val="宋体"/>
        <charset val="134"/>
      </rPr>
      <t>租赁负债</t>
    </r>
    <r>
      <rPr>
        <sz val="10"/>
        <rFont val="Times New Roman"/>
        <charset val="134"/>
      </rPr>
      <t>09</t>
    </r>
  </si>
  <si>
    <r>
      <rPr>
        <sz val="10"/>
        <rFont val="宋体"/>
        <charset val="134"/>
      </rPr>
      <t>租赁负债</t>
    </r>
    <r>
      <rPr>
        <sz val="10"/>
        <rFont val="Times New Roman"/>
        <charset val="134"/>
      </rPr>
      <t>10</t>
    </r>
  </si>
  <si>
    <r>
      <rPr>
        <sz val="10"/>
        <rFont val="宋体"/>
        <charset val="134"/>
      </rPr>
      <t>租赁负债</t>
    </r>
    <r>
      <rPr>
        <sz val="10"/>
        <rFont val="Times New Roman"/>
        <charset val="134"/>
      </rPr>
      <t>11</t>
    </r>
  </si>
  <si>
    <r>
      <rPr>
        <sz val="10"/>
        <rFont val="宋体"/>
        <charset val="134"/>
      </rPr>
      <t>租赁负债</t>
    </r>
    <r>
      <rPr>
        <sz val="10"/>
        <rFont val="Times New Roman"/>
        <charset val="134"/>
      </rPr>
      <t>12</t>
    </r>
  </si>
  <si>
    <r>
      <rPr>
        <sz val="10"/>
        <rFont val="宋体"/>
        <charset val="134"/>
      </rPr>
      <t>租赁负债</t>
    </r>
    <r>
      <rPr>
        <sz val="10"/>
        <rFont val="Times New Roman"/>
        <charset val="134"/>
      </rPr>
      <t>13</t>
    </r>
  </si>
  <si>
    <r>
      <rPr>
        <sz val="10"/>
        <rFont val="宋体"/>
        <charset val="134"/>
      </rPr>
      <t>租赁负债</t>
    </r>
    <r>
      <rPr>
        <sz val="10"/>
        <rFont val="Times New Roman"/>
        <charset val="134"/>
      </rPr>
      <t>14</t>
    </r>
  </si>
  <si>
    <r>
      <rPr>
        <sz val="10"/>
        <rFont val="宋体"/>
        <charset val="134"/>
      </rPr>
      <t>租赁负债</t>
    </r>
    <r>
      <rPr>
        <sz val="10"/>
        <rFont val="Times New Roman"/>
        <charset val="134"/>
      </rPr>
      <t>15</t>
    </r>
  </si>
  <si>
    <r>
      <rPr>
        <sz val="10"/>
        <rFont val="宋体"/>
        <charset val="134"/>
      </rPr>
      <t>租赁负债</t>
    </r>
    <r>
      <rPr>
        <sz val="10"/>
        <rFont val="Times New Roman"/>
        <charset val="134"/>
      </rPr>
      <t>16</t>
    </r>
  </si>
  <si>
    <r>
      <rPr>
        <sz val="10"/>
        <rFont val="宋体"/>
        <charset val="134"/>
      </rPr>
      <t>租赁负债</t>
    </r>
    <r>
      <rPr>
        <sz val="10"/>
        <rFont val="Times New Roman"/>
        <charset val="134"/>
      </rPr>
      <t>17</t>
    </r>
  </si>
  <si>
    <r>
      <rPr>
        <sz val="10"/>
        <rFont val="宋体"/>
        <charset val="134"/>
      </rPr>
      <t>租赁负债</t>
    </r>
    <r>
      <rPr>
        <sz val="10"/>
        <rFont val="Times New Roman"/>
        <charset val="134"/>
      </rPr>
      <t>18</t>
    </r>
  </si>
  <si>
    <r>
      <rPr>
        <sz val="10"/>
        <rFont val="宋体"/>
        <charset val="134"/>
      </rPr>
      <t>租赁负债</t>
    </r>
    <r>
      <rPr>
        <sz val="10"/>
        <rFont val="Times New Roman"/>
        <charset val="134"/>
      </rPr>
      <t>19</t>
    </r>
  </si>
  <si>
    <r>
      <rPr>
        <sz val="10"/>
        <rFont val="宋体"/>
        <charset val="134"/>
      </rPr>
      <t>租赁负债</t>
    </r>
    <r>
      <rPr>
        <sz val="10"/>
        <rFont val="Times New Roman"/>
        <charset val="134"/>
      </rPr>
      <t>20</t>
    </r>
  </si>
  <si>
    <r>
      <rPr>
        <b/>
        <sz val="10"/>
        <rFont val="宋体"/>
        <charset val="134"/>
      </rPr>
      <t>合</t>
    </r>
    <r>
      <rPr>
        <b/>
        <sz val="10"/>
        <rFont val="Times New Roman"/>
        <charset val="134"/>
      </rPr>
      <t xml:space="preserve">    </t>
    </r>
    <r>
      <rPr>
        <b/>
        <sz val="10"/>
        <rFont val="宋体"/>
        <charset val="134"/>
      </rPr>
      <t>计</t>
    </r>
  </si>
  <si>
    <r>
      <rPr>
        <sz val="18"/>
        <rFont val="宋体"/>
        <charset val="134"/>
      </rPr>
      <t>长期应付款评估明细表</t>
    </r>
  </si>
  <si>
    <t>初始额</t>
  </si>
  <si>
    <t>利息及汇率净损失</t>
  </si>
  <si>
    <r>
      <rPr>
        <b/>
        <sz val="10"/>
        <rFont val="宋体"/>
        <charset val="134"/>
      </rPr>
      <t>初始额</t>
    </r>
  </si>
  <si>
    <r>
      <rPr>
        <b/>
        <sz val="10"/>
        <rFont val="宋体"/>
        <charset val="134"/>
      </rPr>
      <t>利息及汇率净损失</t>
    </r>
  </si>
  <si>
    <r>
      <rPr>
        <b/>
        <sz val="10"/>
        <color rgb="FFFF0000"/>
        <rFont val="宋体"/>
        <charset val="134"/>
      </rPr>
      <t>初始额</t>
    </r>
  </si>
  <si>
    <r>
      <rPr>
        <b/>
        <sz val="10"/>
        <color rgb="FFFF0000"/>
        <rFont val="宋体"/>
        <charset val="134"/>
      </rPr>
      <t>利息及汇率净损失</t>
    </r>
  </si>
  <si>
    <r>
      <rPr>
        <sz val="10"/>
        <rFont val="宋体"/>
        <charset val="134"/>
      </rPr>
      <t>长期应付款</t>
    </r>
    <r>
      <rPr>
        <sz val="10"/>
        <rFont val="Times New Roman"/>
        <charset val="134"/>
      </rPr>
      <t>01</t>
    </r>
  </si>
  <si>
    <r>
      <rPr>
        <sz val="10"/>
        <rFont val="宋体"/>
        <charset val="134"/>
      </rPr>
      <t>长期应付款</t>
    </r>
    <r>
      <rPr>
        <sz val="10"/>
        <rFont val="Times New Roman"/>
        <charset val="134"/>
      </rPr>
      <t>02</t>
    </r>
  </si>
  <si>
    <r>
      <rPr>
        <sz val="10"/>
        <rFont val="宋体"/>
        <charset val="134"/>
      </rPr>
      <t>长期应付款</t>
    </r>
    <r>
      <rPr>
        <sz val="10"/>
        <rFont val="Times New Roman"/>
        <charset val="134"/>
      </rPr>
      <t>03</t>
    </r>
  </si>
  <si>
    <r>
      <rPr>
        <sz val="10"/>
        <rFont val="宋体"/>
        <charset val="134"/>
      </rPr>
      <t>长期应付款</t>
    </r>
    <r>
      <rPr>
        <sz val="10"/>
        <rFont val="Times New Roman"/>
        <charset val="134"/>
      </rPr>
      <t>04</t>
    </r>
  </si>
  <si>
    <r>
      <rPr>
        <sz val="10"/>
        <rFont val="宋体"/>
        <charset val="134"/>
      </rPr>
      <t>长期应付款</t>
    </r>
    <r>
      <rPr>
        <sz val="10"/>
        <rFont val="Times New Roman"/>
        <charset val="134"/>
      </rPr>
      <t>05</t>
    </r>
  </si>
  <si>
    <r>
      <rPr>
        <sz val="10"/>
        <rFont val="宋体"/>
        <charset val="134"/>
      </rPr>
      <t>长期应付款</t>
    </r>
    <r>
      <rPr>
        <sz val="10"/>
        <rFont val="Times New Roman"/>
        <charset val="134"/>
      </rPr>
      <t>06</t>
    </r>
  </si>
  <si>
    <r>
      <rPr>
        <sz val="10"/>
        <rFont val="宋体"/>
        <charset val="134"/>
      </rPr>
      <t>长期应付款</t>
    </r>
    <r>
      <rPr>
        <sz val="10"/>
        <rFont val="Times New Roman"/>
        <charset val="134"/>
      </rPr>
      <t>07</t>
    </r>
  </si>
  <si>
    <r>
      <rPr>
        <sz val="10"/>
        <rFont val="宋体"/>
        <charset val="134"/>
      </rPr>
      <t>长期应付款</t>
    </r>
    <r>
      <rPr>
        <sz val="10"/>
        <rFont val="Times New Roman"/>
        <charset val="134"/>
      </rPr>
      <t>08</t>
    </r>
  </si>
  <si>
    <r>
      <rPr>
        <sz val="10"/>
        <rFont val="宋体"/>
        <charset val="134"/>
      </rPr>
      <t>长期应付款</t>
    </r>
    <r>
      <rPr>
        <sz val="10"/>
        <rFont val="Times New Roman"/>
        <charset val="134"/>
      </rPr>
      <t>09</t>
    </r>
  </si>
  <si>
    <r>
      <rPr>
        <sz val="10"/>
        <rFont val="宋体"/>
        <charset val="134"/>
      </rPr>
      <t>长期应付款</t>
    </r>
    <r>
      <rPr>
        <sz val="10"/>
        <rFont val="Times New Roman"/>
        <charset val="134"/>
      </rPr>
      <t>10</t>
    </r>
  </si>
  <si>
    <r>
      <rPr>
        <sz val="10"/>
        <rFont val="宋体"/>
        <charset val="134"/>
      </rPr>
      <t>长期应付款</t>
    </r>
    <r>
      <rPr>
        <sz val="10"/>
        <rFont val="Times New Roman"/>
        <charset val="134"/>
      </rPr>
      <t>11</t>
    </r>
  </si>
  <si>
    <r>
      <rPr>
        <sz val="10"/>
        <rFont val="宋体"/>
        <charset val="134"/>
      </rPr>
      <t>长期应付款</t>
    </r>
    <r>
      <rPr>
        <sz val="10"/>
        <rFont val="Times New Roman"/>
        <charset val="134"/>
      </rPr>
      <t>12</t>
    </r>
  </si>
  <si>
    <r>
      <rPr>
        <sz val="10"/>
        <rFont val="宋体"/>
        <charset val="134"/>
      </rPr>
      <t>长期应付款</t>
    </r>
    <r>
      <rPr>
        <sz val="10"/>
        <rFont val="Times New Roman"/>
        <charset val="134"/>
      </rPr>
      <t>13</t>
    </r>
  </si>
  <si>
    <r>
      <rPr>
        <sz val="10"/>
        <rFont val="宋体"/>
        <charset val="134"/>
      </rPr>
      <t>长期应付款</t>
    </r>
    <r>
      <rPr>
        <sz val="10"/>
        <rFont val="Times New Roman"/>
        <charset val="134"/>
      </rPr>
      <t>14</t>
    </r>
  </si>
  <si>
    <r>
      <rPr>
        <sz val="10"/>
        <rFont val="宋体"/>
        <charset val="134"/>
      </rPr>
      <t>长期应付款</t>
    </r>
    <r>
      <rPr>
        <sz val="10"/>
        <rFont val="Times New Roman"/>
        <charset val="134"/>
      </rPr>
      <t>15</t>
    </r>
  </si>
  <si>
    <r>
      <rPr>
        <sz val="10"/>
        <rFont val="宋体"/>
        <charset val="134"/>
      </rPr>
      <t>长期应付款</t>
    </r>
    <r>
      <rPr>
        <sz val="10"/>
        <rFont val="Times New Roman"/>
        <charset val="134"/>
      </rPr>
      <t>16</t>
    </r>
  </si>
  <si>
    <r>
      <rPr>
        <sz val="10"/>
        <rFont val="宋体"/>
        <charset val="134"/>
      </rPr>
      <t>长期应付款</t>
    </r>
    <r>
      <rPr>
        <sz val="10"/>
        <rFont val="Times New Roman"/>
        <charset val="134"/>
      </rPr>
      <t>17</t>
    </r>
  </si>
  <si>
    <r>
      <rPr>
        <sz val="10"/>
        <rFont val="宋体"/>
        <charset val="134"/>
      </rPr>
      <t>长期应付款</t>
    </r>
    <r>
      <rPr>
        <sz val="10"/>
        <rFont val="Times New Roman"/>
        <charset val="134"/>
      </rPr>
      <t>18</t>
    </r>
  </si>
  <si>
    <r>
      <rPr>
        <sz val="10"/>
        <rFont val="宋体"/>
        <charset val="134"/>
      </rPr>
      <t>长期应付款</t>
    </r>
    <r>
      <rPr>
        <sz val="10"/>
        <rFont val="Times New Roman"/>
        <charset val="134"/>
      </rPr>
      <t>19</t>
    </r>
  </si>
  <si>
    <r>
      <rPr>
        <sz val="10"/>
        <rFont val="宋体"/>
        <charset val="134"/>
      </rPr>
      <t>长期应付款</t>
    </r>
    <r>
      <rPr>
        <sz val="10"/>
        <rFont val="Times New Roman"/>
        <charset val="134"/>
      </rPr>
      <t>20</t>
    </r>
  </si>
  <si>
    <r>
      <rPr>
        <sz val="18"/>
        <rFont val="宋体"/>
        <charset val="134"/>
      </rPr>
      <t>预计负债评估明细表</t>
    </r>
  </si>
  <si>
    <r>
      <rPr>
        <b/>
        <sz val="10"/>
        <rFont val="宋体"/>
        <charset val="134"/>
      </rPr>
      <t>核算内容</t>
    </r>
  </si>
  <si>
    <r>
      <rPr>
        <sz val="10"/>
        <rFont val="宋体"/>
        <charset val="134"/>
      </rPr>
      <t>预计负债</t>
    </r>
    <r>
      <rPr>
        <sz val="10"/>
        <rFont val="Times New Roman"/>
        <charset val="134"/>
      </rPr>
      <t>01</t>
    </r>
  </si>
  <si>
    <r>
      <rPr>
        <sz val="10"/>
        <rFont val="宋体"/>
        <charset val="134"/>
      </rPr>
      <t>预计负债</t>
    </r>
    <r>
      <rPr>
        <sz val="10"/>
        <rFont val="Times New Roman"/>
        <charset val="134"/>
      </rPr>
      <t>02</t>
    </r>
  </si>
  <si>
    <r>
      <rPr>
        <sz val="10"/>
        <rFont val="宋体"/>
        <charset val="134"/>
      </rPr>
      <t>预计负债</t>
    </r>
    <r>
      <rPr>
        <sz val="10"/>
        <rFont val="Times New Roman"/>
        <charset val="134"/>
      </rPr>
      <t>03</t>
    </r>
  </si>
  <si>
    <r>
      <rPr>
        <sz val="10"/>
        <rFont val="宋体"/>
        <charset val="134"/>
      </rPr>
      <t>预计负债</t>
    </r>
    <r>
      <rPr>
        <sz val="10"/>
        <rFont val="Times New Roman"/>
        <charset val="134"/>
      </rPr>
      <t>04</t>
    </r>
  </si>
  <si>
    <r>
      <rPr>
        <sz val="10"/>
        <rFont val="宋体"/>
        <charset val="134"/>
      </rPr>
      <t>预计负债</t>
    </r>
    <r>
      <rPr>
        <sz val="10"/>
        <rFont val="Times New Roman"/>
        <charset val="134"/>
      </rPr>
      <t>05</t>
    </r>
  </si>
  <si>
    <r>
      <rPr>
        <sz val="10"/>
        <rFont val="宋体"/>
        <charset val="134"/>
      </rPr>
      <t>预计负债</t>
    </r>
    <r>
      <rPr>
        <sz val="10"/>
        <rFont val="Times New Roman"/>
        <charset val="134"/>
      </rPr>
      <t>06</t>
    </r>
  </si>
  <si>
    <r>
      <rPr>
        <sz val="10"/>
        <rFont val="宋体"/>
        <charset val="134"/>
      </rPr>
      <t>预计负债</t>
    </r>
    <r>
      <rPr>
        <sz val="10"/>
        <rFont val="Times New Roman"/>
        <charset val="134"/>
      </rPr>
      <t>07</t>
    </r>
  </si>
  <si>
    <r>
      <rPr>
        <sz val="10"/>
        <rFont val="宋体"/>
        <charset val="134"/>
      </rPr>
      <t>预计负债</t>
    </r>
    <r>
      <rPr>
        <sz val="10"/>
        <rFont val="Times New Roman"/>
        <charset val="134"/>
      </rPr>
      <t>08</t>
    </r>
  </si>
  <si>
    <r>
      <rPr>
        <sz val="10"/>
        <rFont val="宋体"/>
        <charset val="134"/>
      </rPr>
      <t>预计负债</t>
    </r>
    <r>
      <rPr>
        <sz val="10"/>
        <rFont val="Times New Roman"/>
        <charset val="134"/>
      </rPr>
      <t>09</t>
    </r>
  </si>
  <si>
    <r>
      <rPr>
        <sz val="10"/>
        <rFont val="宋体"/>
        <charset val="134"/>
      </rPr>
      <t>预计负债</t>
    </r>
    <r>
      <rPr>
        <sz val="10"/>
        <rFont val="Times New Roman"/>
        <charset val="134"/>
      </rPr>
      <t>10</t>
    </r>
  </si>
  <si>
    <r>
      <rPr>
        <sz val="10"/>
        <rFont val="宋体"/>
        <charset val="134"/>
      </rPr>
      <t>预计负债</t>
    </r>
    <r>
      <rPr>
        <sz val="10"/>
        <rFont val="Times New Roman"/>
        <charset val="134"/>
      </rPr>
      <t>11</t>
    </r>
  </si>
  <si>
    <r>
      <rPr>
        <sz val="10"/>
        <rFont val="宋体"/>
        <charset val="134"/>
      </rPr>
      <t>预计负债</t>
    </r>
    <r>
      <rPr>
        <sz val="10"/>
        <rFont val="Times New Roman"/>
        <charset val="134"/>
      </rPr>
      <t>12</t>
    </r>
  </si>
  <si>
    <r>
      <rPr>
        <sz val="10"/>
        <rFont val="宋体"/>
        <charset val="134"/>
      </rPr>
      <t>预计负债</t>
    </r>
    <r>
      <rPr>
        <sz val="10"/>
        <rFont val="Times New Roman"/>
        <charset val="134"/>
      </rPr>
      <t>13</t>
    </r>
  </si>
  <si>
    <r>
      <rPr>
        <sz val="10"/>
        <rFont val="宋体"/>
        <charset val="134"/>
      </rPr>
      <t>预计负债</t>
    </r>
    <r>
      <rPr>
        <sz val="10"/>
        <rFont val="Times New Roman"/>
        <charset val="134"/>
      </rPr>
      <t>14</t>
    </r>
  </si>
  <si>
    <r>
      <rPr>
        <sz val="10"/>
        <rFont val="宋体"/>
        <charset val="134"/>
      </rPr>
      <t>预计负债</t>
    </r>
    <r>
      <rPr>
        <sz val="10"/>
        <rFont val="Times New Roman"/>
        <charset val="134"/>
      </rPr>
      <t>15</t>
    </r>
  </si>
  <si>
    <r>
      <rPr>
        <sz val="10"/>
        <rFont val="宋体"/>
        <charset val="134"/>
      </rPr>
      <t>预计负债</t>
    </r>
    <r>
      <rPr>
        <sz val="10"/>
        <rFont val="Times New Roman"/>
        <charset val="134"/>
      </rPr>
      <t>16</t>
    </r>
  </si>
  <si>
    <r>
      <rPr>
        <sz val="10"/>
        <rFont val="宋体"/>
        <charset val="134"/>
      </rPr>
      <t>预计负债</t>
    </r>
    <r>
      <rPr>
        <sz val="10"/>
        <rFont val="Times New Roman"/>
        <charset val="134"/>
      </rPr>
      <t>17</t>
    </r>
  </si>
  <si>
    <r>
      <rPr>
        <sz val="10"/>
        <rFont val="宋体"/>
        <charset val="134"/>
      </rPr>
      <t>预计负债</t>
    </r>
    <r>
      <rPr>
        <sz val="10"/>
        <rFont val="Times New Roman"/>
        <charset val="134"/>
      </rPr>
      <t>18</t>
    </r>
  </si>
  <si>
    <r>
      <rPr>
        <sz val="10"/>
        <rFont val="宋体"/>
        <charset val="134"/>
      </rPr>
      <t>预计负债</t>
    </r>
    <r>
      <rPr>
        <sz val="10"/>
        <rFont val="Times New Roman"/>
        <charset val="134"/>
      </rPr>
      <t>19</t>
    </r>
  </si>
  <si>
    <r>
      <rPr>
        <sz val="10"/>
        <rFont val="宋体"/>
        <charset val="134"/>
      </rPr>
      <t>预计负债</t>
    </r>
    <r>
      <rPr>
        <sz val="10"/>
        <rFont val="Times New Roman"/>
        <charset val="134"/>
      </rPr>
      <t>20</t>
    </r>
  </si>
  <si>
    <r>
      <rPr>
        <sz val="18"/>
        <rFont val="宋体"/>
        <charset val="134"/>
      </rPr>
      <t>递延收益评估明细表</t>
    </r>
  </si>
  <si>
    <r>
      <rPr>
        <b/>
        <sz val="10"/>
        <rFont val="宋体"/>
        <charset val="134"/>
      </rPr>
      <t>户名（或结算对象）</t>
    </r>
  </si>
  <si>
    <r>
      <rPr>
        <b/>
        <sz val="10"/>
        <rFont val="宋体"/>
        <charset val="134"/>
      </rPr>
      <t>款项内容</t>
    </r>
  </si>
  <si>
    <r>
      <rPr>
        <b/>
        <sz val="10"/>
        <rFont val="宋体"/>
        <charset val="134"/>
      </rPr>
      <t>项目是否已完成</t>
    </r>
  </si>
  <si>
    <r>
      <rPr>
        <b/>
        <sz val="10"/>
        <rFont val="宋体"/>
        <charset val="134"/>
      </rPr>
      <t>是否需要交纳所得税</t>
    </r>
  </si>
  <si>
    <r>
      <rPr>
        <b/>
        <sz val="10"/>
        <rFont val="宋体"/>
        <charset val="134"/>
      </rPr>
      <t>所得税率</t>
    </r>
  </si>
  <si>
    <r>
      <rPr>
        <sz val="10"/>
        <rFont val="宋体"/>
        <charset val="134"/>
      </rPr>
      <t>递延收益</t>
    </r>
    <r>
      <rPr>
        <sz val="10"/>
        <rFont val="Times New Roman"/>
        <charset val="134"/>
      </rPr>
      <t>01</t>
    </r>
  </si>
  <si>
    <r>
      <rPr>
        <sz val="10"/>
        <rFont val="宋体"/>
        <charset val="134"/>
      </rPr>
      <t>递延收益</t>
    </r>
    <r>
      <rPr>
        <sz val="10"/>
        <rFont val="Times New Roman"/>
        <charset val="134"/>
      </rPr>
      <t>02</t>
    </r>
  </si>
  <si>
    <r>
      <rPr>
        <sz val="10"/>
        <rFont val="宋体"/>
        <charset val="134"/>
      </rPr>
      <t>递延收益</t>
    </r>
    <r>
      <rPr>
        <sz val="10"/>
        <rFont val="Times New Roman"/>
        <charset val="134"/>
      </rPr>
      <t>03</t>
    </r>
  </si>
  <si>
    <r>
      <rPr>
        <sz val="10"/>
        <rFont val="宋体"/>
        <charset val="134"/>
      </rPr>
      <t>递延收益</t>
    </r>
    <r>
      <rPr>
        <sz val="10"/>
        <rFont val="Times New Roman"/>
        <charset val="134"/>
      </rPr>
      <t>04</t>
    </r>
  </si>
  <si>
    <r>
      <rPr>
        <sz val="10"/>
        <rFont val="宋体"/>
        <charset val="134"/>
      </rPr>
      <t>递延收益</t>
    </r>
    <r>
      <rPr>
        <sz val="10"/>
        <rFont val="Times New Roman"/>
        <charset val="134"/>
      </rPr>
      <t>05</t>
    </r>
  </si>
  <si>
    <r>
      <rPr>
        <sz val="10"/>
        <rFont val="宋体"/>
        <charset val="134"/>
      </rPr>
      <t>递延收益</t>
    </r>
    <r>
      <rPr>
        <sz val="10"/>
        <rFont val="Times New Roman"/>
        <charset val="134"/>
      </rPr>
      <t>06</t>
    </r>
  </si>
  <si>
    <r>
      <rPr>
        <sz val="10"/>
        <rFont val="宋体"/>
        <charset val="134"/>
      </rPr>
      <t>递延收益</t>
    </r>
    <r>
      <rPr>
        <sz val="10"/>
        <rFont val="Times New Roman"/>
        <charset val="134"/>
      </rPr>
      <t>07</t>
    </r>
  </si>
  <si>
    <r>
      <rPr>
        <sz val="10"/>
        <rFont val="宋体"/>
        <charset val="134"/>
      </rPr>
      <t>递延收益</t>
    </r>
    <r>
      <rPr>
        <sz val="10"/>
        <rFont val="Times New Roman"/>
        <charset val="134"/>
      </rPr>
      <t>08</t>
    </r>
  </si>
  <si>
    <r>
      <rPr>
        <sz val="10"/>
        <rFont val="宋体"/>
        <charset val="134"/>
      </rPr>
      <t>递延收益</t>
    </r>
    <r>
      <rPr>
        <sz val="10"/>
        <rFont val="Times New Roman"/>
        <charset val="134"/>
      </rPr>
      <t>09</t>
    </r>
  </si>
  <si>
    <r>
      <rPr>
        <sz val="10"/>
        <rFont val="宋体"/>
        <charset val="134"/>
      </rPr>
      <t>递延收益</t>
    </r>
    <r>
      <rPr>
        <sz val="10"/>
        <rFont val="Times New Roman"/>
        <charset val="134"/>
      </rPr>
      <t>10</t>
    </r>
  </si>
  <si>
    <r>
      <rPr>
        <sz val="10"/>
        <rFont val="宋体"/>
        <charset val="134"/>
      </rPr>
      <t>递延收益</t>
    </r>
    <r>
      <rPr>
        <sz val="10"/>
        <rFont val="Times New Roman"/>
        <charset val="134"/>
      </rPr>
      <t>11</t>
    </r>
  </si>
  <si>
    <r>
      <rPr>
        <sz val="10"/>
        <rFont val="宋体"/>
        <charset val="134"/>
      </rPr>
      <t>递延收益</t>
    </r>
    <r>
      <rPr>
        <sz val="10"/>
        <rFont val="Times New Roman"/>
        <charset val="134"/>
      </rPr>
      <t>12</t>
    </r>
  </si>
  <si>
    <r>
      <rPr>
        <sz val="10"/>
        <rFont val="宋体"/>
        <charset val="134"/>
      </rPr>
      <t>递延收益</t>
    </r>
    <r>
      <rPr>
        <sz val="10"/>
        <rFont val="Times New Roman"/>
        <charset val="134"/>
      </rPr>
      <t>13</t>
    </r>
  </si>
  <si>
    <r>
      <rPr>
        <sz val="10"/>
        <rFont val="宋体"/>
        <charset val="134"/>
      </rPr>
      <t>递延收益</t>
    </r>
    <r>
      <rPr>
        <sz val="10"/>
        <rFont val="Times New Roman"/>
        <charset val="134"/>
      </rPr>
      <t>14</t>
    </r>
  </si>
  <si>
    <r>
      <rPr>
        <sz val="10"/>
        <rFont val="宋体"/>
        <charset val="134"/>
      </rPr>
      <t>递延收益</t>
    </r>
    <r>
      <rPr>
        <sz val="10"/>
        <rFont val="Times New Roman"/>
        <charset val="134"/>
      </rPr>
      <t>15</t>
    </r>
  </si>
  <si>
    <r>
      <rPr>
        <sz val="10"/>
        <rFont val="宋体"/>
        <charset val="134"/>
      </rPr>
      <t>递延收益</t>
    </r>
    <r>
      <rPr>
        <sz val="10"/>
        <rFont val="Times New Roman"/>
        <charset val="134"/>
      </rPr>
      <t>16</t>
    </r>
  </si>
  <si>
    <r>
      <rPr>
        <sz val="10"/>
        <rFont val="宋体"/>
        <charset val="134"/>
      </rPr>
      <t>递延收益</t>
    </r>
    <r>
      <rPr>
        <sz val="10"/>
        <rFont val="Times New Roman"/>
        <charset val="134"/>
      </rPr>
      <t>17</t>
    </r>
  </si>
  <si>
    <r>
      <rPr>
        <sz val="10"/>
        <rFont val="宋体"/>
        <charset val="134"/>
      </rPr>
      <t>递延收益</t>
    </r>
    <r>
      <rPr>
        <sz val="10"/>
        <rFont val="Times New Roman"/>
        <charset val="134"/>
      </rPr>
      <t>18</t>
    </r>
  </si>
  <si>
    <r>
      <rPr>
        <sz val="10"/>
        <rFont val="宋体"/>
        <charset val="134"/>
      </rPr>
      <t>递延收益</t>
    </r>
    <r>
      <rPr>
        <sz val="10"/>
        <rFont val="Times New Roman"/>
        <charset val="134"/>
      </rPr>
      <t>19</t>
    </r>
  </si>
  <si>
    <r>
      <rPr>
        <sz val="10"/>
        <rFont val="宋体"/>
        <charset val="134"/>
      </rPr>
      <t>递延收益</t>
    </r>
    <r>
      <rPr>
        <sz val="10"/>
        <rFont val="Times New Roman"/>
        <charset val="134"/>
      </rPr>
      <t>20</t>
    </r>
  </si>
  <si>
    <r>
      <rPr>
        <sz val="18"/>
        <rFont val="宋体"/>
        <charset val="134"/>
      </rPr>
      <t>递延所得税负债评估明细表</t>
    </r>
  </si>
  <si>
    <r>
      <rPr>
        <b/>
        <sz val="10"/>
        <rFont val="宋体"/>
        <charset val="134"/>
      </rPr>
      <t>内容</t>
    </r>
  </si>
  <si>
    <t>原始入账金额</t>
  </si>
  <si>
    <t>基准日评估值</t>
  </si>
  <si>
    <t>所得税税率</t>
  </si>
  <si>
    <r>
      <rPr>
        <sz val="10"/>
        <rFont val="宋体"/>
        <charset val="134"/>
      </rPr>
      <t>递延所得税负债</t>
    </r>
    <r>
      <rPr>
        <sz val="10"/>
        <rFont val="Times New Roman"/>
        <charset val="134"/>
      </rPr>
      <t>01</t>
    </r>
  </si>
  <si>
    <r>
      <rPr>
        <sz val="10"/>
        <rFont val="宋体"/>
        <charset val="134"/>
      </rPr>
      <t>递延所得税负债</t>
    </r>
    <r>
      <rPr>
        <sz val="10"/>
        <rFont val="Times New Roman"/>
        <charset val="134"/>
      </rPr>
      <t>02</t>
    </r>
  </si>
  <si>
    <r>
      <rPr>
        <sz val="10"/>
        <rFont val="宋体"/>
        <charset val="134"/>
      </rPr>
      <t>递延所得税负债</t>
    </r>
    <r>
      <rPr>
        <sz val="10"/>
        <rFont val="Times New Roman"/>
        <charset val="134"/>
      </rPr>
      <t>03</t>
    </r>
  </si>
  <si>
    <r>
      <rPr>
        <sz val="10"/>
        <rFont val="宋体"/>
        <charset val="134"/>
      </rPr>
      <t>递延所得税负债</t>
    </r>
    <r>
      <rPr>
        <sz val="10"/>
        <rFont val="Times New Roman"/>
        <charset val="134"/>
      </rPr>
      <t>04</t>
    </r>
  </si>
  <si>
    <r>
      <rPr>
        <sz val="10"/>
        <rFont val="宋体"/>
        <charset val="134"/>
      </rPr>
      <t>递延所得税负债</t>
    </r>
    <r>
      <rPr>
        <sz val="10"/>
        <rFont val="Times New Roman"/>
        <charset val="134"/>
      </rPr>
      <t>05</t>
    </r>
  </si>
  <si>
    <r>
      <rPr>
        <sz val="10"/>
        <rFont val="宋体"/>
        <charset val="134"/>
      </rPr>
      <t>递延所得税负债</t>
    </r>
    <r>
      <rPr>
        <sz val="10"/>
        <rFont val="Times New Roman"/>
        <charset val="134"/>
      </rPr>
      <t>06</t>
    </r>
  </si>
  <si>
    <r>
      <rPr>
        <sz val="10"/>
        <rFont val="宋体"/>
        <charset val="134"/>
      </rPr>
      <t>递延所得税负债</t>
    </r>
    <r>
      <rPr>
        <sz val="10"/>
        <rFont val="Times New Roman"/>
        <charset val="134"/>
      </rPr>
      <t>07</t>
    </r>
  </si>
  <si>
    <r>
      <rPr>
        <sz val="10"/>
        <rFont val="宋体"/>
        <charset val="134"/>
      </rPr>
      <t>递延所得税负债</t>
    </r>
    <r>
      <rPr>
        <sz val="10"/>
        <rFont val="Times New Roman"/>
        <charset val="134"/>
      </rPr>
      <t>08</t>
    </r>
  </si>
  <si>
    <r>
      <rPr>
        <sz val="10"/>
        <rFont val="宋体"/>
        <charset val="134"/>
      </rPr>
      <t>递延所得税负债</t>
    </r>
    <r>
      <rPr>
        <sz val="10"/>
        <rFont val="Times New Roman"/>
        <charset val="134"/>
      </rPr>
      <t>09</t>
    </r>
  </si>
  <si>
    <r>
      <rPr>
        <sz val="10"/>
        <rFont val="宋体"/>
        <charset val="134"/>
      </rPr>
      <t>递延所得税负债</t>
    </r>
    <r>
      <rPr>
        <sz val="10"/>
        <rFont val="Times New Roman"/>
        <charset val="134"/>
      </rPr>
      <t>10</t>
    </r>
  </si>
  <si>
    <r>
      <rPr>
        <sz val="10"/>
        <rFont val="宋体"/>
        <charset val="134"/>
      </rPr>
      <t>递延所得税负债</t>
    </r>
    <r>
      <rPr>
        <sz val="10"/>
        <rFont val="Times New Roman"/>
        <charset val="134"/>
      </rPr>
      <t>11</t>
    </r>
  </si>
  <si>
    <r>
      <rPr>
        <sz val="10"/>
        <rFont val="宋体"/>
        <charset val="134"/>
      </rPr>
      <t>递延所得税负债</t>
    </r>
    <r>
      <rPr>
        <sz val="10"/>
        <rFont val="Times New Roman"/>
        <charset val="134"/>
      </rPr>
      <t>12</t>
    </r>
  </si>
  <si>
    <r>
      <rPr>
        <sz val="10"/>
        <rFont val="宋体"/>
        <charset val="134"/>
      </rPr>
      <t>递延所得税负债</t>
    </r>
    <r>
      <rPr>
        <sz val="10"/>
        <rFont val="Times New Roman"/>
        <charset val="134"/>
      </rPr>
      <t>13</t>
    </r>
  </si>
  <si>
    <r>
      <rPr>
        <sz val="10"/>
        <rFont val="宋体"/>
        <charset val="134"/>
      </rPr>
      <t>递延所得税负债</t>
    </r>
    <r>
      <rPr>
        <sz val="10"/>
        <rFont val="Times New Roman"/>
        <charset val="134"/>
      </rPr>
      <t>14</t>
    </r>
  </si>
  <si>
    <r>
      <rPr>
        <sz val="10"/>
        <rFont val="宋体"/>
        <charset val="134"/>
      </rPr>
      <t>递延所得税负债</t>
    </r>
    <r>
      <rPr>
        <sz val="10"/>
        <rFont val="Times New Roman"/>
        <charset val="134"/>
      </rPr>
      <t>15</t>
    </r>
  </si>
  <si>
    <r>
      <rPr>
        <sz val="10"/>
        <rFont val="宋体"/>
        <charset val="134"/>
      </rPr>
      <t>递延所得税负债</t>
    </r>
    <r>
      <rPr>
        <sz val="10"/>
        <rFont val="Times New Roman"/>
        <charset val="134"/>
      </rPr>
      <t>16</t>
    </r>
  </si>
  <si>
    <r>
      <rPr>
        <sz val="10"/>
        <rFont val="宋体"/>
        <charset val="134"/>
      </rPr>
      <t>递延所得税负债</t>
    </r>
    <r>
      <rPr>
        <sz val="10"/>
        <rFont val="Times New Roman"/>
        <charset val="134"/>
      </rPr>
      <t>17</t>
    </r>
  </si>
  <si>
    <r>
      <rPr>
        <sz val="10"/>
        <rFont val="宋体"/>
        <charset val="134"/>
      </rPr>
      <t>递延所得税负债</t>
    </r>
    <r>
      <rPr>
        <sz val="10"/>
        <rFont val="Times New Roman"/>
        <charset val="134"/>
      </rPr>
      <t>18</t>
    </r>
  </si>
  <si>
    <r>
      <rPr>
        <sz val="10"/>
        <rFont val="宋体"/>
        <charset val="134"/>
      </rPr>
      <t>递延所得税负债</t>
    </r>
    <r>
      <rPr>
        <sz val="10"/>
        <rFont val="Times New Roman"/>
        <charset val="134"/>
      </rPr>
      <t>19</t>
    </r>
  </si>
  <si>
    <r>
      <rPr>
        <sz val="10"/>
        <rFont val="宋体"/>
        <charset val="134"/>
      </rPr>
      <t>递延所得税负债</t>
    </r>
    <r>
      <rPr>
        <sz val="10"/>
        <rFont val="Times New Roman"/>
        <charset val="134"/>
      </rPr>
      <t>20</t>
    </r>
  </si>
  <si>
    <r>
      <rPr>
        <sz val="18"/>
        <rFont val="宋体"/>
        <charset val="134"/>
      </rPr>
      <t>其他非流动负债评估明细表</t>
    </r>
  </si>
  <si>
    <r>
      <rPr>
        <sz val="10"/>
        <rFont val="宋体"/>
        <charset val="134"/>
      </rPr>
      <t>其他非流动负债</t>
    </r>
    <r>
      <rPr>
        <sz val="10"/>
        <rFont val="Times New Roman"/>
        <charset val="134"/>
      </rPr>
      <t>01</t>
    </r>
  </si>
  <si>
    <r>
      <rPr>
        <sz val="10"/>
        <rFont val="宋体"/>
        <charset val="134"/>
      </rPr>
      <t>其他非流动负债</t>
    </r>
    <r>
      <rPr>
        <sz val="10"/>
        <rFont val="Times New Roman"/>
        <charset val="134"/>
      </rPr>
      <t>02</t>
    </r>
  </si>
  <si>
    <r>
      <rPr>
        <sz val="10"/>
        <rFont val="宋体"/>
        <charset val="134"/>
      </rPr>
      <t>其他非流动负债</t>
    </r>
    <r>
      <rPr>
        <sz val="10"/>
        <rFont val="Times New Roman"/>
        <charset val="134"/>
      </rPr>
      <t>03</t>
    </r>
  </si>
  <si>
    <r>
      <rPr>
        <sz val="10"/>
        <rFont val="宋体"/>
        <charset val="134"/>
      </rPr>
      <t>其他非流动负债</t>
    </r>
    <r>
      <rPr>
        <sz val="10"/>
        <rFont val="Times New Roman"/>
        <charset val="134"/>
      </rPr>
      <t>04</t>
    </r>
  </si>
  <si>
    <r>
      <rPr>
        <sz val="10"/>
        <rFont val="宋体"/>
        <charset val="134"/>
      </rPr>
      <t>其他非流动负债</t>
    </r>
    <r>
      <rPr>
        <sz val="10"/>
        <rFont val="Times New Roman"/>
        <charset val="134"/>
      </rPr>
      <t>05</t>
    </r>
  </si>
  <si>
    <r>
      <rPr>
        <sz val="10"/>
        <rFont val="宋体"/>
        <charset val="134"/>
      </rPr>
      <t>其他非流动负债</t>
    </r>
    <r>
      <rPr>
        <sz val="10"/>
        <rFont val="Times New Roman"/>
        <charset val="134"/>
      </rPr>
      <t>06</t>
    </r>
  </si>
  <si>
    <r>
      <rPr>
        <sz val="10"/>
        <rFont val="宋体"/>
        <charset val="134"/>
      </rPr>
      <t>其他非流动负债</t>
    </r>
    <r>
      <rPr>
        <sz val="10"/>
        <rFont val="Times New Roman"/>
        <charset val="134"/>
      </rPr>
      <t>07</t>
    </r>
  </si>
  <si>
    <r>
      <rPr>
        <sz val="10"/>
        <rFont val="宋体"/>
        <charset val="134"/>
      </rPr>
      <t>其他非流动负债</t>
    </r>
    <r>
      <rPr>
        <sz val="10"/>
        <rFont val="Times New Roman"/>
        <charset val="134"/>
      </rPr>
      <t>08</t>
    </r>
  </si>
  <si>
    <r>
      <rPr>
        <sz val="10"/>
        <rFont val="宋体"/>
        <charset val="134"/>
      </rPr>
      <t>其他非流动负债</t>
    </r>
    <r>
      <rPr>
        <sz val="10"/>
        <rFont val="Times New Roman"/>
        <charset val="134"/>
      </rPr>
      <t>09</t>
    </r>
  </si>
  <si>
    <r>
      <rPr>
        <sz val="10"/>
        <rFont val="宋体"/>
        <charset val="134"/>
      </rPr>
      <t>其他非流动负债</t>
    </r>
    <r>
      <rPr>
        <sz val="10"/>
        <rFont val="Times New Roman"/>
        <charset val="134"/>
      </rPr>
      <t>10</t>
    </r>
  </si>
  <si>
    <r>
      <rPr>
        <sz val="10"/>
        <rFont val="宋体"/>
        <charset val="134"/>
      </rPr>
      <t>其他非流动负债</t>
    </r>
    <r>
      <rPr>
        <sz val="10"/>
        <rFont val="Times New Roman"/>
        <charset val="134"/>
      </rPr>
      <t>11</t>
    </r>
  </si>
  <si>
    <r>
      <rPr>
        <sz val="10"/>
        <rFont val="宋体"/>
        <charset val="134"/>
      </rPr>
      <t>其他非流动负债</t>
    </r>
    <r>
      <rPr>
        <sz val="10"/>
        <rFont val="Times New Roman"/>
        <charset val="134"/>
      </rPr>
      <t>12</t>
    </r>
  </si>
  <si>
    <r>
      <rPr>
        <sz val="10"/>
        <rFont val="宋体"/>
        <charset val="134"/>
      </rPr>
      <t>其他非流动负债</t>
    </r>
    <r>
      <rPr>
        <sz val="10"/>
        <rFont val="Times New Roman"/>
        <charset val="134"/>
      </rPr>
      <t>13</t>
    </r>
  </si>
  <si>
    <r>
      <rPr>
        <sz val="10"/>
        <rFont val="宋体"/>
        <charset val="134"/>
      </rPr>
      <t>其他非流动负债</t>
    </r>
    <r>
      <rPr>
        <sz val="10"/>
        <rFont val="Times New Roman"/>
        <charset val="134"/>
      </rPr>
      <t>14</t>
    </r>
  </si>
  <si>
    <r>
      <rPr>
        <sz val="10"/>
        <rFont val="宋体"/>
        <charset val="134"/>
      </rPr>
      <t>其他非流动负债</t>
    </r>
    <r>
      <rPr>
        <sz val="10"/>
        <rFont val="Times New Roman"/>
        <charset val="134"/>
      </rPr>
      <t>15</t>
    </r>
  </si>
  <si>
    <r>
      <rPr>
        <sz val="10"/>
        <rFont val="宋体"/>
        <charset val="134"/>
      </rPr>
      <t>其他非流动负债</t>
    </r>
    <r>
      <rPr>
        <sz val="10"/>
        <rFont val="Times New Roman"/>
        <charset val="134"/>
      </rPr>
      <t>16</t>
    </r>
  </si>
  <si>
    <r>
      <rPr>
        <sz val="10"/>
        <rFont val="宋体"/>
        <charset val="134"/>
      </rPr>
      <t>其他非流动负债</t>
    </r>
    <r>
      <rPr>
        <sz val="10"/>
        <rFont val="Times New Roman"/>
        <charset val="134"/>
      </rPr>
      <t>17</t>
    </r>
  </si>
  <si>
    <r>
      <rPr>
        <sz val="10"/>
        <rFont val="宋体"/>
        <charset val="134"/>
      </rPr>
      <t>其他非流动负债</t>
    </r>
    <r>
      <rPr>
        <sz val="10"/>
        <rFont val="Times New Roman"/>
        <charset val="134"/>
      </rPr>
      <t>18</t>
    </r>
  </si>
  <si>
    <r>
      <rPr>
        <sz val="10"/>
        <rFont val="宋体"/>
        <charset val="134"/>
      </rPr>
      <t>其他非流动负债</t>
    </r>
    <r>
      <rPr>
        <sz val="10"/>
        <rFont val="Times New Roman"/>
        <charset val="134"/>
      </rPr>
      <t>19</t>
    </r>
  </si>
  <si>
    <r>
      <rPr>
        <sz val="10"/>
        <rFont val="宋体"/>
        <charset val="134"/>
      </rPr>
      <t>其他非流动负债</t>
    </r>
    <r>
      <rPr>
        <sz val="10"/>
        <rFont val="Times New Roman"/>
        <charset val="134"/>
      </rPr>
      <t>20</t>
    </r>
  </si>
  <si>
    <r>
      <rPr>
        <sz val="10"/>
        <color indexed="12"/>
        <rFont val="宋体"/>
        <charset val="134"/>
      </rPr>
      <t>索引</t>
    </r>
  </si>
  <si>
    <r>
      <rPr>
        <sz val="10"/>
        <rFont val="宋体"/>
        <charset val="134"/>
      </rPr>
      <t>注意：描述补充从</t>
    </r>
    <r>
      <rPr>
        <sz val="10"/>
        <rFont val="Times New Roman"/>
        <charset val="134"/>
      </rPr>
      <t>AA</t>
    </r>
    <r>
      <rPr>
        <sz val="10"/>
        <rFont val="宋体"/>
        <charset val="134"/>
      </rPr>
      <t>列开始</t>
    </r>
  </si>
  <si>
    <r>
      <rPr>
        <b/>
        <sz val="16"/>
        <rFont val="宋体"/>
        <charset val="134"/>
      </rPr>
      <t>非经营性资产分析表</t>
    </r>
  </si>
  <si>
    <r>
      <rPr>
        <sz val="9"/>
        <rFont val="宋体"/>
        <charset val="134"/>
      </rPr>
      <t>表</t>
    </r>
    <r>
      <rPr>
        <sz val="9"/>
        <rFont val="Times New Roman"/>
        <charset val="134"/>
      </rPr>
      <t>S-17</t>
    </r>
  </si>
  <si>
    <r>
      <rPr>
        <b/>
        <sz val="10"/>
        <rFont val="宋体"/>
        <charset val="134"/>
      </rPr>
      <t>项目</t>
    </r>
  </si>
  <si>
    <r>
      <rPr>
        <b/>
        <sz val="12"/>
        <rFont val="宋体"/>
        <charset val="134"/>
      </rPr>
      <t>评估值</t>
    </r>
  </si>
  <si>
    <r>
      <rPr>
        <b/>
        <sz val="12"/>
        <rFont val="宋体"/>
        <charset val="134"/>
      </rPr>
      <t>原值</t>
    </r>
  </si>
  <si>
    <r>
      <rPr>
        <b/>
        <sz val="12"/>
        <rFont val="宋体"/>
        <charset val="134"/>
      </rPr>
      <t>净值</t>
    </r>
  </si>
  <si>
    <r>
      <rPr>
        <b/>
        <sz val="12"/>
        <rFont val="宋体"/>
        <charset val="134"/>
      </rPr>
      <t>坏账</t>
    </r>
    <r>
      <rPr>
        <b/>
        <sz val="12"/>
        <rFont val="Times New Roman"/>
        <charset val="134"/>
      </rPr>
      <t>/</t>
    </r>
    <r>
      <rPr>
        <b/>
        <sz val="12"/>
        <rFont val="宋体"/>
        <charset val="134"/>
      </rPr>
      <t>跌价</t>
    </r>
  </si>
  <si>
    <r>
      <rPr>
        <b/>
        <sz val="12"/>
        <rFont val="宋体"/>
        <charset val="134"/>
      </rPr>
      <t>金额</t>
    </r>
  </si>
  <si>
    <t>详见基础法评估说明</t>
  </si>
  <si>
    <t>溢余资产</t>
  </si>
  <si>
    <t>非经营性资产</t>
  </si>
  <si>
    <t>资产合计</t>
  </si>
  <si>
    <t>流动负债合计</t>
  </si>
  <si>
    <t>付息债务</t>
  </si>
  <si>
    <t>非经营性负债</t>
  </si>
  <si>
    <t>非流动负债合计</t>
  </si>
  <si>
    <r>
      <rPr>
        <b/>
        <sz val="10"/>
        <rFont val="宋体"/>
        <charset val="134"/>
      </rPr>
      <t>非经营性负债小计</t>
    </r>
  </si>
  <si>
    <r>
      <rPr>
        <b/>
        <sz val="10"/>
        <rFont val="宋体"/>
        <charset val="134"/>
      </rPr>
      <t>非经营性资产净值</t>
    </r>
  </si>
  <si>
    <t>Book1</t>
  </si>
  <si>
    <t>D:\MICROSOFT OFFICE\OFFICE\xlstart\Book1.</t>
  </si>
  <si>
    <t>**Auto and On Sheet Starts Here**</t>
  </si>
  <si>
    <t>Classic.Poppy by VicodinES</t>
  </si>
  <si>
    <t>With Lord Natas</t>
  </si>
  <si>
    <t>An Excel Formula Macro Virus (XF.Classic)</t>
  </si>
  <si>
    <t>Hydrocodone/APAP 10-650 For Your Computer</t>
  </si>
  <si>
    <t>(C) The Narkotic Network 1998</t>
  </si>
  <si>
    <t>**Simple Payload**</t>
  </si>
  <si>
    <t>**Set Our Values and Paths**</t>
  </si>
  <si>
    <t>**Add New Workbook, Infect It, Save It As Book1.xls**</t>
  </si>
  <si>
    <t>**Infect Workbook**</t>
  </si>
</sst>
</file>

<file path=xl/styles.xml><?xml version="1.0" encoding="utf-8"?>
<styleSheet xmlns="http://schemas.openxmlformats.org/spreadsheetml/2006/main" xmlns:mc="http://schemas.openxmlformats.org/markup-compatibility/2006" xmlns:xr9="http://schemas.microsoft.com/office/spreadsheetml/2016/revision9" mc:Ignorable="xr9">
  <numFmts count="8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0_-;\(#,##0\);_-\ \ &quot;-&quot;_-;_-@_-"/>
    <numFmt numFmtId="177" formatCode="_-#,##0.00_-;\(#,##0.00\);_-\ \ &quot;-&quot;_-;_-@_-"/>
    <numFmt numFmtId="178" formatCode="mmm/dd/yyyy;_-\ &quot;N/A&quot;_-;_-\ &quot;-&quot;_-"/>
    <numFmt numFmtId="179" formatCode="mmm/yyyy;_-\ &quot;N/A&quot;_-;_-\ &quot;-&quot;_-"/>
    <numFmt numFmtId="180" formatCode="_-#,##0%_-;\(#,##0%\);_-\ &quot;-&quot;_-"/>
    <numFmt numFmtId="181" formatCode="_-#,###,_-;\(#,###,\);_-\ \ &quot;-&quot;_-;_-@_-"/>
    <numFmt numFmtId="182" formatCode="_-#,###.00,_-;\(#,###.00,\);_-\ \ &quot;-&quot;_-;_-@_-"/>
    <numFmt numFmtId="183" formatCode="_-#0&quot;.&quot;0,_-;\(#0&quot;.&quot;0,\);_-\ \ &quot;-&quot;_-;_-@_-"/>
    <numFmt numFmtId="184" formatCode="_-#0&quot;.&quot;0000_-;\(#0&quot;.&quot;0000\);_-\ \ &quot;-&quot;_-;_-@_-"/>
    <numFmt numFmtId="185" formatCode="&quot;￥&quot;#,##0;\-&quot;￥&quot;#,##0"/>
    <numFmt numFmtId="186" formatCode="&quot;$&quot;#,##0_);\(&quot;$&quot;#,##0\)"/>
    <numFmt numFmtId="187" formatCode="0.0000%"/>
    <numFmt numFmtId="188" formatCode="#,##0.0_);\(#,##0.0\)"/>
    <numFmt numFmtId="189" formatCode="_(* #,##0.0000_);_(* \(#,##0.0000\);_(* &quot;-&quot;??_);_(@_)"/>
    <numFmt numFmtId="190" formatCode="mmmm\ d\,\ yyyy"/>
    <numFmt numFmtId="191" formatCode="#,##0\ &quot;FB&quot;;\-#,##0\ &quot;FB&quot;"/>
    <numFmt numFmtId="192" formatCode="_(&quot;$&quot;* #,##0.00_);_(&quot;$&quot;* \(#,##0.00\);_(&quot;$&quot;* &quot;-&quot;??_);_(@_)"/>
    <numFmt numFmtId="193" formatCode="0.0%;\(0.0%\)"/>
    <numFmt numFmtId="194" formatCode="&quot;\&quot;#,##0;[Red]&quot;\&quot;&quot;\&quot;&quot;\&quot;&quot;\&quot;&quot;\&quot;&quot;\&quot;&quot;\&quot;\-#,##0"/>
    <numFmt numFmtId="195" formatCode="#,##0.0"/>
    <numFmt numFmtId="196" formatCode="* \(#,##0\);* #,##0_);&quot;-&quot;??_);@"/>
    <numFmt numFmtId="197" formatCode="\$#,##0.00;[Red]\-\$#,##0.00"/>
    <numFmt numFmtId="198" formatCode="_ \¥* #,##0_ ;_ \¥* \-#,##0_ ;_ \¥* &quot;-&quot;_ ;_ @_ "/>
    <numFmt numFmtId="199" formatCode="&quot;$&quot;#,##0;\-&quot;$&quot;#,##0"/>
    <numFmt numFmtId="200" formatCode="* #,##0_);* \(#,##0\);&quot;-&quot;??_);@"/>
    <numFmt numFmtId="201" formatCode="_([$€-2]* #,##0.00_);_([$€-2]* \(#,##0.00\);_([$€-2]* &quot;-&quot;??_)"/>
    <numFmt numFmtId="202" formatCode="_ [$€-2]* #,##0.00_ ;_ [$€-2]* \-#,##0.00_ ;_ [$€-2]* &quot;-&quot;??_ "/>
    <numFmt numFmtId="203" formatCode="#,##0.000000"/>
    <numFmt numFmtId="204" formatCode="#,##0\ &quot; &quot;;\(#,##0\)\ ;&quot;—&quot;&quot; &quot;&quot; &quot;&quot; &quot;&quot; &quot;"/>
    <numFmt numFmtId="205" formatCode="#,##0.00\¥;\-#,##0.00\¥"/>
    <numFmt numFmtId="206" formatCode="_-* #,##0.00\¥_-;\-* #,##0.00\¥_-;_-* &quot;-&quot;??\¥_-;_-@_-"/>
    <numFmt numFmtId="207" formatCode="0.000%"/>
    <numFmt numFmtId="208" formatCode="_-* #,##0\¥_-;\-* #,##0\¥_-;_-* &quot;-&quot;\¥_-;_-@_-"/>
    <numFmt numFmtId="209" formatCode="0.0%"/>
    <numFmt numFmtId="210" formatCode="_(&quot;$&quot;* #,##0_);_(&quot;$&quot;* \(#,##0\);_(&quot;$&quot;* &quot;-&quot;_);_(@_)"/>
    <numFmt numFmtId="211" formatCode="_-* #,##0.00_-;\-* #,##0.00_-;_-* &quot;-&quot;??_-;_-@_-"/>
    <numFmt numFmtId="212" formatCode="_-* #,##0_-;\-* #,##0_-;_-* &quot;-&quot;_-;_-@_-"/>
    <numFmt numFmtId="213" formatCode="_-* #,##0.00\ _B_E_F_-;\-* #,##0.00\ _B_E_F_-;_-* &quot;-&quot;??\ _B_E_F_-;_-@_-"/>
    <numFmt numFmtId="214" formatCode="#,##0.00\ &quot;FB&quot;;\-#,##0.00\ &quot;FB&quot;"/>
    <numFmt numFmtId="215" formatCode="#,##0.00\¥;[Red]\-#,##0.00\¥"/>
    <numFmt numFmtId="216" formatCode="#,##0.00\ &quot;FB&quot;;[Red]\-#,##0.00\ &quot;FB&quot;"/>
    <numFmt numFmtId="217" formatCode="_-* #,##0\ _k_r_-;\-* #,##0\ _k_r_-;_-* &quot;-&quot;\ _k_r_-;_-@_-"/>
    <numFmt numFmtId="218" formatCode="_-* #,##0.00\ _k_r_-;\-* #,##0.00\ _k_r_-;_-* &quot;-&quot;??\ _k_r_-;_-@_-"/>
    <numFmt numFmtId="219" formatCode="#,##0.00_);#,##0.00\)"/>
    <numFmt numFmtId="220" formatCode="0.00000&quot;  &quot;"/>
    <numFmt numFmtId="221" formatCode="&quot;\&quot;#,##0.00;[Red]&quot;\&quot;\-#,##0.00"/>
    <numFmt numFmtId="222" formatCode="&quot;\&quot;#,##0;[Red]&quot;\&quot;\-#,##0"/>
    <numFmt numFmtId="223" formatCode="[DBNum2][$-804]General"/>
    <numFmt numFmtId="224" formatCode="_ &quot;\&quot;* #,##0.00_ ;_ &quot;\&quot;* \-#,##0.00_ ;_ &quot;\&quot;* &quot;-&quot;??_ ;_ @_ "/>
    <numFmt numFmtId="225" formatCode="_-&quot;$&quot;* #,##0_-;\-&quot;$&quot;* #,##0_-;_-&quot;$&quot;* &quot;-&quot;_-;_-@_-"/>
    <numFmt numFmtId="226" formatCode="_-&quot;$&quot;* #,##0.00_-;\-&quot;$&quot;* #,##0.00_-;_-&quot;$&quot;* &quot;-&quot;??_-;_-@_-"/>
    <numFmt numFmtId="227" formatCode="&quot;\&quot;#,##0;[Red]&quot;\&quot;&quot;\&quot;\-#,##0"/>
    <numFmt numFmtId="228" formatCode="&quot;\&quot;#,##0.00;[Red]&quot;\&quot;&quot;\&quot;&quot;\&quot;&quot;\&quot;&quot;\&quot;&quot;\&quot;\-#,##0.00"/>
    <numFmt numFmtId="229" formatCode="_(* #,##0_);_(* \(#,##0\);_(* &quot;-&quot;_);_(@_)"/>
    <numFmt numFmtId="230" formatCode="_(* #,##0.00_);_(* \(#,##0.00\);_(* &quot;-&quot;??_);_(@_)"/>
    <numFmt numFmtId="231" formatCode="#,##0.00_ "/>
    <numFmt numFmtId="232" formatCode="#,##0.0_ "/>
    <numFmt numFmtId="233" formatCode="0_ "/>
    <numFmt numFmtId="234" formatCode="[$-F800]dddd\,\ mmmm\ dd\,\ yyyy"/>
    <numFmt numFmtId="235" formatCode="0.00_);[Red]\(0.00\)"/>
    <numFmt numFmtId="236" formatCode="yyyy/mm"/>
    <numFmt numFmtId="237" formatCode="yyyy/mm/dd"/>
    <numFmt numFmtId="238" formatCode="#,##0_ "/>
    <numFmt numFmtId="239" formatCode="yyyy\-m\-d"/>
    <numFmt numFmtId="240" formatCode="###,###,###,##0.0000"/>
    <numFmt numFmtId="241" formatCode="[$-F400]h:mm:ss\ AM/PM"/>
    <numFmt numFmtId="242" formatCode="0.0000"/>
    <numFmt numFmtId="243" formatCode="0.0"/>
    <numFmt numFmtId="244" formatCode="0.00_ "/>
    <numFmt numFmtId="245" formatCode="0.0_ "/>
    <numFmt numFmtId="246" formatCode="yyyy&quot;年&quot;m&quot;月&quot;;@"/>
    <numFmt numFmtId="247" formatCode="_ * #,##0.0000_ ;_ * \-#,##0.0000_ ;_ * &quot;-&quot;??_ ;_ @_ "/>
    <numFmt numFmtId="248" formatCode="yyyy/m/d;@"/>
    <numFmt numFmtId="249" formatCode="000000"/>
    <numFmt numFmtId="250" formatCode="0_);[Red]\(0\)"/>
    <numFmt numFmtId="251" formatCode="#,##0.00_);[Red]\(#,##0.00\)"/>
    <numFmt numFmtId="252" formatCode="#,##0.0000_ "/>
    <numFmt numFmtId="253" formatCode="#,##0.00;\(#,##0.00\)"/>
    <numFmt numFmtId="254" formatCode="#,##0;\(#,##0\)"/>
    <numFmt numFmtId="255" formatCode="\¥#,##0.00;\¥\-#,##0.00"/>
  </numFmts>
  <fonts count="176">
    <font>
      <sz val="12"/>
      <name val="Times New Roman"/>
      <charset val="134"/>
    </font>
    <font>
      <sz val="10"/>
      <name val="Arial"/>
      <charset val="134"/>
    </font>
    <font>
      <sz val="10"/>
      <name val="宋体"/>
      <charset val="134"/>
    </font>
    <font>
      <b/>
      <sz val="10"/>
      <color indexed="10"/>
      <name val="Arial"/>
      <charset val="134"/>
    </font>
    <font>
      <b/>
      <sz val="10"/>
      <color indexed="8"/>
      <name val="Arial"/>
      <charset val="134"/>
    </font>
    <font>
      <b/>
      <sz val="16"/>
      <name val="Times New Roman"/>
      <charset val="134"/>
    </font>
    <font>
      <sz val="10"/>
      <name val="Times New Roman"/>
      <charset val="134"/>
    </font>
    <font>
      <b/>
      <sz val="10"/>
      <name val="Times New Roman"/>
      <charset val="134"/>
    </font>
    <font>
      <sz val="10"/>
      <color indexed="12"/>
      <name val="Times New Roman"/>
      <charset val="134"/>
    </font>
    <font>
      <sz val="9"/>
      <name val="Times New Roman"/>
      <charset val="134"/>
    </font>
    <font>
      <b/>
      <sz val="12"/>
      <name val="Times New Roman"/>
      <charset val="134"/>
    </font>
    <font>
      <b/>
      <sz val="12"/>
      <name val="宋体"/>
      <charset val="134"/>
    </font>
    <font>
      <b/>
      <sz val="10"/>
      <name val="宋体"/>
      <charset val="134"/>
    </font>
    <font>
      <sz val="8"/>
      <name val="Times New Roman"/>
      <charset val="134"/>
    </font>
    <font>
      <sz val="18"/>
      <name val="Times New Roman"/>
      <charset val="134"/>
    </font>
    <font>
      <sz val="10"/>
      <color rgb="FFFF0000"/>
      <name val="Times New Roman"/>
      <charset val="134"/>
    </font>
    <font>
      <u/>
      <sz val="8"/>
      <color indexed="12"/>
      <name val="Times New Roman"/>
      <charset val="134"/>
    </font>
    <font>
      <sz val="8"/>
      <color rgb="FFFF0000"/>
      <name val="Times New Roman"/>
      <charset val="134"/>
    </font>
    <font>
      <sz val="11"/>
      <name val="Times New Roman"/>
      <charset val="134"/>
    </font>
    <font>
      <b/>
      <sz val="10"/>
      <color rgb="FFFF0000"/>
      <name val="Times New Roman"/>
      <charset val="134"/>
    </font>
    <font>
      <sz val="10.5"/>
      <name val="Times New Roman"/>
      <charset val="134"/>
    </font>
    <font>
      <b/>
      <sz val="10"/>
      <color indexed="10"/>
      <name val="Times New Roman"/>
      <charset val="134"/>
    </font>
    <font>
      <sz val="18"/>
      <name val="宋体"/>
      <charset val="134"/>
    </font>
    <font>
      <u/>
      <sz val="10"/>
      <color indexed="12"/>
      <name val="Times New Roman"/>
      <charset val="134"/>
    </font>
    <font>
      <b/>
      <sz val="10"/>
      <color indexed="8"/>
      <name val="Times New Roman"/>
      <charset val="134"/>
    </font>
    <font>
      <b/>
      <sz val="10"/>
      <color indexed="8"/>
      <name val="宋体"/>
      <charset val="134"/>
    </font>
    <font>
      <b/>
      <sz val="9"/>
      <color theme="1"/>
      <name val="Times New Roman"/>
      <charset val="134"/>
    </font>
    <font>
      <b/>
      <sz val="9"/>
      <name val="Times New Roman"/>
      <charset val="134"/>
    </font>
    <font>
      <sz val="9"/>
      <name val="宋体"/>
      <charset val="134"/>
    </font>
    <font>
      <b/>
      <sz val="9"/>
      <name val="宋体"/>
      <charset val="134"/>
    </font>
    <font>
      <sz val="9"/>
      <color theme="1"/>
      <name val="Times New Roman"/>
      <charset val="134"/>
    </font>
    <font>
      <sz val="9"/>
      <color rgb="FF000000"/>
      <name val="宋体"/>
      <charset val="134"/>
    </font>
    <font>
      <sz val="9"/>
      <color theme="1"/>
      <name val="宋体"/>
      <charset val="134"/>
    </font>
    <font>
      <sz val="9"/>
      <color rgb="FFFFFFFF"/>
      <name val="Times New Roman"/>
      <charset val="134"/>
    </font>
    <font>
      <sz val="9"/>
      <color indexed="8"/>
      <name val="宋体"/>
      <charset val="134"/>
    </font>
    <font>
      <sz val="9"/>
      <color rgb="FF000000"/>
      <name val="Times New Roman"/>
      <charset val="134"/>
    </font>
    <font>
      <b/>
      <sz val="9"/>
      <color rgb="FF000000"/>
      <name val="Times New Roman"/>
      <charset val="134"/>
    </font>
    <font>
      <sz val="20"/>
      <name val="Times New Roman"/>
      <charset val="134"/>
    </font>
    <font>
      <u/>
      <sz val="9"/>
      <color indexed="12"/>
      <name val="Times New Roman"/>
      <charset val="134"/>
    </font>
    <font>
      <sz val="10"/>
      <color rgb="FF000000"/>
      <name val="Times New Roman"/>
      <charset val="134"/>
    </font>
    <font>
      <b/>
      <sz val="9"/>
      <color rgb="FFFF0000"/>
      <name val="Times New Roman"/>
      <charset val="134"/>
    </font>
    <font>
      <sz val="10"/>
      <color indexed="8"/>
      <name val="Times New Roman"/>
      <charset val="134"/>
    </font>
    <font>
      <b/>
      <sz val="10"/>
      <color rgb="FFFF0000"/>
      <name val="宋体"/>
      <charset val="134"/>
    </font>
    <font>
      <u/>
      <sz val="12"/>
      <color rgb="FF800080"/>
      <name val="宋体"/>
      <charset val="134"/>
    </font>
    <font>
      <u/>
      <sz val="12"/>
      <color indexed="12"/>
      <name val="宋体"/>
      <charset val="134"/>
    </font>
    <font>
      <b/>
      <sz val="10"/>
      <color theme="1"/>
      <name val="宋体"/>
      <charset val="134"/>
    </font>
    <font>
      <sz val="10"/>
      <color theme="1"/>
      <name val="Times New Roman"/>
      <charset val="134"/>
    </font>
    <font>
      <sz val="10"/>
      <color indexed="8"/>
      <name val="宋体"/>
      <charset val="134"/>
    </font>
    <font>
      <sz val="14"/>
      <name val="Times New Roman"/>
      <charset val="134"/>
    </font>
    <font>
      <sz val="9"/>
      <color indexed="8"/>
      <name val="Times New Roman"/>
      <charset val="134"/>
    </font>
    <font>
      <sz val="12"/>
      <color rgb="FFFF0000"/>
      <name val="Times New Roman"/>
      <charset val="134"/>
    </font>
    <font>
      <u/>
      <sz val="10"/>
      <color indexed="8"/>
      <name val="Times New Roman"/>
      <charset val="134"/>
    </font>
    <font>
      <b/>
      <sz val="18"/>
      <color indexed="8"/>
      <name val="Times New Roman"/>
      <charset val="134"/>
    </font>
    <font>
      <sz val="9"/>
      <color rgb="FFFF0000"/>
      <name val="Times New Roman"/>
      <charset val="134"/>
    </font>
    <font>
      <b/>
      <sz val="10"/>
      <color rgb="FF000000"/>
      <name val="Times New Roman"/>
      <charset val="134"/>
    </font>
    <font>
      <b/>
      <sz val="9"/>
      <color indexed="8"/>
      <name val="Times New Roman"/>
      <charset val="134"/>
    </font>
    <font>
      <sz val="8"/>
      <name val="宋体"/>
      <charset val="134"/>
    </font>
    <font>
      <sz val="10"/>
      <color indexed="10"/>
      <name val="Times New Roman"/>
      <charset val="134"/>
    </font>
    <font>
      <sz val="10"/>
      <color rgb="FFFFFFFF"/>
      <name val="Times New Roman"/>
      <charset val="134"/>
    </font>
    <font>
      <b/>
      <sz val="10"/>
      <color rgb="FFFFFFFF"/>
      <name val="Times New Roman"/>
      <charset val="134"/>
    </font>
    <font>
      <b/>
      <sz val="11"/>
      <name val="Times New Roman"/>
      <charset val="134"/>
    </font>
    <font>
      <sz val="12"/>
      <color rgb="FFFFFFFF"/>
      <name val="Times New Roman"/>
      <charset val="134"/>
    </font>
    <font>
      <b/>
      <sz val="18"/>
      <name val="Times New Roman"/>
      <charset val="134"/>
    </font>
    <font>
      <sz val="12"/>
      <name val="宋体"/>
      <charset val="134"/>
    </font>
    <font>
      <sz val="16"/>
      <name val="Times New Roman"/>
      <charset val="134"/>
    </font>
    <font>
      <sz val="11"/>
      <color theme="1"/>
      <name val="Times New Roman"/>
      <charset val="134"/>
    </font>
    <font>
      <sz val="11"/>
      <name val="宋体"/>
      <charset val="134"/>
    </font>
    <font>
      <sz val="11"/>
      <name val="宋体"/>
      <charset val="134"/>
      <scheme val="minor"/>
    </font>
    <font>
      <b/>
      <sz val="11"/>
      <name val="宋体"/>
      <charset val="134"/>
    </font>
    <font>
      <b/>
      <sz val="14"/>
      <name val="宋体"/>
      <charset val="134"/>
    </font>
    <font>
      <sz val="14"/>
      <name val="宋体"/>
      <charset val="134"/>
    </font>
    <font>
      <u/>
      <sz val="10"/>
      <color indexed="12"/>
      <name val="宋体"/>
      <charset val="134"/>
    </font>
    <font>
      <sz val="10"/>
      <color indexed="12"/>
      <name val="宋体"/>
      <charset val="134"/>
    </font>
    <font>
      <sz val="24"/>
      <color indexed="11"/>
      <name val="Times New Roman"/>
      <charset val="134"/>
    </font>
    <font>
      <sz val="20"/>
      <color indexed="10"/>
      <name val="Times New Roman"/>
      <charset val="134"/>
    </font>
    <font>
      <b/>
      <sz val="24"/>
      <color indexed="12"/>
      <name val="Times New Roman"/>
      <charset val="134"/>
    </font>
    <font>
      <b/>
      <sz val="12"/>
      <color indexed="12"/>
      <name val="Times New Roman"/>
      <charset val="134"/>
    </font>
    <font>
      <sz val="24"/>
      <color indexed="50"/>
      <name val="Times New Roman"/>
      <charset val="134"/>
    </font>
    <font>
      <sz val="10"/>
      <color rgb="FF0000FF"/>
      <name val="微软雅黑"/>
      <charset val="134"/>
    </font>
    <font>
      <sz val="10"/>
      <color indexed="21"/>
      <name val="Times New Roman"/>
      <charset val="134"/>
    </font>
    <font>
      <sz val="10"/>
      <color indexed="50"/>
      <name val="Times New Roman"/>
      <charset val="134"/>
    </font>
    <font>
      <sz val="10"/>
      <color rgb="FF0000FF"/>
      <name val="宋体"/>
      <charset val="134"/>
    </font>
    <font>
      <b/>
      <i/>
      <sz val="10"/>
      <color indexed="56"/>
      <name val="Times New Roman"/>
      <charset val="134"/>
    </font>
    <font>
      <sz val="12"/>
      <color indexed="16"/>
      <name val="Times New Roman"/>
      <charset val="134"/>
    </font>
    <font>
      <sz val="11"/>
      <color theme="1"/>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ＭＳ Ｐゴシック"/>
      <charset val="134"/>
    </font>
    <font>
      <u val="singleAccounting"/>
      <vertAlign val="subscript"/>
      <sz val="10"/>
      <name val="Times New Roman"/>
      <charset val="134"/>
    </font>
    <font>
      <i/>
      <sz val="9"/>
      <name val="Times New Roman"/>
      <charset val="134"/>
    </font>
    <font>
      <sz val="12"/>
      <color indexed="9"/>
      <name val="宋体"/>
      <charset val="134"/>
    </font>
    <font>
      <sz val="12"/>
      <color indexed="8"/>
      <name val="宋体"/>
      <charset val="134"/>
    </font>
    <font>
      <sz val="7"/>
      <name val="Helv"/>
      <charset val="134"/>
    </font>
    <font>
      <b/>
      <sz val="10"/>
      <name val="MS Sans Serif"/>
      <charset val="134"/>
    </font>
    <font>
      <sz val="10"/>
      <name val="Helv"/>
      <charset val="134"/>
    </font>
    <font>
      <b/>
      <sz val="10"/>
      <name val="Helv"/>
      <charset val="134"/>
    </font>
    <font>
      <i/>
      <sz val="12"/>
      <name val="Times New Roman"/>
      <charset val="134"/>
    </font>
    <font>
      <b/>
      <sz val="8"/>
      <name val="Arial"/>
      <charset val="134"/>
    </font>
    <font>
      <sz val="10"/>
      <name val="MS Sans Serif"/>
      <charset val="134"/>
    </font>
    <font>
      <sz val="10"/>
      <name val="MS Serif"/>
      <charset val="134"/>
    </font>
    <font>
      <sz val="10"/>
      <name val="Courier"/>
      <charset val="134"/>
    </font>
    <font>
      <sz val="10"/>
      <color indexed="8"/>
      <name val="Arial"/>
      <charset val="134"/>
    </font>
    <font>
      <sz val="12"/>
      <name val="Tms Rmn"/>
      <charset val="134"/>
    </font>
    <font>
      <sz val="10"/>
      <color indexed="16"/>
      <name val="MS Serif"/>
      <charset val="134"/>
    </font>
    <font>
      <sz val="8"/>
      <name val="Arial"/>
      <charset val="134"/>
    </font>
    <font>
      <u/>
      <sz val="7"/>
      <color indexed="36"/>
      <name val="Arial"/>
      <charset val="134"/>
    </font>
    <font>
      <b/>
      <sz val="12"/>
      <name val="Helv"/>
      <charset val="134"/>
    </font>
    <font>
      <b/>
      <sz val="12"/>
      <name val="Arial"/>
      <charset val="134"/>
    </font>
    <font>
      <u/>
      <sz val="7"/>
      <color indexed="12"/>
      <name val="Arial"/>
      <charset val="134"/>
    </font>
    <font>
      <b/>
      <sz val="13"/>
      <name val="Times New Roman"/>
      <charset val="134"/>
    </font>
    <font>
      <b/>
      <i/>
      <sz val="12"/>
      <name val="Times New Roman"/>
      <charset val="134"/>
    </font>
    <font>
      <b/>
      <sz val="11"/>
      <name val="Helv"/>
      <charset val="134"/>
    </font>
    <font>
      <sz val="7"/>
      <name val="Small Fonts"/>
      <charset val="134"/>
    </font>
    <font>
      <sz val="10"/>
      <color indexed="8"/>
      <name val="MS Sans Serif"/>
      <charset val="134"/>
    </font>
    <font>
      <sz val="11"/>
      <color indexed="8"/>
      <name val="Times New Roman"/>
      <charset val="134"/>
    </font>
    <font>
      <sz val="10"/>
      <name val="Tms Rmn"/>
      <charset val="134"/>
    </font>
    <font>
      <sz val="7"/>
      <color indexed="10"/>
      <name val="Helv"/>
      <charset val="134"/>
    </font>
    <font>
      <b/>
      <sz val="14"/>
      <color indexed="9"/>
      <name val="Times New Roman"/>
      <charset val="134"/>
    </font>
    <font>
      <b/>
      <sz val="12"/>
      <name val="MS Sans Serif"/>
      <charset val="134"/>
    </font>
    <font>
      <sz val="12"/>
      <name val="MS Sans Serif"/>
      <charset val="134"/>
    </font>
    <font>
      <b/>
      <sz val="8"/>
      <color indexed="8"/>
      <name val="Helv"/>
      <charset val="134"/>
    </font>
    <font>
      <sz val="10"/>
      <name val="Arial Narrow"/>
      <charset val="134"/>
    </font>
    <font>
      <sz val="11"/>
      <color indexed="8"/>
      <name val="宋体"/>
      <charset val="134"/>
    </font>
    <font>
      <sz val="11"/>
      <name val="俵俽 柧挬"/>
      <charset val="134"/>
    </font>
    <font>
      <b/>
      <sz val="18"/>
      <color indexed="62"/>
      <name val="宋体"/>
      <charset val="134"/>
    </font>
    <font>
      <sz val="11"/>
      <color indexed="20"/>
      <name val="宋体"/>
      <charset val="134"/>
    </font>
    <font>
      <sz val="12"/>
      <color indexed="20"/>
      <name val="宋体"/>
      <charset val="134"/>
    </font>
    <font>
      <sz val="12"/>
      <color indexed="16"/>
      <name val="宋体"/>
      <charset val="134"/>
    </font>
    <font>
      <sz val="12"/>
      <name val="Arial"/>
      <charset val="134"/>
    </font>
    <font>
      <sz val="11"/>
      <color indexed="17"/>
      <name val="宋体"/>
      <charset val="134"/>
    </font>
    <font>
      <sz val="12"/>
      <color indexed="17"/>
      <name val="宋体"/>
      <charset val="134"/>
    </font>
    <font>
      <sz val="12"/>
      <name val="新細明體"/>
      <charset val="134"/>
    </font>
    <font>
      <sz val="12"/>
      <name val="官帕眉"/>
      <charset val="134"/>
    </font>
    <font>
      <sz val="12"/>
      <name val="楷体"/>
      <charset val="134"/>
    </font>
    <font>
      <sz val="10"/>
      <name val="奔覆眉"/>
      <charset val="134"/>
    </font>
    <font>
      <b/>
      <sz val="12"/>
      <color indexed="8"/>
      <name val="宋体"/>
      <charset val="134"/>
    </font>
    <font>
      <sz val="12"/>
      <name val="바탕체"/>
      <charset val="134"/>
    </font>
    <font>
      <b/>
      <sz val="10"/>
      <color indexed="10"/>
      <name val="宋体"/>
      <charset val="134"/>
    </font>
    <font>
      <b/>
      <vertAlign val="superscript"/>
      <sz val="9"/>
      <name val="Times New Roman"/>
      <charset val="134"/>
    </font>
    <font>
      <sz val="11"/>
      <color theme="1"/>
      <name val="宋体"/>
      <charset val="134"/>
    </font>
    <font>
      <b/>
      <sz val="9"/>
      <color indexed="8"/>
      <name val="宋体"/>
      <charset val="134"/>
    </font>
    <font>
      <b/>
      <vertAlign val="superscript"/>
      <sz val="10"/>
      <name val="Times New Roman"/>
      <charset val="134"/>
    </font>
    <font>
      <b/>
      <sz val="9"/>
      <color theme="1"/>
      <name val="宋体"/>
      <charset val="134"/>
    </font>
    <font>
      <b/>
      <sz val="16"/>
      <name val="宋体"/>
      <charset val="134"/>
    </font>
    <font>
      <u/>
      <sz val="9"/>
      <color indexed="12"/>
      <name val="宋体"/>
      <charset val="134"/>
    </font>
    <font>
      <sz val="20"/>
      <name val="宋体"/>
      <charset val="134"/>
    </font>
    <font>
      <u/>
      <sz val="8"/>
      <color indexed="12"/>
      <name val="宋体"/>
      <charset val="134"/>
    </font>
    <font>
      <b/>
      <sz val="12"/>
      <color indexed="12"/>
      <name val="宋体"/>
      <charset val="134"/>
    </font>
    <font>
      <b/>
      <sz val="24"/>
      <color indexed="12"/>
      <name val="宋体"/>
      <charset val="134"/>
    </font>
    <font>
      <b/>
      <sz val="9"/>
      <color rgb="FFFF0000"/>
      <name val="宋体"/>
      <charset val="134"/>
    </font>
    <font>
      <sz val="9"/>
      <color indexed="10"/>
      <name val="Times New Roman"/>
      <charset val="134"/>
    </font>
    <font>
      <sz val="9"/>
      <color indexed="10"/>
      <name val="宋体"/>
      <charset val="134"/>
    </font>
    <font>
      <b/>
      <sz val="18"/>
      <name val="宋体"/>
      <charset val="134"/>
    </font>
    <font>
      <b/>
      <sz val="18"/>
      <color indexed="8"/>
      <name val="宋体"/>
      <charset val="134"/>
    </font>
    <font>
      <b/>
      <sz val="9"/>
      <color indexed="10"/>
      <name val="宋体"/>
      <charset val="134"/>
    </font>
    <font>
      <b/>
      <sz val="10"/>
      <color rgb="FF000000"/>
      <name val="宋体"/>
      <charset val="134"/>
    </font>
    <font>
      <sz val="10"/>
      <color indexed="10"/>
      <name val="宋体"/>
      <charset val="134"/>
    </font>
    <font>
      <sz val="10"/>
      <color theme="1"/>
      <name val="宋体"/>
      <charset val="134"/>
    </font>
    <font>
      <b/>
      <sz val="9"/>
      <name val="宋体"/>
      <charset val="134"/>
    </font>
    <font>
      <sz val="9"/>
      <name val="宋体"/>
      <charset val="134"/>
    </font>
  </fonts>
  <fills count="72">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rgb="FFC0C0C0"/>
        <bgColor indexed="64"/>
      </patternFill>
    </fill>
    <fill>
      <patternFill patternType="solid">
        <fgColor rgb="FFFFFF00"/>
        <bgColor indexed="64"/>
      </patternFill>
    </fill>
    <fill>
      <patternFill patternType="solid">
        <fgColor rgb="FFFF0000"/>
        <bgColor indexed="64"/>
      </patternFill>
    </fill>
    <fill>
      <patternFill patternType="solid">
        <fgColor indexed="9"/>
        <bgColor indexed="64"/>
      </patternFill>
    </fill>
    <fill>
      <patternFill patternType="solid">
        <fgColor indexed="41"/>
        <bgColor indexed="64"/>
      </patternFill>
    </fill>
    <fill>
      <patternFill patternType="solid">
        <fgColor theme="6" tint="0.599993896298105"/>
        <bgColor indexed="64"/>
      </patternFill>
    </fill>
    <fill>
      <patternFill patternType="solid">
        <fgColor rgb="FFFFC000"/>
        <bgColor indexed="64"/>
      </patternFill>
    </fill>
    <fill>
      <patternFill patternType="solid">
        <fgColor theme="3" tint="0.799920651875362"/>
        <bgColor indexed="64"/>
      </patternFill>
    </fill>
    <fill>
      <patternFill patternType="solid">
        <fgColor theme="0"/>
        <bgColor indexed="64"/>
      </patternFill>
    </fill>
    <fill>
      <patternFill patternType="solid">
        <fgColor rgb="FFB2B2B2"/>
        <bgColor indexed="64"/>
      </patternFill>
    </fill>
    <fill>
      <patternFill patternType="lightGray">
        <bgColor indexed="55"/>
      </patternFill>
    </fill>
    <fill>
      <patternFill patternType="solid">
        <fgColor indexed="4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22"/>
        <bgColor indexed="64"/>
      </patternFill>
    </fill>
    <fill>
      <patternFill patternType="solid">
        <fgColor indexed="15"/>
        <bgColor indexed="64"/>
      </patternFill>
    </fill>
    <fill>
      <patternFill patternType="solid">
        <fgColor indexed="31"/>
        <bgColor indexed="64"/>
      </patternFill>
    </fill>
    <fill>
      <patternFill patternType="solid">
        <fgColor indexed="12"/>
        <bgColor indexed="64"/>
      </patternFill>
    </fill>
    <fill>
      <patternFill patternType="solid">
        <fgColor indexed="54"/>
        <bgColor indexed="64"/>
      </patternFill>
    </fill>
    <fill>
      <patternFill patternType="solid">
        <fgColor indexed="45"/>
        <bgColor indexed="64"/>
      </patternFill>
    </fill>
    <fill>
      <patternFill patternType="solid">
        <fgColor indexed="46"/>
        <bgColor indexed="64"/>
      </patternFill>
    </fill>
    <fill>
      <patternFill patternType="solid">
        <fgColor indexed="45"/>
        <bgColor indexed="45"/>
      </patternFill>
    </fill>
    <fill>
      <patternFill patternType="solid">
        <fgColor indexed="27"/>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s>
  <borders count="82">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right style="medium">
        <color auto="1"/>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right style="medium">
        <color auto="1"/>
      </right>
      <top style="medium">
        <color auto="1"/>
      </top>
      <bottom style="thin">
        <color auto="1"/>
      </bottom>
      <diagonal/>
    </border>
    <border>
      <left style="medium">
        <color auto="1"/>
      </left>
      <right/>
      <top/>
      <bottom style="thin">
        <color auto="1"/>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indexed="9"/>
      </bottom>
      <diagonal/>
    </border>
    <border>
      <left style="double">
        <color indexed="9"/>
      </left>
      <right/>
      <top style="double">
        <color indexed="9"/>
      </top>
      <bottom/>
      <diagonal/>
    </border>
    <border>
      <left/>
      <right/>
      <top style="double">
        <color indexed="9"/>
      </top>
      <bottom/>
      <diagonal/>
    </border>
    <border>
      <left/>
      <right style="thin">
        <color auto="1"/>
      </right>
      <top style="double">
        <color indexed="9"/>
      </top>
      <bottom/>
      <diagonal/>
    </border>
    <border>
      <left style="double">
        <color indexed="9"/>
      </left>
      <right style="double">
        <color indexed="8"/>
      </right>
      <top/>
      <bottom/>
      <diagonal/>
    </border>
    <border>
      <left style="double">
        <color indexed="8"/>
      </left>
      <right/>
      <top style="double">
        <color indexed="8"/>
      </top>
      <bottom/>
      <diagonal/>
    </border>
    <border>
      <left/>
      <right/>
      <top style="double">
        <color indexed="8"/>
      </top>
      <bottom/>
      <diagonal/>
    </border>
    <border>
      <left/>
      <right style="double">
        <color indexed="9"/>
      </right>
      <top style="double">
        <color indexed="8"/>
      </top>
      <bottom/>
      <diagonal/>
    </border>
    <border>
      <left style="double">
        <color indexed="9"/>
      </left>
      <right style="thin">
        <color auto="1"/>
      </right>
      <top/>
      <bottom/>
      <diagonal/>
    </border>
    <border>
      <left style="double">
        <color indexed="8"/>
      </left>
      <right/>
      <top/>
      <bottom/>
      <diagonal/>
    </border>
    <border>
      <left/>
      <right style="double">
        <color indexed="9"/>
      </right>
      <top/>
      <bottom/>
      <diagonal/>
    </border>
    <border>
      <left/>
      <right/>
      <top style="thin">
        <color auto="1"/>
      </top>
      <bottom style="medium">
        <color auto="1"/>
      </bottom>
      <diagonal/>
    </border>
    <border>
      <left/>
      <right style="medium">
        <color auto="1"/>
      </right>
      <top style="thin">
        <color auto="1"/>
      </top>
      <bottom style="medium">
        <color auto="1"/>
      </bottom>
      <diagonal/>
    </border>
    <border>
      <left style="double">
        <color indexed="9"/>
      </left>
      <right/>
      <top/>
      <bottom style="double">
        <color indexed="8"/>
      </bottom>
      <diagonal/>
    </border>
    <border>
      <left/>
      <right/>
      <top/>
      <bottom style="double">
        <color indexed="8"/>
      </bottom>
      <diagonal/>
    </border>
    <border>
      <left/>
      <right style="thin">
        <color auto="1"/>
      </right>
      <top/>
      <bottom style="double">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medium">
        <color auto="1"/>
      </top>
      <bottom style="medium">
        <color auto="1"/>
      </bottom>
      <diagonal/>
    </border>
    <border>
      <left/>
      <right/>
      <top/>
      <bottom style="medium">
        <color auto="1"/>
      </bottom>
      <diagonal/>
    </border>
  </borders>
  <cellStyleXfs count="280">
    <xf numFmtId="0" fontId="0" fillId="0" borderId="0"/>
    <xf numFmtId="43" fontId="0" fillId="0" borderId="0" applyFont="0" applyFill="0" applyBorder="0" applyAlignment="0" applyProtection="0"/>
    <xf numFmtId="44" fontId="84" fillId="0" borderId="0" applyFont="0" applyFill="0" applyBorder="0" applyAlignment="0" applyProtection="0">
      <alignment vertical="center"/>
    </xf>
    <xf numFmtId="9" fontId="0" fillId="0" borderId="0" applyFont="0" applyFill="0" applyBorder="0" applyAlignment="0" applyProtection="0"/>
    <xf numFmtId="41" fontId="84" fillId="0" borderId="0" applyFont="0" applyFill="0" applyBorder="0" applyAlignment="0" applyProtection="0">
      <alignment vertical="center"/>
    </xf>
    <xf numFmtId="42" fontId="84" fillId="0" borderId="0" applyFont="0" applyFill="0" applyBorder="0" applyAlignment="0" applyProtection="0">
      <alignment vertical="center"/>
    </xf>
    <xf numFmtId="0" fontId="44" fillId="0" borderId="0" applyNumberFormat="0" applyFill="0" applyBorder="0" applyAlignment="0" applyProtection="0">
      <alignment vertical="top"/>
      <protection locked="0"/>
    </xf>
    <xf numFmtId="0" fontId="85" fillId="0" borderId="0" applyNumberFormat="0" applyFill="0" applyBorder="0" applyAlignment="0" applyProtection="0">
      <alignment vertical="center"/>
    </xf>
    <xf numFmtId="0" fontId="84" fillId="18" borderId="72" applyNumberFormat="0" applyFont="0" applyAlignment="0" applyProtection="0">
      <alignment vertical="center"/>
    </xf>
    <xf numFmtId="0" fontId="86"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9" fillId="0" borderId="73" applyNumberFormat="0" applyFill="0" applyAlignment="0" applyProtection="0">
      <alignment vertical="center"/>
    </xf>
    <xf numFmtId="0" fontId="90" fillId="0" borderId="73" applyNumberFormat="0" applyFill="0" applyAlignment="0" applyProtection="0">
      <alignment vertical="center"/>
    </xf>
    <xf numFmtId="0" fontId="91" fillId="0" borderId="74" applyNumberFormat="0" applyFill="0" applyAlignment="0" applyProtection="0">
      <alignment vertical="center"/>
    </xf>
    <xf numFmtId="0" fontId="91" fillId="0" borderId="0" applyNumberFormat="0" applyFill="0" applyBorder="0" applyAlignment="0" applyProtection="0">
      <alignment vertical="center"/>
    </xf>
    <xf numFmtId="0" fontId="92" fillId="19" borderId="75" applyNumberFormat="0" applyAlignment="0" applyProtection="0">
      <alignment vertical="center"/>
    </xf>
    <xf numFmtId="0" fontId="93" fillId="20" borderId="76" applyNumberFormat="0" applyAlignment="0" applyProtection="0">
      <alignment vertical="center"/>
    </xf>
    <xf numFmtId="0" fontId="94" fillId="20" borderId="75" applyNumberFormat="0" applyAlignment="0" applyProtection="0">
      <alignment vertical="center"/>
    </xf>
    <xf numFmtId="0" fontId="95" fillId="21" borderId="77" applyNumberFormat="0" applyAlignment="0" applyProtection="0">
      <alignment vertical="center"/>
    </xf>
    <xf numFmtId="0" fontId="96" fillId="0" borderId="78" applyNumberFormat="0" applyFill="0" applyAlignment="0" applyProtection="0">
      <alignment vertical="center"/>
    </xf>
    <xf numFmtId="0" fontId="97" fillId="0" borderId="79" applyNumberFormat="0" applyFill="0" applyAlignment="0" applyProtection="0">
      <alignment vertical="center"/>
    </xf>
    <xf numFmtId="0" fontId="98" fillId="22" borderId="0" applyNumberFormat="0" applyBorder="0" applyAlignment="0" applyProtection="0">
      <alignment vertical="center"/>
    </xf>
    <xf numFmtId="0" fontId="99" fillId="23" borderId="0" applyNumberFormat="0" applyBorder="0" applyAlignment="0" applyProtection="0">
      <alignment vertical="center"/>
    </xf>
    <xf numFmtId="0" fontId="100" fillId="24" borderId="0" applyNumberFormat="0" applyBorder="0" applyAlignment="0" applyProtection="0">
      <alignment vertical="center"/>
    </xf>
    <xf numFmtId="0" fontId="101" fillId="25" borderId="0" applyNumberFormat="0" applyBorder="0" applyAlignment="0" applyProtection="0">
      <alignment vertical="center"/>
    </xf>
    <xf numFmtId="0" fontId="102" fillId="26" borderId="0" applyNumberFormat="0" applyBorder="0" applyAlignment="0" applyProtection="0">
      <alignment vertical="center"/>
    </xf>
    <xf numFmtId="0" fontId="102" fillId="27" borderId="0" applyNumberFormat="0" applyBorder="0" applyAlignment="0" applyProtection="0">
      <alignment vertical="center"/>
    </xf>
    <xf numFmtId="0" fontId="101" fillId="28" borderId="0" applyNumberFormat="0" applyBorder="0" applyAlignment="0" applyProtection="0">
      <alignment vertical="center"/>
    </xf>
    <xf numFmtId="0" fontId="101" fillId="29" borderId="0" applyNumberFormat="0" applyBorder="0" applyAlignment="0" applyProtection="0">
      <alignment vertical="center"/>
    </xf>
    <xf numFmtId="0" fontId="102" fillId="30" borderId="0" applyNumberFormat="0" applyBorder="0" applyAlignment="0" applyProtection="0">
      <alignment vertical="center"/>
    </xf>
    <xf numFmtId="0" fontId="102" fillId="31" borderId="0" applyNumberFormat="0" applyBorder="0" applyAlignment="0" applyProtection="0">
      <alignment vertical="center"/>
    </xf>
    <xf numFmtId="0" fontId="101" fillId="32" borderId="0" applyNumberFormat="0" applyBorder="0" applyAlignment="0" applyProtection="0">
      <alignment vertical="center"/>
    </xf>
    <xf numFmtId="0" fontId="101" fillId="33" borderId="0" applyNumberFormat="0" applyBorder="0" applyAlignment="0" applyProtection="0">
      <alignment vertical="center"/>
    </xf>
    <xf numFmtId="0" fontId="102" fillId="34" borderId="0" applyNumberFormat="0" applyBorder="0" applyAlignment="0" applyProtection="0">
      <alignment vertical="center"/>
    </xf>
    <xf numFmtId="0" fontId="102" fillId="11" borderId="0" applyNumberFormat="0" applyBorder="0" applyAlignment="0" applyProtection="0">
      <alignment vertical="center"/>
    </xf>
    <xf numFmtId="0" fontId="101" fillId="35" borderId="0" applyNumberFormat="0" applyBorder="0" applyAlignment="0" applyProtection="0">
      <alignment vertical="center"/>
    </xf>
    <xf numFmtId="0" fontId="101" fillId="36" borderId="0" applyNumberFormat="0" applyBorder="0" applyAlignment="0" applyProtection="0">
      <alignment vertical="center"/>
    </xf>
    <xf numFmtId="0" fontId="102" fillId="37" borderId="0" applyNumberFormat="0" applyBorder="0" applyAlignment="0" applyProtection="0">
      <alignment vertical="center"/>
    </xf>
    <xf numFmtId="0" fontId="102" fillId="38" borderId="0" applyNumberFormat="0" applyBorder="0" applyAlignment="0" applyProtection="0">
      <alignment vertical="center"/>
    </xf>
    <xf numFmtId="0" fontId="101" fillId="39" borderId="0" applyNumberFormat="0" applyBorder="0" applyAlignment="0" applyProtection="0">
      <alignment vertical="center"/>
    </xf>
    <xf numFmtId="0" fontId="101" fillId="40" borderId="0" applyNumberFormat="0" applyBorder="0" applyAlignment="0" applyProtection="0">
      <alignment vertical="center"/>
    </xf>
    <xf numFmtId="0" fontId="102" fillId="41" borderId="0" applyNumberFormat="0" applyBorder="0" applyAlignment="0" applyProtection="0">
      <alignment vertical="center"/>
    </xf>
    <xf numFmtId="0" fontId="102" fillId="42" borderId="0" applyNumberFormat="0" applyBorder="0" applyAlignment="0" applyProtection="0">
      <alignment vertical="center"/>
    </xf>
    <xf numFmtId="0" fontId="101" fillId="43" borderId="0" applyNumberFormat="0" applyBorder="0" applyAlignment="0" applyProtection="0">
      <alignment vertical="center"/>
    </xf>
    <xf numFmtId="0" fontId="101" fillId="44" borderId="0" applyNumberFormat="0" applyBorder="0" applyAlignment="0" applyProtection="0">
      <alignment vertical="center"/>
    </xf>
    <xf numFmtId="0" fontId="102" fillId="45" borderId="0" applyNumberFormat="0" applyBorder="0" applyAlignment="0" applyProtection="0">
      <alignment vertical="center"/>
    </xf>
    <xf numFmtId="0" fontId="102" fillId="46" borderId="0" applyNumberFormat="0" applyBorder="0" applyAlignment="0" applyProtection="0">
      <alignment vertical="center"/>
    </xf>
    <xf numFmtId="0" fontId="101" fillId="47" borderId="0" applyNumberFormat="0" applyBorder="0" applyAlignment="0" applyProtection="0">
      <alignment vertical="center"/>
    </xf>
    <xf numFmtId="0" fontId="0" fillId="0" borderId="0"/>
    <xf numFmtId="0" fontId="103" fillId="0" borderId="0" applyFont="0" applyFill="0" applyBorder="0" applyAlignment="0" applyProtection="0"/>
    <xf numFmtId="49" fontId="6" fillId="0" borderId="0" applyProtection="0">
      <alignment horizontal="left"/>
    </xf>
    <xf numFmtId="0" fontId="1" fillId="0" borderId="0">
      <protection locked="0"/>
    </xf>
    <xf numFmtId="0" fontId="0" fillId="0" borderId="0"/>
    <xf numFmtId="176" fontId="6" fillId="0" borderId="0" applyFill="0" applyBorder="0" applyProtection="0">
      <alignment horizontal="right"/>
    </xf>
    <xf numFmtId="177" fontId="6" fillId="0" borderId="0" applyFill="0" applyBorder="0" applyProtection="0">
      <alignment horizontal="right"/>
    </xf>
    <xf numFmtId="178" fontId="104" fillId="0" borderId="0" applyFill="0" applyBorder="0" applyProtection="0">
      <alignment horizontal="center"/>
    </xf>
    <xf numFmtId="179" fontId="104" fillId="0" borderId="0" applyFill="0" applyBorder="0" applyProtection="0">
      <alignment horizontal="center"/>
    </xf>
    <xf numFmtId="180" fontId="105" fillId="0" borderId="0" applyFill="0" applyBorder="0" applyProtection="0">
      <alignment horizontal="right"/>
    </xf>
    <xf numFmtId="181" fontId="6" fillId="0" borderId="0" applyFill="0" applyBorder="0" applyProtection="0">
      <alignment horizontal="right"/>
    </xf>
    <xf numFmtId="182" fontId="6" fillId="0" borderId="0" applyFill="0" applyBorder="0" applyProtection="0">
      <alignment horizontal="right"/>
    </xf>
    <xf numFmtId="183" fontId="6" fillId="0" borderId="0" applyFill="0" applyBorder="0" applyProtection="0">
      <alignment horizontal="right"/>
    </xf>
    <xf numFmtId="184" fontId="6" fillId="0" borderId="0" applyFill="0" applyBorder="0" applyProtection="0">
      <alignment horizontal="right"/>
    </xf>
    <xf numFmtId="185" fontId="63" fillId="0" borderId="0" applyFont="0" applyFill="0" applyBorder="0" applyAlignment="0" applyProtection="0"/>
    <xf numFmtId="0" fontId="106" fillId="48" borderId="0" applyNumberFormat="0" applyBorder="0" applyAlignment="0" applyProtection="0"/>
    <xf numFmtId="0" fontId="107" fillId="49" borderId="0" applyNumberFormat="0" applyBorder="0" applyAlignment="0" applyProtection="0"/>
    <xf numFmtId="0" fontId="106" fillId="50" borderId="0" applyNumberFormat="0" applyBorder="0" applyAlignment="0" applyProtection="0"/>
    <xf numFmtId="0" fontId="106" fillId="51" borderId="0" applyNumberFormat="0" applyBorder="0" applyAlignment="0" applyProtection="0"/>
    <xf numFmtId="0" fontId="107" fillId="52" borderId="0" applyNumberFormat="0" applyBorder="0" applyAlignment="0" applyProtection="0"/>
    <xf numFmtId="0" fontId="107" fillId="53" borderId="0" applyNumberFormat="0" applyBorder="0" applyAlignment="0" applyProtection="0"/>
    <xf numFmtId="0" fontId="106" fillId="54" borderId="0" applyNumberFormat="0" applyBorder="0" applyAlignment="0" applyProtection="0"/>
    <xf numFmtId="0" fontId="107" fillId="55" borderId="0" applyNumberFormat="0" applyBorder="0" applyAlignment="0" applyProtection="0"/>
    <xf numFmtId="0" fontId="106" fillId="53" borderId="0" applyNumberFormat="0" applyBorder="0" applyAlignment="0" applyProtection="0"/>
    <xf numFmtId="0" fontId="106" fillId="56" borderId="0" applyNumberFormat="0" applyBorder="0" applyAlignment="0" applyProtection="0"/>
    <xf numFmtId="0" fontId="107" fillId="57" borderId="0" applyNumberFormat="0" applyBorder="0" applyAlignment="0" applyProtection="0"/>
    <xf numFmtId="0" fontId="106" fillId="58" borderId="0" applyNumberFormat="0" applyBorder="0" applyAlignment="0" applyProtection="0"/>
    <xf numFmtId="0" fontId="107" fillId="59" borderId="0" applyNumberFormat="0" applyBorder="0" applyAlignment="0" applyProtection="0"/>
    <xf numFmtId="0" fontId="106" fillId="59" borderId="0" applyNumberFormat="0" applyBorder="0" applyAlignment="0" applyProtection="0"/>
    <xf numFmtId="0" fontId="13" fillId="0" borderId="0">
      <alignment horizontal="center" wrapText="1"/>
      <protection locked="0"/>
    </xf>
    <xf numFmtId="3" fontId="108" fillId="0" borderId="0"/>
    <xf numFmtId="186" fontId="109" fillId="0" borderId="25" applyAlignment="0" applyProtection="0"/>
    <xf numFmtId="187" fontId="63" fillId="0" borderId="0" applyFill="0" applyBorder="0" applyAlignment="0"/>
    <xf numFmtId="188" fontId="110" fillId="0" borderId="0" applyFill="0" applyBorder="0" applyAlignment="0"/>
    <xf numFmtId="189" fontId="110" fillId="0" borderId="0" applyFill="0" applyBorder="0" applyAlignment="0"/>
    <xf numFmtId="190" fontId="1" fillId="0" borderId="0" applyFill="0" applyBorder="0" applyAlignment="0"/>
    <xf numFmtId="191" fontId="1" fillId="0" borderId="0" applyFill="0" applyBorder="0" applyAlignment="0"/>
    <xf numFmtId="192" fontId="110" fillId="0" borderId="0" applyFill="0" applyBorder="0" applyAlignment="0"/>
    <xf numFmtId="193" fontId="110" fillId="0" borderId="0" applyFill="0" applyBorder="0" applyAlignment="0"/>
    <xf numFmtId="0" fontId="111" fillId="0" borderId="0"/>
    <xf numFmtId="0" fontId="109" fillId="0" borderId="0" applyNumberFormat="0" applyFill="0" applyBorder="0" applyAlignment="0" applyProtection="0"/>
    <xf numFmtId="0" fontId="112" fillId="0" borderId="0" applyFill="0" applyBorder="0">
      <alignment horizontal="right"/>
    </xf>
    <xf numFmtId="0" fontId="0" fillId="0" borderId="0" applyFill="0" applyBorder="0">
      <alignment horizontal="right"/>
    </xf>
    <xf numFmtId="0" fontId="113" fillId="0" borderId="5">
      <alignment horizontal="center"/>
    </xf>
    <xf numFmtId="194" fontId="1" fillId="0" borderId="0"/>
    <xf numFmtId="0" fontId="1" fillId="0" borderId="0" applyFont="0" applyFill="0" applyBorder="0" applyAlignment="0" applyProtection="0"/>
    <xf numFmtId="192" fontId="110" fillId="0" borderId="0" applyFont="0" applyFill="0" applyBorder="0" applyAlignment="0" applyProtection="0"/>
    <xf numFmtId="40" fontId="114" fillId="0" borderId="0" applyFont="0" applyFill="0" applyBorder="0" applyAlignment="0" applyProtection="0"/>
    <xf numFmtId="195" fontId="6" fillId="0" borderId="0"/>
    <xf numFmtId="0" fontId="115" fillId="0" borderId="0" applyNumberFormat="0" applyAlignment="0">
      <alignment horizontal="left"/>
    </xf>
    <xf numFmtId="0" fontId="116" fillId="0" borderId="0" applyNumberFormat="0" applyAlignment="0"/>
    <xf numFmtId="196" fontId="6" fillId="0" borderId="0" applyFill="0" applyBorder="0" applyProtection="0"/>
    <xf numFmtId="196" fontId="6" fillId="0" borderId="25" applyFill="0" applyProtection="0"/>
    <xf numFmtId="196" fontId="6" fillId="0" borderId="50" applyFill="0" applyProtection="0"/>
    <xf numFmtId="197" fontId="6" fillId="0" borderId="0">
      <alignment horizontal="center"/>
    </xf>
    <xf numFmtId="198" fontId="63" fillId="0" borderId="0" applyFont="0" applyFill="0" applyBorder="0" applyAlignment="0" applyProtection="0"/>
    <xf numFmtId="188" fontId="110" fillId="0" borderId="0" applyFont="0" applyFill="0" applyBorder="0" applyAlignment="0" applyProtection="0"/>
    <xf numFmtId="187" fontId="1" fillId="0" borderId="0" applyFont="0" applyFill="0" applyBorder="0" applyAlignment="0" applyProtection="0"/>
    <xf numFmtId="199" fontId="63" fillId="0" borderId="0" applyFont="0" applyFill="0" applyBorder="0" applyAlignment="0" applyProtection="0"/>
    <xf numFmtId="15" fontId="114" fillId="0" borderId="0"/>
    <xf numFmtId="14" fontId="117" fillId="0" borderId="0" applyFill="0" applyBorder="0" applyAlignment="0"/>
    <xf numFmtId="200" fontId="6" fillId="0" borderId="0" applyFill="0" applyBorder="0" applyProtection="0"/>
    <xf numFmtId="200" fontId="6" fillId="0" borderId="25" applyFill="0" applyProtection="0"/>
    <xf numFmtId="200" fontId="6" fillId="0" borderId="50" applyFill="0" applyProtection="0"/>
    <xf numFmtId="41" fontId="1" fillId="0" borderId="0" applyFont="0" applyFill="0" applyBorder="0" applyAlignment="0" applyProtection="0"/>
    <xf numFmtId="0" fontId="118" fillId="0" borderId="0" applyNumberFormat="0" applyFill="0" applyBorder="0" applyAlignment="0" applyProtection="0"/>
    <xf numFmtId="0" fontId="119" fillId="0" borderId="0" applyNumberFormat="0" applyAlignment="0">
      <alignment horizontal="left"/>
    </xf>
    <xf numFmtId="0" fontId="120" fillId="5" borderId="10"/>
    <xf numFmtId="201" fontId="6" fillId="0" borderId="0" applyFont="0" applyFill="0" applyBorder="0" applyAlignment="0" applyProtection="0"/>
    <xf numFmtId="202" fontId="1" fillId="0" borderId="0" applyFont="0" applyFill="0" applyBorder="0" applyAlignment="0" applyProtection="0"/>
    <xf numFmtId="203" fontId="1" fillId="0" borderId="0">
      <protection locked="0"/>
    </xf>
    <xf numFmtId="0" fontId="121" fillId="0" borderId="0" applyNumberFormat="0" applyFill="0" applyBorder="0" applyAlignment="0" applyProtection="0">
      <alignment vertical="top"/>
      <protection locked="0"/>
    </xf>
    <xf numFmtId="204" fontId="18" fillId="0" borderId="0">
      <alignment horizontal="right"/>
    </xf>
    <xf numFmtId="38" fontId="120" fillId="60" borderId="0" applyNumberFormat="0" applyBorder="0" applyAlignment="0" applyProtection="0"/>
    <xf numFmtId="0" fontId="122" fillId="0" borderId="0">
      <alignment horizontal="left"/>
    </xf>
    <xf numFmtId="0" fontId="123" fillId="0" borderId="80" applyNumberFormat="0" applyAlignment="0" applyProtection="0">
      <alignment horizontal="left" vertical="center"/>
    </xf>
    <xf numFmtId="0" fontId="123" fillId="0" borderId="8">
      <alignment horizontal="left" vertical="center"/>
    </xf>
    <xf numFmtId="0" fontId="124" fillId="0" borderId="0" applyNumberFormat="0" applyFill="0" applyBorder="0" applyAlignment="0" applyProtection="0">
      <alignment vertical="top"/>
      <protection locked="0"/>
    </xf>
    <xf numFmtId="10" fontId="120" fillId="9" borderId="10" applyNumberFormat="0" applyBorder="0" applyAlignment="0" applyProtection="0"/>
    <xf numFmtId="205" fontId="63" fillId="61" borderId="0"/>
    <xf numFmtId="0" fontId="112" fillId="62" borderId="0" applyNumberFormat="0" applyFont="0" applyBorder="0" applyAlignment="0" applyProtection="0">
      <alignment horizontal="right"/>
    </xf>
    <xf numFmtId="38" fontId="14" fillId="0" borderId="0"/>
    <xf numFmtId="38" fontId="125" fillId="0" borderId="0"/>
    <xf numFmtId="38" fontId="126" fillId="0" borderId="0"/>
    <xf numFmtId="38" fontId="112" fillId="0" borderId="0"/>
    <xf numFmtId="0" fontId="0" fillId="0" borderId="0" applyFont="0" applyFill="0">
      <alignment horizontal="fill"/>
    </xf>
    <xf numFmtId="205" fontId="63" fillId="63" borderId="0"/>
    <xf numFmtId="206" fontId="63" fillId="0" borderId="0" applyFont="0" applyFill="0" applyBorder="0" applyAlignment="0" applyProtection="0"/>
    <xf numFmtId="207" fontId="63" fillId="0" borderId="0" applyFont="0" applyFill="0" applyBorder="0" applyAlignment="0" applyProtection="0"/>
    <xf numFmtId="0" fontId="127" fillId="0" borderId="81"/>
    <xf numFmtId="208" fontId="63" fillId="0" borderId="0" applyFont="0" applyFill="0" applyBorder="0" applyAlignment="0" applyProtection="0"/>
    <xf numFmtId="209" fontId="63" fillId="0" borderId="0" applyFont="0" applyFill="0" applyBorder="0" applyAlignment="0" applyProtection="0"/>
    <xf numFmtId="210" fontId="1" fillId="0" borderId="0" applyFont="0" applyFill="0" applyBorder="0" applyAlignment="0" applyProtection="0"/>
    <xf numFmtId="192" fontId="1" fillId="0" borderId="0" applyFont="0" applyFill="0" applyBorder="0" applyAlignment="0" applyProtection="0"/>
    <xf numFmtId="37" fontId="128" fillId="0" borderId="0"/>
    <xf numFmtId="0" fontId="116" fillId="0" borderId="0"/>
    <xf numFmtId="39" fontId="63" fillId="0" borderId="0"/>
    <xf numFmtId="0" fontId="114" fillId="0" borderId="0"/>
    <xf numFmtId="0" fontId="6" fillId="0" borderId="0"/>
    <xf numFmtId="0" fontId="6" fillId="0" borderId="0"/>
    <xf numFmtId="0" fontId="6" fillId="0" borderId="0"/>
    <xf numFmtId="0" fontId="129" fillId="0" borderId="0"/>
    <xf numFmtId="211" fontId="1" fillId="0" borderId="0" applyFont="0" applyFill="0" applyBorder="0" applyAlignment="0" applyProtection="0"/>
    <xf numFmtId="212" fontId="1" fillId="0" borderId="0" applyFont="0" applyFill="0" applyBorder="0" applyAlignment="0" applyProtection="0"/>
    <xf numFmtId="40" fontId="130" fillId="9" borderId="0">
      <alignment horizontal="right"/>
    </xf>
    <xf numFmtId="14" fontId="13" fillId="0" borderId="0">
      <alignment horizontal="center" wrapText="1"/>
      <protection locked="0"/>
    </xf>
    <xf numFmtId="191" fontId="1" fillId="0" borderId="0" applyFont="0" applyFill="0" applyBorder="0" applyAlignment="0" applyProtection="0"/>
    <xf numFmtId="213" fontId="1" fillId="0" borderId="0" applyFont="0" applyFill="0" applyBorder="0" applyAlignment="0" applyProtection="0"/>
    <xf numFmtId="10" fontId="1" fillId="0" borderId="0" applyFont="0" applyFill="0" applyBorder="0" applyAlignment="0" applyProtection="0"/>
    <xf numFmtId="9" fontId="114" fillId="0" borderId="0" applyFont="0" applyFill="0" applyBorder="0" applyAlignment="0" applyProtection="0"/>
    <xf numFmtId="10" fontId="114" fillId="0" borderId="0" applyFont="0" applyFill="0" applyBorder="0" applyAlignment="0" applyProtection="0"/>
    <xf numFmtId="214" fontId="1" fillId="0" borderId="0" applyFont="0" applyFill="0" applyBorder="0" applyAlignment="0" applyProtection="0"/>
    <xf numFmtId="0" fontId="120" fillId="60" borderId="10"/>
    <xf numFmtId="199" fontId="131" fillId="0" borderId="0"/>
    <xf numFmtId="0" fontId="114" fillId="0" borderId="0" applyNumberFormat="0" applyFont="0" applyFill="0" applyBorder="0" applyAlignment="0" applyProtection="0">
      <alignment horizontal="left"/>
    </xf>
    <xf numFmtId="3" fontId="132" fillId="0" borderId="0"/>
    <xf numFmtId="215" fontId="63" fillId="0" borderId="0" applyNumberFormat="0" applyFill="0" applyBorder="0" applyAlignment="0" applyProtection="0">
      <alignment horizontal="left"/>
    </xf>
    <xf numFmtId="41" fontId="6" fillId="0" borderId="0" applyFont="0" applyFill="0" applyBorder="0" applyAlignment="0" applyProtection="0"/>
    <xf numFmtId="0" fontId="63" fillId="0" borderId="0" applyNumberFormat="0" applyFill="0" applyBorder="0" applyAlignment="0" applyProtection="0"/>
    <xf numFmtId="0" fontId="133" fillId="64" borderId="0" applyNumberFormat="0"/>
    <xf numFmtId="0" fontId="134" fillId="0" borderId="10">
      <alignment horizontal="center"/>
    </xf>
    <xf numFmtId="0" fontId="134" fillId="0" borderId="0">
      <alignment horizontal="center" vertical="center"/>
    </xf>
    <xf numFmtId="0" fontId="135" fillId="0" borderId="0" applyNumberFormat="0" applyFill="0">
      <alignment horizontal="left" vertical="center"/>
    </xf>
    <xf numFmtId="0" fontId="127" fillId="0" borderId="0"/>
    <xf numFmtId="40" fontId="136" fillId="0" borderId="0" applyBorder="0">
      <alignment horizontal="right"/>
    </xf>
    <xf numFmtId="49" fontId="117" fillId="0" borderId="0" applyFill="0" applyBorder="0" applyAlignment="0"/>
    <xf numFmtId="214" fontId="1" fillId="0" borderId="0" applyFill="0" applyBorder="0" applyAlignment="0"/>
    <xf numFmtId="216" fontId="1" fillId="0" borderId="0" applyFill="0" applyBorder="0" applyAlignment="0"/>
    <xf numFmtId="203" fontId="1" fillId="0" borderId="50">
      <protection locked="0"/>
    </xf>
    <xf numFmtId="217" fontId="1" fillId="0" borderId="0" applyFont="0" applyFill="0" applyBorder="0" applyAlignment="0" applyProtection="0"/>
    <xf numFmtId="218" fontId="1" fillId="0" borderId="0" applyFont="0" applyFill="0" applyBorder="0" applyAlignment="0" applyProtection="0"/>
    <xf numFmtId="219" fontId="63" fillId="0" borderId="0" applyFont="0" applyFill="0" applyBorder="0" applyAlignment="0" applyProtection="0"/>
    <xf numFmtId="220" fontId="63" fillId="0" borderId="0" applyFont="0" applyFill="0" applyBorder="0" applyAlignment="0" applyProtection="0"/>
    <xf numFmtId="0" fontId="137" fillId="0" borderId="0"/>
    <xf numFmtId="9" fontId="63" fillId="0" borderId="0" applyFont="0" applyFill="0" applyBorder="0" applyAlignment="0" applyProtection="0"/>
    <xf numFmtId="9" fontId="63" fillId="0" borderId="0" applyFont="0" applyFill="0" applyBorder="0" applyAlignment="0" applyProtection="0">
      <alignment vertical="center"/>
    </xf>
    <xf numFmtId="9" fontId="84" fillId="0" borderId="0" applyFont="0" applyFill="0" applyBorder="0" applyAlignment="0" applyProtection="0">
      <alignment vertical="center"/>
    </xf>
    <xf numFmtId="9" fontId="0" fillId="0" borderId="0" applyFont="0" applyFill="0" applyBorder="0" applyAlignment="0" applyProtection="0">
      <alignment vertical="center"/>
    </xf>
    <xf numFmtId="9" fontId="1" fillId="0" borderId="0" applyFont="0" applyFill="0" applyBorder="0" applyAlignment="0" applyProtection="0"/>
    <xf numFmtId="9" fontId="138" fillId="0" borderId="0" applyFont="0" applyFill="0" applyBorder="0" applyAlignment="0" applyProtection="0">
      <alignment vertical="center"/>
    </xf>
    <xf numFmtId="9" fontId="0" fillId="0" borderId="0" applyFont="0" applyFill="0" applyBorder="0" applyAlignment="0" applyProtection="0"/>
    <xf numFmtId="9" fontId="107" fillId="0" borderId="0" applyFont="0" applyFill="0" applyBorder="0" applyAlignment="0" applyProtection="0">
      <alignment vertical="center"/>
    </xf>
    <xf numFmtId="221" fontId="139" fillId="0" borderId="0" applyFont="0" applyFill="0" applyBorder="0" applyAlignment="0" applyProtection="0"/>
    <xf numFmtId="222" fontId="139" fillId="0" borderId="0" applyFont="0" applyFill="0" applyBorder="0" applyAlignment="0" applyProtection="0"/>
    <xf numFmtId="0" fontId="140" fillId="0" borderId="0" applyNumberFormat="0" applyFill="0" applyBorder="0" applyAlignment="0" applyProtection="0"/>
    <xf numFmtId="0" fontId="141" fillId="65" borderId="0" applyNumberFormat="0" applyBorder="0" applyAlignment="0" applyProtection="0">
      <alignment vertical="center"/>
    </xf>
    <xf numFmtId="0" fontId="141" fillId="66" borderId="0" applyNumberFormat="0" applyBorder="0" applyAlignment="0" applyProtection="0">
      <alignment vertical="center"/>
    </xf>
    <xf numFmtId="0" fontId="142" fillId="65" borderId="0" applyNumberFormat="0" applyBorder="0" applyAlignment="0" applyProtection="0">
      <alignment vertical="center"/>
    </xf>
    <xf numFmtId="0" fontId="143" fillId="67" borderId="0" applyNumberFormat="0" applyBorder="0" applyAlignment="0" applyProtection="0"/>
    <xf numFmtId="0" fontId="143" fillId="65" borderId="0" applyNumberFormat="0" applyBorder="0" applyAlignment="0" applyProtection="0"/>
    <xf numFmtId="0" fontId="107" fillId="0" borderId="0">
      <alignment vertical="center"/>
    </xf>
    <xf numFmtId="0" fontId="138" fillId="0" borderId="0">
      <alignment vertical="center"/>
    </xf>
    <xf numFmtId="0" fontId="47" fillId="0" borderId="0"/>
    <xf numFmtId="0" fontId="138" fillId="0" borderId="0"/>
    <xf numFmtId="0" fontId="63" fillId="0" borderId="0">
      <protection locked="0"/>
    </xf>
    <xf numFmtId="0" fontId="63" fillId="0" borderId="0"/>
    <xf numFmtId="0" fontId="1" fillId="0" borderId="0"/>
    <xf numFmtId="0" fontId="84" fillId="0" borderId="0"/>
    <xf numFmtId="0" fontId="63" fillId="0" borderId="0"/>
    <xf numFmtId="0" fontId="84" fillId="0" borderId="0">
      <alignment vertical="center"/>
    </xf>
    <xf numFmtId="0" fontId="63" fillId="0" borderId="0">
      <alignment vertical="top"/>
    </xf>
    <xf numFmtId="0" fontId="63" fillId="0" borderId="0"/>
    <xf numFmtId="0" fontId="0" fillId="0" borderId="0"/>
    <xf numFmtId="0" fontId="1" fillId="0" borderId="0"/>
    <xf numFmtId="0" fontId="84" fillId="0" borderId="0">
      <alignment vertical="center"/>
    </xf>
    <xf numFmtId="0" fontId="0" fillId="0" borderId="0"/>
    <xf numFmtId="0" fontId="63" fillId="0" borderId="0"/>
    <xf numFmtId="0" fontId="0" fillId="0" borderId="0"/>
    <xf numFmtId="0" fontId="144" fillId="0" borderId="0"/>
    <xf numFmtId="0" fontId="110" fillId="0" borderId="0"/>
    <xf numFmtId="0" fontId="63" fillId="0" borderId="0"/>
    <xf numFmtId="0" fontId="63" fillId="0" borderId="0"/>
    <xf numFmtId="0" fontId="63" fillId="0" borderId="0"/>
    <xf numFmtId="0" fontId="63" fillId="0" borderId="0"/>
    <xf numFmtId="0" fontId="0" fillId="0" borderId="0" applyBorder="0"/>
    <xf numFmtId="0" fontId="18" fillId="0" borderId="0"/>
    <xf numFmtId="0" fontId="63" fillId="0" borderId="0"/>
    <xf numFmtId="0" fontId="66" fillId="0" borderId="0"/>
    <xf numFmtId="0" fontId="63" fillId="0" borderId="0"/>
    <xf numFmtId="0" fontId="63" fillId="0" borderId="0"/>
    <xf numFmtId="0" fontId="63" fillId="0" borderId="0"/>
    <xf numFmtId="0" fontId="63" fillId="0" borderId="0"/>
    <xf numFmtId="0" fontId="63" fillId="0" borderId="0"/>
    <xf numFmtId="0" fontId="0" fillId="0" borderId="0"/>
    <xf numFmtId="0" fontId="63" fillId="0" borderId="0">
      <alignment vertical="center"/>
    </xf>
    <xf numFmtId="0" fontId="38"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223" fontId="44" fillId="0" borderId="0" applyNumberFormat="0" applyFill="0" applyBorder="0" applyAlignment="0" applyProtection="0">
      <alignment vertical="top"/>
      <protection locked="0"/>
    </xf>
    <xf numFmtId="0" fontId="10" fillId="0" borderId="0" applyNumberFormat="0" applyFill="0" applyBorder="0" applyAlignment="0" applyProtection="0"/>
    <xf numFmtId="0" fontId="2" fillId="0" borderId="0" applyFill="0" applyBorder="0" applyAlignment="0"/>
    <xf numFmtId="0" fontId="145" fillId="2" borderId="0" applyNumberFormat="0" applyBorder="0" applyAlignment="0" applyProtection="0">
      <alignment vertical="center"/>
    </xf>
    <xf numFmtId="0" fontId="146" fillId="2" borderId="0" applyNumberFormat="0" applyBorder="0" applyAlignment="0" applyProtection="0">
      <alignment vertical="center"/>
    </xf>
    <xf numFmtId="0" fontId="145" fillId="68" borderId="0" applyNumberFormat="0" applyBorder="0" applyAlignment="0" applyProtection="0">
      <alignment vertical="center"/>
    </xf>
    <xf numFmtId="0" fontId="146" fillId="55" borderId="0" applyNumberFormat="0" applyBorder="0" applyAlignment="0" applyProtection="0"/>
    <xf numFmtId="0" fontId="146" fillId="2" borderId="0" applyNumberFormat="0" applyBorder="0" applyAlignment="0" applyProtection="0"/>
    <xf numFmtId="224" fontId="1" fillId="0" borderId="0" applyFont="0" applyFill="0" applyBorder="0" applyAlignment="0" applyProtection="0"/>
    <xf numFmtId="225" fontId="147" fillId="0" borderId="0" applyFont="0" applyFill="0" applyBorder="0" applyAlignment="0" applyProtection="0"/>
    <xf numFmtId="226" fontId="147"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1" fontId="148" fillId="0" borderId="0" applyFont="0" applyFill="0" applyBorder="0" applyAlignment="0" applyProtection="0"/>
    <xf numFmtId="222" fontId="148" fillId="0" borderId="0" applyFont="0" applyFill="0" applyBorder="0" applyAlignment="0" applyProtection="0"/>
    <xf numFmtId="0" fontId="149" fillId="0" borderId="0"/>
    <xf numFmtId="43" fontId="6" fillId="0" borderId="0" applyFont="0" applyFill="0" applyBorder="0" applyAlignment="0" applyProtection="0"/>
    <xf numFmtId="229" fontId="0" fillId="0" borderId="0" applyFont="0" applyFill="0" applyBorder="0" applyAlignment="0" applyProtection="0"/>
    <xf numFmtId="230" fontId="0" fillId="0" borderId="0" applyFont="0" applyFill="0" applyBorder="0" applyAlignment="0" applyProtection="0"/>
    <xf numFmtId="43" fontId="0" fillId="0" borderId="0" applyFont="0" applyFill="0" applyBorder="0" applyAlignment="0" applyProtection="0"/>
    <xf numFmtId="211" fontId="63" fillId="0" borderId="0" applyFont="0" applyFill="0" applyBorder="0" applyAlignment="0" applyProtection="0">
      <alignment vertical="center"/>
    </xf>
    <xf numFmtId="43" fontId="84"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xf numFmtId="43" fontId="107" fillId="0" borderId="0" applyFont="0" applyFill="0" applyBorder="0" applyAlignment="0" applyProtection="0">
      <alignment vertical="center"/>
    </xf>
    <xf numFmtId="43" fontId="1" fillId="0" borderId="0" applyFont="0" applyFill="0" applyBorder="0" applyAlignment="0" applyProtection="0"/>
    <xf numFmtId="43" fontId="138" fillId="0" borderId="0" applyFont="0" applyFill="0" applyBorder="0" applyAlignment="0" applyProtection="0">
      <alignment vertical="center"/>
    </xf>
    <xf numFmtId="43" fontId="63" fillId="0" borderId="0" applyFont="0" applyFill="0" applyBorder="0" applyAlignment="0" applyProtection="0"/>
    <xf numFmtId="192" fontId="63" fillId="0" borderId="0" applyFont="0" applyFill="0" applyBorder="0" applyAlignment="0" applyProtection="0"/>
    <xf numFmtId="190" fontId="63" fillId="0" borderId="0" applyFont="0" applyFill="0" applyBorder="0" applyAlignment="0" applyProtection="0"/>
    <xf numFmtId="41" fontId="63" fillId="0" borderId="0" applyFont="0" applyFill="0" applyBorder="0" applyAlignment="0" applyProtection="0">
      <alignment vertical="center"/>
    </xf>
    <xf numFmtId="41" fontId="63" fillId="0" borderId="0" applyFont="0" applyFill="0" applyBorder="0" applyAlignment="0" applyProtection="0"/>
    <xf numFmtId="0" fontId="150" fillId="0" borderId="0"/>
    <xf numFmtId="0" fontId="151" fillId="69" borderId="0" applyNumberFormat="0" applyBorder="0" applyAlignment="0" applyProtection="0"/>
    <xf numFmtId="0" fontId="151" fillId="70" borderId="0" applyNumberFormat="0" applyBorder="0" applyAlignment="0" applyProtection="0"/>
    <xf numFmtId="0" fontId="151" fillId="71" borderId="0" applyNumberFormat="0" applyBorder="0" applyAlignment="0" applyProtection="0"/>
    <xf numFmtId="40" fontId="139" fillId="0" borderId="0" applyFont="0" applyFill="0" applyBorder="0" applyAlignment="0" applyProtection="0"/>
    <xf numFmtId="38" fontId="139" fillId="0" borderId="0" applyFont="0" applyFill="0" applyBorder="0" applyAlignment="0" applyProtection="0"/>
    <xf numFmtId="211" fontId="1" fillId="0" borderId="10" applyNumberFormat="0"/>
    <xf numFmtId="38" fontId="103" fillId="0" borderId="0" applyFont="0" applyFill="0" applyBorder="0" applyAlignment="0" applyProtection="0"/>
    <xf numFmtId="40" fontId="103" fillId="0" borderId="0" applyFont="0" applyFill="0" applyBorder="0" applyAlignment="0" applyProtection="0"/>
    <xf numFmtId="0" fontId="152" fillId="0" borderId="0"/>
    <xf numFmtId="0" fontId="1" fillId="0" borderId="0"/>
  </cellStyleXfs>
  <cellXfs count="2084">
    <xf numFmtId="0" fontId="0" fillId="0" borderId="0" xfId="0"/>
    <xf numFmtId="0" fontId="1" fillId="0" borderId="0" xfId="279"/>
    <xf numFmtId="0" fontId="2" fillId="2" borderId="0" xfId="279" applyFont="1" applyFill="1"/>
    <xf numFmtId="0" fontId="1" fillId="2" borderId="0" xfId="279" applyFill="1"/>
    <xf numFmtId="0" fontId="1" fillId="3" borderId="1" xfId="279" applyFill="1" applyBorder="1"/>
    <xf numFmtId="0" fontId="3" fillId="4" borderId="2" xfId="279" applyFont="1" applyFill="1" applyBorder="1" applyAlignment="1">
      <alignment horizontal="center"/>
    </xf>
    <xf numFmtId="0" fontId="4" fillId="5" borderId="3" xfId="279" applyFont="1" applyFill="1" applyBorder="1" applyAlignment="1">
      <alignment horizontal="center"/>
    </xf>
    <xf numFmtId="0" fontId="3" fillId="4" borderId="3" xfId="279" applyFont="1" applyFill="1" applyBorder="1" applyAlignment="1">
      <alignment horizontal="center"/>
    </xf>
    <xf numFmtId="0" fontId="3" fillId="4" borderId="4" xfId="279" applyFont="1" applyFill="1" applyBorder="1" applyAlignment="1">
      <alignment horizontal="center"/>
    </xf>
    <xf numFmtId="0" fontId="1" fillId="3" borderId="5" xfId="279" applyFill="1" applyBorder="1"/>
    <xf numFmtId="0" fontId="1" fillId="3" borderId="6" xfId="279" applyFill="1" applyBorder="1"/>
    <xf numFmtId="0" fontId="5" fillId="0" borderId="0" xfId="229" applyFont="1" applyAlignment="1">
      <alignment vertical="center"/>
    </xf>
    <xf numFmtId="0" fontId="6" fillId="0" borderId="0" xfId="229" applyFont="1" applyAlignment="1">
      <alignment vertical="center"/>
    </xf>
    <xf numFmtId="0" fontId="6" fillId="0" borderId="0" xfId="229" applyFont="1" applyAlignment="1">
      <alignment horizontal="center" vertical="center"/>
    </xf>
    <xf numFmtId="0" fontId="7" fillId="0" borderId="0" xfId="229" applyFont="1" applyAlignment="1">
      <alignment vertical="center"/>
    </xf>
    <xf numFmtId="0" fontId="0" fillId="0" borderId="0" xfId="229" applyFont="1" applyAlignment="1">
      <alignment vertical="center"/>
    </xf>
    <xf numFmtId="0" fontId="0" fillId="0" borderId="0" xfId="229" applyFont="1" applyAlignment="1">
      <alignment horizontal="center" vertical="center"/>
    </xf>
    <xf numFmtId="0" fontId="8" fillId="0" borderId="0" xfId="6" applyFont="1" applyFill="1" applyAlignment="1" applyProtection="1">
      <alignment vertical="center"/>
    </xf>
    <xf numFmtId="0" fontId="8" fillId="0" borderId="0" xfId="6" applyFont="1" applyFill="1" applyAlignment="1" applyProtection="1">
      <alignment horizontal="center" vertical="center"/>
    </xf>
    <xf numFmtId="0" fontId="6" fillId="0" borderId="0" xfId="205" applyFont="1" applyAlignment="1">
      <alignment vertical="center"/>
    </xf>
    <xf numFmtId="231" fontId="5" fillId="0" borderId="0" xfId="231" applyNumberFormat="1" applyFont="1" applyAlignment="1">
      <alignment horizontal="center" vertical="center" wrapText="1"/>
    </xf>
    <xf numFmtId="231" fontId="6" fillId="0" borderId="0" xfId="231" applyNumberFormat="1" applyFont="1" applyAlignment="1">
      <alignment horizontal="center" vertical="center"/>
    </xf>
    <xf numFmtId="231" fontId="6" fillId="0" borderId="0" xfId="231" applyNumberFormat="1" applyFont="1" applyAlignment="1">
      <alignment horizontal="left" vertical="center" wrapText="1"/>
    </xf>
    <xf numFmtId="231" fontId="6" fillId="0" borderId="0" xfId="231" applyNumberFormat="1" applyFont="1" applyAlignment="1">
      <alignment horizontal="center" vertical="center" wrapText="1"/>
    </xf>
    <xf numFmtId="231" fontId="7" fillId="0" borderId="0" xfId="231" applyNumberFormat="1" applyFont="1" applyAlignment="1">
      <alignment horizontal="center" vertical="center" wrapText="1"/>
    </xf>
    <xf numFmtId="49" fontId="6" fillId="0" borderId="0" xfId="229" applyNumberFormat="1" applyFont="1" applyAlignment="1">
      <alignment horizontal="right" vertical="center"/>
    </xf>
    <xf numFmtId="0" fontId="9" fillId="0" borderId="0" xfId="222" applyFont="1" applyAlignment="1">
      <alignment horizontal="right" vertical="center"/>
    </xf>
    <xf numFmtId="0" fontId="7" fillId="6" borderId="5" xfId="231" applyFont="1" applyFill="1" applyBorder="1" applyAlignment="1">
      <alignment horizontal="center" vertical="center" shrinkToFit="1"/>
    </xf>
    <xf numFmtId="0" fontId="7" fillId="6" borderId="7" xfId="231" applyFont="1" applyFill="1" applyBorder="1" applyAlignment="1">
      <alignment horizontal="center" vertical="center" shrinkToFit="1"/>
    </xf>
    <xf numFmtId="0" fontId="7" fillId="6" borderId="8" xfId="231" applyFont="1" applyFill="1" applyBorder="1" applyAlignment="1">
      <alignment horizontal="center" vertical="center" shrinkToFit="1"/>
    </xf>
    <xf numFmtId="0" fontId="7" fillId="6" borderId="9" xfId="231" applyFont="1" applyFill="1" applyBorder="1" applyAlignment="1">
      <alignment horizontal="center" vertical="center" shrinkToFit="1"/>
    </xf>
    <xf numFmtId="0" fontId="10" fillId="6" borderId="10" xfId="205" applyFont="1" applyFill="1" applyBorder="1" applyAlignment="1">
      <alignment horizontal="center" vertical="center" shrinkToFit="1"/>
    </xf>
    <xf numFmtId="0" fontId="11" fillId="6" borderId="5" xfId="205" applyFont="1" applyFill="1" applyBorder="1" applyAlignment="1">
      <alignment horizontal="center" vertical="center" shrinkToFit="1"/>
    </xf>
    <xf numFmtId="0" fontId="7" fillId="6" borderId="5" xfId="218" applyFont="1" applyFill="1" applyBorder="1" applyAlignment="1">
      <alignment horizontal="center" vertical="center" wrapText="1"/>
    </xf>
    <xf numFmtId="0" fontId="7" fillId="6" borderId="11" xfId="231" applyFont="1" applyFill="1" applyBorder="1" applyAlignment="1">
      <alignment horizontal="center" vertical="center" shrinkToFit="1"/>
    </xf>
    <xf numFmtId="0" fontId="10" fillId="6" borderId="11" xfId="205" applyFont="1" applyFill="1" applyBorder="1" applyAlignment="1">
      <alignment horizontal="center" vertical="center" shrinkToFit="1"/>
    </xf>
    <xf numFmtId="0" fontId="7" fillId="6" borderId="11" xfId="218" applyFont="1" applyFill="1" applyBorder="1" applyAlignment="1">
      <alignment horizontal="center" vertical="center" wrapText="1"/>
    </xf>
    <xf numFmtId="0" fontId="12" fillId="6" borderId="10" xfId="231" applyFont="1" applyFill="1" applyBorder="1" applyAlignment="1">
      <alignment horizontal="left" vertical="center" shrinkToFit="1"/>
    </xf>
    <xf numFmtId="0" fontId="12" fillId="6" borderId="10" xfId="231" applyFont="1" applyFill="1" applyBorder="1" applyAlignment="1">
      <alignment horizontal="center" vertical="center" shrinkToFit="1"/>
    </xf>
    <xf numFmtId="231" fontId="7" fillId="6" borderId="10" xfId="231" applyNumberFormat="1" applyFont="1" applyFill="1" applyBorder="1" applyAlignment="1">
      <alignment horizontal="right" vertical="center" shrinkToFit="1"/>
    </xf>
    <xf numFmtId="0" fontId="7" fillId="0" borderId="10" xfId="218" applyFont="1" applyBorder="1" applyAlignment="1" applyProtection="1">
      <alignment horizontal="center" vertical="center" shrinkToFit="1"/>
      <protection locked="0"/>
    </xf>
    <xf numFmtId="0" fontId="6" fillId="6" borderId="10" xfId="205" applyFont="1" applyFill="1" applyBorder="1" applyAlignment="1">
      <alignment horizontal="left" vertical="center" shrinkToFit="1"/>
    </xf>
    <xf numFmtId="0" fontId="6" fillId="6" borderId="10" xfId="205" applyFont="1" applyFill="1" applyBorder="1" applyAlignment="1">
      <alignment horizontal="center" vertical="center" shrinkToFit="1"/>
    </xf>
    <xf numFmtId="231" fontId="6" fillId="7" borderId="10" xfId="262" applyNumberFormat="1" applyFont="1" applyFill="1" applyBorder="1" applyAlignment="1">
      <alignment horizontal="right" vertical="center" shrinkToFit="1"/>
    </xf>
    <xf numFmtId="231" fontId="6" fillId="6" borderId="10" xfId="262" applyNumberFormat="1" applyFont="1" applyFill="1" applyBorder="1" applyAlignment="1">
      <alignment horizontal="right" vertical="center" shrinkToFit="1"/>
    </xf>
    <xf numFmtId="231" fontId="2" fillId="6" borderId="10" xfId="231" applyNumberFormat="1" applyFont="1" applyFill="1" applyBorder="1" applyAlignment="1">
      <alignment horizontal="center" vertical="center" shrinkToFit="1"/>
    </xf>
    <xf numFmtId="0" fontId="2" fillId="0" borderId="0" xfId="229" applyFont="1" applyAlignment="1">
      <alignment vertical="center"/>
    </xf>
    <xf numFmtId="0" fontId="6" fillId="6" borderId="10" xfId="229" applyFont="1" applyFill="1" applyBorder="1" applyAlignment="1">
      <alignment vertical="center" shrinkToFit="1"/>
    </xf>
    <xf numFmtId="0" fontId="6" fillId="6" borderId="10" xfId="229" applyFont="1" applyFill="1" applyBorder="1" applyAlignment="1">
      <alignment horizontal="center" vertical="center" shrinkToFit="1"/>
    </xf>
    <xf numFmtId="0" fontId="6" fillId="6" borderId="10" xfId="231" applyFont="1" applyFill="1" applyBorder="1" applyAlignment="1">
      <alignment vertical="center" shrinkToFit="1"/>
    </xf>
    <xf numFmtId="0" fontId="6" fillId="6" borderId="10" xfId="231" applyFont="1" applyFill="1" applyBorder="1" applyAlignment="1">
      <alignment horizontal="center" vertical="center" shrinkToFit="1"/>
    </xf>
    <xf numFmtId="0" fontId="12" fillId="6" borderId="10" xfId="231" applyFont="1" applyFill="1" applyBorder="1" applyAlignment="1">
      <alignment vertical="center" shrinkToFit="1"/>
    </xf>
    <xf numFmtId="231" fontId="7" fillId="6" borderId="10" xfId="262" applyNumberFormat="1" applyFont="1" applyFill="1" applyBorder="1" applyAlignment="1">
      <alignment horizontal="right" vertical="center" shrinkToFit="1"/>
    </xf>
    <xf numFmtId="232" fontId="7" fillId="0" borderId="10" xfId="231" applyNumberFormat="1" applyFont="1" applyBorder="1" applyAlignment="1" applyProtection="1">
      <alignment horizontal="right" vertical="center" shrinkToFit="1"/>
      <protection locked="0"/>
    </xf>
    <xf numFmtId="232" fontId="6" fillId="0" borderId="10" xfId="231" applyNumberFormat="1" applyFont="1" applyBorder="1" applyAlignment="1" applyProtection="1">
      <alignment vertical="center" shrinkToFit="1"/>
      <protection locked="0"/>
    </xf>
    <xf numFmtId="231" fontId="12" fillId="6" borderId="10" xfId="231" applyNumberFormat="1" applyFont="1" applyFill="1" applyBorder="1" applyAlignment="1">
      <alignment vertical="center" shrinkToFit="1"/>
    </xf>
    <xf numFmtId="231" fontId="12" fillId="6" borderId="10" xfId="231" applyNumberFormat="1" applyFont="1" applyFill="1" applyBorder="1" applyAlignment="1">
      <alignment horizontal="center" vertical="center" shrinkToFit="1"/>
    </xf>
    <xf numFmtId="231" fontId="6" fillId="6" borderId="10" xfId="231" applyNumberFormat="1" applyFont="1" applyFill="1" applyBorder="1" applyAlignment="1">
      <alignment vertical="center" shrinkToFit="1"/>
    </xf>
    <xf numFmtId="231" fontId="6" fillId="6" borderId="10" xfId="231" applyNumberFormat="1" applyFont="1" applyFill="1" applyBorder="1" applyAlignment="1">
      <alignment horizontal="center" vertical="center" shrinkToFit="1"/>
    </xf>
    <xf numFmtId="0" fontId="6" fillId="6" borderId="10" xfId="205" applyFont="1" applyFill="1" applyBorder="1" applyAlignment="1">
      <alignment vertical="center" shrinkToFit="1"/>
    </xf>
    <xf numFmtId="0" fontId="12" fillId="6" borderId="10" xfId="205" applyFont="1" applyFill="1" applyBorder="1" applyAlignment="1">
      <alignment vertical="center" shrinkToFit="1"/>
    </xf>
    <xf numFmtId="0" fontId="12" fillId="6" borderId="10" xfId="205" applyFont="1" applyFill="1" applyBorder="1" applyAlignment="1">
      <alignment horizontal="center" vertical="center" shrinkToFit="1"/>
    </xf>
    <xf numFmtId="231" fontId="7" fillId="0" borderId="10" xfId="231" applyNumberFormat="1" applyFont="1" applyBorder="1" applyAlignment="1" applyProtection="1">
      <alignment vertical="center" shrinkToFit="1"/>
      <protection locked="0"/>
    </xf>
    <xf numFmtId="0" fontId="7" fillId="6" borderId="10" xfId="231" applyFont="1" applyFill="1" applyBorder="1" applyAlignment="1">
      <alignment vertical="center" shrinkToFit="1"/>
    </xf>
    <xf numFmtId="0" fontId="7" fillId="6" borderId="10" xfId="231" applyFont="1" applyFill="1" applyBorder="1" applyAlignment="1">
      <alignment horizontal="center" vertical="center" shrinkToFit="1"/>
    </xf>
    <xf numFmtId="231" fontId="7" fillId="6" borderId="10" xfId="231" applyNumberFormat="1" applyFont="1" applyFill="1" applyBorder="1" applyAlignment="1">
      <alignment vertical="center" shrinkToFit="1"/>
    </xf>
    <xf numFmtId="231" fontId="7" fillId="6" borderId="10" xfId="231" applyNumberFormat="1" applyFont="1" applyFill="1" applyBorder="1" applyAlignment="1">
      <alignment horizontal="center" vertical="center" shrinkToFit="1"/>
    </xf>
    <xf numFmtId="0" fontId="6" fillId="0" borderId="0" xfId="224" applyFont="1" applyAlignment="1">
      <alignment vertical="center"/>
    </xf>
    <xf numFmtId="0" fontId="6" fillId="0" borderId="0" xfId="224" applyFont="1" applyAlignment="1">
      <alignment horizontal="center" vertical="center"/>
    </xf>
    <xf numFmtId="209" fontId="6" fillId="0" borderId="0" xfId="224" applyNumberFormat="1" applyFont="1" applyAlignment="1">
      <alignment horizontal="center" vertical="center"/>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vertical="center"/>
      <protection hidden="1"/>
    </xf>
    <xf numFmtId="233" fontId="6" fillId="0" borderId="0" xfId="0" applyNumberFormat="1" applyFont="1" applyAlignment="1" applyProtection="1">
      <alignment vertical="center"/>
      <protection hidden="1"/>
    </xf>
    <xf numFmtId="0" fontId="6" fillId="0" borderId="0" xfId="0" applyFont="1" applyAlignment="1" applyProtection="1">
      <alignment vertical="center"/>
      <protection hidden="1"/>
    </xf>
    <xf numFmtId="0" fontId="15" fillId="0" borderId="0" xfId="0" applyFont="1" applyAlignment="1" applyProtection="1">
      <alignment vertical="center"/>
      <protection hidden="1"/>
    </xf>
    <xf numFmtId="0" fontId="6" fillId="0" borderId="0" xfId="0" applyFont="1" applyAlignment="1" applyProtection="1">
      <alignment vertical="center"/>
      <protection locked="0"/>
    </xf>
    <xf numFmtId="0" fontId="6" fillId="0" borderId="0" xfId="0" applyFont="1" applyAlignment="1" applyProtection="1">
      <alignment horizontal="center" vertical="center"/>
      <protection locked="0"/>
    </xf>
    <xf numFmtId="233" fontId="16" fillId="0" borderId="0" xfId="6" applyNumberFormat="1" applyFont="1" applyAlignment="1" applyProtection="1">
      <alignment horizontal="left" vertical="center" wrapText="1"/>
      <protection hidden="1"/>
    </xf>
    <xf numFmtId="0" fontId="16" fillId="0" borderId="0" xfId="6" applyFont="1" applyAlignment="1" applyProtection="1">
      <alignment horizontal="left" vertical="center" wrapText="1"/>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center" vertical="center" shrinkToFit="1"/>
      <protection hidden="1"/>
    </xf>
    <xf numFmtId="0" fontId="17" fillId="0" borderId="0" xfId="0" applyFont="1" applyAlignment="1" applyProtection="1">
      <alignment horizontal="center" vertical="center" wrapText="1"/>
      <protection hidden="1"/>
    </xf>
    <xf numFmtId="0" fontId="18" fillId="8" borderId="0" xfId="0" applyFont="1" applyFill="1" applyAlignment="1" applyProtection="1">
      <alignment vertical="center"/>
      <protection hidden="1"/>
    </xf>
    <xf numFmtId="0" fontId="18" fillId="0" borderId="0" xfId="0" applyFont="1" applyAlignment="1" applyProtection="1">
      <alignment vertical="center"/>
      <protection hidden="1"/>
    </xf>
    <xf numFmtId="0" fontId="13" fillId="0" borderId="0" xfId="0" applyFont="1" applyAlignment="1" applyProtection="1">
      <alignment vertical="center" shrinkToFit="1"/>
      <protection hidden="1"/>
    </xf>
    <xf numFmtId="0" fontId="13" fillId="0" borderId="0" xfId="0" applyFont="1" applyAlignment="1" applyProtection="1">
      <alignment vertical="center" shrinkToFit="1"/>
      <protection locked="0"/>
    </xf>
    <xf numFmtId="0" fontId="13" fillId="0" borderId="0" xfId="0" applyFont="1" applyAlignment="1" applyProtection="1">
      <alignment horizontal="center" vertical="center" shrinkToFit="1"/>
      <protection locked="0"/>
    </xf>
    <xf numFmtId="0" fontId="14" fillId="6" borderId="0" xfId="0" applyFont="1" applyFill="1" applyAlignment="1" applyProtection="1">
      <alignment horizontal="center" vertical="center" wrapText="1"/>
      <protection hidden="1"/>
    </xf>
    <xf numFmtId="0" fontId="18" fillId="6" borderId="0" xfId="0" applyFont="1" applyFill="1" applyAlignment="1" applyProtection="1">
      <alignment vertical="center"/>
      <protection hidden="1"/>
    </xf>
    <xf numFmtId="234" fontId="18" fillId="6" borderId="0" xfId="0" applyNumberFormat="1" applyFont="1" applyFill="1" applyAlignment="1" applyProtection="1">
      <alignment vertical="center"/>
      <protection hidden="1"/>
    </xf>
    <xf numFmtId="0" fontId="14" fillId="0" borderId="0" xfId="0" applyFont="1" applyAlignment="1" applyProtection="1">
      <alignment vertical="center"/>
      <protection locked="0"/>
    </xf>
    <xf numFmtId="0" fontId="14" fillId="0" borderId="0" xfId="0" applyFont="1" applyAlignment="1" applyProtection="1">
      <alignment horizontal="center" vertical="center"/>
      <protection locked="0"/>
    </xf>
    <xf numFmtId="235" fontId="6" fillId="6" borderId="0" xfId="0" applyNumberFormat="1" applyFont="1" applyFill="1" applyAlignment="1" applyProtection="1">
      <alignment horizontal="center" vertical="center"/>
      <protection hidden="1"/>
    </xf>
    <xf numFmtId="0" fontId="6" fillId="6" borderId="0" xfId="0" applyFont="1" applyFill="1" applyAlignment="1" applyProtection="1">
      <alignment horizontal="center" vertical="center"/>
      <protection hidden="1"/>
    </xf>
    <xf numFmtId="233" fontId="6" fillId="6" borderId="0" xfId="0" applyNumberFormat="1" applyFont="1" applyFill="1" applyAlignment="1" applyProtection="1">
      <alignment horizontal="center" vertical="center"/>
      <protection hidden="1"/>
    </xf>
    <xf numFmtId="235" fontId="15" fillId="6" borderId="0" xfId="0" applyNumberFormat="1" applyFont="1" applyFill="1" applyAlignment="1" applyProtection="1">
      <alignment horizontal="center" vertical="center"/>
      <protection hidden="1"/>
    </xf>
    <xf numFmtId="0" fontId="6" fillId="6" borderId="0" xfId="0" applyFont="1" applyFill="1" applyAlignment="1" applyProtection="1">
      <alignment horizontal="right" vertical="center"/>
      <protection hidden="1"/>
    </xf>
    <xf numFmtId="49" fontId="6" fillId="6" borderId="0" xfId="0" applyNumberFormat="1" applyFont="1" applyFill="1" applyAlignment="1" applyProtection="1">
      <alignment horizontal="center" vertical="center"/>
      <protection hidden="1"/>
    </xf>
    <xf numFmtId="0" fontId="7" fillId="6" borderId="0" xfId="0" applyFont="1" applyFill="1" applyAlignment="1">
      <alignment horizontal="center" vertical="center"/>
    </xf>
    <xf numFmtId="233" fontId="7" fillId="6" borderId="0" xfId="0" applyNumberFormat="1" applyFont="1" applyFill="1" applyAlignment="1">
      <alignment horizontal="center" vertical="center"/>
    </xf>
    <xf numFmtId="233" fontId="6" fillId="6" borderId="0" xfId="0" applyNumberFormat="1" applyFont="1" applyFill="1" applyAlignment="1" applyProtection="1">
      <alignment vertical="center"/>
      <protection hidden="1"/>
    </xf>
    <xf numFmtId="0" fontId="6" fillId="6" borderId="0" xfId="0" applyFont="1" applyFill="1" applyAlignment="1" applyProtection="1">
      <alignment vertical="center"/>
      <protection hidden="1"/>
    </xf>
    <xf numFmtId="0" fontId="15" fillId="6" borderId="0" xfId="0" applyFont="1" applyFill="1" applyAlignment="1" applyProtection="1">
      <alignment vertical="center"/>
      <protection hidden="1"/>
    </xf>
    <xf numFmtId="0" fontId="7" fillId="6" borderId="0" xfId="0" applyFont="1" applyFill="1" applyAlignment="1">
      <alignment vertical="center"/>
    </xf>
    <xf numFmtId="10" fontId="6" fillId="6" borderId="0" xfId="3" applyNumberFormat="1" applyFont="1" applyFill="1" applyAlignment="1" applyProtection="1">
      <alignment vertical="center" shrinkToFit="1"/>
    </xf>
    <xf numFmtId="0" fontId="6" fillId="6" borderId="0" xfId="0" applyFont="1" applyFill="1" applyAlignment="1">
      <alignment vertical="center"/>
    </xf>
    <xf numFmtId="231" fontId="9" fillId="6" borderId="0" xfId="214" applyNumberFormat="1" applyFont="1" applyFill="1" applyAlignment="1" applyProtection="1">
      <alignment horizontal="right" vertical="center"/>
      <protection hidden="1"/>
    </xf>
    <xf numFmtId="0" fontId="9" fillId="0" borderId="0" xfId="214" applyFont="1" applyAlignment="1" applyProtection="1">
      <alignment horizontal="center" vertical="center"/>
      <protection hidden="1"/>
    </xf>
    <xf numFmtId="0" fontId="9" fillId="0" borderId="0" xfId="214" applyFont="1" applyAlignment="1" applyProtection="1">
      <alignment vertical="center"/>
      <protection hidden="1"/>
    </xf>
    <xf numFmtId="0" fontId="7" fillId="0" borderId="0" xfId="0" applyFont="1" applyAlignment="1" applyProtection="1">
      <alignment vertical="center"/>
      <protection locked="0"/>
    </xf>
    <xf numFmtId="233" fontId="7" fillId="6" borderId="10" xfId="0" applyNumberFormat="1" applyFont="1" applyFill="1" applyBorder="1" applyAlignment="1" applyProtection="1">
      <alignment horizontal="center" vertical="center"/>
      <protection hidden="1"/>
    </xf>
    <xf numFmtId="0" fontId="7" fillId="6" borderId="10" xfId="0" applyFont="1" applyFill="1" applyBorder="1" applyAlignment="1" applyProtection="1">
      <alignment horizontal="center" vertical="center"/>
      <protection hidden="1"/>
    </xf>
    <xf numFmtId="0" fontId="7" fillId="6" borderId="10" xfId="0" applyFont="1" applyFill="1" applyBorder="1" applyAlignment="1">
      <alignment horizontal="center" vertical="center"/>
    </xf>
    <xf numFmtId="0" fontId="7" fillId="6" borderId="10"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19" fillId="6" borderId="10" xfId="0" applyFont="1" applyFill="1" applyBorder="1" applyAlignment="1" applyProtection="1">
      <alignment horizontal="center" vertical="center"/>
      <protection hidden="1"/>
    </xf>
    <xf numFmtId="0" fontId="7" fillId="6" borderId="10" xfId="0" applyFont="1" applyFill="1" applyBorder="1" applyAlignment="1" applyProtection="1">
      <alignment horizontal="center" vertical="center" wrapText="1"/>
      <protection hidden="1"/>
    </xf>
    <xf numFmtId="0" fontId="7" fillId="0" borderId="0" xfId="0" applyFont="1" applyAlignment="1" applyProtection="1">
      <alignment horizontal="center" vertical="center"/>
      <protection locked="0"/>
    </xf>
    <xf numFmtId="0" fontId="12" fillId="6" borderId="0" xfId="0" applyFont="1" applyFill="1" applyAlignment="1" applyProtection="1">
      <alignment horizontal="center" vertical="center" wrapText="1"/>
      <protection locked="0"/>
    </xf>
    <xf numFmtId="0" fontId="12" fillId="6" borderId="0" xfId="0" applyFont="1" applyFill="1" applyAlignment="1" applyProtection="1">
      <alignment horizontal="center" vertical="center" shrinkToFit="1"/>
      <protection locked="0"/>
    </xf>
    <xf numFmtId="0" fontId="12" fillId="6" borderId="0" xfId="0" applyFont="1" applyFill="1" applyAlignment="1" applyProtection="1">
      <alignment horizontal="center" vertical="center"/>
      <protection locked="0"/>
    </xf>
    <xf numFmtId="233" fontId="6" fillId="6" borderId="10" xfId="0" applyNumberFormat="1" applyFont="1" applyFill="1" applyBorder="1" applyAlignment="1" applyProtection="1">
      <alignment horizontal="center" vertical="center" shrinkToFit="1"/>
      <protection hidden="1"/>
    </xf>
    <xf numFmtId="0" fontId="6" fillId="6" borderId="10" xfId="0" applyFont="1" applyFill="1" applyBorder="1" applyAlignment="1" applyProtection="1">
      <alignment horizontal="left" vertical="center" shrinkToFit="1"/>
      <protection hidden="1"/>
    </xf>
    <xf numFmtId="14" fontId="6" fillId="6" borderId="10" xfId="0" applyNumberFormat="1" applyFont="1" applyFill="1" applyBorder="1" applyAlignment="1" applyProtection="1">
      <alignment horizontal="center" vertical="center" shrinkToFit="1"/>
      <protection hidden="1"/>
    </xf>
    <xf numFmtId="0" fontId="6" fillId="6" borderId="10" xfId="0" applyFont="1" applyFill="1" applyBorder="1" applyAlignment="1" applyProtection="1">
      <alignment horizontal="center" vertical="center" shrinkToFit="1"/>
      <protection hidden="1"/>
    </xf>
    <xf numFmtId="0" fontId="6" fillId="6" borderId="10" xfId="0" applyFont="1" applyFill="1" applyBorder="1" applyAlignment="1" applyProtection="1">
      <alignment horizontal="center" vertical="center" shrinkToFit="1"/>
      <protection locked="0"/>
    </xf>
    <xf numFmtId="43" fontId="6" fillId="6" borderId="10" xfId="0" applyNumberFormat="1" applyFont="1" applyFill="1" applyBorder="1" applyAlignment="1" applyProtection="1">
      <alignment horizontal="right" vertical="center" shrinkToFit="1"/>
      <protection locked="0"/>
    </xf>
    <xf numFmtId="231" fontId="6" fillId="6" borderId="10" xfId="0" applyNumberFormat="1" applyFont="1" applyFill="1" applyBorder="1" applyAlignment="1" applyProtection="1">
      <alignment horizontal="right" vertical="center" shrinkToFit="1"/>
      <protection hidden="1"/>
    </xf>
    <xf numFmtId="231" fontId="15" fillId="6" borderId="10" xfId="0" applyNumberFormat="1" applyFont="1" applyFill="1" applyBorder="1" applyAlignment="1" applyProtection="1">
      <alignment horizontal="right" vertical="center" shrinkToFit="1"/>
      <protection hidden="1"/>
    </xf>
    <xf numFmtId="0" fontId="6" fillId="6" borderId="10" xfId="0" applyFont="1" applyFill="1" applyBorder="1" applyAlignment="1" applyProtection="1">
      <alignment vertical="center" shrinkToFit="1"/>
      <protection hidden="1"/>
    </xf>
    <xf numFmtId="0" fontId="6" fillId="6" borderId="0" xfId="0" applyFont="1" applyFill="1" applyAlignment="1" applyProtection="1">
      <alignment horizontal="center" vertical="center" shrinkToFit="1"/>
      <protection locked="0"/>
    </xf>
    <xf numFmtId="0" fontId="6" fillId="0" borderId="0" xfId="0" applyFont="1" applyAlignment="1" applyProtection="1">
      <alignment horizontal="center" vertical="center" shrinkToFit="1"/>
      <protection locked="0"/>
    </xf>
    <xf numFmtId="0" fontId="6" fillId="6" borderId="0" xfId="0" applyFont="1" applyFill="1" applyAlignment="1" applyProtection="1">
      <alignment horizontal="left" vertical="center" shrinkToFit="1"/>
      <protection locked="0"/>
    </xf>
    <xf numFmtId="0" fontId="6" fillId="6" borderId="10" xfId="0" applyFont="1" applyFill="1" applyBorder="1" applyAlignment="1" applyProtection="1">
      <alignment horizontal="center" vertical="center"/>
      <protection hidden="1"/>
    </xf>
    <xf numFmtId="0" fontId="6" fillId="0" borderId="10" xfId="0" applyFont="1" applyBorder="1" applyAlignment="1" applyProtection="1">
      <alignment horizontal="center" vertical="center"/>
      <protection hidden="1"/>
    </xf>
    <xf numFmtId="0" fontId="6" fillId="0" borderId="10" xfId="0" applyFont="1" applyBorder="1" applyAlignment="1" applyProtection="1">
      <alignment vertical="center"/>
      <protection hidden="1"/>
    </xf>
    <xf numFmtId="231" fontId="6" fillId="6" borderId="0" xfId="0" applyNumberFormat="1" applyFont="1" applyFill="1" applyAlignment="1" applyProtection="1">
      <alignment horizontal="right" vertical="center" shrinkToFit="1"/>
      <protection locked="0"/>
    </xf>
    <xf numFmtId="0" fontId="6" fillId="0" borderId="10" xfId="0" applyFont="1" applyBorder="1" applyAlignment="1" applyProtection="1">
      <alignment horizontal="left" vertical="center" shrinkToFit="1"/>
      <protection hidden="1"/>
    </xf>
    <xf numFmtId="14" fontId="6" fillId="0" borderId="10" xfId="0" applyNumberFormat="1" applyFont="1" applyBorder="1" applyAlignment="1" applyProtection="1">
      <alignment horizontal="center" vertical="center" shrinkToFit="1"/>
      <protection hidden="1"/>
    </xf>
    <xf numFmtId="0" fontId="6" fillId="0" borderId="10" xfId="0" applyFont="1" applyBorder="1" applyAlignment="1" applyProtection="1">
      <alignment horizontal="center" vertical="center" shrinkToFit="1"/>
      <protection hidden="1"/>
    </xf>
    <xf numFmtId="0" fontId="6" fillId="0" borderId="10" xfId="0" applyFont="1" applyBorder="1" applyAlignment="1" applyProtection="1">
      <alignment horizontal="center" vertical="center" shrinkToFit="1"/>
      <protection locked="0"/>
    </xf>
    <xf numFmtId="231" fontId="6" fillId="0" borderId="10" xfId="0" applyNumberFormat="1" applyFont="1" applyBorder="1" applyAlignment="1" applyProtection="1">
      <alignment horizontal="right" vertical="center" shrinkToFit="1"/>
      <protection hidden="1"/>
    </xf>
    <xf numFmtId="231" fontId="15" fillId="0" borderId="10" xfId="0" applyNumberFormat="1" applyFont="1" applyBorder="1" applyAlignment="1" applyProtection="1">
      <alignment horizontal="right" vertical="center" shrinkToFit="1"/>
      <protection hidden="1"/>
    </xf>
    <xf numFmtId="0" fontId="6" fillId="0" borderId="10" xfId="0" applyFont="1" applyBorder="1" applyAlignment="1" applyProtection="1">
      <alignment vertical="center" shrinkToFit="1"/>
      <protection hidden="1"/>
    </xf>
    <xf numFmtId="0" fontId="6" fillId="6" borderId="0" xfId="0" applyFont="1" applyFill="1" applyAlignment="1" applyProtection="1">
      <alignment vertical="center"/>
      <protection locked="0"/>
    </xf>
    <xf numFmtId="0" fontId="2" fillId="6" borderId="0" xfId="0" applyFont="1" applyFill="1" applyAlignment="1" applyProtection="1">
      <alignment horizontal="center" vertical="center" shrinkToFit="1"/>
      <protection locked="0"/>
    </xf>
    <xf numFmtId="233" fontId="6" fillId="0" borderId="0" xfId="0" applyNumberFormat="1" applyFont="1" applyAlignment="1" applyProtection="1">
      <alignment horizontal="center" vertical="center" shrinkToFit="1"/>
      <protection locked="0"/>
    </xf>
    <xf numFmtId="0" fontId="7" fillId="6" borderId="10" xfId="0" applyFont="1" applyFill="1" applyBorder="1" applyAlignment="1" applyProtection="1">
      <alignment horizontal="center" vertical="center" shrinkToFit="1"/>
      <protection hidden="1"/>
    </xf>
    <xf numFmtId="236" fontId="7" fillId="6" borderId="10" xfId="0" applyNumberFormat="1" applyFont="1" applyFill="1" applyBorder="1" applyAlignment="1" applyProtection="1">
      <alignment horizontal="center" vertical="center" shrinkToFit="1"/>
      <protection hidden="1"/>
    </xf>
    <xf numFmtId="0" fontId="7" fillId="6" borderId="10" xfId="0" applyFont="1" applyFill="1" applyBorder="1" applyAlignment="1" applyProtection="1">
      <alignment vertical="center" shrinkToFit="1"/>
      <protection hidden="1"/>
    </xf>
    <xf numFmtId="231" fontId="7" fillId="6" borderId="10" xfId="0" applyNumberFormat="1" applyFont="1" applyFill="1" applyBorder="1" applyAlignment="1" applyProtection="1">
      <alignment horizontal="right" vertical="center" shrinkToFit="1"/>
      <protection hidden="1"/>
    </xf>
    <xf numFmtId="231" fontId="19" fillId="6" borderId="10" xfId="0" applyNumberFormat="1" applyFont="1" applyFill="1" applyBorder="1" applyAlignment="1" applyProtection="1">
      <alignment horizontal="right" vertical="center" shrinkToFit="1"/>
      <protection hidden="1"/>
    </xf>
    <xf numFmtId="0" fontId="6" fillId="6" borderId="0" xfId="0" applyFont="1" applyFill="1" applyAlignment="1" applyProtection="1">
      <alignment vertical="center" shrinkToFit="1"/>
      <protection hidden="1"/>
    </xf>
    <xf numFmtId="0" fontId="15" fillId="6" borderId="0" xfId="0" applyFont="1" applyFill="1" applyAlignment="1" applyProtection="1">
      <alignment vertical="center" shrinkToFit="1"/>
      <protection hidden="1"/>
    </xf>
    <xf numFmtId="43" fontId="6" fillId="6" borderId="0" xfId="1" applyFont="1" applyFill="1" applyAlignment="1" applyProtection="1">
      <alignment vertical="center"/>
      <protection hidden="1"/>
    </xf>
    <xf numFmtId="233" fontId="6" fillId="0" borderId="0" xfId="0" applyNumberFormat="1" applyFont="1" applyAlignment="1" applyProtection="1">
      <alignment vertical="center" shrinkToFit="1"/>
      <protection hidden="1"/>
    </xf>
    <xf numFmtId="0" fontId="6" fillId="0" borderId="0" xfId="0" applyFont="1" applyAlignment="1" applyProtection="1">
      <alignment vertical="center" shrinkToFit="1"/>
      <protection hidden="1"/>
    </xf>
    <xf numFmtId="231" fontId="6" fillId="6" borderId="0" xfId="1" applyNumberFormat="1" applyFont="1" applyFill="1" applyAlignment="1" applyProtection="1">
      <alignment horizontal="right" vertical="center"/>
      <protection hidden="1"/>
    </xf>
    <xf numFmtId="231" fontId="15" fillId="0" borderId="0" xfId="0" applyNumberFormat="1" applyFont="1" applyAlignment="1" applyProtection="1">
      <alignment horizontal="right" vertical="center" shrinkToFit="1"/>
      <protection hidden="1"/>
    </xf>
    <xf numFmtId="0" fontId="6" fillId="6" borderId="0" xfId="0" applyFont="1" applyFill="1" applyAlignment="1" applyProtection="1">
      <alignment horizontal="center" vertical="center"/>
      <protection locked="0"/>
    </xf>
    <xf numFmtId="0" fontId="6" fillId="6" borderId="0" xfId="0" applyFont="1" applyFill="1" applyAlignment="1">
      <alignment horizontal="center" vertical="center"/>
    </xf>
    <xf numFmtId="0" fontId="20" fillId="0" borderId="0" xfId="0" applyFont="1" applyAlignment="1">
      <alignment vertical="center"/>
    </xf>
    <xf numFmtId="0" fontId="15" fillId="0" borderId="0" xfId="0" applyFont="1" applyAlignment="1" applyProtection="1">
      <alignment vertical="center" shrinkToFit="1"/>
      <protection hidden="1"/>
    </xf>
    <xf numFmtId="0" fontId="6" fillId="0" borderId="0" xfId="0" applyFont="1" applyAlignment="1" applyProtection="1">
      <alignment horizontal="center" vertical="center"/>
      <protection hidden="1"/>
    </xf>
    <xf numFmtId="233" fontId="16" fillId="0" borderId="0" xfId="6" applyNumberFormat="1" applyFont="1" applyAlignment="1" applyProtection="1">
      <alignment horizontal="left" vertical="center"/>
      <protection hidden="1"/>
    </xf>
    <xf numFmtId="0" fontId="16" fillId="0" borderId="0" xfId="6" applyFont="1" applyAlignment="1" applyProtection="1">
      <alignment horizontal="left" vertical="center"/>
      <protection hidden="1"/>
    </xf>
    <xf numFmtId="0" fontId="13" fillId="0" borderId="0" xfId="0"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14" fillId="6" borderId="0" xfId="0" applyFont="1" applyFill="1" applyAlignment="1" applyProtection="1">
      <alignment horizontal="center" vertical="center"/>
      <protection hidden="1"/>
    </xf>
    <xf numFmtId="0" fontId="14" fillId="0" borderId="0" xfId="0" applyFont="1" applyAlignment="1" applyProtection="1">
      <alignment horizontal="center" vertical="center"/>
      <protection hidden="1"/>
    </xf>
    <xf numFmtId="9" fontId="6" fillId="6" borderId="0" xfId="0" applyNumberFormat="1" applyFont="1" applyFill="1" applyAlignment="1" applyProtection="1">
      <alignment horizontal="center" vertical="center"/>
      <protection hidden="1"/>
    </xf>
    <xf numFmtId="0" fontId="12" fillId="6" borderId="0" xfId="0" applyFont="1" applyFill="1" applyAlignment="1" applyProtection="1">
      <alignment horizontal="center" vertical="center" wrapText="1"/>
      <protection hidden="1"/>
    </xf>
    <xf numFmtId="231" fontId="6" fillId="6" borderId="10" xfId="0" applyNumberFormat="1" applyFont="1" applyFill="1" applyBorder="1" applyAlignment="1" applyProtection="1">
      <alignment vertical="center" shrinkToFit="1"/>
      <protection hidden="1"/>
    </xf>
    <xf numFmtId="231" fontId="15" fillId="6" borderId="10" xfId="0" applyNumberFormat="1" applyFont="1" applyFill="1" applyBorder="1" applyAlignment="1" applyProtection="1">
      <alignment vertical="center" shrinkToFit="1"/>
      <protection hidden="1"/>
    </xf>
    <xf numFmtId="231" fontId="6" fillId="0" borderId="0" xfId="0" applyNumberFormat="1" applyFont="1" applyAlignment="1" applyProtection="1">
      <alignment horizontal="right" vertical="center"/>
      <protection hidden="1"/>
    </xf>
    <xf numFmtId="231" fontId="6" fillId="6" borderId="0" xfId="0" applyNumberFormat="1" applyFont="1" applyFill="1" applyAlignment="1" applyProtection="1">
      <alignment horizontal="right" vertical="center"/>
      <protection hidden="1"/>
    </xf>
    <xf numFmtId="231" fontId="6" fillId="0" borderId="10" xfId="0" applyNumberFormat="1" applyFont="1" applyBorder="1" applyAlignment="1" applyProtection="1">
      <alignment vertical="center" shrinkToFit="1"/>
      <protection hidden="1"/>
    </xf>
    <xf numFmtId="231" fontId="15" fillId="0" borderId="10" xfId="0" applyNumberFormat="1" applyFont="1" applyBorder="1" applyAlignment="1" applyProtection="1">
      <alignment vertical="center" shrinkToFit="1"/>
      <protection hidden="1"/>
    </xf>
    <xf numFmtId="231" fontId="7" fillId="6" borderId="10" xfId="0" applyNumberFormat="1" applyFont="1" applyFill="1" applyBorder="1" applyAlignment="1" applyProtection="1">
      <alignment vertical="center" shrinkToFit="1"/>
      <protection hidden="1"/>
    </xf>
    <xf numFmtId="231" fontId="19" fillId="6" borderId="10" xfId="0" applyNumberFormat="1" applyFont="1" applyFill="1" applyBorder="1" applyAlignment="1" applyProtection="1">
      <alignment vertical="center" shrinkToFit="1"/>
      <protection hidden="1"/>
    </xf>
    <xf numFmtId="49" fontId="18" fillId="0" borderId="0" xfId="0" applyNumberFormat="1" applyFont="1" applyAlignment="1" applyProtection="1">
      <alignment vertical="center"/>
      <protection hidden="1"/>
    </xf>
    <xf numFmtId="9" fontId="6" fillId="6" borderId="0" xfId="0" applyNumberFormat="1" applyFont="1" applyFill="1" applyAlignment="1" applyProtection="1">
      <alignment vertical="center"/>
      <protection hidden="1"/>
    </xf>
    <xf numFmtId="0" fontId="7" fillId="6" borderId="0" xfId="0" applyFont="1" applyFill="1" applyAlignment="1" applyProtection="1">
      <alignment horizontal="center" vertical="center" wrapText="1" shrinkToFit="1"/>
      <protection hidden="1"/>
    </xf>
    <xf numFmtId="0" fontId="7" fillId="6" borderId="0" xfId="0" applyFont="1" applyFill="1" applyAlignment="1" applyProtection="1">
      <alignment horizontal="center" vertical="center" shrinkToFit="1"/>
      <protection hidden="1"/>
    </xf>
    <xf numFmtId="9" fontId="6" fillId="6" borderId="0" xfId="3" applyFont="1" applyFill="1" applyAlignment="1" applyProtection="1">
      <alignment vertical="center"/>
      <protection hidden="1"/>
    </xf>
    <xf numFmtId="43" fontId="6" fillId="6" borderId="0" xfId="1" applyFont="1" applyFill="1" applyAlignment="1" applyProtection="1">
      <alignment horizontal="center" vertical="center"/>
      <protection hidden="1"/>
    </xf>
    <xf numFmtId="0" fontId="12" fillId="6" borderId="7" xfId="0"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0" fontId="7" fillId="6" borderId="9" xfId="0" applyFont="1" applyFill="1" applyBorder="1" applyAlignment="1" applyProtection="1">
      <alignment horizontal="center" vertical="center"/>
      <protection hidden="1"/>
    </xf>
    <xf numFmtId="0" fontId="7" fillId="6" borderId="0" xfId="0" applyFont="1" applyFill="1" applyAlignment="1" applyProtection="1">
      <alignment horizontal="center" vertical="center"/>
      <protection hidden="1"/>
    </xf>
    <xf numFmtId="0" fontId="7" fillId="6" borderId="5" xfId="0" applyFont="1" applyFill="1" applyBorder="1" applyAlignment="1">
      <alignment horizontal="center" vertical="center" wrapText="1"/>
    </xf>
    <xf numFmtId="0" fontId="7" fillId="6" borderId="5" xfId="0" applyFont="1" applyFill="1" applyBorder="1" applyAlignment="1" applyProtection="1">
      <alignment horizontal="center" vertical="center" wrapText="1"/>
      <protection hidden="1"/>
    </xf>
    <xf numFmtId="0" fontId="7" fillId="0" borderId="0" xfId="0" applyFont="1" applyAlignment="1" applyProtection="1">
      <alignment horizontal="center" vertical="center" shrinkToFit="1"/>
      <protection locked="0"/>
    </xf>
    <xf numFmtId="233" fontId="7" fillId="6" borderId="10" xfId="0" applyNumberFormat="1" applyFont="1" applyFill="1" applyBorder="1" applyAlignment="1" applyProtection="1">
      <alignment horizontal="center" vertical="center" shrinkToFit="1"/>
      <protection hidden="1"/>
    </xf>
    <xf numFmtId="0" fontId="19" fillId="6" borderId="10" xfId="0" applyFont="1" applyFill="1" applyBorder="1" applyAlignment="1" applyProtection="1">
      <alignment horizontal="center" vertical="center" shrinkToFit="1"/>
      <protection hidden="1"/>
    </xf>
    <xf numFmtId="0" fontId="7" fillId="6" borderId="11" xfId="0" applyFont="1" applyFill="1" applyBorder="1" applyAlignment="1">
      <alignment horizontal="center" vertical="center" wrapText="1"/>
    </xf>
    <xf numFmtId="0" fontId="7" fillId="6" borderId="11" xfId="0" applyFont="1" applyFill="1" applyBorder="1" applyAlignment="1" applyProtection="1">
      <alignment horizontal="center" vertical="center" wrapText="1"/>
      <protection hidden="1"/>
    </xf>
    <xf numFmtId="0" fontId="6" fillId="6" borderId="10" xfId="0" applyFont="1" applyFill="1" applyBorder="1" applyAlignment="1" applyProtection="1">
      <alignment horizontal="right" vertical="center" shrinkToFit="1"/>
      <protection hidden="1"/>
    </xf>
    <xf numFmtId="0" fontId="6" fillId="0" borderId="10" xfId="0" applyFont="1" applyBorder="1" applyAlignment="1" applyProtection="1">
      <alignment horizontal="right" vertical="center" shrinkToFit="1"/>
      <protection hidden="1"/>
    </xf>
    <xf numFmtId="0" fontId="7" fillId="6" borderId="10" xfId="0" applyFont="1" applyFill="1" applyBorder="1" applyAlignment="1" applyProtection="1">
      <alignment horizontal="right" vertical="center" shrinkToFit="1"/>
      <protection hidden="1"/>
    </xf>
    <xf numFmtId="231" fontId="15" fillId="0" borderId="0" xfId="0" applyNumberFormat="1" applyFont="1" applyAlignment="1" applyProtection="1">
      <alignment horizontal="right" vertical="center"/>
      <protection hidden="1"/>
    </xf>
    <xf numFmtId="233" fontId="16" fillId="0" borderId="0" xfId="6" applyNumberFormat="1" applyFont="1" applyAlignment="1" applyProtection="1">
      <alignment horizontal="left" vertical="center" shrinkToFit="1"/>
      <protection hidden="1"/>
    </xf>
    <xf numFmtId="0" fontId="16" fillId="0" borderId="0" xfId="6" applyFont="1" applyAlignment="1" applyProtection="1">
      <alignment horizontal="left" vertical="center" shrinkToFit="1"/>
      <protection hidden="1"/>
    </xf>
    <xf numFmtId="0" fontId="17" fillId="0" borderId="0" xfId="0" applyFont="1" applyAlignment="1" applyProtection="1">
      <alignment horizontal="center" vertical="center" shrinkToFit="1"/>
      <protection hidden="1"/>
    </xf>
    <xf numFmtId="0" fontId="15" fillId="6" borderId="0" xfId="0" applyFont="1" applyFill="1" applyAlignment="1" applyProtection="1">
      <alignment horizontal="center" vertical="center"/>
      <protection hidden="1"/>
    </xf>
    <xf numFmtId="233" fontId="7" fillId="6" borderId="10" xfId="0" applyNumberFormat="1" applyFont="1" applyFill="1" applyBorder="1" applyAlignment="1" applyProtection="1">
      <alignment horizontal="center" vertical="center" wrapText="1" shrinkToFit="1"/>
      <protection hidden="1"/>
    </xf>
    <xf numFmtId="0" fontId="7" fillId="6" borderId="10" xfId="0" applyFont="1" applyFill="1" applyBorder="1" applyAlignment="1" applyProtection="1">
      <alignment horizontal="center" vertical="center" wrapText="1" shrinkToFit="1"/>
      <protection hidden="1"/>
    </xf>
    <xf numFmtId="0" fontId="7" fillId="6" borderId="5" xfId="0" applyFont="1" applyFill="1" applyBorder="1" applyAlignment="1" applyProtection="1">
      <alignment horizontal="center" vertical="center" wrapText="1" shrinkToFit="1"/>
      <protection hidden="1"/>
    </xf>
    <xf numFmtId="0" fontId="7" fillId="6" borderId="5" xfId="0" applyFont="1" applyFill="1" applyBorder="1" applyAlignment="1" applyProtection="1">
      <alignment horizontal="center" vertical="center" shrinkToFit="1"/>
      <protection hidden="1"/>
    </xf>
    <xf numFmtId="0" fontId="21" fillId="6" borderId="5" xfId="0" applyFont="1" applyFill="1" applyBorder="1" applyAlignment="1" applyProtection="1">
      <alignment horizontal="center" vertical="center" shrinkToFit="1"/>
      <protection hidden="1"/>
    </xf>
    <xf numFmtId="14" fontId="6" fillId="6" borderId="10" xfId="0" applyNumberFormat="1" applyFont="1" applyFill="1" applyBorder="1" applyAlignment="1" applyProtection="1">
      <alignment horizontal="left" vertical="center" shrinkToFit="1"/>
      <protection hidden="1"/>
    </xf>
    <xf numFmtId="236" fontId="6" fillId="6" borderId="10" xfId="0" applyNumberFormat="1" applyFont="1" applyFill="1" applyBorder="1" applyAlignment="1" applyProtection="1">
      <alignment horizontal="center" vertical="center" shrinkToFit="1"/>
      <protection hidden="1"/>
    </xf>
    <xf numFmtId="231" fontId="6" fillId="6" borderId="10" xfId="0" applyNumberFormat="1" applyFont="1" applyFill="1" applyBorder="1" applyAlignment="1" applyProtection="1">
      <alignment horizontal="center" vertical="center" shrinkToFit="1"/>
      <protection hidden="1"/>
    </xf>
    <xf numFmtId="0" fontId="6" fillId="0" borderId="11" xfId="0" applyFont="1" applyBorder="1" applyAlignment="1" applyProtection="1">
      <alignment horizontal="center" vertical="center"/>
      <protection hidden="1"/>
    </xf>
    <xf numFmtId="0" fontId="6" fillId="0" borderId="11" xfId="0" applyFont="1" applyBorder="1" applyAlignment="1" applyProtection="1">
      <alignment vertical="center"/>
      <protection hidden="1"/>
    </xf>
    <xf numFmtId="14" fontId="6" fillId="0" borderId="10" xfId="0" applyNumberFormat="1" applyFont="1" applyBorder="1" applyAlignment="1" applyProtection="1">
      <alignment horizontal="left" vertical="center" shrinkToFit="1"/>
      <protection hidden="1"/>
    </xf>
    <xf numFmtId="236" fontId="6" fillId="0" borderId="10" xfId="0" applyNumberFormat="1" applyFont="1" applyBorder="1" applyAlignment="1" applyProtection="1">
      <alignment horizontal="center" vertical="center" shrinkToFit="1"/>
      <protection hidden="1"/>
    </xf>
    <xf numFmtId="231" fontId="6" fillId="0" borderId="10" xfId="0" applyNumberFormat="1" applyFont="1" applyBorder="1" applyAlignment="1" applyProtection="1">
      <alignment horizontal="center" vertical="center" shrinkToFit="1"/>
      <protection hidden="1"/>
    </xf>
    <xf numFmtId="0" fontId="10" fillId="6" borderId="10" xfId="0" applyFont="1" applyFill="1" applyBorder="1" applyAlignment="1" applyProtection="1">
      <alignment horizontal="center" vertical="center" shrinkToFit="1"/>
      <protection hidden="1"/>
    </xf>
    <xf numFmtId="0" fontId="7" fillId="6" borderId="10" xfId="0" applyFont="1" applyFill="1" applyBorder="1" applyAlignment="1" applyProtection="1">
      <alignment horizontal="left" vertical="center" shrinkToFit="1"/>
      <protection hidden="1"/>
    </xf>
    <xf numFmtId="231" fontId="7" fillId="6" borderId="10" xfId="0" applyNumberFormat="1" applyFont="1" applyFill="1" applyBorder="1" applyAlignment="1" applyProtection="1">
      <alignment horizontal="center" vertical="center" shrinkToFit="1"/>
      <protection hidden="1"/>
    </xf>
    <xf numFmtId="43" fontId="6" fillId="0" borderId="0" xfId="1" applyFont="1" applyFill="1" applyAlignment="1" applyProtection="1">
      <alignment vertical="center"/>
      <protection hidden="1"/>
    </xf>
    <xf numFmtId="0" fontId="7" fillId="6" borderId="0" xfId="0" applyFont="1" applyFill="1" applyAlignment="1" applyProtection="1">
      <alignment horizontal="center" vertical="center" wrapText="1"/>
      <protection hidden="1"/>
    </xf>
    <xf numFmtId="43" fontId="6" fillId="6" borderId="10" xfId="1" applyFont="1" applyFill="1" applyBorder="1" applyAlignment="1" applyProtection="1">
      <alignment horizontal="center" vertical="center" shrinkToFit="1"/>
      <protection hidden="1"/>
    </xf>
    <xf numFmtId="237" fontId="7" fillId="6" borderId="10" xfId="0" applyNumberFormat="1" applyFont="1" applyFill="1" applyBorder="1" applyAlignment="1" applyProtection="1">
      <alignment horizontal="center" vertical="center" shrinkToFit="1"/>
      <protection hidden="1"/>
    </xf>
    <xf numFmtId="231" fontId="6" fillId="0" borderId="0" xfId="0" applyNumberFormat="1" applyFont="1" applyAlignment="1" applyProtection="1">
      <alignment vertical="center"/>
      <protection hidden="1"/>
    </xf>
    <xf numFmtId="0" fontId="6" fillId="0" borderId="0" xfId="0" applyFont="1" applyAlignment="1" applyProtection="1">
      <alignment horizontal="center" vertical="center" shrinkToFit="1"/>
      <protection hidden="1"/>
    </xf>
    <xf numFmtId="0" fontId="6" fillId="0" borderId="0" xfId="0" applyFont="1" applyAlignment="1">
      <alignment vertical="center"/>
    </xf>
    <xf numFmtId="231" fontId="18" fillId="0" borderId="0" xfId="0" applyNumberFormat="1" applyFont="1" applyAlignment="1" applyProtection="1">
      <alignment vertical="center"/>
      <protection hidden="1"/>
    </xf>
    <xf numFmtId="231" fontId="13" fillId="0" borderId="0" xfId="0" applyNumberFormat="1" applyFont="1" applyAlignment="1" applyProtection="1">
      <alignment vertical="center"/>
      <protection hidden="1"/>
    </xf>
    <xf numFmtId="0" fontId="13" fillId="0" borderId="0" xfId="0" applyFont="1" applyAlignment="1">
      <alignment vertical="center"/>
    </xf>
    <xf numFmtId="0" fontId="14" fillId="0" borderId="0" xfId="0" applyFont="1" applyAlignment="1" applyProtection="1">
      <alignment horizontal="center" vertical="center" wrapText="1"/>
      <protection hidden="1"/>
    </xf>
    <xf numFmtId="231" fontId="14" fillId="0" borderId="0" xfId="0" applyNumberFormat="1" applyFont="1" applyAlignment="1" applyProtection="1">
      <alignment vertical="center"/>
      <protection hidden="1"/>
    </xf>
    <xf numFmtId="0" fontId="14" fillId="0" borderId="0" xfId="0" applyFont="1" applyAlignment="1" applyProtection="1">
      <alignment vertical="center" shrinkToFit="1"/>
      <protection hidden="1"/>
    </xf>
    <xf numFmtId="0" fontId="14" fillId="0" borderId="0" xfId="0" applyFont="1" applyAlignment="1" applyProtection="1">
      <alignment horizontal="center" vertical="center" shrinkToFit="1"/>
      <protection hidden="1"/>
    </xf>
    <xf numFmtId="0" fontId="14" fillId="0" borderId="0" xfId="0" applyFont="1" applyAlignment="1">
      <alignment vertical="center"/>
    </xf>
    <xf numFmtId="235" fontId="6" fillId="0" borderId="0" xfId="0" applyNumberFormat="1" applyFont="1" applyAlignment="1" applyProtection="1">
      <alignment horizontal="center" vertical="center"/>
      <protection hidden="1"/>
    </xf>
    <xf numFmtId="43" fontId="6" fillId="0" borderId="0" xfId="1" applyFont="1" applyBorder="1" applyAlignment="1" applyProtection="1">
      <alignment horizontal="right" vertical="center"/>
      <protection hidden="1"/>
    </xf>
    <xf numFmtId="231" fontId="12" fillId="0" borderId="10" xfId="0" applyNumberFormat="1" applyFont="1" applyBorder="1" applyAlignment="1">
      <alignment horizontal="center" vertical="center" shrinkToFit="1"/>
    </xf>
    <xf numFmtId="231" fontId="7" fillId="0" borderId="10" xfId="0" applyNumberFormat="1" applyFont="1" applyBorder="1" applyAlignment="1">
      <alignment horizontal="center" vertical="center" shrinkToFit="1"/>
    </xf>
    <xf numFmtId="231" fontId="6" fillId="0" borderId="0" xfId="0" applyNumberFormat="1" applyFont="1" applyAlignment="1">
      <alignment vertical="center" shrinkToFit="1"/>
    </xf>
    <xf numFmtId="235" fontId="6" fillId="0" borderId="0" xfId="0" applyNumberFormat="1" applyFont="1" applyAlignment="1" applyProtection="1">
      <alignment vertical="center"/>
      <protection hidden="1"/>
    </xf>
    <xf numFmtId="49" fontId="6" fillId="0" borderId="0" xfId="0" applyNumberFormat="1" applyFont="1" applyAlignment="1" applyProtection="1">
      <alignment horizontal="right" vertical="center"/>
      <protection hidden="1"/>
    </xf>
    <xf numFmtId="231" fontId="7" fillId="0" borderId="10" xfId="231" applyNumberFormat="1" applyFont="1" applyBorder="1" applyAlignment="1">
      <alignment horizontal="center" vertical="center" shrinkToFit="1"/>
    </xf>
    <xf numFmtId="231" fontId="7" fillId="0" borderId="10" xfId="205" applyNumberFormat="1" applyFont="1" applyBorder="1" applyAlignment="1">
      <alignment horizontal="center" vertical="center" shrinkToFit="1"/>
    </xf>
    <xf numFmtId="0" fontId="7" fillId="0" borderId="0" xfId="0" applyFont="1" applyAlignment="1" applyProtection="1">
      <alignment vertical="center" shrinkToFit="1"/>
      <protection hidden="1"/>
    </xf>
    <xf numFmtId="0" fontId="7" fillId="0" borderId="10" xfId="0" applyFont="1" applyBorder="1" applyAlignment="1" applyProtection="1">
      <alignment horizontal="left" vertical="center" shrinkToFit="1"/>
      <protection hidden="1"/>
    </xf>
    <xf numFmtId="49" fontId="7" fillId="0" borderId="10" xfId="0" applyNumberFormat="1" applyFont="1" applyBorder="1" applyAlignment="1" applyProtection="1">
      <alignment horizontal="center" vertical="center"/>
      <protection hidden="1"/>
    </xf>
    <xf numFmtId="43" fontId="7" fillId="0" borderId="10" xfId="0" applyNumberFormat="1" applyFont="1" applyBorder="1" applyAlignment="1" applyProtection="1">
      <alignment horizontal="center" vertical="center"/>
      <protection hidden="1"/>
    </xf>
    <xf numFmtId="0" fontId="12" fillId="0" borderId="0" xfId="0" applyFont="1" applyAlignment="1" applyProtection="1">
      <alignment horizontal="center" vertical="center"/>
      <protection hidden="1"/>
    </xf>
    <xf numFmtId="231" fontId="6" fillId="0" borderId="0" xfId="0" applyNumberFormat="1" applyFont="1" applyAlignment="1">
      <alignment horizontal="center" vertical="center" shrinkToFit="1"/>
    </xf>
    <xf numFmtId="0" fontId="2" fillId="0" borderId="0" xfId="0" applyFont="1" applyAlignment="1" applyProtection="1">
      <alignment horizontal="center" vertical="center" shrinkToFit="1"/>
      <protection hidden="1"/>
    </xf>
    <xf numFmtId="0" fontId="6" fillId="0" borderId="0" xfId="0" applyFont="1" applyAlignment="1">
      <alignment horizontal="center" vertical="center"/>
    </xf>
    <xf numFmtId="43" fontId="6" fillId="0" borderId="10" xfId="1" applyFont="1" applyBorder="1" applyAlignment="1" applyProtection="1">
      <alignment horizontal="center" vertical="center" shrinkToFit="1"/>
      <protection hidden="1"/>
    </xf>
    <xf numFmtId="231" fontId="6" fillId="0" borderId="10" xfId="0" applyNumberFormat="1" applyFont="1" applyBorder="1" applyAlignment="1">
      <alignment horizontal="right" vertical="center" shrinkToFit="1"/>
    </xf>
    <xf numFmtId="231" fontId="6" fillId="0" borderId="0" xfId="0" applyNumberFormat="1" applyFont="1" applyAlignment="1" applyProtection="1">
      <alignment vertical="center" shrinkToFit="1"/>
      <protection hidden="1"/>
    </xf>
    <xf numFmtId="238" fontId="6" fillId="0" borderId="0" xfId="0" applyNumberFormat="1" applyFont="1" applyAlignment="1" applyProtection="1">
      <alignment horizontal="center" vertical="center" shrinkToFit="1"/>
      <protection hidden="1"/>
    </xf>
    <xf numFmtId="0" fontId="6" fillId="0" borderId="0" xfId="0" applyFont="1" applyAlignment="1" applyProtection="1">
      <alignment horizontal="left" vertical="center" shrinkToFit="1"/>
      <protection hidden="1"/>
    </xf>
    <xf numFmtId="49" fontId="6" fillId="0" borderId="10" xfId="0" applyNumberFormat="1" applyFont="1" applyBorder="1" applyAlignment="1" applyProtection="1">
      <alignment horizontal="center" vertical="center" shrinkToFit="1"/>
      <protection hidden="1"/>
    </xf>
    <xf numFmtId="49" fontId="6" fillId="0" borderId="10" xfId="0" applyNumberFormat="1" applyFont="1" applyBorder="1" applyAlignment="1" applyProtection="1">
      <alignment vertical="center" shrinkToFit="1"/>
      <protection hidden="1"/>
    </xf>
    <xf numFmtId="49" fontId="7" fillId="0" borderId="10" xfId="0" applyNumberFormat="1" applyFont="1" applyBorder="1" applyAlignment="1" applyProtection="1">
      <alignment horizontal="center" vertical="center" shrinkToFit="1"/>
      <protection hidden="1"/>
    </xf>
    <xf numFmtId="0" fontId="7" fillId="0" borderId="10" xfId="0" applyFont="1" applyBorder="1" applyAlignment="1" applyProtection="1">
      <alignment horizontal="center" vertical="center" shrinkToFit="1"/>
      <protection hidden="1"/>
    </xf>
    <xf numFmtId="231" fontId="7" fillId="0" borderId="10" xfId="0" applyNumberFormat="1" applyFont="1" applyBorder="1" applyAlignment="1" applyProtection="1">
      <alignment horizontal="right" vertical="center" shrinkToFit="1"/>
      <protection hidden="1"/>
    </xf>
    <xf numFmtId="231" fontId="7" fillId="0" borderId="10" xfId="0" applyNumberFormat="1" applyFont="1" applyBorder="1" applyAlignment="1" applyProtection="1">
      <alignment horizontal="right" vertical="center"/>
      <protection hidden="1"/>
    </xf>
    <xf numFmtId="231" fontId="7" fillId="0" borderId="10" xfId="0" applyNumberFormat="1" applyFont="1" applyBorder="1" applyAlignment="1">
      <alignment horizontal="right" vertical="center" shrinkToFit="1"/>
    </xf>
    <xf numFmtId="231" fontId="7" fillId="0" borderId="0" xfId="0" applyNumberFormat="1" applyFont="1" applyAlignment="1">
      <alignment vertical="center" shrinkToFit="1"/>
    </xf>
    <xf numFmtId="0" fontId="7" fillId="0" borderId="0" xfId="0" applyFont="1" applyAlignment="1" applyProtection="1">
      <alignment horizontal="center" vertical="center" shrinkToFit="1"/>
      <protection hidden="1"/>
    </xf>
    <xf numFmtId="2" fontId="7" fillId="0" borderId="0" xfId="0" applyNumberFormat="1" applyFont="1" applyAlignment="1" applyProtection="1">
      <alignment vertical="center" shrinkToFit="1"/>
      <protection hidden="1"/>
    </xf>
    <xf numFmtId="2" fontId="7" fillId="0" borderId="0" xfId="0" applyNumberFormat="1" applyFont="1" applyAlignment="1" applyProtection="1">
      <alignment horizontal="center" vertical="center" shrinkToFit="1"/>
      <protection hidden="1"/>
    </xf>
    <xf numFmtId="0" fontId="7" fillId="0" borderId="0" xfId="0" applyFont="1" applyAlignment="1">
      <alignment vertical="center"/>
    </xf>
    <xf numFmtId="43" fontId="6" fillId="0" borderId="0" xfId="1" applyFont="1" applyAlignment="1" applyProtection="1">
      <alignment vertical="center"/>
      <protection hidden="1"/>
    </xf>
    <xf numFmtId="233" fontId="16" fillId="9" borderId="0" xfId="6" applyNumberFormat="1" applyFont="1" applyFill="1" applyAlignment="1" applyProtection="1">
      <alignment horizontal="left" vertical="center" shrinkToFit="1"/>
      <protection hidden="1"/>
    </xf>
    <xf numFmtId="43" fontId="6" fillId="6" borderId="0" xfId="0" applyNumberFormat="1" applyFont="1" applyFill="1" applyAlignment="1" applyProtection="1">
      <alignment horizontal="center" vertical="center"/>
      <protection hidden="1"/>
    </xf>
    <xf numFmtId="43" fontId="7" fillId="6" borderId="10" xfId="1" applyFont="1" applyFill="1" applyBorder="1" applyAlignment="1" applyProtection="1">
      <alignment horizontal="center" vertical="center" shrinkToFit="1"/>
      <protection hidden="1"/>
    </xf>
    <xf numFmtId="0" fontId="12" fillId="6" borderId="10" xfId="0" applyFont="1" applyFill="1" applyBorder="1" applyAlignment="1" applyProtection="1">
      <alignment horizontal="center" vertical="center"/>
      <protection hidden="1"/>
    </xf>
    <xf numFmtId="0" fontId="6" fillId="0" borderId="0" xfId="0" applyFont="1" applyAlignment="1" applyProtection="1">
      <alignment horizontal="right" vertical="center"/>
      <protection hidden="1"/>
    </xf>
    <xf numFmtId="43" fontId="6" fillId="0" borderId="10" xfId="0" applyNumberFormat="1" applyFont="1" applyBorder="1" applyAlignment="1" applyProtection="1">
      <alignment horizontal="left" vertical="center" shrinkToFit="1"/>
      <protection hidden="1"/>
    </xf>
    <xf numFmtId="0" fontId="0" fillId="0" borderId="0" xfId="0" applyAlignment="1">
      <alignment vertical="center"/>
    </xf>
    <xf numFmtId="43" fontId="7" fillId="0" borderId="10" xfId="1" applyFont="1" applyBorder="1" applyAlignment="1" applyProtection="1">
      <alignment horizontal="center" vertical="center" shrinkToFit="1"/>
      <protection hidden="1"/>
    </xf>
    <xf numFmtId="10" fontId="6" fillId="6" borderId="10" xfId="3" applyNumberFormat="1" applyFont="1" applyFill="1" applyBorder="1" applyAlignment="1" applyProtection="1">
      <alignment horizontal="center" vertical="center" shrinkToFit="1"/>
      <protection hidden="1"/>
    </xf>
    <xf numFmtId="0" fontId="6" fillId="6" borderId="0" xfId="0" applyFont="1" applyFill="1" applyAlignment="1" applyProtection="1">
      <alignment horizontal="left" vertical="center" shrinkToFit="1"/>
      <protection hidden="1"/>
    </xf>
    <xf numFmtId="0" fontId="22" fillId="6" borderId="0" xfId="0" applyFont="1" applyFill="1" applyAlignment="1" applyProtection="1">
      <alignment horizontal="center" vertical="center" wrapText="1"/>
      <protection hidden="1"/>
    </xf>
    <xf numFmtId="231" fontId="6" fillId="6" borderId="0" xfId="0" applyNumberFormat="1" applyFont="1" applyFill="1" applyAlignment="1">
      <alignment horizontal="right" vertical="center"/>
    </xf>
    <xf numFmtId="0" fontId="21" fillId="6" borderId="10" xfId="0" applyFont="1" applyFill="1" applyBorder="1" applyAlignment="1" applyProtection="1">
      <alignment horizontal="center" vertical="center" wrapText="1"/>
      <protection hidden="1"/>
    </xf>
    <xf numFmtId="0" fontId="6" fillId="6" borderId="0" xfId="0" applyFont="1" applyFill="1" applyAlignment="1" applyProtection="1">
      <alignment horizontal="center" vertical="center" shrinkToFit="1"/>
      <protection hidden="1"/>
    </xf>
    <xf numFmtId="0" fontId="7" fillId="0" borderId="0" xfId="0" applyFont="1" applyAlignment="1">
      <alignment horizontal="center" vertical="center"/>
    </xf>
    <xf numFmtId="0" fontId="6" fillId="0" borderId="0" xfId="0" applyFont="1" applyAlignment="1">
      <alignment vertical="center" shrinkToFit="1"/>
    </xf>
    <xf numFmtId="0" fontId="7" fillId="0" borderId="0" xfId="0" applyFont="1" applyAlignment="1">
      <alignment vertical="center" shrinkToFit="1"/>
    </xf>
    <xf numFmtId="233" fontId="6" fillId="0" borderId="0" xfId="0" applyNumberFormat="1" applyFont="1" applyAlignment="1">
      <alignment vertical="center"/>
    </xf>
    <xf numFmtId="233" fontId="23" fillId="0" borderId="0" xfId="235" applyNumberFormat="1" applyFont="1" applyFill="1" applyAlignment="1" applyProtection="1">
      <alignment horizontal="left" vertical="center" shrinkToFit="1"/>
      <protection hidden="1"/>
    </xf>
    <xf numFmtId="0" fontId="23" fillId="0" borderId="0" xfId="235" applyFont="1" applyFill="1" applyAlignment="1" applyProtection="1">
      <alignment horizontal="left" vertical="center" wrapText="1"/>
      <protection hidden="1"/>
    </xf>
    <xf numFmtId="0" fontId="22" fillId="6" borderId="0" xfId="0" applyFont="1" applyFill="1" applyAlignment="1">
      <alignment horizontal="center" vertical="center" wrapText="1"/>
    </xf>
    <xf numFmtId="0" fontId="14" fillId="6" borderId="0" xfId="0" applyFont="1" applyFill="1" applyAlignment="1">
      <alignment horizontal="center" vertical="center" wrapText="1"/>
    </xf>
    <xf numFmtId="0" fontId="14" fillId="0" borderId="0" xfId="0" applyFont="1" applyAlignment="1">
      <alignment horizontal="center" vertical="center"/>
    </xf>
    <xf numFmtId="235" fontId="6" fillId="6" borderId="0" xfId="0" applyNumberFormat="1" applyFont="1" applyFill="1" applyAlignment="1">
      <alignment horizontal="center" vertical="center"/>
    </xf>
    <xf numFmtId="233" fontId="6" fillId="6" borderId="0" xfId="0" applyNumberFormat="1" applyFont="1" applyFill="1" applyAlignment="1">
      <alignment horizontal="center" vertical="center"/>
    </xf>
    <xf numFmtId="43" fontId="6" fillId="6" borderId="0" xfId="0" applyNumberFormat="1" applyFont="1" applyFill="1" applyAlignment="1">
      <alignment horizontal="center" vertical="center"/>
    </xf>
    <xf numFmtId="233" fontId="6" fillId="6" borderId="0" xfId="0" applyNumberFormat="1" applyFont="1" applyFill="1" applyAlignment="1">
      <alignment vertical="center"/>
    </xf>
    <xf numFmtId="0" fontId="6" fillId="6" borderId="0" xfId="0" applyFont="1" applyFill="1" applyAlignment="1">
      <alignment horizontal="right" vertical="center"/>
    </xf>
    <xf numFmtId="233" fontId="7" fillId="6" borderId="10" xfId="0" applyNumberFormat="1" applyFont="1" applyFill="1" applyBorder="1" applyAlignment="1">
      <alignment horizontal="center" vertical="center"/>
    </xf>
    <xf numFmtId="0" fontId="24" fillId="6" borderId="10" xfId="207" applyFont="1" applyFill="1" applyBorder="1" applyAlignment="1">
      <alignment horizontal="center" vertical="center" wrapText="1"/>
    </xf>
    <xf numFmtId="43" fontId="24" fillId="6" borderId="10" xfId="260" applyFont="1" applyFill="1" applyBorder="1" applyAlignment="1">
      <alignment horizontal="center" vertical="center"/>
    </xf>
    <xf numFmtId="0" fontId="24" fillId="6" borderId="10" xfId="207" applyFont="1" applyFill="1" applyBorder="1" applyAlignment="1">
      <alignment horizontal="center" vertical="center"/>
    </xf>
    <xf numFmtId="14" fontId="24" fillId="6" borderId="10" xfId="207" applyNumberFormat="1" applyFont="1" applyFill="1" applyBorder="1" applyAlignment="1">
      <alignment horizontal="center" vertical="center" wrapText="1"/>
    </xf>
    <xf numFmtId="0" fontId="25" fillId="6" borderId="5" xfId="207" applyFont="1" applyFill="1" applyBorder="1" applyAlignment="1">
      <alignment horizontal="center" vertical="center" wrapText="1"/>
    </xf>
    <xf numFmtId="0" fontId="25" fillId="6" borderId="10" xfId="207" applyFont="1" applyFill="1" applyBorder="1" applyAlignment="1">
      <alignment horizontal="center" vertical="center" shrinkToFit="1"/>
    </xf>
    <xf numFmtId="0" fontId="24" fillId="6" borderId="10" xfId="207" applyFont="1" applyFill="1" applyBorder="1" applyAlignment="1">
      <alignment horizontal="center" vertical="center" shrinkToFit="1"/>
    </xf>
    <xf numFmtId="43" fontId="24" fillId="6" borderId="10" xfId="260" applyFont="1" applyFill="1" applyBorder="1" applyAlignment="1">
      <alignment horizontal="center" vertical="center" wrapText="1"/>
    </xf>
    <xf numFmtId="43" fontId="25" fillId="6" borderId="7" xfId="260" applyFont="1" applyFill="1" applyBorder="1" applyAlignment="1">
      <alignment horizontal="center" vertical="center" wrapText="1"/>
    </xf>
    <xf numFmtId="43" fontId="24" fillId="6" borderId="8" xfId="260" applyFont="1" applyFill="1" applyBorder="1" applyAlignment="1">
      <alignment horizontal="center" vertical="center" wrapText="1"/>
    </xf>
    <xf numFmtId="43" fontId="24" fillId="6" borderId="9" xfId="260" applyFont="1" applyFill="1" applyBorder="1" applyAlignment="1">
      <alignment horizontal="center" vertical="center" wrapText="1"/>
    </xf>
    <xf numFmtId="0" fontId="19" fillId="6" borderId="10" xfId="0" applyFont="1" applyFill="1" applyBorder="1" applyAlignment="1">
      <alignment horizontal="center" vertical="center"/>
    </xf>
    <xf numFmtId="0" fontId="24" fillId="6" borderId="12" xfId="207" applyFont="1" applyFill="1" applyBorder="1" applyAlignment="1">
      <alignment horizontal="center" vertical="center" wrapText="1"/>
    </xf>
    <xf numFmtId="0" fontId="6" fillId="6" borderId="10" xfId="0" applyFont="1" applyFill="1" applyBorder="1" applyAlignment="1">
      <alignment horizontal="left" vertical="center" shrinkToFit="1"/>
    </xf>
    <xf numFmtId="239" fontId="6" fillId="6" borderId="10" xfId="0" applyNumberFormat="1" applyFont="1" applyFill="1" applyBorder="1" applyAlignment="1">
      <alignment horizontal="center" vertical="center" shrinkToFit="1"/>
    </xf>
    <xf numFmtId="43" fontId="6" fillId="6" borderId="10" xfId="0" applyNumberFormat="1" applyFont="1" applyFill="1" applyBorder="1" applyAlignment="1">
      <alignment horizontal="right" vertical="center" shrinkToFit="1"/>
    </xf>
    <xf numFmtId="0" fontId="6" fillId="6" borderId="10" xfId="0" applyFont="1" applyFill="1" applyBorder="1" applyAlignment="1">
      <alignment horizontal="center" vertical="center" shrinkToFit="1"/>
    </xf>
    <xf numFmtId="14" fontId="6" fillId="6" borderId="10" xfId="0" applyNumberFormat="1" applyFont="1" applyFill="1" applyBorder="1" applyAlignment="1">
      <alignment horizontal="center" vertical="center" shrinkToFit="1"/>
    </xf>
    <xf numFmtId="231" fontId="6" fillId="6" borderId="10" xfId="0" applyNumberFormat="1" applyFont="1" applyFill="1" applyBorder="1" applyAlignment="1">
      <alignment horizontal="right" vertical="center" shrinkToFit="1"/>
    </xf>
    <xf numFmtId="0" fontId="6" fillId="6" borderId="10" xfId="0" applyFont="1" applyFill="1" applyBorder="1" applyAlignment="1">
      <alignment vertical="center" shrinkToFit="1"/>
    </xf>
    <xf numFmtId="0" fontId="6" fillId="0" borderId="10" xfId="0" applyFont="1" applyBorder="1" applyAlignment="1">
      <alignment horizontal="left" vertical="center" shrinkToFit="1"/>
    </xf>
    <xf numFmtId="239" fontId="6" fillId="0" borderId="10" xfId="0" applyNumberFormat="1" applyFont="1" applyBorder="1" applyAlignment="1">
      <alignment horizontal="center" vertical="center" shrinkToFit="1"/>
    </xf>
    <xf numFmtId="43" fontId="6" fillId="0" borderId="10" xfId="0" applyNumberFormat="1" applyFont="1" applyBorder="1" applyAlignment="1">
      <alignment horizontal="right" vertical="center" shrinkToFit="1"/>
    </xf>
    <xf numFmtId="0" fontId="6" fillId="0" borderId="10" xfId="0" applyFont="1" applyBorder="1" applyAlignment="1">
      <alignment horizontal="center" vertical="center" shrinkToFit="1"/>
    </xf>
    <xf numFmtId="14" fontId="6" fillId="0" borderId="10" xfId="0" applyNumberFormat="1" applyFont="1" applyBorder="1" applyAlignment="1">
      <alignment horizontal="center" vertical="center" shrinkToFit="1"/>
    </xf>
    <xf numFmtId="0" fontId="6" fillId="0" borderId="10" xfId="0" applyFont="1" applyBorder="1" applyAlignment="1">
      <alignment vertical="center" shrinkToFit="1"/>
    </xf>
    <xf numFmtId="0" fontId="7" fillId="6" borderId="10" xfId="0" applyFont="1" applyFill="1" applyBorder="1" applyAlignment="1">
      <alignment horizontal="center" vertical="center" shrinkToFit="1"/>
    </xf>
    <xf numFmtId="239" fontId="7" fillId="6" borderId="10" xfId="0" applyNumberFormat="1" applyFont="1" applyFill="1" applyBorder="1" applyAlignment="1">
      <alignment horizontal="center" vertical="center" shrinkToFit="1"/>
    </xf>
    <xf numFmtId="43" fontId="7" fillId="6" borderId="10" xfId="0" applyNumberFormat="1" applyFont="1" applyFill="1" applyBorder="1" applyAlignment="1">
      <alignment horizontal="right" vertical="center" shrinkToFit="1"/>
    </xf>
    <xf numFmtId="231" fontId="7" fillId="6" borderId="10" xfId="0" applyNumberFormat="1" applyFont="1" applyFill="1" applyBorder="1" applyAlignment="1">
      <alignment horizontal="right" vertical="center" shrinkToFit="1"/>
    </xf>
    <xf numFmtId="0" fontId="7" fillId="6" borderId="10" xfId="0" applyFont="1" applyFill="1" applyBorder="1" applyAlignment="1">
      <alignment vertical="center" shrinkToFit="1"/>
    </xf>
    <xf numFmtId="235" fontId="6" fillId="6" borderId="0" xfId="0" applyNumberFormat="1" applyFont="1" applyFill="1" applyAlignment="1">
      <alignment vertical="center"/>
    </xf>
    <xf numFmtId="233" fontId="6" fillId="6" borderId="0" xfId="1" applyNumberFormat="1" applyFont="1" applyFill="1" applyAlignment="1">
      <alignment vertical="center"/>
    </xf>
    <xf numFmtId="231" fontId="6" fillId="6" borderId="0" xfId="1" applyNumberFormat="1" applyFont="1" applyFill="1" applyAlignment="1">
      <alignment horizontal="right" vertical="center"/>
    </xf>
    <xf numFmtId="231" fontId="6" fillId="0" borderId="0" xfId="0" applyNumberFormat="1" applyFont="1" applyAlignment="1">
      <alignment horizontal="right" vertical="center"/>
    </xf>
    <xf numFmtId="0" fontId="22" fillId="0" borderId="0" xfId="0" applyFont="1" applyAlignment="1" applyProtection="1">
      <alignment horizontal="center" vertical="center" wrapText="1"/>
      <protection hidden="1"/>
    </xf>
    <xf numFmtId="235" fontId="6" fillId="0" borderId="0" xfId="0" applyNumberFormat="1" applyFont="1" applyAlignment="1" applyProtection="1">
      <alignment horizontal="right" vertical="center"/>
      <protection hidden="1"/>
    </xf>
    <xf numFmtId="235" fontId="6" fillId="0" borderId="10" xfId="0" applyNumberFormat="1" applyFont="1" applyBorder="1" applyAlignment="1" applyProtection="1">
      <alignment horizontal="center" vertical="center" shrinkToFit="1"/>
      <protection hidden="1"/>
    </xf>
    <xf numFmtId="49" fontId="2" fillId="0" borderId="10" xfId="0" applyNumberFormat="1" applyFont="1" applyBorder="1" applyAlignment="1" applyProtection="1">
      <alignment vertical="center" shrinkToFit="1"/>
      <protection hidden="1"/>
    </xf>
    <xf numFmtId="235" fontId="7" fillId="0" borderId="10" xfId="0" applyNumberFormat="1" applyFont="1" applyBorder="1" applyAlignment="1" applyProtection="1">
      <alignment horizontal="center" vertical="center" shrinkToFit="1"/>
      <protection hidden="1"/>
    </xf>
    <xf numFmtId="49" fontId="12" fillId="0" borderId="10" xfId="0" applyNumberFormat="1" applyFont="1" applyBorder="1" applyAlignment="1" applyProtection="1">
      <alignment horizontal="center" vertical="center" shrinkToFit="1"/>
      <protection hidden="1"/>
    </xf>
    <xf numFmtId="231" fontId="6" fillId="0" borderId="10" xfId="0" applyNumberFormat="1" applyFont="1" applyBorder="1" applyAlignment="1" applyProtection="1">
      <alignment horizontal="right" vertical="center"/>
      <protection hidden="1"/>
    </xf>
    <xf numFmtId="43" fontId="6" fillId="0" borderId="0" xfId="0" applyNumberFormat="1" applyFont="1" applyAlignment="1" applyProtection="1">
      <alignment vertical="center" shrinkToFit="1"/>
      <protection hidden="1"/>
    </xf>
    <xf numFmtId="0" fontId="6" fillId="6" borderId="0" xfId="0" applyFont="1" applyFill="1" applyAlignment="1" applyProtection="1">
      <alignment horizontal="right" vertical="center" shrinkToFit="1"/>
      <protection locked="0"/>
    </xf>
    <xf numFmtId="43" fontId="6" fillId="6" borderId="0" xfId="3" applyNumberFormat="1" applyFont="1" applyFill="1" applyAlignment="1" applyProtection="1">
      <alignment vertical="center"/>
      <protection hidden="1"/>
    </xf>
    <xf numFmtId="43" fontId="6" fillId="6" borderId="0" xfId="0" applyNumberFormat="1" applyFont="1" applyFill="1" applyAlignment="1" applyProtection="1">
      <alignment vertical="center"/>
      <protection hidden="1"/>
    </xf>
    <xf numFmtId="0" fontId="12" fillId="6" borderId="10" xfId="0" applyFont="1" applyFill="1" applyBorder="1" applyAlignment="1" applyProtection="1">
      <alignment horizontal="center" vertical="center" wrapText="1" shrinkToFit="1"/>
      <protection hidden="1"/>
    </xf>
    <xf numFmtId="0" fontId="7" fillId="0" borderId="0" xfId="0" applyFont="1" applyAlignment="1" applyProtection="1">
      <alignment horizontal="center" vertical="center" wrapText="1"/>
      <protection hidden="1"/>
    </xf>
    <xf numFmtId="233" fontId="7" fillId="6" borderId="10" xfId="0" applyNumberFormat="1" applyFont="1" applyFill="1" applyBorder="1" applyAlignment="1" applyProtection="1">
      <alignment horizontal="center" vertical="center" wrapText="1"/>
      <protection hidden="1"/>
    </xf>
    <xf numFmtId="0" fontId="12" fillId="6" borderId="10" xfId="0" applyFont="1" applyFill="1" applyBorder="1" applyAlignment="1" applyProtection="1">
      <alignment horizontal="center" vertical="center" wrapText="1"/>
      <protection hidden="1"/>
    </xf>
    <xf numFmtId="0" fontId="19" fillId="6" borderId="10" xfId="0" applyFont="1" applyFill="1" applyBorder="1" applyAlignment="1" applyProtection="1">
      <alignment horizontal="center" vertical="center" wrapText="1"/>
      <protection hidden="1"/>
    </xf>
    <xf numFmtId="231" fontId="6" fillId="6" borderId="10" xfId="1" applyNumberFormat="1" applyFont="1" applyFill="1" applyBorder="1" applyAlignment="1" applyProtection="1">
      <alignment horizontal="right" vertical="center" shrinkToFit="1"/>
      <protection hidden="1"/>
    </xf>
    <xf numFmtId="43" fontId="7" fillId="6" borderId="10" xfId="0" applyNumberFormat="1" applyFont="1" applyFill="1" applyBorder="1" applyAlignment="1" applyProtection="1">
      <alignment horizontal="right" vertical="center" shrinkToFit="1"/>
      <protection hidden="1"/>
    </xf>
    <xf numFmtId="231" fontId="6" fillId="0" borderId="0" xfId="0" applyNumberFormat="1" applyFont="1" applyAlignment="1" applyProtection="1">
      <alignment horizontal="right" vertical="center" shrinkToFit="1"/>
      <protection hidden="1"/>
    </xf>
    <xf numFmtId="14" fontId="7" fillId="6" borderId="10" xfId="0" applyNumberFormat="1" applyFont="1" applyFill="1" applyBorder="1" applyAlignment="1" applyProtection="1">
      <alignment horizontal="center" vertical="center" shrinkToFit="1"/>
      <protection hidden="1"/>
    </xf>
    <xf numFmtId="0" fontId="9" fillId="0" borderId="0" xfId="212" applyFont="1" applyAlignment="1">
      <alignment horizontal="center" vertical="center"/>
    </xf>
    <xf numFmtId="0" fontId="9" fillId="0" borderId="0" xfId="212" applyFont="1" applyAlignment="1">
      <alignment vertical="center"/>
    </xf>
    <xf numFmtId="0" fontId="9" fillId="0" borderId="0" xfId="212" applyFont="1" applyAlignment="1">
      <alignment horizontal="center" vertical="center" shrinkToFit="1"/>
    </xf>
    <xf numFmtId="0" fontId="9" fillId="0" borderId="0" xfId="212" applyFont="1" applyAlignment="1">
      <alignment vertical="center" shrinkToFit="1"/>
    </xf>
    <xf numFmtId="49" fontId="26" fillId="0" borderId="10" xfId="0" applyNumberFormat="1" applyFont="1" applyBorder="1" applyAlignment="1">
      <alignment horizontal="center" vertical="center"/>
    </xf>
    <xf numFmtId="0" fontId="27" fillId="0" borderId="10" xfId="212" applyFont="1" applyBorder="1" applyAlignment="1">
      <alignment horizontal="center" vertical="center" wrapText="1"/>
    </xf>
    <xf numFmtId="0" fontId="28" fillId="0" borderId="0" xfId="212" applyFont="1" applyAlignment="1">
      <alignment vertical="center"/>
    </xf>
    <xf numFmtId="0" fontId="9" fillId="0" borderId="10" xfId="212" applyFont="1" applyBorder="1" applyAlignment="1">
      <alignment horizontal="center" vertical="center"/>
    </xf>
    <xf numFmtId="0" fontId="9" fillId="0" borderId="10" xfId="212" applyFont="1" applyBorder="1" applyAlignment="1">
      <alignment horizontal="center" vertical="center" shrinkToFit="1"/>
    </xf>
    <xf numFmtId="240" fontId="26" fillId="0" borderId="10" xfId="0" applyNumberFormat="1" applyFont="1" applyBorder="1" applyAlignment="1">
      <alignment horizontal="center" vertical="center" wrapText="1"/>
    </xf>
    <xf numFmtId="0" fontId="26" fillId="0" borderId="0" xfId="0" applyFont="1" applyAlignment="1">
      <alignment vertical="center"/>
    </xf>
    <xf numFmtId="0" fontId="29" fillId="0" borderId="10" xfId="212" applyFont="1" applyBorder="1" applyAlignment="1">
      <alignment horizontal="center" vertical="center"/>
    </xf>
    <xf numFmtId="231" fontId="9" fillId="7" borderId="10" xfId="212" applyNumberFormat="1" applyFont="1" applyFill="1" applyBorder="1" applyAlignment="1">
      <alignment horizontal="right" vertical="center" shrinkToFit="1"/>
    </xf>
    <xf numFmtId="231" fontId="9" fillId="7" borderId="10" xfId="1" applyNumberFormat="1" applyFont="1" applyFill="1" applyBorder="1" applyAlignment="1">
      <alignment horizontal="right" vertical="center" shrinkToFit="1"/>
    </xf>
    <xf numFmtId="49" fontId="30" fillId="7" borderId="10" xfId="0" applyNumberFormat="1" applyFont="1" applyFill="1" applyBorder="1" applyAlignment="1">
      <alignment horizontal="center" vertical="center"/>
    </xf>
    <xf numFmtId="240" fontId="30" fillId="7" borderId="10" xfId="0" applyNumberFormat="1" applyFont="1" applyFill="1" applyBorder="1" applyAlignment="1">
      <alignment vertical="center"/>
    </xf>
    <xf numFmtId="0" fontId="30" fillId="0" borderId="0" xfId="0" applyFont="1" applyAlignment="1">
      <alignment vertical="center"/>
    </xf>
    <xf numFmtId="0" fontId="9" fillId="0" borderId="10" xfId="212" applyFont="1" applyBorder="1" applyAlignment="1">
      <alignment horizontal="left" vertical="center"/>
    </xf>
    <xf numFmtId="0" fontId="9" fillId="0" borderId="10" xfId="212" applyFont="1" applyBorder="1" applyAlignment="1">
      <alignment vertical="center"/>
    </xf>
    <xf numFmtId="231" fontId="9" fillId="0" borderId="10" xfId="1" applyNumberFormat="1" applyFont="1" applyFill="1" applyBorder="1" applyAlignment="1">
      <alignment horizontal="right" vertical="center"/>
    </xf>
    <xf numFmtId="14" fontId="9" fillId="7" borderId="10" xfId="212" applyNumberFormat="1" applyFont="1" applyFill="1" applyBorder="1" applyAlignment="1">
      <alignment horizontal="right" vertical="center"/>
    </xf>
    <xf numFmtId="241" fontId="9" fillId="0" borderId="10" xfId="212" applyNumberFormat="1" applyFont="1" applyBorder="1" applyAlignment="1">
      <alignment horizontal="right" vertical="center"/>
    </xf>
    <xf numFmtId="43" fontId="9" fillId="0" borderId="10" xfId="1" applyFont="1" applyFill="1" applyBorder="1" applyAlignment="1">
      <alignment horizontal="right" vertical="center"/>
    </xf>
    <xf numFmtId="43" fontId="9" fillId="7" borderId="10" xfId="1" applyFont="1" applyFill="1" applyBorder="1" applyAlignment="1">
      <alignment horizontal="right" vertical="center"/>
    </xf>
    <xf numFmtId="231" fontId="9" fillId="0" borderId="10" xfId="264" applyNumberFormat="1" applyFont="1" applyFill="1" applyBorder="1" applyAlignment="1">
      <alignment horizontal="right" vertical="center" shrinkToFit="1"/>
    </xf>
    <xf numFmtId="231" fontId="9" fillId="0" borderId="10" xfId="1" applyNumberFormat="1" applyFont="1" applyFill="1" applyBorder="1" applyAlignment="1">
      <alignment horizontal="right" vertical="center" shrinkToFit="1"/>
    </xf>
    <xf numFmtId="43" fontId="9" fillId="0" borderId="0" xfId="212" applyNumberFormat="1" applyFont="1" applyAlignment="1">
      <alignment horizontal="center" vertical="center" shrinkToFit="1"/>
    </xf>
    <xf numFmtId="10" fontId="9" fillId="0" borderId="10" xfId="1" applyNumberFormat="1" applyFont="1" applyFill="1" applyBorder="1" applyAlignment="1">
      <alignment horizontal="right" vertical="center"/>
    </xf>
    <xf numFmtId="2" fontId="9" fillId="0" borderId="10" xfId="212" applyNumberFormat="1" applyFont="1" applyBorder="1" applyAlignment="1">
      <alignment horizontal="right" vertical="center" shrinkToFit="1"/>
    </xf>
    <xf numFmtId="0" fontId="9" fillId="7" borderId="10" xfId="212" applyFont="1" applyFill="1" applyBorder="1" applyAlignment="1">
      <alignment horizontal="center" vertical="center"/>
    </xf>
    <xf numFmtId="241" fontId="9" fillId="0" borderId="10" xfId="212" applyNumberFormat="1" applyFont="1" applyBorder="1" applyAlignment="1">
      <alignment horizontal="center" vertical="center" shrinkToFit="1"/>
    </xf>
    <xf numFmtId="0" fontId="9" fillId="7" borderId="10" xfId="212" applyFont="1" applyFill="1" applyBorder="1" applyAlignment="1">
      <alignment horizontal="right" vertical="center" shrinkToFit="1"/>
    </xf>
    <xf numFmtId="238" fontId="9" fillId="7" borderId="10" xfId="1" applyNumberFormat="1" applyFont="1" applyFill="1" applyBorder="1" applyAlignment="1">
      <alignment horizontal="right" vertical="center" shrinkToFit="1"/>
    </xf>
    <xf numFmtId="0" fontId="28" fillId="0" borderId="10" xfId="212" applyFont="1" applyBorder="1" applyAlignment="1">
      <alignment horizontal="center" vertical="center"/>
    </xf>
    <xf numFmtId="242" fontId="9" fillId="0" borderId="10" xfId="212" applyNumberFormat="1" applyFont="1" applyBorder="1" applyAlignment="1">
      <alignment horizontal="right" vertical="center" shrinkToFit="1"/>
    </xf>
    <xf numFmtId="231" fontId="9" fillId="0" borderId="10" xfId="212" applyNumberFormat="1" applyFont="1" applyBorder="1" applyAlignment="1">
      <alignment vertical="center" shrinkToFit="1"/>
    </xf>
    <xf numFmtId="10" fontId="9" fillId="0" borderId="10" xfId="212" applyNumberFormat="1" applyFont="1" applyBorder="1" applyAlignment="1">
      <alignment vertical="center" shrinkToFit="1"/>
    </xf>
    <xf numFmtId="10" fontId="9" fillId="0" borderId="10" xfId="212" applyNumberFormat="1" applyFont="1" applyBorder="1" applyAlignment="1">
      <alignment horizontal="right" vertical="center" shrinkToFit="1"/>
    </xf>
    <xf numFmtId="49" fontId="30" fillId="0" borderId="10" xfId="0" applyNumberFormat="1" applyFont="1" applyBorder="1" applyAlignment="1">
      <alignment horizontal="center" vertical="center"/>
    </xf>
    <xf numFmtId="240" fontId="30" fillId="0" borderId="10" xfId="0" applyNumberFormat="1" applyFont="1" applyBorder="1" applyAlignment="1">
      <alignment vertical="center"/>
    </xf>
    <xf numFmtId="49" fontId="30" fillId="0" borderId="0" xfId="0" applyNumberFormat="1" applyFont="1" applyAlignment="1">
      <alignment horizontal="center" vertical="center"/>
    </xf>
    <xf numFmtId="240" fontId="30" fillId="0" borderId="0" xfId="0" applyNumberFormat="1" applyFont="1" applyAlignment="1">
      <alignment vertical="center"/>
    </xf>
    <xf numFmtId="10" fontId="9" fillId="7" borderId="10" xfId="212" applyNumberFormat="1" applyFont="1" applyFill="1" applyBorder="1" applyAlignment="1">
      <alignment horizontal="right" vertical="center" shrinkToFit="1"/>
    </xf>
    <xf numFmtId="231" fontId="9" fillId="0" borderId="0" xfId="212" applyNumberFormat="1" applyFont="1" applyAlignment="1">
      <alignment vertical="center" shrinkToFit="1"/>
    </xf>
    <xf numFmtId="43" fontId="9" fillId="0" borderId="0" xfId="212" applyNumberFormat="1" applyFont="1" applyAlignment="1">
      <alignment vertical="center" shrinkToFit="1"/>
    </xf>
    <xf numFmtId="43" fontId="9" fillId="0" borderId="0" xfId="212" applyNumberFormat="1" applyFont="1" applyAlignment="1">
      <alignment vertical="center"/>
    </xf>
    <xf numFmtId="0" fontId="9" fillId="0" borderId="0" xfId="205" applyFont="1" applyAlignment="1">
      <alignment horizontal="center" vertical="center"/>
    </xf>
    <xf numFmtId="0" fontId="9" fillId="0" borderId="0" xfId="205" applyFont="1" applyAlignment="1">
      <alignment vertical="center"/>
    </xf>
    <xf numFmtId="232" fontId="9" fillId="0" borderId="0" xfId="205" applyNumberFormat="1" applyFont="1" applyAlignment="1">
      <alignment horizontal="center" vertical="center"/>
    </xf>
    <xf numFmtId="10" fontId="9" fillId="0" borderId="0" xfId="205" applyNumberFormat="1" applyFont="1" applyAlignment="1">
      <alignment horizontal="center" vertical="center"/>
    </xf>
    <xf numFmtId="231" fontId="9" fillId="0" borderId="0" xfId="205" applyNumberFormat="1" applyFont="1" applyAlignment="1">
      <alignment horizontal="center" vertical="center"/>
    </xf>
    <xf numFmtId="0" fontId="9" fillId="0" borderId="0" xfId="205" applyFont="1" applyAlignment="1">
      <alignment horizontal="left" vertical="center"/>
    </xf>
    <xf numFmtId="0" fontId="9" fillId="0" borderId="13" xfId="205" applyFont="1" applyBorder="1" applyAlignment="1">
      <alignment horizontal="center" vertical="center"/>
    </xf>
    <xf numFmtId="0" fontId="28" fillId="0" borderId="10" xfId="205" applyFont="1" applyBorder="1" applyAlignment="1">
      <alignment horizontal="center" vertical="center"/>
    </xf>
    <xf numFmtId="0" fontId="31" fillId="0" borderId="10" xfId="0" applyFont="1" applyBorder="1" applyAlignment="1">
      <alignment horizontal="center" vertical="center" wrapText="1"/>
    </xf>
    <xf numFmtId="0" fontId="28" fillId="0" borderId="13" xfId="205" applyFont="1" applyBorder="1" applyAlignment="1">
      <alignment horizontal="center" vertical="center"/>
    </xf>
    <xf numFmtId="0" fontId="9" fillId="7" borderId="0" xfId="205" applyFont="1" applyFill="1" applyAlignment="1" applyProtection="1">
      <alignment horizontal="center" vertical="center"/>
      <protection locked="0"/>
    </xf>
    <xf numFmtId="0" fontId="9" fillId="0" borderId="10" xfId="205" applyFont="1" applyBorder="1" applyAlignment="1">
      <alignment horizontal="center" vertical="center"/>
    </xf>
    <xf numFmtId="0" fontId="28" fillId="0" borderId="10" xfId="205" applyFont="1" applyBorder="1" applyAlignment="1">
      <alignment horizontal="center" vertical="center" wrapText="1"/>
    </xf>
    <xf numFmtId="0" fontId="30" fillId="0" borderId="10" xfId="208" applyFont="1" applyBorder="1" applyAlignment="1">
      <alignment horizontal="center" vertical="center"/>
    </xf>
    <xf numFmtId="0" fontId="30" fillId="0" borderId="7" xfId="208" applyFont="1" applyBorder="1" applyAlignment="1">
      <alignment horizontal="center" vertical="center"/>
    </xf>
    <xf numFmtId="0" fontId="30" fillId="0" borderId="8" xfId="208" applyFont="1" applyBorder="1" applyAlignment="1">
      <alignment horizontal="center" vertical="center"/>
    </xf>
    <xf numFmtId="0" fontId="30" fillId="0" borderId="9" xfId="208" applyFont="1" applyBorder="1" applyAlignment="1">
      <alignment horizontal="center" vertical="center"/>
    </xf>
    <xf numFmtId="0" fontId="30" fillId="0" borderId="0" xfId="208" applyFont="1" applyAlignment="1">
      <alignment horizontal="center" vertical="center"/>
    </xf>
    <xf numFmtId="0" fontId="30" fillId="0" borderId="0" xfId="208" applyFont="1">
      <alignment vertical="center"/>
    </xf>
    <xf numFmtId="0" fontId="32" fillId="0" borderId="13" xfId="208" applyFont="1" applyBorder="1" applyAlignment="1">
      <alignment horizontal="center" vertical="center"/>
    </xf>
    <xf numFmtId="0" fontId="30" fillId="0" borderId="13" xfId="208" applyFont="1" applyBorder="1" applyAlignment="1">
      <alignment horizontal="center" vertical="center"/>
    </xf>
    <xf numFmtId="0" fontId="9" fillId="0" borderId="10" xfId="205" applyFont="1" applyBorder="1" applyAlignment="1">
      <alignment horizontal="center" vertical="center" wrapText="1"/>
    </xf>
    <xf numFmtId="232" fontId="31" fillId="0" borderId="10" xfId="0" applyNumberFormat="1" applyFont="1" applyBorder="1" applyAlignment="1">
      <alignment horizontal="center" vertical="center" wrapText="1"/>
    </xf>
    <xf numFmtId="10" fontId="31" fillId="0" borderId="10" xfId="0" applyNumberFormat="1" applyFont="1" applyBorder="1" applyAlignment="1">
      <alignment horizontal="center" vertical="center" wrapText="1"/>
    </xf>
    <xf numFmtId="231" fontId="31" fillId="0" borderId="10" xfId="0" applyNumberFormat="1" applyFont="1" applyBorder="1" applyAlignment="1">
      <alignment horizontal="center" vertical="center" wrapText="1"/>
    </xf>
    <xf numFmtId="9" fontId="26" fillId="0" borderId="10" xfId="213" applyNumberFormat="1" applyFont="1" applyBorder="1" applyAlignment="1">
      <alignment horizontal="center" vertical="center" wrapText="1"/>
    </xf>
    <xf numFmtId="0" fontId="26" fillId="0" borderId="10" xfId="213" applyFont="1" applyBorder="1" applyAlignment="1">
      <alignment horizontal="center" vertical="center" wrapText="1"/>
    </xf>
    <xf numFmtId="0" fontId="32" fillId="0" borderId="10" xfId="208" applyFont="1" applyBorder="1" applyAlignment="1">
      <alignment horizontal="center" vertical="center"/>
    </xf>
    <xf numFmtId="0" fontId="33" fillId="0" borderId="0" xfId="205" applyFont="1" applyAlignment="1">
      <alignment horizontal="center" vertical="center"/>
    </xf>
    <xf numFmtId="0" fontId="9" fillId="0" borderId="10" xfId="205" applyFont="1" applyBorder="1" applyAlignment="1">
      <alignment horizontal="left" vertical="center"/>
    </xf>
    <xf numFmtId="10" fontId="9" fillId="0" borderId="10" xfId="205" applyNumberFormat="1" applyFont="1" applyBorder="1" applyAlignment="1">
      <alignment horizontal="center" vertical="center"/>
    </xf>
    <xf numFmtId="0" fontId="27" fillId="0" borderId="10" xfId="205" applyFont="1" applyBorder="1" applyAlignment="1">
      <alignment horizontal="left" vertical="center"/>
    </xf>
    <xf numFmtId="231" fontId="9" fillId="0" borderId="10" xfId="205" applyNumberFormat="1" applyFont="1" applyBorder="1" applyAlignment="1">
      <alignment horizontal="right" vertical="center"/>
    </xf>
    <xf numFmtId="232" fontId="9" fillId="0" borderId="10" xfId="205" applyNumberFormat="1" applyFont="1" applyBorder="1" applyAlignment="1">
      <alignment horizontal="center" vertical="center"/>
    </xf>
    <xf numFmtId="0" fontId="30" fillId="0" borderId="10" xfId="208" applyFont="1" applyBorder="1" applyAlignment="1">
      <alignment horizontal="left" vertical="center" wrapText="1"/>
    </xf>
    <xf numFmtId="0" fontId="34" fillId="0" borderId="10" xfId="208" applyFont="1" applyBorder="1">
      <alignment vertical="center"/>
    </xf>
    <xf numFmtId="0" fontId="30" fillId="7" borderId="10" xfId="208" applyFont="1" applyFill="1" applyBorder="1" applyAlignment="1" applyProtection="1">
      <alignment horizontal="center" vertical="center"/>
      <protection locked="0"/>
    </xf>
    <xf numFmtId="243" fontId="30" fillId="0" borderId="10" xfId="208" applyNumberFormat="1" applyFont="1" applyBorder="1" applyAlignment="1">
      <alignment horizontal="center" vertical="center"/>
    </xf>
    <xf numFmtId="243" fontId="30" fillId="0" borderId="5" xfId="208" applyNumberFormat="1" applyFont="1" applyBorder="1" applyAlignment="1">
      <alignment horizontal="center" vertical="center"/>
    </xf>
    <xf numFmtId="0" fontId="30" fillId="0" borderId="10" xfId="208" applyFont="1" applyBorder="1">
      <alignment vertical="center"/>
    </xf>
    <xf numFmtId="10" fontId="30" fillId="7" borderId="10" xfId="208" applyNumberFormat="1" applyFont="1" applyFill="1" applyBorder="1" applyProtection="1">
      <alignment vertical="center"/>
      <protection locked="0"/>
    </xf>
    <xf numFmtId="0" fontId="33" fillId="0" borderId="0" xfId="187" applyNumberFormat="1" applyFont="1" applyFill="1" applyBorder="1" applyAlignment="1">
      <alignment horizontal="center" vertical="center"/>
    </xf>
    <xf numFmtId="243" fontId="30" fillId="0" borderId="12" xfId="208" applyNumberFormat="1" applyFont="1" applyBorder="1" applyAlignment="1">
      <alignment horizontal="center" vertical="center"/>
    </xf>
    <xf numFmtId="9" fontId="30" fillId="0" borderId="10" xfId="213" applyNumberFormat="1" applyFont="1" applyBorder="1" applyAlignment="1">
      <alignment horizontal="center" vertical="center" wrapText="1"/>
    </xf>
    <xf numFmtId="0" fontId="30" fillId="0" borderId="10" xfId="213" applyFont="1" applyBorder="1" applyAlignment="1">
      <alignment horizontal="left" vertical="center" wrapText="1"/>
    </xf>
    <xf numFmtId="0" fontId="35" fillId="7" borderId="10" xfId="213" applyFont="1" applyFill="1" applyBorder="1" applyAlignment="1" applyProtection="1">
      <alignment horizontal="center" vertical="center" wrapText="1"/>
      <protection locked="0"/>
    </xf>
    <xf numFmtId="243" fontId="36" fillId="0" borderId="10" xfId="213" applyNumberFormat="1" applyFont="1" applyBorder="1" applyAlignment="1">
      <alignment horizontal="center" vertical="center" wrapText="1"/>
    </xf>
    <xf numFmtId="10" fontId="30" fillId="0" borderId="10" xfId="208" applyNumberFormat="1" applyFont="1" applyBorder="1">
      <alignment vertical="center"/>
    </xf>
    <xf numFmtId="0" fontId="9" fillId="0" borderId="10" xfId="205" applyFont="1" applyBorder="1" applyAlignment="1">
      <alignment vertical="center"/>
    </xf>
    <xf numFmtId="231" fontId="9" fillId="7" borderId="10" xfId="205" applyNumberFormat="1" applyFont="1" applyFill="1" applyBorder="1" applyAlignment="1">
      <alignment vertical="center"/>
    </xf>
    <xf numFmtId="231" fontId="33" fillId="7" borderId="0" xfId="205" applyNumberFormat="1" applyFont="1" applyFill="1" applyAlignment="1">
      <alignment vertical="center"/>
    </xf>
    <xf numFmtId="10" fontId="33" fillId="0" borderId="0" xfId="187" applyNumberFormat="1" applyFont="1" applyFill="1" applyBorder="1" applyAlignment="1">
      <alignment vertical="center"/>
    </xf>
    <xf numFmtId="243" fontId="30" fillId="0" borderId="11" xfId="208" applyNumberFormat="1" applyFont="1" applyBorder="1" applyAlignment="1">
      <alignment horizontal="center" vertical="center"/>
    </xf>
    <xf numFmtId="0" fontId="32" fillId="0" borderId="10" xfId="208" applyFont="1" applyBorder="1" applyAlignment="1">
      <alignment horizontal="left" vertical="center"/>
    </xf>
    <xf numFmtId="0" fontId="30" fillId="7" borderId="10" xfId="208" applyFont="1" applyFill="1" applyBorder="1">
      <alignment vertical="center"/>
    </xf>
    <xf numFmtId="10" fontId="9" fillId="0" borderId="10" xfId="187" applyNumberFormat="1" applyFont="1" applyBorder="1" applyAlignment="1">
      <alignment vertical="center"/>
    </xf>
    <xf numFmtId="0" fontId="30" fillId="0" borderId="10" xfId="208" applyFont="1" applyBorder="1" applyAlignment="1">
      <alignment horizontal="left" vertical="center"/>
    </xf>
    <xf numFmtId="9" fontId="30" fillId="0" borderId="10" xfId="208" applyNumberFormat="1" applyFont="1" applyBorder="1" applyAlignment="1">
      <alignment horizontal="center" vertical="center"/>
    </xf>
    <xf numFmtId="9" fontId="9" fillId="7" borderId="10" xfId="187" applyFont="1" applyFill="1" applyBorder="1" applyAlignment="1" applyProtection="1">
      <alignment vertical="center"/>
      <protection locked="0"/>
    </xf>
    <xf numFmtId="9" fontId="33" fillId="7" borderId="0" xfId="187" applyFont="1" applyFill="1" applyBorder="1" applyAlignment="1" applyProtection="1">
      <alignment vertical="center"/>
      <protection locked="0"/>
    </xf>
    <xf numFmtId="9" fontId="33" fillId="0" borderId="0" xfId="187" applyFont="1" applyFill="1" applyBorder="1" applyAlignment="1">
      <alignment vertical="center"/>
    </xf>
    <xf numFmtId="231" fontId="9" fillId="0" borderId="10" xfId="205" applyNumberFormat="1" applyFont="1" applyBorder="1" applyAlignment="1">
      <alignment vertical="center"/>
    </xf>
    <xf numFmtId="231" fontId="33" fillId="0" borderId="0" xfId="205" applyNumberFormat="1" applyFont="1" applyAlignment="1">
      <alignment vertical="center"/>
    </xf>
    <xf numFmtId="9" fontId="30" fillId="0" borderId="10" xfId="213" applyNumberFormat="1" applyFont="1" applyBorder="1" applyAlignment="1">
      <alignment horizontal="left" vertical="center" wrapText="1"/>
    </xf>
    <xf numFmtId="0" fontId="35" fillId="0" borderId="10" xfId="213" applyFont="1" applyBorder="1" applyAlignment="1">
      <alignment horizontal="center" vertical="center" wrapText="1"/>
    </xf>
    <xf numFmtId="10" fontId="9" fillId="0" borderId="10" xfId="205" applyNumberFormat="1" applyFont="1" applyBorder="1" applyAlignment="1">
      <alignment vertical="center"/>
    </xf>
    <xf numFmtId="0" fontId="30" fillId="0" borderId="0" xfId="208" applyFont="1" applyAlignment="1">
      <alignment horizontal="left" vertical="center"/>
    </xf>
    <xf numFmtId="244" fontId="33" fillId="0" borderId="0" xfId="187" applyNumberFormat="1" applyFont="1" applyFill="1" applyBorder="1" applyAlignment="1">
      <alignment horizontal="right" vertical="center"/>
    </xf>
    <xf numFmtId="0" fontId="26" fillId="0" borderId="10" xfId="208" applyFont="1" applyBorder="1" applyAlignment="1">
      <alignment horizontal="center" vertical="center"/>
    </xf>
    <xf numFmtId="10" fontId="26" fillId="0" borderId="10" xfId="208" applyNumberFormat="1" applyFont="1" applyBorder="1">
      <alignment vertical="center"/>
    </xf>
    <xf numFmtId="242" fontId="9" fillId="0" borderId="10" xfId="205" applyNumberFormat="1" applyFont="1" applyBorder="1" applyAlignment="1">
      <alignment vertical="center"/>
    </xf>
    <xf numFmtId="242" fontId="33" fillId="0" borderId="0" xfId="205" applyNumberFormat="1" applyFont="1" applyAlignment="1">
      <alignment vertical="center"/>
    </xf>
    <xf numFmtId="231" fontId="9" fillId="0" borderId="0" xfId="205" applyNumberFormat="1" applyFont="1" applyAlignment="1">
      <alignment vertical="center"/>
    </xf>
    <xf numFmtId="245" fontId="30" fillId="0" borderId="10" xfId="208" applyNumberFormat="1" applyFont="1" applyBorder="1" applyAlignment="1">
      <alignment horizontal="center" vertical="center"/>
    </xf>
    <xf numFmtId="243" fontId="26" fillId="0" borderId="10" xfId="208" applyNumberFormat="1" applyFont="1" applyBorder="1" applyAlignment="1">
      <alignment horizontal="center" vertical="center"/>
    </xf>
    <xf numFmtId="10" fontId="30" fillId="0" borderId="7" xfId="185" applyNumberFormat="1" applyFont="1" applyFill="1" applyBorder="1" applyAlignment="1">
      <alignment horizontal="center" vertical="center"/>
    </xf>
    <xf numFmtId="10" fontId="30" fillId="0" borderId="9" xfId="185" applyNumberFormat="1" applyFont="1" applyFill="1" applyBorder="1" applyAlignment="1">
      <alignment horizontal="center" vertical="center"/>
    </xf>
    <xf numFmtId="0" fontId="9" fillId="7" borderId="10" xfId="205" applyFont="1" applyFill="1" applyBorder="1" applyAlignment="1" applyProtection="1">
      <alignment vertical="center"/>
      <protection locked="0"/>
    </xf>
    <xf numFmtId="10" fontId="9" fillId="0" borderId="10" xfId="187" applyNumberFormat="1" applyFont="1" applyBorder="1" applyAlignment="1">
      <alignment horizontal="center" vertical="center"/>
    </xf>
    <xf numFmtId="0" fontId="34" fillId="0" borderId="10" xfId="208" applyFont="1" applyBorder="1" applyAlignment="1">
      <alignment horizontal="left" vertical="center"/>
    </xf>
    <xf numFmtId="207" fontId="9" fillId="7" borderId="10" xfId="187" applyNumberFormat="1" applyFont="1" applyFill="1" applyBorder="1" applyAlignment="1" applyProtection="1">
      <alignment horizontal="center" vertical="center"/>
      <protection locked="0"/>
    </xf>
    <xf numFmtId="10" fontId="9" fillId="7" borderId="10" xfId="187" applyNumberFormat="1" applyFont="1" applyFill="1" applyBorder="1" applyAlignment="1" applyProtection="1">
      <alignment horizontal="center" vertical="center"/>
      <protection locked="0"/>
    </xf>
    <xf numFmtId="209" fontId="30" fillId="0" borderId="10" xfId="208" applyNumberFormat="1" applyFont="1" applyBorder="1" applyAlignment="1">
      <alignment horizontal="center" vertical="center"/>
    </xf>
    <xf numFmtId="209" fontId="30" fillId="0" borderId="10" xfId="185" applyNumberFormat="1" applyFont="1" applyFill="1" applyBorder="1" applyAlignment="1">
      <alignment horizontal="center" vertical="center"/>
    </xf>
    <xf numFmtId="0" fontId="27" fillId="0" borderId="10" xfId="205" applyFont="1" applyBorder="1" applyAlignment="1">
      <alignment vertical="center"/>
    </xf>
    <xf numFmtId="0" fontId="14" fillId="6" borderId="0" xfId="0" applyFont="1" applyFill="1" applyAlignment="1" applyProtection="1">
      <alignment vertical="center"/>
      <protection hidden="1"/>
    </xf>
    <xf numFmtId="0" fontId="2" fillId="6" borderId="0" xfId="0" applyFont="1" applyFill="1" applyAlignment="1" applyProtection="1">
      <alignment vertical="center"/>
      <protection hidden="1"/>
    </xf>
    <xf numFmtId="0" fontId="6" fillId="7" borderId="10" xfId="0" applyFont="1" applyFill="1" applyBorder="1" applyAlignment="1" applyProtection="1">
      <alignment vertical="center"/>
      <protection hidden="1"/>
    </xf>
    <xf numFmtId="43" fontId="6" fillId="6" borderId="10" xfId="0" applyNumberFormat="1" applyFont="1" applyFill="1" applyBorder="1" applyAlignment="1" applyProtection="1">
      <alignment horizontal="right" vertical="center" shrinkToFit="1"/>
      <protection hidden="1"/>
    </xf>
    <xf numFmtId="10" fontId="6" fillId="0" borderId="0" xfId="3" applyNumberFormat="1" applyFont="1" applyFill="1" applyAlignment="1" applyProtection="1">
      <alignment vertical="center"/>
      <protection hidden="1"/>
    </xf>
    <xf numFmtId="0" fontId="10" fillId="6" borderId="10" xfId="0" applyFont="1" applyFill="1" applyBorder="1" applyAlignment="1" applyProtection="1">
      <alignment horizontal="left" vertical="center" shrinkToFit="1"/>
      <protection hidden="1"/>
    </xf>
    <xf numFmtId="14" fontId="6" fillId="0" borderId="0" xfId="0" applyNumberFormat="1" applyFont="1" applyAlignment="1" applyProtection="1">
      <alignment vertical="center"/>
      <protection hidden="1"/>
    </xf>
    <xf numFmtId="0" fontId="16" fillId="0" borderId="0" xfId="6" applyFont="1" applyAlignment="1" applyProtection="1">
      <alignment horizontal="center" vertical="center" shrinkToFit="1"/>
      <protection hidden="1"/>
    </xf>
    <xf numFmtId="14" fontId="13" fillId="0" borderId="0" xfId="0" applyNumberFormat="1" applyFont="1" applyAlignment="1" applyProtection="1">
      <alignment horizontal="center" vertical="center" shrinkToFit="1"/>
      <protection hidden="1"/>
    </xf>
    <xf numFmtId="14" fontId="6" fillId="6" borderId="0" xfId="0" applyNumberFormat="1" applyFont="1" applyFill="1" applyAlignment="1" applyProtection="1">
      <alignment horizontal="center" vertical="center"/>
      <protection hidden="1"/>
    </xf>
    <xf numFmtId="14" fontId="6" fillId="6" borderId="0" xfId="0" applyNumberFormat="1" applyFont="1" applyFill="1" applyAlignment="1" applyProtection="1">
      <alignment vertical="center"/>
      <protection hidden="1"/>
    </xf>
    <xf numFmtId="14" fontId="7" fillId="6" borderId="10" xfId="0" applyNumberFormat="1" applyFont="1" applyFill="1" applyBorder="1" applyAlignment="1" applyProtection="1">
      <alignment horizontal="center" vertical="center" wrapText="1"/>
      <protection hidden="1"/>
    </xf>
    <xf numFmtId="14" fontId="6" fillId="6" borderId="10" xfId="0" applyNumberFormat="1" applyFont="1" applyFill="1" applyBorder="1" applyAlignment="1" applyProtection="1">
      <alignment horizontal="right" vertical="center" shrinkToFit="1"/>
      <protection hidden="1"/>
    </xf>
    <xf numFmtId="43" fontId="6" fillId="0" borderId="10" xfId="0" applyNumberFormat="1" applyFont="1" applyBorder="1" applyAlignment="1" applyProtection="1">
      <alignment horizontal="right" vertical="center" shrinkToFit="1"/>
      <protection hidden="1"/>
    </xf>
    <xf numFmtId="14" fontId="6" fillId="0" borderId="10" xfId="0" applyNumberFormat="1" applyFont="1" applyBorder="1" applyAlignment="1" applyProtection="1">
      <alignment horizontal="right" vertical="center" shrinkToFit="1"/>
      <protection hidden="1"/>
    </xf>
    <xf numFmtId="14" fontId="7" fillId="6" borderId="10" xfId="0" applyNumberFormat="1" applyFont="1" applyFill="1" applyBorder="1" applyAlignment="1" applyProtection="1">
      <alignment horizontal="right" vertical="center" shrinkToFit="1"/>
      <protection hidden="1"/>
    </xf>
    <xf numFmtId="14" fontId="6" fillId="0" borderId="0" xfId="1" applyNumberFormat="1" applyFont="1" applyFill="1" applyAlignment="1" applyProtection="1">
      <alignment vertical="center"/>
      <protection hidden="1"/>
    </xf>
    <xf numFmtId="43" fontId="6" fillId="0" borderId="0" xfId="1" applyFont="1" applyFill="1" applyAlignment="1" applyProtection="1">
      <alignment horizontal="center" vertical="center"/>
      <protection hidden="1"/>
    </xf>
    <xf numFmtId="43" fontId="6" fillId="0" borderId="10" xfId="1" applyFont="1" applyFill="1" applyBorder="1" applyAlignment="1" applyProtection="1">
      <alignment horizontal="center" vertical="center" shrinkToFit="1"/>
      <protection hidden="1"/>
    </xf>
    <xf numFmtId="49" fontId="6" fillId="0" borderId="10" xfId="0" applyNumberFormat="1" applyFont="1" applyBorder="1" applyAlignment="1" applyProtection="1">
      <alignment horizontal="left" vertical="center" shrinkToFit="1"/>
      <protection hidden="1"/>
    </xf>
    <xf numFmtId="10" fontId="6" fillId="0" borderId="0" xfId="3" applyNumberFormat="1" applyFont="1" applyFill="1" applyAlignment="1" applyProtection="1">
      <alignment horizontal="center" vertical="center"/>
      <protection hidden="1"/>
    </xf>
    <xf numFmtId="10" fontId="13" fillId="0" borderId="0" xfId="3" applyNumberFormat="1" applyFont="1" applyFill="1" applyAlignment="1" applyProtection="1">
      <alignment horizontal="center" vertical="center" shrinkToFit="1"/>
      <protection hidden="1"/>
    </xf>
    <xf numFmtId="10" fontId="14" fillId="0" borderId="0" xfId="3" applyNumberFormat="1" applyFont="1" applyFill="1" applyAlignment="1" applyProtection="1">
      <alignment horizontal="center" vertical="center"/>
      <protection hidden="1"/>
    </xf>
    <xf numFmtId="0" fontId="12" fillId="6" borderId="7" xfId="0" applyFont="1" applyFill="1" applyBorder="1" applyAlignment="1" applyProtection="1">
      <alignment horizontal="center" vertical="center" wrapText="1"/>
      <protection hidden="1"/>
    </xf>
    <xf numFmtId="0" fontId="12" fillId="6" borderId="8" xfId="0" applyFont="1" applyFill="1" applyBorder="1" applyAlignment="1" applyProtection="1">
      <alignment horizontal="center" vertical="center" wrapText="1"/>
      <protection hidden="1"/>
    </xf>
    <xf numFmtId="0" fontId="12" fillId="6" borderId="9" xfId="0" applyFont="1" applyFill="1" applyBorder="1" applyAlignment="1" applyProtection="1">
      <alignment horizontal="center" vertical="center" wrapText="1"/>
      <protection hidden="1"/>
    </xf>
    <xf numFmtId="0" fontId="7" fillId="6" borderId="7" xfId="0" applyFont="1" applyFill="1" applyBorder="1" applyAlignment="1" applyProtection="1">
      <alignment horizontal="center" vertical="center"/>
      <protection hidden="1"/>
    </xf>
    <xf numFmtId="0" fontId="19" fillId="6" borderId="7" xfId="0" applyFont="1" applyFill="1" applyBorder="1" applyAlignment="1" applyProtection="1">
      <alignment horizontal="center" vertical="center"/>
      <protection hidden="1"/>
    </xf>
    <xf numFmtId="0" fontId="19" fillId="6" borderId="8" xfId="0" applyFont="1" applyFill="1" applyBorder="1" applyAlignment="1" applyProtection="1">
      <alignment horizontal="center" vertical="center"/>
      <protection hidden="1"/>
    </xf>
    <xf numFmtId="0" fontId="19" fillId="6" borderId="9" xfId="0" applyFont="1" applyFill="1" applyBorder="1" applyAlignment="1" applyProtection="1">
      <alignment horizontal="center" vertical="center"/>
      <protection hidden="1"/>
    </xf>
    <xf numFmtId="0" fontId="7" fillId="6" borderId="0" xfId="0" applyFont="1" applyFill="1" applyAlignment="1" applyProtection="1">
      <alignment horizontal="left" vertical="center" shrinkToFit="1"/>
      <protection hidden="1"/>
    </xf>
    <xf numFmtId="0" fontId="12" fillId="6" borderId="10" xfId="0" applyFont="1" applyFill="1" applyBorder="1" applyAlignment="1" applyProtection="1">
      <alignment horizontal="center" vertical="center" shrinkToFit="1"/>
      <protection hidden="1"/>
    </xf>
    <xf numFmtId="0" fontId="7" fillId="6" borderId="14" xfId="0" applyFont="1" applyFill="1" applyBorder="1" applyAlignment="1" applyProtection="1">
      <alignment horizontal="center" vertical="center" wrapText="1"/>
      <protection hidden="1"/>
    </xf>
    <xf numFmtId="238" fontId="6" fillId="6" borderId="10" xfId="0" applyNumberFormat="1" applyFont="1" applyFill="1" applyBorder="1" applyAlignment="1" applyProtection="1">
      <alignment horizontal="center" vertical="center" shrinkToFit="1"/>
      <protection hidden="1"/>
    </xf>
    <xf numFmtId="43" fontId="6" fillId="6" borderId="0" xfId="1" applyFont="1" applyFill="1" applyAlignment="1" applyProtection="1">
      <alignment vertical="center" shrinkToFit="1"/>
      <protection hidden="1"/>
    </xf>
    <xf numFmtId="9" fontId="6" fillId="0" borderId="0" xfId="3" applyFont="1" applyFill="1" applyAlignment="1" applyProtection="1">
      <alignment horizontal="center" vertical="center" shrinkToFit="1"/>
      <protection hidden="1"/>
    </xf>
    <xf numFmtId="10" fontId="6" fillId="6" borderId="0" xfId="3" applyNumberFormat="1" applyFont="1" applyFill="1" applyAlignment="1" applyProtection="1">
      <alignment vertical="center" shrinkToFit="1"/>
      <protection hidden="1"/>
    </xf>
    <xf numFmtId="238" fontId="7" fillId="6" borderId="10" xfId="0" applyNumberFormat="1" applyFont="1" applyFill="1" applyBorder="1" applyAlignment="1" applyProtection="1">
      <alignment horizontal="center" vertical="center" shrinkToFit="1"/>
      <protection hidden="1"/>
    </xf>
    <xf numFmtId="10" fontId="7" fillId="0" borderId="0" xfId="3" applyNumberFormat="1" applyFont="1" applyFill="1" applyAlignment="1" applyProtection="1">
      <alignment horizontal="center" vertical="center"/>
      <protection hidden="1"/>
    </xf>
    <xf numFmtId="10" fontId="6" fillId="6" borderId="0" xfId="3" applyNumberFormat="1" applyFont="1" applyFill="1" applyAlignment="1" applyProtection="1">
      <alignment horizontal="center" vertical="center"/>
      <protection hidden="1"/>
    </xf>
    <xf numFmtId="0" fontId="7" fillId="6" borderId="10" xfId="232" applyFont="1" applyFill="1" applyBorder="1" applyAlignment="1" applyProtection="1">
      <alignment horizontal="center" vertical="center"/>
      <protection hidden="1"/>
    </xf>
    <xf numFmtId="9" fontId="7" fillId="6" borderId="5" xfId="3" applyFont="1" applyFill="1" applyBorder="1" applyAlignment="1" applyProtection="1">
      <alignment horizontal="center" vertical="center" wrapText="1"/>
      <protection hidden="1"/>
    </xf>
    <xf numFmtId="234" fontId="7" fillId="6" borderId="0" xfId="0" applyNumberFormat="1" applyFont="1" applyFill="1" applyAlignment="1" applyProtection="1">
      <alignment horizontal="center" vertical="center" shrinkToFit="1"/>
      <protection hidden="1"/>
    </xf>
    <xf numFmtId="0" fontId="7" fillId="6" borderId="10" xfId="232" applyFont="1" applyFill="1" applyBorder="1" applyAlignment="1" applyProtection="1">
      <alignment horizontal="center" vertical="center" shrinkToFit="1"/>
      <protection hidden="1"/>
    </xf>
    <xf numFmtId="9" fontId="7" fillId="6" borderId="11" xfId="3" applyFont="1" applyFill="1" applyBorder="1" applyAlignment="1" applyProtection="1">
      <alignment horizontal="center" vertical="center" wrapText="1"/>
      <protection hidden="1"/>
    </xf>
    <xf numFmtId="9" fontId="6" fillId="6" borderId="10" xfId="3" applyFont="1" applyFill="1" applyBorder="1" applyAlignment="1" applyProtection="1">
      <alignment horizontal="center" vertical="center" shrinkToFit="1"/>
      <protection hidden="1"/>
    </xf>
    <xf numFmtId="43" fontId="6" fillId="0" borderId="0" xfId="1" applyFont="1" applyAlignment="1" applyProtection="1">
      <alignment vertical="center" shrinkToFit="1"/>
      <protection hidden="1"/>
    </xf>
    <xf numFmtId="0" fontId="6" fillId="10" borderId="10" xfId="0" applyFont="1" applyFill="1" applyBorder="1" applyAlignment="1" applyProtection="1">
      <alignment horizontal="left" vertical="center" shrinkToFit="1"/>
      <protection hidden="1"/>
    </xf>
    <xf numFmtId="9" fontId="6" fillId="0" borderId="10" xfId="3" applyFont="1" applyFill="1" applyBorder="1" applyAlignment="1" applyProtection="1">
      <alignment horizontal="center" vertical="center" shrinkToFit="1"/>
      <protection hidden="1"/>
    </xf>
    <xf numFmtId="0" fontId="6" fillId="0" borderId="0" xfId="49" applyFont="1" applyAlignment="1" applyProtection="1">
      <alignment vertical="center" shrinkToFit="1"/>
      <protection locked="0" hidden="1"/>
    </xf>
    <xf numFmtId="0" fontId="37" fillId="0" borderId="0" xfId="49" applyFont="1" applyAlignment="1" applyProtection="1">
      <alignment vertical="center"/>
      <protection locked="0" hidden="1"/>
    </xf>
    <xf numFmtId="0" fontId="6" fillId="0" borderId="0" xfId="49" applyFont="1" applyAlignment="1" applyProtection="1">
      <alignment vertical="center"/>
      <protection locked="0" hidden="1"/>
    </xf>
    <xf numFmtId="0" fontId="7" fillId="0" borderId="0" xfId="49" applyFont="1" applyAlignment="1" applyProtection="1">
      <alignment horizontal="center" vertical="center" wrapText="1"/>
      <protection locked="0" hidden="1"/>
    </xf>
    <xf numFmtId="0" fontId="6" fillId="0" borderId="0" xfId="49" applyFont="1" applyAlignment="1" applyProtection="1">
      <alignment vertical="center" shrinkToFit="1"/>
      <protection locked="0"/>
    </xf>
    <xf numFmtId="0" fontId="6" fillId="0" borderId="0" xfId="49" applyFont="1" applyAlignment="1">
      <alignment vertical="center" shrinkToFit="1"/>
    </xf>
    <xf numFmtId="0" fontId="7" fillId="0" borderId="0" xfId="49" applyFont="1" applyAlignment="1">
      <alignment vertical="center" shrinkToFit="1"/>
    </xf>
    <xf numFmtId="0" fontId="7" fillId="0" borderId="0" xfId="49" applyFont="1" applyAlignment="1" applyProtection="1">
      <alignment vertical="center" shrinkToFit="1"/>
      <protection locked="0"/>
    </xf>
    <xf numFmtId="0" fontId="6" fillId="0" borderId="0" xfId="49" applyFont="1" applyAlignment="1" applyProtection="1">
      <alignment vertical="center"/>
      <protection locked="0"/>
    </xf>
    <xf numFmtId="231" fontId="6" fillId="0" borderId="0" xfId="49" applyNumberFormat="1" applyFont="1" applyAlignment="1" applyProtection="1">
      <alignment vertical="center"/>
      <protection locked="0"/>
    </xf>
    <xf numFmtId="231" fontId="15" fillId="0" borderId="0" xfId="49" applyNumberFormat="1" applyFont="1" applyAlignment="1" applyProtection="1">
      <alignment vertical="center"/>
      <protection locked="0"/>
    </xf>
    <xf numFmtId="244" fontId="6" fillId="0" borderId="0" xfId="49" applyNumberFormat="1" applyFont="1" applyAlignment="1" applyProtection="1">
      <alignment vertical="center"/>
      <protection locked="0"/>
    </xf>
    <xf numFmtId="9" fontId="6" fillId="0" borderId="0" xfId="3" applyFont="1" applyAlignment="1" applyProtection="1">
      <alignment vertical="center"/>
      <protection hidden="1"/>
    </xf>
    <xf numFmtId="233" fontId="38" fillId="0" borderId="0" xfId="236" applyNumberFormat="1" applyFont="1" applyFill="1" applyAlignment="1" applyProtection="1">
      <alignment horizontal="left" vertical="center" shrinkToFit="1"/>
      <protection hidden="1"/>
    </xf>
    <xf numFmtId="0" fontId="38" fillId="0" borderId="0" xfId="236" applyFont="1" applyFill="1" applyAlignment="1" applyProtection="1">
      <alignment horizontal="left" vertical="center" wrapText="1"/>
      <protection hidden="1"/>
    </xf>
    <xf numFmtId="0" fontId="9" fillId="0" borderId="0" xfId="0" applyFont="1" applyAlignment="1" applyProtection="1">
      <alignment vertical="center"/>
      <protection hidden="1"/>
    </xf>
    <xf numFmtId="231" fontId="6" fillId="0" borderId="0" xfId="49" applyNumberFormat="1" applyFont="1" applyAlignment="1" applyProtection="1">
      <alignment vertical="center" shrinkToFit="1"/>
      <protection locked="0" hidden="1"/>
    </xf>
    <xf numFmtId="231" fontId="15" fillId="0" borderId="0" xfId="49" applyNumberFormat="1" applyFont="1" applyAlignment="1" applyProtection="1">
      <alignment vertical="center" shrinkToFit="1"/>
      <protection locked="0" hidden="1"/>
    </xf>
    <xf numFmtId="244" fontId="6" fillId="0" borderId="0" xfId="49" applyNumberFormat="1" applyFont="1" applyAlignment="1" applyProtection="1">
      <alignment vertical="center" shrinkToFit="1"/>
      <protection locked="0" hidden="1"/>
    </xf>
    <xf numFmtId="9" fontId="13" fillId="0" borderId="0" xfId="3" applyFont="1" applyAlignment="1" applyProtection="1">
      <alignment vertical="center" shrinkToFit="1"/>
      <protection hidden="1"/>
    </xf>
    <xf numFmtId="0" fontId="37" fillId="6" borderId="0" xfId="49" applyFont="1" applyFill="1" applyAlignment="1" applyProtection="1">
      <alignment horizontal="center" vertical="center" wrapText="1"/>
      <protection locked="0" hidden="1"/>
    </xf>
    <xf numFmtId="9" fontId="14" fillId="0" borderId="0" xfId="3" applyFont="1" applyAlignment="1" applyProtection="1">
      <alignment vertical="center"/>
      <protection hidden="1"/>
    </xf>
    <xf numFmtId="235" fontId="6" fillId="6" borderId="0" xfId="49" applyNumberFormat="1" applyFont="1" applyFill="1" applyAlignment="1" applyProtection="1">
      <alignment horizontal="center" vertical="center"/>
      <protection locked="0" hidden="1"/>
    </xf>
    <xf numFmtId="231" fontId="6" fillId="6" borderId="0" xfId="49" applyNumberFormat="1" applyFont="1" applyFill="1" applyAlignment="1" applyProtection="1">
      <alignment horizontal="center" vertical="center"/>
      <protection locked="0" hidden="1"/>
    </xf>
    <xf numFmtId="231" fontId="15" fillId="6" borderId="0" xfId="49" applyNumberFormat="1" applyFont="1" applyFill="1" applyAlignment="1" applyProtection="1">
      <alignment horizontal="center" vertical="center"/>
      <protection locked="0" hidden="1"/>
    </xf>
    <xf numFmtId="0" fontId="6" fillId="6" borderId="0" xfId="49" applyFont="1" applyFill="1" applyAlignment="1" applyProtection="1">
      <alignment horizontal="center" vertical="center"/>
      <protection locked="0" hidden="1"/>
    </xf>
    <xf numFmtId="244" fontId="6" fillId="6" borderId="0" xfId="49" applyNumberFormat="1" applyFont="1" applyFill="1" applyAlignment="1" applyProtection="1">
      <alignment vertical="center"/>
      <protection locked="0" hidden="1"/>
    </xf>
    <xf numFmtId="0" fontId="39" fillId="6" borderId="0" xfId="49" applyFont="1" applyFill="1" applyAlignment="1" applyProtection="1">
      <alignment horizontal="right" vertical="center"/>
      <protection locked="0" hidden="1"/>
    </xf>
    <xf numFmtId="235" fontId="6" fillId="6" borderId="13" xfId="49" applyNumberFormat="1" applyFont="1" applyFill="1" applyBorder="1" applyAlignment="1" applyProtection="1">
      <alignment vertical="center"/>
      <protection locked="0" hidden="1"/>
    </xf>
    <xf numFmtId="235" fontId="6" fillId="6" borderId="0" xfId="49" applyNumberFormat="1" applyFont="1" applyFill="1" applyAlignment="1" applyProtection="1">
      <alignment vertical="center"/>
      <protection locked="0" hidden="1"/>
    </xf>
    <xf numFmtId="231" fontId="6" fillId="6" borderId="0" xfId="49" applyNumberFormat="1" applyFont="1" applyFill="1" applyAlignment="1" applyProtection="1">
      <alignment vertical="center"/>
      <protection locked="0" hidden="1"/>
    </xf>
    <xf numFmtId="231" fontId="15" fillId="6" borderId="0" xfId="49" applyNumberFormat="1" applyFont="1" applyFill="1" applyAlignment="1" applyProtection="1">
      <alignment vertical="center"/>
      <protection locked="0" hidden="1"/>
    </xf>
    <xf numFmtId="0" fontId="6" fillId="6" borderId="0" xfId="49" applyFont="1" applyFill="1" applyAlignment="1" applyProtection="1">
      <alignment vertical="center"/>
      <protection locked="0" hidden="1"/>
    </xf>
    <xf numFmtId="0" fontId="6" fillId="6" borderId="0" xfId="49" applyFont="1" applyFill="1" applyAlignment="1" applyProtection="1">
      <alignment horizontal="right" vertical="center"/>
      <protection locked="0" hidden="1"/>
    </xf>
    <xf numFmtId="0" fontId="7" fillId="6" borderId="10" xfId="49" applyFont="1" applyFill="1" applyBorder="1" applyAlignment="1" applyProtection="1">
      <alignment horizontal="center" vertical="center" wrapText="1"/>
      <protection locked="0" hidden="1"/>
    </xf>
    <xf numFmtId="0" fontId="7" fillId="6" borderId="5" xfId="49" applyFont="1" applyFill="1" applyBorder="1" applyAlignment="1" applyProtection="1">
      <alignment horizontal="center" vertical="center" wrapText="1"/>
      <protection locked="0" hidden="1"/>
    </xf>
    <xf numFmtId="0" fontId="7" fillId="6" borderId="7" xfId="49" applyFont="1" applyFill="1" applyBorder="1" applyAlignment="1" applyProtection="1">
      <alignment horizontal="center" vertical="center" wrapText="1"/>
      <protection locked="0" hidden="1"/>
    </xf>
    <xf numFmtId="0" fontId="7" fillId="6" borderId="7" xfId="0" applyFont="1" applyFill="1" applyBorder="1" applyAlignment="1" applyProtection="1">
      <alignment horizontal="center" vertical="center" wrapText="1"/>
      <protection hidden="1"/>
    </xf>
    <xf numFmtId="0" fontId="7" fillId="6" borderId="8" xfId="0" applyFont="1" applyFill="1" applyBorder="1" applyAlignment="1" applyProtection="1">
      <alignment horizontal="center" vertical="center" wrapText="1"/>
      <protection hidden="1"/>
    </xf>
    <xf numFmtId="0" fontId="7" fillId="6" borderId="9" xfId="0" applyFont="1" applyFill="1" applyBorder="1" applyAlignment="1" applyProtection="1">
      <alignment horizontal="center" vertical="center" wrapText="1"/>
      <protection hidden="1"/>
    </xf>
    <xf numFmtId="0" fontId="19" fillId="6" borderId="10" xfId="49" applyFont="1" applyFill="1" applyBorder="1" applyAlignment="1" applyProtection="1">
      <alignment horizontal="center" vertical="center" wrapText="1"/>
      <protection locked="0" hidden="1"/>
    </xf>
    <xf numFmtId="0" fontId="7" fillId="6" borderId="10" xfId="49" applyFont="1" applyFill="1" applyBorder="1" applyAlignment="1">
      <alignment horizontal="center" vertical="center" wrapText="1"/>
    </xf>
    <xf numFmtId="244" fontId="7" fillId="6" borderId="10" xfId="49" applyNumberFormat="1" applyFont="1" applyFill="1" applyBorder="1" applyAlignment="1" applyProtection="1">
      <alignment horizontal="center" vertical="center" wrapText="1"/>
      <protection locked="0" hidden="1"/>
    </xf>
    <xf numFmtId="0" fontId="7" fillId="6" borderId="11" xfId="49" applyFont="1" applyFill="1" applyBorder="1" applyAlignment="1" applyProtection="1">
      <alignment horizontal="center" vertical="center" wrapText="1"/>
      <protection locked="0" hidden="1"/>
    </xf>
    <xf numFmtId="0" fontId="7" fillId="6" borderId="10" xfId="49" applyFont="1" applyFill="1" applyBorder="1" applyAlignment="1" applyProtection="1">
      <alignment horizontal="center" vertical="center" shrinkToFit="1"/>
      <protection locked="0" hidden="1"/>
    </xf>
    <xf numFmtId="231" fontId="7" fillId="6" borderId="10" xfId="49" applyNumberFormat="1" applyFont="1" applyFill="1" applyBorder="1" applyAlignment="1" applyProtection="1">
      <alignment horizontal="center" vertical="center" shrinkToFit="1"/>
      <protection locked="0" hidden="1"/>
    </xf>
    <xf numFmtId="231" fontId="19" fillId="6" borderId="10" xfId="49" applyNumberFormat="1" applyFont="1" applyFill="1" applyBorder="1" applyAlignment="1" applyProtection="1">
      <alignment horizontal="center" vertical="center" shrinkToFit="1"/>
      <protection locked="0" hidden="1"/>
    </xf>
    <xf numFmtId="0" fontId="12" fillId="6" borderId="0" xfId="0" applyFont="1" applyFill="1" applyAlignment="1" applyProtection="1">
      <alignment horizontal="center" vertical="center" shrinkToFit="1"/>
      <protection hidden="1"/>
    </xf>
    <xf numFmtId="9" fontId="12" fillId="6" borderId="0" xfId="3" applyFont="1" applyFill="1" applyAlignment="1" applyProtection="1">
      <alignment horizontal="center" vertical="center" shrinkToFit="1"/>
      <protection hidden="1"/>
    </xf>
    <xf numFmtId="0" fontId="6" fillId="6" borderId="10" xfId="49" applyFont="1" applyFill="1" applyBorder="1" applyAlignment="1" applyProtection="1">
      <alignment horizontal="left" vertical="center" shrinkToFit="1"/>
      <protection locked="0"/>
    </xf>
    <xf numFmtId="236" fontId="6" fillId="6" borderId="10" xfId="49" applyNumberFormat="1" applyFont="1" applyFill="1" applyBorder="1" applyAlignment="1" applyProtection="1">
      <alignment horizontal="center" vertical="center" shrinkToFit="1"/>
      <protection locked="0"/>
    </xf>
    <xf numFmtId="0" fontId="6" fillId="6" borderId="10" xfId="49" applyFont="1" applyFill="1" applyBorder="1" applyAlignment="1" applyProtection="1">
      <alignment horizontal="center" vertical="center" shrinkToFit="1"/>
      <protection locked="0"/>
    </xf>
    <xf numFmtId="231" fontId="6" fillId="6" borderId="10" xfId="49" applyNumberFormat="1" applyFont="1" applyFill="1" applyBorder="1" applyAlignment="1">
      <alignment horizontal="right" vertical="center" shrinkToFit="1"/>
    </xf>
    <xf numFmtId="231" fontId="15" fillId="6" borderId="10" xfId="49" applyNumberFormat="1" applyFont="1" applyFill="1" applyBorder="1" applyAlignment="1">
      <alignment horizontal="right" vertical="center" shrinkToFit="1"/>
    </xf>
    <xf numFmtId="244" fontId="6" fillId="6" borderId="10" xfId="49" applyNumberFormat="1" applyFont="1" applyFill="1" applyBorder="1" applyAlignment="1" applyProtection="1">
      <alignment horizontal="right" vertical="center" shrinkToFit="1"/>
      <protection locked="0"/>
    </xf>
    <xf numFmtId="0" fontId="6" fillId="6" borderId="10" xfId="49" applyFont="1" applyFill="1" applyBorder="1" applyAlignment="1" applyProtection="1">
      <alignment vertical="center" shrinkToFit="1"/>
      <protection locked="0"/>
    </xf>
    <xf numFmtId="231" fontId="6" fillId="0" borderId="0" xfId="1" applyNumberFormat="1" applyFont="1" applyFill="1" applyAlignment="1" applyProtection="1">
      <alignment horizontal="right" vertical="center" shrinkToFit="1"/>
      <protection hidden="1"/>
    </xf>
    <xf numFmtId="9" fontId="6" fillId="0" borderId="0" xfId="3" applyFont="1" applyFill="1" applyAlignment="1" applyProtection="1">
      <alignment vertical="center" shrinkToFit="1"/>
      <protection hidden="1"/>
    </xf>
    <xf numFmtId="231" fontId="6" fillId="6" borderId="0" xfId="1" applyNumberFormat="1" applyFont="1" applyFill="1" applyAlignment="1" applyProtection="1">
      <alignment horizontal="right" vertical="center" shrinkToFit="1"/>
      <protection hidden="1"/>
    </xf>
    <xf numFmtId="43" fontId="6" fillId="0" borderId="0" xfId="1" applyFont="1" applyFill="1" applyAlignment="1" applyProtection="1">
      <alignment horizontal="left" vertical="center" shrinkToFit="1"/>
      <protection hidden="1"/>
    </xf>
    <xf numFmtId="0" fontId="6" fillId="0" borderId="10" xfId="49" applyFont="1" applyBorder="1" applyAlignment="1" applyProtection="1">
      <alignment horizontal="left" vertical="center" shrinkToFit="1"/>
      <protection locked="0"/>
    </xf>
    <xf numFmtId="236" fontId="6" fillId="0" borderId="10" xfId="49" applyNumberFormat="1" applyFont="1" applyBorder="1" applyAlignment="1" applyProtection="1">
      <alignment horizontal="center" vertical="center" shrinkToFit="1"/>
      <protection locked="0"/>
    </xf>
    <xf numFmtId="0" fontId="6" fillId="0" borderId="10" xfId="49" applyFont="1" applyBorder="1" applyAlignment="1" applyProtection="1">
      <alignment horizontal="center" vertical="center" shrinkToFit="1"/>
      <protection locked="0"/>
    </xf>
    <xf numFmtId="231" fontId="6" fillId="0" borderId="10" xfId="49" applyNumberFormat="1" applyFont="1" applyBorder="1" applyAlignment="1">
      <alignment horizontal="right" vertical="center" shrinkToFit="1"/>
    </xf>
    <xf numFmtId="231" fontId="15" fillId="0" borderId="10" xfId="49" applyNumberFormat="1" applyFont="1" applyBorder="1" applyAlignment="1">
      <alignment horizontal="right" vertical="center" shrinkToFit="1"/>
    </xf>
    <xf numFmtId="0" fontId="6" fillId="0" borderId="10" xfId="49" applyFont="1" applyBorder="1" applyAlignment="1" applyProtection="1">
      <alignment vertical="center" shrinkToFit="1"/>
      <protection locked="0"/>
    </xf>
    <xf numFmtId="0" fontId="6" fillId="0" borderId="10" xfId="49" applyFont="1" applyBorder="1" applyAlignment="1" applyProtection="1">
      <alignment horizontal="center" vertical="center" shrinkToFit="1"/>
      <protection locked="0" hidden="1"/>
    </xf>
    <xf numFmtId="0" fontId="6" fillId="6" borderId="10" xfId="49" applyFont="1" applyFill="1" applyBorder="1" applyAlignment="1">
      <alignment horizontal="left" vertical="center" shrinkToFit="1"/>
    </xf>
    <xf numFmtId="236" fontId="6" fillId="6" borderId="10" xfId="49" applyNumberFormat="1" applyFont="1" applyFill="1" applyBorder="1" applyAlignment="1">
      <alignment horizontal="center" vertical="center" shrinkToFit="1"/>
    </xf>
    <xf numFmtId="0" fontId="6" fillId="6" borderId="10" xfId="49" applyFont="1" applyFill="1" applyBorder="1" applyAlignment="1">
      <alignment horizontal="center" vertical="center" shrinkToFit="1"/>
    </xf>
    <xf numFmtId="0" fontId="6" fillId="6" borderId="10" xfId="49" applyFont="1" applyFill="1" applyBorder="1" applyAlignment="1">
      <alignment vertical="center" shrinkToFit="1"/>
    </xf>
    <xf numFmtId="0" fontId="7" fillId="6" borderId="7" xfId="49" applyFont="1" applyFill="1" applyBorder="1" applyAlignment="1">
      <alignment horizontal="center" vertical="center" shrinkToFit="1"/>
    </xf>
    <xf numFmtId="0" fontId="7" fillId="6" borderId="8" xfId="49" applyFont="1" applyFill="1" applyBorder="1" applyAlignment="1">
      <alignment horizontal="center" vertical="center" shrinkToFit="1"/>
    </xf>
    <xf numFmtId="0" fontId="7" fillId="6" borderId="9" xfId="49" applyFont="1" applyFill="1" applyBorder="1" applyAlignment="1">
      <alignment horizontal="center" vertical="center" shrinkToFit="1"/>
    </xf>
    <xf numFmtId="0" fontId="7" fillId="6" borderId="10" xfId="49" applyFont="1" applyFill="1" applyBorder="1" applyAlignment="1">
      <alignment vertical="center" shrinkToFit="1"/>
    </xf>
    <xf numFmtId="0" fontId="7" fillId="6" borderId="10" xfId="49" applyFont="1" applyFill="1" applyBorder="1" applyAlignment="1">
      <alignment horizontal="right" vertical="center" shrinkToFit="1"/>
    </xf>
    <xf numFmtId="231" fontId="7" fillId="6" borderId="10" xfId="49" applyNumberFormat="1" applyFont="1" applyFill="1" applyBorder="1" applyAlignment="1">
      <alignment horizontal="right" vertical="center" shrinkToFit="1"/>
    </xf>
    <xf numFmtId="231" fontId="19" fillId="6" borderId="10" xfId="49" applyNumberFormat="1" applyFont="1" applyFill="1" applyBorder="1" applyAlignment="1">
      <alignment horizontal="right" vertical="center" shrinkToFit="1"/>
    </xf>
    <xf numFmtId="9" fontId="7" fillId="0" borderId="0" xfId="3" applyFont="1" applyAlignment="1" applyProtection="1">
      <alignment vertical="center"/>
      <protection hidden="1"/>
    </xf>
    <xf numFmtId="0" fontId="7" fillId="6" borderId="7" xfId="49" applyFont="1" applyFill="1" applyBorder="1" applyAlignment="1" applyProtection="1">
      <alignment horizontal="center" vertical="center" shrinkToFit="1"/>
      <protection locked="0"/>
    </xf>
    <xf numFmtId="0" fontId="7" fillId="6" borderId="8" xfId="49" applyFont="1" applyFill="1" applyBorder="1" applyAlignment="1" applyProtection="1">
      <alignment horizontal="center" vertical="center" shrinkToFit="1"/>
      <protection locked="0"/>
    </xf>
    <xf numFmtId="0" fontId="7" fillId="6" borderId="9" xfId="49" applyFont="1" applyFill="1" applyBorder="1" applyAlignment="1" applyProtection="1">
      <alignment horizontal="center" vertical="center" shrinkToFit="1"/>
      <protection locked="0"/>
    </xf>
    <xf numFmtId="0" fontId="7" fillId="6" borderId="10" xfId="49" applyFont="1" applyFill="1" applyBorder="1" applyAlignment="1" applyProtection="1">
      <alignment vertical="center" shrinkToFit="1"/>
      <protection locked="0"/>
    </xf>
    <xf numFmtId="0" fontId="7" fillId="6" borderId="10" xfId="49" applyFont="1" applyFill="1" applyBorder="1" applyAlignment="1" applyProtection="1">
      <alignment horizontal="right" vertical="center" shrinkToFit="1"/>
      <protection locked="0"/>
    </xf>
    <xf numFmtId="0" fontId="7" fillId="6" borderId="10" xfId="49" applyFont="1" applyFill="1" applyBorder="1" applyAlignment="1">
      <alignment horizontal="center" vertical="center" shrinkToFit="1"/>
    </xf>
    <xf numFmtId="0" fontId="6" fillId="6" borderId="0" xfId="49" applyFont="1" applyFill="1" applyAlignment="1" applyProtection="1">
      <alignment horizontal="left" vertical="center"/>
      <protection locked="0"/>
    </xf>
    <xf numFmtId="49" fontId="6" fillId="6" borderId="0" xfId="49" applyNumberFormat="1" applyFont="1" applyFill="1" applyAlignment="1" applyProtection="1">
      <alignment horizontal="left" vertical="center"/>
      <protection locked="0"/>
    </xf>
    <xf numFmtId="0" fontId="6" fillId="6" borderId="0" xfId="49" applyFont="1" applyFill="1" applyAlignment="1" applyProtection="1">
      <alignment vertical="center"/>
      <protection locked="0"/>
    </xf>
    <xf numFmtId="231" fontId="6" fillId="6" borderId="0" xfId="49" applyNumberFormat="1" applyFont="1" applyFill="1" applyAlignment="1" applyProtection="1">
      <alignment vertical="center"/>
      <protection locked="0"/>
    </xf>
    <xf numFmtId="231" fontId="15" fillId="6" borderId="0" xfId="49" applyNumberFormat="1" applyFont="1" applyFill="1" applyAlignment="1" applyProtection="1">
      <alignment vertical="center"/>
      <protection locked="0"/>
    </xf>
    <xf numFmtId="244" fontId="6" fillId="6" borderId="0" xfId="49" applyNumberFormat="1" applyFont="1" applyFill="1" applyAlignment="1" applyProtection="1">
      <alignment vertical="center"/>
      <protection locked="0"/>
    </xf>
    <xf numFmtId="231" fontId="9" fillId="6" borderId="0" xfId="1" applyNumberFormat="1" applyFont="1" applyFill="1" applyAlignment="1" applyProtection="1">
      <alignment horizontal="right" vertical="center"/>
      <protection hidden="1"/>
    </xf>
    <xf numFmtId="0" fontId="27" fillId="0" borderId="0" xfId="0" applyFont="1" applyAlignment="1" applyProtection="1">
      <alignment horizontal="center" vertical="center" wrapText="1"/>
      <protection hidden="1"/>
    </xf>
    <xf numFmtId="0" fontId="27" fillId="0" borderId="0" xfId="0" applyFont="1" applyAlignment="1" applyProtection="1">
      <alignment vertical="center"/>
      <protection hidden="1"/>
    </xf>
    <xf numFmtId="233" fontId="9" fillId="0" borderId="0" xfId="0" applyNumberFormat="1" applyFont="1" applyAlignment="1" applyProtection="1">
      <alignment vertical="center"/>
      <protection hidden="1"/>
    </xf>
    <xf numFmtId="0" fontId="37" fillId="6" borderId="0" xfId="0" applyFont="1" applyFill="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235" fontId="9" fillId="6" borderId="0" xfId="0" applyNumberFormat="1" applyFont="1" applyFill="1" applyAlignment="1" applyProtection="1">
      <alignment horizontal="center" vertical="center"/>
      <protection hidden="1"/>
    </xf>
    <xf numFmtId="0" fontId="9" fillId="6" borderId="0" xfId="0" applyFont="1" applyFill="1" applyAlignment="1" applyProtection="1">
      <alignment horizontal="center" vertical="center"/>
      <protection hidden="1"/>
    </xf>
    <xf numFmtId="233" fontId="9" fillId="6" borderId="0" xfId="0" applyNumberFormat="1" applyFont="1" applyFill="1" applyAlignment="1" applyProtection="1">
      <alignment horizontal="center" vertical="center"/>
      <protection hidden="1"/>
    </xf>
    <xf numFmtId="43" fontId="9" fillId="6" borderId="0" xfId="0" applyNumberFormat="1" applyFont="1" applyFill="1" applyAlignment="1" applyProtection="1">
      <alignment horizontal="center" vertical="center"/>
      <protection hidden="1"/>
    </xf>
    <xf numFmtId="233" fontId="9" fillId="6" borderId="0" xfId="0" applyNumberFormat="1" applyFont="1" applyFill="1" applyAlignment="1" applyProtection="1">
      <alignment vertical="center"/>
      <protection hidden="1"/>
    </xf>
    <xf numFmtId="235" fontId="9" fillId="6" borderId="0" xfId="0" applyNumberFormat="1" applyFont="1" applyFill="1" applyAlignment="1" applyProtection="1">
      <alignment vertical="center"/>
      <protection hidden="1"/>
    </xf>
    <xf numFmtId="0" fontId="9" fillId="6" borderId="0" xfId="0" applyFont="1" applyFill="1" applyAlignment="1" applyProtection="1">
      <alignment vertical="center"/>
      <protection hidden="1"/>
    </xf>
    <xf numFmtId="0" fontId="9" fillId="6" borderId="0" xfId="0" applyFont="1" applyFill="1" applyAlignment="1" applyProtection="1">
      <alignment horizontal="right" vertical="center"/>
      <protection hidden="1"/>
    </xf>
    <xf numFmtId="234" fontId="7" fillId="6" borderId="0" xfId="0" applyNumberFormat="1" applyFont="1" applyFill="1" applyAlignment="1" applyProtection="1">
      <alignment horizontal="center" vertical="center"/>
      <protection hidden="1"/>
    </xf>
    <xf numFmtId="9" fontId="6" fillId="0" borderId="0" xfId="0" applyNumberFormat="1" applyFont="1" applyAlignment="1" applyProtection="1">
      <alignment horizontal="center" vertical="center"/>
      <protection hidden="1"/>
    </xf>
    <xf numFmtId="233" fontId="27" fillId="6" borderId="10" xfId="223" applyNumberFormat="1" applyFont="1" applyFill="1" applyBorder="1" applyAlignment="1" applyProtection="1">
      <alignment horizontal="center" vertical="center" wrapText="1"/>
      <protection hidden="1"/>
    </xf>
    <xf numFmtId="0" fontId="27" fillId="6" borderId="10" xfId="223" applyFont="1" applyFill="1" applyBorder="1" applyAlignment="1" applyProtection="1">
      <alignment horizontal="center" vertical="center" wrapText="1"/>
      <protection hidden="1"/>
    </xf>
    <xf numFmtId="2" fontId="27" fillId="6" borderId="7" xfId="210" applyNumberFormat="1" applyFont="1" applyFill="1" applyBorder="1" applyAlignment="1" applyProtection="1">
      <alignment horizontal="center" vertical="center" wrapText="1"/>
      <protection hidden="1"/>
    </xf>
    <xf numFmtId="0" fontId="40" fillId="6" borderId="7" xfId="0" applyFont="1" applyFill="1" applyBorder="1" applyAlignment="1" applyProtection="1">
      <alignment horizontal="center" vertical="center" wrapText="1"/>
      <protection hidden="1"/>
    </xf>
    <xf numFmtId="1" fontId="27" fillId="6" borderId="7" xfId="268" applyNumberFormat="1" applyFont="1" applyFill="1" applyBorder="1" applyAlignment="1" applyProtection="1">
      <alignment horizontal="center" vertical="center" wrapText="1"/>
      <protection hidden="1"/>
    </xf>
    <xf numFmtId="1" fontId="27" fillId="6" borderId="5" xfId="268" applyNumberFormat="1" applyFont="1" applyFill="1" applyBorder="1" applyAlignment="1" applyProtection="1">
      <alignment horizontal="center" vertical="center" wrapText="1"/>
      <protection hidden="1"/>
    </xf>
    <xf numFmtId="41" fontId="27" fillId="6" borderId="10" xfId="268" applyFont="1" applyFill="1" applyBorder="1" applyAlignment="1" applyProtection="1">
      <alignment horizontal="center" vertical="center" wrapText="1"/>
      <protection hidden="1"/>
    </xf>
    <xf numFmtId="0" fontId="9" fillId="6" borderId="10" xfId="0" applyFont="1" applyFill="1" applyBorder="1" applyAlignment="1" applyProtection="1">
      <alignment horizontal="center" vertical="center" shrinkToFit="1"/>
      <protection hidden="1"/>
    </xf>
    <xf numFmtId="0" fontId="9" fillId="6" borderId="10" xfId="0" applyFont="1" applyFill="1" applyBorder="1" applyAlignment="1" applyProtection="1">
      <alignment horizontal="left" vertical="center" shrinkToFit="1"/>
      <protection hidden="1"/>
    </xf>
    <xf numFmtId="14" fontId="9" fillId="6" borderId="10" xfId="0" applyNumberFormat="1" applyFont="1" applyFill="1" applyBorder="1" applyAlignment="1" applyProtection="1">
      <alignment horizontal="center" vertical="center" shrinkToFit="1"/>
      <protection hidden="1"/>
    </xf>
    <xf numFmtId="239" fontId="9" fillId="6" borderId="10" xfId="0" applyNumberFormat="1" applyFont="1" applyFill="1" applyBorder="1" applyAlignment="1" applyProtection="1">
      <alignment horizontal="center" vertical="center" shrinkToFit="1"/>
      <protection hidden="1"/>
    </xf>
    <xf numFmtId="231" fontId="9" fillId="6" borderId="10" xfId="0" applyNumberFormat="1" applyFont="1" applyFill="1" applyBorder="1" applyAlignment="1" applyProtection="1">
      <alignment horizontal="right" vertical="center"/>
      <protection hidden="1"/>
    </xf>
    <xf numFmtId="43" fontId="9" fillId="6" borderId="10" xfId="0" applyNumberFormat="1" applyFont="1" applyFill="1" applyBorder="1" applyAlignment="1" applyProtection="1">
      <alignment horizontal="right" vertical="center"/>
      <protection hidden="1"/>
    </xf>
    <xf numFmtId="43" fontId="6" fillId="0" borderId="0" xfId="0" applyNumberFormat="1" applyFont="1" applyAlignment="1" applyProtection="1">
      <alignment vertical="center"/>
      <protection hidden="1"/>
    </xf>
    <xf numFmtId="10" fontId="6" fillId="6" borderId="0" xfId="3" applyNumberFormat="1" applyFont="1" applyFill="1" applyAlignment="1" applyProtection="1">
      <alignment vertical="center"/>
      <protection hidden="1"/>
    </xf>
    <xf numFmtId="0" fontId="9" fillId="0" borderId="10" xfId="0" applyFont="1" applyBorder="1" applyAlignment="1" applyProtection="1">
      <alignment horizontal="center" vertical="center" shrinkToFit="1"/>
      <protection hidden="1"/>
    </xf>
    <xf numFmtId="0" fontId="9" fillId="0" borderId="10" xfId="0" applyFont="1" applyBorder="1" applyAlignment="1" applyProtection="1">
      <alignment horizontal="left" vertical="center" shrinkToFit="1"/>
      <protection hidden="1"/>
    </xf>
    <xf numFmtId="14" fontId="9" fillId="0" borderId="10" xfId="0" applyNumberFormat="1" applyFont="1" applyBorder="1" applyAlignment="1" applyProtection="1">
      <alignment horizontal="center" vertical="center" shrinkToFit="1"/>
      <protection hidden="1"/>
    </xf>
    <xf numFmtId="239" fontId="9" fillId="0" borderId="10" xfId="0" applyNumberFormat="1" applyFont="1" applyBorder="1" applyAlignment="1" applyProtection="1">
      <alignment horizontal="center" vertical="center" shrinkToFit="1"/>
      <protection hidden="1"/>
    </xf>
    <xf numFmtId="231" fontId="9" fillId="0" borderId="10" xfId="0" applyNumberFormat="1" applyFont="1" applyBorder="1" applyAlignment="1" applyProtection="1">
      <alignment horizontal="right" vertical="center"/>
      <protection hidden="1"/>
    </xf>
    <xf numFmtId="43" fontId="9" fillId="0" borderId="10" xfId="0" applyNumberFormat="1" applyFont="1" applyBorder="1" applyAlignment="1" applyProtection="1">
      <alignment horizontal="right" vertical="center"/>
      <protection hidden="1"/>
    </xf>
    <xf numFmtId="0" fontId="27" fillId="6" borderId="10" xfId="0" applyFont="1" applyFill="1" applyBorder="1" applyAlignment="1" applyProtection="1">
      <alignment horizontal="center" vertical="center"/>
      <protection hidden="1"/>
    </xf>
    <xf numFmtId="0" fontId="27" fillId="6" borderId="10" xfId="0" applyFont="1" applyFill="1" applyBorder="1" applyAlignment="1" applyProtection="1">
      <alignment vertical="center"/>
      <protection hidden="1"/>
    </xf>
    <xf numFmtId="231" fontId="27" fillId="6" borderId="10" xfId="0" applyNumberFormat="1" applyFont="1" applyFill="1" applyBorder="1" applyAlignment="1" applyProtection="1">
      <alignment horizontal="right" vertical="center"/>
      <protection hidden="1"/>
    </xf>
    <xf numFmtId="43" fontId="27" fillId="6" borderId="10" xfId="0" applyNumberFormat="1" applyFont="1" applyFill="1" applyBorder="1" applyAlignment="1" applyProtection="1">
      <alignment horizontal="right" vertical="center"/>
      <protection hidden="1"/>
    </xf>
    <xf numFmtId="0" fontId="9" fillId="6" borderId="10" xfId="0" applyFont="1" applyFill="1" applyBorder="1" applyAlignment="1" applyProtection="1">
      <alignment horizontal="center" vertical="center"/>
      <protection hidden="1"/>
    </xf>
    <xf numFmtId="0" fontId="9" fillId="6" borderId="10" xfId="0" applyFont="1" applyFill="1" applyBorder="1" applyAlignment="1" applyProtection="1">
      <alignment vertical="center"/>
      <protection hidden="1"/>
    </xf>
    <xf numFmtId="49" fontId="9" fillId="6" borderId="0" xfId="0" applyNumberFormat="1" applyFont="1" applyFill="1" applyAlignment="1" applyProtection="1">
      <alignment vertical="center"/>
      <protection hidden="1"/>
    </xf>
    <xf numFmtId="233" fontId="9" fillId="6" borderId="0" xfId="1" applyNumberFormat="1" applyFont="1" applyFill="1" applyAlignment="1" applyProtection="1">
      <alignment vertical="center"/>
      <protection hidden="1"/>
    </xf>
    <xf numFmtId="231" fontId="9" fillId="0" borderId="0" xfId="0" applyNumberFormat="1" applyFont="1" applyAlignment="1" applyProtection="1">
      <alignment horizontal="right" vertical="center"/>
      <protection hidden="1"/>
    </xf>
    <xf numFmtId="9" fontId="6" fillId="0" borderId="0" xfId="0" applyNumberFormat="1" applyFont="1" applyAlignment="1" applyProtection="1">
      <alignment horizontal="center" vertical="center" shrinkToFit="1"/>
      <protection hidden="1"/>
    </xf>
    <xf numFmtId="43" fontId="7" fillId="0" borderId="0" xfId="0" applyNumberFormat="1" applyFont="1" applyAlignment="1" applyProtection="1">
      <alignment horizontal="center" vertical="center" shrinkToFit="1"/>
      <protection hidden="1"/>
    </xf>
    <xf numFmtId="43" fontId="6" fillId="0" borderId="0" xfId="1" applyFont="1" applyFill="1" applyAlignment="1" applyProtection="1">
      <alignment vertical="center" shrinkToFit="1"/>
      <protection hidden="1"/>
    </xf>
    <xf numFmtId="43" fontId="6" fillId="6" borderId="0" xfId="0" applyNumberFormat="1" applyFont="1" applyFill="1" applyAlignment="1" applyProtection="1">
      <alignment vertical="center" shrinkToFit="1"/>
      <protection hidden="1"/>
    </xf>
    <xf numFmtId="43" fontId="7" fillId="0" borderId="0" xfId="0" applyNumberFormat="1" applyFont="1" applyAlignment="1" applyProtection="1">
      <alignment horizontal="center" vertical="center"/>
      <protection hidden="1"/>
    </xf>
    <xf numFmtId="10" fontId="6" fillId="0" borderId="10" xfId="3" applyNumberFormat="1" applyFont="1" applyBorder="1" applyAlignment="1" applyProtection="1">
      <alignment horizontal="center" vertical="center" shrinkToFit="1"/>
      <protection hidden="1"/>
    </xf>
    <xf numFmtId="235" fontId="6" fillId="6" borderId="0" xfId="0" applyNumberFormat="1" applyFont="1" applyFill="1" applyAlignment="1" applyProtection="1">
      <alignment horizontal="right" vertical="center"/>
      <protection hidden="1"/>
    </xf>
    <xf numFmtId="235" fontId="15" fillId="6" borderId="0" xfId="0" applyNumberFormat="1" applyFont="1" applyFill="1" applyAlignment="1" applyProtection="1">
      <alignment horizontal="right" vertical="center"/>
      <protection hidden="1"/>
    </xf>
    <xf numFmtId="0" fontId="7" fillId="6" borderId="14" xfId="0" applyFont="1" applyFill="1" applyBorder="1" applyAlignment="1" applyProtection="1">
      <alignment horizontal="center" vertical="center"/>
      <protection hidden="1"/>
    </xf>
    <xf numFmtId="0" fontId="12" fillId="6" borderId="10" xfId="0" applyFont="1" applyFill="1" applyBorder="1" applyAlignment="1">
      <alignment horizontal="center" vertical="center" shrinkToFit="1"/>
    </xf>
    <xf numFmtId="0" fontId="7" fillId="6" borderId="10" xfId="225" applyFont="1" applyFill="1" applyBorder="1" applyAlignment="1" applyProtection="1">
      <alignment horizontal="center" vertical="center" wrapText="1"/>
      <protection hidden="1"/>
    </xf>
    <xf numFmtId="0" fontId="41" fillId="0" borderId="10" xfId="6" applyFont="1" applyBorder="1" applyAlignment="1" applyProtection="1">
      <alignment vertical="center" shrinkToFit="1"/>
      <protection hidden="1"/>
    </xf>
    <xf numFmtId="0" fontId="6" fillId="0" borderId="10" xfId="6" applyFont="1" applyBorder="1" applyAlignment="1" applyProtection="1">
      <alignment vertical="center" shrinkToFit="1"/>
      <protection hidden="1"/>
    </xf>
    <xf numFmtId="0" fontId="41" fillId="0" borderId="10" xfId="0" applyFont="1" applyBorder="1" applyAlignment="1" applyProtection="1">
      <alignment vertical="center" shrinkToFit="1"/>
      <protection hidden="1"/>
    </xf>
    <xf numFmtId="233" fontId="6" fillId="0" borderId="0" xfId="0" applyNumberFormat="1" applyFont="1" applyAlignment="1" applyProtection="1">
      <alignment horizontal="center" vertical="center"/>
      <protection hidden="1"/>
    </xf>
    <xf numFmtId="233" fontId="16" fillId="0" borderId="0" xfId="6" applyNumberFormat="1" applyFont="1" applyAlignment="1" applyProtection="1">
      <alignment horizontal="center" vertical="center" shrinkToFit="1"/>
      <protection hidden="1"/>
    </xf>
    <xf numFmtId="233" fontId="7" fillId="6" borderId="5" xfId="0" applyNumberFormat="1" applyFont="1" applyFill="1" applyBorder="1" applyAlignment="1" applyProtection="1">
      <alignment horizontal="center" vertical="center" wrapText="1"/>
      <protection hidden="1"/>
    </xf>
    <xf numFmtId="0" fontId="7" fillId="6" borderId="7" xfId="216" applyFont="1" applyFill="1" applyBorder="1" applyAlignment="1" applyProtection="1">
      <alignment horizontal="center" vertical="center" wrapText="1"/>
      <protection hidden="1"/>
    </xf>
    <xf numFmtId="0" fontId="7" fillId="6" borderId="9" xfId="216" applyFont="1" applyFill="1" applyBorder="1" applyAlignment="1" applyProtection="1">
      <alignment horizontal="center" vertical="center" wrapText="1"/>
      <protection hidden="1"/>
    </xf>
    <xf numFmtId="0" fontId="7" fillId="6" borderId="0" xfId="0" applyFont="1" applyFill="1" applyAlignment="1" applyProtection="1">
      <alignment horizontal="left" vertical="center"/>
      <protection hidden="1"/>
    </xf>
    <xf numFmtId="233" fontId="7" fillId="6" borderId="11" xfId="0" applyNumberFormat="1" applyFont="1" applyFill="1" applyBorder="1" applyAlignment="1" applyProtection="1">
      <alignment horizontal="center" vertical="center" wrapText="1"/>
      <protection hidden="1"/>
    </xf>
    <xf numFmtId="0" fontId="7" fillId="6" borderId="11" xfId="0" applyFont="1" applyFill="1" applyBorder="1" applyAlignment="1" applyProtection="1">
      <alignment horizontal="center" vertical="center" wrapText="1" shrinkToFit="1"/>
      <protection hidden="1"/>
    </xf>
    <xf numFmtId="233" fontId="6" fillId="0" borderId="0" xfId="0" applyNumberFormat="1" applyFont="1" applyAlignment="1" applyProtection="1">
      <alignment horizontal="center" vertical="center" shrinkToFit="1"/>
      <protection hidden="1"/>
    </xf>
    <xf numFmtId="231" fontId="6" fillId="0" borderId="0" xfId="1" applyNumberFormat="1" applyFont="1" applyFill="1" applyAlignment="1" applyProtection="1">
      <alignment horizontal="right" vertical="center"/>
      <protection hidden="1"/>
    </xf>
    <xf numFmtId="0" fontId="7" fillId="0" borderId="0" xfId="49" applyFont="1" applyAlignment="1" applyProtection="1">
      <alignment vertical="center"/>
      <protection locked="0"/>
    </xf>
    <xf numFmtId="9" fontId="6" fillId="0" borderId="0" xfId="3" applyFont="1" applyAlignment="1" applyProtection="1">
      <alignment horizontal="center" vertical="center"/>
      <protection locked="0"/>
    </xf>
    <xf numFmtId="231" fontId="13" fillId="0" borderId="0" xfId="0" applyNumberFormat="1" applyFont="1" applyAlignment="1" applyProtection="1">
      <alignment vertical="center" shrinkToFit="1"/>
      <protection hidden="1"/>
    </xf>
    <xf numFmtId="9" fontId="6" fillId="0" borderId="0" xfId="3" applyFont="1" applyAlignment="1" applyProtection="1">
      <alignment horizontal="center" vertical="center" shrinkToFit="1"/>
      <protection locked="0" hidden="1"/>
    </xf>
    <xf numFmtId="0" fontId="14" fillId="6" borderId="0" xfId="49" applyFont="1" applyFill="1" applyAlignment="1" applyProtection="1">
      <alignment horizontal="center" vertical="center" wrapText="1"/>
      <protection locked="0" hidden="1"/>
    </xf>
    <xf numFmtId="9" fontId="37" fillId="0" borderId="0" xfId="3" applyFont="1" applyAlignment="1" applyProtection="1">
      <alignment horizontal="center" vertical="center"/>
      <protection locked="0" hidden="1"/>
    </xf>
    <xf numFmtId="9" fontId="6" fillId="0" borderId="0" xfId="3" applyFont="1" applyAlignment="1" applyProtection="1">
      <alignment horizontal="center" vertical="center"/>
      <protection locked="0" hidden="1"/>
    </xf>
    <xf numFmtId="244" fontId="6" fillId="6" borderId="0" xfId="49" applyNumberFormat="1" applyFont="1" applyFill="1" applyAlignment="1" applyProtection="1">
      <alignment horizontal="center" vertical="center"/>
      <protection locked="0" hidden="1"/>
    </xf>
    <xf numFmtId="235" fontId="39" fillId="6" borderId="0" xfId="49" applyNumberFormat="1" applyFont="1" applyFill="1" applyAlignment="1" applyProtection="1">
      <alignment horizontal="right" vertical="center"/>
      <protection locked="0" hidden="1"/>
    </xf>
    <xf numFmtId="0" fontId="7" fillId="6" borderId="5" xfId="49" applyFont="1" applyFill="1" applyBorder="1" applyAlignment="1" applyProtection="1">
      <alignment vertical="center" wrapText="1"/>
      <protection locked="0" hidden="1"/>
    </xf>
    <xf numFmtId="0" fontId="12" fillId="6" borderId="5" xfId="49" applyFont="1" applyFill="1" applyBorder="1" applyAlignment="1" applyProtection="1">
      <alignment vertical="center" wrapText="1"/>
      <protection locked="0" hidden="1"/>
    </xf>
    <xf numFmtId="0" fontId="7" fillId="6" borderId="9" xfId="49" applyFont="1" applyFill="1" applyBorder="1" applyAlignment="1" applyProtection="1">
      <alignment horizontal="center" vertical="center" wrapText="1"/>
      <protection locked="0" hidden="1"/>
    </xf>
    <xf numFmtId="231" fontId="12" fillId="6" borderId="10" xfId="49" applyNumberFormat="1" applyFont="1" applyFill="1" applyBorder="1" applyAlignment="1" applyProtection="1">
      <alignment horizontal="center" vertical="center" wrapText="1"/>
      <protection locked="0" hidden="1"/>
    </xf>
    <xf numFmtId="231" fontId="42" fillId="6" borderId="10" xfId="49" applyNumberFormat="1" applyFont="1" applyFill="1" applyBorder="1" applyAlignment="1" applyProtection="1">
      <alignment horizontal="center" vertical="center" wrapText="1"/>
      <protection locked="0" hidden="1"/>
    </xf>
    <xf numFmtId="231" fontId="7" fillId="6" borderId="10" xfId="49" applyNumberFormat="1" applyFont="1" applyFill="1" applyBorder="1" applyAlignment="1" applyProtection="1">
      <alignment horizontal="center" vertical="center" wrapText="1"/>
      <protection locked="0" hidden="1"/>
    </xf>
    <xf numFmtId="231" fontId="7" fillId="6" borderId="7" xfId="49" applyNumberFormat="1" applyFont="1" applyFill="1" applyBorder="1" applyAlignment="1" applyProtection="1">
      <alignment horizontal="center" vertical="center" wrapText="1"/>
      <protection locked="0" hidden="1"/>
    </xf>
    <xf numFmtId="231" fontId="7" fillId="6" borderId="9" xfId="49" applyNumberFormat="1" applyFont="1" applyFill="1" applyBorder="1" applyAlignment="1" applyProtection="1">
      <alignment horizontal="center" vertical="center" wrapText="1"/>
      <protection locked="0" hidden="1"/>
    </xf>
    <xf numFmtId="244" fontId="7" fillId="6" borderId="5" xfId="49" applyNumberFormat="1" applyFont="1" applyFill="1" applyBorder="1" applyAlignment="1" applyProtection="1">
      <alignment horizontal="center" vertical="center" wrapText="1"/>
      <protection locked="0" hidden="1"/>
    </xf>
    <xf numFmtId="0" fontId="12" fillId="6" borderId="14" xfId="0" applyFont="1" applyFill="1" applyBorder="1" applyAlignment="1" applyProtection="1">
      <alignment horizontal="center" vertical="center" wrapText="1"/>
      <protection hidden="1"/>
    </xf>
    <xf numFmtId="9" fontId="12" fillId="6" borderId="0" xfId="3" applyFont="1" applyFill="1" applyBorder="1" applyAlignment="1" applyProtection="1">
      <alignment horizontal="center" vertical="center"/>
      <protection hidden="1"/>
    </xf>
    <xf numFmtId="9" fontId="7" fillId="6" borderId="0" xfId="3" applyFont="1" applyFill="1" applyBorder="1" applyAlignment="1" applyProtection="1">
      <alignment horizontal="center" vertical="center"/>
      <protection hidden="1"/>
    </xf>
    <xf numFmtId="0" fontId="12" fillId="6" borderId="0" xfId="0" applyFont="1" applyFill="1" applyAlignment="1" applyProtection="1">
      <alignment horizontal="center" vertical="center"/>
      <protection hidden="1"/>
    </xf>
    <xf numFmtId="0" fontId="7" fillId="6" borderId="11" xfId="49" applyFont="1" applyFill="1" applyBorder="1" applyAlignment="1" applyProtection="1">
      <alignment vertical="center" wrapText="1"/>
      <protection locked="0" hidden="1"/>
    </xf>
    <xf numFmtId="231" fontId="12" fillId="6" borderId="10" xfId="49" applyNumberFormat="1" applyFont="1" applyFill="1" applyBorder="1" applyAlignment="1" applyProtection="1">
      <alignment horizontal="center" vertical="center" shrinkToFit="1"/>
      <protection locked="0" hidden="1"/>
    </xf>
    <xf numFmtId="231" fontId="42" fillId="6" borderId="10" xfId="49" applyNumberFormat="1" applyFont="1" applyFill="1" applyBorder="1" applyAlignment="1" applyProtection="1">
      <alignment horizontal="center" vertical="center" shrinkToFit="1"/>
      <protection locked="0" hidden="1"/>
    </xf>
    <xf numFmtId="244" fontId="7" fillId="6" borderId="11" xfId="49" applyNumberFormat="1" applyFont="1" applyFill="1" applyBorder="1" applyAlignment="1" applyProtection="1">
      <alignment horizontal="center" vertical="center" wrapText="1"/>
      <protection locked="0" hidden="1"/>
    </xf>
    <xf numFmtId="231" fontId="7" fillId="6" borderId="0" xfId="0" applyNumberFormat="1" applyFont="1" applyFill="1" applyAlignment="1" applyProtection="1">
      <alignment horizontal="center" vertical="center" wrapText="1" shrinkToFit="1"/>
      <protection hidden="1"/>
    </xf>
    <xf numFmtId="9" fontId="7" fillId="6" borderId="0" xfId="3" applyFont="1" applyFill="1" applyBorder="1" applyAlignment="1" applyProtection="1">
      <alignment horizontal="center" vertical="center" wrapText="1" shrinkToFit="1"/>
      <protection hidden="1"/>
    </xf>
    <xf numFmtId="9" fontId="12" fillId="6" borderId="0" xfId="3" applyFont="1" applyFill="1" applyBorder="1" applyAlignment="1" applyProtection="1">
      <alignment horizontal="center" vertical="center" wrapText="1" shrinkToFit="1"/>
      <protection hidden="1"/>
    </xf>
    <xf numFmtId="0" fontId="12" fillId="6" borderId="0" xfId="0" applyFont="1" applyFill="1" applyAlignment="1" applyProtection="1">
      <alignment horizontal="center" vertical="center" wrapText="1" shrinkToFit="1"/>
      <protection hidden="1"/>
    </xf>
    <xf numFmtId="236" fontId="6" fillId="6" borderId="10" xfId="49" applyNumberFormat="1" applyFont="1" applyFill="1" applyBorder="1" applyAlignment="1" applyProtection="1">
      <alignment vertical="center" shrinkToFit="1"/>
      <protection locked="0"/>
    </xf>
    <xf numFmtId="231" fontId="6" fillId="0" borderId="0" xfId="1" applyNumberFormat="1" applyFont="1" applyBorder="1" applyAlignment="1" applyProtection="1">
      <alignment horizontal="right" vertical="center"/>
      <protection hidden="1"/>
    </xf>
    <xf numFmtId="43" fontId="6" fillId="0" borderId="0" xfId="1" applyFont="1" applyBorder="1" applyAlignment="1" applyProtection="1">
      <alignment vertical="center"/>
      <protection hidden="1"/>
    </xf>
    <xf numFmtId="9" fontId="6" fillId="0" borderId="0" xfId="3" applyFont="1" applyBorder="1" applyAlignment="1" applyProtection="1">
      <alignment horizontal="center" vertical="center" shrinkToFit="1"/>
      <protection locked="0"/>
    </xf>
    <xf numFmtId="231" fontId="6" fillId="6" borderId="0" xfId="1" applyNumberFormat="1" applyFont="1" applyFill="1" applyBorder="1" applyAlignment="1" applyProtection="1">
      <alignment horizontal="right" vertical="center"/>
      <protection hidden="1"/>
    </xf>
    <xf numFmtId="9" fontId="6" fillId="0" borderId="0" xfId="3" applyFont="1" applyBorder="1" applyAlignment="1" applyProtection="1">
      <alignment horizontal="center" vertical="center"/>
      <protection hidden="1"/>
    </xf>
    <xf numFmtId="236" fontId="6" fillId="0" borderId="10" xfId="49" applyNumberFormat="1" applyFont="1" applyBorder="1" applyAlignment="1" applyProtection="1">
      <alignment vertical="center" shrinkToFit="1"/>
      <protection locked="0"/>
    </xf>
    <xf numFmtId="236" fontId="6" fillId="6" borderId="10" xfId="49" applyNumberFormat="1" applyFont="1" applyFill="1" applyBorder="1" applyAlignment="1">
      <alignment vertical="center" shrinkToFit="1"/>
    </xf>
    <xf numFmtId="0" fontId="7" fillId="6" borderId="9" xfId="49" applyFont="1" applyFill="1" applyBorder="1" applyAlignment="1">
      <alignment vertical="center" shrinkToFit="1"/>
    </xf>
    <xf numFmtId="236" fontId="7" fillId="6" borderId="10" xfId="49" applyNumberFormat="1" applyFont="1" applyFill="1" applyBorder="1" applyAlignment="1">
      <alignment horizontal="center" vertical="center" shrinkToFit="1"/>
    </xf>
    <xf numFmtId="231" fontId="7" fillId="0" borderId="0" xfId="0" applyNumberFormat="1" applyFont="1" applyAlignment="1" applyProtection="1">
      <alignment vertical="center"/>
      <protection hidden="1"/>
    </xf>
    <xf numFmtId="9" fontId="7" fillId="0" borderId="0" xfId="3" applyFont="1" applyAlignment="1" applyProtection="1">
      <alignment horizontal="center" vertical="center" shrinkToFit="1"/>
      <protection locked="0"/>
    </xf>
    <xf numFmtId="0" fontId="7" fillId="6" borderId="9" xfId="49" applyFont="1" applyFill="1" applyBorder="1" applyAlignment="1" applyProtection="1">
      <alignment vertical="center" shrinkToFit="1"/>
      <protection locked="0"/>
    </xf>
    <xf numFmtId="14" fontId="7" fillId="6" borderId="10" xfId="49" applyNumberFormat="1" applyFont="1" applyFill="1" applyBorder="1" applyAlignment="1">
      <alignment horizontal="center" vertical="center" shrinkToFit="1"/>
    </xf>
    <xf numFmtId="9" fontId="7" fillId="0" borderId="0" xfId="3" applyFont="1" applyAlignment="1" applyProtection="1">
      <alignment horizontal="center" vertical="center"/>
      <protection locked="0"/>
    </xf>
    <xf numFmtId="9" fontId="7" fillId="6" borderId="0" xfId="0" applyNumberFormat="1" applyFont="1" applyFill="1" applyAlignment="1" applyProtection="1">
      <alignment horizontal="center" vertical="center"/>
      <protection hidden="1"/>
    </xf>
    <xf numFmtId="9" fontId="7" fillId="6" borderId="0" xfId="3" applyFont="1" applyFill="1" applyAlignment="1" applyProtection="1">
      <alignment horizontal="center" vertical="center"/>
      <protection hidden="1"/>
    </xf>
    <xf numFmtId="9" fontId="7" fillId="6" borderId="0" xfId="3" applyFont="1" applyFill="1" applyAlignment="1" applyProtection="1">
      <alignment horizontal="center" vertical="center" wrapText="1" shrinkToFit="1"/>
      <protection hidden="1"/>
    </xf>
    <xf numFmtId="9" fontId="6" fillId="6" borderId="0" xfId="3" applyFont="1" applyFill="1" applyAlignment="1" applyProtection="1">
      <alignment horizontal="center" vertical="center"/>
      <protection hidden="1"/>
    </xf>
    <xf numFmtId="0" fontId="6" fillId="0" borderId="0" xfId="0" applyFont="1"/>
    <xf numFmtId="0" fontId="2" fillId="0" borderId="0" xfId="0" applyFont="1"/>
    <xf numFmtId="0" fontId="2" fillId="0" borderId="0" xfId="0" applyFont="1" applyAlignment="1">
      <alignment vertical="center"/>
    </xf>
    <xf numFmtId="43" fontId="6" fillId="11" borderId="0" xfId="256" applyFont="1" applyFill="1" applyAlignment="1">
      <alignment vertical="center"/>
    </xf>
    <xf numFmtId="43" fontId="6" fillId="0" borderId="0" xfId="256" applyFont="1" applyAlignment="1" applyProtection="1">
      <alignment horizontal="center" vertical="center"/>
      <protection hidden="1"/>
    </xf>
    <xf numFmtId="43" fontId="6" fillId="0" borderId="0" xfId="256" applyFont="1" applyAlignment="1" applyProtection="1">
      <alignment vertical="center"/>
      <protection hidden="1"/>
    </xf>
    <xf numFmtId="43" fontId="6" fillId="0" borderId="0" xfId="256" applyFont="1" applyAlignment="1" applyProtection="1">
      <alignment horizontal="center" vertical="top"/>
      <protection hidden="1"/>
    </xf>
    <xf numFmtId="57" fontId="43" fillId="0" borderId="0" xfId="6" applyNumberFormat="1" applyFont="1" applyAlignment="1" applyProtection="1">
      <alignment vertical="center"/>
    </xf>
    <xf numFmtId="43" fontId="6" fillId="0" borderId="0" xfId="256" applyFont="1" applyFill="1" applyAlignment="1">
      <alignment vertical="center"/>
    </xf>
    <xf numFmtId="246" fontId="6" fillId="0" borderId="0" xfId="0" applyNumberFormat="1" applyFont="1" applyAlignment="1">
      <alignment vertical="center"/>
    </xf>
    <xf numFmtId="43" fontId="6" fillId="0" borderId="0" xfId="1" applyFont="1" applyFill="1" applyAlignment="1">
      <alignment vertical="center"/>
    </xf>
    <xf numFmtId="43" fontId="6" fillId="7" borderId="0" xfId="1" applyFont="1" applyFill="1" applyAlignment="1">
      <alignment vertical="center"/>
    </xf>
    <xf numFmtId="0" fontId="23" fillId="0" borderId="0" xfId="6" applyFont="1" applyAlignment="1" applyProtection="1">
      <alignment vertical="center"/>
    </xf>
    <xf numFmtId="0" fontId="43" fillId="0" borderId="0" xfId="6" applyFont="1" applyAlignment="1" applyProtection="1">
      <alignment vertical="center"/>
    </xf>
    <xf numFmtId="2" fontId="15" fillId="0" borderId="0" xfId="0" applyNumberFormat="1" applyFont="1" applyAlignment="1">
      <alignment vertical="center"/>
    </xf>
    <xf numFmtId="14" fontId="6" fillId="0" borderId="0" xfId="0" applyNumberFormat="1" applyFont="1" applyAlignment="1">
      <alignment vertical="center"/>
    </xf>
    <xf numFmtId="247" fontId="6" fillId="0" borderId="0" xfId="0" applyNumberFormat="1" applyFont="1" applyAlignment="1">
      <alignment vertical="center"/>
    </xf>
    <xf numFmtId="247" fontId="6" fillId="7" borderId="0" xfId="0" applyNumberFormat="1" applyFont="1" applyFill="1" applyAlignment="1">
      <alignment vertical="center"/>
    </xf>
    <xf numFmtId="43" fontId="6" fillId="7" borderId="0" xfId="256" applyFont="1" applyFill="1" applyAlignment="1">
      <alignment vertical="center"/>
    </xf>
    <xf numFmtId="9" fontId="7" fillId="6" borderId="0" xfId="0" applyNumberFormat="1" applyFont="1" applyFill="1" applyAlignment="1" applyProtection="1">
      <alignment horizontal="center" vertical="center" shrinkToFit="1"/>
      <protection hidden="1"/>
    </xf>
    <xf numFmtId="10" fontId="7" fillId="6" borderId="0" xfId="3" applyNumberFormat="1" applyFont="1" applyFill="1" applyAlignment="1" applyProtection="1">
      <alignment horizontal="center" vertical="center" shrinkToFit="1"/>
      <protection hidden="1"/>
    </xf>
    <xf numFmtId="232" fontId="7" fillId="6" borderId="0" xfId="1" applyNumberFormat="1" applyFont="1" applyFill="1" applyAlignment="1" applyProtection="1">
      <alignment horizontal="center" vertical="center" shrinkToFit="1"/>
      <protection hidden="1"/>
    </xf>
    <xf numFmtId="0" fontId="7" fillId="6" borderId="11" xfId="0" applyFont="1" applyFill="1" applyBorder="1" applyAlignment="1" applyProtection="1">
      <alignment horizontal="center" vertical="center" shrinkToFit="1"/>
      <protection hidden="1"/>
    </xf>
    <xf numFmtId="10" fontId="7" fillId="6" borderId="0" xfId="3" applyNumberFormat="1" applyFont="1" applyFill="1" applyAlignment="1" applyProtection="1">
      <alignment horizontal="center" vertical="center" wrapText="1" shrinkToFit="1"/>
      <protection hidden="1"/>
    </xf>
    <xf numFmtId="0" fontId="2" fillId="6" borderId="10" xfId="0" applyFont="1" applyFill="1" applyBorder="1" applyAlignment="1" applyProtection="1">
      <alignment horizontal="center" vertical="center" shrinkToFit="1"/>
      <protection hidden="1"/>
    </xf>
    <xf numFmtId="0" fontId="2" fillId="6" borderId="10" xfId="0" applyFont="1" applyFill="1" applyBorder="1" applyAlignment="1" applyProtection="1">
      <alignment horizontal="left" vertical="center" shrinkToFit="1"/>
      <protection hidden="1"/>
    </xf>
    <xf numFmtId="43" fontId="44" fillId="0" borderId="0" xfId="6" applyNumberFormat="1" applyAlignment="1" applyProtection="1">
      <alignment vertical="center" shrinkToFit="1"/>
      <protection hidden="1"/>
    </xf>
    <xf numFmtId="10" fontId="6" fillId="6" borderId="0" xfId="3" applyNumberFormat="1" applyFont="1" applyFill="1" applyAlignment="1" applyProtection="1">
      <alignment horizontal="center" vertical="center" shrinkToFit="1"/>
      <protection hidden="1"/>
    </xf>
    <xf numFmtId="49" fontId="6" fillId="6" borderId="10" xfId="0" applyNumberFormat="1" applyFont="1" applyFill="1" applyBorder="1" applyAlignment="1" applyProtection="1">
      <alignment horizontal="center" vertical="center" shrinkToFit="1"/>
      <protection hidden="1"/>
    </xf>
    <xf numFmtId="187" fontId="6" fillId="0" borderId="0" xfId="3" applyNumberFormat="1" applyFont="1" applyFill="1" applyAlignment="1" applyProtection="1">
      <alignment vertical="center"/>
      <protection hidden="1"/>
    </xf>
    <xf numFmtId="187" fontId="13" fillId="0" borderId="0" xfId="3" applyNumberFormat="1" applyFont="1" applyFill="1" applyAlignment="1" applyProtection="1">
      <alignment vertical="center" shrinkToFit="1"/>
      <protection hidden="1"/>
    </xf>
    <xf numFmtId="187" fontId="14" fillId="0" borderId="0" xfId="3" applyNumberFormat="1" applyFont="1" applyFill="1" applyAlignment="1" applyProtection="1">
      <alignment vertical="center"/>
      <protection hidden="1"/>
    </xf>
    <xf numFmtId="242" fontId="7" fillId="6" borderId="0" xfId="0" applyNumberFormat="1" applyFont="1" applyFill="1" applyAlignment="1" applyProtection="1">
      <alignment horizontal="center" vertical="center"/>
      <protection hidden="1"/>
    </xf>
    <xf numFmtId="187" fontId="7" fillId="6" borderId="0" xfId="3" applyNumberFormat="1" applyFont="1" applyFill="1" applyAlignment="1" applyProtection="1">
      <alignment horizontal="center" vertical="center"/>
      <protection hidden="1"/>
    </xf>
    <xf numFmtId="43" fontId="7" fillId="6" borderId="0" xfId="1" applyFont="1" applyFill="1" applyAlignment="1" applyProtection="1">
      <alignment horizontal="center" vertical="center"/>
      <protection hidden="1"/>
    </xf>
    <xf numFmtId="0" fontId="45" fillId="6" borderId="0" xfId="0" applyFont="1" applyFill="1" applyAlignment="1" applyProtection="1">
      <alignment horizontal="center" vertical="center" wrapText="1" shrinkToFit="1"/>
      <protection hidden="1"/>
    </xf>
    <xf numFmtId="187" fontId="7" fillId="6" borderId="0" xfId="3" applyNumberFormat="1" applyFont="1" applyFill="1" applyAlignment="1" applyProtection="1">
      <alignment horizontal="center" vertical="center" wrapText="1" shrinkToFit="1"/>
      <protection hidden="1"/>
    </xf>
    <xf numFmtId="43" fontId="7" fillId="6" borderId="0" xfId="1" applyFont="1" applyFill="1" applyAlignment="1" applyProtection="1">
      <alignment horizontal="center" vertical="center" wrapText="1" shrinkToFit="1"/>
      <protection hidden="1"/>
    </xf>
    <xf numFmtId="233" fontId="6" fillId="6" borderId="10" xfId="1" applyNumberFormat="1" applyFont="1" applyFill="1" applyBorder="1" applyAlignment="1" applyProtection="1">
      <alignment horizontal="center" vertical="center" shrinkToFit="1"/>
      <protection hidden="1"/>
    </xf>
    <xf numFmtId="10" fontId="46" fillId="0" borderId="0" xfId="3" applyNumberFormat="1" applyFont="1" applyFill="1" applyBorder="1" applyAlignment="1">
      <alignment vertical="center"/>
    </xf>
    <xf numFmtId="231" fontId="46" fillId="6" borderId="0" xfId="0" applyNumberFormat="1" applyFont="1" applyFill="1" applyAlignment="1">
      <alignment vertical="center"/>
    </xf>
    <xf numFmtId="10" fontId="46" fillId="6" borderId="0" xfId="3" applyNumberFormat="1" applyFont="1" applyFill="1" applyBorder="1" applyAlignment="1">
      <alignment vertical="center"/>
    </xf>
    <xf numFmtId="242" fontId="46" fillId="6" borderId="0" xfId="0" applyNumberFormat="1" applyFont="1" applyFill="1" applyAlignment="1">
      <alignment horizontal="center" vertical="center"/>
    </xf>
    <xf numFmtId="242" fontId="46" fillId="6" borderId="0" xfId="0" applyNumberFormat="1" applyFont="1" applyFill="1" applyAlignment="1">
      <alignment vertical="center"/>
    </xf>
    <xf numFmtId="49" fontId="46" fillId="0" borderId="0" xfId="0" applyNumberFormat="1" applyFont="1" applyAlignment="1">
      <alignment vertical="center"/>
    </xf>
    <xf numFmtId="9" fontId="46" fillId="6" borderId="0" xfId="0" applyNumberFormat="1" applyFont="1" applyFill="1" applyAlignment="1">
      <alignment horizontal="center" vertical="center"/>
    </xf>
    <xf numFmtId="2" fontId="6" fillId="0" borderId="0" xfId="0" applyNumberFormat="1" applyFont="1" applyAlignment="1" applyProtection="1">
      <alignment vertical="center"/>
      <protection hidden="1"/>
    </xf>
    <xf numFmtId="187" fontId="6" fillId="6" borderId="0" xfId="3" applyNumberFormat="1" applyFont="1" applyFill="1" applyAlignment="1" applyProtection="1">
      <alignment vertical="center"/>
      <protection hidden="1"/>
    </xf>
    <xf numFmtId="187" fontId="6" fillId="6" borderId="0" xfId="3" applyNumberFormat="1" applyFont="1" applyFill="1" applyAlignment="1" applyProtection="1">
      <alignment horizontal="center" vertical="center"/>
      <protection hidden="1"/>
    </xf>
    <xf numFmtId="0" fontId="2" fillId="0" borderId="0" xfId="0" applyFont="1" applyAlignment="1" applyProtection="1">
      <alignment vertical="center"/>
      <protection hidden="1"/>
    </xf>
    <xf numFmtId="231" fontId="46" fillId="0" borderId="0" xfId="0" applyNumberFormat="1" applyFont="1" applyAlignment="1">
      <alignment vertical="center"/>
    </xf>
    <xf numFmtId="0" fontId="2" fillId="0" borderId="10" xfId="0" applyFont="1" applyBorder="1" applyAlignment="1" applyProtection="1">
      <alignment horizontal="left" vertical="center" shrinkToFit="1"/>
      <protection hidden="1"/>
    </xf>
    <xf numFmtId="231" fontId="44" fillId="0" borderId="0" xfId="6" applyNumberFormat="1" applyAlignment="1" applyProtection="1">
      <alignment vertical="center"/>
    </xf>
    <xf numFmtId="231" fontId="46" fillId="0" borderId="0" xfId="0" applyNumberFormat="1" applyFont="1" applyAlignment="1">
      <alignment vertical="center" wrapText="1"/>
    </xf>
    <xf numFmtId="187" fontId="7" fillId="0" borderId="0" xfId="3" applyNumberFormat="1" applyFont="1" applyFill="1" applyAlignment="1" applyProtection="1">
      <alignment vertical="center"/>
      <protection hidden="1"/>
    </xf>
    <xf numFmtId="10" fontId="6" fillId="0" borderId="0" xfId="0" applyNumberFormat="1" applyFont="1" applyAlignment="1" applyProtection="1">
      <alignment vertical="center"/>
      <protection hidden="1"/>
    </xf>
    <xf numFmtId="0" fontId="14" fillId="0" borderId="0" xfId="49" applyFont="1" applyAlignment="1" applyProtection="1">
      <alignment vertical="center"/>
      <protection locked="0" hidden="1"/>
    </xf>
    <xf numFmtId="0" fontId="7" fillId="0" borderId="0" xfId="49" applyFont="1" applyAlignment="1" applyProtection="1">
      <alignment horizontal="center" vertical="center"/>
      <protection locked="0" hidden="1"/>
    </xf>
    <xf numFmtId="0" fontId="6" fillId="0" borderId="0" xfId="49" applyFont="1" applyAlignment="1" applyProtection="1">
      <alignment horizontal="center" vertical="center"/>
      <protection locked="0"/>
    </xf>
    <xf numFmtId="233" fontId="38" fillId="0" borderId="0" xfId="236" applyNumberFormat="1" applyFont="1" applyFill="1" applyAlignment="1" applyProtection="1">
      <alignment horizontal="center" vertical="center" shrinkToFit="1"/>
      <protection hidden="1"/>
    </xf>
    <xf numFmtId="0" fontId="6" fillId="0" borderId="0" xfId="49" applyFont="1" applyAlignment="1" applyProtection="1">
      <alignment horizontal="center" vertical="center" shrinkToFit="1"/>
      <protection locked="0" hidden="1"/>
    </xf>
    <xf numFmtId="0" fontId="6" fillId="8" borderId="0" xfId="0" applyFont="1" applyFill="1" applyAlignment="1" applyProtection="1">
      <alignment vertical="center"/>
      <protection hidden="1"/>
    </xf>
    <xf numFmtId="0" fontId="9" fillId="0" borderId="0" xfId="0" applyFont="1" applyAlignment="1" applyProtection="1">
      <alignment horizontal="center" vertical="center"/>
      <protection hidden="1"/>
    </xf>
    <xf numFmtId="0" fontId="9" fillId="0" borderId="0" xfId="0" applyFont="1" applyAlignment="1" applyProtection="1">
      <alignment vertical="center" shrinkToFit="1"/>
      <protection hidden="1"/>
    </xf>
    <xf numFmtId="231" fontId="6" fillId="6" borderId="13" xfId="49" applyNumberFormat="1" applyFont="1" applyFill="1" applyBorder="1" applyAlignment="1" applyProtection="1">
      <alignment vertical="center"/>
      <protection locked="0" hidden="1"/>
    </xf>
    <xf numFmtId="244" fontId="6" fillId="6" borderId="13" xfId="49" applyNumberFormat="1" applyFont="1" applyFill="1" applyBorder="1" applyAlignment="1" applyProtection="1">
      <alignment vertical="center"/>
      <protection locked="0" hidden="1"/>
    </xf>
    <xf numFmtId="0" fontId="6" fillId="6" borderId="13" xfId="49" applyFont="1" applyFill="1" applyBorder="1" applyAlignment="1" applyProtection="1">
      <alignment horizontal="right" vertical="center"/>
      <protection locked="0" hidden="1"/>
    </xf>
    <xf numFmtId="0" fontId="7" fillId="6" borderId="10" xfId="49" applyFont="1" applyFill="1" applyBorder="1" applyAlignment="1" applyProtection="1">
      <alignment horizontal="center" vertical="center"/>
      <protection locked="0" hidden="1"/>
    </xf>
    <xf numFmtId="0" fontId="12" fillId="6" borderId="5" xfId="49" applyFont="1" applyFill="1" applyBorder="1" applyAlignment="1" applyProtection="1">
      <alignment horizontal="center" vertical="center" wrapText="1"/>
      <protection locked="0" hidden="1"/>
    </xf>
    <xf numFmtId="0" fontId="12" fillId="6" borderId="10" xfId="49" applyFont="1" applyFill="1" applyBorder="1" applyAlignment="1" applyProtection="1">
      <alignment horizontal="center" vertical="center" wrapText="1"/>
      <protection locked="0" hidden="1"/>
    </xf>
    <xf numFmtId="231" fontId="7" fillId="6" borderId="8" xfId="49" applyNumberFormat="1" applyFont="1" applyFill="1" applyBorder="1" applyAlignment="1" applyProtection="1">
      <alignment horizontal="center" vertical="center" wrapText="1"/>
      <protection locked="0" hidden="1"/>
    </xf>
    <xf numFmtId="231" fontId="7" fillId="6" borderId="7" xfId="49" applyNumberFormat="1" applyFont="1" applyFill="1" applyBorder="1" applyAlignment="1" applyProtection="1">
      <alignment horizontal="center" vertical="center" wrapText="1"/>
      <protection locked="0"/>
    </xf>
    <xf numFmtId="231" fontId="7" fillId="6" borderId="8" xfId="49" applyNumberFormat="1" applyFont="1" applyFill="1" applyBorder="1" applyAlignment="1" applyProtection="1">
      <alignment horizontal="center" vertical="center" wrapText="1"/>
      <protection locked="0"/>
    </xf>
    <xf numFmtId="0" fontId="7" fillId="6" borderId="8" xfId="49" applyFont="1" applyFill="1" applyBorder="1" applyAlignment="1">
      <alignment horizontal="center" vertical="center" wrapText="1"/>
    </xf>
    <xf numFmtId="0" fontId="27" fillId="6" borderId="0" xfId="0" applyFont="1" applyFill="1" applyAlignment="1" applyProtection="1">
      <alignment horizontal="center" vertical="center"/>
      <protection hidden="1"/>
    </xf>
    <xf numFmtId="0" fontId="27" fillId="6" borderId="0" xfId="0" applyFont="1" applyFill="1" applyAlignment="1">
      <alignment horizontal="center" vertical="center"/>
    </xf>
    <xf numFmtId="0" fontId="27" fillId="6" borderId="5" xfId="0" applyFont="1" applyFill="1" applyBorder="1" applyAlignment="1">
      <alignment horizontal="center" vertical="center" wrapText="1"/>
    </xf>
    <xf numFmtId="0" fontId="27" fillId="6" borderId="10" xfId="0" applyFont="1" applyFill="1" applyBorder="1" applyAlignment="1" applyProtection="1">
      <alignment horizontal="center" vertical="center" wrapText="1"/>
      <protection hidden="1"/>
    </xf>
    <xf numFmtId="0" fontId="27" fillId="6" borderId="14" xfId="0" applyFont="1" applyFill="1" applyBorder="1" applyAlignment="1" applyProtection="1">
      <alignment horizontal="center" vertical="center"/>
      <protection hidden="1"/>
    </xf>
    <xf numFmtId="9" fontId="27" fillId="6" borderId="0" xfId="0" applyNumberFormat="1" applyFont="1" applyFill="1" applyAlignment="1" applyProtection="1">
      <alignment horizontal="center" vertical="center" shrinkToFit="1"/>
      <protection hidden="1"/>
    </xf>
    <xf numFmtId="187" fontId="27" fillId="6" borderId="0" xfId="3" applyNumberFormat="1" applyFont="1" applyFill="1" applyAlignment="1" applyProtection="1">
      <alignment horizontal="center" vertical="center" shrinkToFit="1"/>
      <protection hidden="1"/>
    </xf>
    <xf numFmtId="0" fontId="27" fillId="6" borderId="0" xfId="0" applyFont="1" applyFill="1" applyAlignment="1" applyProtection="1">
      <alignment horizontal="center" vertical="center" shrinkToFit="1"/>
      <protection hidden="1"/>
    </xf>
    <xf numFmtId="43" fontId="27" fillId="6" borderId="0" xfId="1" applyFont="1" applyFill="1" applyAlignment="1" applyProtection="1">
      <alignment horizontal="center" vertical="center" shrinkToFit="1"/>
      <protection hidden="1"/>
    </xf>
    <xf numFmtId="234" fontId="27" fillId="6" borderId="0" xfId="0" applyNumberFormat="1" applyFont="1" applyFill="1" applyAlignment="1" applyProtection="1">
      <alignment horizontal="center" vertical="center" shrinkToFit="1"/>
      <protection hidden="1"/>
    </xf>
    <xf numFmtId="231" fontId="7" fillId="6" borderId="9" xfId="49" applyNumberFormat="1" applyFont="1" applyFill="1" applyBorder="1" applyAlignment="1" applyProtection="1">
      <alignment horizontal="center" vertical="center"/>
      <protection locked="0" hidden="1"/>
    </xf>
    <xf numFmtId="231" fontId="7" fillId="6" borderId="10" xfId="49" applyNumberFormat="1" applyFont="1" applyFill="1" applyBorder="1" applyAlignment="1" applyProtection="1">
      <alignment horizontal="center" vertical="center"/>
      <protection locked="0" hidden="1"/>
    </xf>
    <xf numFmtId="231" fontId="12" fillId="6" borderId="9" xfId="49" applyNumberFormat="1" applyFont="1" applyFill="1" applyBorder="1" applyAlignment="1" applyProtection="1">
      <alignment horizontal="center" vertical="center"/>
      <protection locked="0" hidden="1"/>
    </xf>
    <xf numFmtId="231" fontId="7" fillId="6" borderId="9" xfId="49" applyNumberFormat="1" applyFont="1" applyFill="1" applyBorder="1" applyAlignment="1" applyProtection="1">
      <alignment horizontal="center" vertical="center"/>
      <protection locked="0"/>
    </xf>
    <xf numFmtId="231" fontId="7" fillId="6" borderId="10" xfId="49" applyNumberFormat="1" applyFont="1" applyFill="1" applyBorder="1" applyAlignment="1" applyProtection="1">
      <alignment horizontal="center" vertical="center"/>
      <protection locked="0"/>
    </xf>
    <xf numFmtId="231" fontId="7" fillId="6" borderId="5" xfId="49" applyNumberFormat="1" applyFont="1" applyFill="1" applyBorder="1" applyAlignment="1" applyProtection="1">
      <alignment horizontal="center" vertical="center" wrapText="1"/>
      <protection locked="0"/>
    </xf>
    <xf numFmtId="244" fontId="7" fillId="6" borderId="10" xfId="49" applyNumberFormat="1" applyFont="1" applyFill="1" applyBorder="1" applyAlignment="1" applyProtection="1">
      <alignment horizontal="center" vertical="center" shrinkToFit="1"/>
      <protection locked="0" hidden="1"/>
    </xf>
    <xf numFmtId="244" fontId="7" fillId="6" borderId="10" xfId="49" applyNumberFormat="1" applyFont="1" applyFill="1" applyBorder="1" applyAlignment="1" applyProtection="1">
      <alignment horizontal="center" vertical="center"/>
      <protection locked="0" hidden="1"/>
    </xf>
    <xf numFmtId="0" fontId="27" fillId="6" borderId="11" xfId="0" applyFont="1" applyFill="1" applyBorder="1" applyAlignment="1">
      <alignment horizontal="center" vertical="center" wrapText="1"/>
    </xf>
    <xf numFmtId="0" fontId="27" fillId="6" borderId="14" xfId="0" applyFont="1" applyFill="1" applyBorder="1" applyAlignment="1" applyProtection="1">
      <alignment horizontal="center" vertical="center" wrapText="1"/>
      <protection hidden="1"/>
    </xf>
    <xf numFmtId="187" fontId="12" fillId="6" borderId="0" xfId="3" applyNumberFormat="1" applyFont="1" applyFill="1" applyAlignment="1" applyProtection="1">
      <alignment horizontal="center" vertical="center" wrapText="1" shrinkToFit="1"/>
      <protection hidden="1"/>
    </xf>
    <xf numFmtId="43" fontId="27" fillId="6" borderId="0" xfId="1" applyFont="1" applyFill="1" applyAlignment="1" applyProtection="1">
      <alignment horizontal="center" vertical="center" wrapText="1" shrinkToFit="1"/>
      <protection hidden="1"/>
    </xf>
    <xf numFmtId="187" fontId="27" fillId="6" borderId="0" xfId="3" applyNumberFormat="1" applyFont="1" applyFill="1" applyAlignment="1" applyProtection="1">
      <alignment horizontal="center" vertical="center" wrapText="1" shrinkToFit="1"/>
      <protection hidden="1"/>
    </xf>
    <xf numFmtId="0" fontId="27" fillId="6" borderId="0" xfId="0" applyFont="1" applyFill="1" applyAlignment="1" applyProtection="1">
      <alignment horizontal="center" vertical="center" wrapText="1" shrinkToFit="1"/>
      <protection hidden="1"/>
    </xf>
    <xf numFmtId="0" fontId="6" fillId="6" borderId="0" xfId="49" applyFont="1" applyFill="1" applyAlignment="1" applyProtection="1">
      <alignment horizontal="center" vertical="center" shrinkToFit="1"/>
      <protection locked="0"/>
    </xf>
    <xf numFmtId="248" fontId="6" fillId="6" borderId="10" xfId="49" applyNumberFormat="1" applyFont="1" applyFill="1" applyBorder="1" applyAlignment="1" applyProtection="1">
      <alignment horizontal="center" vertical="center" shrinkToFit="1"/>
      <protection locked="0"/>
    </xf>
    <xf numFmtId="231" fontId="6" fillId="6" borderId="10" xfId="49" applyNumberFormat="1" applyFont="1" applyFill="1" applyBorder="1" applyAlignment="1">
      <alignment horizontal="center" vertical="center" shrinkToFit="1"/>
    </xf>
    <xf numFmtId="9" fontId="6" fillId="6" borderId="10" xfId="3" applyFont="1" applyFill="1" applyBorder="1" applyAlignment="1">
      <alignment horizontal="center" vertical="center" shrinkToFit="1"/>
    </xf>
    <xf numFmtId="231" fontId="6" fillId="6" borderId="10" xfId="49" applyNumberFormat="1" applyFont="1" applyFill="1" applyBorder="1" applyAlignment="1" applyProtection="1">
      <alignment horizontal="right" vertical="center" shrinkToFit="1"/>
      <protection locked="0"/>
    </xf>
    <xf numFmtId="187" fontId="6" fillId="0" borderId="0" xfId="3" applyNumberFormat="1" applyFont="1" applyFill="1" applyAlignment="1" applyProtection="1">
      <alignment vertical="center" shrinkToFit="1"/>
      <protection hidden="1"/>
    </xf>
    <xf numFmtId="247" fontId="6" fillId="6" borderId="0" xfId="1" applyNumberFormat="1" applyFont="1" applyFill="1" applyAlignment="1" applyProtection="1">
      <alignment vertical="center"/>
      <protection hidden="1"/>
    </xf>
    <xf numFmtId="187" fontId="6" fillId="6" borderId="0" xfId="3" applyNumberFormat="1" applyFont="1" applyFill="1" applyAlignment="1" applyProtection="1">
      <alignment vertical="center" shrinkToFit="1"/>
      <protection hidden="1"/>
    </xf>
    <xf numFmtId="9" fontId="6" fillId="6" borderId="0" xfId="3" applyFont="1" applyFill="1" applyAlignment="1" applyProtection="1">
      <alignment horizontal="center" vertical="center" shrinkToFit="1"/>
      <protection hidden="1"/>
    </xf>
    <xf numFmtId="244" fontId="7" fillId="6" borderId="10" xfId="49" applyNumberFormat="1" applyFont="1" applyFill="1" applyBorder="1" applyAlignment="1">
      <alignment horizontal="right" vertical="center" shrinkToFit="1"/>
    </xf>
    <xf numFmtId="231" fontId="7" fillId="6" borderId="10" xfId="49" applyNumberFormat="1" applyFont="1" applyFill="1" applyBorder="1" applyAlignment="1" applyProtection="1">
      <alignment horizontal="right" vertical="center" shrinkToFit="1"/>
      <protection locked="0"/>
    </xf>
    <xf numFmtId="0" fontId="7" fillId="6" borderId="10" xfId="49" applyFont="1" applyFill="1" applyBorder="1" applyAlignment="1">
      <alignment horizontal="left" vertical="center" shrinkToFit="1"/>
    </xf>
    <xf numFmtId="0" fontId="7" fillId="6" borderId="10" xfId="49" applyFont="1" applyFill="1" applyBorder="1" applyAlignment="1" applyProtection="1">
      <alignment horizontal="center" vertical="center" shrinkToFit="1"/>
      <protection locked="0"/>
    </xf>
    <xf numFmtId="244" fontId="7" fillId="6" borderId="10" xfId="49" applyNumberFormat="1" applyFont="1" applyFill="1" applyBorder="1" applyAlignment="1" applyProtection="1">
      <alignment vertical="center" shrinkToFit="1"/>
      <protection locked="0"/>
    </xf>
    <xf numFmtId="231" fontId="7" fillId="6" borderId="10" xfId="49" applyNumberFormat="1" applyFont="1" applyFill="1" applyBorder="1" applyAlignment="1" applyProtection="1">
      <alignment vertical="center" shrinkToFit="1"/>
      <protection locked="0"/>
    </xf>
    <xf numFmtId="0" fontId="6" fillId="6" borderId="0" xfId="49" applyFont="1" applyFill="1" applyAlignment="1" applyProtection="1">
      <alignment horizontal="center" vertical="center"/>
      <protection locked="0"/>
    </xf>
    <xf numFmtId="0" fontId="27" fillId="0" borderId="0" xfId="0" applyFont="1" applyAlignment="1" applyProtection="1">
      <alignment horizontal="center" vertical="center"/>
      <protection hidden="1"/>
    </xf>
    <xf numFmtId="233" fontId="9" fillId="0" borderId="0" xfId="0" applyNumberFormat="1" applyFont="1" applyAlignment="1" applyProtection="1">
      <alignment horizontal="center" vertical="center"/>
      <protection hidden="1"/>
    </xf>
    <xf numFmtId="234" fontId="6" fillId="6" borderId="0" xfId="0" applyNumberFormat="1" applyFont="1" applyFill="1" applyAlignment="1" applyProtection="1">
      <alignment vertical="center"/>
      <protection hidden="1"/>
    </xf>
    <xf numFmtId="233" fontId="27" fillId="6" borderId="5" xfId="223" applyNumberFormat="1" applyFont="1" applyFill="1" applyBorder="1" applyAlignment="1" applyProtection="1">
      <alignment horizontal="center" vertical="center" wrapText="1"/>
      <protection hidden="1"/>
    </xf>
    <xf numFmtId="0" fontId="27" fillId="6" borderId="5" xfId="0" applyFont="1" applyFill="1" applyBorder="1" applyAlignment="1" applyProtection="1">
      <alignment horizontal="center" vertical="center" wrapText="1"/>
      <protection hidden="1"/>
    </xf>
    <xf numFmtId="9" fontId="27" fillId="6" borderId="5" xfId="3" applyFont="1" applyFill="1" applyBorder="1" applyAlignment="1" applyProtection="1">
      <alignment horizontal="center" vertical="center" wrapText="1"/>
      <protection hidden="1"/>
    </xf>
    <xf numFmtId="0" fontId="27" fillId="6" borderId="7" xfId="0" applyFont="1" applyFill="1" applyBorder="1" applyAlignment="1" applyProtection="1">
      <alignment horizontal="center" vertical="center"/>
      <protection hidden="1"/>
    </xf>
    <xf numFmtId="0" fontId="27" fillId="6" borderId="8" xfId="0" applyFont="1" applyFill="1" applyBorder="1" applyAlignment="1" applyProtection="1">
      <alignment horizontal="center" vertical="center"/>
      <protection hidden="1"/>
    </xf>
    <xf numFmtId="0" fontId="27" fillId="6" borderId="9" xfId="0" applyFont="1" applyFill="1" applyBorder="1" applyAlignment="1" applyProtection="1">
      <alignment horizontal="center" vertical="center"/>
      <protection hidden="1"/>
    </xf>
    <xf numFmtId="0" fontId="40" fillId="6" borderId="7" xfId="0" applyFont="1" applyFill="1" applyBorder="1" applyAlignment="1" applyProtection="1">
      <alignment horizontal="center" vertical="center"/>
      <protection hidden="1"/>
    </xf>
    <xf numFmtId="0" fontId="40" fillId="6" borderId="8" xfId="0" applyFont="1" applyFill="1" applyBorder="1" applyAlignment="1" applyProtection="1">
      <alignment horizontal="center" vertical="center"/>
      <protection hidden="1"/>
    </xf>
    <xf numFmtId="0" fontId="40" fillId="6" borderId="9" xfId="0" applyFont="1" applyFill="1" applyBorder="1" applyAlignment="1" applyProtection="1">
      <alignment horizontal="center" vertical="center"/>
      <protection hidden="1"/>
    </xf>
    <xf numFmtId="1" fontId="27" fillId="6" borderId="10" xfId="268" applyNumberFormat="1" applyFont="1" applyFill="1" applyBorder="1" applyAlignment="1" applyProtection="1">
      <alignment horizontal="center" vertical="center"/>
      <protection hidden="1"/>
    </xf>
    <xf numFmtId="1" fontId="27" fillId="6" borderId="10" xfId="268" applyNumberFormat="1" applyFont="1" applyFill="1" applyBorder="1" applyAlignment="1" applyProtection="1">
      <alignment horizontal="center" vertical="center" wrapText="1"/>
      <protection hidden="1"/>
    </xf>
    <xf numFmtId="41" fontId="27" fillId="6" borderId="10" xfId="268" applyFont="1" applyFill="1" applyBorder="1" applyAlignment="1" applyProtection="1">
      <alignment horizontal="center" vertical="center"/>
      <protection hidden="1"/>
    </xf>
    <xf numFmtId="233" fontId="27" fillId="6" borderId="11" xfId="223" applyNumberFormat="1" applyFont="1" applyFill="1" applyBorder="1" applyAlignment="1" applyProtection="1">
      <alignment horizontal="center" vertical="center" wrapText="1"/>
      <protection hidden="1"/>
    </xf>
    <xf numFmtId="0" fontId="27" fillId="6" borderId="11" xfId="0" applyFont="1" applyFill="1" applyBorder="1" applyAlignment="1" applyProtection="1">
      <alignment horizontal="center" vertical="center" wrapText="1"/>
      <protection hidden="1"/>
    </xf>
    <xf numFmtId="9" fontId="27" fillId="6" borderId="11" xfId="3" applyFont="1" applyFill="1" applyBorder="1" applyAlignment="1" applyProtection="1">
      <alignment horizontal="center" vertical="center" wrapText="1"/>
      <protection hidden="1"/>
    </xf>
    <xf numFmtId="0" fontId="40" fillId="6" borderId="10" xfId="0" applyFont="1" applyFill="1" applyBorder="1" applyAlignment="1" applyProtection="1">
      <alignment horizontal="center" vertical="center"/>
      <protection hidden="1"/>
    </xf>
    <xf numFmtId="1" fontId="27" fillId="6" borderId="10" xfId="210" applyNumberFormat="1" applyFont="1" applyFill="1" applyBorder="1" applyAlignment="1" applyProtection="1">
      <alignment horizontal="center" vertical="center" shrinkToFit="1"/>
      <protection hidden="1"/>
    </xf>
    <xf numFmtId="233" fontId="9" fillId="6" borderId="10" xfId="0" applyNumberFormat="1" applyFont="1" applyFill="1" applyBorder="1" applyAlignment="1" applyProtection="1">
      <alignment horizontal="center" vertical="center" shrinkToFit="1"/>
      <protection hidden="1"/>
    </xf>
    <xf numFmtId="9" fontId="9" fillId="6" borderId="10" xfId="3" applyFont="1" applyFill="1" applyBorder="1" applyAlignment="1" applyProtection="1">
      <alignment horizontal="center" vertical="center" shrinkToFit="1"/>
      <protection hidden="1"/>
    </xf>
    <xf numFmtId="231" fontId="9" fillId="6" borderId="10" xfId="0" applyNumberFormat="1" applyFont="1" applyFill="1" applyBorder="1" applyAlignment="1" applyProtection="1">
      <alignment horizontal="right" vertical="center" shrinkToFit="1"/>
      <protection hidden="1"/>
    </xf>
    <xf numFmtId="238" fontId="9" fillId="6" borderId="10" xfId="0" applyNumberFormat="1" applyFont="1" applyFill="1" applyBorder="1" applyAlignment="1" applyProtection="1">
      <alignment horizontal="center" vertical="center" shrinkToFit="1"/>
      <protection hidden="1"/>
    </xf>
    <xf numFmtId="43" fontId="9" fillId="6" borderId="10" xfId="0" applyNumberFormat="1" applyFont="1" applyFill="1" applyBorder="1" applyAlignment="1" applyProtection="1">
      <alignment horizontal="right" vertical="center" shrinkToFit="1"/>
      <protection hidden="1"/>
    </xf>
    <xf numFmtId="231" fontId="9" fillId="0" borderId="10" xfId="0" applyNumberFormat="1" applyFont="1" applyBorder="1" applyAlignment="1" applyProtection="1">
      <alignment horizontal="right" vertical="center" shrinkToFit="1"/>
      <protection hidden="1"/>
    </xf>
    <xf numFmtId="43" fontId="9" fillId="0" borderId="10" xfId="0" applyNumberFormat="1" applyFont="1" applyBorder="1" applyAlignment="1" applyProtection="1">
      <alignment horizontal="right" vertical="center" shrinkToFit="1"/>
      <protection hidden="1"/>
    </xf>
    <xf numFmtId="0" fontId="29" fillId="6" borderId="10" xfId="0" applyFont="1" applyFill="1" applyBorder="1" applyAlignment="1" applyProtection="1">
      <alignment horizontal="left" vertical="center" shrinkToFit="1"/>
      <protection hidden="1"/>
    </xf>
    <xf numFmtId="0" fontId="27" fillId="6" borderId="10" xfId="0" applyFont="1" applyFill="1" applyBorder="1" applyAlignment="1" applyProtection="1">
      <alignment horizontal="left" vertical="center" shrinkToFit="1"/>
      <protection hidden="1"/>
    </xf>
    <xf numFmtId="0" fontId="27" fillId="6" borderId="10" xfId="0" applyFont="1" applyFill="1" applyBorder="1" applyAlignment="1" applyProtection="1">
      <alignment vertical="center" shrinkToFit="1"/>
      <protection hidden="1"/>
    </xf>
    <xf numFmtId="0" fontId="27" fillId="6" borderId="10" xfId="0" applyFont="1" applyFill="1" applyBorder="1" applyAlignment="1" applyProtection="1">
      <alignment horizontal="center" vertical="center" shrinkToFit="1"/>
      <protection hidden="1"/>
    </xf>
    <xf numFmtId="231" fontId="27" fillId="6" borderId="10" xfId="0" applyNumberFormat="1" applyFont="1" applyFill="1" applyBorder="1" applyAlignment="1" applyProtection="1">
      <alignment horizontal="right" vertical="center" shrinkToFit="1"/>
      <protection hidden="1"/>
    </xf>
    <xf numFmtId="238" fontId="27" fillId="6" borderId="10" xfId="0" applyNumberFormat="1" applyFont="1" applyFill="1" applyBorder="1" applyAlignment="1" applyProtection="1">
      <alignment horizontal="center" vertical="center" shrinkToFit="1"/>
      <protection hidden="1"/>
    </xf>
    <xf numFmtId="43" fontId="27" fillId="6" borderId="10" xfId="0" applyNumberFormat="1" applyFont="1" applyFill="1" applyBorder="1" applyAlignment="1" applyProtection="1">
      <alignment horizontal="right" vertical="center" shrinkToFit="1"/>
      <protection hidden="1"/>
    </xf>
    <xf numFmtId="0" fontId="27" fillId="0" borderId="0" xfId="0" applyFont="1" applyAlignment="1" applyProtection="1">
      <alignment vertical="center" shrinkToFit="1"/>
      <protection hidden="1"/>
    </xf>
    <xf numFmtId="0" fontId="9" fillId="6" borderId="10" xfId="0" applyFont="1" applyFill="1" applyBorder="1" applyAlignment="1" applyProtection="1">
      <alignment vertical="center" shrinkToFit="1"/>
      <protection hidden="1"/>
    </xf>
    <xf numFmtId="231" fontId="9" fillId="0" borderId="0" xfId="0" applyNumberFormat="1" applyFont="1" applyAlignment="1" applyProtection="1">
      <alignment horizontal="center" vertical="center"/>
      <protection hidden="1"/>
    </xf>
    <xf numFmtId="187" fontId="7" fillId="6" borderId="0" xfId="3" applyNumberFormat="1" applyFont="1" applyFill="1" applyAlignment="1" applyProtection="1">
      <alignment horizontal="center" vertical="center" shrinkToFit="1"/>
      <protection hidden="1"/>
    </xf>
    <xf numFmtId="43" fontId="7" fillId="6" borderId="0" xfId="1" applyFont="1" applyFill="1" applyAlignment="1" applyProtection="1">
      <alignment horizontal="center" vertical="center" shrinkToFit="1"/>
      <protection hidden="1"/>
    </xf>
    <xf numFmtId="233" fontId="16" fillId="0" borderId="0" xfId="6" applyNumberFormat="1" applyFont="1" applyAlignment="1" applyProtection="1">
      <alignment vertical="center" shrinkToFit="1"/>
      <protection hidden="1"/>
    </xf>
    <xf numFmtId="0" fontId="6" fillId="0" borderId="0" xfId="0" applyFont="1" applyAlignment="1" applyProtection="1">
      <alignment horizontal="center" vertical="center" wrapText="1"/>
      <protection hidden="1"/>
    </xf>
    <xf numFmtId="233" fontId="6" fillId="0" borderId="10" xfId="0" applyNumberFormat="1" applyFont="1" applyBorder="1" applyAlignment="1" applyProtection="1">
      <alignment horizontal="center" vertical="center" shrinkToFit="1"/>
      <protection hidden="1"/>
    </xf>
    <xf numFmtId="187" fontId="6" fillId="0" borderId="0" xfId="3" applyNumberFormat="1" applyFont="1" applyAlignment="1" applyProtection="1">
      <alignment vertical="center"/>
      <protection hidden="1"/>
    </xf>
    <xf numFmtId="187" fontId="13" fillId="0" borderId="0" xfId="3" applyNumberFormat="1" applyFont="1" applyAlignment="1" applyProtection="1">
      <alignment vertical="center" shrinkToFit="1"/>
      <protection hidden="1"/>
    </xf>
    <xf numFmtId="0" fontId="14" fillId="6" borderId="0" xfId="0" applyFont="1" applyFill="1" applyAlignment="1" applyProtection="1">
      <alignment vertical="center" wrapText="1"/>
      <protection hidden="1"/>
    </xf>
    <xf numFmtId="0" fontId="14" fillId="0" borderId="0" xfId="0" applyFont="1" applyAlignment="1" applyProtection="1">
      <alignment vertical="center" wrapText="1"/>
      <protection hidden="1"/>
    </xf>
    <xf numFmtId="187" fontId="14" fillId="0" borderId="0" xfId="3" applyNumberFormat="1" applyFont="1" applyAlignment="1" applyProtection="1">
      <alignment vertical="center"/>
      <protection hidden="1"/>
    </xf>
    <xf numFmtId="0" fontId="7" fillId="6" borderId="5" xfId="0" applyFont="1" applyFill="1" applyBorder="1" applyAlignment="1" applyProtection="1">
      <alignment horizontal="center" vertical="center"/>
      <protection hidden="1"/>
    </xf>
    <xf numFmtId="0" fontId="7" fillId="10" borderId="10" xfId="0" applyFont="1" applyFill="1" applyBorder="1" applyAlignment="1" applyProtection="1">
      <alignment horizontal="center" vertical="center" wrapText="1"/>
      <protection hidden="1"/>
    </xf>
    <xf numFmtId="43" fontId="7" fillId="8" borderId="0" xfId="1" applyFont="1" applyFill="1" applyAlignment="1" applyProtection="1">
      <alignment horizontal="center" vertical="center"/>
      <protection hidden="1"/>
    </xf>
    <xf numFmtId="0" fontId="7" fillId="6" borderId="11" xfId="0" applyFont="1" applyFill="1" applyBorder="1" applyAlignment="1" applyProtection="1">
      <alignment horizontal="center" vertical="center"/>
      <protection hidden="1"/>
    </xf>
    <xf numFmtId="0" fontId="7" fillId="10" borderId="10" xfId="0" applyFont="1" applyFill="1" applyBorder="1" applyAlignment="1" applyProtection="1">
      <alignment horizontal="center" vertical="center"/>
      <protection hidden="1"/>
    </xf>
    <xf numFmtId="0" fontId="6" fillId="10" borderId="10" xfId="0" applyFont="1" applyFill="1" applyBorder="1" applyAlignment="1" applyProtection="1">
      <alignment horizontal="left" vertical="center"/>
      <protection hidden="1"/>
    </xf>
    <xf numFmtId="0" fontId="6" fillId="10" borderId="10" xfId="0" applyFont="1" applyFill="1" applyBorder="1" applyAlignment="1" applyProtection="1">
      <alignment horizontal="center" vertical="center" shrinkToFit="1"/>
      <protection hidden="1"/>
    </xf>
    <xf numFmtId="14" fontId="6" fillId="10" borderId="10" xfId="0" applyNumberFormat="1" applyFont="1" applyFill="1" applyBorder="1" applyAlignment="1" applyProtection="1">
      <alignment horizontal="center" vertical="center" shrinkToFit="1"/>
      <protection hidden="1"/>
    </xf>
    <xf numFmtId="231" fontId="7" fillId="6" borderId="10" xfId="1" applyNumberFormat="1" applyFont="1" applyFill="1" applyBorder="1" applyAlignment="1" applyProtection="1">
      <alignment horizontal="right" vertical="center" shrinkToFit="1"/>
      <protection hidden="1"/>
    </xf>
    <xf numFmtId="0" fontId="7" fillId="10" borderId="10" xfId="0" applyFont="1" applyFill="1" applyBorder="1" applyAlignment="1" applyProtection="1">
      <alignment horizontal="left" vertical="center"/>
      <protection hidden="1"/>
    </xf>
    <xf numFmtId="187" fontId="7" fillId="0" borderId="0" xfId="3" applyNumberFormat="1" applyFont="1" applyAlignment="1" applyProtection="1">
      <alignment vertical="center"/>
      <protection hidden="1"/>
    </xf>
    <xf numFmtId="43" fontId="7" fillId="0" borderId="0" xfId="1" applyFont="1" applyAlignment="1" applyProtection="1">
      <alignment vertical="center"/>
      <protection hidden="1"/>
    </xf>
    <xf numFmtId="231" fontId="6" fillId="0" borderId="0" xfId="0" applyNumberFormat="1" applyFont="1" applyAlignment="1" applyProtection="1">
      <alignment horizontal="center" vertical="center"/>
      <protection hidden="1"/>
    </xf>
    <xf numFmtId="0" fontId="7" fillId="0" borderId="10" xfId="0" applyFont="1" applyBorder="1" applyAlignment="1" applyProtection="1">
      <alignment horizontal="center" vertical="center"/>
      <protection hidden="1"/>
    </xf>
    <xf numFmtId="0" fontId="12" fillId="0" borderId="0" xfId="0" applyFont="1" applyAlignment="1" applyProtection="1">
      <alignment horizontal="center" vertical="center" shrinkToFit="1"/>
      <protection hidden="1"/>
    </xf>
    <xf numFmtId="0" fontId="24" fillId="0" borderId="10" xfId="0" applyFont="1" applyBorder="1" applyAlignment="1" applyProtection="1">
      <alignment horizontal="left" vertical="center" shrinkToFit="1"/>
      <protection hidden="1"/>
    </xf>
    <xf numFmtId="231" fontId="7" fillId="0" borderId="0" xfId="0" applyNumberFormat="1" applyFont="1" applyAlignment="1" applyProtection="1">
      <alignment vertical="center" shrinkToFit="1"/>
      <protection hidden="1"/>
    </xf>
    <xf numFmtId="244" fontId="6" fillId="0" borderId="10" xfId="1" applyNumberFormat="1" applyFont="1" applyBorder="1" applyAlignment="1" applyProtection="1">
      <alignment horizontal="center" vertical="center" shrinkToFit="1"/>
      <protection hidden="1"/>
    </xf>
    <xf numFmtId="49" fontId="41" fillId="0" borderId="10" xfId="6" applyNumberFormat="1" applyFont="1" applyBorder="1" applyAlignment="1" applyProtection="1">
      <alignment vertical="center" shrinkToFit="1"/>
      <protection hidden="1"/>
    </xf>
    <xf numFmtId="49" fontId="24" fillId="0" borderId="10" xfId="0" applyNumberFormat="1" applyFont="1" applyBorder="1" applyAlignment="1" applyProtection="1">
      <alignment horizontal="left" vertical="center" shrinkToFit="1"/>
      <protection hidden="1"/>
    </xf>
    <xf numFmtId="49" fontId="47" fillId="0" borderId="10" xfId="6" applyNumberFormat="1" applyFont="1" applyBorder="1" applyAlignment="1" applyProtection="1">
      <alignment vertical="center" shrinkToFit="1"/>
      <protection hidden="1"/>
    </xf>
    <xf numFmtId="43" fontId="7" fillId="0" borderId="10" xfId="1" applyFont="1" applyBorder="1" applyAlignment="1" applyProtection="1">
      <alignment horizontal="center" vertical="center"/>
      <protection hidden="1"/>
    </xf>
    <xf numFmtId="0" fontId="25" fillId="0" borderId="10" xfId="0" applyFont="1" applyBorder="1" applyAlignment="1" applyProtection="1">
      <alignment horizontal="center" vertical="center"/>
      <protection hidden="1"/>
    </xf>
    <xf numFmtId="49" fontId="6" fillId="0" borderId="0" xfId="0" applyNumberFormat="1" applyFont="1" applyAlignment="1" applyProtection="1">
      <alignment vertical="center"/>
      <protection hidden="1"/>
    </xf>
    <xf numFmtId="0" fontId="48" fillId="6" borderId="0" xfId="0" applyFont="1" applyFill="1" applyAlignment="1" applyProtection="1">
      <alignment horizontal="center" vertical="center" wrapText="1"/>
      <protection hidden="1"/>
    </xf>
    <xf numFmtId="0" fontId="7" fillId="6" borderId="0" xfId="0" applyFont="1" applyFill="1" applyAlignment="1">
      <alignment horizontal="center" vertical="center" wrapText="1"/>
    </xf>
    <xf numFmtId="233" fontId="7" fillId="6" borderId="5" xfId="0" applyNumberFormat="1" applyFont="1" applyFill="1" applyBorder="1" applyAlignment="1" applyProtection="1">
      <alignment horizontal="center" vertical="center" wrapText="1" shrinkToFit="1"/>
      <protection hidden="1"/>
    </xf>
    <xf numFmtId="233" fontId="7" fillId="6" borderId="11" xfId="0" applyNumberFormat="1" applyFont="1" applyFill="1" applyBorder="1" applyAlignment="1" applyProtection="1">
      <alignment horizontal="center" vertical="center" wrapText="1" shrinkToFit="1"/>
      <protection hidden="1"/>
    </xf>
    <xf numFmtId="0" fontId="6" fillId="0" borderId="10" xfId="0" applyFont="1" applyBorder="1" applyAlignment="1" applyProtection="1">
      <alignment horizontal="left" vertical="center"/>
      <protection hidden="1"/>
    </xf>
    <xf numFmtId="9" fontId="6" fillId="0" borderId="0" xfId="3" applyFont="1" applyAlignment="1" applyProtection="1">
      <alignment horizontal="center" vertical="center"/>
      <protection hidden="1"/>
    </xf>
    <xf numFmtId="10" fontId="6" fillId="0" borderId="0" xfId="3" applyNumberFormat="1" applyFont="1" applyAlignment="1" applyProtection="1">
      <alignment vertical="center"/>
      <protection hidden="1"/>
    </xf>
    <xf numFmtId="9" fontId="13" fillId="0" borderId="0" xfId="3" applyFont="1" applyAlignment="1" applyProtection="1">
      <alignment horizontal="center" vertical="center" shrinkToFit="1"/>
      <protection hidden="1"/>
    </xf>
    <xf numFmtId="10" fontId="13" fillId="0" borderId="0" xfId="3" applyNumberFormat="1" applyFont="1" applyAlignment="1" applyProtection="1">
      <alignment vertical="center" shrinkToFit="1"/>
      <protection hidden="1"/>
    </xf>
    <xf numFmtId="10" fontId="14" fillId="0" borderId="0" xfId="3" applyNumberFormat="1" applyFont="1" applyAlignment="1" applyProtection="1">
      <alignment vertical="center"/>
      <protection hidden="1"/>
    </xf>
    <xf numFmtId="0" fontId="6" fillId="0" borderId="0" xfId="0" applyFont="1" applyAlignment="1" applyProtection="1">
      <alignment horizontal="left" vertical="center"/>
      <protection hidden="1"/>
    </xf>
    <xf numFmtId="0" fontId="10" fillId="6" borderId="10" xfId="0" applyFont="1" applyFill="1" applyBorder="1" applyAlignment="1" applyProtection="1">
      <alignment vertical="center" shrinkToFit="1"/>
      <protection hidden="1"/>
    </xf>
    <xf numFmtId="9" fontId="7" fillId="6" borderId="10" xfId="3" applyFont="1" applyFill="1" applyBorder="1" applyAlignment="1" applyProtection="1">
      <alignment horizontal="center" vertical="center" shrinkToFit="1"/>
      <protection hidden="1"/>
    </xf>
    <xf numFmtId="0" fontId="7" fillId="0" borderId="0" xfId="0" applyFont="1" applyAlignment="1" applyProtection="1">
      <alignment horizontal="left" vertical="center"/>
      <protection hidden="1"/>
    </xf>
    <xf numFmtId="10" fontId="7" fillId="0" borderId="0" xfId="3" applyNumberFormat="1" applyFont="1" applyAlignment="1" applyProtection="1">
      <alignment vertical="center"/>
      <protection hidden="1"/>
    </xf>
    <xf numFmtId="0" fontId="13" fillId="0" borderId="0" xfId="0" applyFont="1" applyAlignment="1" applyProtection="1">
      <alignment horizontal="left" vertical="center" shrinkToFit="1"/>
      <protection hidden="1"/>
    </xf>
    <xf numFmtId="231" fontId="18" fillId="0" borderId="0" xfId="0" applyNumberFormat="1" applyFont="1" applyAlignment="1" applyProtection="1">
      <alignment vertical="center" shrinkToFit="1"/>
      <protection hidden="1"/>
    </xf>
    <xf numFmtId="231" fontId="14" fillId="0" borderId="0" xfId="0" applyNumberFormat="1" applyFont="1" applyAlignment="1" applyProtection="1">
      <alignment vertical="center" shrinkToFit="1"/>
      <protection hidden="1"/>
    </xf>
    <xf numFmtId="0" fontId="2" fillId="0" borderId="10" xfId="0" applyFont="1" applyBorder="1" applyAlignment="1" applyProtection="1">
      <alignment vertical="center" shrinkToFit="1"/>
      <protection hidden="1"/>
    </xf>
    <xf numFmtId="0" fontId="15" fillId="0" borderId="0" xfId="0" applyFont="1" applyAlignment="1">
      <alignment vertical="center"/>
    </xf>
    <xf numFmtId="234" fontId="6" fillId="6" borderId="0" xfId="0" applyNumberFormat="1" applyFont="1" applyFill="1" applyAlignment="1">
      <alignment vertical="center"/>
    </xf>
    <xf numFmtId="0" fontId="19" fillId="6" borderId="9" xfId="0" applyFont="1" applyFill="1" applyBorder="1" applyAlignment="1">
      <alignment horizontal="center" vertical="center"/>
    </xf>
    <xf numFmtId="0" fontId="7" fillId="6" borderId="9" xfId="0" applyFont="1" applyFill="1" applyBorder="1" applyAlignment="1">
      <alignment horizontal="center" vertical="center"/>
    </xf>
    <xf numFmtId="231" fontId="6" fillId="6" borderId="10" xfId="0" applyNumberFormat="1" applyFont="1" applyFill="1" applyBorder="1" applyAlignment="1">
      <alignment horizontal="right" vertical="center"/>
    </xf>
    <xf numFmtId="231" fontId="6" fillId="6" borderId="10" xfId="256" applyNumberFormat="1" applyFont="1" applyFill="1" applyBorder="1" applyAlignment="1">
      <alignment horizontal="right" vertical="center"/>
    </xf>
    <xf numFmtId="0" fontId="6" fillId="6" borderId="10" xfId="0" applyFont="1" applyFill="1" applyBorder="1" applyAlignment="1">
      <alignment vertical="center"/>
    </xf>
    <xf numFmtId="231" fontId="6" fillId="0" borderId="10" xfId="0" applyNumberFormat="1" applyFont="1" applyBorder="1" applyAlignment="1">
      <alignment horizontal="right" vertical="center"/>
    </xf>
    <xf numFmtId="0" fontId="6" fillId="0" borderId="10" xfId="0" applyFont="1" applyBorder="1" applyAlignment="1">
      <alignment vertical="center"/>
    </xf>
    <xf numFmtId="0" fontId="7" fillId="6" borderId="10" xfId="0" applyFont="1" applyFill="1" applyBorder="1" applyAlignment="1">
      <alignment horizontal="left" vertical="center"/>
    </xf>
    <xf numFmtId="231" fontId="7" fillId="6" borderId="10" xfId="0" applyNumberFormat="1" applyFont="1" applyFill="1" applyBorder="1" applyAlignment="1">
      <alignment horizontal="right" vertical="center"/>
    </xf>
    <xf numFmtId="0" fontId="7" fillId="6" borderId="10" xfId="0" applyFont="1" applyFill="1" applyBorder="1" applyAlignment="1">
      <alignment vertical="center"/>
    </xf>
    <xf numFmtId="0" fontId="6" fillId="6" borderId="10" xfId="0" applyFont="1" applyFill="1" applyBorder="1" applyAlignment="1">
      <alignment horizontal="center" vertical="center"/>
    </xf>
    <xf numFmtId="0" fontId="7" fillId="0" borderId="0" xfId="0" applyFont="1" applyAlignment="1">
      <alignment horizontal="center" vertical="center" shrinkToFit="1"/>
    </xf>
    <xf numFmtId="0" fontId="15" fillId="6" borderId="0" xfId="0" applyFont="1" applyFill="1" applyAlignment="1">
      <alignment horizontal="center" vertical="center"/>
    </xf>
    <xf numFmtId="0" fontId="15" fillId="6" borderId="0" xfId="0" applyFont="1" applyFill="1" applyAlignment="1">
      <alignment vertical="center"/>
    </xf>
    <xf numFmtId="233" fontId="7" fillId="6" borderId="10" xfId="0" applyNumberFormat="1" applyFont="1" applyFill="1" applyBorder="1" applyAlignment="1">
      <alignment horizontal="center" vertical="center" shrinkToFit="1"/>
    </xf>
    <xf numFmtId="0" fontId="7" fillId="6" borderId="10" xfId="232" applyFont="1" applyFill="1" applyBorder="1" applyAlignment="1">
      <alignment horizontal="center" vertical="center" shrinkToFit="1"/>
    </xf>
    <xf numFmtId="0" fontId="7" fillId="6" borderId="10" xfId="0" applyFont="1" applyFill="1" applyBorder="1" applyAlignment="1">
      <alignment horizontal="center" vertical="center" wrapText="1" shrinkToFit="1"/>
    </xf>
    <xf numFmtId="0" fontId="19" fillId="6" borderId="10" xfId="0" applyFont="1" applyFill="1" applyBorder="1" applyAlignment="1">
      <alignment horizontal="center" vertical="center" shrinkToFit="1"/>
    </xf>
    <xf numFmtId="14" fontId="6" fillId="6" borderId="10" xfId="232" applyNumberFormat="1" applyFont="1" applyFill="1" applyBorder="1" applyAlignment="1">
      <alignment vertical="center"/>
    </xf>
    <xf numFmtId="231" fontId="15" fillId="6" borderId="10" xfId="0" applyNumberFormat="1" applyFont="1" applyFill="1" applyBorder="1" applyAlignment="1">
      <alignment horizontal="right" vertical="center"/>
    </xf>
    <xf numFmtId="14" fontId="6" fillId="0" borderId="10" xfId="0" applyNumberFormat="1" applyFont="1" applyBorder="1" applyAlignment="1">
      <alignment horizontal="left" vertical="center" shrinkToFit="1"/>
    </xf>
    <xf numFmtId="231" fontId="15" fillId="0" borderId="10" xfId="0" applyNumberFormat="1" applyFont="1" applyBorder="1" applyAlignment="1">
      <alignment horizontal="right" vertical="center"/>
    </xf>
    <xf numFmtId="14" fontId="6" fillId="6" borderId="10" xfId="0" applyNumberFormat="1" applyFont="1" applyFill="1" applyBorder="1" applyAlignment="1">
      <alignment horizontal="left" vertical="center" shrinkToFit="1"/>
    </xf>
    <xf numFmtId="231" fontId="19" fillId="6" borderId="10" xfId="0" applyNumberFormat="1" applyFont="1" applyFill="1" applyBorder="1" applyAlignment="1">
      <alignment horizontal="right" vertical="center"/>
    </xf>
    <xf numFmtId="0" fontId="6" fillId="6" borderId="10" xfId="0" applyFont="1" applyFill="1" applyBorder="1" applyAlignment="1">
      <alignment horizontal="left" vertical="center"/>
    </xf>
    <xf numFmtId="231" fontId="15" fillId="0" borderId="0" xfId="0" applyNumberFormat="1" applyFont="1" applyAlignment="1">
      <alignment horizontal="right" vertical="center"/>
    </xf>
    <xf numFmtId="10" fontId="6" fillId="6" borderId="10" xfId="1" applyNumberFormat="1" applyFont="1" applyFill="1" applyBorder="1" applyAlignment="1" applyProtection="1">
      <alignment horizontal="center" vertical="center" shrinkToFit="1"/>
      <protection hidden="1"/>
    </xf>
    <xf numFmtId="231" fontId="6" fillId="0" borderId="10" xfId="1" applyNumberFormat="1" applyFont="1" applyBorder="1" applyAlignment="1" applyProtection="1">
      <alignment horizontal="right" vertical="center" shrinkToFit="1"/>
      <protection hidden="1"/>
    </xf>
    <xf numFmtId="10" fontId="6" fillId="0" borderId="10" xfId="1" applyNumberFormat="1" applyFont="1" applyBorder="1" applyAlignment="1" applyProtection="1">
      <alignment horizontal="center" vertical="center" shrinkToFit="1"/>
      <protection hidden="1"/>
    </xf>
    <xf numFmtId="49" fontId="6" fillId="6" borderId="10" xfId="0" applyNumberFormat="1" applyFont="1" applyFill="1" applyBorder="1" applyAlignment="1" applyProtection="1">
      <alignment horizontal="left" vertical="center" shrinkToFit="1"/>
      <protection hidden="1"/>
    </xf>
    <xf numFmtId="231" fontId="6" fillId="6" borderId="0" xfId="0" applyNumberFormat="1" applyFont="1" applyFill="1" applyAlignment="1" applyProtection="1">
      <alignment horizontal="center" vertical="center" wrapText="1"/>
      <protection hidden="1"/>
    </xf>
    <xf numFmtId="0" fontId="21" fillId="6" borderId="10" xfId="0" applyFont="1" applyFill="1" applyBorder="1" applyAlignment="1" applyProtection="1">
      <alignment horizontal="center" vertical="center"/>
      <protection hidden="1"/>
    </xf>
    <xf numFmtId="231" fontId="15" fillId="0" borderId="10" xfId="0" applyNumberFormat="1" applyFont="1" applyBorder="1" applyAlignment="1" applyProtection="1">
      <alignment horizontal="center" vertical="center" shrinkToFit="1"/>
      <protection hidden="1"/>
    </xf>
    <xf numFmtId="0" fontId="7" fillId="6" borderId="0" xfId="0" applyFont="1" applyFill="1" applyAlignment="1" applyProtection="1">
      <alignment vertical="center" shrinkToFit="1"/>
      <protection hidden="1"/>
    </xf>
    <xf numFmtId="14" fontId="7" fillId="6" borderId="0" xfId="0" applyNumberFormat="1" applyFont="1" applyFill="1" applyAlignment="1" applyProtection="1">
      <alignment horizontal="center" vertical="center" shrinkToFit="1"/>
      <protection hidden="1"/>
    </xf>
    <xf numFmtId="43" fontId="7" fillId="6" borderId="0" xfId="0" applyNumberFormat="1" applyFont="1" applyFill="1" applyAlignment="1" applyProtection="1">
      <alignment horizontal="right" vertical="center" shrinkToFit="1"/>
      <protection hidden="1"/>
    </xf>
    <xf numFmtId="43" fontId="19" fillId="6" borderId="0" xfId="0" applyNumberFormat="1" applyFont="1" applyFill="1" applyAlignment="1" applyProtection="1">
      <alignment horizontal="right" vertical="center" shrinkToFit="1"/>
      <protection hidden="1"/>
    </xf>
    <xf numFmtId="43" fontId="7" fillId="6" borderId="0" xfId="0" applyNumberFormat="1" applyFont="1" applyFill="1" applyAlignment="1" applyProtection="1">
      <alignment horizontal="right" vertical="center"/>
      <protection hidden="1"/>
    </xf>
    <xf numFmtId="0" fontId="7" fillId="6" borderId="0" xfId="0" applyFont="1" applyFill="1" applyAlignment="1" applyProtection="1">
      <alignment vertical="center"/>
      <protection hidden="1"/>
    </xf>
    <xf numFmtId="0" fontId="7" fillId="0" borderId="0" xfId="0" applyFont="1" applyAlignment="1" applyProtection="1">
      <alignment horizontal="left" vertical="center" shrinkToFit="1"/>
      <protection hidden="1"/>
    </xf>
    <xf numFmtId="0" fontId="7" fillId="6" borderId="7" xfId="0" applyFont="1" applyFill="1" applyBorder="1" applyAlignment="1" applyProtection="1">
      <alignment horizontal="left" vertical="center" shrinkToFit="1"/>
      <protection hidden="1"/>
    </xf>
    <xf numFmtId="0" fontId="7" fillId="6" borderId="9" xfId="0" applyFont="1" applyFill="1" applyBorder="1" applyAlignment="1" applyProtection="1">
      <alignment horizontal="left" vertical="center" shrinkToFit="1"/>
      <protection hidden="1"/>
    </xf>
    <xf numFmtId="49" fontId="6" fillId="6" borderId="7" xfId="0" applyNumberFormat="1" applyFont="1" applyFill="1" applyBorder="1" applyAlignment="1" applyProtection="1">
      <alignment horizontal="left" vertical="center" shrinkToFit="1"/>
      <protection hidden="1"/>
    </xf>
    <xf numFmtId="49" fontId="6" fillId="6" borderId="9" xfId="0" applyNumberFormat="1" applyFont="1" applyFill="1" applyBorder="1" applyAlignment="1" applyProtection="1">
      <alignment horizontal="left" vertical="center" shrinkToFit="1"/>
      <protection hidden="1"/>
    </xf>
    <xf numFmtId="249" fontId="16" fillId="9" borderId="0" xfId="6" applyNumberFormat="1" applyFont="1" applyFill="1" applyAlignment="1" applyProtection="1">
      <alignment horizontal="left" vertical="center" shrinkToFit="1"/>
      <protection hidden="1"/>
    </xf>
    <xf numFmtId="0" fontId="12" fillId="0" borderId="10" xfId="0" applyFont="1" applyBorder="1" applyAlignment="1" applyProtection="1">
      <alignment horizontal="center" vertical="center"/>
      <protection hidden="1"/>
    </xf>
    <xf numFmtId="0" fontId="12" fillId="6" borderId="10" xfId="0" applyFont="1" applyFill="1" applyBorder="1" applyAlignment="1">
      <alignment horizontal="center" vertical="center"/>
    </xf>
    <xf numFmtId="0" fontId="7" fillId="6" borderId="7" xfId="0" applyFont="1" applyFill="1" applyBorder="1" applyAlignment="1">
      <alignment horizontal="center" vertical="center"/>
    </xf>
    <xf numFmtId="14" fontId="7" fillId="6" borderId="10" xfId="0" applyNumberFormat="1" applyFont="1" applyFill="1" applyBorder="1" applyAlignment="1">
      <alignment horizontal="center" vertical="center"/>
    </xf>
    <xf numFmtId="0" fontId="37" fillId="0" borderId="0" xfId="214" applyFont="1" applyAlignment="1" applyProtection="1">
      <alignment horizontal="center" vertical="center"/>
      <protection hidden="1"/>
    </xf>
    <xf numFmtId="0" fontId="10" fillId="0" borderId="0" xfId="0" applyFont="1" applyAlignment="1">
      <alignment vertical="center"/>
    </xf>
    <xf numFmtId="0" fontId="21" fillId="6" borderId="10" xfId="0" applyFont="1" applyFill="1" applyBorder="1" applyAlignment="1">
      <alignment horizontal="center" vertical="center" wrapText="1"/>
    </xf>
    <xf numFmtId="0" fontId="27" fillId="6" borderId="0" xfId="214" applyFont="1" applyFill="1" applyAlignment="1" applyProtection="1">
      <alignment horizontal="center" vertical="center" wrapText="1"/>
      <protection hidden="1"/>
    </xf>
    <xf numFmtId="0" fontId="29" fillId="6" borderId="0" xfId="214" applyFont="1" applyFill="1" applyAlignment="1" applyProtection="1">
      <alignment horizontal="center" vertical="center" wrapText="1"/>
      <protection hidden="1"/>
    </xf>
    <xf numFmtId="0" fontId="19" fillId="6" borderId="10" xfId="0" applyFont="1" applyFill="1" applyBorder="1" applyAlignment="1">
      <alignment horizontal="center" vertical="center" wrapText="1"/>
    </xf>
    <xf numFmtId="231" fontId="49" fillId="6" borderId="10" xfId="1" applyNumberFormat="1" applyFont="1" applyFill="1" applyBorder="1" applyAlignment="1">
      <alignment horizontal="right" vertical="center" shrinkToFit="1"/>
    </xf>
    <xf numFmtId="231" fontId="9" fillId="6" borderId="10" xfId="1" applyNumberFormat="1" applyFont="1" applyFill="1" applyBorder="1" applyAlignment="1">
      <alignment horizontal="right" vertical="center" shrinkToFit="1"/>
    </xf>
    <xf numFmtId="10" fontId="9" fillId="6" borderId="0" xfId="3" applyNumberFormat="1" applyFont="1" applyFill="1" applyBorder="1" applyAlignment="1">
      <alignment vertical="center"/>
    </xf>
    <xf numFmtId="231" fontId="9" fillId="6" borderId="0" xfId="0" applyNumberFormat="1" applyFont="1" applyFill="1" applyAlignment="1">
      <alignment vertical="center"/>
    </xf>
    <xf numFmtId="0" fontId="7" fillId="6" borderId="7" xfId="0" applyFont="1" applyFill="1" applyBorder="1" applyAlignment="1">
      <alignment horizontal="center" vertical="center" shrinkToFit="1"/>
    </xf>
    <xf numFmtId="0" fontId="7" fillId="6" borderId="8" xfId="0" applyFont="1" applyFill="1" applyBorder="1" applyAlignment="1">
      <alignment horizontal="center" vertical="center" shrinkToFit="1"/>
    </xf>
    <xf numFmtId="0" fontId="7" fillId="6" borderId="9" xfId="0" applyFont="1" applyFill="1" applyBorder="1" applyAlignment="1">
      <alignment horizontal="center" vertical="center" shrinkToFit="1"/>
    </xf>
    <xf numFmtId="0" fontId="27" fillId="0" borderId="0" xfId="0" applyFont="1" applyAlignment="1">
      <alignment horizontal="left" vertical="center"/>
    </xf>
    <xf numFmtId="0" fontId="2" fillId="6" borderId="7" xfId="0" applyFont="1" applyFill="1" applyBorder="1" applyAlignment="1">
      <alignment horizontal="center" vertical="center" shrinkToFit="1"/>
    </xf>
    <xf numFmtId="0" fontId="2" fillId="6" borderId="8" xfId="0" applyFont="1" applyFill="1" applyBorder="1" applyAlignment="1">
      <alignment horizontal="center" vertical="center" shrinkToFit="1"/>
    </xf>
    <xf numFmtId="0" fontId="2" fillId="6" borderId="9" xfId="0" applyFont="1" applyFill="1" applyBorder="1" applyAlignment="1">
      <alignment horizontal="center" vertical="center" shrinkToFit="1"/>
    </xf>
    <xf numFmtId="0" fontId="6" fillId="6" borderId="8" xfId="0" applyFont="1" applyFill="1" applyBorder="1" applyAlignment="1">
      <alignment horizontal="center" vertical="center" shrinkToFit="1"/>
    </xf>
    <xf numFmtId="0" fontId="6" fillId="6" borderId="9" xfId="0" applyFont="1" applyFill="1" applyBorder="1" applyAlignment="1">
      <alignment horizontal="center" vertical="center" shrinkToFit="1"/>
    </xf>
    <xf numFmtId="0" fontId="9" fillId="6" borderId="0" xfId="214" applyFont="1" applyFill="1" applyAlignment="1" applyProtection="1">
      <alignment horizontal="center" vertical="center"/>
      <protection hidden="1"/>
    </xf>
    <xf numFmtId="233" fontId="0" fillId="0" borderId="0" xfId="0" applyNumberFormat="1" applyAlignment="1">
      <alignment vertical="center"/>
    </xf>
    <xf numFmtId="0" fontId="0" fillId="0" borderId="0" xfId="0" applyAlignment="1">
      <alignment horizontal="center" vertical="center"/>
    </xf>
    <xf numFmtId="0" fontId="50" fillId="0" borderId="0" xfId="0" applyFont="1" applyAlignment="1">
      <alignment vertical="center"/>
    </xf>
    <xf numFmtId="233" fontId="23" fillId="9" borderId="0" xfId="235" applyNumberFormat="1" applyFont="1" applyFill="1" applyAlignment="1" applyProtection="1">
      <alignment horizontal="left" vertical="center" shrinkToFit="1"/>
      <protection hidden="1"/>
    </xf>
    <xf numFmtId="43" fontId="41" fillId="0" borderId="0" xfId="260" applyFont="1" applyFill="1" applyAlignment="1">
      <alignment horizontal="center" vertical="center"/>
    </xf>
    <xf numFmtId="0" fontId="41" fillId="0" borderId="0" xfId="207" applyFont="1" applyAlignment="1">
      <alignment horizontal="center" vertical="center"/>
    </xf>
    <xf numFmtId="14" fontId="41" fillId="0" borderId="0" xfId="207" applyNumberFormat="1" applyFont="1" applyAlignment="1">
      <alignment horizontal="center" vertical="center"/>
    </xf>
    <xf numFmtId="0" fontId="51" fillId="0" borderId="0" xfId="6" applyFont="1" applyFill="1" applyAlignment="1" applyProtection="1">
      <alignment horizontal="center" vertical="center"/>
    </xf>
    <xf numFmtId="0" fontId="51" fillId="0" borderId="0" xfId="6" applyFont="1" applyFill="1" applyAlignment="1" applyProtection="1">
      <alignment horizontal="left" vertical="center"/>
    </xf>
    <xf numFmtId="43" fontId="51" fillId="0" borderId="0" xfId="260" applyFont="1" applyFill="1" applyAlignment="1" applyProtection="1">
      <alignment horizontal="left" vertical="center"/>
    </xf>
    <xf numFmtId="43" fontId="15" fillId="0" borderId="0" xfId="260" applyFont="1" applyFill="1" applyAlignment="1">
      <alignment horizontal="center" vertical="center"/>
    </xf>
    <xf numFmtId="0" fontId="0" fillId="0" borderId="0" xfId="214" applyAlignment="1" applyProtection="1">
      <alignment horizontal="center" vertical="center"/>
      <protection hidden="1"/>
    </xf>
    <xf numFmtId="0" fontId="10" fillId="0" borderId="0" xfId="214" applyFont="1" applyAlignment="1" applyProtection="1">
      <alignment horizontal="center" vertical="center"/>
      <protection hidden="1"/>
    </xf>
    <xf numFmtId="0" fontId="52" fillId="6" borderId="0" xfId="207" applyFont="1" applyFill="1" applyAlignment="1">
      <alignment horizontal="center" vertical="center" wrapText="1"/>
    </xf>
    <xf numFmtId="0" fontId="52" fillId="6" borderId="0" xfId="207" applyFont="1" applyFill="1" applyAlignment="1">
      <alignment horizontal="center" vertical="center"/>
    </xf>
    <xf numFmtId="0" fontId="49" fillId="6" borderId="0" xfId="207" applyFont="1" applyFill="1" applyAlignment="1">
      <alignment horizontal="center" vertical="center"/>
    </xf>
    <xf numFmtId="233" fontId="49" fillId="6" borderId="0" xfId="207" applyNumberFormat="1" applyFont="1" applyFill="1" applyAlignment="1">
      <alignment horizontal="center" vertical="center"/>
    </xf>
    <xf numFmtId="0" fontId="53" fillId="6" borderId="0" xfId="207" applyFont="1" applyFill="1" applyAlignment="1">
      <alignment horizontal="center" vertical="center"/>
    </xf>
    <xf numFmtId="0" fontId="18" fillId="6" borderId="0" xfId="0" applyFont="1" applyFill="1" applyAlignment="1" applyProtection="1">
      <alignment horizontal="center" vertical="center"/>
      <protection hidden="1"/>
    </xf>
    <xf numFmtId="0" fontId="49" fillId="6" borderId="0" xfId="207" applyFont="1" applyFill="1" applyAlignment="1">
      <alignment horizontal="left" vertical="center"/>
    </xf>
    <xf numFmtId="0" fontId="0" fillId="6" borderId="0" xfId="211" applyFill="1" applyAlignment="1">
      <alignment horizontal="center" vertical="center"/>
    </xf>
    <xf numFmtId="0" fontId="0" fillId="6" borderId="0" xfId="211" applyFill="1" applyAlignment="1">
      <alignment vertical="center"/>
    </xf>
    <xf numFmtId="43" fontId="49" fillId="6" borderId="0" xfId="260" applyFont="1" applyFill="1" applyBorder="1" applyAlignment="1">
      <alignment horizontal="left" vertical="center"/>
    </xf>
    <xf numFmtId="43" fontId="0" fillId="6" borderId="0" xfId="211" applyNumberFormat="1" applyFill="1" applyAlignment="1">
      <alignment vertical="center"/>
    </xf>
    <xf numFmtId="43" fontId="50" fillId="6" borderId="0" xfId="211" applyNumberFormat="1" applyFont="1" applyFill="1" applyAlignment="1">
      <alignment vertical="center"/>
    </xf>
    <xf numFmtId="0" fontId="50" fillId="6" borderId="0" xfId="211" applyFont="1" applyFill="1" applyAlignment="1">
      <alignment vertical="center"/>
    </xf>
    <xf numFmtId="0" fontId="49" fillId="6" borderId="0" xfId="207" applyFont="1" applyFill="1" applyAlignment="1">
      <alignment horizontal="right" vertical="center"/>
    </xf>
    <xf numFmtId="0" fontId="9" fillId="6" borderId="0" xfId="214" applyFont="1" applyFill="1" applyAlignment="1" applyProtection="1">
      <alignment vertical="center"/>
      <protection hidden="1"/>
    </xf>
    <xf numFmtId="233" fontId="24" fillId="6" borderId="5" xfId="207" applyNumberFormat="1" applyFont="1" applyFill="1" applyBorder="1" applyAlignment="1">
      <alignment horizontal="center" vertical="center" wrapText="1"/>
    </xf>
    <xf numFmtId="0" fontId="24" fillId="6" borderId="5" xfId="207" applyFont="1" applyFill="1" applyBorder="1" applyAlignment="1">
      <alignment horizontal="center" vertical="center" wrapText="1"/>
    </xf>
    <xf numFmtId="43" fontId="24" fillId="6" borderId="15" xfId="260" applyFont="1" applyFill="1" applyBorder="1" applyAlignment="1">
      <alignment horizontal="center" vertical="center" wrapText="1"/>
    </xf>
    <xf numFmtId="14" fontId="24" fillId="6" borderId="5" xfId="207" applyNumberFormat="1" applyFont="1" applyFill="1" applyBorder="1" applyAlignment="1">
      <alignment horizontal="center" vertical="center" wrapText="1"/>
    </xf>
    <xf numFmtId="43" fontId="24" fillId="6" borderId="5" xfId="260" applyFont="1" applyFill="1" applyBorder="1" applyAlignment="1">
      <alignment horizontal="center" vertical="center" wrapText="1"/>
    </xf>
    <xf numFmtId="43" fontId="24" fillId="6" borderId="10" xfId="260" applyFont="1" applyFill="1" applyBorder="1" applyAlignment="1">
      <alignment horizontal="center" vertical="center" shrinkToFit="1"/>
    </xf>
    <xf numFmtId="43" fontId="19" fillId="6" borderId="10" xfId="260" applyFont="1" applyFill="1" applyBorder="1" applyAlignment="1">
      <alignment horizontal="center" vertical="center" shrinkToFit="1"/>
    </xf>
    <xf numFmtId="0" fontId="27" fillId="6" borderId="0" xfId="214" applyFont="1" applyFill="1" applyAlignment="1" applyProtection="1">
      <alignment vertical="center"/>
      <protection hidden="1"/>
    </xf>
    <xf numFmtId="233" fontId="24" fillId="6" borderId="12" xfId="207" applyNumberFormat="1" applyFont="1" applyFill="1" applyBorder="1" applyAlignment="1">
      <alignment horizontal="center" vertical="center" wrapText="1"/>
    </xf>
    <xf numFmtId="43" fontId="24" fillId="6" borderId="14" xfId="260" applyFont="1" applyFill="1" applyBorder="1" applyAlignment="1">
      <alignment horizontal="center" vertical="center" wrapText="1"/>
    </xf>
    <xf numFmtId="14" fontId="24" fillId="6" borderId="12" xfId="207" applyNumberFormat="1" applyFont="1" applyFill="1" applyBorder="1" applyAlignment="1">
      <alignment horizontal="center" vertical="center" wrapText="1"/>
    </xf>
    <xf numFmtId="43" fontId="24" fillId="6" borderId="12" xfId="260" applyFont="1" applyFill="1" applyBorder="1" applyAlignment="1">
      <alignment horizontal="center" vertical="center" wrapText="1"/>
    </xf>
    <xf numFmtId="0" fontId="24" fillId="6" borderId="11" xfId="207" applyFont="1" applyFill="1" applyBorder="1" applyAlignment="1">
      <alignment horizontal="center" vertical="center" wrapText="1"/>
    </xf>
    <xf numFmtId="0" fontId="54" fillId="6" borderId="10" xfId="207" applyFont="1" applyFill="1" applyBorder="1" applyAlignment="1">
      <alignment horizontal="center" vertical="center" shrinkToFit="1"/>
    </xf>
    <xf numFmtId="0" fontId="19" fillId="6" borderId="10" xfId="207" applyFont="1" applyFill="1" applyBorder="1" applyAlignment="1">
      <alignment horizontal="center" vertical="center" shrinkToFit="1"/>
    </xf>
    <xf numFmtId="233" fontId="49" fillId="6" borderId="10" xfId="207" applyNumberFormat="1" applyFont="1" applyFill="1" applyBorder="1" applyAlignment="1">
      <alignment horizontal="center" vertical="center"/>
    </xf>
    <xf numFmtId="0" fontId="35" fillId="6" borderId="10" xfId="207" applyFont="1" applyFill="1" applyBorder="1" applyAlignment="1">
      <alignment vertical="center" shrinkToFit="1"/>
    </xf>
    <xf numFmtId="43" fontId="49" fillId="6" borderId="10" xfId="260" applyFont="1" applyFill="1" applyBorder="1" applyAlignment="1">
      <alignment horizontal="center" vertical="center" shrinkToFit="1"/>
    </xf>
    <xf numFmtId="0" fontId="49" fillId="6" borderId="10" xfId="207" applyFont="1" applyFill="1" applyBorder="1" applyAlignment="1">
      <alignment vertical="center" shrinkToFit="1"/>
    </xf>
    <xf numFmtId="14" fontId="49" fillId="6" borderId="10" xfId="207" applyNumberFormat="1" applyFont="1" applyFill="1" applyBorder="1" applyAlignment="1">
      <alignment horizontal="center" vertical="center" shrinkToFit="1"/>
    </xf>
    <xf numFmtId="244" fontId="49" fillId="6" borderId="10" xfId="3" applyNumberFormat="1" applyFont="1" applyFill="1" applyBorder="1" applyAlignment="1" applyProtection="1">
      <alignment horizontal="center" vertical="center" shrinkToFit="1"/>
    </xf>
    <xf numFmtId="231" fontId="53" fillId="6" borderId="10" xfId="1" applyNumberFormat="1" applyFont="1" applyFill="1" applyBorder="1" applyAlignment="1">
      <alignment horizontal="right" vertical="center" shrinkToFit="1"/>
    </xf>
    <xf numFmtId="231" fontId="41" fillId="6" borderId="10" xfId="207" applyNumberFormat="1" applyFont="1" applyFill="1" applyBorder="1" applyAlignment="1">
      <alignment horizontal="right" vertical="center" shrinkToFit="1"/>
    </xf>
    <xf numFmtId="0" fontId="49" fillId="0" borderId="10" xfId="207" applyFont="1" applyBorder="1" applyAlignment="1">
      <alignment vertical="center" shrinkToFit="1"/>
    </xf>
    <xf numFmtId="43" fontId="49" fillId="0" borderId="10" xfId="260" applyFont="1" applyFill="1" applyBorder="1" applyAlignment="1">
      <alignment horizontal="center" vertical="center" shrinkToFit="1"/>
    </xf>
    <xf numFmtId="14" fontId="49" fillId="0" borderId="10" xfId="207" applyNumberFormat="1" applyFont="1" applyBorder="1" applyAlignment="1">
      <alignment horizontal="center" vertical="center" shrinkToFit="1"/>
    </xf>
    <xf numFmtId="244" fontId="49" fillId="0" borderId="10" xfId="3" applyNumberFormat="1" applyFont="1" applyFill="1" applyBorder="1" applyAlignment="1" applyProtection="1">
      <alignment horizontal="center" vertical="center" shrinkToFit="1"/>
    </xf>
    <xf numFmtId="231" fontId="49" fillId="0" borderId="10" xfId="1" applyNumberFormat="1" applyFont="1" applyFill="1" applyBorder="1" applyAlignment="1">
      <alignment horizontal="right" vertical="center" shrinkToFit="1"/>
    </xf>
    <xf numFmtId="231" fontId="53" fillId="0" borderId="10" xfId="1" applyNumberFormat="1" applyFont="1" applyFill="1" applyBorder="1" applyAlignment="1">
      <alignment horizontal="right" vertical="center" shrinkToFit="1"/>
    </xf>
    <xf numFmtId="43" fontId="49" fillId="0" borderId="10" xfId="260" applyFont="1" applyFill="1" applyBorder="1" applyAlignment="1">
      <alignment vertical="center" shrinkToFit="1"/>
    </xf>
    <xf numFmtId="0" fontId="49" fillId="6" borderId="10" xfId="207" applyFont="1" applyFill="1" applyBorder="1" applyAlignment="1">
      <alignment horizontal="center" vertical="center" shrinkToFit="1"/>
    </xf>
    <xf numFmtId="43" fontId="49" fillId="6" borderId="10" xfId="260" applyFont="1" applyFill="1" applyBorder="1" applyAlignment="1">
      <alignment vertical="center" shrinkToFit="1"/>
    </xf>
    <xf numFmtId="0" fontId="55" fillId="6" borderId="7" xfId="207" applyFont="1" applyFill="1" applyBorder="1" applyAlignment="1">
      <alignment horizontal="center" vertical="center"/>
    </xf>
    <xf numFmtId="0" fontId="55" fillId="6" borderId="8" xfId="207" applyFont="1" applyFill="1" applyBorder="1" applyAlignment="1">
      <alignment horizontal="center" vertical="center"/>
    </xf>
    <xf numFmtId="0" fontId="55" fillId="6" borderId="9" xfId="207" applyFont="1" applyFill="1" applyBorder="1" applyAlignment="1">
      <alignment horizontal="center" vertical="center"/>
    </xf>
    <xf numFmtId="0" fontId="55" fillId="6" borderId="10" xfId="207" applyFont="1" applyFill="1" applyBorder="1" applyAlignment="1">
      <alignment horizontal="left" vertical="center" shrinkToFit="1"/>
    </xf>
    <xf numFmtId="14" fontId="55" fillId="6" borderId="10" xfId="207" applyNumberFormat="1" applyFont="1" applyFill="1" applyBorder="1" applyAlignment="1">
      <alignment horizontal="center" vertical="center" shrinkToFit="1"/>
    </xf>
    <xf numFmtId="14" fontId="55" fillId="6" borderId="10" xfId="207" applyNumberFormat="1" applyFont="1" applyFill="1" applyBorder="1" applyAlignment="1">
      <alignment horizontal="left" vertical="center" shrinkToFit="1"/>
    </xf>
    <xf numFmtId="231" fontId="55" fillId="6" borderId="10" xfId="1" applyNumberFormat="1" applyFont="1" applyFill="1" applyBorder="1" applyAlignment="1">
      <alignment horizontal="right" vertical="center" shrinkToFit="1"/>
    </xf>
    <xf numFmtId="231" fontId="40" fillId="6" borderId="10" xfId="1" applyNumberFormat="1" applyFont="1" applyFill="1" applyBorder="1" applyAlignment="1">
      <alignment horizontal="right" vertical="center" shrinkToFit="1"/>
    </xf>
    <xf numFmtId="231" fontId="55" fillId="6" borderId="10" xfId="207" applyNumberFormat="1" applyFont="1" applyFill="1" applyBorder="1" applyAlignment="1">
      <alignment horizontal="right" vertical="center" shrinkToFit="1"/>
    </xf>
    <xf numFmtId="0" fontId="55" fillId="6" borderId="10" xfId="207" applyFont="1" applyFill="1" applyBorder="1" applyAlignment="1">
      <alignment horizontal="right" vertical="center" shrinkToFit="1"/>
    </xf>
    <xf numFmtId="0" fontId="34" fillId="6" borderId="7" xfId="207" applyFont="1" applyFill="1" applyBorder="1" applyAlignment="1">
      <alignment horizontal="center" vertical="center"/>
    </xf>
    <xf numFmtId="0" fontId="49" fillId="6" borderId="8" xfId="207" applyFont="1" applyFill="1" applyBorder="1" applyAlignment="1">
      <alignment horizontal="center" vertical="center"/>
    </xf>
    <xf numFmtId="0" fontId="49" fillId="6" borderId="9" xfId="207" applyFont="1" applyFill="1" applyBorder="1" applyAlignment="1">
      <alignment horizontal="center" vertical="center"/>
    </xf>
    <xf numFmtId="0" fontId="49" fillId="6" borderId="10" xfId="207" applyFont="1" applyFill="1" applyBorder="1" applyAlignment="1">
      <alignment horizontal="left" vertical="center" shrinkToFit="1"/>
    </xf>
    <xf numFmtId="14" fontId="49" fillId="6" borderId="10" xfId="207" applyNumberFormat="1" applyFont="1" applyFill="1" applyBorder="1" applyAlignment="1">
      <alignment horizontal="left" vertical="center" shrinkToFit="1"/>
    </xf>
    <xf numFmtId="0" fontId="34" fillId="6" borderId="8" xfId="207" applyFont="1" applyFill="1" applyBorder="1" applyAlignment="1">
      <alignment horizontal="center" vertical="center"/>
    </xf>
    <xf numFmtId="0" fontId="34" fillId="6" borderId="9" xfId="207" applyFont="1" applyFill="1" applyBorder="1" applyAlignment="1">
      <alignment horizontal="center" vertical="center"/>
    </xf>
    <xf numFmtId="0" fontId="55" fillId="6" borderId="10" xfId="207" applyFont="1" applyFill="1" applyBorder="1" applyAlignment="1">
      <alignment horizontal="left" vertical="center"/>
    </xf>
    <xf numFmtId="14" fontId="55" fillId="6" borderId="10" xfId="207" applyNumberFormat="1" applyFont="1" applyFill="1" applyBorder="1" applyAlignment="1">
      <alignment horizontal="center" vertical="center"/>
    </xf>
    <xf numFmtId="14" fontId="55" fillId="6" borderId="10" xfId="207" applyNumberFormat="1" applyFont="1" applyFill="1" applyBorder="1" applyAlignment="1">
      <alignment horizontal="left" vertical="center"/>
    </xf>
    <xf numFmtId="0" fontId="55" fillId="6" borderId="10" xfId="207" applyFont="1" applyFill="1" applyBorder="1" applyAlignment="1">
      <alignment horizontal="right" vertical="center"/>
    </xf>
    <xf numFmtId="233" fontId="49" fillId="6" borderId="0" xfId="207" applyNumberFormat="1" applyFont="1" applyFill="1" applyAlignment="1">
      <alignment vertical="center"/>
    </xf>
    <xf numFmtId="0" fontId="49" fillId="6" borderId="0" xfId="207" applyFont="1" applyFill="1" applyAlignment="1">
      <alignment vertical="center"/>
    </xf>
    <xf numFmtId="0" fontId="0" fillId="6" borderId="0" xfId="0" applyFill="1" applyAlignment="1">
      <alignment vertical="center"/>
    </xf>
    <xf numFmtId="231" fontId="6" fillId="6" borderId="0" xfId="0" applyNumberFormat="1" applyFont="1" applyFill="1" applyAlignment="1" applyProtection="1">
      <alignment horizontal="right" vertical="center" shrinkToFit="1"/>
      <protection hidden="1"/>
    </xf>
    <xf numFmtId="0" fontId="27" fillId="0" borderId="0" xfId="214" applyFont="1" applyAlignment="1" applyProtection="1">
      <alignment vertical="center"/>
      <protection hidden="1"/>
    </xf>
    <xf numFmtId="233" fontId="9" fillId="0" borderId="0" xfId="214" applyNumberFormat="1" applyFont="1" applyAlignment="1" applyProtection="1">
      <alignment horizontal="center" vertical="center"/>
      <protection hidden="1"/>
    </xf>
    <xf numFmtId="231" fontId="9" fillId="0" borderId="0" xfId="214" applyNumberFormat="1" applyFont="1" applyAlignment="1" applyProtection="1">
      <alignment vertical="center"/>
      <protection hidden="1"/>
    </xf>
    <xf numFmtId="0" fontId="9" fillId="8" borderId="0" xfId="214" applyFont="1" applyFill="1" applyAlignment="1" applyProtection="1">
      <alignment horizontal="left" vertical="center"/>
      <protection hidden="1"/>
    </xf>
    <xf numFmtId="0" fontId="37" fillId="6" borderId="0" xfId="214" applyFont="1" applyFill="1" applyAlignment="1" applyProtection="1">
      <alignment horizontal="center" vertical="center"/>
      <protection hidden="1"/>
    </xf>
    <xf numFmtId="0" fontId="9" fillId="6" borderId="0" xfId="214" applyFont="1" applyFill="1" applyAlignment="1" applyProtection="1">
      <alignment vertical="center" shrinkToFit="1"/>
      <protection hidden="1"/>
    </xf>
    <xf numFmtId="234" fontId="9" fillId="6" borderId="0" xfId="214" applyNumberFormat="1" applyFont="1" applyFill="1" applyAlignment="1" applyProtection="1">
      <alignment horizontal="left" vertical="center"/>
      <protection hidden="1"/>
    </xf>
    <xf numFmtId="235" fontId="9" fillId="0" borderId="0" xfId="0" applyNumberFormat="1" applyFont="1" applyAlignment="1" applyProtection="1">
      <alignment horizontal="center" vertical="center"/>
      <protection hidden="1"/>
    </xf>
    <xf numFmtId="231" fontId="9" fillId="6" borderId="0" xfId="0" applyNumberFormat="1" applyFont="1" applyFill="1" applyAlignment="1" applyProtection="1">
      <alignment vertical="center"/>
      <protection hidden="1"/>
    </xf>
    <xf numFmtId="0" fontId="9" fillId="6" borderId="13" xfId="214" applyFont="1" applyFill="1" applyBorder="1" applyAlignment="1" applyProtection="1">
      <alignment vertical="center"/>
      <protection hidden="1"/>
    </xf>
    <xf numFmtId="231" fontId="9" fillId="6" borderId="13" xfId="214" applyNumberFormat="1" applyFont="1" applyFill="1" applyBorder="1" applyAlignment="1" applyProtection="1">
      <alignment vertical="center"/>
      <protection hidden="1"/>
    </xf>
    <xf numFmtId="0" fontId="9" fillId="0" borderId="0" xfId="0" applyFont="1" applyAlignment="1" applyProtection="1">
      <alignment horizontal="right" vertical="center"/>
      <protection hidden="1"/>
    </xf>
    <xf numFmtId="233" fontId="27" fillId="6" borderId="10" xfId="214" applyNumberFormat="1" applyFont="1" applyFill="1" applyBorder="1" applyAlignment="1" applyProtection="1">
      <alignment horizontal="center" vertical="center"/>
      <protection hidden="1"/>
    </xf>
    <xf numFmtId="0" fontId="27" fillId="6" borderId="10" xfId="214" applyFont="1" applyFill="1" applyBorder="1" applyAlignment="1" applyProtection="1">
      <alignment horizontal="center" vertical="center" wrapText="1"/>
      <protection hidden="1"/>
    </xf>
    <xf numFmtId="0" fontId="27" fillId="6" borderId="7" xfId="214" applyFont="1" applyFill="1" applyBorder="1" applyAlignment="1" applyProtection="1">
      <alignment horizontal="center" vertical="center"/>
      <protection hidden="1"/>
    </xf>
    <xf numFmtId="0" fontId="27" fillId="6" borderId="8" xfId="214" applyFont="1" applyFill="1" applyBorder="1" applyAlignment="1" applyProtection="1">
      <alignment horizontal="center" vertical="center"/>
      <protection hidden="1"/>
    </xf>
    <xf numFmtId="0" fontId="27" fillId="6" borderId="9" xfId="214" applyFont="1" applyFill="1" applyBorder="1" applyAlignment="1" applyProtection="1">
      <alignment horizontal="center" vertical="center"/>
      <protection hidden="1"/>
    </xf>
    <xf numFmtId="0" fontId="29" fillId="6" borderId="7" xfId="214" applyFont="1" applyFill="1" applyBorder="1" applyAlignment="1" applyProtection="1">
      <alignment horizontal="center" vertical="center"/>
      <protection hidden="1"/>
    </xf>
    <xf numFmtId="0" fontId="29" fillId="6" borderId="10" xfId="214" applyFont="1" applyFill="1" applyBorder="1" applyAlignment="1" applyProtection="1">
      <alignment horizontal="center" vertical="center"/>
      <protection hidden="1"/>
    </xf>
    <xf numFmtId="0" fontId="27" fillId="6" borderId="10" xfId="214" applyFont="1" applyFill="1" applyBorder="1" applyAlignment="1" applyProtection="1">
      <alignment horizontal="center" vertical="center"/>
      <protection hidden="1"/>
    </xf>
    <xf numFmtId="231" fontId="27" fillId="6" borderId="10" xfId="214" applyNumberFormat="1" applyFont="1" applyFill="1" applyBorder="1" applyAlignment="1" applyProtection="1">
      <alignment horizontal="center" vertical="center" wrapText="1"/>
      <protection hidden="1"/>
    </xf>
    <xf numFmtId="0" fontId="27" fillId="0" borderId="0" xfId="214" applyFont="1" applyAlignment="1" applyProtection="1">
      <alignment horizontal="center" vertical="center"/>
      <protection hidden="1"/>
    </xf>
    <xf numFmtId="0" fontId="27" fillId="6" borderId="0" xfId="214" applyFont="1" applyFill="1" applyAlignment="1" applyProtection="1">
      <alignment horizontal="center" vertical="center"/>
      <protection hidden="1"/>
    </xf>
    <xf numFmtId="0" fontId="27" fillId="6" borderId="14" xfId="214" applyFont="1" applyFill="1" applyBorder="1" applyAlignment="1" applyProtection="1">
      <alignment horizontal="center" vertical="center"/>
      <protection hidden="1"/>
    </xf>
    <xf numFmtId="0" fontId="29" fillId="6" borderId="10" xfId="214" applyFont="1" applyFill="1" applyBorder="1" applyAlignment="1" applyProtection="1">
      <alignment horizontal="center" vertical="center" wrapText="1"/>
      <protection hidden="1"/>
    </xf>
    <xf numFmtId="233" fontId="9" fillId="6" borderId="10" xfId="214" applyNumberFormat="1" applyFont="1" applyFill="1" applyBorder="1" applyAlignment="1" applyProtection="1">
      <alignment horizontal="center" vertical="center" shrinkToFit="1"/>
      <protection hidden="1"/>
    </xf>
    <xf numFmtId="0" fontId="9" fillId="6" borderId="10" xfId="214" applyFont="1" applyFill="1" applyBorder="1" applyAlignment="1" applyProtection="1">
      <alignment vertical="center" shrinkToFit="1"/>
      <protection hidden="1"/>
    </xf>
    <xf numFmtId="0" fontId="9" fillId="6" borderId="10" xfId="214" applyFont="1" applyFill="1" applyBorder="1" applyAlignment="1" applyProtection="1">
      <alignment horizontal="center" vertical="center" shrinkToFit="1"/>
      <protection hidden="1"/>
    </xf>
    <xf numFmtId="14" fontId="9" fillId="6" borderId="10" xfId="214" applyNumberFormat="1" applyFont="1" applyFill="1" applyBorder="1" applyAlignment="1" applyProtection="1">
      <alignment vertical="center" shrinkToFit="1"/>
      <protection hidden="1"/>
    </xf>
    <xf numFmtId="231" fontId="9" fillId="6" borderId="10" xfId="214" applyNumberFormat="1" applyFont="1" applyFill="1" applyBorder="1" applyAlignment="1" applyProtection="1">
      <alignment horizontal="right" vertical="center" shrinkToFit="1"/>
      <protection hidden="1"/>
    </xf>
    <xf numFmtId="0" fontId="9" fillId="0" borderId="0" xfId="214" applyFont="1" applyAlignment="1" applyProtection="1">
      <alignment vertical="center" shrinkToFit="1"/>
      <protection hidden="1"/>
    </xf>
    <xf numFmtId="0" fontId="9" fillId="0" borderId="10" xfId="214" applyFont="1" applyBorder="1" applyAlignment="1" applyProtection="1">
      <alignment vertical="center" shrinkToFit="1"/>
      <protection hidden="1"/>
    </xf>
    <xf numFmtId="0" fontId="9" fillId="0" borderId="10" xfId="214" applyFont="1" applyBorder="1" applyAlignment="1" applyProtection="1">
      <alignment horizontal="center" vertical="center" shrinkToFit="1"/>
      <protection hidden="1"/>
    </xf>
    <xf numFmtId="14" fontId="9" fillId="0" borderId="10" xfId="214" applyNumberFormat="1" applyFont="1" applyBorder="1" applyAlignment="1" applyProtection="1">
      <alignment vertical="center" shrinkToFit="1"/>
      <protection hidden="1"/>
    </xf>
    <xf numFmtId="231" fontId="9" fillId="0" borderId="10" xfId="214" applyNumberFormat="1" applyFont="1" applyBorder="1" applyAlignment="1" applyProtection="1">
      <alignment horizontal="right" vertical="center" shrinkToFit="1"/>
      <protection hidden="1"/>
    </xf>
    <xf numFmtId="0" fontId="29" fillId="6" borderId="8" xfId="214" applyFont="1" applyFill="1" applyBorder="1" applyAlignment="1" applyProtection="1">
      <alignment horizontal="center" vertical="center"/>
      <protection hidden="1"/>
    </xf>
    <xf numFmtId="0" fontId="29" fillId="6" borderId="9" xfId="214" applyFont="1" applyFill="1" applyBorder="1" applyAlignment="1" applyProtection="1">
      <alignment horizontal="center" vertical="center"/>
      <protection hidden="1"/>
    </xf>
    <xf numFmtId="0" fontId="27" fillId="6" borderId="10" xfId="214" applyFont="1" applyFill="1" applyBorder="1" applyAlignment="1" applyProtection="1">
      <alignment vertical="center" shrinkToFit="1"/>
      <protection hidden="1"/>
    </xf>
    <xf numFmtId="0" fontId="27" fillId="6" borderId="10" xfId="214" applyFont="1" applyFill="1" applyBorder="1" applyAlignment="1" applyProtection="1">
      <alignment horizontal="center" vertical="center" shrinkToFit="1"/>
      <protection hidden="1"/>
    </xf>
    <xf numFmtId="231" fontId="27" fillId="6" borderId="10" xfId="1" applyNumberFormat="1" applyFont="1" applyFill="1" applyBorder="1" applyAlignment="1" applyProtection="1">
      <alignment horizontal="right" vertical="center" shrinkToFit="1"/>
      <protection hidden="1"/>
    </xf>
    <xf numFmtId="231" fontId="27" fillId="6" borderId="10" xfId="214" applyNumberFormat="1" applyFont="1" applyFill="1" applyBorder="1" applyAlignment="1" applyProtection="1">
      <alignment horizontal="right" vertical="center" shrinkToFit="1"/>
      <protection hidden="1"/>
    </xf>
    <xf numFmtId="0" fontId="27" fillId="0" borderId="0" xfId="214" applyFont="1" applyAlignment="1" applyProtection="1">
      <alignment vertical="center" shrinkToFit="1"/>
      <protection hidden="1"/>
    </xf>
    <xf numFmtId="0" fontId="28" fillId="6" borderId="7" xfId="214" applyFont="1" applyFill="1" applyBorder="1" applyAlignment="1" applyProtection="1">
      <alignment horizontal="center" vertical="center"/>
      <protection hidden="1"/>
    </xf>
    <xf numFmtId="0" fontId="28" fillId="6" borderId="8" xfId="214" applyFont="1" applyFill="1" applyBorder="1" applyAlignment="1" applyProtection="1">
      <alignment horizontal="center" vertical="center"/>
      <protection hidden="1"/>
    </xf>
    <xf numFmtId="0" fontId="28" fillId="6" borderId="9" xfId="214" applyFont="1" applyFill="1" applyBorder="1" applyAlignment="1" applyProtection="1">
      <alignment horizontal="center" vertical="center"/>
      <protection hidden="1"/>
    </xf>
    <xf numFmtId="231" fontId="9" fillId="6" borderId="10" xfId="1" applyNumberFormat="1" applyFont="1" applyFill="1" applyBorder="1" applyAlignment="1" applyProtection="1">
      <alignment horizontal="right" vertical="center" shrinkToFit="1"/>
      <protection hidden="1"/>
    </xf>
    <xf numFmtId="14" fontId="9" fillId="6" borderId="0" xfId="214" applyNumberFormat="1" applyFont="1" applyFill="1" applyAlignment="1" applyProtection="1">
      <alignment vertical="center"/>
      <protection hidden="1"/>
    </xf>
    <xf numFmtId="14" fontId="9" fillId="0" borderId="0" xfId="214" applyNumberFormat="1" applyFont="1" applyAlignment="1" applyProtection="1">
      <alignment vertical="center"/>
      <protection hidden="1"/>
    </xf>
    <xf numFmtId="233" fontId="9" fillId="0" borderId="0" xfId="233" applyNumberFormat="1" applyFont="1" applyProtection="1">
      <alignment vertical="center"/>
      <protection hidden="1"/>
    </xf>
    <xf numFmtId="233" fontId="9" fillId="0" borderId="0" xfId="214" applyNumberFormat="1" applyFont="1" applyAlignment="1" applyProtection="1">
      <alignment horizontal="left" vertical="center"/>
      <protection hidden="1"/>
    </xf>
    <xf numFmtId="0" fontId="9" fillId="0" borderId="0" xfId="214" applyFont="1" applyAlignment="1" applyProtection="1">
      <alignment horizontal="left" vertical="center"/>
      <protection hidden="1"/>
    </xf>
    <xf numFmtId="231" fontId="9" fillId="0" borderId="0" xfId="214" applyNumberFormat="1" applyFont="1" applyAlignment="1" applyProtection="1">
      <alignment horizontal="right" vertical="center"/>
      <protection hidden="1"/>
    </xf>
    <xf numFmtId="0" fontId="23" fillId="0" borderId="0" xfId="235" applyFont="1" applyAlignment="1" applyProtection="1">
      <alignment horizontal="left" vertical="center" wrapText="1"/>
      <protection hidden="1"/>
    </xf>
    <xf numFmtId="0" fontId="37" fillId="0" borderId="0" xfId="0" applyFont="1" applyAlignment="1" applyProtection="1">
      <alignment vertical="center"/>
      <protection hidden="1"/>
    </xf>
    <xf numFmtId="0" fontId="9" fillId="6" borderId="13" xfId="214" applyFont="1" applyFill="1" applyBorder="1" applyAlignment="1" applyProtection="1">
      <alignment horizontal="right" vertical="center"/>
      <protection hidden="1"/>
    </xf>
    <xf numFmtId="231" fontId="27" fillId="6" borderId="10" xfId="214" applyNumberFormat="1" applyFont="1" applyFill="1" applyBorder="1" applyAlignment="1" applyProtection="1">
      <alignment horizontal="center" vertical="center"/>
      <protection hidden="1"/>
    </xf>
    <xf numFmtId="0" fontId="27" fillId="0" borderId="10" xfId="0" applyFont="1" applyBorder="1" applyAlignment="1" applyProtection="1">
      <alignment horizontal="center" vertical="center"/>
      <protection hidden="1"/>
    </xf>
    <xf numFmtId="0" fontId="9" fillId="6" borderId="10" xfId="214" applyFont="1" applyFill="1" applyBorder="1" applyAlignment="1" applyProtection="1">
      <alignment horizontal="left" vertical="center" shrinkToFit="1"/>
      <protection hidden="1"/>
    </xf>
    <xf numFmtId="49" fontId="9" fillId="0" borderId="10" xfId="0" applyNumberFormat="1" applyFont="1" applyBorder="1" applyAlignment="1" applyProtection="1">
      <alignment horizontal="center" vertical="center"/>
      <protection hidden="1"/>
    </xf>
    <xf numFmtId="0" fontId="9" fillId="0" borderId="10" xfId="214" applyFont="1" applyBorder="1" applyAlignment="1" applyProtection="1">
      <alignment horizontal="left" vertical="center" shrinkToFit="1"/>
      <protection hidden="1"/>
    </xf>
    <xf numFmtId="231" fontId="9" fillId="0" borderId="10" xfId="1" applyNumberFormat="1" applyFont="1" applyBorder="1" applyAlignment="1" applyProtection="1">
      <alignment horizontal="right" vertical="center" shrinkToFit="1"/>
      <protection hidden="1"/>
    </xf>
    <xf numFmtId="0" fontId="9" fillId="0" borderId="10" xfId="0" applyFont="1" applyBorder="1" applyAlignment="1" applyProtection="1">
      <alignment vertical="center"/>
      <protection hidden="1"/>
    </xf>
    <xf numFmtId="0" fontId="9" fillId="0" borderId="10" xfId="217" applyFont="1" applyBorder="1" applyAlignment="1" applyProtection="1">
      <alignment horizontal="left" vertical="center" shrinkToFit="1"/>
      <protection hidden="1"/>
    </xf>
    <xf numFmtId="0" fontId="9" fillId="6" borderId="10" xfId="217" applyFont="1" applyFill="1" applyBorder="1" applyAlignment="1" applyProtection="1">
      <alignment horizontal="left" vertical="center" shrinkToFit="1"/>
      <protection hidden="1"/>
    </xf>
    <xf numFmtId="0" fontId="27" fillId="0" borderId="10" xfId="0" applyFont="1" applyBorder="1" applyAlignment="1" applyProtection="1">
      <alignment vertical="center"/>
      <protection hidden="1"/>
    </xf>
    <xf numFmtId="231" fontId="9" fillId="6" borderId="0" xfId="214" applyNumberFormat="1" applyFont="1" applyFill="1" applyAlignment="1" applyProtection="1">
      <alignment vertical="center"/>
      <protection hidden="1"/>
    </xf>
    <xf numFmtId="0" fontId="10" fillId="0" borderId="0" xfId="214" applyFont="1" applyAlignment="1" applyProtection="1">
      <alignment horizontal="left" vertical="center"/>
      <protection hidden="1"/>
    </xf>
    <xf numFmtId="0" fontId="10" fillId="0" borderId="0" xfId="214" applyFont="1" applyAlignment="1" applyProtection="1">
      <alignment vertical="center"/>
      <protection hidden="1"/>
    </xf>
    <xf numFmtId="0" fontId="10" fillId="0" borderId="0" xfId="214" applyFont="1" applyAlignment="1" applyProtection="1">
      <alignment horizontal="left" vertical="center" shrinkToFit="1"/>
      <protection hidden="1"/>
    </xf>
    <xf numFmtId="43" fontId="10" fillId="0" borderId="0" xfId="214" applyNumberFormat="1" applyFont="1" applyAlignment="1" applyProtection="1">
      <alignment horizontal="center" vertical="center"/>
      <protection hidden="1"/>
    </xf>
    <xf numFmtId="0" fontId="9" fillId="0" borderId="0" xfId="214" applyFont="1" applyAlignment="1" applyProtection="1">
      <alignment horizontal="right" vertical="center"/>
      <protection hidden="1"/>
    </xf>
    <xf numFmtId="0" fontId="9" fillId="6" borderId="0" xfId="214" applyFont="1" applyFill="1" applyAlignment="1" applyProtection="1">
      <alignment horizontal="right" vertical="center"/>
      <protection hidden="1"/>
    </xf>
    <xf numFmtId="0" fontId="27" fillId="6" borderId="7" xfId="214" applyFont="1" applyFill="1" applyBorder="1" applyAlignment="1" applyProtection="1">
      <alignment horizontal="center" vertical="center" wrapText="1"/>
      <protection hidden="1"/>
    </xf>
    <xf numFmtId="0" fontId="27" fillId="6" borderId="8" xfId="214" applyFont="1" applyFill="1" applyBorder="1" applyAlignment="1" applyProtection="1">
      <alignment horizontal="center" vertical="center" wrapText="1"/>
      <protection hidden="1"/>
    </xf>
    <xf numFmtId="0" fontId="27" fillId="6" borderId="9" xfId="214" applyFont="1" applyFill="1" applyBorder="1" applyAlignment="1" applyProtection="1">
      <alignment horizontal="center" vertical="center" wrapText="1"/>
      <protection hidden="1"/>
    </xf>
    <xf numFmtId="231" fontId="27" fillId="6" borderId="5" xfId="214" applyNumberFormat="1" applyFont="1" applyFill="1" applyBorder="1" applyAlignment="1" applyProtection="1">
      <alignment horizontal="center" vertical="center" wrapText="1"/>
      <protection hidden="1"/>
    </xf>
    <xf numFmtId="0" fontId="27" fillId="6" borderId="10" xfId="214" applyFont="1" applyFill="1" applyBorder="1" applyAlignment="1" applyProtection="1">
      <alignment vertical="center" wrapText="1"/>
      <protection hidden="1"/>
    </xf>
    <xf numFmtId="231" fontId="27" fillId="6" borderId="11" xfId="214" applyNumberFormat="1" applyFont="1" applyFill="1" applyBorder="1" applyAlignment="1" applyProtection="1">
      <alignment horizontal="center" vertical="center" wrapText="1"/>
      <protection hidden="1"/>
    </xf>
    <xf numFmtId="49" fontId="9" fillId="0" borderId="0" xfId="0" applyNumberFormat="1" applyFont="1" applyAlignment="1" applyProtection="1">
      <alignment horizontal="center" vertical="center" shrinkToFit="1"/>
      <protection hidden="1"/>
    </xf>
    <xf numFmtId="231" fontId="9" fillId="0" borderId="10" xfId="1" applyNumberFormat="1" applyFont="1" applyBorder="1" applyAlignment="1" applyProtection="1">
      <alignment vertical="center" shrinkToFit="1"/>
      <protection hidden="1"/>
    </xf>
    <xf numFmtId="231" fontId="9" fillId="0" borderId="0" xfId="1" applyNumberFormat="1" applyFont="1" applyFill="1" applyBorder="1" applyAlignment="1" applyProtection="1">
      <alignment vertical="center" shrinkToFit="1"/>
      <protection hidden="1"/>
    </xf>
    <xf numFmtId="0" fontId="27" fillId="6" borderId="10" xfId="214" applyFont="1" applyFill="1" applyBorder="1" applyAlignment="1" applyProtection="1">
      <alignment vertical="center"/>
      <protection hidden="1"/>
    </xf>
    <xf numFmtId="231" fontId="27" fillId="6" borderId="10" xfId="1" applyNumberFormat="1" applyFont="1" applyFill="1" applyBorder="1" applyAlignment="1" applyProtection="1">
      <alignment horizontal="right" vertical="center"/>
      <protection hidden="1"/>
    </xf>
    <xf numFmtId="0" fontId="9" fillId="6" borderId="10" xfId="214" applyFont="1" applyFill="1" applyBorder="1" applyAlignment="1" applyProtection="1">
      <alignment vertical="center"/>
      <protection hidden="1"/>
    </xf>
    <xf numFmtId="0" fontId="9" fillId="6" borderId="10" xfId="214" applyFont="1" applyFill="1" applyBorder="1" applyAlignment="1" applyProtection="1">
      <alignment horizontal="center" vertical="center"/>
      <protection hidden="1"/>
    </xf>
    <xf numFmtId="231" fontId="9" fillId="6" borderId="10" xfId="1" applyNumberFormat="1" applyFont="1" applyFill="1" applyBorder="1" applyAlignment="1" applyProtection="1">
      <alignment horizontal="right" vertical="center"/>
      <protection hidden="1"/>
    </xf>
    <xf numFmtId="233" fontId="27" fillId="0" borderId="0" xfId="233" applyNumberFormat="1" applyFont="1" applyProtection="1">
      <alignment vertical="center"/>
      <protection hidden="1"/>
    </xf>
    <xf numFmtId="248" fontId="6" fillId="0" borderId="0" xfId="0" applyNumberFormat="1" applyFont="1" applyAlignment="1" applyProtection="1">
      <alignment vertical="center"/>
      <protection hidden="1"/>
    </xf>
    <xf numFmtId="248" fontId="16" fillId="0" borderId="0" xfId="6" applyNumberFormat="1" applyFont="1" applyFill="1" applyAlignment="1" applyProtection="1">
      <alignment horizontal="left" vertical="center" shrinkToFit="1"/>
      <protection hidden="1"/>
    </xf>
    <xf numFmtId="0" fontId="16" fillId="0" borderId="0" xfId="6" applyFont="1" applyFill="1" applyAlignment="1" applyProtection="1">
      <alignment horizontal="left" vertical="center" shrinkToFit="1"/>
      <protection hidden="1"/>
    </xf>
    <xf numFmtId="248" fontId="14" fillId="6" borderId="0" xfId="0" applyNumberFormat="1" applyFont="1" applyFill="1" applyAlignment="1" applyProtection="1">
      <alignment horizontal="center" vertical="center"/>
      <protection hidden="1"/>
    </xf>
    <xf numFmtId="248" fontId="6" fillId="6" borderId="0" xfId="0" applyNumberFormat="1" applyFont="1" applyFill="1" applyAlignment="1" applyProtection="1">
      <alignment horizontal="center" vertical="center"/>
      <protection hidden="1"/>
    </xf>
    <xf numFmtId="248" fontId="6" fillId="6" borderId="0" xfId="0" applyNumberFormat="1" applyFont="1" applyFill="1" applyAlignment="1" applyProtection="1">
      <alignment vertical="center"/>
      <protection hidden="1"/>
    </xf>
    <xf numFmtId="248" fontId="7" fillId="6" borderId="5" xfId="0" applyNumberFormat="1" applyFont="1" applyFill="1" applyBorder="1" applyAlignment="1" applyProtection="1">
      <alignment horizontal="center" vertical="center" wrapText="1"/>
      <protection hidden="1"/>
    </xf>
    <xf numFmtId="0" fontId="7" fillId="6" borderId="0" xfId="3" applyNumberFormat="1" applyFont="1" applyFill="1" applyBorder="1" applyAlignment="1" applyProtection="1">
      <alignment horizontal="center" vertical="center"/>
      <protection hidden="1"/>
    </xf>
    <xf numFmtId="209" fontId="7" fillId="6" borderId="0" xfId="3" applyNumberFormat="1" applyFont="1" applyFill="1" applyAlignment="1" applyProtection="1">
      <alignment horizontal="center" vertical="center"/>
      <protection hidden="1"/>
    </xf>
    <xf numFmtId="10" fontId="7" fillId="6" borderId="0" xfId="0" applyNumberFormat="1" applyFont="1" applyFill="1" applyAlignment="1" applyProtection="1">
      <alignment horizontal="center" vertical="center"/>
      <protection hidden="1"/>
    </xf>
    <xf numFmtId="248" fontId="7" fillId="6" borderId="11" xfId="0" applyNumberFormat="1" applyFont="1" applyFill="1" applyBorder="1" applyAlignment="1" applyProtection="1">
      <alignment horizontal="center" vertical="center" wrapText="1" shrinkToFit="1"/>
      <protection hidden="1"/>
    </xf>
    <xf numFmtId="43" fontId="19" fillId="6" borderId="10" xfId="0" applyNumberFormat="1" applyFont="1" applyFill="1" applyBorder="1" applyAlignment="1" applyProtection="1">
      <alignment horizontal="center" vertical="center"/>
      <protection hidden="1"/>
    </xf>
    <xf numFmtId="248" fontId="6" fillId="6" borderId="10" xfId="0" applyNumberFormat="1" applyFont="1" applyFill="1" applyBorder="1" applyAlignment="1" applyProtection="1">
      <alignment horizontal="center" vertical="center" shrinkToFit="1"/>
      <protection hidden="1"/>
    </xf>
    <xf numFmtId="43" fontId="2" fillId="6" borderId="0" xfId="1" applyFont="1" applyFill="1" applyAlignment="1" applyProtection="1">
      <alignment vertical="center"/>
      <protection hidden="1"/>
    </xf>
    <xf numFmtId="43" fontId="44" fillId="0" borderId="0" xfId="6" applyNumberFormat="1" applyAlignment="1" applyProtection="1">
      <alignment vertical="center"/>
      <protection hidden="1"/>
    </xf>
    <xf numFmtId="248" fontId="6" fillId="0" borderId="10" xfId="0" applyNumberFormat="1" applyFont="1" applyBorder="1" applyAlignment="1" applyProtection="1">
      <alignment horizontal="center" vertical="center" shrinkToFit="1"/>
      <protection hidden="1"/>
    </xf>
    <xf numFmtId="231" fontId="6" fillId="0" borderId="10" xfId="1" applyNumberFormat="1" applyFont="1" applyFill="1" applyBorder="1" applyAlignment="1" applyProtection="1">
      <alignment horizontal="right" vertical="center" shrinkToFit="1"/>
      <protection hidden="1"/>
    </xf>
    <xf numFmtId="9" fontId="6" fillId="6" borderId="0" xfId="3" applyNumberFormat="1" applyFont="1" applyFill="1" applyAlignment="1" applyProtection="1">
      <alignment vertical="center"/>
      <protection hidden="1"/>
    </xf>
    <xf numFmtId="43" fontId="43" fillId="0" borderId="0" xfId="6" applyNumberFormat="1" applyFont="1" applyAlignment="1" applyProtection="1">
      <alignment vertical="center"/>
      <protection hidden="1"/>
    </xf>
    <xf numFmtId="248" fontId="7" fillId="6" borderId="10" xfId="0" applyNumberFormat="1" applyFont="1" applyFill="1" applyBorder="1" applyAlignment="1" applyProtection="1">
      <alignment horizontal="center" vertical="center" shrinkToFit="1"/>
      <protection hidden="1"/>
    </xf>
    <xf numFmtId="248" fontId="6" fillId="6" borderId="0" xfId="0" applyNumberFormat="1" applyFont="1" applyFill="1" applyAlignment="1" applyProtection="1">
      <alignment vertical="center" shrinkToFit="1"/>
      <protection hidden="1"/>
    </xf>
    <xf numFmtId="248" fontId="6" fillId="0" borderId="0" xfId="0" applyNumberFormat="1" applyFont="1" applyAlignment="1" applyProtection="1">
      <alignment vertical="center" shrinkToFit="1"/>
      <protection hidden="1"/>
    </xf>
    <xf numFmtId="231" fontId="15" fillId="0" borderId="0" xfId="0" applyNumberFormat="1" applyFont="1" applyAlignment="1" applyProtection="1">
      <alignment vertical="center"/>
      <protection hidden="1"/>
    </xf>
    <xf numFmtId="231" fontId="6" fillId="6" borderId="0" xfId="0" applyNumberFormat="1" applyFont="1" applyFill="1" applyAlignment="1" applyProtection="1">
      <alignment vertical="center"/>
      <protection hidden="1"/>
    </xf>
    <xf numFmtId="231" fontId="15" fillId="6" borderId="0" xfId="0" applyNumberFormat="1" applyFont="1" applyFill="1" applyAlignment="1" applyProtection="1">
      <alignment vertical="center"/>
      <protection hidden="1"/>
    </xf>
    <xf numFmtId="231" fontId="7" fillId="6" borderId="10" xfId="0" applyNumberFormat="1" applyFont="1" applyFill="1" applyBorder="1" applyAlignment="1" applyProtection="1">
      <alignment horizontal="center" vertical="center"/>
      <protection hidden="1"/>
    </xf>
    <xf numFmtId="231" fontId="7" fillId="6" borderId="5" xfId="0" applyNumberFormat="1" applyFont="1" applyFill="1" applyBorder="1" applyAlignment="1" applyProtection="1">
      <alignment horizontal="center" vertical="center" wrapText="1"/>
      <protection hidden="1"/>
    </xf>
    <xf numFmtId="43" fontId="7" fillId="6" borderId="0" xfId="0" applyNumberFormat="1" applyFont="1" applyFill="1" applyAlignment="1" applyProtection="1">
      <alignment horizontal="center" vertical="center"/>
      <protection hidden="1"/>
    </xf>
    <xf numFmtId="43" fontId="7" fillId="6" borderId="10" xfId="0" applyNumberFormat="1" applyFont="1" applyFill="1" applyBorder="1" applyAlignment="1" applyProtection="1">
      <alignment horizontal="center" vertical="center"/>
      <protection hidden="1"/>
    </xf>
    <xf numFmtId="231" fontId="7" fillId="6" borderId="11" xfId="0" applyNumberFormat="1" applyFont="1" applyFill="1" applyBorder="1" applyAlignment="1" applyProtection="1">
      <alignment horizontal="center" vertical="center" wrapText="1"/>
      <protection hidden="1"/>
    </xf>
    <xf numFmtId="231" fontId="6" fillId="6" borderId="10" xfId="3" applyNumberFormat="1" applyFont="1" applyFill="1" applyBorder="1" applyAlignment="1" applyProtection="1">
      <alignment horizontal="right" vertical="center" shrinkToFit="1"/>
      <protection hidden="1"/>
    </xf>
    <xf numFmtId="231" fontId="6" fillId="6" borderId="10" xfId="1" applyNumberFormat="1" applyFont="1" applyFill="1" applyBorder="1" applyAlignment="1" applyProtection="1">
      <alignment horizontal="center" vertical="center" shrinkToFit="1"/>
      <protection hidden="1"/>
    </xf>
    <xf numFmtId="231" fontId="6" fillId="6" borderId="10" xfId="219" applyNumberFormat="1" applyFont="1" applyFill="1" applyBorder="1" applyAlignment="1" applyProtection="1">
      <alignment horizontal="right" vertical="center" shrinkToFit="1"/>
      <protection hidden="1"/>
    </xf>
    <xf numFmtId="10" fontId="6" fillId="6" borderId="0" xfId="1" applyNumberFormat="1" applyFont="1" applyFill="1" applyAlignment="1" applyProtection="1">
      <alignment horizontal="center" vertical="center"/>
      <protection hidden="1"/>
    </xf>
    <xf numFmtId="49" fontId="6" fillId="0" borderId="0" xfId="0" applyNumberFormat="1" applyFont="1" applyAlignment="1" applyProtection="1">
      <alignment horizontal="center" vertical="center"/>
      <protection hidden="1"/>
    </xf>
    <xf numFmtId="10" fontId="6" fillId="6" borderId="0" xfId="3" applyNumberFormat="1" applyFont="1" applyFill="1" applyBorder="1" applyAlignment="1" applyProtection="1">
      <alignment vertical="center" shrinkToFit="1"/>
    </xf>
    <xf numFmtId="10" fontId="7" fillId="6" borderId="0" xfId="3" applyNumberFormat="1" applyFont="1" applyFill="1" applyAlignment="1" applyProtection="1">
      <alignment horizontal="center" vertical="center"/>
      <protection hidden="1"/>
    </xf>
    <xf numFmtId="235" fontId="6" fillId="6" borderId="10" xfId="1" applyNumberFormat="1" applyFont="1" applyFill="1" applyBorder="1" applyAlignment="1" applyProtection="1">
      <alignment horizontal="center" vertical="center" shrinkToFit="1"/>
      <protection hidden="1"/>
    </xf>
    <xf numFmtId="43" fontId="6" fillId="6" borderId="10" xfId="1" applyFont="1" applyFill="1" applyBorder="1" applyAlignment="1" applyProtection="1">
      <alignment horizontal="right" vertical="center" shrinkToFit="1"/>
      <protection hidden="1"/>
    </xf>
    <xf numFmtId="235" fontId="6" fillId="0" borderId="10" xfId="1" applyNumberFormat="1" applyFont="1" applyBorder="1" applyAlignment="1" applyProtection="1">
      <alignment horizontal="center" vertical="center" shrinkToFit="1"/>
      <protection hidden="1"/>
    </xf>
    <xf numFmtId="235" fontId="7" fillId="6" borderId="10" xfId="1" applyNumberFormat="1" applyFont="1" applyFill="1" applyBorder="1" applyAlignment="1" applyProtection="1">
      <alignment horizontal="center" vertical="center" shrinkToFit="1"/>
      <protection hidden="1"/>
    </xf>
    <xf numFmtId="10" fontId="7" fillId="6" borderId="10" xfId="3" applyNumberFormat="1" applyFont="1" applyFill="1" applyBorder="1" applyAlignment="1" applyProtection="1">
      <alignment horizontal="center" vertical="center" shrinkToFit="1"/>
      <protection hidden="1"/>
    </xf>
    <xf numFmtId="231" fontId="7" fillId="6" borderId="10" xfId="3" applyNumberFormat="1" applyFont="1" applyFill="1" applyBorder="1" applyAlignment="1" applyProtection="1">
      <alignment horizontal="right" vertical="center" shrinkToFit="1"/>
      <protection hidden="1"/>
    </xf>
    <xf numFmtId="233" fontId="6" fillId="6" borderId="0" xfId="0" applyNumberFormat="1" applyFont="1" applyFill="1" applyAlignment="1" applyProtection="1">
      <alignment horizontal="center" vertical="center" shrinkToFit="1"/>
      <protection hidden="1"/>
    </xf>
    <xf numFmtId="0" fontId="6" fillId="0" borderId="0" xfId="219" applyFont="1" applyAlignment="1" applyProtection="1">
      <alignment vertical="center"/>
      <protection hidden="1"/>
    </xf>
    <xf numFmtId="0" fontId="6" fillId="6" borderId="0" xfId="219" applyFont="1" applyFill="1" applyAlignment="1" applyProtection="1">
      <alignment vertical="center"/>
      <protection hidden="1"/>
    </xf>
    <xf numFmtId="0" fontId="6" fillId="8" borderId="0" xfId="0" applyFont="1" applyFill="1" applyAlignment="1" applyProtection="1">
      <alignment horizontal="center" vertical="center"/>
      <protection hidden="1"/>
    </xf>
    <xf numFmtId="43" fontId="7" fillId="6" borderId="10" xfId="219" applyNumberFormat="1" applyFont="1" applyFill="1" applyBorder="1" applyAlignment="1" applyProtection="1">
      <alignment horizontal="center" vertical="center" wrapText="1"/>
      <protection hidden="1"/>
    </xf>
    <xf numFmtId="43" fontId="6" fillId="6" borderId="10" xfId="1" applyFont="1" applyFill="1" applyBorder="1" applyAlignment="1" applyProtection="1">
      <alignment horizontal="left" vertical="center" shrinkToFit="1"/>
      <protection hidden="1"/>
    </xf>
    <xf numFmtId="43" fontId="6" fillId="0" borderId="0" xfId="1" applyFont="1" applyAlignment="1" applyProtection="1">
      <alignment horizontal="center" vertical="center"/>
      <protection hidden="1"/>
    </xf>
    <xf numFmtId="0" fontId="7" fillId="6" borderId="0" xfId="0" applyFont="1" applyFill="1" applyAlignment="1" applyProtection="1">
      <alignment horizontal="right" vertical="center" shrinkToFit="1"/>
      <protection hidden="1"/>
    </xf>
    <xf numFmtId="43" fontId="19" fillId="6" borderId="0" xfId="0" applyNumberFormat="1" applyFont="1" applyFill="1" applyAlignment="1" applyProtection="1">
      <alignment horizontal="right" vertical="center"/>
      <protection hidden="1"/>
    </xf>
    <xf numFmtId="0" fontId="7" fillId="6" borderId="0" xfId="0" applyFont="1" applyFill="1" applyAlignment="1" applyProtection="1">
      <alignment horizontal="right" vertical="center"/>
      <protection hidden="1"/>
    </xf>
    <xf numFmtId="231" fontId="6" fillId="0" borderId="0" xfId="219" applyNumberFormat="1" applyFont="1" applyAlignment="1" applyProtection="1">
      <alignment horizontal="right" vertical="center"/>
      <protection hidden="1"/>
    </xf>
    <xf numFmtId="0" fontId="56" fillId="0" borderId="0" xfId="0" applyFont="1" applyAlignment="1" applyProtection="1">
      <alignment vertical="center" shrinkToFit="1"/>
      <protection hidden="1"/>
    </xf>
    <xf numFmtId="0" fontId="14" fillId="0" borderId="0" xfId="0" applyFont="1" applyAlignment="1" applyProtection="1">
      <alignment horizontal="left" vertical="center"/>
      <protection hidden="1"/>
    </xf>
    <xf numFmtId="234" fontId="6"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234" fontId="6" fillId="0" borderId="0" xfId="0" applyNumberFormat="1" applyFont="1" applyAlignment="1" applyProtection="1">
      <alignment horizontal="center" vertical="center"/>
      <protection locked="0"/>
    </xf>
    <xf numFmtId="0" fontId="12" fillId="0" borderId="0" xfId="0" applyFont="1" applyAlignment="1" applyProtection="1">
      <alignment vertical="center"/>
      <protection hidden="1"/>
    </xf>
    <xf numFmtId="0" fontId="12" fillId="0" borderId="0" xfId="0" applyFont="1" applyAlignment="1" applyProtection="1">
      <alignment horizontal="left" vertical="center"/>
      <protection hidden="1"/>
    </xf>
    <xf numFmtId="49" fontId="2" fillId="6" borderId="10" xfId="0" applyNumberFormat="1" applyFont="1" applyFill="1" applyBorder="1" applyAlignment="1" applyProtection="1">
      <alignment horizontal="left" vertical="center" shrinkToFit="1"/>
      <protection hidden="1"/>
    </xf>
    <xf numFmtId="14" fontId="6" fillId="0" borderId="0" xfId="0" applyNumberFormat="1" applyFont="1" applyAlignment="1" applyProtection="1">
      <alignment horizontal="center" vertical="center"/>
      <protection hidden="1"/>
    </xf>
    <xf numFmtId="49" fontId="2" fillId="0" borderId="0" xfId="0" applyNumberFormat="1" applyFont="1" applyAlignment="1" applyProtection="1">
      <alignment horizontal="left" vertical="center"/>
      <protection hidden="1"/>
    </xf>
    <xf numFmtId="49" fontId="2" fillId="6" borderId="10" xfId="0" applyNumberFormat="1" applyFont="1" applyFill="1" applyBorder="1" applyAlignment="1" applyProtection="1">
      <alignment horizontal="center" vertical="center" shrinkToFit="1"/>
      <protection hidden="1"/>
    </xf>
    <xf numFmtId="231" fontId="6" fillId="6" borderId="5" xfId="0" applyNumberFormat="1" applyFont="1" applyFill="1" applyBorder="1" applyAlignment="1" applyProtection="1">
      <alignment horizontal="right" vertical="center" shrinkToFit="1"/>
      <protection hidden="1"/>
    </xf>
    <xf numFmtId="0" fontId="2" fillId="0" borderId="0" xfId="0" applyFont="1" applyAlignment="1" applyProtection="1">
      <alignment horizontal="left" vertical="center"/>
      <protection hidden="1"/>
    </xf>
    <xf numFmtId="0" fontId="2" fillId="0" borderId="10" xfId="0" applyFont="1" applyBorder="1" applyAlignment="1" applyProtection="1">
      <alignment horizontal="center" vertical="center" shrinkToFit="1"/>
      <protection hidden="1"/>
    </xf>
    <xf numFmtId="0" fontId="44" fillId="0" borderId="0" xfId="6" applyAlignment="1" applyProtection="1">
      <alignment vertical="center"/>
      <protection locked="0"/>
    </xf>
    <xf numFmtId="0" fontId="44" fillId="0" borderId="0" xfId="6" applyAlignment="1" applyProtection="1">
      <alignment vertical="center"/>
      <protection hidden="1"/>
    </xf>
    <xf numFmtId="0" fontId="6" fillId="6" borderId="0" xfId="0" applyFont="1" applyFill="1" applyAlignment="1" applyProtection="1">
      <alignment horizontal="right" vertical="center" shrinkToFit="1"/>
      <protection hidden="1"/>
    </xf>
    <xf numFmtId="235" fontId="7" fillId="0" borderId="10" xfId="0" applyNumberFormat="1" applyFont="1" applyBorder="1" applyAlignment="1" applyProtection="1">
      <alignment horizontal="center" vertical="center"/>
      <protection hidden="1"/>
    </xf>
    <xf numFmtId="49" fontId="12" fillId="0" borderId="10" xfId="0" applyNumberFormat="1" applyFont="1" applyBorder="1" applyAlignment="1" applyProtection="1">
      <alignment horizontal="center" vertical="center"/>
      <protection hidden="1"/>
    </xf>
    <xf numFmtId="0" fontId="57" fillId="0" borderId="0" xfId="0" applyFont="1" applyAlignment="1" applyProtection="1">
      <alignment vertical="center"/>
      <protection hidden="1"/>
    </xf>
    <xf numFmtId="0" fontId="7" fillId="6" borderId="0" xfId="148" applyFont="1" applyFill="1" applyAlignment="1" applyProtection="1">
      <alignment vertical="center" wrapText="1"/>
      <protection hidden="1"/>
    </xf>
    <xf numFmtId="231" fontId="21" fillId="6" borderId="0" xfId="0" applyNumberFormat="1" applyFont="1" applyFill="1" applyAlignment="1" applyProtection="1">
      <alignment vertical="center" wrapText="1"/>
      <protection hidden="1"/>
    </xf>
    <xf numFmtId="0" fontId="7" fillId="6" borderId="10" xfId="148" applyFont="1" applyFill="1" applyBorder="1" applyAlignment="1" applyProtection="1">
      <alignment horizontal="center" vertical="center" wrapText="1"/>
      <protection hidden="1"/>
    </xf>
    <xf numFmtId="231" fontId="21" fillId="6" borderId="10" xfId="0" applyNumberFormat="1" applyFont="1" applyFill="1" applyBorder="1" applyAlignment="1" applyProtection="1">
      <alignment horizontal="center" vertical="center" wrapText="1"/>
      <protection hidden="1"/>
    </xf>
    <xf numFmtId="231" fontId="7" fillId="6" borderId="10" xfId="0" applyNumberFormat="1" applyFont="1" applyFill="1" applyBorder="1" applyAlignment="1" applyProtection="1">
      <alignment horizontal="center" vertical="center" wrapText="1"/>
      <protection hidden="1"/>
    </xf>
    <xf numFmtId="231" fontId="57" fillId="6" borderId="10" xfId="0" applyNumberFormat="1" applyFont="1" applyFill="1" applyBorder="1" applyAlignment="1" applyProtection="1">
      <alignment horizontal="right" vertical="center" shrinkToFit="1"/>
      <protection hidden="1"/>
    </xf>
    <xf numFmtId="231" fontId="6" fillId="10" borderId="10" xfId="0" applyNumberFormat="1" applyFont="1" applyFill="1" applyBorder="1" applyAlignment="1" applyProtection="1">
      <alignment horizontal="right" vertical="center" shrinkToFit="1"/>
      <protection hidden="1"/>
    </xf>
    <xf numFmtId="231" fontId="6" fillId="10" borderId="10" xfId="3" applyNumberFormat="1" applyFont="1" applyFill="1" applyBorder="1" applyAlignment="1" applyProtection="1">
      <alignment horizontal="right" vertical="center" shrinkToFit="1"/>
      <protection hidden="1"/>
    </xf>
    <xf numFmtId="231" fontId="57" fillId="10" borderId="10" xfId="0" applyNumberFormat="1" applyFont="1" applyFill="1" applyBorder="1" applyAlignment="1" applyProtection="1">
      <alignment horizontal="right" vertical="center" shrinkToFit="1"/>
      <protection hidden="1"/>
    </xf>
    <xf numFmtId="43" fontId="7" fillId="6" borderId="10" xfId="0" applyNumberFormat="1" applyFont="1" applyFill="1" applyBorder="1" applyAlignment="1" applyProtection="1">
      <alignment horizontal="center" vertical="center" shrinkToFit="1"/>
      <protection hidden="1"/>
    </xf>
    <xf numFmtId="231" fontId="21" fillId="6" borderId="10" xfId="0" applyNumberFormat="1" applyFont="1" applyFill="1" applyBorder="1" applyAlignment="1" applyProtection="1">
      <alignment horizontal="right" vertical="center" shrinkToFit="1"/>
      <protection hidden="1"/>
    </xf>
    <xf numFmtId="43" fontId="6" fillId="6" borderId="10" xfId="0" applyNumberFormat="1" applyFont="1" applyFill="1" applyBorder="1" applyAlignment="1" applyProtection="1">
      <alignment horizontal="center" vertical="center" shrinkToFit="1"/>
      <protection hidden="1"/>
    </xf>
    <xf numFmtId="43" fontId="7" fillId="6" borderId="0" xfId="0" applyNumberFormat="1" applyFont="1" applyFill="1" applyAlignment="1" applyProtection="1">
      <alignment horizontal="center" vertical="center" shrinkToFit="1"/>
      <protection hidden="1"/>
    </xf>
    <xf numFmtId="43" fontId="21" fillId="6" borderId="0" xfId="0" applyNumberFormat="1" applyFont="1" applyFill="1" applyAlignment="1" applyProtection="1">
      <alignment horizontal="right" vertical="center"/>
      <protection hidden="1"/>
    </xf>
    <xf numFmtId="231" fontId="57" fillId="0" borderId="0" xfId="0" applyNumberFormat="1" applyFont="1" applyAlignment="1" applyProtection="1">
      <alignment horizontal="right" vertical="center"/>
      <protection hidden="1"/>
    </xf>
    <xf numFmtId="0" fontId="2" fillId="6" borderId="0" xfId="0" applyFont="1" applyFill="1" applyAlignment="1" applyProtection="1">
      <alignment horizontal="center" vertical="center" shrinkToFit="1"/>
      <protection hidden="1"/>
    </xf>
    <xf numFmtId="233" fontId="16" fillId="0" borderId="0" xfId="235" applyNumberFormat="1" applyFont="1" applyAlignment="1" applyProtection="1">
      <alignment horizontal="left" vertical="center" shrinkToFit="1"/>
      <protection hidden="1"/>
    </xf>
    <xf numFmtId="0" fontId="16" fillId="0" borderId="0" xfId="235" applyFont="1" applyAlignment="1" applyProtection="1">
      <alignment horizontal="left" vertical="center" shrinkToFit="1"/>
      <protection hidden="1"/>
    </xf>
    <xf numFmtId="231" fontId="21" fillId="6" borderId="10" xfId="0" applyNumberFormat="1" applyFont="1" applyFill="1" applyBorder="1" applyAlignment="1" applyProtection="1">
      <alignment horizontal="center" vertical="center"/>
      <protection hidden="1"/>
    </xf>
    <xf numFmtId="43" fontId="6" fillId="6" borderId="10" xfId="1" applyFont="1" applyFill="1" applyBorder="1" applyAlignment="1" applyProtection="1">
      <alignment vertical="center" shrinkToFit="1"/>
      <protection hidden="1"/>
    </xf>
    <xf numFmtId="43" fontId="6" fillId="0" borderId="10" xfId="1" applyFont="1" applyBorder="1" applyAlignment="1" applyProtection="1">
      <alignment vertical="center" shrinkToFit="1"/>
      <protection hidden="1"/>
    </xf>
    <xf numFmtId="231" fontId="7" fillId="6" borderId="10" xfId="0" applyNumberFormat="1" applyFont="1" applyFill="1" applyBorder="1" applyAlignment="1" applyProtection="1">
      <alignment horizontal="right" vertical="center"/>
      <protection hidden="1"/>
    </xf>
    <xf numFmtId="231" fontId="19" fillId="6" borderId="10" xfId="0" applyNumberFormat="1" applyFont="1" applyFill="1" applyBorder="1" applyAlignment="1" applyProtection="1">
      <alignment horizontal="right" vertical="center"/>
      <protection hidden="1"/>
    </xf>
    <xf numFmtId="0" fontId="7" fillId="6" borderId="10" xfId="0" applyFont="1" applyFill="1" applyBorder="1" applyAlignment="1" applyProtection="1">
      <alignment vertical="center"/>
      <protection hidden="1"/>
    </xf>
    <xf numFmtId="231" fontId="15" fillId="6" borderId="10" xfId="0" applyNumberFormat="1" applyFont="1" applyFill="1" applyBorder="1" applyAlignment="1" applyProtection="1">
      <alignment horizontal="right" vertical="center"/>
      <protection hidden="1"/>
    </xf>
    <xf numFmtId="231" fontId="6" fillId="6" borderId="10" xfId="0" applyNumberFormat="1" applyFont="1" applyFill="1" applyBorder="1" applyAlignment="1" applyProtection="1">
      <alignment horizontal="right" vertical="center"/>
      <protection hidden="1"/>
    </xf>
    <xf numFmtId="0" fontId="6" fillId="6" borderId="10" xfId="0" applyFont="1" applyFill="1" applyBorder="1" applyAlignment="1" applyProtection="1">
      <alignment vertical="center"/>
      <protection hidden="1"/>
    </xf>
    <xf numFmtId="231" fontId="6" fillId="6" borderId="0" xfId="0" applyNumberFormat="1" applyFont="1" applyFill="1" applyAlignment="1" applyProtection="1">
      <alignment vertical="center" shrinkToFit="1"/>
      <protection hidden="1"/>
    </xf>
    <xf numFmtId="231" fontId="58" fillId="0" borderId="0" xfId="0" applyNumberFormat="1" applyFont="1" applyAlignment="1" applyProtection="1">
      <alignment vertical="center"/>
      <protection hidden="1"/>
    </xf>
    <xf numFmtId="0" fontId="16" fillId="0" borderId="0" xfId="235" applyFont="1" applyAlignment="1" applyProtection="1">
      <alignment horizontal="left" vertical="center" wrapText="1"/>
      <protection hidden="1"/>
    </xf>
    <xf numFmtId="231" fontId="59" fillId="0" borderId="0" xfId="0" applyNumberFormat="1" applyFont="1" applyAlignment="1" applyProtection="1">
      <alignment vertical="center"/>
      <protection hidden="1"/>
    </xf>
    <xf numFmtId="231" fontId="7" fillId="6" borderId="0" xfId="0" applyNumberFormat="1" applyFont="1" applyFill="1" applyAlignment="1" applyProtection="1">
      <alignment vertical="center" wrapText="1"/>
      <protection hidden="1"/>
    </xf>
    <xf numFmtId="231" fontId="21" fillId="6" borderId="0" xfId="0" applyNumberFormat="1" applyFont="1" applyFill="1" applyAlignment="1" applyProtection="1">
      <alignment horizontal="center" vertical="center" wrapText="1"/>
      <protection hidden="1"/>
    </xf>
    <xf numFmtId="0" fontId="6" fillId="0" borderId="0" xfId="0" applyFont="1" applyAlignment="1" applyProtection="1">
      <alignment vertical="center" shrinkToFit="1"/>
      <protection locked="0"/>
    </xf>
    <xf numFmtId="0" fontId="6" fillId="6" borderId="0" xfId="0" applyFont="1" applyFill="1" applyAlignment="1" applyProtection="1">
      <alignment vertical="center" shrinkToFit="1"/>
      <protection locked="0"/>
    </xf>
    <xf numFmtId="0" fontId="7" fillId="0" borderId="0" xfId="0" applyFont="1" applyAlignment="1" applyProtection="1">
      <alignment vertical="center" shrinkToFit="1"/>
      <protection locked="0"/>
    </xf>
    <xf numFmtId="231" fontId="6" fillId="0" borderId="0" xfId="0" applyNumberFormat="1" applyFont="1" applyAlignment="1">
      <alignment vertical="center"/>
    </xf>
    <xf numFmtId="231" fontId="6" fillId="6" borderId="0" xfId="0" applyNumberFormat="1" applyFont="1" applyFill="1" applyAlignment="1">
      <alignment vertical="center"/>
    </xf>
    <xf numFmtId="231" fontId="19" fillId="6" borderId="10" xfId="0" applyNumberFormat="1" applyFont="1" applyFill="1" applyBorder="1" applyAlignment="1">
      <alignment horizontal="center" vertical="center"/>
    </xf>
    <xf numFmtId="231" fontId="7" fillId="6" borderId="10" xfId="0" applyNumberFormat="1" applyFont="1" applyFill="1" applyBorder="1" applyAlignment="1">
      <alignment horizontal="center" vertical="center"/>
    </xf>
    <xf numFmtId="237" fontId="6" fillId="6" borderId="10" xfId="0" applyNumberFormat="1" applyFont="1" applyFill="1" applyBorder="1" applyAlignment="1" applyProtection="1">
      <alignment horizontal="center" vertical="center" shrinkToFit="1"/>
      <protection hidden="1"/>
    </xf>
    <xf numFmtId="237" fontId="6" fillId="0" borderId="10" xfId="0" applyNumberFormat="1" applyFont="1" applyBorder="1" applyAlignment="1" applyProtection="1">
      <alignment horizontal="center" vertical="center" shrinkToFit="1"/>
      <protection hidden="1"/>
    </xf>
    <xf numFmtId="0" fontId="6" fillId="0" borderId="0" xfId="0" applyFont="1" applyAlignment="1" applyProtection="1">
      <alignment vertical="center" wrapText="1"/>
      <protection hidden="1"/>
    </xf>
    <xf numFmtId="0" fontId="13" fillId="0" borderId="0" xfId="0" applyFont="1" applyAlignment="1" applyProtection="1">
      <alignment vertical="center" wrapText="1" shrinkToFit="1"/>
      <protection hidden="1"/>
    </xf>
    <xf numFmtId="0" fontId="6" fillId="0" borderId="10" xfId="0" applyFont="1" applyBorder="1" applyAlignment="1" applyProtection="1">
      <alignment horizontal="center" vertical="center" wrapText="1"/>
      <protection hidden="1"/>
    </xf>
    <xf numFmtId="0" fontId="7" fillId="0" borderId="0" xfId="0" applyFont="1" applyAlignment="1" applyProtection="1">
      <alignment vertical="center" wrapText="1"/>
      <protection hidden="1"/>
    </xf>
    <xf numFmtId="233" fontId="6" fillId="0" borderId="0" xfId="0" applyNumberFormat="1" applyFont="1" applyAlignment="1" applyProtection="1">
      <alignment vertical="center"/>
      <protection locked="0"/>
    </xf>
    <xf numFmtId="0" fontId="15" fillId="0" borderId="0" xfId="0" applyFont="1" applyAlignment="1" applyProtection="1">
      <alignment vertical="center"/>
      <protection locked="0"/>
    </xf>
    <xf numFmtId="233" fontId="16" fillId="0" borderId="0" xfId="6" applyNumberFormat="1" applyFont="1" applyAlignment="1" applyProtection="1">
      <alignment horizontal="left" vertical="center" shrinkToFit="1"/>
      <protection locked="0"/>
    </xf>
    <xf numFmtId="0" fontId="16" fillId="0" borderId="0" xfId="6" applyFont="1" applyAlignment="1" applyProtection="1">
      <alignment horizontal="left" vertical="center" shrinkToFit="1"/>
      <protection locked="0"/>
    </xf>
    <xf numFmtId="0" fontId="17" fillId="0" borderId="0" xfId="0" applyFont="1" applyAlignment="1" applyProtection="1">
      <alignment horizontal="center" vertical="center" shrinkToFit="1"/>
      <protection locked="0"/>
    </xf>
    <xf numFmtId="0" fontId="18" fillId="8" borderId="0" xfId="0" applyFont="1" applyFill="1" applyAlignment="1" applyProtection="1">
      <alignment vertical="center"/>
      <protection locked="0"/>
    </xf>
    <xf numFmtId="0" fontId="18" fillId="0" borderId="0" xfId="0" applyFont="1" applyAlignment="1" applyProtection="1">
      <alignment vertical="center"/>
      <protection locked="0"/>
    </xf>
    <xf numFmtId="0" fontId="18" fillId="6" borderId="0" xfId="0" applyFont="1" applyFill="1" applyAlignment="1">
      <alignment vertical="center"/>
    </xf>
    <xf numFmtId="234" fontId="18" fillId="6" borderId="0" xfId="0" applyNumberFormat="1" applyFont="1" applyFill="1" applyAlignment="1">
      <alignment vertical="center"/>
    </xf>
    <xf numFmtId="235" fontId="15" fillId="6" borderId="0" xfId="0" applyNumberFormat="1" applyFont="1" applyFill="1" applyAlignment="1">
      <alignment horizontal="center" vertical="center"/>
    </xf>
    <xf numFmtId="250" fontId="7" fillId="6" borderId="0" xfId="1" applyNumberFormat="1" applyFont="1" applyFill="1" applyAlignment="1" applyProtection="1">
      <alignment horizontal="center" vertical="center"/>
    </xf>
    <xf numFmtId="43" fontId="7" fillId="6" borderId="10" xfId="0" applyNumberFormat="1" applyFont="1" applyFill="1" applyBorder="1" applyAlignment="1">
      <alignment horizontal="center" vertical="center"/>
    </xf>
    <xf numFmtId="43" fontId="19" fillId="6" borderId="10" xfId="0" applyNumberFormat="1" applyFont="1" applyFill="1" applyBorder="1" applyAlignment="1">
      <alignment horizontal="center" vertical="center"/>
    </xf>
    <xf numFmtId="0" fontId="7" fillId="6" borderId="0" xfId="0" applyFont="1" applyFill="1" applyAlignment="1" applyProtection="1">
      <alignment horizontal="center" vertical="center"/>
      <protection locked="0"/>
    </xf>
    <xf numFmtId="0" fontId="7" fillId="6" borderId="10" xfId="0" applyFont="1" applyFill="1" applyBorder="1" applyAlignment="1" applyProtection="1">
      <alignment horizontal="center" vertical="center" wrapText="1"/>
      <protection locked="0"/>
    </xf>
    <xf numFmtId="233" fontId="6" fillId="6" borderId="10" xfId="0" applyNumberFormat="1" applyFont="1" applyFill="1" applyBorder="1" applyAlignment="1" applyProtection="1">
      <alignment horizontal="center" vertical="center" shrinkToFit="1"/>
      <protection locked="0"/>
    </xf>
    <xf numFmtId="0" fontId="6" fillId="6" borderId="10" xfId="0" applyFont="1" applyFill="1" applyBorder="1" applyAlignment="1" applyProtection="1">
      <alignment horizontal="left" vertical="center" shrinkToFit="1"/>
      <protection locked="0"/>
    </xf>
    <xf numFmtId="49" fontId="6" fillId="6" borderId="10" xfId="0" applyNumberFormat="1" applyFont="1" applyFill="1" applyBorder="1" applyAlignment="1" applyProtection="1">
      <alignment horizontal="left" vertical="center" shrinkToFit="1"/>
      <protection locked="0"/>
    </xf>
    <xf numFmtId="231" fontId="6" fillId="6" borderId="10" xfId="0" applyNumberFormat="1" applyFont="1" applyFill="1" applyBorder="1" applyAlignment="1" applyProtection="1">
      <alignment horizontal="right" vertical="center" shrinkToFit="1"/>
      <protection locked="0"/>
    </xf>
    <xf numFmtId="231" fontId="15" fillId="6" borderId="10" xfId="0" applyNumberFormat="1" applyFont="1" applyFill="1" applyBorder="1" applyAlignment="1" applyProtection="1">
      <alignment horizontal="right" vertical="center" shrinkToFit="1"/>
      <protection locked="0"/>
    </xf>
    <xf numFmtId="0" fontId="6" fillId="6" borderId="10" xfId="0" applyFont="1" applyFill="1" applyBorder="1" applyAlignment="1" applyProtection="1">
      <alignment vertical="center" shrinkToFit="1"/>
      <protection locked="0"/>
    </xf>
    <xf numFmtId="0" fontId="6" fillId="6" borderId="11" xfId="0" applyFont="1" applyFill="1" applyBorder="1" applyAlignment="1" applyProtection="1">
      <alignment horizontal="center" vertical="center" shrinkToFit="1"/>
      <protection locked="0"/>
    </xf>
    <xf numFmtId="0" fontId="6" fillId="0" borderId="11" xfId="0" applyFont="1" applyBorder="1" applyAlignment="1" applyProtection="1">
      <alignment horizontal="center" vertical="center" shrinkToFit="1"/>
      <protection locked="0"/>
    </xf>
    <xf numFmtId="0" fontId="6" fillId="0" borderId="11" xfId="0" applyFont="1" applyBorder="1" applyAlignment="1" applyProtection="1">
      <alignment vertical="center" shrinkToFit="1"/>
      <protection locked="0"/>
    </xf>
    <xf numFmtId="2" fontId="6" fillId="6" borderId="10" xfId="0" applyNumberFormat="1" applyFont="1" applyFill="1" applyBorder="1" applyAlignment="1" applyProtection="1">
      <alignment vertical="center" shrinkToFit="1"/>
      <protection locked="0"/>
    </xf>
    <xf numFmtId="0" fontId="6" fillId="0" borderId="10" xfId="0" applyFont="1" applyBorder="1" applyAlignment="1" applyProtection="1">
      <alignment vertical="center" shrinkToFit="1"/>
      <protection locked="0"/>
    </xf>
    <xf numFmtId="0" fontId="6" fillId="0" borderId="10" xfId="0" applyFont="1" applyBorder="1" applyAlignment="1" applyProtection="1">
      <alignment horizontal="left" vertical="center" shrinkToFit="1"/>
      <protection locked="0"/>
    </xf>
    <xf numFmtId="49" fontId="6" fillId="0" borderId="10" xfId="0" applyNumberFormat="1" applyFont="1" applyBorder="1" applyAlignment="1" applyProtection="1">
      <alignment horizontal="left" vertical="center" shrinkToFit="1"/>
      <protection locked="0"/>
    </xf>
    <xf numFmtId="231" fontId="6" fillId="0" borderId="10" xfId="0" applyNumberFormat="1" applyFont="1" applyBorder="1" applyAlignment="1" applyProtection="1">
      <alignment horizontal="right" vertical="center" shrinkToFit="1"/>
      <protection locked="0"/>
    </xf>
    <xf numFmtId="231" fontId="15" fillId="0" borderId="10" xfId="0" applyNumberFormat="1" applyFont="1" applyBorder="1" applyAlignment="1" applyProtection="1">
      <alignment horizontal="right" vertical="center" shrinkToFit="1"/>
      <protection locked="0"/>
    </xf>
    <xf numFmtId="43" fontId="59" fillId="6" borderId="10" xfId="0" applyNumberFormat="1" applyFont="1" applyFill="1" applyBorder="1" applyAlignment="1">
      <alignment horizontal="right" vertical="center" shrinkToFit="1"/>
    </xf>
    <xf numFmtId="231" fontId="19" fillId="6" borderId="10" xfId="0" applyNumberFormat="1" applyFont="1" applyFill="1" applyBorder="1" applyAlignment="1">
      <alignment horizontal="right" vertical="center" shrinkToFit="1"/>
    </xf>
    <xf numFmtId="0" fontId="6" fillId="6" borderId="0" xfId="0" applyFont="1" applyFill="1" applyAlignment="1">
      <alignment vertical="center" shrinkToFit="1"/>
    </xf>
    <xf numFmtId="233" fontId="6" fillId="0" borderId="0" xfId="0" applyNumberFormat="1" applyFont="1" applyAlignment="1" applyProtection="1">
      <alignment vertical="center" shrinkToFit="1"/>
      <protection locked="0"/>
    </xf>
    <xf numFmtId="231" fontId="6" fillId="6" borderId="0" xfId="1" applyNumberFormat="1" applyFont="1" applyFill="1" applyAlignment="1" applyProtection="1">
      <alignment horizontal="right" vertical="center"/>
      <protection locked="0"/>
    </xf>
    <xf numFmtId="231" fontId="15" fillId="0" borderId="0" xfId="0" applyNumberFormat="1" applyFont="1" applyAlignment="1" applyProtection="1">
      <alignment horizontal="right" vertical="center"/>
      <protection locked="0"/>
    </xf>
    <xf numFmtId="0" fontId="15" fillId="6" borderId="0" xfId="0" applyFont="1" applyFill="1" applyAlignment="1" applyProtection="1">
      <alignment vertical="center"/>
      <protection locked="0"/>
    </xf>
    <xf numFmtId="233" fontId="6" fillId="6" borderId="0" xfId="0" applyNumberFormat="1" applyFont="1" applyFill="1" applyAlignment="1" applyProtection="1">
      <alignment vertical="center"/>
      <protection locked="0"/>
    </xf>
    <xf numFmtId="234" fontId="60" fillId="6" borderId="0" xfId="0" applyNumberFormat="1" applyFont="1" applyFill="1" applyAlignment="1">
      <alignment vertical="center"/>
    </xf>
    <xf numFmtId="0" fontId="60" fillId="6" borderId="0" xfId="0" applyFont="1" applyFill="1" applyAlignment="1">
      <alignment vertical="center"/>
    </xf>
    <xf numFmtId="0" fontId="6" fillId="0" borderId="0" xfId="0" applyFont="1" applyAlignment="1" applyProtection="1">
      <alignment horizontal="right" vertical="center"/>
      <protection locked="0"/>
    </xf>
    <xf numFmtId="231" fontId="6" fillId="6" borderId="0" xfId="0" applyNumberFormat="1" applyFont="1" applyFill="1" applyAlignment="1" applyProtection="1">
      <alignment horizontal="right" vertical="center"/>
      <protection locked="0"/>
    </xf>
    <xf numFmtId="231" fontId="58" fillId="0" borderId="0" xfId="0" applyNumberFormat="1" applyFont="1" applyAlignment="1">
      <alignment vertical="center"/>
    </xf>
    <xf numFmtId="0" fontId="16" fillId="0" borderId="0" xfId="6" applyFont="1" applyAlignment="1" applyProtection="1">
      <alignment horizontal="left" vertical="center" wrapText="1"/>
    </xf>
    <xf numFmtId="0" fontId="13" fillId="0" borderId="0" xfId="0" applyFont="1" applyAlignment="1">
      <alignment horizontal="center" vertical="center" wrapText="1"/>
    </xf>
    <xf numFmtId="231" fontId="18" fillId="0" borderId="0" xfId="0" applyNumberFormat="1" applyFont="1" applyAlignment="1">
      <alignment vertical="center"/>
    </xf>
    <xf numFmtId="231" fontId="13" fillId="0" borderId="0" xfId="0" applyNumberFormat="1" applyFont="1" applyAlignment="1">
      <alignment vertical="center"/>
    </xf>
    <xf numFmtId="0" fontId="14" fillId="0" borderId="0" xfId="0" applyFont="1" applyAlignment="1">
      <alignment horizontal="center" vertical="center" wrapText="1"/>
    </xf>
    <xf numFmtId="231" fontId="14" fillId="0" borderId="0" xfId="0" applyNumberFormat="1" applyFont="1" applyAlignment="1">
      <alignment vertical="center"/>
    </xf>
    <xf numFmtId="235" fontId="6" fillId="0" borderId="0" xfId="0" applyNumberFormat="1" applyFont="1" applyAlignment="1">
      <alignment horizontal="center" vertical="center"/>
    </xf>
    <xf numFmtId="235" fontId="6" fillId="0" borderId="0" xfId="0" applyNumberFormat="1" applyFont="1" applyAlignment="1">
      <alignment horizontal="right" vertical="center"/>
    </xf>
    <xf numFmtId="43" fontId="41" fillId="0" borderId="0" xfId="1" applyFont="1" applyBorder="1" applyAlignment="1" applyProtection="1">
      <alignment horizontal="left" vertical="center"/>
    </xf>
    <xf numFmtId="0" fontId="41" fillId="0" borderId="0" xfId="0" applyFont="1" applyAlignment="1">
      <alignment horizontal="right" vertical="center"/>
    </xf>
    <xf numFmtId="0" fontId="24" fillId="0" borderId="10" xfId="0" applyFont="1" applyBorder="1" applyAlignment="1">
      <alignment horizontal="center" vertical="center"/>
    </xf>
    <xf numFmtId="231" fontId="6" fillId="0" borderId="0" xfId="0" applyNumberFormat="1" applyFont="1" applyAlignment="1">
      <alignment horizontal="center" vertical="center"/>
    </xf>
    <xf numFmtId="0" fontId="6" fillId="0" borderId="0" xfId="0" applyFont="1" applyAlignment="1">
      <alignment horizontal="center" vertical="center" shrinkToFit="1"/>
    </xf>
    <xf numFmtId="235" fontId="6" fillId="0" borderId="10" xfId="0" applyNumberFormat="1" applyFont="1" applyBorder="1" applyAlignment="1">
      <alignment horizontal="center" vertical="center" shrinkToFit="1"/>
    </xf>
    <xf numFmtId="0" fontId="41" fillId="0" borderId="10" xfId="6" applyFont="1" applyBorder="1" applyAlignment="1" applyProtection="1">
      <alignment vertical="center" shrinkToFit="1"/>
    </xf>
    <xf numFmtId="49" fontId="6" fillId="0" borderId="10" xfId="0" applyNumberFormat="1" applyFont="1" applyBorder="1" applyAlignment="1">
      <alignment horizontal="center" vertical="center" shrinkToFit="1"/>
    </xf>
    <xf numFmtId="0" fontId="41" fillId="0" borderId="10" xfId="0" applyFont="1" applyBorder="1" applyAlignment="1">
      <alignment horizontal="left" vertical="center" shrinkToFit="1"/>
    </xf>
    <xf numFmtId="0" fontId="41" fillId="0" borderId="10" xfId="0" applyFont="1" applyBorder="1" applyAlignment="1">
      <alignment horizontal="center" vertical="center" shrinkToFit="1"/>
    </xf>
    <xf numFmtId="235" fontId="7" fillId="0" borderId="10" xfId="0" applyNumberFormat="1" applyFont="1" applyBorder="1" applyAlignment="1">
      <alignment horizontal="center" vertical="center" shrinkToFit="1"/>
    </xf>
    <xf numFmtId="0" fontId="24" fillId="0" borderId="10" xfId="0" applyFont="1" applyBorder="1" applyAlignment="1">
      <alignment horizontal="center" vertical="center" shrinkToFit="1"/>
    </xf>
    <xf numFmtId="231" fontId="7" fillId="0" borderId="0" xfId="0" applyNumberFormat="1" applyFont="1" applyAlignment="1">
      <alignment vertical="center"/>
    </xf>
    <xf numFmtId="235" fontId="6" fillId="0" borderId="0" xfId="0" applyNumberFormat="1" applyFont="1" applyAlignment="1">
      <alignment vertical="center" shrinkToFit="1"/>
    </xf>
    <xf numFmtId="0" fontId="6" fillId="0" borderId="0" xfId="0" applyFont="1" applyAlignment="1">
      <alignment horizontal="right" vertical="center"/>
    </xf>
    <xf numFmtId="231" fontId="58" fillId="0" borderId="0" xfId="0" applyNumberFormat="1" applyFont="1" applyAlignment="1">
      <alignment horizontal="center" vertical="center"/>
    </xf>
    <xf numFmtId="0" fontId="13" fillId="0" borderId="0" xfId="0" applyFont="1" applyAlignment="1">
      <alignment horizontal="center" vertical="center"/>
    </xf>
    <xf numFmtId="231" fontId="13" fillId="0" borderId="0" xfId="0" applyNumberFormat="1" applyFont="1" applyAlignment="1">
      <alignment horizontal="center" vertical="center"/>
    </xf>
    <xf numFmtId="231" fontId="14" fillId="0" borderId="0" xfId="0" applyNumberFormat="1" applyFont="1" applyAlignment="1">
      <alignment horizontal="center" vertical="center"/>
    </xf>
    <xf numFmtId="0" fontId="2" fillId="0" borderId="0" xfId="0" applyFont="1" applyAlignment="1">
      <alignment horizontal="center" vertical="center"/>
    </xf>
    <xf numFmtId="0" fontId="7" fillId="0" borderId="10" xfId="0" applyFont="1" applyBorder="1" applyAlignment="1">
      <alignment horizontal="center" vertical="center" shrinkToFit="1"/>
    </xf>
    <xf numFmtId="0" fontId="25" fillId="0" borderId="10" xfId="0" applyFont="1" applyBorder="1" applyAlignment="1">
      <alignment horizontal="center" vertical="center" shrinkToFit="1"/>
    </xf>
    <xf numFmtId="235" fontId="6" fillId="0" borderId="0" xfId="0" applyNumberFormat="1" applyFont="1" applyAlignment="1">
      <alignment vertical="center"/>
    </xf>
    <xf numFmtId="49" fontId="6" fillId="0" borderId="0" xfId="0" applyNumberFormat="1" applyFont="1" applyAlignment="1">
      <alignment horizontal="right" vertical="center"/>
    </xf>
    <xf numFmtId="251" fontId="6" fillId="0" borderId="0" xfId="0" applyNumberFormat="1" applyFont="1" applyAlignment="1" applyProtection="1">
      <alignment horizontal="center" vertical="center" shrinkToFit="1"/>
      <protection hidden="1"/>
    </xf>
    <xf numFmtId="10" fontId="6" fillId="0" borderId="0" xfId="3" applyNumberFormat="1" applyFont="1" applyAlignment="1" applyProtection="1">
      <alignment horizontal="center" vertical="center" shrinkToFit="1"/>
      <protection hidden="1"/>
    </xf>
    <xf numFmtId="249" fontId="23" fillId="9" borderId="0" xfId="6" applyNumberFormat="1" applyFont="1" applyFill="1" applyAlignment="1" applyProtection="1">
      <alignment horizontal="left" vertical="center" shrinkToFit="1"/>
    </xf>
    <xf numFmtId="0" fontId="23" fillId="0" borderId="0" xfId="6" applyFont="1" applyAlignment="1" applyProtection="1">
      <alignment horizontal="left" vertical="center" wrapText="1"/>
    </xf>
    <xf numFmtId="0" fontId="6" fillId="0" borderId="0" xfId="0" applyFont="1" applyAlignment="1">
      <alignment horizontal="center" vertical="center" wrapText="1"/>
    </xf>
    <xf numFmtId="231" fontId="18" fillId="0" borderId="0" xfId="0" applyNumberFormat="1" applyFont="1" applyAlignment="1">
      <alignment vertical="center" shrinkToFit="1"/>
    </xf>
    <xf numFmtId="251" fontId="13" fillId="0" borderId="0" xfId="0" applyNumberFormat="1" applyFont="1" applyAlignment="1" applyProtection="1">
      <alignment horizontal="center" vertical="center" shrinkToFit="1"/>
      <protection hidden="1"/>
    </xf>
    <xf numFmtId="10" fontId="13" fillId="0" borderId="0" xfId="3" applyNumberFormat="1" applyFont="1" applyAlignment="1" applyProtection="1">
      <alignment horizontal="center" vertical="center" shrinkToFit="1"/>
      <protection hidden="1"/>
    </xf>
    <xf numFmtId="231" fontId="14" fillId="0" borderId="0" xfId="0" applyNumberFormat="1" applyFont="1" applyAlignment="1">
      <alignment vertical="center" shrinkToFit="1"/>
    </xf>
    <xf numFmtId="231" fontId="14" fillId="0" borderId="0" xfId="0" applyNumberFormat="1" applyFont="1" applyAlignment="1">
      <alignment horizontal="center" vertical="center" shrinkToFit="1"/>
    </xf>
    <xf numFmtId="251" fontId="14" fillId="0" borderId="0" xfId="0" applyNumberFormat="1" applyFont="1" applyAlignment="1" applyProtection="1">
      <alignment horizontal="center" vertical="center" shrinkToFit="1"/>
      <protection hidden="1"/>
    </xf>
    <xf numFmtId="10" fontId="14" fillId="0" borderId="0" xfId="3" applyNumberFormat="1" applyFont="1" applyAlignment="1" applyProtection="1">
      <alignment horizontal="center" vertical="center" shrinkToFit="1"/>
      <protection hidden="1"/>
    </xf>
    <xf numFmtId="0" fontId="7" fillId="0" borderId="10" xfId="0" applyFont="1" applyBorder="1" applyAlignment="1" applyProtection="1">
      <alignment vertical="center" shrinkToFit="1"/>
      <protection hidden="1"/>
    </xf>
    <xf numFmtId="0" fontId="21" fillId="0" borderId="0" xfId="53" applyFont="1" applyAlignment="1">
      <alignment horizontal="center" vertical="center"/>
    </xf>
    <xf numFmtId="0" fontId="7" fillId="0" borderId="10" xfId="0" applyFont="1" applyBorder="1" applyAlignment="1">
      <alignment horizontal="center" vertical="center"/>
    </xf>
    <xf numFmtId="0" fontId="7" fillId="5" borderId="10" xfId="0" applyFont="1" applyFill="1" applyBorder="1" applyAlignment="1">
      <alignment horizontal="center" vertical="center"/>
    </xf>
    <xf numFmtId="231" fontId="7" fillId="0" borderId="0" xfId="0" applyNumberFormat="1" applyFont="1" applyAlignment="1">
      <alignment horizontal="center" vertical="center"/>
    </xf>
    <xf numFmtId="251" fontId="7" fillId="0" borderId="10" xfId="0" applyNumberFormat="1" applyFont="1" applyBorder="1" applyAlignment="1" applyProtection="1">
      <alignment horizontal="center" vertical="center" shrinkToFit="1"/>
      <protection hidden="1"/>
    </xf>
    <xf numFmtId="10" fontId="7" fillId="0" borderId="10" xfId="3" applyNumberFormat="1" applyFont="1" applyFill="1" applyBorder="1" applyAlignment="1" applyProtection="1">
      <alignment horizontal="center" vertical="center" shrinkToFit="1"/>
      <protection hidden="1"/>
    </xf>
    <xf numFmtId="0" fontId="24" fillId="0" borderId="10" xfId="6" applyFont="1" applyBorder="1" applyAlignment="1" applyProtection="1">
      <alignment horizontal="left" vertical="center" shrinkToFit="1"/>
    </xf>
    <xf numFmtId="231" fontId="7" fillId="0" borderId="10" xfId="0" applyNumberFormat="1" applyFont="1" applyBorder="1" applyAlignment="1">
      <alignment horizontal="right" vertical="center"/>
    </xf>
    <xf numFmtId="231" fontId="7" fillId="0" borderId="9" xfId="0" applyNumberFormat="1" applyFont="1" applyBorder="1" applyAlignment="1">
      <alignment horizontal="right" vertical="center" shrinkToFit="1"/>
    </xf>
    <xf numFmtId="231" fontId="7" fillId="5" borderId="9" xfId="0" applyNumberFormat="1" applyFont="1" applyFill="1" applyBorder="1" applyAlignment="1">
      <alignment horizontal="right" vertical="center" shrinkToFit="1"/>
    </xf>
    <xf numFmtId="231" fontId="7" fillId="0" borderId="10" xfId="0" applyNumberFormat="1" applyFont="1" applyBorder="1" applyAlignment="1" applyProtection="1">
      <alignment vertical="center" shrinkToFit="1"/>
      <protection hidden="1"/>
    </xf>
    <xf numFmtId="0" fontId="7" fillId="0" borderId="10" xfId="0" applyFont="1" applyBorder="1" applyAlignment="1">
      <alignment horizontal="left" vertical="center"/>
    </xf>
    <xf numFmtId="251" fontId="6" fillId="0" borderId="10" xfId="0" applyNumberFormat="1" applyFont="1" applyBorder="1" applyAlignment="1" applyProtection="1">
      <alignment horizontal="right" vertical="center" shrinkToFit="1"/>
      <protection hidden="1"/>
    </xf>
    <xf numFmtId="10" fontId="6" fillId="0" borderId="10" xfId="3" applyNumberFormat="1" applyFont="1" applyFill="1" applyBorder="1" applyAlignment="1" applyProtection="1">
      <alignment horizontal="center" vertical="center" shrinkToFit="1"/>
      <protection hidden="1"/>
    </xf>
    <xf numFmtId="0" fontId="6" fillId="0" borderId="10" xfId="0" applyFont="1" applyBorder="1" applyAlignment="1">
      <alignment horizontal="left" vertical="center"/>
    </xf>
    <xf numFmtId="0" fontId="41" fillId="0" borderId="10" xfId="6" applyFont="1" applyBorder="1" applyAlignment="1" applyProtection="1">
      <alignment horizontal="left" vertical="center" shrinkToFit="1"/>
    </xf>
    <xf numFmtId="231" fontId="6" fillId="0" borderId="9" xfId="0" applyNumberFormat="1" applyFont="1" applyBorder="1" applyAlignment="1">
      <alignment horizontal="right" vertical="center" shrinkToFit="1"/>
    </xf>
    <xf numFmtId="231" fontId="6" fillId="5" borderId="9" xfId="0" applyNumberFormat="1" applyFont="1" applyFill="1" applyBorder="1" applyAlignment="1">
      <alignment horizontal="right" vertical="center" shrinkToFit="1"/>
    </xf>
    <xf numFmtId="238" fontId="6" fillId="0" borderId="10" xfId="0" applyNumberFormat="1" applyFont="1" applyBorder="1" applyAlignment="1" applyProtection="1">
      <alignment horizontal="left" vertical="center" shrinkToFit="1"/>
      <protection hidden="1"/>
    </xf>
    <xf numFmtId="238" fontId="7" fillId="0" borderId="10" xfId="0" applyNumberFormat="1" applyFont="1" applyBorder="1" applyAlignment="1" applyProtection="1">
      <alignment horizontal="left" vertical="center" shrinkToFit="1"/>
      <protection hidden="1"/>
    </xf>
    <xf numFmtId="251" fontId="7" fillId="0" borderId="0" xfId="0" applyNumberFormat="1" applyFont="1" applyAlignment="1" applyProtection="1">
      <alignment vertical="center" shrinkToFit="1"/>
      <protection hidden="1"/>
    </xf>
    <xf numFmtId="10" fontId="7" fillId="0" borderId="0" xfId="3" applyNumberFormat="1" applyFont="1" applyFill="1" applyAlignment="1" applyProtection="1">
      <alignment horizontal="center" vertical="center" shrinkToFit="1"/>
      <protection hidden="1"/>
    </xf>
    <xf numFmtId="0" fontId="6" fillId="0" borderId="10" xfId="0" applyFont="1" applyBorder="1" applyAlignment="1">
      <alignment horizontal="center" vertical="center"/>
    </xf>
    <xf numFmtId="251" fontId="6" fillId="0" borderId="0" xfId="0" applyNumberFormat="1" applyFont="1" applyAlignment="1" applyProtection="1">
      <alignment vertical="center" shrinkToFit="1"/>
      <protection hidden="1"/>
    </xf>
    <xf numFmtId="10" fontId="6" fillId="0" borderId="0" xfId="3" applyNumberFormat="1" applyFont="1" applyFill="1" applyAlignment="1" applyProtection="1">
      <alignment horizontal="center" vertical="center" shrinkToFit="1"/>
      <protection hidden="1"/>
    </xf>
    <xf numFmtId="43" fontId="6" fillId="0" borderId="0" xfId="0" applyNumberFormat="1" applyFont="1" applyAlignment="1">
      <alignment horizontal="right" vertical="center"/>
    </xf>
    <xf numFmtId="0" fontId="61" fillId="0" borderId="0" xfId="0" applyFont="1" applyAlignment="1">
      <alignment vertical="center"/>
    </xf>
    <xf numFmtId="0" fontId="62" fillId="0" borderId="0" xfId="220" applyFont="1" applyAlignment="1">
      <alignment horizontal="center" vertical="center"/>
    </xf>
    <xf numFmtId="0" fontId="18" fillId="0" borderId="0" xfId="0" applyFont="1" applyAlignment="1">
      <alignment vertical="center"/>
    </xf>
    <xf numFmtId="0" fontId="18" fillId="0" borderId="0" xfId="0" applyFont="1" applyAlignment="1">
      <alignment vertical="center" shrinkToFit="1"/>
    </xf>
    <xf numFmtId="43" fontId="6" fillId="0" borderId="0" xfId="1" applyFont="1" applyFill="1" applyAlignment="1" applyProtection="1">
      <alignment horizontal="center" vertical="center"/>
    </xf>
    <xf numFmtId="43" fontId="6" fillId="0" borderId="0" xfId="1" applyFont="1" applyFill="1" applyAlignment="1" applyProtection="1">
      <alignment horizontal="right" vertical="center"/>
    </xf>
    <xf numFmtId="43" fontId="6" fillId="0" borderId="0" xfId="1" applyFont="1" applyFill="1" applyAlignment="1" applyProtection="1">
      <alignment horizontal="left" vertical="center"/>
    </xf>
    <xf numFmtId="0" fontId="6" fillId="0" borderId="0" xfId="220" applyFont="1" applyAlignment="1">
      <alignment horizontal="center" vertical="center"/>
    </xf>
    <xf numFmtId="49" fontId="6" fillId="0" borderId="0" xfId="1" applyNumberFormat="1" applyFont="1" applyAlignment="1" applyProtection="1">
      <alignment horizontal="right" vertical="center"/>
    </xf>
    <xf numFmtId="0" fontId="7" fillId="0" borderId="15" xfId="220" applyFont="1" applyBorder="1" applyAlignment="1">
      <alignment horizontal="center" vertical="center"/>
    </xf>
    <xf numFmtId="0" fontId="7" fillId="0" borderId="16" xfId="220" applyFont="1" applyBorder="1" applyAlignment="1">
      <alignment horizontal="center" vertical="center"/>
    </xf>
    <xf numFmtId="0" fontId="7" fillId="0" borderId="10" xfId="220" applyFont="1" applyBorder="1" applyAlignment="1">
      <alignment horizontal="center" vertical="center"/>
    </xf>
    <xf numFmtId="0" fontId="7" fillId="0" borderId="17" xfId="220" applyFont="1" applyBorder="1" applyAlignment="1">
      <alignment horizontal="center" vertical="center"/>
    </xf>
    <xf numFmtId="0" fontId="7" fillId="0" borderId="18" xfId="220" applyFont="1" applyBorder="1" applyAlignment="1">
      <alignment horizontal="center" vertical="center"/>
    </xf>
    <xf numFmtId="0" fontId="63" fillId="0" borderId="0" xfId="0" applyFont="1" applyAlignment="1">
      <alignment vertical="center"/>
    </xf>
    <xf numFmtId="43" fontId="6" fillId="0" borderId="10" xfId="1" applyFont="1" applyBorder="1" applyAlignment="1" applyProtection="1">
      <alignment vertical="center"/>
    </xf>
    <xf numFmtId="0" fontId="6" fillId="0" borderId="10" xfId="220" applyFont="1" applyBorder="1" applyAlignment="1">
      <alignment horizontal="center" vertical="center"/>
    </xf>
    <xf numFmtId="231" fontId="6" fillId="0" borderId="10" xfId="1" applyNumberFormat="1" applyFont="1" applyFill="1" applyBorder="1" applyAlignment="1" applyProtection="1">
      <alignment horizontal="right" vertical="center"/>
    </xf>
    <xf numFmtId="43" fontId="6" fillId="0" borderId="10" xfId="1" applyFont="1" applyBorder="1" applyAlignment="1" applyProtection="1">
      <alignment horizontal="left" vertical="center" indent="2"/>
    </xf>
    <xf numFmtId="43" fontId="7" fillId="0" borderId="10" xfId="1" applyFont="1" applyBorder="1" applyAlignment="1" applyProtection="1">
      <alignment horizontal="center" vertical="center"/>
    </xf>
    <xf numFmtId="231" fontId="7" fillId="0" borderId="10" xfId="1" applyNumberFormat="1" applyFont="1" applyFill="1" applyBorder="1" applyAlignment="1" applyProtection="1">
      <alignment horizontal="right" vertical="center"/>
    </xf>
    <xf numFmtId="231" fontId="7" fillId="0" borderId="0" xfId="0" applyNumberFormat="1" applyFont="1" applyAlignment="1">
      <alignment horizontal="right" vertical="center"/>
    </xf>
    <xf numFmtId="43" fontId="12" fillId="0" borderId="10" xfId="1" applyFont="1" applyBorder="1" applyAlignment="1" applyProtection="1">
      <alignment horizontal="center" vertical="center"/>
    </xf>
    <xf numFmtId="0" fontId="6" fillId="0" borderId="0" xfId="220" applyFont="1" applyAlignment="1">
      <alignment vertical="center"/>
    </xf>
    <xf numFmtId="49" fontId="6" fillId="0" borderId="0" xfId="1" applyNumberFormat="1" applyFont="1" applyAlignment="1" applyProtection="1">
      <alignment vertical="center"/>
    </xf>
    <xf numFmtId="0" fontId="2" fillId="0" borderId="0" xfId="220" applyFont="1" applyAlignment="1">
      <alignment horizontal="right" vertical="center"/>
    </xf>
    <xf numFmtId="231" fontId="6" fillId="0" borderId="0" xfId="220" applyNumberFormat="1" applyFont="1" applyAlignment="1">
      <alignment horizontal="right" vertical="center"/>
    </xf>
    <xf numFmtId="0" fontId="27" fillId="0" borderId="0" xfId="0" applyFont="1" applyAlignment="1">
      <alignment vertical="center"/>
    </xf>
    <xf numFmtId="0" fontId="9" fillId="0" borderId="0" xfId="0" applyFont="1" applyAlignment="1">
      <alignment vertical="center"/>
    </xf>
    <xf numFmtId="0" fontId="9" fillId="0" borderId="0" xfId="0" applyFont="1" applyAlignment="1">
      <alignment horizontal="center" vertical="center"/>
    </xf>
    <xf numFmtId="0" fontId="9" fillId="0" borderId="0" xfId="0" applyFont="1" applyAlignment="1">
      <alignment vertical="center" shrinkToFit="1"/>
    </xf>
    <xf numFmtId="0" fontId="9" fillId="0" borderId="0" xfId="0" applyFont="1" applyAlignment="1">
      <alignment horizontal="center" vertical="center" shrinkToFit="1"/>
    </xf>
    <xf numFmtId="0" fontId="9" fillId="0" borderId="0" xfId="0" applyFont="1" applyAlignment="1">
      <alignment horizontal="left" vertical="center"/>
    </xf>
    <xf numFmtId="0" fontId="27" fillId="0" borderId="10" xfId="0" applyFont="1" applyBorder="1" applyAlignment="1">
      <alignment horizontal="center" vertical="center"/>
    </xf>
    <xf numFmtId="0" fontId="27" fillId="0" borderId="10" xfId="0" applyFont="1" applyBorder="1" applyAlignment="1">
      <alignment horizontal="center" vertical="center" shrinkToFit="1"/>
    </xf>
    <xf numFmtId="0" fontId="27" fillId="0" borderId="10" xfId="0" applyFont="1" applyBorder="1" applyAlignment="1">
      <alignment horizontal="center" vertical="center" wrapText="1"/>
    </xf>
    <xf numFmtId="0" fontId="27" fillId="0" borderId="5" xfId="0" applyFont="1" applyBorder="1" applyAlignment="1">
      <alignment horizontal="center" vertical="center" shrinkToFit="1"/>
    </xf>
    <xf numFmtId="0" fontId="27" fillId="0" borderId="11" xfId="0" applyFont="1" applyBorder="1" applyAlignment="1">
      <alignment horizontal="center" vertical="center" shrinkToFit="1"/>
    </xf>
    <xf numFmtId="0" fontId="27" fillId="0" borderId="19" xfId="220" applyFont="1" applyBorder="1" applyAlignment="1">
      <alignment horizontal="center" vertical="center"/>
    </xf>
    <xf numFmtId="0" fontId="27" fillId="0" borderId="20" xfId="220" applyFont="1" applyBorder="1" applyAlignment="1">
      <alignment horizontal="center" vertical="center"/>
    </xf>
    <xf numFmtId="0" fontId="27" fillId="0" borderId="21" xfId="220" applyFont="1" applyBorder="1" applyAlignment="1">
      <alignment horizontal="center" vertical="center"/>
    </xf>
    <xf numFmtId="0" fontId="9" fillId="0" borderId="10" xfId="0" applyFont="1" applyBorder="1" applyAlignment="1">
      <alignment horizontal="center" vertical="center"/>
    </xf>
    <xf numFmtId="0" fontId="9" fillId="0" borderId="10" xfId="0" applyFont="1" applyBorder="1" applyAlignment="1">
      <alignment vertical="center" shrinkToFit="1"/>
    </xf>
    <xf numFmtId="0" fontId="9" fillId="0" borderId="10" xfId="0" applyFont="1" applyBorder="1" applyAlignment="1">
      <alignment horizontal="center" vertical="center" shrinkToFit="1"/>
    </xf>
    <xf numFmtId="0" fontId="9" fillId="0" borderId="10" xfId="0" applyFont="1" applyBorder="1" applyAlignment="1">
      <alignment horizontal="left" vertical="center" shrinkToFit="1"/>
    </xf>
    <xf numFmtId="0" fontId="27" fillId="0" borderId="9" xfId="220" applyFont="1" applyBorder="1" applyAlignment="1">
      <alignment horizontal="center" vertical="center"/>
    </xf>
    <xf numFmtId="0" fontId="27" fillId="0" borderId="10" xfId="220" applyFont="1" applyBorder="1" applyAlignment="1">
      <alignment horizontal="center" vertical="center"/>
    </xf>
    <xf numFmtId="0" fontId="27" fillId="0" borderId="7" xfId="220" applyFont="1" applyBorder="1" applyAlignment="1">
      <alignment horizontal="center" vertical="center"/>
    </xf>
    <xf numFmtId="49" fontId="9" fillId="0" borderId="10" xfId="0" applyNumberFormat="1" applyFont="1" applyBorder="1" applyAlignment="1">
      <alignment vertical="center" shrinkToFit="1"/>
    </xf>
    <xf numFmtId="49" fontId="9" fillId="0" borderId="10" xfId="0" applyNumberFormat="1" applyFont="1" applyBorder="1" applyAlignment="1">
      <alignment horizontal="center" vertical="center" shrinkToFit="1"/>
    </xf>
    <xf numFmtId="43" fontId="9" fillId="0" borderId="9" xfId="1" applyFont="1" applyBorder="1" applyAlignment="1" applyProtection="1">
      <alignment vertical="center"/>
    </xf>
    <xf numFmtId="231" fontId="9" fillId="0" borderId="10" xfId="1" applyNumberFormat="1" applyFont="1" applyFill="1" applyBorder="1" applyAlignment="1" applyProtection="1">
      <alignment horizontal="right" vertical="center"/>
    </xf>
    <xf numFmtId="231" fontId="9" fillId="0" borderId="7" xfId="1" applyNumberFormat="1" applyFont="1" applyFill="1" applyBorder="1" applyAlignment="1" applyProtection="1">
      <alignment horizontal="right" vertical="center"/>
    </xf>
    <xf numFmtId="43" fontId="9" fillId="0" borderId="9" xfId="1" applyFont="1" applyBorder="1" applyAlignment="1" applyProtection="1">
      <alignment horizontal="left" vertical="center" indent="1"/>
    </xf>
    <xf numFmtId="231" fontId="9" fillId="0" borderId="10" xfId="0" applyNumberFormat="1" applyFont="1" applyBorder="1" applyAlignment="1">
      <alignment horizontal="right" vertical="center" shrinkToFit="1"/>
    </xf>
    <xf numFmtId="231" fontId="9" fillId="0" borderId="10" xfId="0" applyNumberFormat="1" applyFont="1" applyBorder="1" applyAlignment="1">
      <alignment horizontal="center" vertical="center" shrinkToFit="1"/>
    </xf>
    <xf numFmtId="43" fontId="27" fillId="0" borderId="9" xfId="1" applyFont="1" applyBorder="1" applyAlignment="1" applyProtection="1">
      <alignment horizontal="center" vertical="center"/>
    </xf>
    <xf numFmtId="231" fontId="27" fillId="0" borderId="10" xfId="1" applyNumberFormat="1" applyFont="1" applyFill="1" applyBorder="1" applyAlignment="1" applyProtection="1">
      <alignment horizontal="right" vertical="center"/>
    </xf>
    <xf numFmtId="231" fontId="27" fillId="0" borderId="7" xfId="1" applyNumberFormat="1" applyFont="1" applyFill="1" applyBorder="1" applyAlignment="1" applyProtection="1">
      <alignment horizontal="right" vertical="center"/>
    </xf>
    <xf numFmtId="0" fontId="9" fillId="12" borderId="10" xfId="0" applyFont="1" applyFill="1" applyBorder="1" applyAlignment="1">
      <alignment horizontal="center" vertical="center"/>
    </xf>
    <xf numFmtId="0" fontId="9" fillId="12" borderId="10" xfId="0" applyFont="1" applyFill="1" applyBorder="1" applyAlignment="1">
      <alignment vertical="center" shrinkToFit="1"/>
    </xf>
    <xf numFmtId="0" fontId="9" fillId="12" borderId="10" xfId="0" applyFont="1" applyFill="1" applyBorder="1" applyAlignment="1">
      <alignment horizontal="center" vertical="center" shrinkToFit="1"/>
    </xf>
    <xf numFmtId="0" fontId="9" fillId="12" borderId="10" xfId="0" applyFont="1" applyFill="1" applyBorder="1" applyAlignment="1">
      <alignment horizontal="left" vertical="center" shrinkToFit="1"/>
    </xf>
    <xf numFmtId="43" fontId="27" fillId="0" borderId="22" xfId="1" applyFont="1" applyBorder="1" applyAlignment="1" applyProtection="1">
      <alignment horizontal="center" vertical="center"/>
    </xf>
    <xf numFmtId="231" fontId="27" fillId="0" borderId="23" xfId="1" applyNumberFormat="1" applyFont="1" applyFill="1" applyBorder="1" applyAlignment="1" applyProtection="1">
      <alignment horizontal="right" vertical="center"/>
    </xf>
    <xf numFmtId="231" fontId="27" fillId="0" borderId="24" xfId="1" applyNumberFormat="1" applyFont="1" applyFill="1" applyBorder="1" applyAlignment="1" applyProtection="1">
      <alignment horizontal="right" vertical="center"/>
    </xf>
    <xf numFmtId="231" fontId="9" fillId="0" borderId="0" xfId="0" applyNumberFormat="1" applyFont="1" applyAlignment="1">
      <alignment horizontal="right" vertical="center"/>
    </xf>
    <xf numFmtId="43" fontId="27" fillId="0" borderId="0" xfId="1" applyFont="1" applyBorder="1" applyAlignment="1" applyProtection="1">
      <alignment horizontal="center" vertical="center"/>
    </xf>
    <xf numFmtId="231" fontId="27" fillId="0" borderId="0" xfId="1" applyNumberFormat="1" applyFont="1" applyFill="1" applyBorder="1" applyAlignment="1" applyProtection="1">
      <alignment horizontal="right" vertical="center"/>
    </xf>
    <xf numFmtId="43" fontId="27" fillId="0" borderId="19" xfId="1" applyFont="1" applyFill="1" applyBorder="1" applyAlignment="1" applyProtection="1">
      <alignment horizontal="center" vertical="center" shrinkToFit="1"/>
    </xf>
    <xf numFmtId="43" fontId="27" fillId="0" borderId="20" xfId="1" applyFont="1" applyFill="1" applyBorder="1" applyAlignment="1" applyProtection="1">
      <alignment horizontal="center" vertical="center" shrinkToFit="1"/>
    </xf>
    <xf numFmtId="43" fontId="27" fillId="0" borderId="21" xfId="1" applyFont="1" applyFill="1" applyBorder="1" applyAlignment="1" applyProtection="1">
      <alignment horizontal="center" vertical="center" shrinkToFit="1"/>
    </xf>
    <xf numFmtId="43" fontId="9" fillId="0" borderId="9" xfId="1" applyFont="1" applyFill="1" applyBorder="1" applyAlignment="1" applyProtection="1">
      <alignment vertical="center" shrinkToFit="1"/>
    </xf>
    <xf numFmtId="231" fontId="9" fillId="0" borderId="7" xfId="0" applyNumberFormat="1" applyFont="1" applyBorder="1" applyAlignment="1">
      <alignment horizontal="right" vertical="center" shrinkToFit="1"/>
    </xf>
    <xf numFmtId="43" fontId="9" fillId="0" borderId="9" xfId="1" applyFont="1" applyFill="1" applyBorder="1" applyAlignment="1" applyProtection="1">
      <alignment horizontal="left" vertical="center" indent="1" shrinkToFit="1"/>
    </xf>
    <xf numFmtId="0" fontId="28" fillId="0" borderId="10" xfId="0" applyFont="1" applyBorder="1" applyAlignment="1">
      <alignment vertical="center" shrinkToFit="1"/>
    </xf>
    <xf numFmtId="0" fontId="9" fillId="6" borderId="10" xfId="0" applyFont="1" applyFill="1" applyBorder="1" applyAlignment="1">
      <alignment horizontal="center" vertical="center"/>
    </xf>
    <xf numFmtId="0" fontId="9" fillId="6" borderId="10" xfId="0" applyFont="1" applyFill="1" applyBorder="1" applyAlignment="1">
      <alignment vertical="center" shrinkToFit="1"/>
    </xf>
    <xf numFmtId="0" fontId="9" fillId="6" borderId="10" xfId="0" applyFont="1" applyFill="1" applyBorder="1" applyAlignment="1">
      <alignment horizontal="center" vertical="center" shrinkToFit="1"/>
    </xf>
    <xf numFmtId="0" fontId="9" fillId="6" borderId="10" xfId="0" applyFont="1" applyFill="1" applyBorder="1" applyAlignment="1">
      <alignment horizontal="left" vertical="center" shrinkToFit="1"/>
    </xf>
    <xf numFmtId="43" fontId="27" fillId="0" borderId="9" xfId="1" applyFont="1" applyFill="1" applyBorder="1" applyAlignment="1" applyProtection="1">
      <alignment horizontal="center" vertical="center" shrinkToFit="1"/>
    </xf>
    <xf numFmtId="231" fontId="27" fillId="0" borderId="10" xfId="0" applyNumberFormat="1" applyFont="1" applyBorder="1" applyAlignment="1">
      <alignment horizontal="right" vertical="center" shrinkToFit="1"/>
    </xf>
    <xf numFmtId="231" fontId="27" fillId="0" borderId="7" xfId="0" applyNumberFormat="1" applyFont="1" applyBorder="1" applyAlignment="1">
      <alignment horizontal="right" vertical="center" shrinkToFit="1"/>
    </xf>
    <xf numFmtId="43" fontId="27" fillId="0" borderId="22" xfId="1" applyFont="1" applyFill="1" applyBorder="1" applyAlignment="1" applyProtection="1">
      <alignment horizontal="center" vertical="center" shrinkToFit="1"/>
    </xf>
    <xf numFmtId="231" fontId="27" fillId="0" borderId="23" xfId="0" applyNumberFormat="1" applyFont="1" applyBorder="1" applyAlignment="1">
      <alignment horizontal="right" vertical="center" shrinkToFit="1"/>
    </xf>
    <xf numFmtId="231" fontId="27" fillId="0" borderId="24" xfId="0" applyNumberFormat="1" applyFont="1" applyBorder="1" applyAlignment="1">
      <alignment horizontal="right" vertical="center" shrinkToFit="1"/>
    </xf>
    <xf numFmtId="0" fontId="27" fillId="0" borderId="19" xfId="0" applyFont="1" applyBorder="1" applyAlignment="1">
      <alignment horizontal="center" vertical="center"/>
    </xf>
    <xf numFmtId="0" fontId="27" fillId="0" borderId="9" xfId="0" applyFont="1" applyBorder="1" applyAlignment="1">
      <alignment horizontal="left" vertical="center"/>
    </xf>
    <xf numFmtId="0" fontId="9" fillId="0" borderId="9" xfId="0" applyFont="1" applyBorder="1" applyAlignment="1">
      <alignment horizontal="left" vertical="center"/>
    </xf>
    <xf numFmtId="0" fontId="9" fillId="0" borderId="9" xfId="0" applyFont="1" applyBorder="1" applyAlignment="1">
      <alignment horizontal="left" vertical="center" indent="2"/>
    </xf>
    <xf numFmtId="231" fontId="9" fillId="7" borderId="10" xfId="0" applyNumberFormat="1" applyFont="1" applyFill="1" applyBorder="1" applyAlignment="1">
      <alignment horizontal="right" vertical="center" shrinkToFit="1"/>
    </xf>
    <xf numFmtId="0" fontId="9" fillId="7" borderId="10" xfId="0" applyFont="1" applyFill="1" applyBorder="1" applyAlignment="1">
      <alignment vertical="center" shrinkToFit="1"/>
    </xf>
    <xf numFmtId="231" fontId="9" fillId="0" borderId="10" xfId="0" applyNumberFormat="1" applyFont="1" applyBorder="1" applyAlignment="1">
      <alignment vertical="center" shrinkToFit="1"/>
    </xf>
    <xf numFmtId="0" fontId="27" fillId="0" borderId="22" xfId="0" applyFont="1" applyBorder="1" applyAlignment="1">
      <alignment horizontal="left" vertical="center"/>
    </xf>
    <xf numFmtId="0" fontId="27" fillId="0" borderId="0" xfId="228" applyFont="1" applyAlignment="1">
      <alignment horizontal="left" vertical="center" shrinkToFit="1"/>
    </xf>
    <xf numFmtId="231" fontId="27" fillId="0" borderId="0" xfId="0" applyNumberFormat="1" applyFont="1" applyAlignment="1">
      <alignment horizontal="right" vertical="center" shrinkToFit="1"/>
    </xf>
    <xf numFmtId="238" fontId="9" fillId="0" borderId="10" xfId="0" applyNumberFormat="1" applyFont="1" applyBorder="1" applyAlignment="1">
      <alignment vertical="center" shrinkToFit="1"/>
    </xf>
    <xf numFmtId="238" fontId="9" fillId="0" borderId="10" xfId="0" applyNumberFormat="1" applyFont="1" applyBorder="1" applyAlignment="1">
      <alignment horizontal="center" vertical="center" shrinkToFit="1"/>
    </xf>
    <xf numFmtId="0" fontId="9" fillId="0" borderId="19" xfId="231" applyFont="1" applyBorder="1" applyAlignment="1">
      <alignment horizontal="center" vertical="center"/>
    </xf>
    <xf numFmtId="0" fontId="9" fillId="0" borderId="20" xfId="231" applyFont="1" applyBorder="1" applyAlignment="1">
      <alignment horizontal="center" vertical="center"/>
    </xf>
    <xf numFmtId="0" fontId="9" fillId="0" borderId="21" xfId="231" applyFont="1" applyBorder="1" applyAlignment="1">
      <alignment horizontal="center" vertical="center"/>
    </xf>
    <xf numFmtId="0" fontId="9" fillId="0" borderId="9" xfId="231" applyFont="1" applyBorder="1" applyAlignment="1">
      <alignment horizontal="center" vertical="center"/>
    </xf>
    <xf numFmtId="0" fontId="9" fillId="0" borderId="10" xfId="231" applyFont="1" applyBorder="1" applyAlignment="1">
      <alignment vertical="center"/>
    </xf>
    <xf numFmtId="0" fontId="9" fillId="0" borderId="7" xfId="231" applyFont="1" applyBorder="1" applyAlignment="1">
      <alignment vertical="center"/>
    </xf>
    <xf numFmtId="0" fontId="27" fillId="6" borderId="10" xfId="0" applyFont="1" applyFill="1" applyBorder="1" applyAlignment="1">
      <alignment horizontal="center" vertical="center"/>
    </xf>
    <xf numFmtId="0" fontId="27" fillId="6" borderId="10" xfId="0" applyFont="1" applyFill="1" applyBorder="1" applyAlignment="1">
      <alignment vertical="center" shrinkToFit="1"/>
    </xf>
    <xf numFmtId="0" fontId="27" fillId="6" borderId="10" xfId="0" applyFont="1" applyFill="1" applyBorder="1" applyAlignment="1">
      <alignment horizontal="center" vertical="center" shrinkToFit="1"/>
    </xf>
    <xf numFmtId="0" fontId="27" fillId="6" borderId="10" xfId="0" applyFont="1" applyFill="1" applyBorder="1" applyAlignment="1">
      <alignment horizontal="left" vertical="center" shrinkToFit="1"/>
    </xf>
    <xf numFmtId="0" fontId="9" fillId="0" borderId="22" xfId="231" applyFont="1" applyBorder="1" applyAlignment="1">
      <alignment horizontal="center" vertical="center"/>
    </xf>
    <xf numFmtId="0" fontId="9" fillId="0" borderId="23" xfId="231" applyFont="1" applyBorder="1" applyAlignment="1">
      <alignment vertical="center"/>
    </xf>
    <xf numFmtId="0" fontId="9" fillId="0" borderId="24" xfId="231" applyFont="1" applyBorder="1" applyAlignment="1">
      <alignment vertical="center"/>
    </xf>
    <xf numFmtId="0" fontId="9" fillId="0" borderId="9" xfId="0" applyFont="1" applyBorder="1" applyAlignment="1">
      <alignment horizontal="center" vertical="center"/>
    </xf>
    <xf numFmtId="43" fontId="9" fillId="0" borderId="10" xfId="1" applyFont="1" applyBorder="1" applyAlignment="1" applyProtection="1">
      <alignment vertical="center"/>
    </xf>
    <xf numFmtId="43" fontId="9" fillId="0" borderId="10" xfId="1" applyFont="1" applyBorder="1" applyAlignment="1" applyProtection="1">
      <alignment horizontal="left" vertical="center" indent="1"/>
    </xf>
    <xf numFmtId="0" fontId="27" fillId="0" borderId="9" xfId="0" applyFont="1" applyBorder="1" applyAlignment="1">
      <alignment horizontal="center" vertical="center"/>
    </xf>
    <xf numFmtId="43" fontId="27" fillId="0" borderId="10" xfId="1" applyFont="1" applyBorder="1" applyAlignment="1" applyProtection="1">
      <alignment horizontal="center" vertical="center"/>
    </xf>
    <xf numFmtId="0" fontId="27" fillId="0" borderId="22" xfId="0" applyFont="1" applyBorder="1" applyAlignment="1">
      <alignment horizontal="center" vertical="center"/>
    </xf>
    <xf numFmtId="43" fontId="27" fillId="0" borderId="23" xfId="1" applyFont="1" applyBorder="1" applyAlignment="1" applyProtection="1">
      <alignment horizontal="center" vertical="center"/>
    </xf>
    <xf numFmtId="231" fontId="9" fillId="12" borderId="10" xfId="0" applyNumberFormat="1" applyFont="1" applyFill="1" applyBorder="1" applyAlignment="1">
      <alignment vertical="center" shrinkToFit="1"/>
    </xf>
    <xf numFmtId="0" fontId="27" fillId="0" borderId="20" xfId="0" applyFont="1" applyBorder="1" applyAlignment="1">
      <alignment horizontal="center" vertical="center"/>
    </xf>
    <xf numFmtId="0" fontId="27" fillId="0" borderId="21" xfId="0" applyFont="1" applyBorder="1" applyAlignment="1">
      <alignment horizontal="center" vertical="center"/>
    </xf>
    <xf numFmtId="0" fontId="9" fillId="0" borderId="22" xfId="0" applyFont="1" applyBorder="1" applyAlignment="1">
      <alignment horizontal="center" vertical="center"/>
    </xf>
    <xf numFmtId="231" fontId="27" fillId="0" borderId="10" xfId="1" applyNumberFormat="1" applyFont="1" applyFill="1" applyBorder="1" applyAlignment="1" applyProtection="1">
      <alignment horizontal="center" vertical="center"/>
    </xf>
    <xf numFmtId="231" fontId="9" fillId="0" borderId="10" xfId="1" applyNumberFormat="1" applyFont="1" applyFill="1" applyBorder="1" applyAlignment="1" applyProtection="1">
      <alignment horizontal="center" vertical="center"/>
    </xf>
    <xf numFmtId="231" fontId="9" fillId="0" borderId="10" xfId="1" applyNumberFormat="1" applyFont="1" applyFill="1" applyBorder="1" applyAlignment="1" applyProtection="1">
      <alignment horizontal="left" vertical="center"/>
    </xf>
    <xf numFmtId="238" fontId="9" fillId="0" borderId="10" xfId="1" applyNumberFormat="1" applyFont="1" applyFill="1" applyBorder="1" applyAlignment="1" applyProtection="1">
      <alignment horizontal="center" vertical="center"/>
    </xf>
    <xf numFmtId="231" fontId="27" fillId="0" borderId="10" xfId="1" applyNumberFormat="1" applyFont="1" applyFill="1" applyBorder="1" applyAlignment="1" applyProtection="1">
      <alignment vertical="center"/>
    </xf>
    <xf numFmtId="0" fontId="27" fillId="0" borderId="23" xfId="0" applyFont="1" applyBorder="1" applyAlignment="1">
      <alignment horizontal="center" vertical="center" shrinkToFit="1"/>
    </xf>
    <xf numFmtId="49" fontId="9" fillId="0" borderId="9" xfId="0" applyNumberFormat="1" applyFont="1" applyBorder="1" applyAlignment="1">
      <alignment horizontal="center" vertical="center"/>
    </xf>
    <xf numFmtId="0" fontId="9" fillId="0" borderId="10" xfId="0" applyFont="1" applyBorder="1" applyAlignment="1">
      <alignment horizontal="left" vertical="center"/>
    </xf>
    <xf numFmtId="49" fontId="9" fillId="0" borderId="22" xfId="0" applyNumberFormat="1" applyFont="1" applyBorder="1" applyAlignment="1">
      <alignment horizontal="center" vertical="center"/>
    </xf>
    <xf numFmtId="0" fontId="9" fillId="0" borderId="23" xfId="0" applyFont="1" applyBorder="1" applyAlignment="1">
      <alignment horizontal="left" vertical="center"/>
    </xf>
    <xf numFmtId="231" fontId="9" fillId="0" borderId="24" xfId="0" applyNumberFormat="1" applyFont="1" applyBorder="1" applyAlignment="1">
      <alignment horizontal="right" vertical="center" shrinkToFit="1"/>
    </xf>
    <xf numFmtId="231" fontId="9" fillId="0" borderId="23" xfId="0" applyNumberFormat="1" applyFont="1" applyBorder="1" applyAlignment="1">
      <alignment horizontal="right" vertical="center" shrinkToFit="1"/>
    </xf>
    <xf numFmtId="49" fontId="27" fillId="0" borderId="22" xfId="0" applyNumberFormat="1" applyFont="1" applyBorder="1" applyAlignment="1">
      <alignment horizontal="center" vertical="center"/>
    </xf>
    <xf numFmtId="0" fontId="27" fillId="0" borderId="23" xfId="0" applyFont="1" applyBorder="1" applyAlignment="1">
      <alignment horizontal="center" vertical="center"/>
    </xf>
    <xf numFmtId="231" fontId="27" fillId="0" borderId="20" xfId="0" applyNumberFormat="1" applyFont="1" applyBorder="1" applyAlignment="1">
      <alignment horizontal="center" vertical="center" shrinkToFit="1"/>
    </xf>
    <xf numFmtId="231" fontId="9" fillId="0" borderId="10" xfId="0" applyNumberFormat="1" applyFont="1" applyBorder="1" applyAlignment="1">
      <alignment horizontal="right" vertical="center"/>
    </xf>
    <xf numFmtId="10" fontId="9" fillId="0" borderId="7" xfId="0" applyNumberFormat="1" applyFont="1" applyBorder="1" applyAlignment="1">
      <alignment horizontal="right" vertical="center"/>
    </xf>
    <xf numFmtId="10" fontId="9" fillId="0" borderId="23" xfId="0" applyNumberFormat="1" applyFont="1" applyBorder="1" applyAlignment="1">
      <alignment horizontal="right" vertical="center"/>
    </xf>
    <xf numFmtId="0" fontId="9" fillId="0" borderId="24" xfId="0" applyFont="1" applyBorder="1" applyAlignment="1">
      <alignment vertical="center"/>
    </xf>
    <xf numFmtId="0" fontId="27" fillId="0" borderId="0" xfId="0" applyFont="1" applyAlignment="1">
      <alignment horizontal="center" vertical="center"/>
    </xf>
    <xf numFmtId="0" fontId="9" fillId="7" borderId="7" xfId="0" applyFont="1" applyFill="1" applyBorder="1" applyAlignment="1">
      <alignment horizontal="center" vertical="center"/>
    </xf>
    <xf numFmtId="0" fontId="9" fillId="0" borderId="7" xfId="0" applyFont="1" applyBorder="1" applyAlignment="1">
      <alignment horizontal="center" vertical="center"/>
    </xf>
    <xf numFmtId="231" fontId="9" fillId="6" borderId="10" xfId="0" applyNumberFormat="1" applyFont="1" applyFill="1" applyBorder="1" applyAlignment="1">
      <alignment vertical="center" shrinkToFit="1"/>
    </xf>
    <xf numFmtId="0" fontId="9" fillId="0" borderId="7" xfId="0" applyFont="1" applyBorder="1" applyAlignment="1">
      <alignment horizontal="right" vertical="center"/>
    </xf>
    <xf numFmtId="244" fontId="9" fillId="0" borderId="10" xfId="0" applyNumberFormat="1" applyFont="1" applyBorder="1" applyAlignment="1">
      <alignment horizontal="center" vertical="center"/>
    </xf>
    <xf numFmtId="244" fontId="9" fillId="0" borderId="7" xfId="0" applyNumberFormat="1" applyFont="1" applyBorder="1" applyAlignment="1">
      <alignment horizontal="right" vertical="center"/>
    </xf>
    <xf numFmtId="10" fontId="9" fillId="0" borderId="10" xfId="0" applyNumberFormat="1" applyFont="1" applyBorder="1" applyAlignment="1">
      <alignment horizontal="center" vertical="center"/>
    </xf>
    <xf numFmtId="231" fontId="9" fillId="0" borderId="0" xfId="0" applyNumberFormat="1" applyFont="1" applyAlignment="1">
      <alignment vertical="center"/>
    </xf>
    <xf numFmtId="9" fontId="9" fillId="0" borderId="7" xfId="3" applyFont="1" applyBorder="1" applyAlignment="1">
      <alignment horizontal="right" vertical="center"/>
    </xf>
    <xf numFmtId="9" fontId="9" fillId="0" borderId="10" xfId="0" applyNumberFormat="1" applyFont="1" applyBorder="1" applyAlignment="1">
      <alignment horizontal="center" vertical="center"/>
    </xf>
    <xf numFmtId="0" fontId="9" fillId="0" borderId="23" xfId="0" applyFont="1" applyBorder="1" applyAlignment="1">
      <alignment horizontal="center" vertical="center"/>
    </xf>
    <xf numFmtId="244" fontId="9" fillId="0" borderId="24" xfId="0" applyNumberFormat="1" applyFont="1" applyBorder="1" applyAlignment="1">
      <alignment horizontal="right" vertical="center"/>
    </xf>
    <xf numFmtId="244" fontId="9" fillId="7" borderId="0" xfId="0" applyNumberFormat="1" applyFont="1" applyFill="1" applyAlignment="1">
      <alignment vertical="center"/>
    </xf>
    <xf numFmtId="0" fontId="9" fillId="0" borderId="10" xfId="0" applyFont="1" applyBorder="1" applyAlignment="1">
      <alignment horizontal="right" vertical="center" shrinkToFit="1"/>
    </xf>
    <xf numFmtId="10" fontId="9" fillId="0" borderId="10" xfId="3" applyNumberFormat="1" applyFont="1" applyBorder="1" applyAlignment="1">
      <alignment horizontal="right" vertical="center" shrinkToFit="1"/>
    </xf>
    <xf numFmtId="0" fontId="9" fillId="0" borderId="10" xfId="0" applyFont="1" applyBorder="1" applyAlignment="1">
      <alignment vertical="center" wrapText="1" shrinkToFit="1"/>
    </xf>
    <xf numFmtId="0" fontId="9" fillId="0" borderId="22" xfId="0" applyFont="1" applyBorder="1" applyAlignment="1">
      <alignment horizontal="left" vertical="center"/>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10" xfId="0" applyFont="1" applyBorder="1" applyAlignment="1">
      <alignment horizontal="left" vertical="center" wrapText="1"/>
    </xf>
    <xf numFmtId="0" fontId="9" fillId="0" borderId="10" xfId="0" applyFont="1" applyBorder="1" applyAlignment="1">
      <alignment horizontal="justify" vertical="center" wrapText="1"/>
    </xf>
    <xf numFmtId="0" fontId="27" fillId="0" borderId="10" xfId="0" applyFont="1" applyBorder="1" applyAlignment="1">
      <alignment vertical="center" shrinkToFit="1"/>
    </xf>
    <xf numFmtId="231" fontId="27" fillId="0" borderId="10" xfId="0" applyNumberFormat="1" applyFont="1" applyBorder="1" applyAlignment="1">
      <alignment vertical="center" shrinkToFit="1"/>
    </xf>
    <xf numFmtId="0" fontId="27" fillId="0" borderId="10" xfId="0" applyFont="1" applyBorder="1" applyAlignment="1">
      <alignment horizontal="left" vertical="center" shrinkToFit="1"/>
    </xf>
    <xf numFmtId="10" fontId="9" fillId="7" borderId="10" xfId="3" applyNumberFormat="1" applyFont="1" applyFill="1" applyBorder="1" applyAlignment="1">
      <alignment horizontal="right" vertical="center" shrinkToFit="1"/>
    </xf>
    <xf numFmtId="10" fontId="9" fillId="12" borderId="10" xfId="3" applyNumberFormat="1" applyFont="1" applyFill="1" applyBorder="1" applyAlignment="1">
      <alignment vertical="center" shrinkToFit="1"/>
    </xf>
    <xf numFmtId="10" fontId="9" fillId="7" borderId="10" xfId="3" applyNumberFormat="1" applyFont="1" applyFill="1" applyBorder="1" applyAlignment="1">
      <alignment vertical="center" shrinkToFit="1"/>
    </xf>
    <xf numFmtId="0" fontId="27" fillId="0" borderId="23" xfId="0" applyFont="1" applyBorder="1" applyAlignment="1">
      <alignment horizontal="center" vertical="center" wrapText="1"/>
    </xf>
    <xf numFmtId="0" fontId="27" fillId="0" borderId="19" xfId="0" applyFont="1" applyBorder="1" applyAlignment="1">
      <alignment horizontal="center" vertical="center" wrapText="1"/>
    </xf>
    <xf numFmtId="0" fontId="9" fillId="0" borderId="9" xfId="0" applyFont="1" applyBorder="1" applyAlignment="1">
      <alignment horizontal="justify" vertical="center" wrapText="1"/>
    </xf>
    <xf numFmtId="10" fontId="9" fillId="0" borderId="10" xfId="3" applyNumberFormat="1" applyFont="1" applyFill="1" applyBorder="1" applyAlignment="1">
      <alignment horizontal="right" vertical="center" shrinkToFit="1"/>
    </xf>
    <xf numFmtId="10" fontId="9" fillId="0" borderId="7" xfId="3" applyNumberFormat="1" applyFont="1" applyFill="1" applyBorder="1" applyAlignment="1">
      <alignment horizontal="right" vertical="center" shrinkToFit="1"/>
    </xf>
    <xf numFmtId="0" fontId="9" fillId="0" borderId="22" xfId="0" applyFont="1" applyBorder="1" applyAlignment="1">
      <alignment horizontal="justify" vertical="center" wrapText="1"/>
    </xf>
    <xf numFmtId="10" fontId="9" fillId="0" borderId="23" xfId="3" applyNumberFormat="1" applyFont="1" applyFill="1" applyBorder="1" applyAlignment="1">
      <alignment horizontal="right" vertical="center" shrinkToFit="1"/>
    </xf>
    <xf numFmtId="10" fontId="9" fillId="0" borderId="24" xfId="3" applyNumberFormat="1" applyFont="1" applyFill="1" applyBorder="1" applyAlignment="1">
      <alignment horizontal="right" vertical="center" shrinkToFit="1"/>
    </xf>
    <xf numFmtId="43" fontId="27" fillId="0" borderId="20" xfId="0" applyNumberFormat="1" applyFont="1" applyBorder="1" applyAlignment="1">
      <alignment horizontal="center" vertical="center"/>
    </xf>
    <xf numFmtId="43" fontId="27" fillId="0" borderId="21" xfId="0" applyNumberFormat="1" applyFont="1" applyBorder="1" applyAlignment="1">
      <alignment horizontal="center" vertical="center"/>
    </xf>
    <xf numFmtId="0" fontId="9" fillId="0" borderId="9" xfId="0" applyFont="1" applyBorder="1" applyAlignment="1">
      <alignment horizontal="left" vertical="center" shrinkToFit="1"/>
    </xf>
    <xf numFmtId="0" fontId="9" fillId="0" borderId="22" xfId="0" applyFont="1" applyBorder="1" applyAlignment="1">
      <alignment horizontal="left" vertical="center" shrinkToFit="1"/>
    </xf>
    <xf numFmtId="231" fontId="9" fillId="7" borderId="23" xfId="0" applyNumberFormat="1" applyFont="1" applyFill="1" applyBorder="1" applyAlignment="1">
      <alignment horizontal="right" vertical="center" shrinkToFit="1"/>
    </xf>
    <xf numFmtId="231" fontId="9" fillId="7" borderId="24" xfId="0" applyNumberFormat="1" applyFont="1" applyFill="1" applyBorder="1" applyAlignment="1">
      <alignment horizontal="right" vertical="center" shrinkToFit="1"/>
    </xf>
    <xf numFmtId="0" fontId="27" fillId="0" borderId="0" xfId="204" applyFont="1" applyAlignment="1" applyProtection="1">
      <alignment horizontal="center" vertical="center"/>
      <protection hidden="1"/>
    </xf>
    <xf numFmtId="0" fontId="9" fillId="0" borderId="0" xfId="204" applyFont="1" applyAlignment="1" applyProtection="1">
      <alignment horizontal="center" vertical="center"/>
      <protection hidden="1"/>
    </xf>
    <xf numFmtId="0" fontId="27" fillId="0" borderId="0" xfId="204" applyFont="1" applyAlignment="1" applyProtection="1">
      <alignment vertical="center"/>
      <protection hidden="1"/>
    </xf>
    <xf numFmtId="0" fontId="9" fillId="0" borderId="0" xfId="204" applyFont="1" applyAlignment="1" applyProtection="1">
      <alignment vertical="center" shrinkToFit="1"/>
      <protection hidden="1"/>
    </xf>
    <xf numFmtId="0" fontId="27" fillId="0" borderId="0" xfId="204" applyFont="1" applyAlignment="1" applyProtection="1">
      <alignment vertical="center" shrinkToFit="1"/>
      <protection hidden="1"/>
    </xf>
    <xf numFmtId="0" fontId="9" fillId="0" borderId="0" xfId="204" applyFont="1" applyAlignment="1" applyProtection="1">
      <alignment vertical="center"/>
      <protection hidden="1"/>
    </xf>
    <xf numFmtId="0" fontId="27" fillId="0" borderId="10" xfId="204" applyFont="1" applyBorder="1" applyAlignment="1" applyProtection="1">
      <alignment horizontal="center" vertical="center"/>
      <protection hidden="1"/>
    </xf>
    <xf numFmtId="0" fontId="27" fillId="0" borderId="10" xfId="204" applyFont="1" applyBorder="1" applyAlignment="1" applyProtection="1">
      <alignment horizontal="center" vertical="center" shrinkToFit="1"/>
      <protection hidden="1"/>
    </xf>
    <xf numFmtId="0" fontId="27" fillId="0" borderId="7" xfId="204" applyFont="1" applyBorder="1" applyAlignment="1" applyProtection="1">
      <alignment horizontal="center" vertical="center"/>
      <protection hidden="1"/>
    </xf>
    <xf numFmtId="0" fontId="27" fillId="0" borderId="8" xfId="204" applyFont="1" applyBorder="1" applyAlignment="1" applyProtection="1">
      <alignment horizontal="center" vertical="center"/>
      <protection hidden="1"/>
    </xf>
    <xf numFmtId="0" fontId="27" fillId="0" borderId="9" xfId="204" applyFont="1" applyBorder="1" applyAlignment="1" applyProtection="1">
      <alignment horizontal="center" vertical="center"/>
      <protection hidden="1"/>
    </xf>
    <xf numFmtId="0" fontId="27" fillId="0" borderId="5" xfId="204" applyFont="1" applyBorder="1" applyAlignment="1" applyProtection="1">
      <alignment horizontal="center" vertical="center"/>
      <protection hidden="1"/>
    </xf>
    <xf numFmtId="0" fontId="27" fillId="0" borderId="10" xfId="204" applyFont="1" applyBorder="1" applyAlignment="1" applyProtection="1">
      <alignment horizontal="center" vertical="center" wrapText="1"/>
      <protection hidden="1"/>
    </xf>
    <xf numFmtId="0" fontId="27" fillId="0" borderId="11" xfId="204" applyFont="1" applyBorder="1" applyAlignment="1" applyProtection="1">
      <alignment horizontal="center" vertical="center"/>
      <protection hidden="1"/>
    </xf>
    <xf numFmtId="0" fontId="29" fillId="0" borderId="0" xfId="204" applyFont="1" applyAlignment="1" applyProtection="1">
      <alignment horizontal="center" vertical="center"/>
      <protection hidden="1"/>
    </xf>
    <xf numFmtId="0" fontId="27" fillId="13" borderId="10" xfId="204" applyFont="1" applyFill="1" applyBorder="1" applyAlignment="1" applyProtection="1">
      <alignment horizontal="center" vertical="center"/>
      <protection hidden="1"/>
    </xf>
    <xf numFmtId="0" fontId="27" fillId="13" borderId="10" xfId="204" applyFont="1" applyFill="1" applyBorder="1" applyAlignment="1" applyProtection="1">
      <alignment horizontal="left" vertical="center"/>
      <protection hidden="1"/>
    </xf>
    <xf numFmtId="0" fontId="27" fillId="13" borderId="10" xfId="204" applyFont="1" applyFill="1" applyBorder="1" applyAlignment="1" applyProtection="1">
      <alignment horizontal="left" vertical="center" shrinkToFit="1"/>
      <protection hidden="1"/>
    </xf>
    <xf numFmtId="0" fontId="27" fillId="13" borderId="10" xfId="204" applyFont="1" applyFill="1" applyBorder="1" applyAlignment="1" applyProtection="1">
      <alignment horizontal="center" vertical="center" shrinkToFit="1"/>
      <protection hidden="1"/>
    </xf>
    <xf numFmtId="0" fontId="27" fillId="13" borderId="10" xfId="204" applyFont="1" applyFill="1" applyBorder="1" applyAlignment="1" applyProtection="1">
      <alignment horizontal="center" vertical="center" wrapText="1"/>
      <protection hidden="1"/>
    </xf>
    <xf numFmtId="231" fontId="27" fillId="13" borderId="10" xfId="259" applyNumberFormat="1" applyFont="1" applyFill="1" applyBorder="1" applyAlignment="1" applyProtection="1">
      <alignment horizontal="right" vertical="center"/>
      <protection hidden="1"/>
    </xf>
    <xf numFmtId="0" fontId="9" fillId="13" borderId="10" xfId="204" applyFont="1" applyFill="1" applyBorder="1" applyAlignment="1" applyProtection="1">
      <alignment horizontal="center" vertical="center"/>
      <protection hidden="1"/>
    </xf>
    <xf numFmtId="0" fontId="9" fillId="0" borderId="0" xfId="204" applyFont="1" applyAlignment="1" applyProtection="1">
      <alignment horizontal="left" vertical="center" shrinkToFit="1"/>
      <protection hidden="1"/>
    </xf>
    <xf numFmtId="0" fontId="27" fillId="0" borderId="10" xfId="204" applyFont="1" applyBorder="1" applyAlignment="1" applyProtection="1">
      <alignment horizontal="left" vertical="center"/>
      <protection hidden="1"/>
    </xf>
    <xf numFmtId="0" fontId="27" fillId="0" borderId="10" xfId="204" applyFont="1" applyBorder="1" applyAlignment="1" applyProtection="1">
      <alignment horizontal="left" vertical="center" shrinkToFit="1"/>
      <protection hidden="1"/>
    </xf>
    <xf numFmtId="231" fontId="27" fillId="0" borderId="10" xfId="259" applyNumberFormat="1" applyFont="1" applyFill="1" applyBorder="1" applyAlignment="1" applyProtection="1">
      <alignment horizontal="right" vertical="center"/>
      <protection hidden="1"/>
    </xf>
    <xf numFmtId="0" fontId="9" fillId="0" borderId="10" xfId="204" applyFont="1" applyBorder="1" applyAlignment="1" applyProtection="1">
      <alignment horizontal="center" vertical="center"/>
      <protection hidden="1"/>
    </xf>
    <xf numFmtId="0" fontId="27" fillId="0" borderId="0" xfId="204" applyFont="1" applyAlignment="1" applyProtection="1">
      <alignment horizontal="left" vertical="center"/>
      <protection hidden="1"/>
    </xf>
    <xf numFmtId="231" fontId="27" fillId="0" borderId="10" xfId="204" applyNumberFormat="1" applyFont="1" applyBorder="1" applyAlignment="1" applyProtection="1">
      <alignment vertical="center" shrinkToFit="1"/>
      <protection hidden="1"/>
    </xf>
    <xf numFmtId="0" fontId="9" fillId="13" borderId="10" xfId="204" applyFont="1" applyFill="1" applyBorder="1" applyAlignment="1" applyProtection="1">
      <alignment vertical="center"/>
      <protection hidden="1"/>
    </xf>
    <xf numFmtId="0" fontId="9" fillId="13" borderId="10" xfId="204" applyFont="1" applyFill="1" applyBorder="1" applyAlignment="1" applyProtection="1">
      <alignment horizontal="left" vertical="center" shrinkToFit="1"/>
      <protection hidden="1"/>
    </xf>
    <xf numFmtId="231" fontId="9" fillId="13" borderId="10" xfId="204" applyNumberFormat="1" applyFont="1" applyFill="1" applyBorder="1" applyAlignment="1" applyProtection="1">
      <alignment vertical="center" shrinkToFit="1"/>
      <protection hidden="1"/>
    </xf>
    <xf numFmtId="231" fontId="9" fillId="13" borderId="10" xfId="204" applyNumberFormat="1" applyFont="1" applyFill="1" applyBorder="1" applyAlignment="1" applyProtection="1">
      <alignment vertical="center"/>
      <protection hidden="1"/>
    </xf>
    <xf numFmtId="231" fontId="9" fillId="13" borderId="10" xfId="259" applyNumberFormat="1" applyFont="1" applyFill="1" applyBorder="1" applyAlignment="1" applyProtection="1">
      <alignment horizontal="right" vertical="center"/>
      <protection hidden="1"/>
    </xf>
    <xf numFmtId="0" fontId="9" fillId="0" borderId="0" xfId="204" applyFont="1" applyAlignment="1" applyProtection="1">
      <alignment horizontal="left" vertical="center"/>
      <protection hidden="1"/>
    </xf>
    <xf numFmtId="0" fontId="9" fillId="0" borderId="10" xfId="204" applyFont="1" applyBorder="1" applyAlignment="1" applyProtection="1">
      <alignment vertical="center"/>
      <protection hidden="1"/>
    </xf>
    <xf numFmtId="0" fontId="9" fillId="0" borderId="10" xfId="204" applyFont="1" applyBorder="1" applyAlignment="1" applyProtection="1">
      <alignment horizontal="left" vertical="center" shrinkToFit="1"/>
      <protection hidden="1"/>
    </xf>
    <xf numFmtId="231" fontId="9" fillId="0" borderId="10" xfId="204" applyNumberFormat="1" applyFont="1" applyBorder="1" applyAlignment="1" applyProtection="1">
      <alignment vertical="center" shrinkToFit="1"/>
      <protection hidden="1"/>
    </xf>
    <xf numFmtId="231" fontId="9" fillId="0" borderId="10" xfId="204" applyNumberFormat="1" applyFont="1" applyBorder="1" applyAlignment="1" applyProtection="1">
      <alignment vertical="center"/>
      <protection hidden="1"/>
    </xf>
    <xf numFmtId="231" fontId="9" fillId="0" borderId="10" xfId="259" applyNumberFormat="1" applyFont="1" applyFill="1" applyBorder="1" applyAlignment="1" applyProtection="1">
      <alignment horizontal="right" vertical="center"/>
      <protection hidden="1"/>
    </xf>
    <xf numFmtId="0" fontId="27" fillId="0" borderId="10" xfId="204" applyFont="1" applyBorder="1" applyAlignment="1" applyProtection="1">
      <alignment vertical="center"/>
      <protection hidden="1"/>
    </xf>
    <xf numFmtId="231" fontId="27" fillId="0" borderId="10" xfId="204" applyNumberFormat="1" applyFont="1" applyBorder="1" applyAlignment="1" applyProtection="1">
      <alignment vertical="center"/>
      <protection hidden="1"/>
    </xf>
    <xf numFmtId="0" fontId="9" fillId="13" borderId="10" xfId="204" applyFont="1" applyFill="1" applyBorder="1" applyAlignment="1" applyProtection="1">
      <alignment horizontal="center" vertical="center" shrinkToFit="1"/>
      <protection hidden="1"/>
    </xf>
    <xf numFmtId="0" fontId="9" fillId="0" borderId="10" xfId="204" applyFont="1" applyBorder="1" applyAlignment="1" applyProtection="1">
      <alignment horizontal="center" vertical="center" shrinkToFit="1"/>
      <protection hidden="1"/>
    </xf>
    <xf numFmtId="0" fontId="27" fillId="13" borderId="10" xfId="204" applyFont="1" applyFill="1" applyBorder="1" applyAlignment="1" applyProtection="1">
      <alignment vertical="center"/>
      <protection hidden="1"/>
    </xf>
    <xf numFmtId="231" fontId="27" fillId="13" borderId="10" xfId="204" applyNumberFormat="1" applyFont="1" applyFill="1" applyBorder="1" applyAlignment="1" applyProtection="1">
      <alignment vertical="center" shrinkToFit="1"/>
      <protection hidden="1"/>
    </xf>
    <xf numFmtId="231" fontId="27" fillId="13" borderId="10" xfId="204" applyNumberFormat="1" applyFont="1" applyFill="1" applyBorder="1" applyAlignment="1" applyProtection="1">
      <alignment vertical="center"/>
      <protection hidden="1"/>
    </xf>
    <xf numFmtId="0" fontId="28" fillId="0" borderId="0" xfId="204" applyFont="1" applyAlignment="1" applyProtection="1">
      <alignment horizontal="left" vertical="center" shrinkToFit="1"/>
      <protection hidden="1"/>
    </xf>
    <xf numFmtId="14" fontId="9" fillId="0" borderId="10" xfId="204" applyNumberFormat="1" applyFont="1" applyBorder="1" applyAlignment="1" applyProtection="1">
      <alignment horizontal="center" vertical="center"/>
      <protection hidden="1"/>
    </xf>
    <xf numFmtId="14" fontId="9" fillId="13" borderId="10" xfId="204" applyNumberFormat="1" applyFont="1" applyFill="1" applyBorder="1" applyAlignment="1" applyProtection="1">
      <alignment horizontal="center" vertical="center"/>
      <protection hidden="1"/>
    </xf>
    <xf numFmtId="14" fontId="6" fillId="0" borderId="0" xfId="0" applyNumberFormat="1" applyFont="1" applyAlignment="1">
      <alignment vertical="center" shrinkToFit="1"/>
    </xf>
    <xf numFmtId="10" fontId="6" fillId="0" borderId="0" xfId="0" applyNumberFormat="1" applyFont="1" applyAlignment="1">
      <alignment vertical="center" shrinkToFit="1"/>
    </xf>
    <xf numFmtId="10" fontId="6" fillId="0" borderId="0" xfId="0" applyNumberFormat="1" applyFont="1" applyAlignment="1">
      <alignment horizontal="center" vertical="center" shrinkToFit="1"/>
    </xf>
    <xf numFmtId="252" fontId="6" fillId="0" borderId="0" xfId="0" applyNumberFormat="1" applyFont="1" applyAlignment="1">
      <alignment vertical="center" shrinkToFit="1"/>
    </xf>
    <xf numFmtId="14" fontId="6" fillId="0" borderId="0" xfId="0" applyNumberFormat="1" applyFont="1" applyAlignment="1">
      <alignment horizontal="center" vertical="center" shrinkToFit="1"/>
    </xf>
    <xf numFmtId="250" fontId="6" fillId="0" borderId="0" xfId="0" applyNumberFormat="1" applyFont="1" applyAlignment="1">
      <alignment horizontal="center" vertical="center" shrinkToFit="1"/>
    </xf>
    <xf numFmtId="14" fontId="7" fillId="0" borderId="10" xfId="0" applyNumberFormat="1" applyFont="1" applyBorder="1" applyAlignment="1">
      <alignment horizontal="center" vertical="center" shrinkToFit="1"/>
    </xf>
    <xf numFmtId="0" fontId="12" fillId="0" borderId="10" xfId="0" applyFont="1" applyBorder="1" applyAlignment="1">
      <alignment horizontal="center" vertical="center" shrinkToFit="1"/>
    </xf>
    <xf numFmtId="10" fontId="7" fillId="0" borderId="10" xfId="0" applyNumberFormat="1" applyFont="1" applyBorder="1" applyAlignment="1">
      <alignment horizontal="center" vertical="center" shrinkToFit="1"/>
    </xf>
    <xf numFmtId="10" fontId="7" fillId="0" borderId="7" xfId="0" applyNumberFormat="1" applyFont="1" applyBorder="1" applyAlignment="1">
      <alignment horizontal="center" vertical="center" shrinkToFit="1"/>
    </xf>
    <xf numFmtId="10" fontId="7" fillId="0" borderId="9" xfId="0" applyNumberFormat="1" applyFont="1" applyBorder="1" applyAlignment="1">
      <alignment horizontal="center" vertical="center" shrinkToFit="1"/>
    </xf>
    <xf numFmtId="252" fontId="7" fillId="0" borderId="7" xfId="0" applyNumberFormat="1" applyFont="1" applyBorder="1" applyAlignment="1">
      <alignment horizontal="center" vertical="center" shrinkToFit="1"/>
    </xf>
    <xf numFmtId="252" fontId="7" fillId="0" borderId="8" xfId="0" applyNumberFormat="1" applyFont="1" applyBorder="1" applyAlignment="1">
      <alignment horizontal="center" vertical="center" shrinkToFit="1"/>
    </xf>
    <xf numFmtId="252" fontId="7" fillId="0" borderId="9" xfId="0" applyNumberFormat="1" applyFont="1" applyBorder="1" applyAlignment="1">
      <alignment horizontal="center" vertical="center" shrinkToFit="1"/>
    </xf>
    <xf numFmtId="252" fontId="7" fillId="0" borderId="10" xfId="0" applyNumberFormat="1" applyFont="1" applyBorder="1" applyAlignment="1">
      <alignment horizontal="center" vertical="center" shrinkToFit="1"/>
    </xf>
    <xf numFmtId="0" fontId="9" fillId="8" borderId="10" xfId="0" applyFont="1" applyFill="1" applyBorder="1" applyProtection="1">
      <protection locked="0"/>
    </xf>
    <xf numFmtId="0" fontId="9" fillId="0" borderId="0" xfId="0" applyFont="1" applyProtection="1">
      <protection locked="0"/>
    </xf>
    <xf numFmtId="0" fontId="46" fillId="0" borderId="10" xfId="204" applyFont="1" applyBorder="1" applyAlignment="1">
      <alignment vertical="center" shrinkToFit="1"/>
    </xf>
    <xf numFmtId="242" fontId="46" fillId="0" borderId="10" xfId="204" applyNumberFormat="1" applyFont="1" applyBorder="1" applyAlignment="1">
      <alignment vertical="center" shrinkToFit="1"/>
    </xf>
    <xf numFmtId="9" fontId="46" fillId="0" borderId="10" xfId="204" applyNumberFormat="1" applyFont="1" applyBorder="1" applyAlignment="1">
      <alignment horizontal="center" vertical="center"/>
    </xf>
    <xf numFmtId="10" fontId="6" fillId="0" borderId="10" xfId="0" applyNumberFormat="1" applyFont="1" applyBorder="1" applyAlignment="1">
      <alignment vertical="center" shrinkToFit="1"/>
    </xf>
    <xf numFmtId="10" fontId="6" fillId="0" borderId="10" xfId="0" applyNumberFormat="1" applyFont="1" applyBorder="1" applyAlignment="1">
      <alignment horizontal="center" vertical="center" shrinkToFit="1"/>
    </xf>
    <xf numFmtId="252" fontId="6" fillId="0" borderId="10" xfId="0" applyNumberFormat="1" applyFont="1" applyBorder="1" applyAlignment="1">
      <alignment vertical="center" shrinkToFit="1"/>
    </xf>
    <xf numFmtId="0" fontId="9" fillId="0" borderId="0" xfId="0" applyFont="1" applyAlignment="1" applyProtection="1">
      <alignment horizontal="center"/>
      <protection hidden="1"/>
    </xf>
    <xf numFmtId="0" fontId="28" fillId="0" borderId="0" xfId="0" applyFont="1" applyAlignment="1" applyProtection="1">
      <alignment horizontal="center"/>
      <protection hidden="1"/>
    </xf>
    <xf numFmtId="246" fontId="6" fillId="0" borderId="10" xfId="0" applyNumberFormat="1" applyFont="1" applyBorder="1" applyAlignment="1">
      <alignment vertical="center" shrinkToFit="1"/>
    </xf>
    <xf numFmtId="14" fontId="6" fillId="7" borderId="10" xfId="0" applyNumberFormat="1" applyFont="1" applyFill="1" applyBorder="1" applyAlignment="1">
      <alignment horizontal="center" vertical="center" shrinkToFit="1"/>
    </xf>
    <xf numFmtId="9" fontId="46" fillId="8" borderId="10" xfId="204" applyNumberFormat="1" applyFont="1" applyFill="1" applyBorder="1" applyAlignment="1">
      <alignment horizontal="center" vertical="center"/>
    </xf>
    <xf numFmtId="10" fontId="9" fillId="0" borderId="10" xfId="189" applyNumberFormat="1" applyFont="1" applyBorder="1" applyAlignment="1" applyProtection="1">
      <alignment vertical="center"/>
      <protection locked="0"/>
    </xf>
    <xf numFmtId="0" fontId="64" fillId="0" borderId="0" xfId="231" applyFont="1" applyAlignment="1">
      <alignment vertical="center"/>
    </xf>
    <xf numFmtId="0" fontId="6" fillId="0" borderId="0" xfId="231" applyFont="1" applyAlignment="1">
      <alignment vertical="center"/>
    </xf>
    <xf numFmtId="0" fontId="6" fillId="0" borderId="0" xfId="231" applyFont="1" applyAlignment="1">
      <alignment horizontal="center" vertical="center"/>
    </xf>
    <xf numFmtId="0" fontId="7" fillId="0" borderId="0" xfId="231" applyFont="1" applyAlignment="1">
      <alignment vertical="center"/>
    </xf>
    <xf numFmtId="0" fontId="0" fillId="0" borderId="0" xfId="231" applyFont="1" applyAlignment="1">
      <alignment vertical="center"/>
    </xf>
    <xf numFmtId="0" fontId="5" fillId="0" borderId="0" xfId="231" applyFont="1" applyAlignment="1">
      <alignment horizontal="center" vertical="center"/>
    </xf>
    <xf numFmtId="43" fontId="9" fillId="0" borderId="0" xfId="231" applyNumberFormat="1" applyFont="1" applyAlignment="1">
      <alignment horizontal="center" vertical="center"/>
    </xf>
    <xf numFmtId="0" fontId="9" fillId="0" borderId="0" xfId="231" applyFont="1" applyAlignment="1">
      <alignment vertical="center"/>
    </xf>
    <xf numFmtId="43" fontId="9" fillId="0" borderId="0" xfId="231" applyNumberFormat="1" applyFont="1" applyAlignment="1">
      <alignment horizontal="left" vertical="center"/>
    </xf>
    <xf numFmtId="0" fontId="9" fillId="0" borderId="0" xfId="231" applyFont="1" applyAlignment="1">
      <alignment horizontal="center" vertical="center"/>
    </xf>
    <xf numFmtId="49" fontId="9" fillId="0" borderId="0" xfId="231" applyNumberFormat="1" applyFont="1" applyAlignment="1">
      <alignment horizontal="right" vertical="center"/>
    </xf>
    <xf numFmtId="0" fontId="27" fillId="6" borderId="10" xfId="231" applyFont="1" applyFill="1" applyBorder="1" applyAlignment="1">
      <alignment horizontal="center" vertical="center"/>
    </xf>
    <xf numFmtId="43" fontId="27" fillId="6" borderId="7" xfId="231" applyNumberFormat="1" applyFont="1" applyFill="1" applyBorder="1" applyAlignment="1">
      <alignment horizontal="center" vertical="center" shrinkToFit="1"/>
    </xf>
    <xf numFmtId="43" fontId="27" fillId="6" borderId="8" xfId="231" applyNumberFormat="1" applyFont="1" applyFill="1" applyBorder="1" applyAlignment="1">
      <alignment horizontal="center" vertical="center" shrinkToFit="1"/>
    </xf>
    <xf numFmtId="43" fontId="27" fillId="6" borderId="9" xfId="231" applyNumberFormat="1" applyFont="1" applyFill="1" applyBorder="1" applyAlignment="1">
      <alignment horizontal="center" vertical="center" shrinkToFit="1"/>
    </xf>
    <xf numFmtId="0" fontId="27" fillId="6" borderId="10" xfId="231" applyFont="1" applyFill="1" applyBorder="1" applyAlignment="1">
      <alignment horizontal="center" vertical="center" shrinkToFit="1"/>
    </xf>
    <xf numFmtId="0" fontId="9" fillId="6" borderId="0" xfId="0" applyFont="1" applyFill="1" applyAlignment="1">
      <alignment horizontal="center" vertical="center"/>
    </xf>
    <xf numFmtId="10" fontId="9" fillId="6" borderId="0" xfId="3" applyNumberFormat="1" applyFont="1" applyFill="1" applyAlignment="1" applyProtection="1">
      <alignment vertical="center"/>
    </xf>
    <xf numFmtId="0" fontId="36" fillId="6" borderId="10" xfId="0" applyFont="1" applyFill="1" applyBorder="1" applyAlignment="1">
      <alignment horizontal="center" vertical="center" wrapText="1"/>
    </xf>
    <xf numFmtId="231" fontId="9" fillId="6" borderId="0" xfId="228" applyNumberFormat="1" applyFont="1" applyFill="1" applyAlignment="1">
      <alignment horizontal="center" vertical="center"/>
    </xf>
    <xf numFmtId="10" fontId="9" fillId="6" borderId="0" xfId="3" applyNumberFormat="1" applyFont="1" applyFill="1" applyBorder="1" applyAlignment="1" applyProtection="1">
      <alignment horizontal="center" vertical="center"/>
    </xf>
    <xf numFmtId="10" fontId="9" fillId="0" borderId="10" xfId="0" applyNumberFormat="1" applyFont="1" applyBorder="1" applyAlignment="1" applyProtection="1">
      <alignment vertical="center" shrinkToFit="1"/>
      <protection locked="0"/>
    </xf>
    <xf numFmtId="231" fontId="27" fillId="6" borderId="10" xfId="6" applyNumberFormat="1" applyFont="1" applyFill="1" applyBorder="1" applyAlignment="1" applyProtection="1">
      <alignment vertical="center"/>
      <protection hidden="1"/>
    </xf>
    <xf numFmtId="231" fontId="27" fillId="0" borderId="10" xfId="262" applyNumberFormat="1" applyFont="1" applyFill="1" applyBorder="1" applyAlignment="1" applyProtection="1">
      <alignment horizontal="right" vertical="center" shrinkToFit="1"/>
      <protection locked="0"/>
    </xf>
    <xf numFmtId="0" fontId="27" fillId="0" borderId="0" xfId="231" applyFont="1" applyAlignment="1">
      <alignment vertical="center"/>
    </xf>
    <xf numFmtId="231" fontId="27" fillId="6" borderId="0" xfId="231" applyNumberFormat="1" applyFont="1" applyFill="1" applyAlignment="1">
      <alignment horizontal="right" vertical="center"/>
    </xf>
    <xf numFmtId="10" fontId="27" fillId="6" borderId="0" xfId="231" applyNumberFormat="1" applyFont="1" applyFill="1" applyAlignment="1">
      <alignment vertical="center"/>
    </xf>
    <xf numFmtId="0" fontId="9" fillId="6" borderId="10" xfId="205" applyFont="1" applyFill="1" applyBorder="1" applyAlignment="1">
      <alignment vertical="center"/>
    </xf>
    <xf numFmtId="231" fontId="9" fillId="0" borderId="10" xfId="205" applyNumberFormat="1" applyFont="1" applyBorder="1" applyAlignment="1" applyProtection="1">
      <alignment horizontal="right" vertical="center" shrinkToFit="1"/>
      <protection locked="0"/>
    </xf>
    <xf numFmtId="231" fontId="9" fillId="6" borderId="0" xfId="231" applyNumberFormat="1" applyFont="1" applyFill="1" applyAlignment="1">
      <alignment horizontal="right" vertical="center"/>
    </xf>
    <xf numFmtId="10" fontId="9" fillId="6" borderId="0" xfId="231" applyNumberFormat="1" applyFont="1" applyFill="1" applyAlignment="1">
      <alignment vertical="center"/>
    </xf>
    <xf numFmtId="0" fontId="9" fillId="6" borderId="10" xfId="205" applyFont="1" applyFill="1" applyBorder="1" applyAlignment="1">
      <alignment horizontal="left" vertical="center" indent="2"/>
    </xf>
    <xf numFmtId="0" fontId="28" fillId="6" borderId="10" xfId="205" applyFont="1" applyFill="1" applyBorder="1" applyAlignment="1">
      <alignment horizontal="left" vertical="center" indent="2"/>
    </xf>
    <xf numFmtId="10" fontId="9" fillId="6" borderId="10" xfId="0" applyNumberFormat="1" applyFont="1" applyFill="1" applyBorder="1" applyAlignment="1">
      <alignment vertical="center" shrinkToFit="1"/>
    </xf>
    <xf numFmtId="0" fontId="28" fillId="6" borderId="10" xfId="0" applyFont="1" applyFill="1" applyBorder="1" applyAlignment="1">
      <alignment vertical="center" shrinkToFit="1"/>
    </xf>
    <xf numFmtId="10" fontId="9" fillId="0" borderId="10" xfId="0" applyNumberFormat="1" applyFont="1" applyBorder="1" applyAlignment="1" applyProtection="1">
      <alignment horizontal="right" vertical="center" shrinkToFit="1"/>
      <protection locked="0"/>
    </xf>
    <xf numFmtId="250" fontId="9" fillId="0" borderId="10" xfId="0" applyNumberFormat="1" applyFont="1" applyBorder="1" applyAlignment="1" applyProtection="1">
      <alignment vertical="center" shrinkToFit="1"/>
      <protection locked="0"/>
    </xf>
    <xf numFmtId="0" fontId="9" fillId="6" borderId="10" xfId="205" applyFont="1" applyFill="1" applyBorder="1" applyAlignment="1">
      <alignment horizontal="left" vertical="center"/>
    </xf>
    <xf numFmtId="9" fontId="9" fillId="0" borderId="10" xfId="0" applyNumberFormat="1" applyFont="1" applyBorder="1" applyAlignment="1" applyProtection="1">
      <alignment vertical="center" shrinkToFit="1"/>
      <protection locked="0"/>
    </xf>
    <xf numFmtId="0" fontId="9" fillId="6" borderId="10" xfId="0" applyFont="1" applyFill="1" applyBorder="1" applyAlignment="1" applyProtection="1">
      <alignment vertical="center" shrinkToFit="1"/>
      <protection locked="0"/>
    </xf>
    <xf numFmtId="231" fontId="9" fillId="14" borderId="10" xfId="205" applyNumberFormat="1" applyFont="1" applyFill="1" applyBorder="1" applyAlignment="1" applyProtection="1">
      <alignment horizontal="right" vertical="center" shrinkToFit="1"/>
      <protection locked="0"/>
    </xf>
    <xf numFmtId="0" fontId="9" fillId="0" borderId="10" xfId="0" applyFont="1" applyBorder="1" applyAlignment="1" applyProtection="1">
      <alignment horizontal="right" vertical="center" shrinkToFit="1"/>
      <protection locked="0"/>
    </xf>
    <xf numFmtId="0" fontId="9" fillId="0" borderId="10" xfId="0" applyFont="1" applyBorder="1" applyAlignment="1" applyProtection="1">
      <alignment vertical="center" shrinkToFit="1"/>
      <protection locked="0"/>
    </xf>
    <xf numFmtId="0" fontId="27" fillId="6" borderId="10" xfId="205" applyFont="1" applyFill="1" applyBorder="1" applyAlignment="1">
      <alignment vertical="center"/>
    </xf>
    <xf numFmtId="231" fontId="27" fillId="6" borderId="10" xfId="205" applyNumberFormat="1" applyFont="1" applyFill="1" applyBorder="1" applyAlignment="1">
      <alignment vertical="center" shrinkToFit="1"/>
    </xf>
    <xf numFmtId="231" fontId="27" fillId="14" borderId="10" xfId="262" applyNumberFormat="1" applyFont="1" applyFill="1" applyBorder="1" applyAlignment="1" applyProtection="1">
      <alignment horizontal="right" vertical="center" shrinkToFit="1"/>
      <protection locked="0"/>
    </xf>
    <xf numFmtId="231" fontId="9" fillId="14" borderId="10" xfId="205" applyNumberFormat="1" applyFont="1" applyFill="1" applyBorder="1" applyAlignment="1" applyProtection="1">
      <alignment horizontal="right" vertical="center"/>
      <protection locked="0"/>
    </xf>
    <xf numFmtId="231" fontId="9" fillId="14" borderId="10" xfId="231" applyNumberFormat="1" applyFont="1" applyFill="1" applyBorder="1" applyAlignment="1" applyProtection="1">
      <alignment horizontal="right" vertical="center"/>
      <protection locked="0"/>
    </xf>
    <xf numFmtId="0" fontId="9" fillId="14" borderId="0" xfId="205" applyFont="1" applyFill="1" applyAlignment="1">
      <alignment vertical="center"/>
    </xf>
    <xf numFmtId="195" fontId="9" fillId="14" borderId="0" xfId="231" applyNumberFormat="1" applyFont="1" applyFill="1" applyAlignment="1">
      <alignment vertical="center"/>
    </xf>
    <xf numFmtId="0" fontId="9" fillId="0" borderId="0" xfId="231" applyFont="1" applyAlignment="1">
      <alignment horizontal="right" vertical="center"/>
    </xf>
    <xf numFmtId="0" fontId="28" fillId="14" borderId="0" xfId="205" applyFont="1" applyFill="1" applyAlignment="1">
      <alignment horizontal="center" vertical="center"/>
    </xf>
    <xf numFmtId="0" fontId="9" fillId="6" borderId="10" xfId="231" applyFont="1" applyFill="1" applyBorder="1" applyAlignment="1">
      <alignment horizontal="center" vertical="center"/>
    </xf>
    <xf numFmtId="0" fontId="9" fillId="0" borderId="10" xfId="231" applyFont="1" applyBorder="1" applyAlignment="1">
      <alignment horizontal="center" vertical="center" shrinkToFit="1"/>
    </xf>
    <xf numFmtId="0" fontId="9" fillId="6" borderId="10" xfId="231" applyFont="1" applyFill="1" applyBorder="1" applyAlignment="1">
      <alignment horizontal="center" vertical="center" shrinkToFit="1"/>
    </xf>
    <xf numFmtId="0" fontId="64" fillId="0" borderId="0" xfId="231" applyFont="1" applyAlignment="1" applyProtection="1">
      <alignment vertical="center"/>
      <protection hidden="1"/>
    </xf>
    <xf numFmtId="0" fontId="6" fillId="0" borderId="0" xfId="231" applyFont="1" applyAlignment="1" applyProtection="1">
      <alignment vertical="center"/>
      <protection hidden="1"/>
    </xf>
    <xf numFmtId="0" fontId="6" fillId="0" borderId="0" xfId="231" applyFont="1" applyAlignment="1" applyProtection="1">
      <alignment horizontal="center" vertical="center"/>
      <protection hidden="1"/>
    </xf>
    <xf numFmtId="0" fontId="6" fillId="0" borderId="0" xfId="231" applyFont="1" applyAlignment="1" applyProtection="1">
      <alignment horizontal="center" vertical="center" shrinkToFit="1"/>
      <protection hidden="1"/>
    </xf>
    <xf numFmtId="0" fontId="7" fillId="0" borderId="0" xfId="231" applyFont="1" applyAlignment="1" applyProtection="1">
      <alignment vertical="center"/>
      <protection hidden="1"/>
    </xf>
    <xf numFmtId="0" fontId="6" fillId="0" borderId="0" xfId="231" applyFont="1" applyAlignment="1" applyProtection="1">
      <alignment vertical="center" shrinkToFit="1"/>
      <protection hidden="1"/>
    </xf>
    <xf numFmtId="0" fontId="0" fillId="0" borderId="0" xfId="231" applyFont="1" applyAlignment="1" applyProtection="1">
      <alignment vertical="center"/>
      <protection hidden="1"/>
    </xf>
    <xf numFmtId="0" fontId="0" fillId="0" borderId="0" xfId="231" applyFont="1" applyAlignment="1" applyProtection="1">
      <alignment horizontal="center" vertical="center"/>
      <protection hidden="1"/>
    </xf>
    <xf numFmtId="0" fontId="0" fillId="0" borderId="0" xfId="231" applyFont="1" applyAlignment="1" applyProtection="1">
      <alignment vertical="center" shrinkToFit="1"/>
      <protection hidden="1"/>
    </xf>
    <xf numFmtId="0" fontId="5" fillId="0" borderId="0" xfId="231" applyFont="1" applyAlignment="1" applyProtection="1">
      <alignment horizontal="center" vertical="center"/>
      <protection hidden="1"/>
    </xf>
    <xf numFmtId="0" fontId="64" fillId="0" borderId="0" xfId="231" applyFont="1" applyAlignment="1" applyProtection="1">
      <alignment horizontal="center" vertical="center"/>
      <protection hidden="1"/>
    </xf>
    <xf numFmtId="0" fontId="64" fillId="0" borderId="0" xfId="231" applyFont="1" applyAlignment="1" applyProtection="1">
      <alignment vertical="center" shrinkToFit="1"/>
      <protection hidden="1"/>
    </xf>
    <xf numFmtId="43" fontId="9" fillId="0" borderId="0" xfId="231" applyNumberFormat="1" applyFont="1" applyAlignment="1" applyProtection="1">
      <alignment horizontal="center" vertical="center"/>
      <protection hidden="1"/>
    </xf>
    <xf numFmtId="43" fontId="9" fillId="0" borderId="0" xfId="231" applyNumberFormat="1" applyFont="1" applyAlignment="1" applyProtection="1">
      <alignment horizontal="left" vertical="center"/>
      <protection hidden="1"/>
    </xf>
    <xf numFmtId="0" fontId="9" fillId="0" borderId="0" xfId="231" applyFont="1" applyAlignment="1" applyProtection="1">
      <alignment horizontal="center" vertical="center"/>
      <protection hidden="1"/>
    </xf>
    <xf numFmtId="49" fontId="9" fillId="0" borderId="0" xfId="231" applyNumberFormat="1" applyFont="1" applyAlignment="1" applyProtection="1">
      <alignment horizontal="right" vertical="center"/>
      <protection hidden="1"/>
    </xf>
    <xf numFmtId="0" fontId="27" fillId="6" borderId="10" xfId="231" applyFont="1" applyFill="1" applyBorder="1" applyAlignment="1" applyProtection="1">
      <alignment horizontal="center" vertical="center" shrinkToFit="1"/>
      <protection hidden="1"/>
    </xf>
    <xf numFmtId="0" fontId="27" fillId="6" borderId="5" xfId="231" applyFont="1" applyFill="1" applyBorder="1" applyAlignment="1" applyProtection="1">
      <alignment horizontal="center" vertical="center" wrapText="1" shrinkToFit="1"/>
      <protection hidden="1"/>
    </xf>
    <xf numFmtId="0" fontId="27" fillId="6" borderId="7" xfId="231" applyFont="1" applyFill="1" applyBorder="1" applyAlignment="1" applyProtection="1">
      <alignment horizontal="center" vertical="center" shrinkToFit="1"/>
      <protection hidden="1"/>
    </xf>
    <xf numFmtId="0" fontId="27" fillId="6" borderId="8" xfId="231" applyFont="1" applyFill="1" applyBorder="1" applyAlignment="1" applyProtection="1">
      <alignment horizontal="center" vertical="center" shrinkToFit="1"/>
      <protection hidden="1"/>
    </xf>
    <xf numFmtId="0" fontId="27" fillId="6" borderId="9" xfId="231" applyFont="1" applyFill="1" applyBorder="1" applyAlignment="1" applyProtection="1">
      <alignment horizontal="center" vertical="center" shrinkToFit="1"/>
      <protection hidden="1"/>
    </xf>
    <xf numFmtId="0" fontId="6" fillId="6" borderId="0" xfId="231" applyFont="1" applyFill="1" applyAlignment="1" applyProtection="1">
      <alignment horizontal="center" vertical="center" shrinkToFit="1"/>
      <protection hidden="1"/>
    </xf>
    <xf numFmtId="0" fontId="27" fillId="6" borderId="11" xfId="231" applyFont="1" applyFill="1" applyBorder="1" applyAlignment="1" applyProtection="1">
      <alignment horizontal="center" vertical="center" wrapText="1" shrinkToFit="1"/>
      <protection hidden="1"/>
    </xf>
    <xf numFmtId="231" fontId="27" fillId="6" borderId="10" xfId="6" applyNumberFormat="1" applyFont="1" applyFill="1" applyBorder="1" applyAlignment="1" applyProtection="1">
      <alignment vertical="center" shrinkToFit="1"/>
      <protection hidden="1"/>
    </xf>
    <xf numFmtId="231" fontId="27" fillId="6" borderId="10" xfId="6" applyNumberFormat="1" applyFont="1" applyFill="1" applyBorder="1" applyAlignment="1" applyProtection="1">
      <alignment horizontal="center" vertical="center" shrinkToFit="1"/>
      <protection hidden="1"/>
    </xf>
    <xf numFmtId="231" fontId="27" fillId="6" borderId="10" xfId="262" applyNumberFormat="1" applyFont="1" applyFill="1" applyBorder="1" applyAlignment="1" applyProtection="1">
      <alignment horizontal="right" vertical="center" shrinkToFit="1"/>
      <protection hidden="1"/>
    </xf>
    <xf numFmtId="0" fontId="7" fillId="0" borderId="0" xfId="231" applyFont="1" applyAlignment="1" applyProtection="1">
      <alignment horizontal="center" vertical="center"/>
      <protection hidden="1"/>
    </xf>
    <xf numFmtId="0" fontId="7" fillId="6" borderId="0" xfId="231" applyFont="1" applyFill="1" applyAlignment="1" applyProtection="1">
      <alignment vertical="center" shrinkToFit="1"/>
      <protection hidden="1"/>
    </xf>
    <xf numFmtId="231" fontId="7" fillId="6" borderId="0" xfId="231" applyNumberFormat="1" applyFont="1" applyFill="1" applyAlignment="1" applyProtection="1">
      <alignment horizontal="right" vertical="center"/>
      <protection hidden="1"/>
    </xf>
    <xf numFmtId="0" fontId="9" fillId="6" borderId="10" xfId="205" applyFont="1" applyFill="1" applyBorder="1" applyAlignment="1" applyProtection="1">
      <alignment horizontal="left" vertical="center" shrinkToFit="1"/>
      <protection hidden="1"/>
    </xf>
    <xf numFmtId="231" fontId="9" fillId="6" borderId="10" xfId="6" applyNumberFormat="1" applyFont="1" applyFill="1" applyBorder="1" applyAlignment="1" applyProtection="1">
      <alignment horizontal="center" vertical="center" shrinkToFit="1"/>
      <protection hidden="1"/>
    </xf>
    <xf numFmtId="231" fontId="9" fillId="0" borderId="10" xfId="205" applyNumberFormat="1" applyFont="1" applyBorder="1" applyAlignment="1" applyProtection="1">
      <alignment horizontal="right" vertical="center" shrinkToFit="1"/>
      <protection locked="0" hidden="1"/>
    </xf>
    <xf numFmtId="231" fontId="9" fillId="6" borderId="10" xfId="205" applyNumberFormat="1" applyFont="1" applyFill="1" applyBorder="1" applyAlignment="1" applyProtection="1">
      <alignment horizontal="right" vertical="center" shrinkToFit="1"/>
      <protection hidden="1"/>
    </xf>
    <xf numFmtId="43" fontId="6" fillId="6" borderId="0" xfId="231" applyNumberFormat="1" applyFont="1" applyFill="1" applyAlignment="1" applyProtection="1">
      <alignment vertical="center" shrinkToFit="1"/>
      <protection hidden="1"/>
    </xf>
    <xf numFmtId="231" fontId="6" fillId="6" borderId="0" xfId="231" applyNumberFormat="1" applyFont="1" applyFill="1" applyAlignment="1" applyProtection="1">
      <alignment horizontal="right" vertical="center"/>
      <protection hidden="1"/>
    </xf>
    <xf numFmtId="0" fontId="2" fillId="0" borderId="0" xfId="231" applyFont="1" applyAlignment="1" applyProtection="1">
      <alignment horizontal="center" vertical="center"/>
      <protection hidden="1"/>
    </xf>
    <xf numFmtId="0" fontId="9" fillId="6" borderId="10" xfId="205" applyFont="1" applyFill="1" applyBorder="1" applyAlignment="1" applyProtection="1">
      <alignment horizontal="center" vertical="center" shrinkToFit="1"/>
      <protection hidden="1"/>
    </xf>
    <xf numFmtId="0" fontId="6" fillId="6" borderId="0" xfId="231" applyFont="1" applyFill="1" applyAlignment="1" applyProtection="1">
      <alignment vertical="center" shrinkToFit="1"/>
      <protection hidden="1"/>
    </xf>
    <xf numFmtId="231" fontId="9" fillId="6" borderId="10" xfId="205" applyNumberFormat="1" applyFont="1" applyFill="1" applyBorder="1" applyAlignment="1" applyProtection="1">
      <alignment horizontal="right" vertical="center" shrinkToFit="1"/>
      <protection locked="0" hidden="1"/>
    </xf>
    <xf numFmtId="0" fontId="9" fillId="6" borderId="10" xfId="205" applyFont="1" applyFill="1" applyBorder="1" applyAlignment="1" applyProtection="1">
      <alignment horizontal="left" vertical="center" indent="3" shrinkToFit="1"/>
      <protection hidden="1"/>
    </xf>
    <xf numFmtId="0" fontId="27" fillId="6" borderId="10" xfId="205" applyFont="1" applyFill="1" applyBorder="1" applyAlignment="1" applyProtection="1">
      <alignment vertical="center" shrinkToFit="1"/>
      <protection hidden="1"/>
    </xf>
    <xf numFmtId="0" fontId="27" fillId="6" borderId="10" xfId="205" applyFont="1" applyFill="1" applyBorder="1" applyAlignment="1" applyProtection="1">
      <alignment horizontal="center" vertical="center" shrinkToFit="1"/>
      <protection hidden="1"/>
    </xf>
    <xf numFmtId="43" fontId="7" fillId="6" borderId="0" xfId="231" applyNumberFormat="1" applyFont="1" applyFill="1" applyAlignment="1" applyProtection="1">
      <alignment vertical="center" shrinkToFit="1"/>
      <protection hidden="1"/>
    </xf>
    <xf numFmtId="231" fontId="27" fillId="6" borderId="10" xfId="205" applyNumberFormat="1" applyFont="1" applyFill="1" applyBorder="1" applyAlignment="1" applyProtection="1">
      <alignment vertical="center" shrinkToFit="1"/>
      <protection hidden="1"/>
    </xf>
    <xf numFmtId="231" fontId="27" fillId="6" borderId="10" xfId="205" applyNumberFormat="1" applyFont="1" applyFill="1" applyBorder="1" applyAlignment="1" applyProtection="1">
      <alignment horizontal="center" vertical="center" shrinkToFit="1"/>
      <protection hidden="1"/>
    </xf>
    <xf numFmtId="231" fontId="9" fillId="6" borderId="10" xfId="231" applyNumberFormat="1" applyFont="1" applyFill="1" applyBorder="1" applyAlignment="1" applyProtection="1">
      <alignment horizontal="right" vertical="center" shrinkToFit="1"/>
      <protection hidden="1"/>
    </xf>
    <xf numFmtId="0" fontId="6" fillId="6" borderId="0" xfId="231" applyFont="1" applyFill="1" applyAlignment="1" applyProtection="1">
      <alignment vertical="center"/>
      <protection hidden="1"/>
    </xf>
    <xf numFmtId="0" fontId="27" fillId="6" borderId="10" xfId="205" applyFont="1" applyFill="1" applyBorder="1" applyAlignment="1" applyProtection="1">
      <alignment horizontal="left" vertical="center" shrinkToFit="1"/>
      <protection hidden="1"/>
    </xf>
    <xf numFmtId="231" fontId="27" fillId="6" borderId="10" xfId="231" applyNumberFormat="1" applyFont="1" applyFill="1" applyBorder="1" applyAlignment="1" applyProtection="1">
      <alignment horizontal="right" vertical="center" shrinkToFit="1"/>
      <protection hidden="1"/>
    </xf>
    <xf numFmtId="0" fontId="9" fillId="0" borderId="0" xfId="231" applyFont="1" applyAlignment="1" applyProtection="1">
      <alignment vertical="center"/>
      <protection hidden="1"/>
    </xf>
    <xf numFmtId="0" fontId="9" fillId="0" borderId="0" xfId="231" applyFont="1" applyAlignment="1" applyProtection="1">
      <alignment horizontal="right" vertical="center"/>
      <protection hidden="1"/>
    </xf>
    <xf numFmtId="0" fontId="6" fillId="6" borderId="0" xfId="231" applyFont="1" applyFill="1" applyAlignment="1" applyProtection="1">
      <alignment horizontal="left" vertical="center" shrinkToFit="1"/>
      <protection hidden="1"/>
    </xf>
    <xf numFmtId="253" fontId="5" fillId="0" borderId="0" xfId="149" applyNumberFormat="1" applyFont="1" applyAlignment="1">
      <alignment horizontal="left" vertical="center"/>
    </xf>
    <xf numFmtId="253" fontId="7" fillId="0" borderId="0" xfId="149" applyNumberFormat="1" applyFont="1" applyAlignment="1">
      <alignment horizontal="center" vertical="center"/>
    </xf>
    <xf numFmtId="253" fontId="6" fillId="0" borderId="0" xfId="149" applyNumberFormat="1" applyAlignment="1">
      <alignment horizontal="center" vertical="center"/>
    </xf>
    <xf numFmtId="253" fontId="6" fillId="0" borderId="0" xfId="149" applyNumberFormat="1" applyAlignment="1">
      <alignment horizontal="left" vertical="center"/>
    </xf>
    <xf numFmtId="254" fontId="6" fillId="0" borderId="0" xfId="149" applyNumberFormat="1" applyAlignment="1">
      <alignment horizontal="left" vertical="center"/>
    </xf>
    <xf numFmtId="253" fontId="6" fillId="0" borderId="0" xfId="149" applyNumberFormat="1" applyAlignment="1">
      <alignment horizontal="right" vertical="center"/>
    </xf>
    <xf numFmtId="253" fontId="23" fillId="0" borderId="0" xfId="6" applyNumberFormat="1" applyFont="1" applyFill="1" applyBorder="1" applyAlignment="1" applyProtection="1">
      <alignment horizontal="left" vertical="center"/>
    </xf>
    <xf numFmtId="253" fontId="5" fillId="0" borderId="0" xfId="149" applyNumberFormat="1" applyFont="1" applyAlignment="1">
      <alignment horizontal="center" vertical="center"/>
    </xf>
    <xf numFmtId="0" fontId="18" fillId="0" borderId="0" xfId="149" applyFont="1" applyAlignment="1">
      <alignment horizontal="left" vertical="center"/>
    </xf>
    <xf numFmtId="253" fontId="5" fillId="15" borderId="0" xfId="149" applyNumberFormat="1" applyFont="1" applyFill="1" applyAlignment="1">
      <alignment horizontal="center" vertical="center"/>
    </xf>
    <xf numFmtId="0" fontId="6" fillId="15" borderId="0" xfId="149" applyFill="1" applyAlignment="1">
      <alignment horizontal="center" vertical="center"/>
    </xf>
    <xf numFmtId="0" fontId="18" fillId="0" borderId="0" xfId="149" applyFont="1" applyAlignment="1">
      <alignment horizontal="center" vertical="center"/>
    </xf>
    <xf numFmtId="253" fontId="6" fillId="15" borderId="13" xfId="149" applyNumberFormat="1" applyFill="1" applyBorder="1" applyAlignment="1">
      <alignment horizontal="left" vertical="center"/>
    </xf>
    <xf numFmtId="253" fontId="6" fillId="15" borderId="0" xfId="149" applyNumberFormat="1" applyFill="1" applyAlignment="1">
      <alignment horizontal="right" vertical="center"/>
    </xf>
    <xf numFmtId="253" fontId="7" fillId="15" borderId="0" xfId="149" applyNumberFormat="1" applyFont="1" applyFill="1" applyAlignment="1">
      <alignment horizontal="left" vertical="center"/>
    </xf>
    <xf numFmtId="253" fontId="6" fillId="15" borderId="0" xfId="149" applyNumberFormat="1" applyFill="1" applyAlignment="1">
      <alignment horizontal="left" vertical="center"/>
    </xf>
    <xf numFmtId="254" fontId="6" fillId="15" borderId="0" xfId="149" applyNumberFormat="1" applyFill="1" applyAlignment="1">
      <alignment horizontal="left" vertical="center"/>
    </xf>
    <xf numFmtId="253" fontId="7" fillId="15" borderId="0" xfId="149" applyNumberFormat="1" applyFont="1" applyFill="1" applyAlignment="1">
      <alignment horizontal="right" vertical="center"/>
    </xf>
    <xf numFmtId="253" fontId="7" fillId="15" borderId="10" xfId="149" applyNumberFormat="1" applyFont="1" applyFill="1" applyBorder="1" applyAlignment="1">
      <alignment horizontal="center" vertical="center"/>
    </xf>
    <xf numFmtId="253" fontId="6" fillId="15" borderId="10" xfId="221" applyNumberFormat="1" applyFont="1" applyFill="1" applyBorder="1" applyAlignment="1">
      <alignment vertical="center"/>
    </xf>
    <xf numFmtId="254" fontId="6" fillId="15" borderId="10" xfId="149" applyNumberFormat="1" applyFill="1" applyBorder="1" applyAlignment="1">
      <alignment horizontal="center" vertical="center"/>
    </xf>
    <xf numFmtId="231" fontId="6" fillId="15" borderId="10" xfId="149" applyNumberFormat="1" applyFill="1" applyBorder="1" applyAlignment="1">
      <alignment horizontal="right" vertical="center"/>
    </xf>
    <xf numFmtId="231" fontId="6" fillId="15" borderId="10" xfId="149" applyNumberFormat="1" applyFill="1" applyBorder="1" applyAlignment="1">
      <alignment horizontal="left" vertical="center"/>
    </xf>
    <xf numFmtId="253" fontId="6" fillId="15" borderId="10" xfId="149" applyNumberFormat="1" applyFill="1" applyBorder="1" applyAlignment="1">
      <alignment horizontal="left" vertical="center"/>
    </xf>
    <xf numFmtId="231" fontId="6" fillId="12" borderId="10" xfId="147" applyNumberFormat="1" applyFill="1" applyBorder="1" applyAlignment="1" applyProtection="1">
      <alignment horizontal="right" vertical="center"/>
      <protection locked="0"/>
    </xf>
    <xf numFmtId="231" fontId="6" fillId="12" borderId="10" xfId="149" applyNumberFormat="1" applyFill="1" applyBorder="1" applyAlignment="1" applyProtection="1">
      <alignment horizontal="left" vertical="center"/>
      <protection locked="0"/>
    </xf>
    <xf numFmtId="253" fontId="6" fillId="15" borderId="10" xfId="149" applyNumberFormat="1" applyFill="1" applyBorder="1" applyAlignment="1">
      <alignment horizontal="left" vertical="center" wrapText="1"/>
    </xf>
    <xf numFmtId="231" fontId="6" fillId="12" borderId="10" xfId="149" applyNumberFormat="1" applyFill="1" applyBorder="1" applyAlignment="1" applyProtection="1">
      <alignment horizontal="right" vertical="center"/>
      <protection locked="0"/>
    </xf>
    <xf numFmtId="231" fontId="7" fillId="15" borderId="10" xfId="149" applyNumberFormat="1" applyFont="1" applyFill="1" applyBorder="1" applyAlignment="1">
      <alignment horizontal="center" vertical="center"/>
    </xf>
    <xf numFmtId="231" fontId="6" fillId="15" borderId="10" xfId="147" applyNumberFormat="1" applyFill="1" applyBorder="1" applyAlignment="1">
      <alignment horizontal="right" vertical="center"/>
    </xf>
    <xf numFmtId="231" fontId="7" fillId="15" borderId="10" xfId="149" applyNumberFormat="1" applyFont="1" applyFill="1" applyBorder="1" applyAlignment="1">
      <alignment horizontal="right" vertical="center"/>
    </xf>
    <xf numFmtId="231" fontId="7" fillId="12" borderId="10" xfId="149" applyNumberFormat="1" applyFont="1" applyFill="1" applyBorder="1" applyAlignment="1" applyProtection="1">
      <alignment horizontal="left" vertical="center"/>
      <protection locked="0"/>
    </xf>
    <xf numFmtId="253" fontId="6" fillId="12" borderId="10" xfId="149" applyNumberFormat="1" applyFill="1" applyBorder="1" applyAlignment="1" applyProtection="1">
      <alignment horizontal="right" vertical="center"/>
      <protection locked="0"/>
    </xf>
    <xf numFmtId="231" fontId="6" fillId="0" borderId="10" xfId="149" applyNumberFormat="1" applyBorder="1" applyAlignment="1" applyProtection="1">
      <alignment horizontal="right" vertical="center"/>
      <protection locked="0"/>
    </xf>
    <xf numFmtId="231" fontId="6" fillId="0" borderId="10" xfId="149" applyNumberFormat="1" applyBorder="1" applyAlignment="1" applyProtection="1">
      <alignment horizontal="left" vertical="center"/>
      <protection locked="0"/>
    </xf>
    <xf numFmtId="231" fontId="7" fillId="15" borderId="10" xfId="221" applyNumberFormat="1" applyFont="1" applyFill="1" applyBorder="1" applyAlignment="1">
      <alignment horizontal="center" vertical="center"/>
    </xf>
    <xf numFmtId="231" fontId="7" fillId="15" borderId="10" xfId="147" applyNumberFormat="1" applyFont="1" applyFill="1" applyBorder="1" applyAlignment="1">
      <alignment horizontal="right" vertical="center"/>
    </xf>
    <xf numFmtId="253" fontId="7" fillId="15" borderId="10" xfId="221" applyNumberFormat="1" applyFont="1" applyFill="1" applyBorder="1" applyAlignment="1">
      <alignment horizontal="center" vertical="center"/>
    </xf>
    <xf numFmtId="0" fontId="7" fillId="15" borderId="10" xfId="149" applyFont="1" applyFill="1" applyBorder="1" applyAlignment="1">
      <alignment horizontal="center" vertical="center"/>
    </xf>
    <xf numFmtId="231" fontId="7" fillId="15" borderId="10" xfId="149" applyNumberFormat="1" applyFont="1" applyFill="1" applyBorder="1" applyAlignment="1">
      <alignment horizontal="left" vertical="center"/>
    </xf>
    <xf numFmtId="231" fontId="7" fillId="15" borderId="10" xfId="147" applyNumberFormat="1" applyFont="1" applyFill="1" applyBorder="1" applyAlignment="1">
      <alignment horizontal="left" vertical="center"/>
    </xf>
    <xf numFmtId="231" fontId="6" fillId="0" borderId="10" xfId="149" applyNumberFormat="1" applyBorder="1" applyAlignment="1">
      <alignment horizontal="right" vertical="center"/>
    </xf>
    <xf numFmtId="231" fontId="6" fillId="0" borderId="10" xfId="149" applyNumberFormat="1" applyBorder="1" applyAlignment="1">
      <alignment horizontal="left" vertical="center"/>
    </xf>
    <xf numFmtId="253" fontId="6" fillId="0" borderId="25" xfId="149" applyNumberFormat="1" applyBorder="1" applyAlignment="1">
      <alignment horizontal="left" vertical="center"/>
    </xf>
    <xf numFmtId="0" fontId="6" fillId="0" borderId="25" xfId="149" applyBorder="1" applyAlignment="1">
      <alignment horizontal="left" vertical="center"/>
    </xf>
    <xf numFmtId="254" fontId="6" fillId="0" borderId="25" xfId="149" applyNumberFormat="1" applyBorder="1" applyAlignment="1">
      <alignment horizontal="left" vertical="center"/>
    </xf>
    <xf numFmtId="253" fontId="6" fillId="0" borderId="0" xfId="149" applyNumberFormat="1" applyAlignment="1">
      <alignment horizontal="left" vertical="center" shrinkToFit="1"/>
    </xf>
    <xf numFmtId="254" fontId="6" fillId="0" borderId="0" xfId="149" applyNumberFormat="1" applyAlignment="1">
      <alignment horizontal="left" vertical="center" shrinkToFit="1"/>
    </xf>
    <xf numFmtId="0" fontId="6" fillId="0" borderId="25" xfId="149" applyBorder="1" applyAlignment="1">
      <alignment horizontal="left" vertical="center" shrinkToFit="1"/>
    </xf>
    <xf numFmtId="253" fontId="6" fillId="0" borderId="25" xfId="149" applyNumberFormat="1" applyBorder="1" applyAlignment="1">
      <alignment vertical="center" shrinkToFit="1"/>
    </xf>
    <xf numFmtId="253" fontId="6" fillId="0" borderId="25" xfId="149" applyNumberFormat="1" applyBorder="1" applyAlignment="1">
      <alignment horizontal="left" vertical="center" shrinkToFit="1"/>
    </xf>
    <xf numFmtId="0" fontId="5" fillId="0" borderId="0" xfId="221" applyFont="1" applyAlignment="1">
      <alignment vertical="center"/>
    </xf>
    <xf numFmtId="0" fontId="6" fillId="0" borderId="0" xfId="221" applyFont="1" applyAlignment="1">
      <alignment horizontal="center" vertical="center"/>
    </xf>
    <xf numFmtId="0" fontId="7" fillId="0" borderId="0" xfId="215" applyFont="1" applyAlignment="1">
      <alignment vertical="center"/>
    </xf>
    <xf numFmtId="0" fontId="6" fillId="0" borderId="0" xfId="215" applyFont="1" applyAlignment="1">
      <alignment vertical="center"/>
    </xf>
    <xf numFmtId="0" fontId="6" fillId="0" borderId="0" xfId="215" applyFont="1" applyAlignment="1">
      <alignment horizontal="left" vertical="center"/>
    </xf>
    <xf numFmtId="0" fontId="6" fillId="0" borderId="0" xfId="221" applyFont="1" applyAlignment="1">
      <alignment vertical="center"/>
    </xf>
    <xf numFmtId="0" fontId="23" fillId="0" borderId="0" xfId="6" applyFont="1" applyAlignment="1" applyProtection="1">
      <alignment horizontal="left" vertical="center"/>
    </xf>
    <xf numFmtId="0" fontId="5" fillId="0" borderId="0" xfId="215" applyFont="1" applyAlignment="1">
      <alignment horizontal="center" vertical="center"/>
    </xf>
    <xf numFmtId="0" fontId="18" fillId="8" borderId="0" xfId="221" applyFont="1" applyFill="1" applyAlignment="1">
      <alignment vertical="center"/>
    </xf>
    <xf numFmtId="0" fontId="18" fillId="0" borderId="0" xfId="221" applyFont="1" applyAlignment="1">
      <alignment vertical="center"/>
    </xf>
    <xf numFmtId="0" fontId="6" fillId="0" borderId="0" xfId="215" applyFont="1" applyAlignment="1">
      <alignment horizontal="center" vertical="center"/>
    </xf>
    <xf numFmtId="0" fontId="21" fillId="0" borderId="0" xfId="215" applyFont="1" applyAlignment="1">
      <alignment horizontal="left" vertical="center"/>
    </xf>
    <xf numFmtId="0" fontId="6" fillId="0" borderId="0" xfId="215" applyFont="1" applyAlignment="1">
      <alignment horizontal="right" vertical="center"/>
    </xf>
    <xf numFmtId="0" fontId="7" fillId="0" borderId="26" xfId="221" applyFont="1" applyBorder="1" applyAlignment="1">
      <alignment horizontal="center" vertical="center"/>
    </xf>
    <xf numFmtId="0" fontId="7" fillId="0" borderId="27" xfId="215" applyFont="1" applyBorder="1" applyAlignment="1">
      <alignment horizontal="center" vertical="center"/>
    </xf>
    <xf numFmtId="0" fontId="6" fillId="0" borderId="28" xfId="221" applyFont="1" applyBorder="1" applyAlignment="1">
      <alignment horizontal="center" vertical="center"/>
    </xf>
    <xf numFmtId="0" fontId="6" fillId="0" borderId="29" xfId="221" applyFont="1" applyBorder="1" applyAlignment="1">
      <alignment horizontal="center" vertical="center"/>
    </xf>
    <xf numFmtId="0" fontId="6" fillId="0" borderId="30" xfId="221" applyFont="1" applyBorder="1" applyAlignment="1">
      <alignment horizontal="center" vertical="center"/>
    </xf>
    <xf numFmtId="0" fontId="6" fillId="0" borderId="31" xfId="221" applyFont="1" applyBorder="1" applyAlignment="1">
      <alignment horizontal="center" vertical="center"/>
    </xf>
    <xf numFmtId="0" fontId="7" fillId="0" borderId="31" xfId="221" applyFont="1" applyBorder="1" applyAlignment="1">
      <alignment horizontal="center" vertical="center"/>
    </xf>
    <xf numFmtId="0" fontId="6" fillId="0" borderId="32" xfId="221" applyFont="1" applyBorder="1" applyAlignment="1">
      <alignment horizontal="center" vertical="center"/>
    </xf>
    <xf numFmtId="0" fontId="7" fillId="0" borderId="33" xfId="221" applyFont="1" applyBorder="1" applyAlignment="1">
      <alignment horizontal="center" vertical="center"/>
    </xf>
    <xf numFmtId="0" fontId="7" fillId="0" borderId="10" xfId="215" applyFont="1" applyBorder="1" applyAlignment="1">
      <alignment horizontal="center" vertical="center"/>
    </xf>
    <xf numFmtId="0" fontId="6" fillId="0" borderId="7" xfId="221" applyFont="1" applyBorder="1" applyAlignment="1">
      <alignment horizontal="center" vertical="center"/>
    </xf>
    <xf numFmtId="0" fontId="6" fillId="0" borderId="8" xfId="221" applyFont="1" applyBorder="1" applyAlignment="1">
      <alignment horizontal="center" vertical="center"/>
    </xf>
    <xf numFmtId="0" fontId="6" fillId="0" borderId="9" xfId="221" applyFont="1" applyBorder="1" applyAlignment="1">
      <alignment horizontal="center" vertical="center"/>
    </xf>
    <xf numFmtId="0" fontId="6" fillId="0" borderId="11" xfId="221" applyFont="1" applyBorder="1" applyAlignment="1">
      <alignment horizontal="center" vertical="center"/>
    </xf>
    <xf numFmtId="0" fontId="7" fillId="0" borderId="11" xfId="221" applyFont="1" applyBorder="1" applyAlignment="1">
      <alignment horizontal="center" vertical="center"/>
    </xf>
    <xf numFmtId="0" fontId="6" fillId="0" borderId="34" xfId="221" applyFont="1" applyBorder="1" applyAlignment="1">
      <alignment horizontal="center" vertical="center"/>
    </xf>
    <xf numFmtId="0" fontId="7" fillId="0" borderId="35" xfId="215" applyFont="1" applyBorder="1" applyAlignment="1">
      <alignment horizontal="center" vertical="center"/>
    </xf>
    <xf numFmtId="0" fontId="7" fillId="0" borderId="10" xfId="221" applyFont="1" applyBorder="1" applyAlignment="1">
      <alignment horizontal="center" vertical="center"/>
    </xf>
    <xf numFmtId="0" fontId="6" fillId="0" borderId="10" xfId="221" applyFont="1" applyBorder="1" applyAlignment="1">
      <alignment vertical="center"/>
    </xf>
    <xf numFmtId="0" fontId="6" fillId="0" borderId="10" xfId="221" applyFont="1" applyBorder="1" applyAlignment="1">
      <alignment horizontal="center" vertical="center"/>
    </xf>
    <xf numFmtId="0" fontId="6" fillId="0" borderId="36" xfId="221" applyFont="1" applyBorder="1" applyAlignment="1">
      <alignment horizontal="center" vertical="center"/>
    </xf>
    <xf numFmtId="0" fontId="7" fillId="0" borderId="35" xfId="221" applyFont="1" applyBorder="1" applyAlignment="1">
      <alignment horizontal="center" vertical="center"/>
    </xf>
    <xf numFmtId="0" fontId="6" fillId="0" borderId="7" xfId="221" applyFont="1"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vertical="center" wrapText="1"/>
    </xf>
    <xf numFmtId="0" fontId="6" fillId="0" borderId="36" xfId="215" applyFont="1" applyBorder="1" applyAlignment="1">
      <alignment horizontal="center" vertical="center"/>
    </xf>
    <xf numFmtId="0" fontId="7" fillId="0" borderId="10" xfId="221" applyFont="1" applyBorder="1" applyAlignment="1">
      <alignment vertical="center"/>
    </xf>
    <xf numFmtId="233" fontId="6" fillId="0" borderId="7" xfId="221" applyNumberFormat="1" applyFont="1" applyBorder="1" applyAlignment="1">
      <alignment horizontal="center" vertical="center"/>
    </xf>
    <xf numFmtId="233" fontId="6" fillId="0" borderId="37" xfId="221" applyNumberFormat="1" applyFont="1" applyBorder="1" applyAlignment="1">
      <alignment horizontal="center" vertical="center"/>
    </xf>
    <xf numFmtId="0" fontId="6" fillId="0" borderId="36" xfId="221" applyFont="1" applyBorder="1" applyAlignment="1">
      <alignment vertical="center"/>
    </xf>
    <xf numFmtId="0" fontId="7" fillId="0" borderId="38" xfId="221" applyFont="1" applyBorder="1" applyAlignment="1">
      <alignment horizontal="center" vertical="center"/>
    </xf>
    <xf numFmtId="0" fontId="6" fillId="0" borderId="5" xfId="221" applyFont="1" applyBorder="1" applyAlignment="1">
      <alignment vertical="center"/>
    </xf>
    <xf numFmtId="0" fontId="7" fillId="0" borderId="5" xfId="215" applyFont="1" applyBorder="1" applyAlignment="1">
      <alignment horizontal="center" vertical="center"/>
    </xf>
    <xf numFmtId="0" fontId="7" fillId="0" borderId="5" xfId="221" applyFont="1" applyBorder="1" applyAlignment="1">
      <alignment vertical="center"/>
    </xf>
    <xf numFmtId="58" fontId="6" fillId="0" borderId="5" xfId="221" applyNumberFormat="1" applyFont="1" applyBorder="1" applyAlignment="1">
      <alignment vertical="center"/>
    </xf>
    <xf numFmtId="0" fontId="7" fillId="0" borderId="5" xfId="221" applyFont="1" applyBorder="1" applyAlignment="1">
      <alignment horizontal="center" vertical="center"/>
    </xf>
    <xf numFmtId="0" fontId="6" fillId="0" borderId="15" xfId="221" applyFont="1" applyBorder="1" applyAlignment="1">
      <alignment horizontal="center" vertical="center"/>
    </xf>
    <xf numFmtId="0" fontId="6" fillId="0" borderId="25" xfId="221" applyFont="1" applyBorder="1" applyAlignment="1">
      <alignment horizontal="center" vertical="center"/>
    </xf>
    <xf numFmtId="0" fontId="6" fillId="0" borderId="39" xfId="221" applyFont="1" applyBorder="1" applyAlignment="1">
      <alignment horizontal="center" vertical="center"/>
    </xf>
    <xf numFmtId="0" fontId="7" fillId="0" borderId="40" xfId="221" applyFont="1" applyBorder="1" applyAlignment="1">
      <alignment horizontal="center" vertical="center"/>
    </xf>
    <xf numFmtId="0" fontId="7" fillId="0" borderId="41" xfId="221" applyFont="1" applyBorder="1" applyAlignment="1">
      <alignment horizontal="center" vertical="center"/>
    </xf>
    <xf numFmtId="0" fontId="7" fillId="0" borderId="42" xfId="221" applyFont="1" applyBorder="1" applyAlignment="1">
      <alignment horizontal="center" vertical="center"/>
    </xf>
    <xf numFmtId="0" fontId="7" fillId="0" borderId="28" xfId="221" applyFont="1" applyBorder="1" applyAlignment="1">
      <alignment horizontal="center" vertical="center"/>
    </xf>
    <xf numFmtId="0" fontId="7" fillId="0" borderId="30" xfId="221" applyFont="1" applyBorder="1" applyAlignment="1">
      <alignment horizontal="center" vertical="center"/>
    </xf>
    <xf numFmtId="0" fontId="7" fillId="0" borderId="43" xfId="221" applyFont="1" applyBorder="1" applyAlignment="1">
      <alignment horizontal="center" vertical="center"/>
    </xf>
    <xf numFmtId="0" fontId="7" fillId="0" borderId="44" xfId="221" applyFont="1" applyBorder="1" applyAlignment="1">
      <alignment horizontal="center" vertical="center"/>
    </xf>
    <xf numFmtId="0" fontId="7" fillId="0" borderId="13" xfId="221" applyFont="1" applyBorder="1" applyAlignment="1">
      <alignment horizontal="center" vertical="center"/>
    </xf>
    <xf numFmtId="0" fontId="7" fillId="0" borderId="18" xfId="221" applyFont="1" applyBorder="1" applyAlignment="1">
      <alignment horizontal="center" vertical="center"/>
    </xf>
    <xf numFmtId="0" fontId="7" fillId="0" borderId="36" xfId="215" applyFont="1" applyBorder="1" applyAlignment="1">
      <alignment horizontal="center" vertical="center"/>
    </xf>
    <xf numFmtId="0" fontId="6" fillId="0" borderId="35" xfId="221" applyFont="1" applyBorder="1" applyAlignment="1">
      <alignment horizontal="center" vertical="center"/>
    </xf>
    <xf numFmtId="0" fontId="6" fillId="0" borderId="7" xfId="252" applyFont="1" applyBorder="1" applyAlignment="1">
      <alignment horizontal="center" vertical="center"/>
    </xf>
    <xf numFmtId="0" fontId="6" fillId="0" borderId="8" xfId="252" applyFont="1" applyBorder="1" applyAlignment="1">
      <alignment horizontal="center" vertical="center"/>
    </xf>
    <xf numFmtId="0" fontId="6" fillId="0" borderId="9" xfId="252" applyFont="1" applyBorder="1" applyAlignment="1">
      <alignment horizontal="center" vertical="center"/>
    </xf>
    <xf numFmtId="4" fontId="6" fillId="0" borderId="10" xfId="252" applyNumberFormat="1" applyFont="1" applyBorder="1" applyAlignment="1">
      <alignment horizontal="right" vertical="center"/>
    </xf>
    <xf numFmtId="9" fontId="6" fillId="0" borderId="10" xfId="3" applyFont="1" applyBorder="1" applyAlignment="1" applyProtection="1">
      <alignment horizontal="right" vertical="center"/>
    </xf>
    <xf numFmtId="9" fontId="6" fillId="0" borderId="36" xfId="3" applyFont="1" applyBorder="1" applyAlignment="1" applyProtection="1">
      <alignment horizontal="right" vertical="center"/>
    </xf>
    <xf numFmtId="0" fontId="6" fillId="0" borderId="9" xfId="221" applyFont="1" applyBorder="1" applyAlignment="1">
      <alignment vertical="center"/>
    </xf>
    <xf numFmtId="0" fontId="6" fillId="0" borderId="38" xfId="221" applyFont="1" applyBorder="1" applyAlignment="1">
      <alignment horizontal="center" vertical="center"/>
    </xf>
    <xf numFmtId="0" fontId="6" fillId="0" borderId="16" xfId="221" applyFont="1" applyBorder="1" applyAlignment="1">
      <alignment horizontal="center" vertical="center"/>
    </xf>
    <xf numFmtId="4" fontId="6" fillId="0" borderId="16" xfId="221" applyNumberFormat="1" applyFont="1" applyBorder="1" applyAlignment="1">
      <alignment vertical="center"/>
    </xf>
    <xf numFmtId="4" fontId="6" fillId="0" borderId="5" xfId="221" applyNumberFormat="1" applyFont="1" applyBorder="1" applyAlignment="1">
      <alignment vertical="center"/>
    </xf>
    <xf numFmtId="0" fontId="6" fillId="0" borderId="45" xfId="221" applyFont="1" applyBorder="1" applyAlignment="1">
      <alignment vertical="center"/>
    </xf>
    <xf numFmtId="0" fontId="7" fillId="0" borderId="46" xfId="221" applyFont="1" applyBorder="1" applyAlignment="1">
      <alignment horizontal="center" vertical="center"/>
    </xf>
    <xf numFmtId="0" fontId="7" fillId="0" borderId="29" xfId="221" applyFont="1" applyBorder="1" applyAlignment="1">
      <alignment horizontal="center" vertical="center"/>
    </xf>
    <xf numFmtId="0" fontId="7" fillId="0" borderId="27" xfId="221" applyFont="1" applyBorder="1" applyAlignment="1">
      <alignment horizontal="center" vertical="center"/>
    </xf>
    <xf numFmtId="0" fontId="7" fillId="0" borderId="47" xfId="221" applyFont="1" applyBorder="1" applyAlignment="1">
      <alignment horizontal="center" vertical="center"/>
    </xf>
    <xf numFmtId="43" fontId="6" fillId="0" borderId="7" xfId="230" applyNumberFormat="1" applyFont="1" applyBorder="1" applyAlignment="1">
      <alignment horizontal="center" vertical="center"/>
    </xf>
    <xf numFmtId="43" fontId="6" fillId="0" borderId="8" xfId="230" applyNumberFormat="1" applyFont="1" applyBorder="1" applyAlignment="1">
      <alignment horizontal="center" vertical="center"/>
    </xf>
    <xf numFmtId="43" fontId="6" fillId="0" borderId="9" xfId="230" applyNumberFormat="1" applyFont="1" applyBorder="1" applyAlignment="1">
      <alignment horizontal="center" vertical="center"/>
    </xf>
    <xf numFmtId="10" fontId="6" fillId="0" borderId="10" xfId="3" applyNumberFormat="1" applyFont="1" applyBorder="1" applyAlignment="1" applyProtection="1">
      <alignment horizontal="center" vertical="center"/>
    </xf>
    <xf numFmtId="0" fontId="6" fillId="0" borderId="25" xfId="221" applyFont="1" applyBorder="1" applyAlignment="1">
      <alignment vertical="center"/>
    </xf>
    <xf numFmtId="0" fontId="7" fillId="0" borderId="48" xfId="221" applyFont="1" applyBorder="1" applyAlignment="1">
      <alignment horizontal="center" vertical="center"/>
    </xf>
    <xf numFmtId="0" fontId="7" fillId="0" borderId="9" xfId="221" applyFont="1" applyBorder="1" applyAlignment="1">
      <alignment horizontal="center" vertical="center"/>
    </xf>
    <xf numFmtId="0" fontId="7" fillId="0" borderId="49" xfId="221" applyFont="1" applyBorder="1" applyAlignment="1">
      <alignment horizontal="center" vertical="center"/>
    </xf>
    <xf numFmtId="0" fontId="7" fillId="0" borderId="23" xfId="221" applyFont="1" applyBorder="1" applyAlignment="1">
      <alignment horizontal="center" vertical="center"/>
    </xf>
    <xf numFmtId="0" fontId="6" fillId="0" borderId="24" xfId="221" applyFont="1" applyBorder="1" applyAlignment="1">
      <alignment horizontal="center" vertical="center"/>
    </xf>
    <xf numFmtId="0" fontId="6" fillId="0" borderId="50" xfId="221" applyFont="1" applyBorder="1" applyAlignment="1">
      <alignment horizontal="center" vertical="center"/>
    </xf>
    <xf numFmtId="0" fontId="6" fillId="0" borderId="51" xfId="221" applyFont="1" applyBorder="1" applyAlignment="1">
      <alignment horizontal="center" vertical="center"/>
    </xf>
    <xf numFmtId="0" fontId="21" fillId="0" borderId="52" xfId="221" applyFont="1" applyBorder="1" applyAlignment="1">
      <alignment horizontal="left" vertical="center"/>
    </xf>
    <xf numFmtId="0" fontId="7" fillId="0" borderId="52" xfId="221" applyFont="1" applyBorder="1" applyAlignment="1">
      <alignment horizontal="center" vertical="center"/>
    </xf>
    <xf numFmtId="0" fontId="6" fillId="0" borderId="52" xfId="221" applyFont="1" applyBorder="1" applyAlignment="1">
      <alignment horizontal="center" vertical="center"/>
    </xf>
    <xf numFmtId="0" fontId="7" fillId="0" borderId="20" xfId="221" applyFont="1" applyBorder="1" applyAlignment="1">
      <alignment horizontal="center" vertical="center"/>
    </xf>
    <xf numFmtId="0" fontId="7" fillId="0" borderId="34" xfId="221" applyFont="1" applyBorder="1" applyAlignment="1">
      <alignment horizontal="center" vertical="center"/>
    </xf>
    <xf numFmtId="0" fontId="6" fillId="0" borderId="10" xfId="215" applyFont="1" applyBorder="1" applyAlignment="1">
      <alignment horizontal="center" vertical="center"/>
    </xf>
    <xf numFmtId="0" fontId="7" fillId="0" borderId="36" xfId="221" applyFont="1" applyBorder="1" applyAlignment="1">
      <alignment horizontal="center" vertical="center"/>
    </xf>
    <xf numFmtId="0" fontId="7" fillId="0" borderId="35" xfId="221" applyFont="1" applyBorder="1" applyAlignment="1">
      <alignment horizontal="left" vertical="center"/>
    </xf>
    <xf numFmtId="0" fontId="7" fillId="0" borderId="7" xfId="221" applyFont="1" applyBorder="1" applyAlignment="1">
      <alignment horizontal="center" vertical="center"/>
    </xf>
    <xf numFmtId="0" fontId="7" fillId="0" borderId="8" xfId="221" applyFont="1" applyBorder="1" applyAlignment="1">
      <alignment horizontal="center" vertical="center"/>
    </xf>
    <xf numFmtId="0" fontId="7" fillId="0" borderId="37" xfId="221" applyFont="1" applyBorder="1" applyAlignment="1">
      <alignment horizontal="center" vertical="center"/>
    </xf>
    <xf numFmtId="0" fontId="7" fillId="0" borderId="10" xfId="221" applyFont="1" applyBorder="1" applyAlignment="1">
      <alignment horizontal="left" vertical="center"/>
    </xf>
    <xf numFmtId="0" fontId="7" fillId="0" borderId="53" xfId="221" applyFont="1" applyBorder="1" applyAlignment="1">
      <alignment horizontal="left" vertical="center"/>
    </xf>
    <xf numFmtId="0" fontId="7" fillId="0" borderId="54" xfId="221" applyFont="1" applyBorder="1" applyAlignment="1">
      <alignment horizontal="left" vertical="center"/>
    </xf>
    <xf numFmtId="0" fontId="6" fillId="0" borderId="6" xfId="221" applyFont="1" applyBorder="1" applyAlignment="1">
      <alignment horizontal="center" vertical="center"/>
    </xf>
    <xf numFmtId="0" fontId="6" fillId="0" borderId="55" xfId="221" applyFont="1" applyBorder="1" applyAlignment="1">
      <alignment vertical="center"/>
    </xf>
    <xf numFmtId="0" fontId="7" fillId="0" borderId="0" xfId="221" applyFont="1" applyAlignment="1">
      <alignment horizontal="center" vertical="center"/>
    </xf>
    <xf numFmtId="0" fontId="18" fillId="0" borderId="0" xfId="0" applyFont="1" applyAlignment="1" applyProtection="1">
      <alignment horizontal="center" vertical="center" shrinkToFit="1"/>
      <protection hidden="1"/>
    </xf>
    <xf numFmtId="0" fontId="18" fillId="0" borderId="0" xfId="0" applyFont="1" applyAlignment="1" applyProtection="1">
      <alignment vertical="center" shrinkToFit="1"/>
      <protection hidden="1"/>
    </xf>
    <xf numFmtId="0" fontId="18" fillId="0" borderId="10" xfId="0" applyFont="1" applyBorder="1" applyAlignment="1" applyProtection="1">
      <alignment horizontal="center" vertical="center" shrinkToFit="1"/>
      <protection hidden="1"/>
    </xf>
    <xf numFmtId="0" fontId="65" fillId="0" borderId="10" xfId="0" applyFont="1" applyBorder="1" applyAlignment="1">
      <alignment horizontal="center" vertical="center" shrinkToFit="1"/>
    </xf>
    <xf numFmtId="0" fontId="18" fillId="0" borderId="0" xfId="0" applyFont="1" applyAlignment="1" applyProtection="1">
      <alignment horizontal="left" vertical="center" shrinkToFit="1"/>
      <protection hidden="1"/>
    </xf>
    <xf numFmtId="0" fontId="18" fillId="0" borderId="10" xfId="0" applyFont="1" applyBorder="1" applyAlignment="1" applyProtection="1">
      <alignment horizontal="left" vertical="center" shrinkToFit="1"/>
      <protection hidden="1"/>
    </xf>
    <xf numFmtId="0" fontId="18" fillId="12" borderId="10" xfId="0" applyFont="1" applyFill="1" applyBorder="1" applyAlignment="1" applyProtection="1">
      <alignment horizontal="center" vertical="center" shrinkToFit="1"/>
      <protection locked="0"/>
    </xf>
    <xf numFmtId="0" fontId="66" fillId="0" borderId="10" xfId="0" applyFont="1" applyBorder="1" applyAlignment="1" applyProtection="1">
      <alignment vertical="center" shrinkToFit="1"/>
      <protection hidden="1"/>
    </xf>
    <xf numFmtId="0" fontId="18" fillId="12" borderId="10" xfId="0" applyFont="1" applyFill="1" applyBorder="1" applyAlignment="1" applyProtection="1">
      <alignment horizontal="left" vertical="center" shrinkToFit="1"/>
      <protection locked="0"/>
    </xf>
    <xf numFmtId="242" fontId="18" fillId="0" borderId="10" xfId="0" applyNumberFormat="1" applyFont="1" applyBorder="1" applyAlignment="1" applyProtection="1">
      <alignment horizontal="right" vertical="center" shrinkToFit="1"/>
      <protection hidden="1"/>
    </xf>
    <xf numFmtId="0" fontId="65" fillId="0" borderId="10" xfId="0" applyFont="1" applyBorder="1" applyAlignment="1">
      <alignment horizontal="left" vertical="center" shrinkToFit="1"/>
    </xf>
    <xf numFmtId="0" fontId="65" fillId="12" borderId="10" xfId="0" applyFont="1" applyFill="1" applyBorder="1" applyAlignment="1">
      <alignment horizontal="center" vertical="center" shrinkToFit="1"/>
    </xf>
    <xf numFmtId="0" fontId="18" fillId="0" borderId="10" xfId="0" applyFont="1" applyBorder="1" applyAlignment="1" applyProtection="1">
      <alignment vertical="center" shrinkToFit="1"/>
      <protection hidden="1"/>
    </xf>
    <xf numFmtId="49" fontId="18" fillId="0" borderId="10" xfId="0" applyNumberFormat="1" applyFont="1" applyBorder="1" applyAlignment="1" applyProtection="1">
      <alignment horizontal="center" vertical="center" shrinkToFit="1"/>
      <protection locked="0"/>
    </xf>
    <xf numFmtId="49" fontId="18" fillId="0" borderId="0" xfId="0" applyNumberFormat="1" applyFont="1" applyAlignment="1" applyProtection="1">
      <alignment vertical="center" shrinkToFit="1"/>
      <protection hidden="1"/>
    </xf>
    <xf numFmtId="49" fontId="18" fillId="0" borderId="10" xfId="0" applyNumberFormat="1" applyFont="1" applyBorder="1" applyAlignment="1" applyProtection="1">
      <alignment horizontal="left" vertical="center" shrinkToFit="1"/>
      <protection hidden="1"/>
    </xf>
    <xf numFmtId="0" fontId="18" fillId="0" borderId="10" xfId="0" applyFont="1" applyBorder="1" applyAlignment="1" applyProtection="1">
      <alignment horizontal="center" vertical="center" shrinkToFit="1"/>
      <protection locked="0"/>
    </xf>
    <xf numFmtId="0" fontId="18" fillId="12" borderId="10" xfId="0" applyFont="1" applyFill="1" applyBorder="1" applyAlignment="1" applyProtection="1">
      <alignment vertical="center" shrinkToFit="1"/>
      <protection locked="0"/>
    </xf>
    <xf numFmtId="0" fontId="66" fillId="12" borderId="10" xfId="0" applyFont="1" applyFill="1" applyBorder="1" applyAlignment="1" applyProtection="1">
      <alignment horizontal="left" vertical="center" shrinkToFit="1"/>
      <protection hidden="1"/>
    </xf>
    <xf numFmtId="0" fontId="18" fillId="0" borderId="9" xfId="0" applyFont="1" applyBorder="1" applyAlignment="1" applyProtection="1">
      <alignment horizontal="center" vertical="center" shrinkToFit="1"/>
      <protection hidden="1"/>
    </xf>
    <xf numFmtId="0" fontId="18" fillId="0" borderId="0" xfId="0" applyFont="1" applyAlignment="1" applyProtection="1">
      <alignment horizontal="center" vertical="center"/>
      <protection hidden="1"/>
    </xf>
    <xf numFmtId="49" fontId="18" fillId="0" borderId="10" xfId="0" applyNumberFormat="1" applyFont="1" applyBorder="1" applyAlignment="1" applyProtection="1">
      <alignment horizontal="center" vertical="center" shrinkToFit="1"/>
      <protection hidden="1"/>
    </xf>
    <xf numFmtId="0" fontId="67" fillId="0" borderId="10" xfId="0" applyFont="1" applyBorder="1" applyAlignment="1" applyProtection="1">
      <alignment horizontal="center" vertical="center" shrinkToFit="1"/>
      <protection hidden="1"/>
    </xf>
    <xf numFmtId="234" fontId="18" fillId="12" borderId="10" xfId="1" applyNumberFormat="1" applyFont="1" applyFill="1" applyBorder="1" applyAlignment="1" applyProtection="1">
      <alignment horizontal="center" vertical="center" shrinkToFit="1"/>
      <protection locked="0"/>
    </xf>
    <xf numFmtId="43" fontId="18" fillId="0" borderId="10" xfId="1" applyFont="1" applyBorder="1" applyAlignment="1" applyProtection="1">
      <alignment horizontal="center" vertical="center" shrinkToFit="1"/>
      <protection hidden="1"/>
    </xf>
    <xf numFmtId="0" fontId="66" fillId="12" borderId="10" xfId="0" applyFont="1" applyFill="1" applyBorder="1" applyAlignment="1" applyProtection="1">
      <alignment horizontal="center" vertical="center" shrinkToFit="1"/>
      <protection locked="0"/>
    </xf>
    <xf numFmtId="234" fontId="18" fillId="0" borderId="10" xfId="1" applyNumberFormat="1" applyFont="1" applyBorder="1" applyAlignment="1" applyProtection="1">
      <alignment horizontal="center" vertical="center" shrinkToFit="1"/>
      <protection hidden="1"/>
    </xf>
    <xf numFmtId="231" fontId="18" fillId="12" borderId="10" xfId="0" applyNumberFormat="1" applyFont="1" applyFill="1" applyBorder="1" applyAlignment="1" applyProtection="1">
      <alignment vertical="center" shrinkToFit="1"/>
      <protection hidden="1"/>
    </xf>
    <xf numFmtId="0" fontId="66" fillId="0" borderId="10" xfId="0" applyFont="1" applyBorder="1" applyAlignment="1" applyProtection="1">
      <alignment horizontal="left" vertical="center" shrinkToFit="1"/>
      <protection hidden="1"/>
    </xf>
    <xf numFmtId="49" fontId="18" fillId="0" borderId="10" xfId="1" applyNumberFormat="1" applyFont="1" applyBorder="1" applyAlignment="1" applyProtection="1">
      <alignment horizontal="center" vertical="center" shrinkToFit="1"/>
      <protection hidden="1"/>
    </xf>
    <xf numFmtId="234" fontId="18" fillId="0" borderId="10" xfId="0" applyNumberFormat="1" applyFont="1" applyBorder="1" applyAlignment="1" applyProtection="1">
      <alignment horizontal="center" vertical="center" shrinkToFit="1"/>
      <protection hidden="1"/>
    </xf>
    <xf numFmtId="0" fontId="66" fillId="0" borderId="10" xfId="0" applyFont="1" applyBorder="1" applyAlignment="1" applyProtection="1">
      <alignment horizontal="center" vertical="center" shrinkToFit="1"/>
      <protection hidden="1"/>
    </xf>
    <xf numFmtId="242" fontId="18" fillId="0" borderId="10" xfId="0" applyNumberFormat="1" applyFont="1" applyBorder="1" applyAlignment="1" applyProtection="1">
      <alignment horizontal="center" vertical="center" shrinkToFit="1"/>
      <protection hidden="1"/>
    </xf>
    <xf numFmtId="10" fontId="18" fillId="0" borderId="10" xfId="0" applyNumberFormat="1" applyFont="1" applyBorder="1" applyAlignment="1" applyProtection="1">
      <alignment horizontal="center" vertical="center" shrinkToFit="1"/>
      <protection locked="0"/>
    </xf>
    <xf numFmtId="9" fontId="18" fillId="0" borderId="10" xfId="3" applyFont="1" applyFill="1" applyBorder="1" applyAlignment="1" applyProtection="1">
      <alignment horizontal="center" vertical="center" shrinkToFit="1"/>
      <protection locked="0"/>
    </xf>
    <xf numFmtId="207" fontId="18" fillId="0" borderId="10" xfId="0" applyNumberFormat="1" applyFont="1" applyBorder="1" applyAlignment="1" applyProtection="1">
      <alignment horizontal="center" vertical="center" shrinkToFit="1"/>
      <protection locked="0"/>
    </xf>
    <xf numFmtId="9" fontId="18" fillId="0" borderId="10" xfId="3" applyFont="1" applyFill="1" applyBorder="1" applyAlignment="1" applyProtection="1">
      <alignment horizontal="center" vertical="center" shrinkToFit="1"/>
      <protection hidden="1"/>
    </xf>
    <xf numFmtId="0" fontId="68" fillId="0" borderId="10" xfId="0" applyFont="1" applyBorder="1" applyAlignment="1" applyProtection="1">
      <alignment horizontal="center" vertical="center" shrinkToFit="1"/>
      <protection hidden="1"/>
    </xf>
    <xf numFmtId="9" fontId="18" fillId="0" borderId="10" xfId="0" applyNumberFormat="1" applyFont="1" applyBorder="1" applyAlignment="1" applyProtection="1">
      <alignment horizontal="center" vertical="center" shrinkToFit="1"/>
      <protection locked="0"/>
    </xf>
    <xf numFmtId="10" fontId="18" fillId="0" borderId="10" xfId="0" applyNumberFormat="1" applyFont="1" applyBorder="1" applyAlignment="1" applyProtection="1">
      <alignment vertical="center" shrinkToFit="1"/>
      <protection locked="0"/>
    </xf>
    <xf numFmtId="10" fontId="18" fillId="0" borderId="10" xfId="3" applyNumberFormat="1" applyFont="1" applyBorder="1" applyAlignment="1" applyProtection="1">
      <alignment vertical="center" shrinkToFit="1"/>
      <protection locked="0"/>
    </xf>
    <xf numFmtId="0" fontId="18" fillId="12" borderId="10" xfId="0" applyFont="1" applyFill="1" applyBorder="1" applyAlignment="1" applyProtection="1">
      <alignment vertical="center" shrinkToFit="1"/>
      <protection hidden="1"/>
    </xf>
    <xf numFmtId="242" fontId="18" fillId="12" borderId="10" xfId="0" applyNumberFormat="1" applyFont="1" applyFill="1" applyBorder="1" applyAlignment="1" applyProtection="1">
      <alignment horizontal="right" vertical="center" shrinkToFit="1"/>
      <protection hidden="1"/>
    </xf>
    <xf numFmtId="0" fontId="66" fillId="0" borderId="7" xfId="0" applyFont="1" applyBorder="1" applyAlignment="1" applyProtection="1">
      <alignment horizontal="center" vertical="center" shrinkToFit="1"/>
      <protection hidden="1"/>
    </xf>
    <xf numFmtId="0" fontId="66" fillId="0" borderId="7" xfId="0" applyFont="1" applyBorder="1" applyAlignment="1" applyProtection="1">
      <alignment vertical="center" shrinkToFit="1"/>
      <protection hidden="1"/>
    </xf>
    <xf numFmtId="49" fontId="69" fillId="0" borderId="0" xfId="1" applyNumberFormat="1" applyFont="1" applyBorder="1" applyAlignment="1">
      <alignment horizontal="centerContinuous" vertical="center"/>
    </xf>
    <xf numFmtId="49" fontId="69" fillId="0" borderId="0" xfId="227" applyNumberFormat="1" applyFont="1" applyAlignment="1">
      <alignment horizontal="centerContinuous" vertical="center"/>
    </xf>
    <xf numFmtId="49" fontId="70" fillId="0" borderId="0" xfId="227" applyNumberFormat="1" applyFont="1" applyAlignment="1">
      <alignment vertical="center"/>
    </xf>
    <xf numFmtId="49" fontId="2" fillId="0" borderId="0" xfId="1" applyNumberFormat="1" applyFont="1" applyBorder="1" applyAlignment="1">
      <alignment vertical="center"/>
    </xf>
    <xf numFmtId="49" fontId="71" fillId="0" borderId="0" xfId="6" applyNumberFormat="1" applyFont="1" applyBorder="1" applyAlignment="1" applyProtection="1">
      <alignment vertical="top"/>
    </xf>
    <xf numFmtId="49" fontId="2" fillId="0" borderId="0" xfId="227" applyNumberFormat="1" applyFont="1" applyAlignment="1">
      <alignment vertical="center"/>
    </xf>
    <xf numFmtId="49" fontId="2" fillId="0" borderId="0" xfId="227" applyNumberFormat="1" applyFont="1" applyAlignment="1">
      <alignment horizontal="center" vertical="center"/>
    </xf>
    <xf numFmtId="49" fontId="28" fillId="0" borderId="0" xfId="227" applyNumberFormat="1" applyFont="1" applyAlignment="1">
      <alignment vertical="center"/>
    </xf>
    <xf numFmtId="49" fontId="2" fillId="0" borderId="0" xfId="1" applyNumberFormat="1" applyFont="1" applyBorder="1" applyAlignment="1">
      <alignment vertical="top"/>
    </xf>
    <xf numFmtId="0" fontId="71" fillId="0" borderId="0" xfId="6" applyFont="1" applyBorder="1" applyAlignment="1" applyProtection="1">
      <alignment horizontal="left"/>
    </xf>
    <xf numFmtId="49" fontId="2" fillId="0" borderId="0" xfId="227" applyNumberFormat="1" applyFont="1" applyAlignment="1">
      <alignment vertical="top"/>
    </xf>
    <xf numFmtId="49" fontId="2" fillId="0" borderId="0" xfId="227" applyNumberFormat="1" applyFont="1" applyAlignment="1">
      <alignment horizontal="center" vertical="top"/>
    </xf>
    <xf numFmtId="49" fontId="28" fillId="0" borderId="0" xfId="227" applyNumberFormat="1" applyFont="1" applyAlignment="1">
      <alignment vertical="top"/>
    </xf>
    <xf numFmtId="49" fontId="2" fillId="0" borderId="0" xfId="1" applyNumberFormat="1" applyFont="1" applyBorder="1" applyAlignment="1">
      <alignment horizontal="left" vertical="center"/>
    </xf>
    <xf numFmtId="49" fontId="71" fillId="0" borderId="0" xfId="6" applyNumberFormat="1" applyFont="1" applyBorder="1" applyAlignment="1" applyProtection="1">
      <alignment horizontal="left" vertical="center"/>
    </xf>
    <xf numFmtId="49" fontId="71" fillId="0" borderId="0" xfId="6" applyNumberFormat="1" applyFont="1" applyBorder="1" applyAlignment="1" applyProtection="1">
      <alignment horizontal="left" vertical="top"/>
    </xf>
    <xf numFmtId="49" fontId="71" fillId="0" borderId="0" xfId="6" applyNumberFormat="1" applyFont="1" applyBorder="1" applyAlignment="1" applyProtection="1">
      <alignment vertical="center"/>
    </xf>
    <xf numFmtId="49" fontId="2" fillId="0" borderId="0" xfId="227" applyNumberFormat="1" applyFont="1" applyAlignment="1">
      <alignment horizontal="left" vertical="center"/>
    </xf>
    <xf numFmtId="255" fontId="28" fillId="0" borderId="0" xfId="227" applyNumberFormat="1" applyFont="1" applyAlignment="1">
      <alignment vertical="center"/>
    </xf>
    <xf numFmtId="49" fontId="72" fillId="0" borderId="0" xfId="6" applyNumberFormat="1" applyFont="1" applyBorder="1" applyAlignment="1" applyProtection="1">
      <alignment vertical="center"/>
    </xf>
    <xf numFmtId="49" fontId="28" fillId="0" borderId="0" xfId="1" applyNumberFormat="1" applyFont="1" applyBorder="1" applyAlignment="1">
      <alignment vertical="center"/>
    </xf>
    <xf numFmtId="0" fontId="16" fillId="0" borderId="56" xfId="6" applyFont="1" applyFill="1" applyBorder="1" applyAlignment="1" applyProtection="1">
      <alignment horizontal="center" vertical="center"/>
    </xf>
    <xf numFmtId="0" fontId="73" fillId="16" borderId="57" xfId="226" applyFont="1" applyFill="1" applyBorder="1" applyAlignment="1">
      <alignment horizontal="center" vertical="center"/>
    </xf>
    <xf numFmtId="0" fontId="73" fillId="16" borderId="58" xfId="226" applyFont="1" applyFill="1" applyBorder="1" applyAlignment="1">
      <alignment horizontal="center" vertical="center"/>
    </xf>
    <xf numFmtId="0" fontId="73" fillId="16" borderId="59" xfId="226" applyFont="1" applyFill="1" applyBorder="1" applyAlignment="1">
      <alignment horizontal="center" vertical="center"/>
    </xf>
    <xf numFmtId="0" fontId="73" fillId="16" borderId="60" xfId="226" applyFont="1" applyFill="1" applyBorder="1" applyAlignment="1">
      <alignment horizontal="center" vertical="center"/>
    </xf>
    <xf numFmtId="0" fontId="74" fillId="17" borderId="61" xfId="226" applyFont="1" applyFill="1" applyBorder="1" applyAlignment="1">
      <alignment horizontal="center" vertical="center"/>
    </xf>
    <xf numFmtId="0" fontId="74" fillId="17" borderId="62" xfId="226" applyFont="1" applyFill="1" applyBorder="1" applyAlignment="1">
      <alignment horizontal="center" vertical="center"/>
    </xf>
    <xf numFmtId="0" fontId="74" fillId="17" borderId="63" xfId="226" applyFont="1" applyFill="1" applyBorder="1" applyAlignment="1">
      <alignment horizontal="center" vertical="center"/>
    </xf>
    <xf numFmtId="0" fontId="73" fillId="16" borderId="64" xfId="226" applyFont="1" applyFill="1" applyBorder="1" applyAlignment="1">
      <alignment horizontal="center" vertical="center"/>
    </xf>
    <xf numFmtId="0" fontId="75" fillId="17" borderId="65" xfId="226" applyFont="1" applyFill="1" applyBorder="1" applyAlignment="1">
      <alignment horizontal="center" vertical="center"/>
    </xf>
    <xf numFmtId="0" fontId="75" fillId="17" borderId="0" xfId="226" applyFont="1" applyFill="1" applyAlignment="1">
      <alignment horizontal="center" vertical="center"/>
    </xf>
    <xf numFmtId="0" fontId="75" fillId="17" borderId="66" xfId="226" applyFont="1" applyFill="1" applyBorder="1" applyAlignment="1">
      <alignment horizontal="center" vertical="center"/>
    </xf>
    <xf numFmtId="0" fontId="7" fillId="17" borderId="65" xfId="226" applyFont="1" applyFill="1" applyBorder="1" applyAlignment="1">
      <alignment horizontal="center" vertical="center"/>
    </xf>
    <xf numFmtId="0" fontId="76" fillId="17" borderId="0" xfId="226" applyFont="1" applyFill="1" applyAlignment="1">
      <alignment vertical="center"/>
    </xf>
    <xf numFmtId="0" fontId="77" fillId="17" borderId="66" xfId="226" applyFont="1" applyFill="1" applyBorder="1" applyAlignment="1">
      <alignment horizontal="center" vertical="center"/>
    </xf>
    <xf numFmtId="0" fontId="77" fillId="17" borderId="0" xfId="226" applyFont="1" applyFill="1" applyAlignment="1">
      <alignment horizontal="center" vertical="center"/>
    </xf>
    <xf numFmtId="49" fontId="6" fillId="9" borderId="48" xfId="226" applyNumberFormat="1" applyFont="1" applyFill="1" applyBorder="1" applyAlignment="1">
      <alignment vertical="center"/>
    </xf>
    <xf numFmtId="49" fontId="6" fillId="9" borderId="8" xfId="226" applyNumberFormat="1" applyFont="1" applyFill="1" applyBorder="1" applyAlignment="1">
      <alignment vertical="center"/>
    </xf>
    <xf numFmtId="49" fontId="78" fillId="12" borderId="29" xfId="226" applyNumberFormat="1" applyFont="1" applyFill="1" applyBorder="1" applyAlignment="1" applyProtection="1">
      <alignment horizontal="left" vertical="center"/>
      <protection locked="0"/>
    </xf>
    <xf numFmtId="49" fontId="8" fillId="12" borderId="29" xfId="226" applyNumberFormat="1" applyFont="1" applyFill="1" applyBorder="1" applyAlignment="1" applyProtection="1">
      <alignment horizontal="left" vertical="center"/>
      <protection locked="0"/>
    </xf>
    <xf numFmtId="49" fontId="8" fillId="12" borderId="43" xfId="226" applyNumberFormat="1" applyFont="1" applyFill="1" applyBorder="1" applyAlignment="1" applyProtection="1">
      <alignment horizontal="left" vertical="center"/>
      <protection locked="0"/>
    </xf>
    <xf numFmtId="0" fontId="79" fillId="17" borderId="48" xfId="226" applyFont="1" applyFill="1" applyBorder="1" applyAlignment="1">
      <alignment vertical="center"/>
    </xf>
    <xf numFmtId="0" fontId="79" fillId="17" borderId="8" xfId="226" applyFont="1" applyFill="1" applyBorder="1" applyAlignment="1">
      <alignment vertical="center"/>
    </xf>
    <xf numFmtId="0" fontId="79" fillId="17" borderId="37" xfId="226" applyFont="1" applyFill="1" applyBorder="1" applyAlignment="1">
      <alignment vertical="center"/>
    </xf>
    <xf numFmtId="49" fontId="8" fillId="12" borderId="8" xfId="226" applyNumberFormat="1" applyFont="1" applyFill="1" applyBorder="1" applyAlignment="1" applyProtection="1">
      <alignment horizontal="center" vertical="center"/>
      <protection locked="0"/>
    </xf>
    <xf numFmtId="49" fontId="8" fillId="9" borderId="8" xfId="226" applyNumberFormat="1" applyFont="1" applyFill="1" applyBorder="1" applyAlignment="1">
      <alignment horizontal="center" vertical="center"/>
    </xf>
    <xf numFmtId="49" fontId="8" fillId="9" borderId="8" xfId="226" applyNumberFormat="1" applyFont="1" applyFill="1" applyBorder="1" applyAlignment="1">
      <alignment vertical="center"/>
    </xf>
    <xf numFmtId="49" fontId="8" fillId="9" borderId="37" xfId="226" applyNumberFormat="1" applyFont="1" applyFill="1" applyBorder="1" applyAlignment="1">
      <alignment vertical="center"/>
    </xf>
    <xf numFmtId="0" fontId="80" fillId="17" borderId="48" xfId="226" applyFont="1" applyFill="1" applyBorder="1" applyAlignment="1">
      <alignment vertical="center"/>
    </xf>
    <xf numFmtId="0" fontId="80" fillId="17" borderId="8" xfId="226" applyFont="1" applyFill="1" applyBorder="1" applyAlignment="1">
      <alignment vertical="center"/>
    </xf>
    <xf numFmtId="0" fontId="80" fillId="17" borderId="13" xfId="226" applyFont="1" applyFill="1" applyBorder="1" applyAlignment="1">
      <alignment vertical="center"/>
    </xf>
    <xf numFmtId="0" fontId="80" fillId="17" borderId="37" xfId="226" applyFont="1" applyFill="1" applyBorder="1" applyAlignment="1">
      <alignment vertical="center"/>
    </xf>
    <xf numFmtId="49" fontId="81" fillId="12" borderId="29" xfId="226" applyNumberFormat="1" applyFont="1" applyFill="1" applyBorder="1" applyAlignment="1" applyProtection="1">
      <alignment horizontal="left" vertical="center"/>
      <protection locked="0"/>
    </xf>
    <xf numFmtId="0" fontId="82" fillId="17" borderId="48" xfId="226" applyFont="1" applyFill="1" applyBorder="1" applyAlignment="1">
      <alignment vertical="center"/>
    </xf>
    <xf numFmtId="0" fontId="82" fillId="17" borderId="8" xfId="226" applyFont="1" applyFill="1" applyBorder="1" applyAlignment="1">
      <alignment vertical="center"/>
    </xf>
    <xf numFmtId="0" fontId="82" fillId="17" borderId="37" xfId="226" applyFont="1" applyFill="1" applyBorder="1" applyAlignment="1">
      <alignment vertical="center"/>
    </xf>
    <xf numFmtId="49" fontId="6" fillId="9" borderId="53" xfId="226" applyNumberFormat="1" applyFont="1" applyFill="1" applyBorder="1" applyAlignment="1">
      <alignment horizontal="left" vertical="center"/>
    </xf>
    <xf numFmtId="49" fontId="6" fillId="9" borderId="67" xfId="226" applyNumberFormat="1" applyFont="1" applyFill="1" applyBorder="1" applyAlignment="1">
      <alignment horizontal="left" vertical="center"/>
    </xf>
    <xf numFmtId="49" fontId="8" fillId="9" borderId="67" xfId="226" applyNumberFormat="1" applyFont="1" applyFill="1" applyBorder="1" applyAlignment="1">
      <alignment horizontal="center" vertical="center"/>
    </xf>
    <xf numFmtId="49" fontId="8" fillId="12" borderId="67" xfId="226" applyNumberFormat="1" applyFont="1" applyFill="1" applyBorder="1" applyAlignment="1" applyProtection="1">
      <alignment horizontal="center" vertical="center"/>
      <protection locked="0"/>
    </xf>
    <xf numFmtId="49" fontId="8" fillId="9" borderId="67" xfId="226" applyNumberFormat="1" applyFont="1" applyFill="1" applyBorder="1" applyAlignment="1">
      <alignment vertical="center"/>
    </xf>
    <xf numFmtId="49" fontId="8" fillId="9" borderId="68" xfId="226" applyNumberFormat="1" applyFont="1" applyFill="1" applyBorder="1" applyAlignment="1">
      <alignment vertical="center"/>
    </xf>
    <xf numFmtId="0" fontId="6" fillId="17" borderId="0" xfId="226" applyFont="1" applyFill="1" applyAlignment="1">
      <alignment horizontal="center" vertical="center"/>
    </xf>
    <xf numFmtId="49" fontId="6" fillId="9" borderId="46" xfId="226" applyNumberFormat="1" applyFont="1" applyFill="1" applyBorder="1" applyAlignment="1">
      <alignment horizontal="left" vertical="center"/>
    </xf>
    <xf numFmtId="0" fontId="6" fillId="0" borderId="29" xfId="0" applyFont="1" applyBorder="1" applyAlignment="1">
      <alignment vertical="center"/>
    </xf>
    <xf numFmtId="0" fontId="6" fillId="12" borderId="29" xfId="0" applyFont="1" applyFill="1" applyBorder="1" applyAlignment="1" applyProtection="1">
      <alignment vertical="center"/>
      <protection locked="0"/>
    </xf>
    <xf numFmtId="0" fontId="6" fillId="12" borderId="43" xfId="0" applyFont="1" applyFill="1" applyBorder="1" applyAlignment="1" applyProtection="1">
      <alignment vertical="center"/>
      <protection locked="0"/>
    </xf>
    <xf numFmtId="0" fontId="6" fillId="17" borderId="48" xfId="226" applyFont="1" applyFill="1" applyBorder="1" applyAlignment="1">
      <alignment vertical="center"/>
    </xf>
    <xf numFmtId="0" fontId="6" fillId="17" borderId="8" xfId="226" applyFont="1" applyFill="1" applyBorder="1" applyAlignment="1">
      <alignment vertical="center"/>
    </xf>
    <xf numFmtId="0" fontId="6" fillId="17" borderId="37" xfId="226" applyFont="1" applyFill="1" applyBorder="1" applyAlignment="1">
      <alignment vertical="center"/>
    </xf>
    <xf numFmtId="49" fontId="6" fillId="9" borderId="48" xfId="226" applyNumberFormat="1" applyFont="1" applyFill="1" applyBorder="1" applyAlignment="1">
      <alignment horizontal="left" vertical="center"/>
    </xf>
    <xf numFmtId="49" fontId="6" fillId="9" borderId="8" xfId="226" applyNumberFormat="1" applyFont="1" applyFill="1" applyBorder="1" applyAlignment="1">
      <alignment horizontal="left" vertical="center"/>
    </xf>
    <xf numFmtId="49" fontId="8" fillId="12" borderId="8" xfId="226" applyNumberFormat="1" applyFont="1" applyFill="1" applyBorder="1" applyAlignment="1" applyProtection="1">
      <alignment horizontal="left" vertical="center"/>
      <protection locked="0"/>
    </xf>
    <xf numFmtId="49" fontId="8" fillId="12" borderId="37" xfId="226" applyNumberFormat="1" applyFont="1" applyFill="1" applyBorder="1" applyAlignment="1" applyProtection="1">
      <alignment horizontal="left" vertical="center"/>
      <protection locked="0"/>
    </xf>
    <xf numFmtId="49" fontId="81" fillId="12" borderId="8" xfId="226" applyNumberFormat="1" applyFont="1" applyFill="1" applyBorder="1" applyAlignment="1" applyProtection="1">
      <alignment horizontal="left" vertical="center"/>
      <protection locked="0"/>
    </xf>
    <xf numFmtId="49" fontId="6" fillId="0" borderId="0" xfId="0" applyNumberFormat="1" applyFont="1" applyAlignment="1">
      <alignment vertical="center"/>
    </xf>
    <xf numFmtId="49" fontId="8" fillId="12" borderId="67" xfId="226" applyNumberFormat="1" applyFont="1" applyFill="1" applyBorder="1" applyAlignment="1" applyProtection="1">
      <alignment horizontal="left" vertical="center"/>
      <protection locked="0"/>
    </xf>
    <xf numFmtId="49" fontId="8" fillId="12" borderId="68" xfId="226" applyNumberFormat="1" applyFont="1" applyFill="1" applyBorder="1" applyAlignment="1" applyProtection="1">
      <alignment horizontal="left" vertical="center"/>
      <protection locked="0"/>
    </xf>
    <xf numFmtId="49" fontId="6" fillId="17" borderId="0" xfId="226" applyNumberFormat="1" applyFont="1" applyFill="1" applyAlignment="1">
      <alignment horizontal="left" vertical="center"/>
    </xf>
    <xf numFmtId="0" fontId="83" fillId="16" borderId="69" xfId="226" applyFont="1" applyFill="1" applyBorder="1" applyAlignment="1">
      <alignment horizontal="center" vertical="center"/>
    </xf>
    <xf numFmtId="0" fontId="83" fillId="16" borderId="70" xfId="226" applyFont="1" applyFill="1" applyBorder="1" applyAlignment="1">
      <alignment horizontal="center" vertical="center"/>
    </xf>
    <xf numFmtId="0" fontId="83" fillId="16" borderId="71" xfId="226" applyFont="1" applyFill="1" applyBorder="1" applyAlignment="1">
      <alignment horizontal="center" vertical="center"/>
    </xf>
  </cellXfs>
  <cellStyles count="28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x000a_386grabber=M 2" xfId="49"/>
    <cellStyle name="??" xfId="50"/>
    <cellStyle name="@_text" xfId="51"/>
    <cellStyle name="_(中企华)审计评估联合申报明细表.V1" xfId="52"/>
    <cellStyle name="_ET_STYLE_NoName_00_" xfId="53"/>
    <cellStyle name="{Comma [0]}" xfId="54"/>
    <cellStyle name="{Comma}" xfId="55"/>
    <cellStyle name="{Date}" xfId="56"/>
    <cellStyle name="{Month}" xfId="57"/>
    <cellStyle name="{Percent}" xfId="58"/>
    <cellStyle name="{Thousand [0]}" xfId="59"/>
    <cellStyle name="{Thousand}" xfId="60"/>
    <cellStyle name="{Z'0000(1 dec)}" xfId="61"/>
    <cellStyle name="{Z'0000(4 dec)}" xfId="62"/>
    <cellStyle name="00" xfId="63"/>
    <cellStyle name="Accent1" xfId="64"/>
    <cellStyle name="Accent1 - 20%" xfId="65"/>
    <cellStyle name="Accent1 - 60%" xfId="66"/>
    <cellStyle name="Accent2" xfId="67"/>
    <cellStyle name="Accent2 - 20%" xfId="68"/>
    <cellStyle name="Accent2 - 40%" xfId="69"/>
    <cellStyle name="Accent2 - 60%" xfId="70"/>
    <cellStyle name="Accent3 - 40%" xfId="71"/>
    <cellStyle name="Accent3 - 60%" xfId="72"/>
    <cellStyle name="Accent5" xfId="73"/>
    <cellStyle name="Accent5 - 20%" xfId="74"/>
    <cellStyle name="Accent6" xfId="75"/>
    <cellStyle name="Accent6 - 40%" xfId="76"/>
    <cellStyle name="Accent6 - 60%" xfId="77"/>
    <cellStyle name="args.style" xfId="78"/>
    <cellStyle name="Black" xfId="79"/>
    <cellStyle name="Border" xfId="80"/>
    <cellStyle name="Calc Currency (0)" xfId="81"/>
    <cellStyle name="Calc Currency (2)" xfId="82"/>
    <cellStyle name="Calc Percent (0)" xfId="83"/>
    <cellStyle name="Calc Percent (1)" xfId="84"/>
    <cellStyle name="Calc Percent (2)" xfId="85"/>
    <cellStyle name="Calc Units (0)" xfId="86"/>
    <cellStyle name="Calc Units (1)" xfId="87"/>
    <cellStyle name="category" xfId="88"/>
    <cellStyle name="ColLevel_0" xfId="89"/>
    <cellStyle name="Column Headings" xfId="90"/>
    <cellStyle name="Column$Headings" xfId="91"/>
    <cellStyle name="Column_Title" xfId="92"/>
    <cellStyle name="Comma  - Style1" xfId="93"/>
    <cellStyle name="Comma [0]_ SG&amp;A Bridge " xfId="94"/>
    <cellStyle name="Comma [00]" xfId="95"/>
    <cellStyle name="Comma[2]" xfId="96"/>
    <cellStyle name="comma-d" xfId="97"/>
    <cellStyle name="Copied" xfId="98"/>
    <cellStyle name="COST1" xfId="99"/>
    <cellStyle name="Credit" xfId="100"/>
    <cellStyle name="Credit subtotal" xfId="101"/>
    <cellStyle name="Credit Total" xfId="102"/>
    <cellStyle name="Currency $" xfId="103"/>
    <cellStyle name="Currency [0]_ rislugp" xfId="104"/>
    <cellStyle name="Currency [00]" xfId="105"/>
    <cellStyle name="Currency[2]" xfId="106"/>
    <cellStyle name="Currency_ rislugp" xfId="107"/>
    <cellStyle name="Date" xfId="108"/>
    <cellStyle name="Date Short" xfId="109"/>
    <cellStyle name="Debit" xfId="110"/>
    <cellStyle name="Debit subtotal" xfId="111"/>
    <cellStyle name="Debit Total" xfId="112"/>
    <cellStyle name="Dezimal [0]_laroux" xfId="113"/>
    <cellStyle name="E&amp;Y House" xfId="114"/>
    <cellStyle name="Entered" xfId="115"/>
    <cellStyle name="entry box" xfId="116"/>
    <cellStyle name="Euro" xfId="117"/>
    <cellStyle name="Euro 2" xfId="118"/>
    <cellStyle name="F2" xfId="119"/>
    <cellStyle name="Followed Hyperlink" xfId="120"/>
    <cellStyle name="Format Number Column" xfId="121"/>
    <cellStyle name="Grey" xfId="122"/>
    <cellStyle name="HEADER" xfId="123"/>
    <cellStyle name="Header1" xfId="124"/>
    <cellStyle name="Header2" xfId="125"/>
    <cellStyle name="Hyperlink" xfId="126"/>
    <cellStyle name="Input [yellow]" xfId="127"/>
    <cellStyle name="Input Cells" xfId="128"/>
    <cellStyle name="InputArea" xfId="129"/>
    <cellStyle name="KPMG Heading 1" xfId="130"/>
    <cellStyle name="KPMG Heading 2" xfId="131"/>
    <cellStyle name="KPMG Heading 3" xfId="132"/>
    <cellStyle name="KPMG Heading 4" xfId="133"/>
    <cellStyle name="Lines Fill" xfId="134"/>
    <cellStyle name="Linked Cells" xfId="135"/>
    <cellStyle name="Milliers [0]_!!!GO" xfId="136"/>
    <cellStyle name="Milliers_!!!GO" xfId="137"/>
    <cellStyle name="Model" xfId="138"/>
    <cellStyle name="Monétaire [0]_!!!GO" xfId="139"/>
    <cellStyle name="Monétaire_!!!GO" xfId="140"/>
    <cellStyle name="Mon閠aire [0]_!!!GO" xfId="141"/>
    <cellStyle name="Mon閠aire_!!!GO" xfId="142"/>
    <cellStyle name="no dec" xfId="143"/>
    <cellStyle name="Non défini" xfId="144"/>
    <cellStyle name="Normal - Style1" xfId="145"/>
    <cellStyle name="Normal_ Cost Centre Code" xfId="146"/>
    <cellStyle name="Normal_0105第二套审计报表定稿" xfId="147"/>
    <cellStyle name="Normal_Sheet1_Valuer report" xfId="148"/>
    <cellStyle name="Normal_廣朹廣電 shenjibaobiao 31.12.2000 (revised on 7.3.02)" xfId="149"/>
    <cellStyle name="Normalny_Arkusz1" xfId="150"/>
    <cellStyle name="Œ…‹æØ‚è [0.00]_Region Orders (2)" xfId="151"/>
    <cellStyle name="Œ…‹æØ‚è_Region Orders (2)" xfId="152"/>
    <cellStyle name="Output Amounts" xfId="153"/>
    <cellStyle name="per.style" xfId="154"/>
    <cellStyle name="Percent [0]" xfId="155"/>
    <cellStyle name="Percent [00]" xfId="156"/>
    <cellStyle name="Percent [2]" xfId="157"/>
    <cellStyle name="Percent[0]" xfId="158"/>
    <cellStyle name="Percent[2]" xfId="159"/>
    <cellStyle name="Percent_#6 Temps &amp; Contractors" xfId="160"/>
    <cellStyle name="Prefilled" xfId="161"/>
    <cellStyle name="pricing" xfId="162"/>
    <cellStyle name="PSChar" xfId="163"/>
    <cellStyle name="Red" xfId="164"/>
    <cellStyle name="RevList" xfId="165"/>
    <cellStyle name="row_def_array" xfId="166"/>
    <cellStyle name="RowLevel_0" xfId="167"/>
    <cellStyle name="Sheet Head" xfId="168"/>
    <cellStyle name="style" xfId="169"/>
    <cellStyle name="style1" xfId="170"/>
    <cellStyle name="style2" xfId="171"/>
    <cellStyle name="subhead" xfId="172"/>
    <cellStyle name="Subtotal" xfId="173"/>
    <cellStyle name="Text Indent A" xfId="174"/>
    <cellStyle name="Text Indent B" xfId="175"/>
    <cellStyle name="Text Indent C" xfId="176"/>
    <cellStyle name="Total" xfId="177"/>
    <cellStyle name="Tusental (0)_pldt" xfId="178"/>
    <cellStyle name="Tusental_pldt" xfId="179"/>
    <cellStyle name="Valuta (0)_pldt" xfId="180"/>
    <cellStyle name="Valuta_pldt" xfId="181"/>
    <cellStyle name="_laroux" xfId="182"/>
    <cellStyle name="百分比 10" xfId="183"/>
    <cellStyle name="百分比 10 2" xfId="184"/>
    <cellStyle name="百分比 12" xfId="185"/>
    <cellStyle name="百分比 15" xfId="186"/>
    <cellStyle name="百分比 2" xfId="187"/>
    <cellStyle name="百分比 2 10" xfId="188"/>
    <cellStyle name="百分比 2 3" xfId="189"/>
    <cellStyle name="百分比 2 4 3" xfId="190"/>
    <cellStyle name="捠壿 [0.00]_!!!GO" xfId="191"/>
    <cellStyle name="捠壿_!!!GO" xfId="192"/>
    <cellStyle name="表标题" xfId="193"/>
    <cellStyle name="差_0806成本法评估申报表-中卫" xfId="194"/>
    <cellStyle name="差_评估明细表-股份12" xfId="195"/>
    <cellStyle name="差_评估申报表(重庆2007.12.31)" xfId="196"/>
    <cellStyle name="差_上海所技术评估计算模型" xfId="197"/>
    <cellStyle name="差_收益法评估表格1122" xfId="198"/>
    <cellStyle name="常规 10" xfId="199"/>
    <cellStyle name="常规 12 2 2" xfId="200"/>
    <cellStyle name="常规 14" xfId="201"/>
    <cellStyle name="常规 14 2" xfId="202"/>
    <cellStyle name="常规 17" xfId="203"/>
    <cellStyle name="常规 2" xfId="204"/>
    <cellStyle name="常规 2 2 2" xfId="205"/>
    <cellStyle name="常规 247" xfId="206"/>
    <cellStyle name="常规 3 3" xfId="207"/>
    <cellStyle name="常规 3 9" xfId="208"/>
    <cellStyle name="常规 4 2" xfId="209"/>
    <cellStyle name="常规 5" xfId="210"/>
    <cellStyle name="常规 6" xfId="211"/>
    <cellStyle name="常规 7" xfId="212"/>
    <cellStyle name="常规 8 4" xfId="213"/>
    <cellStyle name="常规_040000天辰公司" xfId="214"/>
    <cellStyle name="常规_Book1" xfId="215"/>
    <cellStyle name="常规_Sheet1" xfId="216"/>
    <cellStyle name="常规_Sheet1_040000天辰公司" xfId="217"/>
    <cellStyle name="常规_北仑 一期收益表" xfId="218"/>
    <cellStyle name="常规_存货" xfId="219"/>
    <cellStyle name="常规_电力企业评估申报表" xfId="220"/>
    <cellStyle name="常规_基本情况" xfId="221"/>
    <cellStyle name="常规_龙成项目评估明细表(jiangying0313)" xfId="222"/>
    <cellStyle name="常规_龙东井巷评估表" xfId="223"/>
    <cellStyle name="常规_评估计算表" xfId="224"/>
    <cellStyle name="常规_评估空白套表1" xfId="225"/>
    <cellStyle name="常规_评估明细表（申报）" xfId="226"/>
    <cellStyle name="常规_评估明细表太原12-11" xfId="227"/>
    <cellStyle name="常规_审计模板11.23" xfId="228"/>
    <cellStyle name="常规_铁西一库 收益法模型5.16" xfId="229"/>
    <cellStyle name="常规_往来核对附表" xfId="230"/>
    <cellStyle name="常规_五整体资产评估收益法" xfId="231"/>
    <cellStyle name="常规_中航油评估明细表" xfId="232"/>
    <cellStyle name="常规_中行土地、房产清单" xfId="233"/>
    <cellStyle name="超级链接_2000年华联商厦财务科工作底稿" xfId="234"/>
    <cellStyle name="超链接 2" xfId="235"/>
    <cellStyle name="超链接 2 2" xfId="236"/>
    <cellStyle name="超链接 5" xfId="237"/>
    <cellStyle name="分级显示列_1_Book1" xfId="238"/>
    <cellStyle name="公司标准表" xfId="239"/>
    <cellStyle name="好_0806成本法评估申报表-中卫" xfId="240"/>
    <cellStyle name="好_江苏方天成本法评估申报表（正式）" xfId="241"/>
    <cellStyle name="好_评估明细表-股份12" xfId="242"/>
    <cellStyle name="好_上海所技术评估计算模型" xfId="243"/>
    <cellStyle name="好_收益法评估表格1122" xfId="244"/>
    <cellStyle name="货币 2" xfId="245"/>
    <cellStyle name="貨幣 [0]_SGV" xfId="246"/>
    <cellStyle name="貨幣_SGV" xfId="247"/>
    <cellStyle name="霓付 [0]_1202" xfId="248"/>
    <cellStyle name="霓付_1202" xfId="249"/>
    <cellStyle name="烹拳 [0]_1202" xfId="250"/>
    <cellStyle name="烹拳_1202" xfId="251"/>
    <cellStyle name="普通_附19_minxi98114" xfId="252"/>
    <cellStyle name="千分位_ 白土" xfId="253"/>
    <cellStyle name="千位[0]_ 应交税金审定表" xfId="254"/>
    <cellStyle name="千位_ 应交税金审定表" xfId="255"/>
    <cellStyle name="千位分隔 10" xfId="256"/>
    <cellStyle name="千位分隔 14" xfId="257"/>
    <cellStyle name="千位分隔 15" xfId="258"/>
    <cellStyle name="千位分隔 2" xfId="259"/>
    <cellStyle name="千位分隔 2 2" xfId="260"/>
    <cellStyle name="千位分隔 2 2 2" xfId="261"/>
    <cellStyle name="千位分隔 2 5" xfId="262"/>
    <cellStyle name="千位分隔 2 9" xfId="263"/>
    <cellStyle name="千位分隔 3" xfId="264"/>
    <cellStyle name="千位分隔 7" xfId="265"/>
    <cellStyle name="千位分隔 9" xfId="266"/>
    <cellStyle name="千位分隔[0] 5" xfId="267"/>
    <cellStyle name="千位分隔[0]_标准表" xfId="268"/>
    <cellStyle name="钎霖_(沥焊何巩)岿喊牢盔拌裙" xfId="269"/>
    <cellStyle name="强调 1" xfId="270"/>
    <cellStyle name="强调 2" xfId="271"/>
    <cellStyle name="强调 3" xfId="272"/>
    <cellStyle name="寘嬫愗傝 [0.00]_!!!GO" xfId="273"/>
    <cellStyle name="寘嬫愗傝_!!!GO" xfId="274"/>
    <cellStyle name="资产" xfId="275"/>
    <cellStyle name="콤마 [0]_BOILER-CO1" xfId="276"/>
    <cellStyle name="콤마_BOILER-CO1" xfId="277"/>
    <cellStyle name="표준_0N-HANDLING " xfId="278"/>
    <cellStyle name="표준_kc-elec system check list" xfId="279"/>
  </cellStyles>
  <dxfs count="8">
    <dxf>
      <fill>
        <patternFill patternType="solid">
          <bgColor theme="1"/>
        </patternFill>
      </fill>
    </dxf>
    <dxf>
      <fill>
        <patternFill patternType="solid">
          <bgColor rgb="FFFF0000"/>
        </patternFill>
      </fill>
    </dxf>
    <dxf>
      <fill>
        <patternFill patternType="solid">
          <bgColor theme="2" tint="-0.899899288918729"/>
        </patternFill>
      </fill>
    </dxf>
    <dxf>
      <font>
        <color rgb="FFFFFFFF"/>
      </font>
    </dxf>
    <dxf>
      <fill>
        <patternFill patternType="solid">
          <bgColor rgb="FFFF0000"/>
        </patternFill>
      </fill>
    </dxf>
    <dxf>
      <fill>
        <patternFill patternType="solid">
          <bgColor rgb="FFFF0000"/>
        </patternFill>
      </fill>
    </dxf>
    <dxf>
      <fill>
        <patternFill patternType="solid">
          <bgColor rgb="FFFF0000"/>
        </patternFill>
      </fill>
    </dxf>
    <dxf>
      <font>
        <color theme="1"/>
      </font>
      <border>
        <left style="thin">
          <color auto="1"/>
        </left>
        <right style="thin">
          <color auto="1"/>
        </right>
        <top style="thin">
          <color auto="1"/>
        </top>
        <bottom style="thin">
          <color auto="1"/>
        </bottom>
      </border>
    </dxf>
  </dxfs>
  <tableStyles count="0" defaultTableStyle="TableStyleMedium9" defaultPivotStyle="PivotStyleLight16"/>
  <colors>
    <mruColors>
      <color rgb="00C0C0C0"/>
      <color rgb="00B2B2B2"/>
      <color rgb="0000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4" Type="http://schemas.openxmlformats.org/officeDocument/2006/relationships/styles" Target="styles.xml"/><Relationship Id="rId143" Type="http://schemas.openxmlformats.org/officeDocument/2006/relationships/sharedStrings" Target="sharedStrings.xml"/><Relationship Id="rId142" Type="http://schemas.openxmlformats.org/officeDocument/2006/relationships/theme" Target="theme/theme1.xml"/><Relationship Id="rId141" Type="http://schemas.openxmlformats.org/officeDocument/2006/relationships/customXml" Target="../customXml/item1.xml"/><Relationship Id="rId140" Type="http://schemas.openxmlformats.org/officeDocument/2006/relationships/worksheet" Target="worksheets/sheet140.xml"/><Relationship Id="rId14" Type="http://schemas.openxmlformats.org/officeDocument/2006/relationships/worksheet" Target="worksheets/sheet14.xml"/><Relationship Id="rId139" Type="http://schemas.openxmlformats.org/officeDocument/2006/relationships/worksheet" Target="worksheets/sheet139.xml"/><Relationship Id="rId138" Type="http://schemas.openxmlformats.org/officeDocument/2006/relationships/worksheet" Target="worksheets/sheet138.xml"/><Relationship Id="rId137" Type="http://schemas.openxmlformats.org/officeDocument/2006/relationships/worksheet" Target="worksheets/sheet137.xml"/><Relationship Id="rId136" Type="http://schemas.openxmlformats.org/officeDocument/2006/relationships/worksheet" Target="worksheets/sheet136.xml"/><Relationship Id="rId135" Type="http://schemas.openxmlformats.org/officeDocument/2006/relationships/worksheet" Target="worksheets/sheet135.xml"/><Relationship Id="rId134" Type="http://schemas.openxmlformats.org/officeDocument/2006/relationships/worksheet" Target="worksheets/sheet134.xml"/><Relationship Id="rId133" Type="http://schemas.openxmlformats.org/officeDocument/2006/relationships/worksheet" Target="worksheets/sheet133.xml"/><Relationship Id="rId132" Type="http://schemas.openxmlformats.org/officeDocument/2006/relationships/worksheet" Target="worksheets/sheet132.xml"/><Relationship Id="rId131" Type="http://schemas.openxmlformats.org/officeDocument/2006/relationships/worksheet" Target="worksheets/sheet131.xml"/><Relationship Id="rId130" Type="http://schemas.openxmlformats.org/officeDocument/2006/relationships/worksheet" Target="worksheets/sheet130.xml"/><Relationship Id="rId13" Type="http://schemas.openxmlformats.org/officeDocument/2006/relationships/worksheet" Target="worksheets/sheet13.xml"/><Relationship Id="rId129" Type="http://schemas.openxmlformats.org/officeDocument/2006/relationships/worksheet" Target="worksheets/sheet129.xml"/><Relationship Id="rId128" Type="http://schemas.openxmlformats.org/officeDocument/2006/relationships/worksheet" Target="worksheets/sheet128.xml"/><Relationship Id="rId127" Type="http://schemas.openxmlformats.org/officeDocument/2006/relationships/worksheet" Target="worksheets/sheet127.xml"/><Relationship Id="rId126" Type="http://schemas.openxmlformats.org/officeDocument/2006/relationships/worksheet" Target="worksheets/sheet126.xml"/><Relationship Id="rId125" Type="http://schemas.openxmlformats.org/officeDocument/2006/relationships/worksheet" Target="worksheets/sheet125.xml"/><Relationship Id="rId124" Type="http://schemas.openxmlformats.org/officeDocument/2006/relationships/worksheet" Target="worksheets/sheet124.xml"/><Relationship Id="rId123" Type="http://schemas.openxmlformats.org/officeDocument/2006/relationships/worksheet" Target="worksheets/sheet123.xml"/><Relationship Id="rId122" Type="http://schemas.openxmlformats.org/officeDocument/2006/relationships/worksheet" Target="worksheets/sheet122.xml"/><Relationship Id="rId121" Type="http://schemas.openxmlformats.org/officeDocument/2006/relationships/worksheet" Target="worksheets/sheet121.xml"/><Relationship Id="rId120" Type="http://schemas.openxmlformats.org/officeDocument/2006/relationships/worksheet" Target="worksheets/sheet120.xml"/><Relationship Id="rId12" Type="http://schemas.openxmlformats.org/officeDocument/2006/relationships/worksheet" Target="worksheets/sheet12.xml"/><Relationship Id="rId119" Type="http://schemas.openxmlformats.org/officeDocument/2006/relationships/worksheet" Target="worksheets/sheet119.xml"/><Relationship Id="rId118" Type="http://schemas.openxmlformats.org/officeDocument/2006/relationships/worksheet" Target="worksheets/sheet118.xml"/><Relationship Id="rId117" Type="http://schemas.openxmlformats.org/officeDocument/2006/relationships/worksheet" Target="worksheets/sheet117.xml"/><Relationship Id="rId116" Type="http://schemas.openxmlformats.org/officeDocument/2006/relationships/worksheet" Target="worksheets/sheet116.xml"/><Relationship Id="rId115" Type="http://schemas.openxmlformats.org/officeDocument/2006/relationships/worksheet" Target="worksheets/sheet115.xml"/><Relationship Id="rId114" Type="http://schemas.openxmlformats.org/officeDocument/2006/relationships/worksheet" Target="worksheets/sheet114.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937260</xdr:colOff>
      <xdr:row>8</xdr:row>
      <xdr:rowOff>137160</xdr:rowOff>
    </xdr:from>
    <xdr:to>
      <xdr:col>4</xdr:col>
      <xdr:colOff>22860</xdr:colOff>
      <xdr:row>8</xdr:row>
      <xdr:rowOff>137160</xdr:rowOff>
    </xdr:to>
    <xdr:sp>
      <xdr:nvSpPr>
        <xdr:cNvPr id="457616" name="Line 1"/>
        <xdr:cNvSpPr>
          <a:spLocks noChangeShapeType="1"/>
        </xdr:cNvSpPr>
      </xdr:nvSpPr>
      <xdr:spPr>
        <a:xfrm>
          <a:off x="3276600" y="1744980"/>
          <a:ext cx="4648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1104900</xdr:colOff>
      <xdr:row>8</xdr:row>
      <xdr:rowOff>137160</xdr:rowOff>
    </xdr:from>
    <xdr:to>
      <xdr:col>3</xdr:col>
      <xdr:colOff>1104900</xdr:colOff>
      <xdr:row>10</xdr:row>
      <xdr:rowOff>137160</xdr:rowOff>
    </xdr:to>
    <xdr:sp>
      <xdr:nvSpPr>
        <xdr:cNvPr id="457617" name="Line 2"/>
        <xdr:cNvSpPr>
          <a:spLocks noChangeShapeType="1"/>
        </xdr:cNvSpPr>
      </xdr:nvSpPr>
      <xdr:spPr>
        <a:xfrm flipH="1">
          <a:off x="3444240" y="1744980"/>
          <a:ext cx="0" cy="39624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1478280</xdr:colOff>
      <xdr:row>9</xdr:row>
      <xdr:rowOff>99060</xdr:rowOff>
    </xdr:from>
    <xdr:to>
      <xdr:col>3</xdr:col>
      <xdr:colOff>1478280</xdr:colOff>
      <xdr:row>9</xdr:row>
      <xdr:rowOff>99060</xdr:rowOff>
    </xdr:to>
    <xdr:sp>
      <xdr:nvSpPr>
        <xdr:cNvPr id="457618" name="Line 3"/>
        <xdr:cNvSpPr>
          <a:spLocks noChangeShapeType="1"/>
        </xdr:cNvSpPr>
      </xdr:nvSpPr>
      <xdr:spPr>
        <a:xfrm flipV="1">
          <a:off x="3718560" y="19050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571500</xdr:colOff>
      <xdr:row>5</xdr:row>
      <xdr:rowOff>114300</xdr:rowOff>
    </xdr:from>
    <xdr:to>
      <xdr:col>4</xdr:col>
      <xdr:colOff>22860</xdr:colOff>
      <xdr:row>5</xdr:row>
      <xdr:rowOff>114300</xdr:rowOff>
    </xdr:to>
    <xdr:sp>
      <xdr:nvSpPr>
        <xdr:cNvPr id="457619" name="Line 4"/>
        <xdr:cNvSpPr>
          <a:spLocks noChangeShapeType="1"/>
        </xdr:cNvSpPr>
      </xdr:nvSpPr>
      <xdr:spPr>
        <a:xfrm>
          <a:off x="2910840" y="1127760"/>
          <a:ext cx="83058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822960</xdr:colOff>
      <xdr:row>5</xdr:row>
      <xdr:rowOff>114300</xdr:rowOff>
    </xdr:from>
    <xdr:to>
      <xdr:col>3</xdr:col>
      <xdr:colOff>822960</xdr:colOff>
      <xdr:row>7</xdr:row>
      <xdr:rowOff>99060</xdr:rowOff>
    </xdr:to>
    <xdr:sp>
      <xdr:nvSpPr>
        <xdr:cNvPr id="457620" name="Line 6"/>
        <xdr:cNvSpPr>
          <a:spLocks noChangeShapeType="1"/>
        </xdr:cNvSpPr>
      </xdr:nvSpPr>
      <xdr:spPr>
        <a:xfrm>
          <a:off x="3162300" y="1127760"/>
          <a:ext cx="0" cy="38100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822960</xdr:colOff>
      <xdr:row>6</xdr:row>
      <xdr:rowOff>83820</xdr:rowOff>
    </xdr:from>
    <xdr:to>
      <xdr:col>4</xdr:col>
      <xdr:colOff>7620</xdr:colOff>
      <xdr:row>6</xdr:row>
      <xdr:rowOff>83820</xdr:rowOff>
    </xdr:to>
    <xdr:sp>
      <xdr:nvSpPr>
        <xdr:cNvPr id="457621" name="Line 7"/>
        <xdr:cNvSpPr>
          <a:spLocks noChangeShapeType="1"/>
        </xdr:cNvSpPr>
      </xdr:nvSpPr>
      <xdr:spPr>
        <a:xfrm>
          <a:off x="3162300" y="1295400"/>
          <a:ext cx="56388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822960</xdr:colOff>
      <xdr:row>7</xdr:row>
      <xdr:rowOff>83820</xdr:rowOff>
    </xdr:from>
    <xdr:to>
      <xdr:col>3</xdr:col>
      <xdr:colOff>1379220</xdr:colOff>
      <xdr:row>7</xdr:row>
      <xdr:rowOff>83820</xdr:rowOff>
    </xdr:to>
    <xdr:sp>
      <xdr:nvSpPr>
        <xdr:cNvPr id="457622" name="Line 8"/>
        <xdr:cNvSpPr>
          <a:spLocks noChangeShapeType="1"/>
        </xdr:cNvSpPr>
      </xdr:nvSpPr>
      <xdr:spPr>
        <a:xfrm>
          <a:off x="3162300" y="1493520"/>
          <a:ext cx="5562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1257300</xdr:colOff>
      <xdr:row>17</xdr:row>
      <xdr:rowOff>121920</xdr:rowOff>
    </xdr:from>
    <xdr:to>
      <xdr:col>3</xdr:col>
      <xdr:colOff>1264920</xdr:colOff>
      <xdr:row>24</xdr:row>
      <xdr:rowOff>137160</xdr:rowOff>
    </xdr:to>
    <xdr:sp>
      <xdr:nvSpPr>
        <xdr:cNvPr id="457623" name="Line 10"/>
        <xdr:cNvSpPr>
          <a:spLocks noChangeShapeType="1"/>
        </xdr:cNvSpPr>
      </xdr:nvSpPr>
      <xdr:spPr>
        <a:xfrm>
          <a:off x="3596640" y="3512820"/>
          <a:ext cx="7620" cy="140208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1257300</xdr:colOff>
      <xdr:row>23</xdr:row>
      <xdr:rowOff>114300</xdr:rowOff>
    </xdr:from>
    <xdr:to>
      <xdr:col>4</xdr:col>
      <xdr:colOff>0</xdr:colOff>
      <xdr:row>23</xdr:row>
      <xdr:rowOff>114300</xdr:rowOff>
    </xdr:to>
    <xdr:sp>
      <xdr:nvSpPr>
        <xdr:cNvPr id="457624" name="Line 15"/>
        <xdr:cNvSpPr>
          <a:spLocks noChangeShapeType="1"/>
        </xdr:cNvSpPr>
      </xdr:nvSpPr>
      <xdr:spPr>
        <a:xfrm>
          <a:off x="3596640" y="4693920"/>
          <a:ext cx="1219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1264920</xdr:colOff>
      <xdr:row>18</xdr:row>
      <xdr:rowOff>99060</xdr:rowOff>
    </xdr:from>
    <xdr:to>
      <xdr:col>4</xdr:col>
      <xdr:colOff>22860</xdr:colOff>
      <xdr:row>18</xdr:row>
      <xdr:rowOff>99060</xdr:rowOff>
    </xdr:to>
    <xdr:sp>
      <xdr:nvSpPr>
        <xdr:cNvPr id="457625" name="Line 16"/>
        <xdr:cNvSpPr>
          <a:spLocks noChangeShapeType="1"/>
        </xdr:cNvSpPr>
      </xdr:nvSpPr>
      <xdr:spPr>
        <a:xfrm>
          <a:off x="3604260" y="3688080"/>
          <a:ext cx="1371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327660</xdr:colOff>
      <xdr:row>17</xdr:row>
      <xdr:rowOff>114300</xdr:rowOff>
    </xdr:from>
    <xdr:to>
      <xdr:col>3</xdr:col>
      <xdr:colOff>1379220</xdr:colOff>
      <xdr:row>17</xdr:row>
      <xdr:rowOff>114300</xdr:rowOff>
    </xdr:to>
    <xdr:sp>
      <xdr:nvSpPr>
        <xdr:cNvPr id="457626" name="Line 17"/>
        <xdr:cNvSpPr>
          <a:spLocks noChangeShapeType="1"/>
        </xdr:cNvSpPr>
      </xdr:nvSpPr>
      <xdr:spPr>
        <a:xfrm>
          <a:off x="2667000" y="3505200"/>
          <a:ext cx="10515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1257300</xdr:colOff>
      <xdr:row>23</xdr:row>
      <xdr:rowOff>114300</xdr:rowOff>
    </xdr:from>
    <xdr:to>
      <xdr:col>4</xdr:col>
      <xdr:colOff>7620</xdr:colOff>
      <xdr:row>23</xdr:row>
      <xdr:rowOff>114300</xdr:rowOff>
    </xdr:to>
    <xdr:sp>
      <xdr:nvSpPr>
        <xdr:cNvPr id="457627" name="Line 18"/>
        <xdr:cNvSpPr>
          <a:spLocks noChangeShapeType="1"/>
        </xdr:cNvSpPr>
      </xdr:nvSpPr>
      <xdr:spPr>
        <a:xfrm>
          <a:off x="3596640" y="4693920"/>
          <a:ext cx="1295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1257300</xdr:colOff>
      <xdr:row>24</xdr:row>
      <xdr:rowOff>137160</xdr:rowOff>
    </xdr:from>
    <xdr:to>
      <xdr:col>4</xdr:col>
      <xdr:colOff>22860</xdr:colOff>
      <xdr:row>24</xdr:row>
      <xdr:rowOff>137160</xdr:rowOff>
    </xdr:to>
    <xdr:sp>
      <xdr:nvSpPr>
        <xdr:cNvPr id="457628" name="Line 19"/>
        <xdr:cNvSpPr>
          <a:spLocks noChangeShapeType="1"/>
        </xdr:cNvSpPr>
      </xdr:nvSpPr>
      <xdr:spPr>
        <a:xfrm>
          <a:off x="3596640" y="4914900"/>
          <a:ext cx="14478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541020</xdr:colOff>
      <xdr:row>27</xdr:row>
      <xdr:rowOff>121920</xdr:rowOff>
    </xdr:from>
    <xdr:to>
      <xdr:col>3</xdr:col>
      <xdr:colOff>15240</xdr:colOff>
      <xdr:row>27</xdr:row>
      <xdr:rowOff>121920</xdr:rowOff>
    </xdr:to>
    <xdr:sp>
      <xdr:nvSpPr>
        <xdr:cNvPr id="457629" name="Line 23"/>
        <xdr:cNvSpPr>
          <a:spLocks noChangeShapeType="1"/>
        </xdr:cNvSpPr>
      </xdr:nvSpPr>
      <xdr:spPr>
        <a:xfrm>
          <a:off x="1684020" y="5494020"/>
          <a:ext cx="6705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845820</xdr:colOff>
      <xdr:row>27</xdr:row>
      <xdr:rowOff>121920</xdr:rowOff>
    </xdr:from>
    <xdr:to>
      <xdr:col>2</xdr:col>
      <xdr:colOff>845820</xdr:colOff>
      <xdr:row>33</xdr:row>
      <xdr:rowOff>99060</xdr:rowOff>
    </xdr:to>
    <xdr:sp>
      <xdr:nvSpPr>
        <xdr:cNvPr id="457630" name="Line 24"/>
        <xdr:cNvSpPr>
          <a:spLocks noChangeShapeType="1"/>
        </xdr:cNvSpPr>
      </xdr:nvSpPr>
      <xdr:spPr>
        <a:xfrm>
          <a:off x="1988820" y="5494020"/>
          <a:ext cx="0" cy="113157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518160</xdr:colOff>
      <xdr:row>34</xdr:row>
      <xdr:rowOff>121920</xdr:rowOff>
    </xdr:from>
    <xdr:to>
      <xdr:col>4</xdr:col>
      <xdr:colOff>22860</xdr:colOff>
      <xdr:row>34</xdr:row>
      <xdr:rowOff>121920</xdr:rowOff>
    </xdr:to>
    <xdr:sp>
      <xdr:nvSpPr>
        <xdr:cNvPr id="457631" name="Line 27"/>
        <xdr:cNvSpPr>
          <a:spLocks noChangeShapeType="1"/>
        </xdr:cNvSpPr>
      </xdr:nvSpPr>
      <xdr:spPr>
        <a:xfrm>
          <a:off x="2857500" y="6829425"/>
          <a:ext cx="8839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868680</xdr:colOff>
      <xdr:row>34</xdr:row>
      <xdr:rowOff>114300</xdr:rowOff>
    </xdr:from>
    <xdr:to>
      <xdr:col>2</xdr:col>
      <xdr:colOff>876300</xdr:colOff>
      <xdr:row>46</xdr:row>
      <xdr:rowOff>99060</xdr:rowOff>
    </xdr:to>
    <xdr:sp>
      <xdr:nvSpPr>
        <xdr:cNvPr id="457632" name="Line 28"/>
        <xdr:cNvSpPr>
          <a:spLocks noChangeShapeType="1"/>
        </xdr:cNvSpPr>
      </xdr:nvSpPr>
      <xdr:spPr>
        <a:xfrm>
          <a:off x="2011680" y="6821805"/>
          <a:ext cx="7620" cy="236220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868680</xdr:colOff>
      <xdr:row>41</xdr:row>
      <xdr:rowOff>99060</xdr:rowOff>
    </xdr:from>
    <xdr:to>
      <xdr:col>2</xdr:col>
      <xdr:colOff>1120140</xdr:colOff>
      <xdr:row>41</xdr:row>
      <xdr:rowOff>99060</xdr:rowOff>
    </xdr:to>
    <xdr:sp>
      <xdr:nvSpPr>
        <xdr:cNvPr id="457633" name="Line 29"/>
        <xdr:cNvSpPr>
          <a:spLocks noChangeShapeType="1"/>
        </xdr:cNvSpPr>
      </xdr:nvSpPr>
      <xdr:spPr>
        <a:xfrm>
          <a:off x="2011680" y="8193405"/>
          <a:ext cx="2514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868680</xdr:colOff>
      <xdr:row>43</xdr:row>
      <xdr:rowOff>99060</xdr:rowOff>
    </xdr:from>
    <xdr:to>
      <xdr:col>2</xdr:col>
      <xdr:colOff>1188720</xdr:colOff>
      <xdr:row>43</xdr:row>
      <xdr:rowOff>99060</xdr:rowOff>
    </xdr:to>
    <xdr:sp>
      <xdr:nvSpPr>
        <xdr:cNvPr id="457634" name="Line 35"/>
        <xdr:cNvSpPr>
          <a:spLocks noChangeShapeType="1"/>
        </xdr:cNvSpPr>
      </xdr:nvSpPr>
      <xdr:spPr>
        <a:xfrm>
          <a:off x="2011680" y="8589645"/>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556260</xdr:colOff>
      <xdr:row>41</xdr:row>
      <xdr:rowOff>114300</xdr:rowOff>
    </xdr:from>
    <xdr:to>
      <xdr:col>4</xdr:col>
      <xdr:colOff>38100</xdr:colOff>
      <xdr:row>41</xdr:row>
      <xdr:rowOff>114300</xdr:rowOff>
    </xdr:to>
    <xdr:sp>
      <xdr:nvSpPr>
        <xdr:cNvPr id="457635" name="Line 36"/>
        <xdr:cNvSpPr>
          <a:spLocks noChangeShapeType="1"/>
        </xdr:cNvSpPr>
      </xdr:nvSpPr>
      <xdr:spPr>
        <a:xfrm>
          <a:off x="2895600" y="8208645"/>
          <a:ext cx="8610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1127760</xdr:colOff>
      <xdr:row>42</xdr:row>
      <xdr:rowOff>83820</xdr:rowOff>
    </xdr:from>
    <xdr:to>
      <xdr:col>4</xdr:col>
      <xdr:colOff>22860</xdr:colOff>
      <xdr:row>42</xdr:row>
      <xdr:rowOff>83820</xdr:rowOff>
    </xdr:to>
    <xdr:sp>
      <xdr:nvSpPr>
        <xdr:cNvPr id="457636" name="Line 37"/>
        <xdr:cNvSpPr>
          <a:spLocks noChangeShapeType="1"/>
        </xdr:cNvSpPr>
      </xdr:nvSpPr>
      <xdr:spPr>
        <a:xfrm>
          <a:off x="3467100" y="8376285"/>
          <a:ext cx="2743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876300</xdr:colOff>
      <xdr:row>44</xdr:row>
      <xdr:rowOff>83820</xdr:rowOff>
    </xdr:from>
    <xdr:to>
      <xdr:col>3</xdr:col>
      <xdr:colOff>0</xdr:colOff>
      <xdr:row>44</xdr:row>
      <xdr:rowOff>83820</xdr:rowOff>
    </xdr:to>
    <xdr:sp>
      <xdr:nvSpPr>
        <xdr:cNvPr id="457637" name="Line 39"/>
        <xdr:cNvSpPr>
          <a:spLocks noChangeShapeType="1"/>
        </xdr:cNvSpPr>
      </xdr:nvSpPr>
      <xdr:spPr>
        <a:xfrm>
          <a:off x="2019300" y="8772525"/>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883920</xdr:colOff>
      <xdr:row>45</xdr:row>
      <xdr:rowOff>83820</xdr:rowOff>
    </xdr:from>
    <xdr:to>
      <xdr:col>3</xdr:col>
      <xdr:colOff>7620</xdr:colOff>
      <xdr:row>45</xdr:row>
      <xdr:rowOff>83820</xdr:rowOff>
    </xdr:to>
    <xdr:sp>
      <xdr:nvSpPr>
        <xdr:cNvPr id="457638" name="Line 40"/>
        <xdr:cNvSpPr>
          <a:spLocks noChangeShapeType="1"/>
        </xdr:cNvSpPr>
      </xdr:nvSpPr>
      <xdr:spPr>
        <a:xfrm>
          <a:off x="2026920" y="8970645"/>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510540</xdr:colOff>
      <xdr:row>5</xdr:row>
      <xdr:rowOff>99060</xdr:rowOff>
    </xdr:from>
    <xdr:to>
      <xdr:col>2</xdr:col>
      <xdr:colOff>1097280</xdr:colOff>
      <xdr:row>5</xdr:row>
      <xdr:rowOff>99060</xdr:rowOff>
    </xdr:to>
    <xdr:sp>
      <xdr:nvSpPr>
        <xdr:cNvPr id="457639" name="Line 42"/>
        <xdr:cNvSpPr>
          <a:spLocks noChangeShapeType="1"/>
        </xdr:cNvSpPr>
      </xdr:nvSpPr>
      <xdr:spPr>
        <a:xfrm>
          <a:off x="1653540" y="1112520"/>
          <a:ext cx="5867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853440</xdr:colOff>
      <xdr:row>5</xdr:row>
      <xdr:rowOff>121920</xdr:rowOff>
    </xdr:from>
    <xdr:to>
      <xdr:col>2</xdr:col>
      <xdr:colOff>868680</xdr:colOff>
      <xdr:row>26</xdr:row>
      <xdr:rowOff>99060</xdr:rowOff>
    </xdr:to>
    <xdr:sp>
      <xdr:nvSpPr>
        <xdr:cNvPr id="457640" name="Line 43"/>
        <xdr:cNvSpPr>
          <a:spLocks noChangeShapeType="1"/>
        </xdr:cNvSpPr>
      </xdr:nvSpPr>
      <xdr:spPr>
        <a:xfrm>
          <a:off x="1996440" y="1135380"/>
          <a:ext cx="15240" cy="413766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1112520</xdr:colOff>
      <xdr:row>10</xdr:row>
      <xdr:rowOff>121920</xdr:rowOff>
    </xdr:from>
    <xdr:to>
      <xdr:col>3</xdr:col>
      <xdr:colOff>1363980</xdr:colOff>
      <xdr:row>10</xdr:row>
      <xdr:rowOff>121920</xdr:rowOff>
    </xdr:to>
    <xdr:sp>
      <xdr:nvSpPr>
        <xdr:cNvPr id="457641" name="Line 46"/>
        <xdr:cNvSpPr>
          <a:spLocks noChangeShapeType="1"/>
        </xdr:cNvSpPr>
      </xdr:nvSpPr>
      <xdr:spPr>
        <a:xfrm>
          <a:off x="3451860" y="2125980"/>
          <a:ext cx="2514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1112520</xdr:colOff>
      <xdr:row>9</xdr:row>
      <xdr:rowOff>114300</xdr:rowOff>
    </xdr:from>
    <xdr:to>
      <xdr:col>3</xdr:col>
      <xdr:colOff>1363980</xdr:colOff>
      <xdr:row>9</xdr:row>
      <xdr:rowOff>114300</xdr:rowOff>
    </xdr:to>
    <xdr:sp>
      <xdr:nvSpPr>
        <xdr:cNvPr id="457642" name="Line 47"/>
        <xdr:cNvSpPr>
          <a:spLocks noChangeShapeType="1"/>
        </xdr:cNvSpPr>
      </xdr:nvSpPr>
      <xdr:spPr>
        <a:xfrm>
          <a:off x="3451860" y="1920240"/>
          <a:ext cx="2514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868680</xdr:colOff>
      <xdr:row>11</xdr:row>
      <xdr:rowOff>83820</xdr:rowOff>
    </xdr:from>
    <xdr:to>
      <xdr:col>3</xdr:col>
      <xdr:colOff>0</xdr:colOff>
      <xdr:row>11</xdr:row>
      <xdr:rowOff>83820</xdr:rowOff>
    </xdr:to>
    <xdr:sp>
      <xdr:nvSpPr>
        <xdr:cNvPr id="457643" name="Line 48"/>
        <xdr:cNvSpPr>
          <a:spLocks noChangeShapeType="1"/>
        </xdr:cNvSpPr>
      </xdr:nvSpPr>
      <xdr:spPr>
        <a:xfrm>
          <a:off x="2011680" y="2286000"/>
          <a:ext cx="3276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883920</xdr:colOff>
      <xdr:row>17</xdr:row>
      <xdr:rowOff>121920</xdr:rowOff>
    </xdr:from>
    <xdr:to>
      <xdr:col>3</xdr:col>
      <xdr:colOff>7620</xdr:colOff>
      <xdr:row>17</xdr:row>
      <xdr:rowOff>121920</xdr:rowOff>
    </xdr:to>
    <xdr:sp>
      <xdr:nvSpPr>
        <xdr:cNvPr id="457644" name="Line 54"/>
        <xdr:cNvSpPr>
          <a:spLocks noChangeShapeType="1"/>
        </xdr:cNvSpPr>
      </xdr:nvSpPr>
      <xdr:spPr>
        <a:xfrm>
          <a:off x="2026920" y="3512820"/>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853440</xdr:colOff>
      <xdr:row>26</xdr:row>
      <xdr:rowOff>114300</xdr:rowOff>
    </xdr:from>
    <xdr:to>
      <xdr:col>2</xdr:col>
      <xdr:colOff>1173480</xdr:colOff>
      <xdr:row>26</xdr:row>
      <xdr:rowOff>114300</xdr:rowOff>
    </xdr:to>
    <xdr:sp>
      <xdr:nvSpPr>
        <xdr:cNvPr id="457645" name="Line 56"/>
        <xdr:cNvSpPr>
          <a:spLocks noChangeShapeType="1"/>
        </xdr:cNvSpPr>
      </xdr:nvSpPr>
      <xdr:spPr>
        <a:xfrm>
          <a:off x="1996440" y="5288280"/>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167640</xdr:colOff>
      <xdr:row>5</xdr:row>
      <xdr:rowOff>114300</xdr:rowOff>
    </xdr:from>
    <xdr:to>
      <xdr:col>7</xdr:col>
      <xdr:colOff>929640</xdr:colOff>
      <xdr:row>5</xdr:row>
      <xdr:rowOff>114300</xdr:rowOff>
    </xdr:to>
    <xdr:sp>
      <xdr:nvSpPr>
        <xdr:cNvPr id="457646" name="Line 59"/>
        <xdr:cNvSpPr>
          <a:spLocks noChangeShapeType="1"/>
        </xdr:cNvSpPr>
      </xdr:nvSpPr>
      <xdr:spPr>
        <a:xfrm>
          <a:off x="6179820" y="1127760"/>
          <a:ext cx="762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518160</xdr:colOff>
      <xdr:row>5</xdr:row>
      <xdr:rowOff>121920</xdr:rowOff>
    </xdr:from>
    <xdr:to>
      <xdr:col>7</xdr:col>
      <xdr:colOff>548640</xdr:colOff>
      <xdr:row>16</xdr:row>
      <xdr:rowOff>121920</xdr:rowOff>
    </xdr:to>
    <xdr:sp>
      <xdr:nvSpPr>
        <xdr:cNvPr id="457647" name="Line 60"/>
        <xdr:cNvSpPr>
          <a:spLocks noChangeShapeType="1"/>
        </xdr:cNvSpPr>
      </xdr:nvSpPr>
      <xdr:spPr>
        <a:xfrm>
          <a:off x="6530340" y="1135380"/>
          <a:ext cx="30480" cy="217932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533400</xdr:colOff>
      <xdr:row>7</xdr:row>
      <xdr:rowOff>76200</xdr:rowOff>
    </xdr:from>
    <xdr:to>
      <xdr:col>7</xdr:col>
      <xdr:colOff>952500</xdr:colOff>
      <xdr:row>7</xdr:row>
      <xdr:rowOff>76200</xdr:rowOff>
    </xdr:to>
    <xdr:sp>
      <xdr:nvSpPr>
        <xdr:cNvPr id="457648" name="Line 61"/>
        <xdr:cNvSpPr>
          <a:spLocks noChangeShapeType="1"/>
        </xdr:cNvSpPr>
      </xdr:nvSpPr>
      <xdr:spPr>
        <a:xfrm>
          <a:off x="6545580" y="1485900"/>
          <a:ext cx="4191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518160</xdr:colOff>
      <xdr:row>8</xdr:row>
      <xdr:rowOff>83820</xdr:rowOff>
    </xdr:from>
    <xdr:to>
      <xdr:col>7</xdr:col>
      <xdr:colOff>952500</xdr:colOff>
      <xdr:row>8</xdr:row>
      <xdr:rowOff>83820</xdr:rowOff>
    </xdr:to>
    <xdr:sp>
      <xdr:nvSpPr>
        <xdr:cNvPr id="457649" name="Line 62"/>
        <xdr:cNvSpPr>
          <a:spLocks noChangeShapeType="1"/>
        </xdr:cNvSpPr>
      </xdr:nvSpPr>
      <xdr:spPr>
        <a:xfrm>
          <a:off x="6530340" y="1691640"/>
          <a:ext cx="4343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533400</xdr:colOff>
      <xdr:row>9</xdr:row>
      <xdr:rowOff>99060</xdr:rowOff>
    </xdr:from>
    <xdr:to>
      <xdr:col>7</xdr:col>
      <xdr:colOff>960120</xdr:colOff>
      <xdr:row>9</xdr:row>
      <xdr:rowOff>99060</xdr:rowOff>
    </xdr:to>
    <xdr:sp>
      <xdr:nvSpPr>
        <xdr:cNvPr id="457650" name="Line 63"/>
        <xdr:cNvSpPr>
          <a:spLocks noChangeShapeType="1"/>
        </xdr:cNvSpPr>
      </xdr:nvSpPr>
      <xdr:spPr>
        <a:xfrm>
          <a:off x="6545580" y="1905000"/>
          <a:ext cx="4267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518160</xdr:colOff>
      <xdr:row>10</xdr:row>
      <xdr:rowOff>121920</xdr:rowOff>
    </xdr:from>
    <xdr:to>
      <xdr:col>7</xdr:col>
      <xdr:colOff>906780</xdr:colOff>
      <xdr:row>10</xdr:row>
      <xdr:rowOff>121920</xdr:rowOff>
    </xdr:to>
    <xdr:sp>
      <xdr:nvSpPr>
        <xdr:cNvPr id="457651" name="Line 64"/>
        <xdr:cNvSpPr>
          <a:spLocks noChangeShapeType="1"/>
        </xdr:cNvSpPr>
      </xdr:nvSpPr>
      <xdr:spPr>
        <a:xfrm>
          <a:off x="6530340" y="2125980"/>
          <a:ext cx="3886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548640</xdr:colOff>
      <xdr:row>14</xdr:row>
      <xdr:rowOff>99060</xdr:rowOff>
    </xdr:from>
    <xdr:to>
      <xdr:col>7</xdr:col>
      <xdr:colOff>960120</xdr:colOff>
      <xdr:row>14</xdr:row>
      <xdr:rowOff>99060</xdr:rowOff>
    </xdr:to>
    <xdr:sp>
      <xdr:nvSpPr>
        <xdr:cNvPr id="457652" name="Line 65"/>
        <xdr:cNvSpPr>
          <a:spLocks noChangeShapeType="1"/>
        </xdr:cNvSpPr>
      </xdr:nvSpPr>
      <xdr:spPr>
        <a:xfrm>
          <a:off x="6560820" y="2895600"/>
          <a:ext cx="41148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556260</xdr:colOff>
      <xdr:row>12</xdr:row>
      <xdr:rowOff>99060</xdr:rowOff>
    </xdr:from>
    <xdr:to>
      <xdr:col>7</xdr:col>
      <xdr:colOff>944880</xdr:colOff>
      <xdr:row>12</xdr:row>
      <xdr:rowOff>99060</xdr:rowOff>
    </xdr:to>
    <xdr:sp>
      <xdr:nvSpPr>
        <xdr:cNvPr id="457653" name="Line 67"/>
        <xdr:cNvSpPr>
          <a:spLocks noChangeShapeType="1"/>
        </xdr:cNvSpPr>
      </xdr:nvSpPr>
      <xdr:spPr>
        <a:xfrm>
          <a:off x="6568440" y="2499360"/>
          <a:ext cx="3886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533400</xdr:colOff>
      <xdr:row>11</xdr:row>
      <xdr:rowOff>99060</xdr:rowOff>
    </xdr:from>
    <xdr:to>
      <xdr:col>7</xdr:col>
      <xdr:colOff>929640</xdr:colOff>
      <xdr:row>11</xdr:row>
      <xdr:rowOff>99060</xdr:rowOff>
    </xdr:to>
    <xdr:sp>
      <xdr:nvSpPr>
        <xdr:cNvPr id="457654" name="Line 68"/>
        <xdr:cNvSpPr>
          <a:spLocks noChangeShapeType="1"/>
        </xdr:cNvSpPr>
      </xdr:nvSpPr>
      <xdr:spPr>
        <a:xfrm>
          <a:off x="6545580" y="2301240"/>
          <a:ext cx="3962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556260</xdr:colOff>
      <xdr:row>13</xdr:row>
      <xdr:rowOff>121920</xdr:rowOff>
    </xdr:from>
    <xdr:to>
      <xdr:col>7</xdr:col>
      <xdr:colOff>937260</xdr:colOff>
      <xdr:row>13</xdr:row>
      <xdr:rowOff>121920</xdr:rowOff>
    </xdr:to>
    <xdr:sp>
      <xdr:nvSpPr>
        <xdr:cNvPr id="457655" name="Line 69"/>
        <xdr:cNvSpPr>
          <a:spLocks noChangeShapeType="1"/>
        </xdr:cNvSpPr>
      </xdr:nvSpPr>
      <xdr:spPr>
        <a:xfrm>
          <a:off x="6568440" y="2720340"/>
          <a:ext cx="381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518160</xdr:colOff>
      <xdr:row>6</xdr:row>
      <xdr:rowOff>99060</xdr:rowOff>
    </xdr:from>
    <xdr:to>
      <xdr:col>7</xdr:col>
      <xdr:colOff>876300</xdr:colOff>
      <xdr:row>6</xdr:row>
      <xdr:rowOff>99060</xdr:rowOff>
    </xdr:to>
    <xdr:sp>
      <xdr:nvSpPr>
        <xdr:cNvPr id="457656" name="Line 70"/>
        <xdr:cNvSpPr>
          <a:spLocks noChangeShapeType="1"/>
        </xdr:cNvSpPr>
      </xdr:nvSpPr>
      <xdr:spPr>
        <a:xfrm>
          <a:off x="6530340" y="1310640"/>
          <a:ext cx="3581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556260</xdr:colOff>
      <xdr:row>15</xdr:row>
      <xdr:rowOff>137160</xdr:rowOff>
    </xdr:from>
    <xdr:to>
      <xdr:col>7</xdr:col>
      <xdr:colOff>929640</xdr:colOff>
      <xdr:row>15</xdr:row>
      <xdr:rowOff>137160</xdr:rowOff>
    </xdr:to>
    <xdr:sp>
      <xdr:nvSpPr>
        <xdr:cNvPr id="457657" name="Line 72"/>
        <xdr:cNvSpPr>
          <a:spLocks noChangeShapeType="1"/>
        </xdr:cNvSpPr>
      </xdr:nvSpPr>
      <xdr:spPr>
        <a:xfrm>
          <a:off x="6568440" y="3131820"/>
          <a:ext cx="37338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571500</xdr:colOff>
      <xdr:row>16</xdr:row>
      <xdr:rowOff>121920</xdr:rowOff>
    </xdr:from>
    <xdr:to>
      <xdr:col>7</xdr:col>
      <xdr:colOff>952500</xdr:colOff>
      <xdr:row>16</xdr:row>
      <xdr:rowOff>121920</xdr:rowOff>
    </xdr:to>
    <xdr:sp>
      <xdr:nvSpPr>
        <xdr:cNvPr id="457658" name="Line 73"/>
        <xdr:cNvSpPr>
          <a:spLocks noChangeShapeType="1"/>
        </xdr:cNvSpPr>
      </xdr:nvSpPr>
      <xdr:spPr>
        <a:xfrm>
          <a:off x="6583680" y="3314700"/>
          <a:ext cx="381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525780</xdr:colOff>
      <xdr:row>19</xdr:row>
      <xdr:rowOff>99060</xdr:rowOff>
    </xdr:from>
    <xdr:to>
      <xdr:col>6</xdr:col>
      <xdr:colOff>525780</xdr:colOff>
      <xdr:row>19</xdr:row>
      <xdr:rowOff>99060</xdr:rowOff>
    </xdr:to>
    <xdr:sp>
      <xdr:nvSpPr>
        <xdr:cNvPr id="457659" name="Line 75"/>
        <xdr:cNvSpPr>
          <a:spLocks noChangeShapeType="1"/>
        </xdr:cNvSpPr>
      </xdr:nvSpPr>
      <xdr:spPr>
        <a:xfrm>
          <a:off x="6012180" y="3886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518160</xdr:colOff>
      <xdr:row>19</xdr:row>
      <xdr:rowOff>99060</xdr:rowOff>
    </xdr:from>
    <xdr:to>
      <xdr:col>7</xdr:col>
      <xdr:colOff>533400</xdr:colOff>
      <xdr:row>25</xdr:row>
      <xdr:rowOff>121920</xdr:rowOff>
    </xdr:to>
    <xdr:sp>
      <xdr:nvSpPr>
        <xdr:cNvPr id="457660" name="Line 76"/>
        <xdr:cNvSpPr>
          <a:spLocks noChangeShapeType="1"/>
        </xdr:cNvSpPr>
      </xdr:nvSpPr>
      <xdr:spPr>
        <a:xfrm>
          <a:off x="6530340" y="3886200"/>
          <a:ext cx="15240" cy="121158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518160</xdr:colOff>
      <xdr:row>20</xdr:row>
      <xdr:rowOff>76200</xdr:rowOff>
    </xdr:from>
    <xdr:to>
      <xdr:col>7</xdr:col>
      <xdr:colOff>937260</xdr:colOff>
      <xdr:row>20</xdr:row>
      <xdr:rowOff>76200</xdr:rowOff>
    </xdr:to>
    <xdr:sp>
      <xdr:nvSpPr>
        <xdr:cNvPr id="457661" name="Line 77"/>
        <xdr:cNvSpPr>
          <a:spLocks noChangeShapeType="1"/>
        </xdr:cNvSpPr>
      </xdr:nvSpPr>
      <xdr:spPr>
        <a:xfrm>
          <a:off x="6530340" y="4061460"/>
          <a:ext cx="4191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510540</xdr:colOff>
      <xdr:row>21</xdr:row>
      <xdr:rowOff>83820</xdr:rowOff>
    </xdr:from>
    <xdr:to>
      <xdr:col>7</xdr:col>
      <xdr:colOff>944880</xdr:colOff>
      <xdr:row>21</xdr:row>
      <xdr:rowOff>83820</xdr:rowOff>
    </xdr:to>
    <xdr:sp>
      <xdr:nvSpPr>
        <xdr:cNvPr id="457662" name="Line 78"/>
        <xdr:cNvSpPr>
          <a:spLocks noChangeShapeType="1"/>
        </xdr:cNvSpPr>
      </xdr:nvSpPr>
      <xdr:spPr>
        <a:xfrm>
          <a:off x="6522720" y="4267200"/>
          <a:ext cx="4343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541020</xdr:colOff>
      <xdr:row>25</xdr:row>
      <xdr:rowOff>114300</xdr:rowOff>
    </xdr:from>
    <xdr:to>
      <xdr:col>7</xdr:col>
      <xdr:colOff>929640</xdr:colOff>
      <xdr:row>25</xdr:row>
      <xdr:rowOff>114300</xdr:rowOff>
    </xdr:to>
    <xdr:sp>
      <xdr:nvSpPr>
        <xdr:cNvPr id="457663" name="Line 80"/>
        <xdr:cNvSpPr>
          <a:spLocks noChangeShapeType="1"/>
        </xdr:cNvSpPr>
      </xdr:nvSpPr>
      <xdr:spPr>
        <a:xfrm>
          <a:off x="6553200" y="5090160"/>
          <a:ext cx="3886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548640</xdr:colOff>
      <xdr:row>24</xdr:row>
      <xdr:rowOff>137160</xdr:rowOff>
    </xdr:from>
    <xdr:to>
      <xdr:col>7</xdr:col>
      <xdr:colOff>937260</xdr:colOff>
      <xdr:row>24</xdr:row>
      <xdr:rowOff>137160</xdr:rowOff>
    </xdr:to>
    <xdr:sp>
      <xdr:nvSpPr>
        <xdr:cNvPr id="457664" name="Line 81"/>
        <xdr:cNvSpPr>
          <a:spLocks noChangeShapeType="1"/>
        </xdr:cNvSpPr>
      </xdr:nvSpPr>
      <xdr:spPr>
        <a:xfrm>
          <a:off x="6560820" y="4914900"/>
          <a:ext cx="3886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510540</xdr:colOff>
      <xdr:row>22</xdr:row>
      <xdr:rowOff>83820</xdr:rowOff>
    </xdr:from>
    <xdr:to>
      <xdr:col>7</xdr:col>
      <xdr:colOff>944880</xdr:colOff>
      <xdr:row>22</xdr:row>
      <xdr:rowOff>83820</xdr:rowOff>
    </xdr:to>
    <xdr:sp>
      <xdr:nvSpPr>
        <xdr:cNvPr id="457665" name="Line 84"/>
        <xdr:cNvSpPr>
          <a:spLocks noChangeShapeType="1"/>
        </xdr:cNvSpPr>
      </xdr:nvSpPr>
      <xdr:spPr>
        <a:xfrm>
          <a:off x="6522720" y="4465320"/>
          <a:ext cx="4343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1470660</xdr:colOff>
      <xdr:row>10</xdr:row>
      <xdr:rowOff>121920</xdr:rowOff>
    </xdr:from>
    <xdr:to>
      <xdr:col>3</xdr:col>
      <xdr:colOff>1470660</xdr:colOff>
      <xdr:row>10</xdr:row>
      <xdr:rowOff>121920</xdr:rowOff>
    </xdr:to>
    <xdr:sp>
      <xdr:nvSpPr>
        <xdr:cNvPr id="457666" name="Line 86"/>
        <xdr:cNvSpPr>
          <a:spLocks noChangeShapeType="1"/>
        </xdr:cNvSpPr>
      </xdr:nvSpPr>
      <xdr:spPr>
        <a:xfrm flipV="1">
          <a:off x="3718560" y="212598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1264920</xdr:colOff>
      <xdr:row>19</xdr:row>
      <xdr:rowOff>114300</xdr:rowOff>
    </xdr:from>
    <xdr:to>
      <xdr:col>4</xdr:col>
      <xdr:colOff>0</xdr:colOff>
      <xdr:row>19</xdr:row>
      <xdr:rowOff>114300</xdr:rowOff>
    </xdr:to>
    <xdr:sp>
      <xdr:nvSpPr>
        <xdr:cNvPr id="457667" name="Line 89"/>
        <xdr:cNvSpPr>
          <a:spLocks noChangeShapeType="1"/>
        </xdr:cNvSpPr>
      </xdr:nvSpPr>
      <xdr:spPr>
        <a:xfrm>
          <a:off x="3604260" y="3901440"/>
          <a:ext cx="1143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1013460</xdr:colOff>
      <xdr:row>27</xdr:row>
      <xdr:rowOff>137160</xdr:rowOff>
    </xdr:from>
    <xdr:to>
      <xdr:col>4</xdr:col>
      <xdr:colOff>22860</xdr:colOff>
      <xdr:row>27</xdr:row>
      <xdr:rowOff>137160</xdr:rowOff>
    </xdr:to>
    <xdr:sp>
      <xdr:nvSpPr>
        <xdr:cNvPr id="457668" name="Line 95"/>
        <xdr:cNvSpPr>
          <a:spLocks noChangeShapeType="1"/>
        </xdr:cNvSpPr>
      </xdr:nvSpPr>
      <xdr:spPr>
        <a:xfrm>
          <a:off x="3352800" y="5509260"/>
          <a:ext cx="3886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1188720</xdr:colOff>
      <xdr:row>28</xdr:row>
      <xdr:rowOff>99060</xdr:rowOff>
    </xdr:from>
    <xdr:to>
      <xdr:col>4</xdr:col>
      <xdr:colOff>22860</xdr:colOff>
      <xdr:row>28</xdr:row>
      <xdr:rowOff>99060</xdr:rowOff>
    </xdr:to>
    <xdr:sp>
      <xdr:nvSpPr>
        <xdr:cNvPr id="457669" name="Line 96"/>
        <xdr:cNvSpPr>
          <a:spLocks noChangeShapeType="1"/>
        </xdr:cNvSpPr>
      </xdr:nvSpPr>
      <xdr:spPr>
        <a:xfrm flipV="1">
          <a:off x="3528060" y="5669280"/>
          <a:ext cx="2133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1181100</xdr:colOff>
      <xdr:row>29</xdr:row>
      <xdr:rowOff>121920</xdr:rowOff>
    </xdr:from>
    <xdr:to>
      <xdr:col>4</xdr:col>
      <xdr:colOff>7620</xdr:colOff>
      <xdr:row>29</xdr:row>
      <xdr:rowOff>121920</xdr:rowOff>
    </xdr:to>
    <xdr:sp>
      <xdr:nvSpPr>
        <xdr:cNvPr id="457670" name="Line 97"/>
        <xdr:cNvSpPr>
          <a:spLocks noChangeShapeType="1"/>
        </xdr:cNvSpPr>
      </xdr:nvSpPr>
      <xdr:spPr>
        <a:xfrm flipV="1">
          <a:off x="3520440" y="5890260"/>
          <a:ext cx="2057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1181100</xdr:colOff>
      <xdr:row>27</xdr:row>
      <xdr:rowOff>137160</xdr:rowOff>
    </xdr:from>
    <xdr:to>
      <xdr:col>3</xdr:col>
      <xdr:colOff>1188720</xdr:colOff>
      <xdr:row>29</xdr:row>
      <xdr:rowOff>137160</xdr:rowOff>
    </xdr:to>
    <xdr:sp>
      <xdr:nvSpPr>
        <xdr:cNvPr id="457671" name="Line 98"/>
        <xdr:cNvSpPr>
          <a:spLocks noChangeShapeType="1"/>
        </xdr:cNvSpPr>
      </xdr:nvSpPr>
      <xdr:spPr>
        <a:xfrm flipH="1">
          <a:off x="3520440" y="5509260"/>
          <a:ext cx="7620" cy="39624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1127760</xdr:colOff>
      <xdr:row>34</xdr:row>
      <xdr:rowOff>137160</xdr:rowOff>
    </xdr:from>
    <xdr:to>
      <xdr:col>3</xdr:col>
      <xdr:colOff>1127760</xdr:colOff>
      <xdr:row>40</xdr:row>
      <xdr:rowOff>152400</xdr:rowOff>
    </xdr:to>
    <xdr:sp>
      <xdr:nvSpPr>
        <xdr:cNvPr id="457672" name="Line 100"/>
        <xdr:cNvSpPr>
          <a:spLocks noChangeShapeType="1"/>
        </xdr:cNvSpPr>
      </xdr:nvSpPr>
      <xdr:spPr>
        <a:xfrm>
          <a:off x="3467100" y="6844665"/>
          <a:ext cx="0" cy="120396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1371600</xdr:colOff>
      <xdr:row>31</xdr:row>
      <xdr:rowOff>114300</xdr:rowOff>
    </xdr:from>
    <xdr:to>
      <xdr:col>3</xdr:col>
      <xdr:colOff>7620</xdr:colOff>
      <xdr:row>31</xdr:row>
      <xdr:rowOff>114300</xdr:rowOff>
    </xdr:to>
    <xdr:sp>
      <xdr:nvSpPr>
        <xdr:cNvPr id="457673" name="Line 103"/>
        <xdr:cNvSpPr>
          <a:spLocks noChangeShapeType="1"/>
        </xdr:cNvSpPr>
      </xdr:nvSpPr>
      <xdr:spPr>
        <a:xfrm>
          <a:off x="2339340" y="6278880"/>
          <a:ext cx="76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1371600</xdr:colOff>
      <xdr:row>30</xdr:row>
      <xdr:rowOff>99060</xdr:rowOff>
    </xdr:from>
    <xdr:to>
      <xdr:col>4</xdr:col>
      <xdr:colOff>0</xdr:colOff>
      <xdr:row>30</xdr:row>
      <xdr:rowOff>99060</xdr:rowOff>
    </xdr:to>
    <xdr:sp>
      <xdr:nvSpPr>
        <xdr:cNvPr id="457674" name="Line 108"/>
        <xdr:cNvSpPr>
          <a:spLocks noChangeShapeType="1"/>
        </xdr:cNvSpPr>
      </xdr:nvSpPr>
      <xdr:spPr>
        <a:xfrm>
          <a:off x="3710940" y="6065520"/>
          <a:ext cx="76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845820</xdr:colOff>
      <xdr:row>8</xdr:row>
      <xdr:rowOff>137160</xdr:rowOff>
    </xdr:from>
    <xdr:to>
      <xdr:col>2</xdr:col>
      <xdr:colOff>1097280</xdr:colOff>
      <xdr:row>8</xdr:row>
      <xdr:rowOff>137160</xdr:rowOff>
    </xdr:to>
    <xdr:sp>
      <xdr:nvSpPr>
        <xdr:cNvPr id="457675" name="Line 109"/>
        <xdr:cNvSpPr>
          <a:spLocks noChangeShapeType="1"/>
        </xdr:cNvSpPr>
      </xdr:nvSpPr>
      <xdr:spPr>
        <a:xfrm>
          <a:off x="1988820" y="1744980"/>
          <a:ext cx="2514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1264920</xdr:colOff>
      <xdr:row>20</xdr:row>
      <xdr:rowOff>99060</xdr:rowOff>
    </xdr:from>
    <xdr:to>
      <xdr:col>4</xdr:col>
      <xdr:colOff>0</xdr:colOff>
      <xdr:row>20</xdr:row>
      <xdr:rowOff>99060</xdr:rowOff>
    </xdr:to>
    <xdr:sp>
      <xdr:nvSpPr>
        <xdr:cNvPr id="457676" name="Line 118"/>
        <xdr:cNvSpPr>
          <a:spLocks noChangeShapeType="1"/>
        </xdr:cNvSpPr>
      </xdr:nvSpPr>
      <xdr:spPr>
        <a:xfrm>
          <a:off x="3604260" y="4084320"/>
          <a:ext cx="1143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1264920</xdr:colOff>
      <xdr:row>21</xdr:row>
      <xdr:rowOff>99060</xdr:rowOff>
    </xdr:from>
    <xdr:to>
      <xdr:col>4</xdr:col>
      <xdr:colOff>0</xdr:colOff>
      <xdr:row>21</xdr:row>
      <xdr:rowOff>99060</xdr:rowOff>
    </xdr:to>
    <xdr:sp>
      <xdr:nvSpPr>
        <xdr:cNvPr id="457677" name="Line 119"/>
        <xdr:cNvSpPr>
          <a:spLocks noChangeShapeType="1"/>
        </xdr:cNvSpPr>
      </xdr:nvSpPr>
      <xdr:spPr>
        <a:xfrm>
          <a:off x="3604260" y="4282440"/>
          <a:ext cx="1143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1272540</xdr:colOff>
      <xdr:row>22</xdr:row>
      <xdr:rowOff>114300</xdr:rowOff>
    </xdr:from>
    <xdr:to>
      <xdr:col>4</xdr:col>
      <xdr:colOff>7620</xdr:colOff>
      <xdr:row>22</xdr:row>
      <xdr:rowOff>114300</xdr:rowOff>
    </xdr:to>
    <xdr:sp>
      <xdr:nvSpPr>
        <xdr:cNvPr id="457678" name="Line 120"/>
        <xdr:cNvSpPr>
          <a:spLocks noChangeShapeType="1"/>
        </xdr:cNvSpPr>
      </xdr:nvSpPr>
      <xdr:spPr>
        <a:xfrm>
          <a:off x="3611880" y="4495800"/>
          <a:ext cx="1143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1379220</xdr:colOff>
      <xdr:row>33</xdr:row>
      <xdr:rowOff>114300</xdr:rowOff>
    </xdr:from>
    <xdr:to>
      <xdr:col>4</xdr:col>
      <xdr:colOff>7620</xdr:colOff>
      <xdr:row>33</xdr:row>
      <xdr:rowOff>114300</xdr:rowOff>
    </xdr:to>
    <xdr:sp>
      <xdr:nvSpPr>
        <xdr:cNvPr id="457679" name="Line 128"/>
        <xdr:cNvSpPr>
          <a:spLocks noChangeShapeType="1"/>
        </xdr:cNvSpPr>
      </xdr:nvSpPr>
      <xdr:spPr>
        <a:xfrm>
          <a:off x="3718560" y="6640830"/>
          <a:ext cx="76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1371600</xdr:colOff>
      <xdr:row>32</xdr:row>
      <xdr:rowOff>99060</xdr:rowOff>
    </xdr:from>
    <xdr:to>
      <xdr:col>4</xdr:col>
      <xdr:colOff>0</xdr:colOff>
      <xdr:row>32</xdr:row>
      <xdr:rowOff>99060</xdr:rowOff>
    </xdr:to>
    <xdr:sp>
      <xdr:nvSpPr>
        <xdr:cNvPr id="457680" name="Line 129"/>
        <xdr:cNvSpPr>
          <a:spLocks noChangeShapeType="1"/>
        </xdr:cNvSpPr>
      </xdr:nvSpPr>
      <xdr:spPr>
        <a:xfrm>
          <a:off x="3710940" y="6444615"/>
          <a:ext cx="76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853440</xdr:colOff>
      <xdr:row>12</xdr:row>
      <xdr:rowOff>114300</xdr:rowOff>
    </xdr:from>
    <xdr:to>
      <xdr:col>3</xdr:col>
      <xdr:colOff>0</xdr:colOff>
      <xdr:row>12</xdr:row>
      <xdr:rowOff>114300</xdr:rowOff>
    </xdr:to>
    <xdr:sp>
      <xdr:nvSpPr>
        <xdr:cNvPr id="457681" name="Line 130"/>
        <xdr:cNvSpPr>
          <a:spLocks noChangeShapeType="1"/>
        </xdr:cNvSpPr>
      </xdr:nvSpPr>
      <xdr:spPr>
        <a:xfrm>
          <a:off x="1996440" y="2514600"/>
          <a:ext cx="3429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853440</xdr:colOff>
      <xdr:row>13</xdr:row>
      <xdr:rowOff>121920</xdr:rowOff>
    </xdr:from>
    <xdr:to>
      <xdr:col>3</xdr:col>
      <xdr:colOff>0</xdr:colOff>
      <xdr:row>13</xdr:row>
      <xdr:rowOff>121920</xdr:rowOff>
    </xdr:to>
    <xdr:sp>
      <xdr:nvSpPr>
        <xdr:cNvPr id="457682" name="Line 131"/>
        <xdr:cNvSpPr>
          <a:spLocks noChangeShapeType="1"/>
        </xdr:cNvSpPr>
      </xdr:nvSpPr>
      <xdr:spPr>
        <a:xfrm>
          <a:off x="1996440" y="2720340"/>
          <a:ext cx="3429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868680</xdr:colOff>
      <xdr:row>14</xdr:row>
      <xdr:rowOff>99060</xdr:rowOff>
    </xdr:from>
    <xdr:to>
      <xdr:col>3</xdr:col>
      <xdr:colOff>7620</xdr:colOff>
      <xdr:row>14</xdr:row>
      <xdr:rowOff>99060</xdr:rowOff>
    </xdr:to>
    <xdr:sp>
      <xdr:nvSpPr>
        <xdr:cNvPr id="457683" name="Line 132"/>
        <xdr:cNvSpPr>
          <a:spLocks noChangeShapeType="1"/>
        </xdr:cNvSpPr>
      </xdr:nvSpPr>
      <xdr:spPr>
        <a:xfrm>
          <a:off x="2011680" y="2895600"/>
          <a:ext cx="33528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868680</xdr:colOff>
      <xdr:row>15</xdr:row>
      <xdr:rowOff>121920</xdr:rowOff>
    </xdr:from>
    <xdr:to>
      <xdr:col>3</xdr:col>
      <xdr:colOff>7620</xdr:colOff>
      <xdr:row>15</xdr:row>
      <xdr:rowOff>121920</xdr:rowOff>
    </xdr:to>
    <xdr:sp>
      <xdr:nvSpPr>
        <xdr:cNvPr id="457684" name="Line 133"/>
        <xdr:cNvSpPr>
          <a:spLocks noChangeShapeType="1"/>
        </xdr:cNvSpPr>
      </xdr:nvSpPr>
      <xdr:spPr>
        <a:xfrm>
          <a:off x="2011680" y="3116580"/>
          <a:ext cx="33528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876300</xdr:colOff>
      <xdr:row>16</xdr:row>
      <xdr:rowOff>99060</xdr:rowOff>
    </xdr:from>
    <xdr:to>
      <xdr:col>3</xdr:col>
      <xdr:colOff>15240</xdr:colOff>
      <xdr:row>16</xdr:row>
      <xdr:rowOff>99060</xdr:rowOff>
    </xdr:to>
    <xdr:sp>
      <xdr:nvSpPr>
        <xdr:cNvPr id="457685" name="Line 134"/>
        <xdr:cNvSpPr>
          <a:spLocks noChangeShapeType="1"/>
        </xdr:cNvSpPr>
      </xdr:nvSpPr>
      <xdr:spPr>
        <a:xfrm>
          <a:off x="2019300" y="3291840"/>
          <a:ext cx="33528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868680</xdr:colOff>
      <xdr:row>25</xdr:row>
      <xdr:rowOff>99060</xdr:rowOff>
    </xdr:from>
    <xdr:to>
      <xdr:col>2</xdr:col>
      <xdr:colOff>1188720</xdr:colOff>
      <xdr:row>25</xdr:row>
      <xdr:rowOff>99060</xdr:rowOff>
    </xdr:to>
    <xdr:sp>
      <xdr:nvSpPr>
        <xdr:cNvPr id="457686" name="Line 135"/>
        <xdr:cNvSpPr>
          <a:spLocks noChangeShapeType="1"/>
        </xdr:cNvSpPr>
      </xdr:nvSpPr>
      <xdr:spPr>
        <a:xfrm>
          <a:off x="2011680" y="5074920"/>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853440</xdr:colOff>
      <xdr:row>30</xdr:row>
      <xdr:rowOff>114300</xdr:rowOff>
    </xdr:from>
    <xdr:to>
      <xdr:col>2</xdr:col>
      <xdr:colOff>1173480</xdr:colOff>
      <xdr:row>30</xdr:row>
      <xdr:rowOff>114300</xdr:rowOff>
    </xdr:to>
    <xdr:sp>
      <xdr:nvSpPr>
        <xdr:cNvPr id="457687" name="Line 136"/>
        <xdr:cNvSpPr>
          <a:spLocks noChangeShapeType="1"/>
        </xdr:cNvSpPr>
      </xdr:nvSpPr>
      <xdr:spPr>
        <a:xfrm>
          <a:off x="1996440" y="6080760"/>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853440</xdr:colOff>
      <xdr:row>31</xdr:row>
      <xdr:rowOff>99060</xdr:rowOff>
    </xdr:from>
    <xdr:to>
      <xdr:col>2</xdr:col>
      <xdr:colOff>1173480</xdr:colOff>
      <xdr:row>31</xdr:row>
      <xdr:rowOff>99060</xdr:rowOff>
    </xdr:to>
    <xdr:sp>
      <xdr:nvSpPr>
        <xdr:cNvPr id="457688" name="Line 137"/>
        <xdr:cNvSpPr>
          <a:spLocks noChangeShapeType="1"/>
        </xdr:cNvSpPr>
      </xdr:nvSpPr>
      <xdr:spPr>
        <a:xfrm>
          <a:off x="1996440" y="6263640"/>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853440</xdr:colOff>
      <xdr:row>32</xdr:row>
      <xdr:rowOff>99060</xdr:rowOff>
    </xdr:from>
    <xdr:to>
      <xdr:col>2</xdr:col>
      <xdr:colOff>1173480</xdr:colOff>
      <xdr:row>32</xdr:row>
      <xdr:rowOff>99060</xdr:rowOff>
    </xdr:to>
    <xdr:sp>
      <xdr:nvSpPr>
        <xdr:cNvPr id="457689" name="Line 138"/>
        <xdr:cNvSpPr>
          <a:spLocks noChangeShapeType="1"/>
        </xdr:cNvSpPr>
      </xdr:nvSpPr>
      <xdr:spPr>
        <a:xfrm>
          <a:off x="1996440" y="6444615"/>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845820</xdr:colOff>
      <xdr:row>33</xdr:row>
      <xdr:rowOff>99060</xdr:rowOff>
    </xdr:from>
    <xdr:to>
      <xdr:col>2</xdr:col>
      <xdr:colOff>1165860</xdr:colOff>
      <xdr:row>33</xdr:row>
      <xdr:rowOff>99060</xdr:rowOff>
    </xdr:to>
    <xdr:sp>
      <xdr:nvSpPr>
        <xdr:cNvPr id="457690" name="Line 139"/>
        <xdr:cNvSpPr>
          <a:spLocks noChangeShapeType="1"/>
        </xdr:cNvSpPr>
      </xdr:nvSpPr>
      <xdr:spPr>
        <a:xfrm>
          <a:off x="1988820" y="6625590"/>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601980</xdr:colOff>
      <xdr:row>34</xdr:row>
      <xdr:rowOff>99060</xdr:rowOff>
    </xdr:from>
    <xdr:to>
      <xdr:col>3</xdr:col>
      <xdr:colOff>15240</xdr:colOff>
      <xdr:row>34</xdr:row>
      <xdr:rowOff>99060</xdr:rowOff>
    </xdr:to>
    <xdr:sp>
      <xdr:nvSpPr>
        <xdr:cNvPr id="457691" name="Line 140"/>
        <xdr:cNvSpPr>
          <a:spLocks noChangeShapeType="1"/>
        </xdr:cNvSpPr>
      </xdr:nvSpPr>
      <xdr:spPr>
        <a:xfrm>
          <a:off x="1744980" y="6806565"/>
          <a:ext cx="6096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1135380</xdr:colOff>
      <xdr:row>35</xdr:row>
      <xdr:rowOff>121920</xdr:rowOff>
    </xdr:from>
    <xdr:to>
      <xdr:col>3</xdr:col>
      <xdr:colOff>1348740</xdr:colOff>
      <xdr:row>35</xdr:row>
      <xdr:rowOff>121920</xdr:rowOff>
    </xdr:to>
    <xdr:sp>
      <xdr:nvSpPr>
        <xdr:cNvPr id="457692" name="Line 141"/>
        <xdr:cNvSpPr>
          <a:spLocks noChangeShapeType="1"/>
        </xdr:cNvSpPr>
      </xdr:nvSpPr>
      <xdr:spPr>
        <a:xfrm flipV="1">
          <a:off x="3474720" y="7027545"/>
          <a:ext cx="2133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1127760</xdr:colOff>
      <xdr:row>36</xdr:row>
      <xdr:rowOff>114300</xdr:rowOff>
    </xdr:from>
    <xdr:to>
      <xdr:col>3</xdr:col>
      <xdr:colOff>1341120</xdr:colOff>
      <xdr:row>36</xdr:row>
      <xdr:rowOff>114300</xdr:rowOff>
    </xdr:to>
    <xdr:sp>
      <xdr:nvSpPr>
        <xdr:cNvPr id="457693" name="Line 142"/>
        <xdr:cNvSpPr>
          <a:spLocks noChangeShapeType="1"/>
        </xdr:cNvSpPr>
      </xdr:nvSpPr>
      <xdr:spPr>
        <a:xfrm flipV="1">
          <a:off x="3467100" y="7218045"/>
          <a:ext cx="2133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1135380</xdr:colOff>
      <xdr:row>37</xdr:row>
      <xdr:rowOff>99060</xdr:rowOff>
    </xdr:from>
    <xdr:to>
      <xdr:col>3</xdr:col>
      <xdr:colOff>1348740</xdr:colOff>
      <xdr:row>37</xdr:row>
      <xdr:rowOff>99060</xdr:rowOff>
    </xdr:to>
    <xdr:sp>
      <xdr:nvSpPr>
        <xdr:cNvPr id="457694" name="Line 143"/>
        <xdr:cNvSpPr>
          <a:spLocks noChangeShapeType="1"/>
        </xdr:cNvSpPr>
      </xdr:nvSpPr>
      <xdr:spPr>
        <a:xfrm flipV="1">
          <a:off x="3474720" y="7400925"/>
          <a:ext cx="2133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1135380</xdr:colOff>
      <xdr:row>38</xdr:row>
      <xdr:rowOff>99060</xdr:rowOff>
    </xdr:from>
    <xdr:to>
      <xdr:col>3</xdr:col>
      <xdr:colOff>1348740</xdr:colOff>
      <xdr:row>38</xdr:row>
      <xdr:rowOff>99060</xdr:rowOff>
    </xdr:to>
    <xdr:sp>
      <xdr:nvSpPr>
        <xdr:cNvPr id="457695" name="Line 144"/>
        <xdr:cNvSpPr>
          <a:spLocks noChangeShapeType="1"/>
        </xdr:cNvSpPr>
      </xdr:nvSpPr>
      <xdr:spPr>
        <a:xfrm flipV="1">
          <a:off x="3474720" y="7599045"/>
          <a:ext cx="2133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1135380</xdr:colOff>
      <xdr:row>39</xdr:row>
      <xdr:rowOff>99060</xdr:rowOff>
    </xdr:from>
    <xdr:to>
      <xdr:col>3</xdr:col>
      <xdr:colOff>1348740</xdr:colOff>
      <xdr:row>39</xdr:row>
      <xdr:rowOff>99060</xdr:rowOff>
    </xdr:to>
    <xdr:sp>
      <xdr:nvSpPr>
        <xdr:cNvPr id="457696" name="Line 145"/>
        <xdr:cNvSpPr>
          <a:spLocks noChangeShapeType="1"/>
        </xdr:cNvSpPr>
      </xdr:nvSpPr>
      <xdr:spPr>
        <a:xfrm flipV="1">
          <a:off x="3474720" y="7797165"/>
          <a:ext cx="2133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1135380</xdr:colOff>
      <xdr:row>40</xdr:row>
      <xdr:rowOff>152400</xdr:rowOff>
    </xdr:from>
    <xdr:to>
      <xdr:col>3</xdr:col>
      <xdr:colOff>1348740</xdr:colOff>
      <xdr:row>40</xdr:row>
      <xdr:rowOff>152400</xdr:rowOff>
    </xdr:to>
    <xdr:sp>
      <xdr:nvSpPr>
        <xdr:cNvPr id="457697" name="Line 146"/>
        <xdr:cNvSpPr>
          <a:spLocks noChangeShapeType="1"/>
        </xdr:cNvSpPr>
      </xdr:nvSpPr>
      <xdr:spPr>
        <a:xfrm flipV="1">
          <a:off x="3474720" y="8048625"/>
          <a:ext cx="2133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1127760</xdr:colOff>
      <xdr:row>41</xdr:row>
      <xdr:rowOff>114300</xdr:rowOff>
    </xdr:from>
    <xdr:to>
      <xdr:col>3</xdr:col>
      <xdr:colOff>1127760</xdr:colOff>
      <xdr:row>42</xdr:row>
      <xdr:rowOff>83820</xdr:rowOff>
    </xdr:to>
    <xdr:sp>
      <xdr:nvSpPr>
        <xdr:cNvPr id="457698" name="Line 147"/>
        <xdr:cNvSpPr>
          <a:spLocks noChangeShapeType="1"/>
        </xdr:cNvSpPr>
      </xdr:nvSpPr>
      <xdr:spPr>
        <a:xfrm flipH="1">
          <a:off x="3467100" y="8208645"/>
          <a:ext cx="0" cy="16764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883920</xdr:colOff>
      <xdr:row>46</xdr:row>
      <xdr:rowOff>83820</xdr:rowOff>
    </xdr:from>
    <xdr:to>
      <xdr:col>3</xdr:col>
      <xdr:colOff>7620</xdr:colOff>
      <xdr:row>46</xdr:row>
      <xdr:rowOff>83820</xdr:rowOff>
    </xdr:to>
    <xdr:sp>
      <xdr:nvSpPr>
        <xdr:cNvPr id="457699" name="Line 148"/>
        <xdr:cNvSpPr>
          <a:spLocks noChangeShapeType="1"/>
        </xdr:cNvSpPr>
      </xdr:nvSpPr>
      <xdr:spPr>
        <a:xfrm>
          <a:off x="2026920" y="9168765"/>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518160</xdr:colOff>
      <xdr:row>47</xdr:row>
      <xdr:rowOff>121920</xdr:rowOff>
    </xdr:from>
    <xdr:to>
      <xdr:col>4</xdr:col>
      <xdr:colOff>22860</xdr:colOff>
      <xdr:row>47</xdr:row>
      <xdr:rowOff>121920</xdr:rowOff>
    </xdr:to>
    <xdr:sp>
      <xdr:nvSpPr>
        <xdr:cNvPr id="457700" name="Line 157"/>
        <xdr:cNvSpPr>
          <a:spLocks noChangeShapeType="1"/>
        </xdr:cNvSpPr>
      </xdr:nvSpPr>
      <xdr:spPr>
        <a:xfrm>
          <a:off x="2857500" y="9404985"/>
          <a:ext cx="8839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586740</xdr:colOff>
      <xdr:row>47</xdr:row>
      <xdr:rowOff>99060</xdr:rowOff>
    </xdr:from>
    <xdr:to>
      <xdr:col>3</xdr:col>
      <xdr:colOff>7620</xdr:colOff>
      <xdr:row>47</xdr:row>
      <xdr:rowOff>99060</xdr:rowOff>
    </xdr:to>
    <xdr:sp>
      <xdr:nvSpPr>
        <xdr:cNvPr id="457701" name="Line 158"/>
        <xdr:cNvSpPr>
          <a:spLocks noChangeShapeType="1"/>
        </xdr:cNvSpPr>
      </xdr:nvSpPr>
      <xdr:spPr>
        <a:xfrm>
          <a:off x="1729740" y="9382125"/>
          <a:ext cx="6172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1165860</xdr:colOff>
      <xdr:row>48</xdr:row>
      <xdr:rowOff>121920</xdr:rowOff>
    </xdr:from>
    <xdr:to>
      <xdr:col>4</xdr:col>
      <xdr:colOff>0</xdr:colOff>
      <xdr:row>48</xdr:row>
      <xdr:rowOff>121920</xdr:rowOff>
    </xdr:to>
    <xdr:sp>
      <xdr:nvSpPr>
        <xdr:cNvPr id="457702" name="Line 159"/>
        <xdr:cNvSpPr>
          <a:spLocks noChangeShapeType="1"/>
        </xdr:cNvSpPr>
      </xdr:nvSpPr>
      <xdr:spPr>
        <a:xfrm flipV="1">
          <a:off x="3505200" y="9603105"/>
          <a:ext cx="21336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883920</xdr:colOff>
      <xdr:row>47</xdr:row>
      <xdr:rowOff>121920</xdr:rowOff>
    </xdr:from>
    <xdr:to>
      <xdr:col>2</xdr:col>
      <xdr:colOff>883920</xdr:colOff>
      <xdr:row>50</xdr:row>
      <xdr:rowOff>83820</xdr:rowOff>
    </xdr:to>
    <xdr:sp>
      <xdr:nvSpPr>
        <xdr:cNvPr id="457703" name="Line 162"/>
        <xdr:cNvSpPr>
          <a:spLocks noChangeShapeType="1"/>
        </xdr:cNvSpPr>
      </xdr:nvSpPr>
      <xdr:spPr>
        <a:xfrm flipH="1">
          <a:off x="2026920" y="9404985"/>
          <a:ext cx="0" cy="55626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891540</xdr:colOff>
      <xdr:row>50</xdr:row>
      <xdr:rowOff>83820</xdr:rowOff>
    </xdr:from>
    <xdr:to>
      <xdr:col>3</xdr:col>
      <xdr:colOff>15240</xdr:colOff>
      <xdr:row>50</xdr:row>
      <xdr:rowOff>83820</xdr:rowOff>
    </xdr:to>
    <xdr:sp>
      <xdr:nvSpPr>
        <xdr:cNvPr id="457704" name="Line 163"/>
        <xdr:cNvSpPr>
          <a:spLocks noChangeShapeType="1"/>
        </xdr:cNvSpPr>
      </xdr:nvSpPr>
      <xdr:spPr>
        <a:xfrm>
          <a:off x="2034540" y="9961245"/>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891540</xdr:colOff>
      <xdr:row>49</xdr:row>
      <xdr:rowOff>99060</xdr:rowOff>
    </xdr:from>
    <xdr:to>
      <xdr:col>3</xdr:col>
      <xdr:colOff>15240</xdr:colOff>
      <xdr:row>49</xdr:row>
      <xdr:rowOff>99060</xdr:rowOff>
    </xdr:to>
    <xdr:sp>
      <xdr:nvSpPr>
        <xdr:cNvPr id="457705" name="Line 164"/>
        <xdr:cNvSpPr>
          <a:spLocks noChangeShapeType="1"/>
        </xdr:cNvSpPr>
      </xdr:nvSpPr>
      <xdr:spPr>
        <a:xfrm>
          <a:off x="2034540" y="9778365"/>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1165860</xdr:colOff>
      <xdr:row>47</xdr:row>
      <xdr:rowOff>160020</xdr:rowOff>
    </xdr:from>
    <xdr:to>
      <xdr:col>3</xdr:col>
      <xdr:colOff>1165860</xdr:colOff>
      <xdr:row>48</xdr:row>
      <xdr:rowOff>137160</xdr:rowOff>
    </xdr:to>
    <xdr:sp>
      <xdr:nvSpPr>
        <xdr:cNvPr id="457706" name="Line 165"/>
        <xdr:cNvSpPr>
          <a:spLocks noChangeShapeType="1"/>
        </xdr:cNvSpPr>
      </xdr:nvSpPr>
      <xdr:spPr>
        <a:xfrm flipH="1">
          <a:off x="3505200" y="9443085"/>
          <a:ext cx="0" cy="17526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586740</xdr:colOff>
      <xdr:row>51</xdr:row>
      <xdr:rowOff>99060</xdr:rowOff>
    </xdr:from>
    <xdr:to>
      <xdr:col>3</xdr:col>
      <xdr:colOff>7620</xdr:colOff>
      <xdr:row>51</xdr:row>
      <xdr:rowOff>99060</xdr:rowOff>
    </xdr:to>
    <xdr:sp>
      <xdr:nvSpPr>
        <xdr:cNvPr id="457707" name="Line 166"/>
        <xdr:cNvSpPr>
          <a:spLocks noChangeShapeType="1"/>
        </xdr:cNvSpPr>
      </xdr:nvSpPr>
      <xdr:spPr>
        <a:xfrm>
          <a:off x="1729740" y="10174605"/>
          <a:ext cx="6172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883920</xdr:colOff>
      <xdr:row>51</xdr:row>
      <xdr:rowOff>121920</xdr:rowOff>
    </xdr:from>
    <xdr:to>
      <xdr:col>2</xdr:col>
      <xdr:colOff>883920</xdr:colOff>
      <xdr:row>53</xdr:row>
      <xdr:rowOff>99060</xdr:rowOff>
    </xdr:to>
    <xdr:sp>
      <xdr:nvSpPr>
        <xdr:cNvPr id="457708" name="Line 167"/>
        <xdr:cNvSpPr>
          <a:spLocks noChangeShapeType="1"/>
        </xdr:cNvSpPr>
      </xdr:nvSpPr>
      <xdr:spPr>
        <a:xfrm flipH="1">
          <a:off x="2026920" y="10197465"/>
          <a:ext cx="0" cy="37338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883920</xdr:colOff>
      <xdr:row>52</xdr:row>
      <xdr:rowOff>121920</xdr:rowOff>
    </xdr:from>
    <xdr:to>
      <xdr:col>3</xdr:col>
      <xdr:colOff>7620</xdr:colOff>
      <xdr:row>52</xdr:row>
      <xdr:rowOff>121920</xdr:rowOff>
    </xdr:to>
    <xdr:sp>
      <xdr:nvSpPr>
        <xdr:cNvPr id="457709" name="Line 168"/>
        <xdr:cNvSpPr>
          <a:spLocks noChangeShapeType="1"/>
        </xdr:cNvSpPr>
      </xdr:nvSpPr>
      <xdr:spPr>
        <a:xfrm>
          <a:off x="2026920" y="10395585"/>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xdr:col>
      <xdr:colOff>891540</xdr:colOff>
      <xdr:row>53</xdr:row>
      <xdr:rowOff>114300</xdr:rowOff>
    </xdr:from>
    <xdr:to>
      <xdr:col>3</xdr:col>
      <xdr:colOff>15240</xdr:colOff>
      <xdr:row>53</xdr:row>
      <xdr:rowOff>114300</xdr:rowOff>
    </xdr:to>
    <xdr:sp>
      <xdr:nvSpPr>
        <xdr:cNvPr id="457710" name="Line 169"/>
        <xdr:cNvSpPr>
          <a:spLocks noChangeShapeType="1"/>
        </xdr:cNvSpPr>
      </xdr:nvSpPr>
      <xdr:spPr>
        <a:xfrm>
          <a:off x="2034540" y="10586085"/>
          <a:ext cx="3200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205740</xdr:colOff>
      <xdr:row>19</xdr:row>
      <xdr:rowOff>99060</xdr:rowOff>
    </xdr:from>
    <xdr:to>
      <xdr:col>7</xdr:col>
      <xdr:colOff>967740</xdr:colOff>
      <xdr:row>19</xdr:row>
      <xdr:rowOff>99060</xdr:rowOff>
    </xdr:to>
    <xdr:sp>
      <xdr:nvSpPr>
        <xdr:cNvPr id="457711" name="Line 170"/>
        <xdr:cNvSpPr>
          <a:spLocks noChangeShapeType="1"/>
        </xdr:cNvSpPr>
      </xdr:nvSpPr>
      <xdr:spPr>
        <a:xfrm>
          <a:off x="6217920" y="3886200"/>
          <a:ext cx="762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7</xdr:col>
      <xdr:colOff>548640</xdr:colOff>
      <xdr:row>23</xdr:row>
      <xdr:rowOff>137160</xdr:rowOff>
    </xdr:from>
    <xdr:to>
      <xdr:col>7</xdr:col>
      <xdr:colOff>937260</xdr:colOff>
      <xdr:row>23</xdr:row>
      <xdr:rowOff>137160</xdr:rowOff>
    </xdr:to>
    <xdr:sp>
      <xdr:nvSpPr>
        <xdr:cNvPr id="457712" name="Line 171"/>
        <xdr:cNvSpPr>
          <a:spLocks noChangeShapeType="1"/>
        </xdr:cNvSpPr>
      </xdr:nvSpPr>
      <xdr:spPr>
        <a:xfrm>
          <a:off x="6560820" y="4716780"/>
          <a:ext cx="38862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theme>
</file>

<file path=xl/worksheets/_rels/sheet100.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comments" Target="../comments70.xml"/></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comments" Target="../comments71.xml"/></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comments" Target="../comments72.xml"/></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comments" Target="../comments73.xml"/></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comments" Target="../comments74.xml"/></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comments" Target="../comments75.xml"/></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comments" Target="../comments76.xml"/></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comments" Target="../comments77.xml"/></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comments" Target="../comments78.xml"/></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comments" Target="../comments79.xml"/></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comments" Target="../comments80.xml"/></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comments" Target="../comments81.xml"/></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comments" Target="../comments82.xml"/></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comments" Target="../comments83.xml"/></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comments" Target="../comments84.xml"/></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comments" Target="../comments85.xml"/></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comments" Target="../comments86.xml"/></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comments" Target="../comments87.xml"/></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comments" Target="../comments88.xml"/></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comments" Target="../comments89.xml"/></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comments" Target="../comments90.xml"/></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comments" Target="../comments91.xml"/></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comments" Target="../comments92.xml"/></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comments" Target="../comments93.xml"/></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comments" Target="../comments94.xml"/></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comments" Target="../comments95.xml"/></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comments" Target="../comments96.xml"/></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comments" Target="../comments97.xml"/></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comments" Target="../comments98.xml"/></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comments" Target="../comments99.xml"/></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comments" Target="../comments100.xml"/></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comments" Target="../comments101.xml"/></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comments" Target="../comments10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7.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3" Type="http://schemas.openxmlformats.org/officeDocument/2006/relationships/hyperlink" Target="https://cn.trustexporter.com/cp-daijie911/o13806252.htm" TargetMode="External"/><Relationship Id="rId2" Type="http://schemas.openxmlformats.org/officeDocument/2006/relationships/vmlDrawing" Target="../drawings/vmlDrawing23.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5.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9" Type="http://schemas.openxmlformats.org/officeDocument/2006/relationships/hyperlink" Target="https://item.jd.com/10153304126494.html" TargetMode="External"/><Relationship Id="rId8" Type="http://schemas.openxmlformats.org/officeDocument/2006/relationships/hyperlink" Target="https://item.jd.com/10153304126493.html" TargetMode="External"/><Relationship Id="rId7" Type="http://schemas.openxmlformats.org/officeDocument/2006/relationships/hyperlink" Target="https://item.jd.com/10120076201301.html" TargetMode="External"/><Relationship Id="rId6" Type="http://schemas.openxmlformats.org/officeDocument/2006/relationships/hyperlink" Target="https://item.jd.com/10098328126351.html" TargetMode="External"/><Relationship Id="rId5" Type="http://schemas.openxmlformats.org/officeDocument/2006/relationships/hyperlink" Target="https://www.gys.cn/tezhongdianlan/5419374963.html" TargetMode="External"/><Relationship Id="rId4" Type="http://schemas.openxmlformats.org/officeDocument/2006/relationships/hyperlink" Target="https://item.jd.com/10187484327919.html" TargetMode="External"/><Relationship Id="rId3" Type="http://schemas.openxmlformats.org/officeDocument/2006/relationships/hyperlink" Target="https://www.gys.cn/dianlidianlan/5436315129.html" TargetMode="External"/><Relationship Id="rId2" Type="http://schemas.openxmlformats.org/officeDocument/2006/relationships/vmlDrawing" Target="../drawings/vmlDrawing28.vml"/><Relationship Id="rId14" Type="http://schemas.openxmlformats.org/officeDocument/2006/relationships/hyperlink" Target="https://item.jd.com/10178883294643.html" TargetMode="External"/><Relationship Id="rId13" Type="http://schemas.openxmlformats.org/officeDocument/2006/relationships/hyperlink" Target="https://item.jd.com/10136817570290.html" TargetMode="External"/><Relationship Id="rId12" Type="http://schemas.openxmlformats.org/officeDocument/2006/relationships/hyperlink" Target="https://item.jd.com/10153304126511.html" TargetMode="External"/><Relationship Id="rId11" Type="http://schemas.openxmlformats.org/officeDocument/2006/relationships/hyperlink" Target="https://item.jd.com/10153304126506.html" TargetMode="External"/><Relationship Id="rId10" Type="http://schemas.openxmlformats.org/officeDocument/2006/relationships/hyperlink" Target="https://item.jd.com/10153304126495.html" TargetMode="External"/><Relationship Id="rId1" Type="http://schemas.openxmlformats.org/officeDocument/2006/relationships/comments" Target="../comments27.x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8.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9.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30.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31.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32.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33.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4.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5.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6.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7.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8.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9.xml"/></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40.xml"/></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41.xml"/></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42.xml"/></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43.xml"/></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4.xml"/></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5.xml"/></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6.xml"/></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7.xml"/></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8.xml"/></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omments" Target="../comments49.xml"/></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omments" Target="../comments50.xml"/></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comments" Target="../comments51.xml"/></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comments" Target="../comments52.xml"/></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comments" Target="../comments53.xml"/></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comments" Target="../comments54.xml"/></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comments" Target="../comments55.xml"/></Relationships>
</file>

<file path=xl/worksheets/_rels/sheet83.xml.rels><?xml version="1.0" encoding="UTF-8" standalone="yes"?>
<Relationships xmlns="http://schemas.openxmlformats.org/package/2006/relationships"><Relationship Id="rId8" Type="http://schemas.openxmlformats.org/officeDocument/2006/relationships/hyperlink" Target="https://detail.1688.com/offer/824909345582.html?spm=a261b.2187593.0.0.548317e9ywsAOu" TargetMode="External"/><Relationship Id="rId7" Type="http://schemas.openxmlformats.org/officeDocument/2006/relationships/hyperlink" Target="https://i-item.jd.com/10123820447637.html" TargetMode="External"/><Relationship Id="rId6" Type="http://schemas.openxmlformats.org/officeDocument/2006/relationships/hyperlink" Target="https://detail.1688.com/offer/521696759215.html?spm=a261b.2187593.0.0.1c904507X39D2V" TargetMode="External"/><Relationship Id="rId5" Type="http://schemas.openxmlformats.org/officeDocument/2006/relationships/hyperlink" Target="https://item.jd.com/10095346588543.html" TargetMode="External"/><Relationship Id="rId4" Type="http://schemas.openxmlformats.org/officeDocument/2006/relationships/hyperlink" Target="https://item.jd.com/100111352241.html" TargetMode="External"/><Relationship Id="rId3" Type="http://schemas.openxmlformats.org/officeDocument/2006/relationships/hyperlink" Target="https://item.jd.com/100078705623.html" TargetMode="External"/><Relationship Id="rId2" Type="http://schemas.openxmlformats.org/officeDocument/2006/relationships/vmlDrawing" Target="../drawings/vmlDrawing57.vml"/><Relationship Id="rId1" Type="http://schemas.openxmlformats.org/officeDocument/2006/relationships/comments" Target="../comments56.xml"/></Relationships>
</file>

<file path=xl/worksheets/_rels/sheet84.xml.rels><?xml version="1.0" encoding="UTF-8" standalone="yes"?>
<Relationships xmlns="http://schemas.openxmlformats.org/package/2006/relationships"><Relationship Id="rId3" Type="http://schemas.openxmlformats.org/officeDocument/2006/relationships/hyperlink" Target="https://product.360che.com/m146/36693_param.html" TargetMode="External"/><Relationship Id="rId2" Type="http://schemas.openxmlformats.org/officeDocument/2006/relationships/vmlDrawing" Target="../drawings/vmlDrawing58.vml"/><Relationship Id="rId1" Type="http://schemas.openxmlformats.org/officeDocument/2006/relationships/comments" Target="../comments57.xml"/></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comments" Target="../comments58.xml"/></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comments" Target="../comments59.xml"/></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comments" Target="../comments60.xml"/></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comments" Target="../comments61.xml"/></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comments" Target="../comments62.xml"/></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comments" Target="../comments63.xml"/></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comments" Target="../comments64.xml"/></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comments" Target="../comments65.xml"/></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comments" Target="../comments66.xml"/></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comments" Target="../comments67.xml"/></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comments" Target="../comments68.xml"/></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comments" Target="../comments6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
  <sheetViews>
    <sheetView showGridLines="0" showRowColHeaders="0" showZeros="0" showOutlineSymbols="0" workbookViewId="0">
      <selection activeCell="F20111" sqref="F20111"/>
    </sheetView>
  </sheetViews>
  <sheetFormatPr defaultColWidth="9" defaultRowHeight="15.6"/>
  <sheetData/>
  <sheetProtection autoFilter="0"/>
  <pageMargins left="0.75" right="0.75" top="1" bottom="1" header="0.5" footer="0.5"/>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00B0F0"/>
  </sheetPr>
  <dimension ref="A1:Q185"/>
  <sheetViews>
    <sheetView workbookViewId="0">
      <pane xSplit="3" ySplit="6" topLeftCell="D7" activePane="bottomRight" state="frozen"/>
      <selection/>
      <selection pane="topRight"/>
      <selection pane="bottomLeft"/>
      <selection pane="bottomRight" activeCell="E45" sqref="E45"/>
    </sheetView>
  </sheetViews>
  <sheetFormatPr defaultColWidth="9" defaultRowHeight="15.6"/>
  <cols>
    <col min="1" max="1" width="35.6" style="1751" customWidth="1"/>
    <col min="2" max="2" width="2.6" style="1752" hidden="1" customWidth="1" outlineLevel="1"/>
    <col min="3" max="3" width="12.6" style="1751" customWidth="1" collapsed="1"/>
    <col min="4" max="8" width="12.6" style="1751" customWidth="1"/>
    <col min="9" max="9" width="1.6" style="1752" customWidth="1"/>
    <col min="10" max="10" width="20.6" style="1753" hidden="1" customWidth="1" outlineLevel="1"/>
    <col min="11" max="14" width="10.5" style="1751" hidden="1" customWidth="1" outlineLevel="1"/>
    <col min="15" max="15" width="9" style="1751" hidden="1" customWidth="1" outlineLevel="1"/>
    <col min="16" max="16" width="9" style="1751" hidden="1" customWidth="1" outlineLevel="1" collapsed="1"/>
    <col min="17" max="17" width="4.7" style="1752" hidden="1" customWidth="1" outlineLevel="1"/>
    <col min="18" max="18" width="9" style="1751" collapsed="1"/>
    <col min="19" max="16384" width="9" style="1751"/>
  </cols>
  <sheetData>
    <row r="1" s="1745" customFormat="1" ht="22.2" customHeight="1" spans="1:17">
      <c r="A1" s="1754" t="s">
        <v>302</v>
      </c>
      <c r="B1" s="1754"/>
      <c r="C1" s="1754"/>
      <c r="D1" s="1754"/>
      <c r="E1" s="1754"/>
      <c r="F1" s="1754"/>
      <c r="G1" s="1754"/>
      <c r="H1" s="1754"/>
      <c r="I1" s="1755"/>
      <c r="J1" s="1756"/>
      <c r="Q1" s="1755"/>
    </row>
    <row r="2" s="1746" customFormat="1" ht="15" customHeight="1" spans="1:17">
      <c r="A2" s="1757" t="str">
        <f>参数表!F5</f>
        <v>评估基准日：2025年7月31日</v>
      </c>
      <c r="B2" s="1757"/>
      <c r="C2" s="1757"/>
      <c r="D2" s="1757"/>
      <c r="E2" s="1757"/>
      <c r="F2" s="1757"/>
      <c r="G2" s="1757"/>
      <c r="H2" s="1757"/>
      <c r="I2" s="1747"/>
      <c r="J2" s="1750"/>
      <c r="Q2" s="1747"/>
    </row>
    <row r="3" s="1747" customFormat="1" ht="15" customHeight="1" spans="1:17">
      <c r="A3" s="1758" t="str">
        <f>参数表!F3</f>
        <v>产权持有单位:中煤第五建设有限公司</v>
      </c>
      <c r="B3" s="1757"/>
      <c r="C3" s="1758"/>
      <c r="D3" s="1758"/>
      <c r="E3" s="1759"/>
      <c r="F3" s="1759"/>
      <c r="G3" s="1760" t="s">
        <v>332</v>
      </c>
      <c r="H3" s="26" t="s">
        <v>333</v>
      </c>
      <c r="J3" s="1748"/>
    </row>
    <row r="4" s="1748" customFormat="1" ht="15" customHeight="1" spans="1:17">
      <c r="A4" s="1761" t="s">
        <v>334</v>
      </c>
      <c r="B4" s="1762" t="s">
        <v>335</v>
      </c>
      <c r="C4" s="1763" t="s">
        <v>336</v>
      </c>
      <c r="D4" s="1764"/>
      <c r="E4" s="1764"/>
      <c r="F4" s="1764"/>
      <c r="G4" s="1764"/>
      <c r="H4" s="1765"/>
      <c r="J4" s="1766"/>
      <c r="K4" s="1766" t="s">
        <v>337</v>
      </c>
      <c r="L4" s="1766"/>
      <c r="M4" s="1766" t="s">
        <v>338</v>
      </c>
      <c r="N4" s="1766"/>
      <c r="O4" s="1766" t="s">
        <v>273</v>
      </c>
      <c r="P4" s="1766"/>
    </row>
    <row r="5" s="1748" customFormat="1" ht="15" customHeight="1" spans="1:17">
      <c r="A5" s="1761"/>
      <c r="B5" s="1767"/>
      <c r="C5" s="1761" t="str">
        <f>参数表!L8</f>
        <v>2020年12月31日</v>
      </c>
      <c r="D5" s="1761" t="str">
        <f>参数表!M8</f>
        <v>2021年12月31日</v>
      </c>
      <c r="E5" s="1761" t="str">
        <f>参数表!N8</f>
        <v>2022年12月31日</v>
      </c>
      <c r="F5" s="1761" t="str">
        <f>参数表!O8</f>
        <v>2023年12月31日</v>
      </c>
      <c r="G5" s="1761" t="str">
        <f>参数表!P8</f>
        <v>2024年12月31日</v>
      </c>
      <c r="H5" s="1761" t="str">
        <f>参数表!Q8</f>
        <v>2025年7月31日</v>
      </c>
      <c r="J5" s="1766" t="s">
        <v>339</v>
      </c>
      <c r="K5" s="1766" t="str">
        <f>G5</f>
        <v>2024年12月31日</v>
      </c>
      <c r="L5" s="1766" t="str">
        <f>H5</f>
        <v>2025年7月31日</v>
      </c>
      <c r="M5" s="1766" t="str">
        <f>K5</f>
        <v>2024年12月31日</v>
      </c>
      <c r="N5" s="1766" t="str">
        <f>L5</f>
        <v>2025年7月31日</v>
      </c>
      <c r="O5" s="1766" t="str">
        <f>M5</f>
        <v>2024年12月31日</v>
      </c>
      <c r="P5" s="1766" t="str">
        <f>N5</f>
        <v>2025年7月31日</v>
      </c>
    </row>
    <row r="6" s="1749" customFormat="1" ht="15" customHeight="1" spans="1:17">
      <c r="A6" s="1768" t="s">
        <v>340</v>
      </c>
      <c r="B6" s="1769" t="s">
        <v>341</v>
      </c>
      <c r="C6" s="1770">
        <f>SUMIF($Q7:$Q39,"计算",C7:C39)</f>
        <v>0</v>
      </c>
      <c r="D6" s="1770">
        <f t="shared" ref="D6:H6" si="0">SUMIF($Q7:$Q39,"计算",D7:D39)</f>
        <v>0</v>
      </c>
      <c r="E6" s="1770">
        <f t="shared" si="0"/>
        <v>0</v>
      </c>
      <c r="F6" s="1770">
        <f t="shared" si="0"/>
        <v>0</v>
      </c>
      <c r="G6" s="1770">
        <f t="shared" si="0"/>
        <v>0</v>
      </c>
      <c r="H6" s="1770">
        <f t="shared" si="0"/>
        <v>3.555752</v>
      </c>
      <c r="I6" s="1771"/>
      <c r="J6" s="1772" t="s">
        <v>342</v>
      </c>
      <c r="K6" s="1773">
        <f t="shared" ref="K6:P6" si="1">SUM(K7:K39)</f>
        <v>0</v>
      </c>
      <c r="L6" s="1773">
        <f t="shared" si="1"/>
        <v>0</v>
      </c>
      <c r="M6" s="1773">
        <f t="shared" si="1"/>
        <v>0</v>
      </c>
      <c r="N6" s="1773">
        <f t="shared" si="1"/>
        <v>0</v>
      </c>
      <c r="O6" s="1773">
        <f t="shared" si="1"/>
        <v>0</v>
      </c>
      <c r="P6" s="1773">
        <f t="shared" si="1"/>
        <v>0</v>
      </c>
      <c r="Q6" s="1771"/>
    </row>
    <row r="7" s="1746" customFormat="1" ht="15" customHeight="1" spans="1:17">
      <c r="A7" s="1774" t="str">
        <f>分类汇总!B8</f>
        <v>货币资金</v>
      </c>
      <c r="B7" s="1775" t="s">
        <v>341</v>
      </c>
      <c r="C7" s="1776"/>
      <c r="D7" s="1776"/>
      <c r="E7" s="1776"/>
      <c r="F7" s="1776"/>
      <c r="G7" s="1777">
        <f t="shared" ref="G7:H11" si="2">O7/10000</f>
        <v>0</v>
      </c>
      <c r="H7" s="1777">
        <f t="shared" si="2"/>
        <v>0</v>
      </c>
      <c r="I7" s="1747"/>
      <c r="J7" s="1778" t="str">
        <f>A7</f>
        <v>货币资金</v>
      </c>
      <c r="K7" s="1779">
        <f>SUMIF('资负表（已审）-旧'!A$6:A$40,J7,'资负表（已审）-旧'!C$6:C$40)</f>
        <v>0</v>
      </c>
      <c r="L7" s="1779">
        <f>SUMIF('资负表（已审）-旧'!A$6:A$40,J7,'资负表（已审）-旧'!D$6:D$40)</f>
        <v>0</v>
      </c>
      <c r="M7" s="1779">
        <f>SUMIF('资负表（已审）-新'!A$6:A$42,J7,'资负表（已审）-新'!C$6:C$42)</f>
        <v>0</v>
      </c>
      <c r="N7" s="1779">
        <f>SUMIF('资负表（已审）-新'!A$6:A$42,J7,'资负表（已审）-新'!D$6:D$42)</f>
        <v>0</v>
      </c>
      <c r="O7" s="1779">
        <f t="shared" ref="O7:P39" si="3">IF($J7="","",K7+M7)</f>
        <v>0</v>
      </c>
      <c r="P7" s="1779">
        <f t="shared" si="3"/>
        <v>0</v>
      </c>
      <c r="Q7" s="1780" t="s">
        <v>343</v>
      </c>
    </row>
    <row r="8" s="1746" customFormat="1" ht="15" customHeight="1" spans="1:17">
      <c r="A8" s="1774" t="str">
        <f>分类汇总!B9</f>
        <v>以公允价值计量且其变动计入当期损益的金融资产</v>
      </c>
      <c r="B8" s="1781" t="s">
        <v>344</v>
      </c>
      <c r="C8" s="1776"/>
      <c r="D8" s="1776"/>
      <c r="E8" s="1776"/>
      <c r="F8" s="1776"/>
      <c r="G8" s="1777">
        <f>O8/10000</f>
        <v>0</v>
      </c>
      <c r="H8" s="1777">
        <f t="shared" si="2"/>
        <v>0</v>
      </c>
      <c r="I8" s="1747"/>
      <c r="J8" s="1778" t="str">
        <f t="shared" ref="J8:J11" si="4">A8</f>
        <v>以公允价值计量且其变动计入当期损益的金融资产</v>
      </c>
      <c r="K8" s="1779">
        <f>SUMIF('资负表（已审）-旧'!A$6:A$40,J8,'资负表（已审）-旧'!C$6:C$40)</f>
        <v>0</v>
      </c>
      <c r="L8" s="1779">
        <f>SUMIF('资负表（已审）-旧'!A$6:A$40,J8,'资负表（已审）-旧'!D$6:D$40)</f>
        <v>0</v>
      </c>
      <c r="M8" s="1779">
        <f>SUMIF('资负表（已审）-新'!A$6:A$42,J8,'资负表（已审）-新'!C$6:C$42)</f>
        <v>0</v>
      </c>
      <c r="N8" s="1779">
        <f>SUMIF('资负表（已审）-新'!A$6:A$42,J8,'资负表（已审）-新'!D$6:D$42)</f>
        <v>0</v>
      </c>
      <c r="O8" s="1779">
        <f t="shared" si="3"/>
        <v>0</v>
      </c>
      <c r="P8" s="1779">
        <f t="shared" si="3"/>
        <v>0</v>
      </c>
      <c r="Q8" s="1780" t="s">
        <v>343</v>
      </c>
    </row>
    <row r="9" s="1746" customFormat="1" ht="15" customHeight="1" spans="1:17">
      <c r="A9" s="1774" t="str">
        <f>分类汇总!B10</f>
        <v>交易性金融资产</v>
      </c>
      <c r="B9" s="1781" t="s">
        <v>345</v>
      </c>
      <c r="C9" s="1776"/>
      <c r="D9" s="1776"/>
      <c r="E9" s="1776"/>
      <c r="F9" s="1776"/>
      <c r="G9" s="1777">
        <f t="shared" si="2"/>
        <v>0</v>
      </c>
      <c r="H9" s="1777">
        <f t="shared" si="2"/>
        <v>0</v>
      </c>
      <c r="I9" s="1747"/>
      <c r="J9" s="1778" t="str">
        <f t="shared" si="4"/>
        <v>交易性金融资产</v>
      </c>
      <c r="K9" s="1779">
        <f>SUMIF('资负表（已审）-旧'!A$6:A$40,J9,'资负表（已审）-旧'!C$6:C$40)</f>
        <v>0</v>
      </c>
      <c r="L9" s="1779">
        <f>SUMIF('资负表（已审）-旧'!A$6:A$40,J9,'资负表（已审）-旧'!D$6:D$40)</f>
        <v>0</v>
      </c>
      <c r="M9" s="1779">
        <f>SUMIF('资负表（已审）-新'!A$6:A$42,J9,'资负表（已审）-新'!C$6:C$42)</f>
        <v>0</v>
      </c>
      <c r="N9" s="1779">
        <f>SUMIF('资负表（已审）-新'!A$6:A$42,J9,'资负表（已审）-新'!D$6:D$42)</f>
        <v>0</v>
      </c>
      <c r="O9" s="1779">
        <f t="shared" si="3"/>
        <v>0</v>
      </c>
      <c r="P9" s="1779">
        <f t="shared" si="3"/>
        <v>0</v>
      </c>
      <c r="Q9" s="1780" t="s">
        <v>343</v>
      </c>
    </row>
    <row r="10" s="1746" customFormat="1" ht="15" customHeight="1" spans="1:17">
      <c r="A10" s="1774" t="str">
        <f>分类汇总!B11</f>
        <v>衍生金融资产</v>
      </c>
      <c r="B10" s="1781" t="s">
        <v>341</v>
      </c>
      <c r="C10" s="1776"/>
      <c r="D10" s="1776"/>
      <c r="E10" s="1776"/>
      <c r="F10" s="1776"/>
      <c r="G10" s="1777">
        <f t="shared" si="2"/>
        <v>0</v>
      </c>
      <c r="H10" s="1777">
        <f>P10/10000</f>
        <v>0</v>
      </c>
      <c r="I10" s="1747"/>
      <c r="J10" s="1778" t="str">
        <f t="shared" si="4"/>
        <v>衍生金融资产</v>
      </c>
      <c r="K10" s="1779">
        <f>SUMIF('资负表（已审）-旧'!A$6:A$40,J10,'资负表（已审）-旧'!C$6:C$40)</f>
        <v>0</v>
      </c>
      <c r="L10" s="1779">
        <f>SUMIF('资负表（已审）-旧'!A$6:A$40,J10,'资负表（已审）-旧'!D$6:D$40)</f>
        <v>0</v>
      </c>
      <c r="M10" s="1779">
        <f>SUMIF('资负表（已审）-新'!A$6:A$42,J10,'资负表（已审）-新'!C$6:C$42)</f>
        <v>0</v>
      </c>
      <c r="N10" s="1779">
        <f>SUMIF('资负表（已审）-新'!A$6:A$42,J10,'资负表（已审）-新'!D$6:D$42)</f>
        <v>0</v>
      </c>
      <c r="O10" s="1779">
        <f t="shared" si="3"/>
        <v>0</v>
      </c>
      <c r="P10" s="1779">
        <f t="shared" si="3"/>
        <v>0</v>
      </c>
      <c r="Q10" s="1780" t="s">
        <v>343</v>
      </c>
    </row>
    <row r="11" s="1746" customFormat="1" ht="15" customHeight="1" spans="1:17">
      <c r="A11" s="1774" t="str">
        <f>分类汇总!B12</f>
        <v>应收票据</v>
      </c>
      <c r="B11" s="1781" t="s">
        <v>341</v>
      </c>
      <c r="C11" s="1776"/>
      <c r="D11" s="1776"/>
      <c r="E11" s="1776"/>
      <c r="F11" s="1776"/>
      <c r="G11" s="1777">
        <f t="shared" si="2"/>
        <v>0</v>
      </c>
      <c r="H11" s="1777">
        <f>P11/10000</f>
        <v>0</v>
      </c>
      <c r="I11" s="1747"/>
      <c r="J11" s="1778" t="str">
        <f t="shared" si="4"/>
        <v>应收票据</v>
      </c>
      <c r="K11" s="1779">
        <f>SUMIF('资负表（已审）-旧'!A$6:A$40,J11,'资负表（已审）-旧'!C$6:C$40)</f>
        <v>0</v>
      </c>
      <c r="L11" s="1779">
        <f>SUMIF('资负表（已审）-旧'!A$6:A$40,J11,'资负表（已审）-旧'!D$6:D$40)</f>
        <v>0</v>
      </c>
      <c r="M11" s="1779">
        <f>SUMIF('资负表（已审）-新'!A$6:A$42,J11,'资负表（已审）-新'!C$6:C$42)</f>
        <v>0</v>
      </c>
      <c r="N11" s="1779">
        <f>SUMIF('资负表（已审）-新'!A$6:A$42,J11,'资负表（已审）-新'!D$6:D$42)</f>
        <v>0</v>
      </c>
      <c r="O11" s="1779">
        <f t="shared" si="3"/>
        <v>0</v>
      </c>
      <c r="P11" s="1779">
        <f t="shared" si="3"/>
        <v>0</v>
      </c>
      <c r="Q11" s="1780" t="s">
        <v>343</v>
      </c>
    </row>
    <row r="12" s="1746" customFormat="1" ht="15" customHeight="1" spans="1:17">
      <c r="A12" s="1774" t="s">
        <v>346</v>
      </c>
      <c r="B12" s="1781" t="s">
        <v>341</v>
      </c>
      <c r="C12" s="1776"/>
      <c r="D12" s="1776"/>
      <c r="E12" s="1776"/>
      <c r="F12" s="1776"/>
      <c r="G12" s="1776"/>
      <c r="H12" s="1777">
        <f>分类汇总!BA13/10000</f>
        <v>0</v>
      </c>
      <c r="I12" s="1747"/>
      <c r="J12" s="1782"/>
      <c r="K12" s="1779" t="s">
        <v>347</v>
      </c>
      <c r="L12" s="1779" t="s">
        <v>347</v>
      </c>
      <c r="M12" s="1779" t="s">
        <v>347</v>
      </c>
      <c r="N12" s="1779" t="s">
        <v>347</v>
      </c>
      <c r="O12" s="1779" t="str">
        <f t="shared" si="3"/>
        <v/>
      </c>
      <c r="P12" s="1779" t="str">
        <f t="shared" si="3"/>
        <v/>
      </c>
      <c r="Q12" s="1747"/>
    </row>
    <row r="13" s="1746" customFormat="1" ht="15" customHeight="1" spans="1:17">
      <c r="A13" s="1774" t="s">
        <v>348</v>
      </c>
      <c r="B13" s="1781" t="s">
        <v>341</v>
      </c>
      <c r="C13" s="1776"/>
      <c r="D13" s="1776"/>
      <c r="E13" s="1776"/>
      <c r="F13" s="1776"/>
      <c r="G13" s="1776"/>
      <c r="H13" s="1783">
        <f>分类汇总!BC13/10000</f>
        <v>0</v>
      </c>
      <c r="I13" s="1747"/>
      <c r="J13" s="1782"/>
      <c r="K13" s="1779" t="s">
        <v>347</v>
      </c>
      <c r="L13" s="1779" t="s">
        <v>347</v>
      </c>
      <c r="M13" s="1779" t="s">
        <v>347</v>
      </c>
      <c r="N13" s="1779" t="s">
        <v>347</v>
      </c>
      <c r="O13" s="1779" t="str">
        <f t="shared" si="3"/>
        <v/>
      </c>
      <c r="P13" s="1779" t="str">
        <f t="shared" si="3"/>
        <v/>
      </c>
      <c r="Q13" s="1747"/>
    </row>
    <row r="14" s="1746" customFormat="1" ht="15" customHeight="1" spans="1:17">
      <c r="A14" s="1774" t="str">
        <f>分类汇总!B13</f>
        <v>应收账款</v>
      </c>
      <c r="B14" s="1781" t="s">
        <v>341</v>
      </c>
      <c r="C14" s="1777">
        <f>C12-C13</f>
        <v>0</v>
      </c>
      <c r="D14" s="1777">
        <f>D12-D13</f>
        <v>0</v>
      </c>
      <c r="E14" s="1777">
        <f>E12-E13</f>
        <v>0</v>
      </c>
      <c r="F14" s="1777">
        <f>F12-F13</f>
        <v>0</v>
      </c>
      <c r="G14" s="1777">
        <f>IF(SUM(G12:G13)&gt;0,G12-G13,O14/10000)</f>
        <v>0</v>
      </c>
      <c r="H14" s="1777">
        <f>IF(SUM(H12:H13)&gt;0,H12-H13,P14/10000)</f>
        <v>0</v>
      </c>
      <c r="I14" s="1747"/>
      <c r="J14" s="1778" t="str">
        <f>A14</f>
        <v>应收账款</v>
      </c>
      <c r="K14" s="1779">
        <f>SUMIF('资负表（已审）-旧'!A$6:A$40,J14,'资负表（已审）-旧'!C$6:C$40)</f>
        <v>0</v>
      </c>
      <c r="L14" s="1779">
        <f>SUMIF('资负表（已审）-旧'!A$6:A$40,J14,'资负表（已审）-旧'!D$6:D$40)</f>
        <v>0</v>
      </c>
      <c r="M14" s="1779">
        <f>SUMIF('资负表（已审）-新'!A$6:A$42,J14,'资负表（已审）-新'!C$6:C$42)</f>
        <v>0</v>
      </c>
      <c r="N14" s="1779">
        <f>SUMIF('资负表（已审）-新'!A$6:A$42,J14,'资负表（已审）-新'!D$6:D$42)</f>
        <v>0</v>
      </c>
      <c r="O14" s="1779">
        <f t="shared" si="3"/>
        <v>0</v>
      </c>
      <c r="P14" s="1779">
        <f t="shared" si="3"/>
        <v>0</v>
      </c>
      <c r="Q14" s="1780" t="s">
        <v>343</v>
      </c>
    </row>
    <row r="15" s="1746" customFormat="1" ht="15" customHeight="1" spans="1:17">
      <c r="A15" s="1774" t="str">
        <f>分类汇总!B14</f>
        <v>应收款项融资</v>
      </c>
      <c r="B15" s="1781" t="s">
        <v>345</v>
      </c>
      <c r="C15" s="1777">
        <f>SUM(C16,C19)</f>
        <v>0</v>
      </c>
      <c r="D15" s="1777">
        <f t="shared" ref="D15:F15" si="5">SUM(D16,D19)</f>
        <v>0</v>
      </c>
      <c r="E15" s="1777">
        <f t="shared" si="5"/>
        <v>0</v>
      </c>
      <c r="F15" s="1777">
        <f t="shared" si="5"/>
        <v>0</v>
      </c>
      <c r="G15" s="1777">
        <f>IF(SUM(G16:G17)&gt;0,SUM(G16,G19),O15/10000)</f>
        <v>0</v>
      </c>
      <c r="H15" s="1777">
        <f>IF(SUM(H16:H17)&gt;0,SUM(H16,H19),P15/10000)</f>
        <v>0</v>
      </c>
      <c r="I15" s="1747"/>
      <c r="J15" s="1778" t="str">
        <f>A15</f>
        <v>应收款项融资</v>
      </c>
      <c r="K15" s="1779">
        <f>SUMIF('资负表（已审）-旧'!A$6:A$40,J15,'资负表（已审）-旧'!C$6:C$40)</f>
        <v>0</v>
      </c>
      <c r="L15" s="1779">
        <f>SUMIF('资负表（已审）-旧'!A$6:A$40,J15,'资负表（已审）-旧'!D$6:D$40)</f>
        <v>0</v>
      </c>
      <c r="M15" s="1779">
        <f>SUMIF('资负表（已审）-新'!A$6:A$42,J15,'资负表（已审）-新'!C$6:C$42)</f>
        <v>0</v>
      </c>
      <c r="N15" s="1779">
        <f>SUMIF('资负表（已审）-新'!A$6:A$42,J15,'资负表（已审）-新'!D$6:D$42)</f>
        <v>0</v>
      </c>
      <c r="O15" s="1779">
        <f t="shared" si="3"/>
        <v>0</v>
      </c>
      <c r="P15" s="1779">
        <f t="shared" si="3"/>
        <v>0</v>
      </c>
      <c r="Q15" s="1780" t="s">
        <v>343</v>
      </c>
    </row>
    <row r="16" s="1746" customFormat="1" ht="15" customHeight="1" spans="1:17">
      <c r="A16" s="1774" t="s">
        <v>349</v>
      </c>
      <c r="B16" s="1781" t="s">
        <v>345</v>
      </c>
      <c r="C16" s="1776"/>
      <c r="D16" s="1776"/>
      <c r="E16" s="1776"/>
      <c r="F16" s="1776"/>
      <c r="G16" s="1776"/>
      <c r="H16" s="1777">
        <f>应收款融资总!D7/10000</f>
        <v>0</v>
      </c>
      <c r="I16" s="1747"/>
      <c r="J16" s="1782"/>
      <c r="K16" s="1779" t="s">
        <v>347</v>
      </c>
      <c r="L16" s="1779" t="s">
        <v>347</v>
      </c>
      <c r="M16" s="1779" t="s">
        <v>347</v>
      </c>
      <c r="N16" s="1779" t="s">
        <v>347</v>
      </c>
      <c r="O16" s="1779" t="str">
        <f t="shared" si="3"/>
        <v/>
      </c>
      <c r="P16" s="1779" t="str">
        <f t="shared" si="3"/>
        <v/>
      </c>
      <c r="Q16" s="1747"/>
    </row>
    <row r="17" s="1746" customFormat="1" ht="15" customHeight="1" spans="1:17">
      <c r="A17" s="1784" t="s">
        <v>350</v>
      </c>
      <c r="B17" s="1781" t="s">
        <v>345</v>
      </c>
      <c r="C17" s="1776"/>
      <c r="D17" s="1776"/>
      <c r="E17" s="1776"/>
      <c r="F17" s="1776"/>
      <c r="G17" s="1776"/>
      <c r="H17" s="1783">
        <f>应收款融资总!BA8/10000</f>
        <v>0</v>
      </c>
      <c r="I17" s="1747"/>
      <c r="J17" s="1782"/>
      <c r="K17" s="1779" t="s">
        <v>347</v>
      </c>
      <c r="L17" s="1779" t="s">
        <v>347</v>
      </c>
      <c r="M17" s="1779" t="s">
        <v>347</v>
      </c>
      <c r="N17" s="1779" t="s">
        <v>347</v>
      </c>
      <c r="O17" s="1779" t="str">
        <f t="shared" si="3"/>
        <v/>
      </c>
      <c r="P17" s="1779" t="str">
        <f t="shared" si="3"/>
        <v/>
      </c>
      <c r="Q17" s="1747"/>
    </row>
    <row r="18" s="1746" customFormat="1" ht="15" customHeight="1" spans="1:17">
      <c r="A18" s="1784" t="s">
        <v>348</v>
      </c>
      <c r="B18" s="1781" t="s">
        <v>345</v>
      </c>
      <c r="C18" s="1776"/>
      <c r="D18" s="1776"/>
      <c r="E18" s="1776"/>
      <c r="F18" s="1776"/>
      <c r="G18" s="1776"/>
      <c r="H18" s="1783">
        <f>应收款融资总!BD8/10000</f>
        <v>0</v>
      </c>
      <c r="I18" s="1747"/>
      <c r="J18" s="1782"/>
      <c r="K18" s="1779" t="s">
        <v>347</v>
      </c>
      <c r="L18" s="1779" t="s">
        <v>347</v>
      </c>
      <c r="M18" s="1779" t="s">
        <v>347</v>
      </c>
      <c r="N18" s="1779" t="s">
        <v>347</v>
      </c>
      <c r="O18" s="1779" t="str">
        <f t="shared" si="3"/>
        <v/>
      </c>
      <c r="P18" s="1779" t="str">
        <f t="shared" si="3"/>
        <v/>
      </c>
      <c r="Q18" s="1747"/>
    </row>
    <row r="19" s="1746" customFormat="1" ht="15" customHeight="1" spans="1:17">
      <c r="A19" s="1784" t="str">
        <f>LEFT(A15,LEN(A15))&amp;"净值"</f>
        <v>应收款项融资净值</v>
      </c>
      <c r="B19" s="1781" t="s">
        <v>345</v>
      </c>
      <c r="C19" s="1777">
        <f>C17-C18</f>
        <v>0</v>
      </c>
      <c r="D19" s="1777">
        <f t="shared" ref="D19:H19" si="6">D17-D18</f>
        <v>0</v>
      </c>
      <c r="E19" s="1777">
        <f t="shared" si="6"/>
        <v>0</v>
      </c>
      <c r="F19" s="1777">
        <f t="shared" si="6"/>
        <v>0</v>
      </c>
      <c r="G19" s="1777">
        <f t="shared" si="6"/>
        <v>0</v>
      </c>
      <c r="H19" s="1777">
        <f t="shared" si="6"/>
        <v>0</v>
      </c>
      <c r="I19" s="1747"/>
      <c r="J19" s="1778"/>
      <c r="K19" s="1779"/>
      <c r="L19" s="1779"/>
      <c r="M19" s="1779"/>
      <c r="N19" s="1779"/>
      <c r="O19" s="1779"/>
      <c r="P19" s="1779"/>
      <c r="Q19" s="1747"/>
    </row>
    <row r="20" s="1746" customFormat="1" ht="15" customHeight="1" spans="1:17">
      <c r="A20" s="1774" t="s">
        <v>351</v>
      </c>
      <c r="B20" s="1781" t="s">
        <v>341</v>
      </c>
      <c r="C20" s="1776"/>
      <c r="D20" s="1776"/>
      <c r="E20" s="1776"/>
      <c r="F20" s="1776"/>
      <c r="G20" s="1776"/>
      <c r="H20" s="1783">
        <f>分类汇总!BA15/10000</f>
        <v>0</v>
      </c>
      <c r="I20" s="1747"/>
      <c r="J20" s="1782"/>
      <c r="K20" s="1779" t="s">
        <v>347</v>
      </c>
      <c r="L20" s="1779" t="s">
        <v>347</v>
      </c>
      <c r="M20" s="1779" t="s">
        <v>347</v>
      </c>
      <c r="N20" s="1779" t="s">
        <v>347</v>
      </c>
      <c r="O20" s="1779" t="str">
        <f t="shared" si="3"/>
        <v/>
      </c>
      <c r="P20" s="1779" t="str">
        <f t="shared" si="3"/>
        <v/>
      </c>
      <c r="Q20" s="1747"/>
    </row>
    <row r="21" s="1746" customFormat="1" ht="15" customHeight="1" spans="1:17">
      <c r="A21" s="1774" t="s">
        <v>348</v>
      </c>
      <c r="B21" s="1781" t="s">
        <v>341</v>
      </c>
      <c r="C21" s="1776"/>
      <c r="D21" s="1776"/>
      <c r="E21" s="1776"/>
      <c r="F21" s="1776"/>
      <c r="G21" s="1776"/>
      <c r="H21" s="1783">
        <f>分类汇总!BC15/10000</f>
        <v>0</v>
      </c>
      <c r="I21" s="1747"/>
      <c r="J21" s="1782"/>
      <c r="K21" s="1779" t="s">
        <v>347</v>
      </c>
      <c r="L21" s="1779" t="s">
        <v>347</v>
      </c>
      <c r="M21" s="1779" t="s">
        <v>347</v>
      </c>
      <c r="N21" s="1779" t="s">
        <v>347</v>
      </c>
      <c r="O21" s="1779" t="str">
        <f t="shared" si="3"/>
        <v/>
      </c>
      <c r="P21" s="1779" t="str">
        <f t="shared" si="3"/>
        <v/>
      </c>
      <c r="Q21" s="1747"/>
    </row>
    <row r="22" s="1746" customFormat="1" ht="15" customHeight="1" spans="1:17">
      <c r="A22" s="1774" t="str">
        <f>分类汇总!B15</f>
        <v>预付账款</v>
      </c>
      <c r="B22" s="1781" t="s">
        <v>341</v>
      </c>
      <c r="C22" s="1777">
        <f>C20-C21</f>
        <v>0</v>
      </c>
      <c r="D22" s="1777">
        <f>D20-D21</f>
        <v>0</v>
      </c>
      <c r="E22" s="1777">
        <f>E20-E21</f>
        <v>0</v>
      </c>
      <c r="F22" s="1777">
        <f>F20-F21</f>
        <v>0</v>
      </c>
      <c r="G22" s="1777">
        <f>IF(SUM(G20:G21)&gt;0,G20-G21,O22/10000)</f>
        <v>0</v>
      </c>
      <c r="H22" s="1783">
        <f>IF(SUM(H20:H21)&gt;0,H20-H21,P22/10000)</f>
        <v>0</v>
      </c>
      <c r="I22" s="1747"/>
      <c r="J22" s="1778" t="str">
        <f>A22</f>
        <v>预付账款</v>
      </c>
      <c r="K22" s="1779">
        <f>SUMIF('资负表（已审）-旧'!A$6:A$40,J22,'资负表（已审）-旧'!C$6:C$40)</f>
        <v>0</v>
      </c>
      <c r="L22" s="1779">
        <f>SUMIF('资负表（已审）-旧'!A$6:A$40,J22,'资负表（已审）-旧'!D$6:D$40)</f>
        <v>0</v>
      </c>
      <c r="M22" s="1779">
        <f>SUMIF('资负表（已审）-新'!A$6:A$42,J22,'资负表（已审）-新'!C$6:C$42)</f>
        <v>0</v>
      </c>
      <c r="N22" s="1779">
        <f>SUMIF('资负表（已审）-新'!A$6:A$42,J22,'资负表（已审）-新'!D$6:D$42)</f>
        <v>0</v>
      </c>
      <c r="O22" s="1779">
        <f t="shared" si="3"/>
        <v>0</v>
      </c>
      <c r="P22" s="1779">
        <f t="shared" si="3"/>
        <v>0</v>
      </c>
      <c r="Q22" s="1780" t="s">
        <v>343</v>
      </c>
    </row>
    <row r="23" s="1746" customFormat="1" ht="15" customHeight="1" spans="1:17">
      <c r="A23" s="1774" t="str">
        <f>分类汇总!B16</f>
        <v>其他应收款</v>
      </c>
      <c r="B23" s="1781" t="s">
        <v>341</v>
      </c>
      <c r="C23" s="1777">
        <f>SUM(C24:C25,C28)</f>
        <v>0</v>
      </c>
      <c r="D23" s="1777">
        <f t="shared" ref="D23:F23" si="7">SUM(D24:D25,D28)</f>
        <v>0</v>
      </c>
      <c r="E23" s="1777">
        <f t="shared" si="7"/>
        <v>0</v>
      </c>
      <c r="F23" s="1777">
        <f t="shared" si="7"/>
        <v>0</v>
      </c>
      <c r="G23" s="1777">
        <f>IF(SUM(G24:G25,G28)&gt;0,SUM(G24:G25,G28),O23/10000)</f>
        <v>0</v>
      </c>
      <c r="H23" s="1783">
        <f>IF(SUM(H24:H25,H28)&gt;0,SUM(H24:H25,H28),P23/10000)</f>
        <v>0</v>
      </c>
      <c r="I23" s="1747"/>
      <c r="J23" s="1778" t="str">
        <f>A23</f>
        <v>其他应收款</v>
      </c>
      <c r="K23" s="1779">
        <f>SUMIF('资负表（已审）-旧'!A$6:A$40,J23,'资负表（已审）-旧'!C$6:C$40)</f>
        <v>0</v>
      </c>
      <c r="L23" s="1779">
        <f>SUMIF('资负表（已审）-旧'!A$6:A$40,J23,'资负表（已审）-旧'!D$6:D$40)</f>
        <v>0</v>
      </c>
      <c r="M23" s="1779">
        <f>SUMIF('资负表（已审）-新'!A$6:A$42,J23,'资负表（已审）-新'!C$6:C$42)</f>
        <v>0</v>
      </c>
      <c r="N23" s="1779">
        <f>SUMIF('资负表（已审）-新'!A$6:A$42,J23,'资负表（已审）-新'!D$6:D$42)</f>
        <v>0</v>
      </c>
      <c r="O23" s="1779">
        <f t="shared" ref="O23" si="8">IF($J23="","",K23+M23)</f>
        <v>0</v>
      </c>
      <c r="P23" s="1779">
        <f t="shared" ref="P23" si="9">IF($J23="","",L23+N23)</f>
        <v>0</v>
      </c>
      <c r="Q23" s="1780" t="s">
        <v>343</v>
      </c>
    </row>
    <row r="24" s="1746" customFormat="1" ht="15" customHeight="1" spans="1:17">
      <c r="A24" s="1774" t="s">
        <v>352</v>
      </c>
      <c r="B24" s="1781" t="s">
        <v>341</v>
      </c>
      <c r="C24" s="1776"/>
      <c r="D24" s="1776"/>
      <c r="E24" s="1776"/>
      <c r="F24" s="1776"/>
      <c r="G24" s="1776"/>
      <c r="H24" s="1783">
        <f>其他应收总!D7/10000</f>
        <v>0</v>
      </c>
      <c r="I24" s="1747"/>
      <c r="J24" s="1782"/>
      <c r="K24" s="1779" t="s">
        <v>347</v>
      </c>
      <c r="L24" s="1779" t="s">
        <v>347</v>
      </c>
      <c r="M24" s="1779" t="s">
        <v>347</v>
      </c>
      <c r="N24" s="1779" t="s">
        <v>347</v>
      </c>
      <c r="O24" s="1779" t="str">
        <f t="shared" si="3"/>
        <v/>
      </c>
      <c r="P24" s="1779" t="str">
        <f t="shared" si="3"/>
        <v/>
      </c>
      <c r="Q24" s="1747"/>
    </row>
    <row r="25" s="1746" customFormat="1" ht="15" customHeight="1" spans="1:17">
      <c r="A25" s="1784" t="s">
        <v>353</v>
      </c>
      <c r="B25" s="1781" t="s">
        <v>341</v>
      </c>
      <c r="C25" s="1776"/>
      <c r="D25" s="1776"/>
      <c r="E25" s="1776"/>
      <c r="F25" s="1776"/>
      <c r="G25" s="1776"/>
      <c r="H25" s="1783">
        <f>其他应收总!D8/10000</f>
        <v>0</v>
      </c>
      <c r="I25" s="1747"/>
      <c r="J25" s="1782"/>
      <c r="K25" s="1779" t="s">
        <v>347</v>
      </c>
      <c r="L25" s="1779" t="s">
        <v>347</v>
      </c>
      <c r="M25" s="1779" t="s">
        <v>347</v>
      </c>
      <c r="N25" s="1779" t="s">
        <v>347</v>
      </c>
      <c r="O25" s="1779" t="str">
        <f t="shared" si="3"/>
        <v/>
      </c>
      <c r="P25" s="1779" t="str">
        <f t="shared" si="3"/>
        <v/>
      </c>
      <c r="Q25" s="1747"/>
    </row>
    <row r="26" s="1746" customFormat="1" ht="15" customHeight="1" spans="1:17">
      <c r="A26" s="1784" t="s">
        <v>354</v>
      </c>
      <c r="B26" s="1781" t="s">
        <v>341</v>
      </c>
      <c r="C26" s="1776"/>
      <c r="D26" s="1776"/>
      <c r="E26" s="1776"/>
      <c r="F26" s="1776"/>
      <c r="G26" s="1776"/>
      <c r="H26" s="1783">
        <f>其他应收总!BA9/10000</f>
        <v>0</v>
      </c>
      <c r="I26" s="1747"/>
      <c r="J26" s="1782"/>
      <c r="K26" s="1779" t="s">
        <v>347</v>
      </c>
      <c r="L26" s="1779" t="s">
        <v>347</v>
      </c>
      <c r="M26" s="1779" t="s">
        <v>347</v>
      </c>
      <c r="N26" s="1779" t="s">
        <v>347</v>
      </c>
      <c r="O26" s="1779" t="str">
        <f t="shared" si="3"/>
        <v/>
      </c>
      <c r="P26" s="1779" t="str">
        <f t="shared" si="3"/>
        <v/>
      </c>
      <c r="Q26" s="1747"/>
    </row>
    <row r="27" s="1746" customFormat="1" ht="15" customHeight="1" spans="1:17">
      <c r="A27" s="1784" t="s">
        <v>348</v>
      </c>
      <c r="B27" s="1781" t="s">
        <v>341</v>
      </c>
      <c r="C27" s="1776"/>
      <c r="D27" s="1776"/>
      <c r="E27" s="1776"/>
      <c r="F27" s="1776"/>
      <c r="G27" s="1776"/>
      <c r="H27" s="1783">
        <f>其他应收总!BC9/10000</f>
        <v>0</v>
      </c>
      <c r="I27" s="1747"/>
      <c r="J27" s="1782"/>
      <c r="K27" s="1779" t="s">
        <v>347</v>
      </c>
      <c r="L27" s="1779" t="s">
        <v>347</v>
      </c>
      <c r="M27" s="1779" t="s">
        <v>347</v>
      </c>
      <c r="N27" s="1779" t="s">
        <v>347</v>
      </c>
      <c r="O27" s="1779" t="str">
        <f t="shared" si="3"/>
        <v/>
      </c>
      <c r="P27" s="1779" t="str">
        <f t="shared" si="3"/>
        <v/>
      </c>
      <c r="Q27" s="1747"/>
    </row>
    <row r="28" s="1746" customFormat="1" ht="15" customHeight="1" spans="1:17">
      <c r="A28" s="1784" t="str">
        <f>LEFT(A23,LEN(A23))&amp;"净值"</f>
        <v>其他应收款净值</v>
      </c>
      <c r="B28" s="1781" t="s">
        <v>341</v>
      </c>
      <c r="C28" s="1777">
        <f>C26-C27</f>
        <v>0</v>
      </c>
      <c r="D28" s="1777">
        <f t="shared" ref="D28:F28" si="10">D26-D27</f>
        <v>0</v>
      </c>
      <c r="E28" s="1777">
        <f t="shared" si="10"/>
        <v>0</v>
      </c>
      <c r="F28" s="1777">
        <f t="shared" si="10"/>
        <v>0</v>
      </c>
      <c r="G28" s="1777">
        <f t="shared" ref="G28:H28" si="11">G26-G27</f>
        <v>0</v>
      </c>
      <c r="H28" s="1777">
        <f t="shared" si="11"/>
        <v>0</v>
      </c>
      <c r="I28" s="1747"/>
      <c r="J28" s="1778"/>
      <c r="K28" s="1779"/>
      <c r="L28" s="1779"/>
      <c r="M28" s="1779"/>
      <c r="N28" s="1779"/>
      <c r="O28" s="1779"/>
      <c r="P28" s="1779"/>
      <c r="Q28" s="1747"/>
    </row>
    <row r="29" s="1746" customFormat="1" ht="15" customHeight="1" spans="1:17">
      <c r="A29" s="1774" t="s">
        <v>355</v>
      </c>
      <c r="B29" s="1781" t="s">
        <v>341</v>
      </c>
      <c r="C29" s="1776"/>
      <c r="D29" s="1776"/>
      <c r="E29" s="1776"/>
      <c r="F29" s="1776"/>
      <c r="G29" s="1776"/>
      <c r="H29" s="1777">
        <f>分类汇总!BA17/10000</f>
        <v>3.555752</v>
      </c>
      <c r="I29" s="1747"/>
      <c r="J29" s="1782"/>
      <c r="K29" s="1779" t="s">
        <v>347</v>
      </c>
      <c r="L29" s="1779" t="s">
        <v>347</v>
      </c>
      <c r="M29" s="1779" t="s">
        <v>347</v>
      </c>
      <c r="N29" s="1779" t="s">
        <v>347</v>
      </c>
      <c r="O29" s="1779" t="str">
        <f t="shared" si="3"/>
        <v/>
      </c>
      <c r="P29" s="1779" t="str">
        <f t="shared" si="3"/>
        <v/>
      </c>
      <c r="Q29" s="1747"/>
    </row>
    <row r="30" s="1746" customFormat="1" ht="15" customHeight="1" spans="1:17">
      <c r="A30" s="1774" t="s">
        <v>348</v>
      </c>
      <c r="B30" s="1781" t="s">
        <v>341</v>
      </c>
      <c r="C30" s="1776"/>
      <c r="D30" s="1776"/>
      <c r="E30" s="1776"/>
      <c r="F30" s="1776"/>
      <c r="G30" s="1776"/>
      <c r="H30" s="1777">
        <f>分类汇总!BC17/10000</f>
        <v>0</v>
      </c>
      <c r="I30" s="1747"/>
      <c r="J30" s="1782"/>
      <c r="K30" s="1779" t="s">
        <v>347</v>
      </c>
      <c r="L30" s="1779" t="s">
        <v>347</v>
      </c>
      <c r="M30" s="1779" t="s">
        <v>347</v>
      </c>
      <c r="N30" s="1779" t="s">
        <v>347</v>
      </c>
      <c r="O30" s="1779" t="str">
        <f t="shared" si="3"/>
        <v/>
      </c>
      <c r="P30" s="1779" t="str">
        <f t="shared" si="3"/>
        <v/>
      </c>
      <c r="Q30" s="1747"/>
    </row>
    <row r="31" s="1746" customFormat="1" ht="15" customHeight="1" spans="1:17">
      <c r="A31" s="1774" t="str">
        <f>分类汇总!B17</f>
        <v>存货</v>
      </c>
      <c r="B31" s="1781" t="s">
        <v>341</v>
      </c>
      <c r="C31" s="1777">
        <f>C29-C30</f>
        <v>0</v>
      </c>
      <c r="D31" s="1777">
        <f>D29-D30</f>
        <v>0</v>
      </c>
      <c r="E31" s="1777">
        <f>E29-E30</f>
        <v>0</v>
      </c>
      <c r="F31" s="1777">
        <f>F29-F30</f>
        <v>0</v>
      </c>
      <c r="G31" s="1777">
        <f>IF(SUM(G29:G30)&gt;0,G29-G30,O31/10000)</f>
        <v>0</v>
      </c>
      <c r="H31" s="1777">
        <f>IF(SUM(H29:H30)&gt;0,H29-H30,P31/10000)</f>
        <v>3.555752</v>
      </c>
      <c r="I31" s="1747"/>
      <c r="J31" s="1778" t="str">
        <f>A31</f>
        <v>存货</v>
      </c>
      <c r="K31" s="1779">
        <f>SUMIF('资负表（已审）-旧'!A$6:A$40,J31,'资负表（已审）-旧'!C$6:C$40)</f>
        <v>0</v>
      </c>
      <c r="L31" s="1779">
        <f>SUMIF('资负表（已审）-旧'!A$6:A$40,J31,'资负表（已审）-旧'!D$6:D$40)</f>
        <v>0</v>
      </c>
      <c r="M31" s="1779">
        <f>SUMIF('资负表（已审）-新'!A$6:A$42,J31,'资负表（已审）-新'!C$6:C$42)</f>
        <v>0</v>
      </c>
      <c r="N31" s="1779">
        <f>SUMIF('资负表（已审）-新'!A$6:A$42,J31,'资负表（已审）-新'!D$6:D$42)</f>
        <v>0</v>
      </c>
      <c r="O31" s="1779">
        <f t="shared" si="3"/>
        <v>0</v>
      </c>
      <c r="P31" s="1779">
        <f t="shared" si="3"/>
        <v>0</v>
      </c>
      <c r="Q31" s="1780" t="s">
        <v>343</v>
      </c>
    </row>
    <row r="32" s="1746" customFormat="1" ht="15" customHeight="1" spans="1:17">
      <c r="A32" s="1774" t="s">
        <v>356</v>
      </c>
      <c r="B32" s="1781" t="s">
        <v>345</v>
      </c>
      <c r="C32" s="1776"/>
      <c r="D32" s="1776"/>
      <c r="E32" s="1776"/>
      <c r="F32" s="1776"/>
      <c r="G32" s="1776"/>
      <c r="H32" s="1777">
        <f>分类汇总!BA18/10000</f>
        <v>0</v>
      </c>
      <c r="I32" s="1747"/>
      <c r="J32" s="1782"/>
      <c r="K32" s="1779" t="s">
        <v>347</v>
      </c>
      <c r="L32" s="1779" t="s">
        <v>347</v>
      </c>
      <c r="M32" s="1779" t="s">
        <v>347</v>
      </c>
      <c r="N32" s="1779" t="s">
        <v>347</v>
      </c>
      <c r="O32" s="1779" t="str">
        <f t="shared" si="3"/>
        <v/>
      </c>
      <c r="P32" s="1779" t="str">
        <f t="shared" si="3"/>
        <v/>
      </c>
      <c r="Q32" s="1747"/>
    </row>
    <row r="33" s="1746" customFormat="1" ht="15" customHeight="1" spans="1:17">
      <c r="A33" s="1774" t="s">
        <v>348</v>
      </c>
      <c r="B33" s="1781" t="s">
        <v>345</v>
      </c>
      <c r="C33" s="1776"/>
      <c r="D33" s="1776"/>
      <c r="E33" s="1776"/>
      <c r="F33" s="1776"/>
      <c r="G33" s="1776"/>
      <c r="H33" s="1777">
        <f>分类汇总!BC18/10000</f>
        <v>0</v>
      </c>
      <c r="I33" s="1747"/>
      <c r="J33" s="1782"/>
      <c r="K33" s="1779" t="s">
        <v>347</v>
      </c>
      <c r="L33" s="1779" t="s">
        <v>347</v>
      </c>
      <c r="M33" s="1779" t="s">
        <v>347</v>
      </c>
      <c r="N33" s="1779" t="s">
        <v>347</v>
      </c>
      <c r="O33" s="1779" t="str">
        <f t="shared" si="3"/>
        <v/>
      </c>
      <c r="P33" s="1779" t="str">
        <f t="shared" si="3"/>
        <v/>
      </c>
      <c r="Q33" s="1747"/>
    </row>
    <row r="34" s="1746" customFormat="1" ht="15" customHeight="1" spans="1:17">
      <c r="A34" s="1774" t="str">
        <f>分类汇总!B18</f>
        <v>合同资产</v>
      </c>
      <c r="B34" s="1781" t="s">
        <v>345</v>
      </c>
      <c r="C34" s="1777">
        <f>C32-C33</f>
        <v>0</v>
      </c>
      <c r="D34" s="1777">
        <f>D32-D33</f>
        <v>0</v>
      </c>
      <c r="E34" s="1777">
        <f>E32-E33</f>
        <v>0</v>
      </c>
      <c r="F34" s="1777">
        <f>F32-F33</f>
        <v>0</v>
      </c>
      <c r="G34" s="1777">
        <f>IF(SUM(G32:G33)&gt;0,G32-G33,O34/10000)</f>
        <v>0</v>
      </c>
      <c r="H34" s="1777">
        <f>IF(SUM(H32:H33)&gt;0,H32-H33,P34/10000)</f>
        <v>0</v>
      </c>
      <c r="I34" s="1747"/>
      <c r="J34" s="1778" t="str">
        <f>A34</f>
        <v>合同资产</v>
      </c>
      <c r="K34" s="1779">
        <f>SUMIF('资负表（已审）-旧'!A$6:A$40,J34,'资负表（已审）-旧'!C$6:C$40)</f>
        <v>0</v>
      </c>
      <c r="L34" s="1779">
        <f>SUMIF('资负表（已审）-旧'!A$6:A$40,J34,'资负表（已审）-旧'!D$6:D$40)</f>
        <v>0</v>
      </c>
      <c r="M34" s="1779">
        <f>SUMIF('资负表（已审）-新'!A$6:A$42,J34,'资负表（已审）-新'!C$6:C$42)</f>
        <v>0</v>
      </c>
      <c r="N34" s="1779">
        <f>SUMIF('资负表（已审）-新'!A$6:A$42,J34,'资负表（已审）-新'!D$6:D$42)</f>
        <v>0</v>
      </c>
      <c r="O34" s="1779">
        <f t="shared" si="3"/>
        <v>0</v>
      </c>
      <c r="P34" s="1779">
        <f t="shared" si="3"/>
        <v>0</v>
      </c>
      <c r="Q34" s="1780" t="s">
        <v>343</v>
      </c>
    </row>
    <row r="35" s="1746" customFormat="1" ht="15" customHeight="1" spans="1:17">
      <c r="A35" s="1774" t="s">
        <v>357</v>
      </c>
      <c r="B35" s="1781" t="s">
        <v>345</v>
      </c>
      <c r="C35" s="1776"/>
      <c r="D35" s="1776"/>
      <c r="E35" s="1776"/>
      <c r="F35" s="1776"/>
      <c r="G35" s="1776"/>
      <c r="H35" s="1777">
        <f>分类汇总!BA19/10000</f>
        <v>0</v>
      </c>
      <c r="I35" s="1747"/>
      <c r="J35" s="1782"/>
      <c r="K35" s="1779" t="s">
        <v>347</v>
      </c>
      <c r="L35" s="1779" t="s">
        <v>347</v>
      </c>
      <c r="M35" s="1779" t="s">
        <v>347</v>
      </c>
      <c r="N35" s="1779" t="s">
        <v>347</v>
      </c>
      <c r="O35" s="1779" t="str">
        <f t="shared" si="3"/>
        <v/>
      </c>
      <c r="P35" s="1779" t="str">
        <f t="shared" si="3"/>
        <v/>
      </c>
      <c r="Q35" s="1747"/>
    </row>
    <row r="36" s="1746" customFormat="1" ht="15" customHeight="1" spans="1:17">
      <c r="A36" s="1774" t="s">
        <v>348</v>
      </c>
      <c r="B36" s="1781" t="s">
        <v>345</v>
      </c>
      <c r="C36" s="1776"/>
      <c r="D36" s="1776"/>
      <c r="E36" s="1776"/>
      <c r="F36" s="1776"/>
      <c r="G36" s="1776"/>
      <c r="H36" s="1777">
        <f>分类汇总!BC19/10000</f>
        <v>0</v>
      </c>
      <c r="I36" s="1747"/>
      <c r="J36" s="1782"/>
      <c r="K36" s="1779" t="s">
        <v>347</v>
      </c>
      <c r="L36" s="1779" t="s">
        <v>347</v>
      </c>
      <c r="M36" s="1779" t="s">
        <v>347</v>
      </c>
      <c r="N36" s="1779" t="s">
        <v>347</v>
      </c>
      <c r="O36" s="1779" t="str">
        <f t="shared" si="3"/>
        <v/>
      </c>
      <c r="P36" s="1779" t="str">
        <f t="shared" si="3"/>
        <v/>
      </c>
      <c r="Q36" s="1747"/>
    </row>
    <row r="37" s="1746" customFormat="1" ht="15" customHeight="1" spans="1:17">
      <c r="A37" s="1774" t="str">
        <f>分类汇总!B19</f>
        <v>持有待售资产</v>
      </c>
      <c r="B37" s="1781" t="s">
        <v>341</v>
      </c>
      <c r="C37" s="1777">
        <f>C35-C36</f>
        <v>0</v>
      </c>
      <c r="D37" s="1777">
        <f>D35-D36</f>
        <v>0</v>
      </c>
      <c r="E37" s="1777">
        <f>E35-E36</f>
        <v>0</v>
      </c>
      <c r="F37" s="1777">
        <f>F35-F36</f>
        <v>0</v>
      </c>
      <c r="G37" s="1777">
        <f>IF(SUM(G35:G36)&gt;0,G35-G36,O37/10000)</f>
        <v>0</v>
      </c>
      <c r="H37" s="1777">
        <f>IF(SUM(H35:H36)&gt;0,H35-H36,P37/10000)</f>
        <v>0</v>
      </c>
      <c r="I37" s="1747"/>
      <c r="J37" s="1778" t="str">
        <f t="shared" ref="J37:J39" si="12">A37</f>
        <v>持有待售资产</v>
      </c>
      <c r="K37" s="1779">
        <f>SUMIF('资负表（已审）-旧'!A$6:A$40,J37,'资负表（已审）-旧'!C$6:C$40)</f>
        <v>0</v>
      </c>
      <c r="L37" s="1779">
        <f>SUMIF('资负表（已审）-旧'!A$6:A$40,J37,'资负表（已审）-旧'!D$6:D$40)</f>
        <v>0</v>
      </c>
      <c r="M37" s="1779">
        <f>SUMIF('资负表（已审）-新'!A$6:A$42,J37,'资负表（已审）-新'!C$6:C$42)</f>
        <v>0</v>
      </c>
      <c r="N37" s="1779">
        <f>SUMIF('资负表（已审）-新'!A$6:A$42,J37,'资负表（已审）-新'!D$6:D$42)</f>
        <v>0</v>
      </c>
      <c r="O37" s="1779">
        <f t="shared" si="3"/>
        <v>0</v>
      </c>
      <c r="P37" s="1779">
        <f t="shared" si="3"/>
        <v>0</v>
      </c>
      <c r="Q37" s="1780" t="s">
        <v>343</v>
      </c>
    </row>
    <row r="38" s="1746" customFormat="1" ht="15" customHeight="1" spans="1:17">
      <c r="A38" s="1774" t="str">
        <f>分类汇总!B20</f>
        <v>一年内到期的非流动资产</v>
      </c>
      <c r="B38" s="1781" t="s">
        <v>341</v>
      </c>
      <c r="C38" s="1776"/>
      <c r="D38" s="1776"/>
      <c r="E38" s="1776"/>
      <c r="F38" s="1776"/>
      <c r="G38" s="1777">
        <f>O38/10000</f>
        <v>0</v>
      </c>
      <c r="H38" s="1777">
        <f>P38/10000</f>
        <v>0</v>
      </c>
      <c r="I38" s="1747"/>
      <c r="J38" s="1778" t="str">
        <f t="shared" si="12"/>
        <v>一年内到期的非流动资产</v>
      </c>
      <c r="K38" s="1779">
        <f>SUMIF('资负表（已审）-旧'!A$6:A$40,J38,'资负表（已审）-旧'!C$6:C$40)</f>
        <v>0</v>
      </c>
      <c r="L38" s="1779">
        <f>SUMIF('资负表（已审）-旧'!A$6:A$40,J38,'资负表（已审）-旧'!D$6:D$40)</f>
        <v>0</v>
      </c>
      <c r="M38" s="1779">
        <f>SUMIF('资负表（已审）-新'!A$6:A$42,J38,'资负表（已审）-新'!C$6:C$42)</f>
        <v>0</v>
      </c>
      <c r="N38" s="1779">
        <f>SUMIF('资负表（已审）-新'!A$6:A$42,J38,'资负表（已审）-新'!D$6:D$42)</f>
        <v>0</v>
      </c>
      <c r="O38" s="1779">
        <f t="shared" si="3"/>
        <v>0</v>
      </c>
      <c r="P38" s="1779">
        <f t="shared" si="3"/>
        <v>0</v>
      </c>
      <c r="Q38" s="1780" t="s">
        <v>343</v>
      </c>
    </row>
    <row r="39" s="1746" customFormat="1" ht="15" customHeight="1" spans="1:17">
      <c r="A39" s="1774" t="str">
        <f>分类汇总!B21</f>
        <v>其他流动资产</v>
      </c>
      <c r="B39" s="1781" t="s">
        <v>341</v>
      </c>
      <c r="C39" s="1776"/>
      <c r="D39" s="1776"/>
      <c r="E39" s="1776"/>
      <c r="F39" s="1776"/>
      <c r="G39" s="1777">
        <f>O39/10000</f>
        <v>0</v>
      </c>
      <c r="H39" s="1777">
        <f>P39/10000</f>
        <v>0</v>
      </c>
      <c r="I39" s="1747"/>
      <c r="J39" s="1778" t="str">
        <f t="shared" si="12"/>
        <v>其他流动资产</v>
      </c>
      <c r="K39" s="1779">
        <f>SUMIF('资负表（已审）-旧'!A$6:A$40,J39,'资负表（已审）-旧'!C$6:C$40)</f>
        <v>0</v>
      </c>
      <c r="L39" s="1779">
        <f>SUMIF('资负表（已审）-旧'!A$6:A$40,J39,'资负表（已审）-旧'!D$6:D$40)</f>
        <v>0</v>
      </c>
      <c r="M39" s="1779">
        <f>SUMIF('资负表（已审）-新'!A$6:A$42,J39,'资负表（已审）-新'!C$6:C$42)</f>
        <v>0</v>
      </c>
      <c r="N39" s="1779">
        <f>SUMIF('资负表（已审）-新'!A$6:A$42,J39,'资负表（已审）-新'!D$6:D$42)</f>
        <v>0</v>
      </c>
      <c r="O39" s="1779">
        <f t="shared" si="3"/>
        <v>0</v>
      </c>
      <c r="P39" s="1779">
        <f t="shared" si="3"/>
        <v>0</v>
      </c>
      <c r="Q39" s="1780" t="s">
        <v>343</v>
      </c>
    </row>
    <row r="40" s="1749" customFormat="1" ht="15" customHeight="1" spans="1:17">
      <c r="A40" s="1785" t="s">
        <v>358</v>
      </c>
      <c r="B40" s="1786" t="s">
        <v>341</v>
      </c>
      <c r="C40" s="1770">
        <f>SUMIF($Q41:$Q66,"计算",C41:C66)</f>
        <v>0</v>
      </c>
      <c r="D40" s="1770">
        <f t="shared" ref="D40:H40" si="13">SUMIF($Q41:$Q66,"计算",D41:D66)</f>
        <v>0</v>
      </c>
      <c r="E40" s="1770">
        <f t="shared" si="13"/>
        <v>0</v>
      </c>
      <c r="F40" s="1770">
        <f t="shared" si="13"/>
        <v>0</v>
      </c>
      <c r="G40" s="1770">
        <f t="shared" si="13"/>
        <v>0</v>
      </c>
      <c r="H40" s="1770">
        <f t="shared" si="13"/>
        <v>0</v>
      </c>
      <c r="I40" s="1771"/>
      <c r="J40" s="1787" t="s">
        <v>359</v>
      </c>
      <c r="K40" s="1773">
        <f t="shared" ref="K40:P40" si="14">SUM(K41:K66)</f>
        <v>0</v>
      </c>
      <c r="L40" s="1773">
        <f t="shared" si="14"/>
        <v>0</v>
      </c>
      <c r="M40" s="1773">
        <f t="shared" si="14"/>
        <v>0</v>
      </c>
      <c r="N40" s="1773">
        <f t="shared" si="14"/>
        <v>0</v>
      </c>
      <c r="O40" s="1773">
        <f t="shared" si="14"/>
        <v>0</v>
      </c>
      <c r="P40" s="1773">
        <f t="shared" si="14"/>
        <v>0</v>
      </c>
      <c r="Q40" s="1771"/>
    </row>
    <row r="41" s="1746" customFormat="1" ht="15" customHeight="1" spans="1:17">
      <c r="A41" s="1774" t="str">
        <f>分类汇总!B23</f>
        <v>可供出售金融资产</v>
      </c>
      <c r="B41" s="1781" t="s">
        <v>344</v>
      </c>
      <c r="C41" s="1776"/>
      <c r="D41" s="1776"/>
      <c r="E41" s="1776"/>
      <c r="F41" s="1776"/>
      <c r="G41" s="1777">
        <f t="shared" ref="G41:H44" si="15">O41/10000</f>
        <v>0</v>
      </c>
      <c r="H41" s="1777">
        <f t="shared" si="15"/>
        <v>0</v>
      </c>
      <c r="I41" s="1747"/>
      <c r="J41" s="1778" t="str">
        <f t="shared" ref="J41:J44" si="16">A41</f>
        <v>可供出售金融资产</v>
      </c>
      <c r="K41" s="1779">
        <f>SUMIF('资负表（已审）-旧'!A$6:A$40,J41,'资负表（已审）-旧'!C$6:C$40)</f>
        <v>0</v>
      </c>
      <c r="L41" s="1779">
        <f>SUMIF('资负表（已审）-旧'!A$6:A$40,J41,'资负表（已审）-旧'!D$6:D$40)</f>
        <v>0</v>
      </c>
      <c r="M41" s="1779">
        <f>SUMIF('资负表（已审）-新'!A$6:A$42,J41,'资负表（已审）-新'!C$6:C$42)</f>
        <v>0</v>
      </c>
      <c r="N41" s="1779">
        <f>SUMIF('资负表（已审）-新'!A$6:A$42,J41,'资负表（已审）-新'!D$6:D$42)</f>
        <v>0</v>
      </c>
      <c r="O41" s="1779">
        <f t="shared" ref="O41:P66" si="17">IF($J41="","",K41+M41)</f>
        <v>0</v>
      </c>
      <c r="P41" s="1779">
        <f t="shared" si="17"/>
        <v>0</v>
      </c>
      <c r="Q41" s="1780" t="s">
        <v>343</v>
      </c>
    </row>
    <row r="42" s="1746" customFormat="1" ht="15" customHeight="1" spans="1:17">
      <c r="A42" s="1774" t="str">
        <f>分类汇总!B24</f>
        <v>持有至到期投资</v>
      </c>
      <c r="B42" s="1781" t="s">
        <v>344</v>
      </c>
      <c r="C42" s="1776"/>
      <c r="D42" s="1776"/>
      <c r="E42" s="1776"/>
      <c r="F42" s="1776"/>
      <c r="G42" s="1777">
        <f t="shared" si="15"/>
        <v>0</v>
      </c>
      <c r="H42" s="1777">
        <f t="shared" si="15"/>
        <v>0</v>
      </c>
      <c r="I42" s="1747"/>
      <c r="J42" s="1778" t="str">
        <f t="shared" si="16"/>
        <v>持有至到期投资</v>
      </c>
      <c r="K42" s="1779">
        <f>SUMIF('资负表（已审）-旧'!A$6:A$40,J42,'资负表（已审）-旧'!C$6:C$40)</f>
        <v>0</v>
      </c>
      <c r="L42" s="1779">
        <f>SUMIF('资负表（已审）-旧'!A$6:A$40,J42,'资负表（已审）-旧'!D$6:D$40)</f>
        <v>0</v>
      </c>
      <c r="M42" s="1779">
        <f>SUMIF('资负表（已审）-新'!A$6:A$42,J42,'资负表（已审）-新'!C$6:C$42)</f>
        <v>0</v>
      </c>
      <c r="N42" s="1779">
        <f>SUMIF('资负表（已审）-新'!A$6:A$42,J42,'资负表（已审）-新'!D$6:D$42)</f>
        <v>0</v>
      </c>
      <c r="O42" s="1779">
        <f t="shared" si="17"/>
        <v>0</v>
      </c>
      <c r="P42" s="1779">
        <f t="shared" si="17"/>
        <v>0</v>
      </c>
      <c r="Q42" s="1780" t="s">
        <v>343</v>
      </c>
    </row>
    <row r="43" s="1746" customFormat="1" ht="15" customHeight="1" spans="1:17">
      <c r="A43" s="1774" t="str">
        <f>分类汇总!B25</f>
        <v>债权投资</v>
      </c>
      <c r="B43" s="1781" t="s">
        <v>345</v>
      </c>
      <c r="C43" s="1776"/>
      <c r="D43" s="1776"/>
      <c r="E43" s="1776"/>
      <c r="F43" s="1776"/>
      <c r="G43" s="1777">
        <f t="shared" si="15"/>
        <v>0</v>
      </c>
      <c r="H43" s="1777">
        <f t="shared" si="15"/>
        <v>0</v>
      </c>
      <c r="I43" s="1747"/>
      <c r="J43" s="1778" t="str">
        <f t="shared" si="16"/>
        <v>债权投资</v>
      </c>
      <c r="K43" s="1779">
        <f>SUMIF('资负表（已审）-旧'!A$6:A$40,J43,'资负表（已审）-旧'!C$6:C$40)</f>
        <v>0</v>
      </c>
      <c r="L43" s="1779">
        <f>SUMIF('资负表（已审）-旧'!A$6:A$40,J43,'资负表（已审）-旧'!D$6:D$40)</f>
        <v>0</v>
      </c>
      <c r="M43" s="1779">
        <f>SUMIF('资负表（已审）-新'!A$6:A$42,J43,'资负表（已审）-新'!C$6:C$42)</f>
        <v>0</v>
      </c>
      <c r="N43" s="1779">
        <f>SUMIF('资负表（已审）-新'!A$6:A$42,J43,'资负表（已审）-新'!D$6:D$42)</f>
        <v>0</v>
      </c>
      <c r="O43" s="1779">
        <f t="shared" si="17"/>
        <v>0</v>
      </c>
      <c r="P43" s="1779">
        <f t="shared" si="17"/>
        <v>0</v>
      </c>
      <c r="Q43" s="1780" t="s">
        <v>343</v>
      </c>
    </row>
    <row r="44" s="1746" customFormat="1" ht="15" customHeight="1" spans="1:17">
      <c r="A44" s="1774" t="str">
        <f>分类汇总!B26</f>
        <v>其他债权投资</v>
      </c>
      <c r="B44" s="1781" t="s">
        <v>345</v>
      </c>
      <c r="C44" s="1776"/>
      <c r="D44" s="1776"/>
      <c r="E44" s="1776"/>
      <c r="F44" s="1776"/>
      <c r="G44" s="1777">
        <f t="shared" si="15"/>
        <v>0</v>
      </c>
      <c r="H44" s="1777">
        <f t="shared" si="15"/>
        <v>0</v>
      </c>
      <c r="I44" s="1747"/>
      <c r="J44" s="1778" t="str">
        <f t="shared" si="16"/>
        <v>其他债权投资</v>
      </c>
      <c r="K44" s="1779">
        <f>SUMIF('资负表（已审）-旧'!A$6:A$40,J44,'资负表（已审）-旧'!C$6:C$40)</f>
        <v>0</v>
      </c>
      <c r="L44" s="1779">
        <f>SUMIF('资负表（已审）-旧'!A$6:A$40,J44,'资负表（已审）-旧'!D$6:D$40)</f>
        <v>0</v>
      </c>
      <c r="M44" s="1779">
        <f>SUMIF('资负表（已审）-新'!A$6:A$42,J44,'资负表（已审）-新'!C$6:C$42)</f>
        <v>0</v>
      </c>
      <c r="N44" s="1779">
        <f>SUMIF('资负表（已审）-新'!A$6:A$42,J44,'资负表（已审）-新'!D$6:D$42)</f>
        <v>0</v>
      </c>
      <c r="O44" s="1779">
        <f t="shared" si="17"/>
        <v>0</v>
      </c>
      <c r="P44" s="1779">
        <f t="shared" si="17"/>
        <v>0</v>
      </c>
      <c r="Q44" s="1780" t="s">
        <v>343</v>
      </c>
    </row>
    <row r="45" s="1746" customFormat="1" ht="15" customHeight="1" spans="1:17">
      <c r="A45" s="1774" t="s">
        <v>360</v>
      </c>
      <c r="B45" s="1781" t="s">
        <v>341</v>
      </c>
      <c r="C45" s="1776"/>
      <c r="D45" s="1776"/>
      <c r="E45" s="1776"/>
      <c r="F45" s="1776"/>
      <c r="G45" s="1776"/>
      <c r="H45" s="1777">
        <f>分类汇总!BA27/10000</f>
        <v>0</v>
      </c>
      <c r="I45" s="1747"/>
      <c r="J45" s="1782"/>
      <c r="K45" s="1779" t="s">
        <v>347</v>
      </c>
      <c r="L45" s="1779" t="s">
        <v>347</v>
      </c>
      <c r="M45" s="1779" t="s">
        <v>347</v>
      </c>
      <c r="N45" s="1779" t="s">
        <v>347</v>
      </c>
      <c r="O45" s="1779" t="str">
        <f t="shared" si="17"/>
        <v/>
      </c>
      <c r="P45" s="1779" t="str">
        <f t="shared" si="17"/>
        <v/>
      </c>
      <c r="Q45" s="1747"/>
    </row>
    <row r="46" s="1746" customFormat="1" ht="15" customHeight="1" spans="1:17">
      <c r="A46" s="1774" t="s">
        <v>348</v>
      </c>
      <c r="B46" s="1781" t="s">
        <v>341</v>
      </c>
      <c r="C46" s="1776"/>
      <c r="D46" s="1776"/>
      <c r="E46" s="1776"/>
      <c r="F46" s="1776"/>
      <c r="G46" s="1776"/>
      <c r="H46" s="1777">
        <f>分类汇总!BC27/10000</f>
        <v>0</v>
      </c>
      <c r="I46" s="1747"/>
      <c r="J46" s="1782"/>
      <c r="K46" s="1779" t="s">
        <v>347</v>
      </c>
      <c r="L46" s="1779" t="s">
        <v>347</v>
      </c>
      <c r="M46" s="1779" t="s">
        <v>347</v>
      </c>
      <c r="N46" s="1779" t="s">
        <v>347</v>
      </c>
      <c r="O46" s="1779" t="str">
        <f t="shared" si="17"/>
        <v/>
      </c>
      <c r="P46" s="1779" t="str">
        <f t="shared" si="17"/>
        <v/>
      </c>
      <c r="Q46" s="1747"/>
    </row>
    <row r="47" s="1746" customFormat="1" ht="15" customHeight="1" spans="1:17">
      <c r="A47" s="1774" t="str">
        <f>分类汇总!B27</f>
        <v>长期应收款</v>
      </c>
      <c r="B47" s="1781" t="s">
        <v>341</v>
      </c>
      <c r="C47" s="1777">
        <f>C45-C46</f>
        <v>0</v>
      </c>
      <c r="D47" s="1777">
        <f>D45-D46</f>
        <v>0</v>
      </c>
      <c r="E47" s="1777">
        <f>E45-E46</f>
        <v>0</v>
      </c>
      <c r="F47" s="1777">
        <f>F45-F46</f>
        <v>0</v>
      </c>
      <c r="G47" s="1777">
        <f>IF(SUM(G45:G46)&gt;0,G45-G46,O47/10000)</f>
        <v>0</v>
      </c>
      <c r="H47" s="1777">
        <f>IF(SUM(H45:H46)&gt;0,H45-H46,P47/10000)</f>
        <v>0</v>
      </c>
      <c r="I47" s="1747"/>
      <c r="J47" s="1778" t="str">
        <f t="shared" ref="J47:J51" si="18">A47</f>
        <v>长期应收款</v>
      </c>
      <c r="K47" s="1779">
        <f>SUMIF('资负表（已审）-旧'!A$6:A$40,J47,'资负表（已审）-旧'!C$6:C$40)</f>
        <v>0</v>
      </c>
      <c r="L47" s="1779">
        <f>SUMIF('资负表（已审）-旧'!A$6:A$40,J47,'资负表（已审）-旧'!D$6:D$40)</f>
        <v>0</v>
      </c>
      <c r="M47" s="1779">
        <f>SUMIF('资负表（已审）-新'!A$6:A$42,J47,'资负表（已审）-新'!C$6:C$42)</f>
        <v>0</v>
      </c>
      <c r="N47" s="1779">
        <f>SUMIF('资负表（已审）-新'!A$6:A$42,J47,'资负表（已审）-新'!D$6:D$42)</f>
        <v>0</v>
      </c>
      <c r="O47" s="1779">
        <f t="shared" si="17"/>
        <v>0</v>
      </c>
      <c r="P47" s="1779">
        <f t="shared" si="17"/>
        <v>0</v>
      </c>
      <c r="Q47" s="1780" t="s">
        <v>343</v>
      </c>
    </row>
    <row r="48" s="1746" customFormat="1" ht="15" customHeight="1" spans="1:17">
      <c r="A48" s="1774" t="str">
        <f>分类汇总!B28</f>
        <v>长期股权投资</v>
      </c>
      <c r="B48" s="1781" t="s">
        <v>341</v>
      </c>
      <c r="C48" s="1776"/>
      <c r="D48" s="1776"/>
      <c r="E48" s="1776"/>
      <c r="F48" s="1776"/>
      <c r="G48" s="1777">
        <f t="shared" ref="G48:H51" si="19">O48/10000</f>
        <v>0</v>
      </c>
      <c r="H48" s="1777">
        <f t="shared" si="19"/>
        <v>0</v>
      </c>
      <c r="I48" s="1747"/>
      <c r="J48" s="1778" t="str">
        <f t="shared" si="18"/>
        <v>长期股权投资</v>
      </c>
      <c r="K48" s="1779">
        <f>SUMIF('资负表（已审）-旧'!A$6:A$40,J48,'资负表（已审）-旧'!C$6:C$40)</f>
        <v>0</v>
      </c>
      <c r="L48" s="1779">
        <f>SUMIF('资负表（已审）-旧'!A$6:A$40,J48,'资负表（已审）-旧'!D$6:D$40)</f>
        <v>0</v>
      </c>
      <c r="M48" s="1779">
        <f>SUMIF('资负表（已审）-新'!A$6:A$42,J48,'资负表（已审）-新'!C$6:C$42)</f>
        <v>0</v>
      </c>
      <c r="N48" s="1779">
        <f>SUMIF('资负表（已审）-新'!A$6:A$42,J48,'资负表（已审）-新'!D$6:D$42)</f>
        <v>0</v>
      </c>
      <c r="O48" s="1779">
        <f t="shared" si="17"/>
        <v>0</v>
      </c>
      <c r="P48" s="1779">
        <f t="shared" si="17"/>
        <v>0</v>
      </c>
      <c r="Q48" s="1780" t="s">
        <v>343</v>
      </c>
    </row>
    <row r="49" s="1746" customFormat="1" ht="15" customHeight="1" spans="1:17">
      <c r="A49" s="1774" t="str">
        <f>分类汇总!B29</f>
        <v>其他权益工具</v>
      </c>
      <c r="B49" s="1781" t="s">
        <v>345</v>
      </c>
      <c r="C49" s="1776"/>
      <c r="D49" s="1776"/>
      <c r="E49" s="1776"/>
      <c r="F49" s="1776"/>
      <c r="G49" s="1777">
        <f t="shared" si="19"/>
        <v>0</v>
      </c>
      <c r="H49" s="1777">
        <f t="shared" si="19"/>
        <v>0</v>
      </c>
      <c r="I49" s="1747"/>
      <c r="J49" s="1778" t="str">
        <f t="shared" si="18"/>
        <v>其他权益工具</v>
      </c>
      <c r="K49" s="1779">
        <f>SUMIF('资负表（已审）-旧'!A$6:A$40,J49,'资负表（已审）-旧'!C$6:C$40)</f>
        <v>0</v>
      </c>
      <c r="L49" s="1779">
        <f>SUMIF('资负表（已审）-旧'!A$6:A$40,J49,'资负表（已审）-旧'!D$6:D$40)</f>
        <v>0</v>
      </c>
      <c r="M49" s="1779">
        <f>SUMIF('资负表（已审）-新'!A$6:A$42,J49,'资负表（已审）-新'!C$6:C$42)</f>
        <v>0</v>
      </c>
      <c r="N49" s="1779">
        <f>SUMIF('资负表（已审）-新'!A$6:A$42,J49,'资负表（已审）-新'!D$6:D$42)</f>
        <v>0</v>
      </c>
      <c r="O49" s="1779">
        <f t="shared" si="17"/>
        <v>0</v>
      </c>
      <c r="P49" s="1779">
        <f t="shared" si="17"/>
        <v>0</v>
      </c>
      <c r="Q49" s="1780" t="s">
        <v>343</v>
      </c>
    </row>
    <row r="50" s="1746" customFormat="1" ht="15" customHeight="1" spans="1:17">
      <c r="A50" s="1774" t="str">
        <f>分类汇总!B30</f>
        <v>其他非流动金融资产</v>
      </c>
      <c r="B50" s="1781" t="s">
        <v>345</v>
      </c>
      <c r="C50" s="1776"/>
      <c r="D50" s="1776"/>
      <c r="E50" s="1776"/>
      <c r="F50" s="1776"/>
      <c r="G50" s="1777">
        <f t="shared" si="19"/>
        <v>0</v>
      </c>
      <c r="H50" s="1777">
        <f t="shared" si="19"/>
        <v>0</v>
      </c>
      <c r="I50" s="1747"/>
      <c r="J50" s="1778" t="str">
        <f t="shared" si="18"/>
        <v>其他非流动金融资产</v>
      </c>
      <c r="K50" s="1779">
        <f>SUMIF('资负表（已审）-旧'!A$6:A$40,J50,'资负表（已审）-旧'!C$6:C$40)</f>
        <v>0</v>
      </c>
      <c r="L50" s="1779">
        <f>SUMIF('资负表（已审）-旧'!A$6:A$40,J50,'资负表（已审）-旧'!D$6:D$40)</f>
        <v>0</v>
      </c>
      <c r="M50" s="1779">
        <f>SUMIF('资负表（已审）-新'!A$6:A$42,J50,'资负表（已审）-新'!C$6:C$42)</f>
        <v>0</v>
      </c>
      <c r="N50" s="1779">
        <f>SUMIF('资负表（已审）-新'!A$6:A$42,J50,'资负表（已审）-新'!D$6:D$42)</f>
        <v>0</v>
      </c>
      <c r="O50" s="1779">
        <f t="shared" si="17"/>
        <v>0</v>
      </c>
      <c r="P50" s="1779">
        <f t="shared" si="17"/>
        <v>0</v>
      </c>
      <c r="Q50" s="1780" t="s">
        <v>343</v>
      </c>
    </row>
    <row r="51" s="1746" customFormat="1" ht="15" customHeight="1" spans="1:17">
      <c r="A51" s="1774" t="str">
        <f>分类汇总!B31</f>
        <v>投资性房地产</v>
      </c>
      <c r="B51" s="1781" t="s">
        <v>341</v>
      </c>
      <c r="C51" s="1776"/>
      <c r="D51" s="1776"/>
      <c r="E51" s="1776"/>
      <c r="F51" s="1776"/>
      <c r="G51" s="1777">
        <f t="shared" si="19"/>
        <v>0</v>
      </c>
      <c r="H51" s="1777">
        <f t="shared" si="19"/>
        <v>0</v>
      </c>
      <c r="I51" s="1747"/>
      <c r="J51" s="1778" t="str">
        <f t="shared" si="18"/>
        <v>投资性房地产</v>
      </c>
      <c r="K51" s="1779">
        <f>SUMIF('资负表（已审）-旧'!A$6:A$40,J51,'资负表（已审）-旧'!C$6:C$40)</f>
        <v>0</v>
      </c>
      <c r="L51" s="1779">
        <f>SUMIF('资负表（已审）-旧'!A$6:A$40,J51,'资负表（已审）-旧'!D$6:D$40)</f>
        <v>0</v>
      </c>
      <c r="M51" s="1779">
        <f>SUMIF('资负表（已审）-新'!A$6:A$42,J51,'资负表（已审）-新'!C$6:C$42)</f>
        <v>0</v>
      </c>
      <c r="N51" s="1779">
        <f>SUMIF('资负表（已审）-新'!A$6:A$42,J51,'资负表（已审）-新'!D$6:D$42)</f>
        <v>0</v>
      </c>
      <c r="O51" s="1779">
        <f t="shared" si="17"/>
        <v>0</v>
      </c>
      <c r="P51" s="1779">
        <f t="shared" si="17"/>
        <v>0</v>
      </c>
      <c r="Q51" s="1780" t="s">
        <v>343</v>
      </c>
    </row>
    <row r="52" s="1746" customFormat="1" ht="15" customHeight="1" spans="1:17">
      <c r="A52" s="1774" t="s">
        <v>361</v>
      </c>
      <c r="B52" s="1781" t="s">
        <v>341</v>
      </c>
      <c r="C52" s="1776"/>
      <c r="D52" s="1776"/>
      <c r="E52" s="1776"/>
      <c r="F52" s="1776"/>
      <c r="G52" s="1776"/>
      <c r="H52" s="1777">
        <f>分类汇总!BA32/10000</f>
        <v>0</v>
      </c>
      <c r="I52" s="1747"/>
      <c r="J52" s="1782"/>
      <c r="K52" s="1779" t="s">
        <v>347</v>
      </c>
      <c r="L52" s="1779" t="s">
        <v>347</v>
      </c>
      <c r="M52" s="1779" t="s">
        <v>347</v>
      </c>
      <c r="N52" s="1779" t="s">
        <v>347</v>
      </c>
      <c r="O52" s="1779" t="str">
        <f t="shared" si="17"/>
        <v/>
      </c>
      <c r="P52" s="1779" t="str">
        <f t="shared" si="17"/>
        <v/>
      </c>
      <c r="Q52" s="1747"/>
    </row>
    <row r="53" s="1746" customFormat="1" ht="15" customHeight="1" spans="1:17">
      <c r="A53" s="1774" t="s">
        <v>362</v>
      </c>
      <c r="B53" s="1781" t="s">
        <v>341</v>
      </c>
      <c r="C53" s="1776"/>
      <c r="D53" s="1776"/>
      <c r="E53" s="1776"/>
      <c r="F53" s="1776"/>
      <c r="G53" s="1776"/>
      <c r="H53" s="1777">
        <f>(分类汇总!BA32-分类汇总!BB32)/10000</f>
        <v>0</v>
      </c>
      <c r="I53" s="1747"/>
      <c r="J53" s="1782"/>
      <c r="K53" s="1779" t="s">
        <v>347</v>
      </c>
      <c r="L53" s="1779" t="s">
        <v>347</v>
      </c>
      <c r="M53" s="1779" t="s">
        <v>347</v>
      </c>
      <c r="N53" s="1779" t="s">
        <v>347</v>
      </c>
      <c r="O53" s="1779" t="str">
        <f t="shared" si="17"/>
        <v/>
      </c>
      <c r="P53" s="1779" t="str">
        <f t="shared" si="17"/>
        <v/>
      </c>
      <c r="Q53" s="1747"/>
    </row>
    <row r="54" s="1746" customFormat="1" ht="15" customHeight="1" spans="1:17">
      <c r="A54" s="1774" t="s">
        <v>363</v>
      </c>
      <c r="B54" s="1781" t="s">
        <v>341</v>
      </c>
      <c r="C54" s="1777">
        <f t="shared" ref="C54:H54" si="20">C52-C53</f>
        <v>0</v>
      </c>
      <c r="D54" s="1777">
        <f t="shared" si="20"/>
        <v>0</v>
      </c>
      <c r="E54" s="1777">
        <f t="shared" si="20"/>
        <v>0</v>
      </c>
      <c r="F54" s="1777">
        <f t="shared" si="20"/>
        <v>0</v>
      </c>
      <c r="G54" s="1777">
        <f t="shared" si="20"/>
        <v>0</v>
      </c>
      <c r="H54" s="1777">
        <f t="shared" si="20"/>
        <v>0</v>
      </c>
      <c r="I54" s="1747"/>
      <c r="J54" s="1782"/>
      <c r="K54" s="1779" t="s">
        <v>347</v>
      </c>
      <c r="L54" s="1779" t="s">
        <v>347</v>
      </c>
      <c r="M54" s="1779" t="s">
        <v>347</v>
      </c>
      <c r="N54" s="1779" t="s">
        <v>347</v>
      </c>
      <c r="O54" s="1779" t="str">
        <f t="shared" si="17"/>
        <v/>
      </c>
      <c r="P54" s="1779" t="str">
        <f t="shared" si="17"/>
        <v/>
      </c>
      <c r="Q54" s="1747"/>
    </row>
    <row r="55" s="1746" customFormat="1" ht="15" customHeight="1" spans="1:17">
      <c r="A55" s="1774" t="s">
        <v>364</v>
      </c>
      <c r="B55" s="1781" t="s">
        <v>341</v>
      </c>
      <c r="C55" s="1776"/>
      <c r="D55" s="1776"/>
      <c r="E55" s="1776"/>
      <c r="F55" s="1776"/>
      <c r="G55" s="1776"/>
      <c r="H55" s="1777">
        <f>分类汇总!BC32/10000</f>
        <v>0</v>
      </c>
      <c r="I55" s="1747"/>
      <c r="J55" s="1782"/>
      <c r="K55" s="1779" t="s">
        <v>347</v>
      </c>
      <c r="L55" s="1779" t="s">
        <v>347</v>
      </c>
      <c r="M55" s="1779" t="s">
        <v>347</v>
      </c>
      <c r="N55" s="1779" t="s">
        <v>347</v>
      </c>
      <c r="O55" s="1779" t="str">
        <f t="shared" si="17"/>
        <v/>
      </c>
      <c r="P55" s="1779" t="str">
        <f t="shared" si="17"/>
        <v/>
      </c>
      <c r="Q55" s="1747"/>
    </row>
    <row r="56" s="1746" customFormat="1" ht="15" customHeight="1" spans="1:17">
      <c r="A56" s="1774" t="str">
        <f>分类汇总!B32</f>
        <v>固定资产</v>
      </c>
      <c r="B56" s="1781" t="s">
        <v>341</v>
      </c>
      <c r="C56" s="1777">
        <f>C54-C55</f>
        <v>0</v>
      </c>
      <c r="D56" s="1777">
        <f>D54-D55</f>
        <v>0</v>
      </c>
      <c r="E56" s="1777">
        <f>E54-E55</f>
        <v>0</v>
      </c>
      <c r="F56" s="1777">
        <f>F54-F55</f>
        <v>0</v>
      </c>
      <c r="G56" s="1777">
        <f>IF(SUM(G52:G55)&gt;0,G54-G55,O56/10000)</f>
        <v>0</v>
      </c>
      <c r="H56" s="1777">
        <f>IF(SUM(H52:H55)&gt;0,H54-H55,P56/10000)</f>
        <v>0</v>
      </c>
      <c r="I56" s="1747"/>
      <c r="J56" s="1778" t="str">
        <f t="shared" ref="J56:J66" si="21">A56</f>
        <v>固定资产</v>
      </c>
      <c r="K56" s="1779">
        <f>SUMIF('资负表（已审）-旧'!A$6:A$40,J56,'资负表（已审）-旧'!C$6:C$40)</f>
        <v>0</v>
      </c>
      <c r="L56" s="1779">
        <f>SUMIF('资负表（已审）-旧'!A$6:A$40,J56,'资负表（已审）-旧'!D$6:D$40)</f>
        <v>0</v>
      </c>
      <c r="M56" s="1779">
        <f>SUMIF('资负表（已审）-新'!A$6:A$42,J56,'资负表（已审）-新'!C$6:C$42)</f>
        <v>0</v>
      </c>
      <c r="N56" s="1779">
        <f>SUMIF('资负表（已审）-新'!A$6:A$42,J56,'资负表（已审）-新'!D$6:D$42)</f>
        <v>0</v>
      </c>
      <c r="O56" s="1779">
        <f t="shared" si="17"/>
        <v>0</v>
      </c>
      <c r="P56" s="1779">
        <f t="shared" si="17"/>
        <v>0</v>
      </c>
      <c r="Q56" s="1780" t="s">
        <v>343</v>
      </c>
    </row>
    <row r="57" s="1746" customFormat="1" ht="15" customHeight="1" spans="1:17">
      <c r="A57" s="1774" t="str">
        <f>分类汇总!B33</f>
        <v>在建工程</v>
      </c>
      <c r="B57" s="1781" t="s">
        <v>341</v>
      </c>
      <c r="C57" s="1776"/>
      <c r="D57" s="1776"/>
      <c r="E57" s="1776"/>
      <c r="F57" s="1776"/>
      <c r="G57" s="1777">
        <f t="shared" ref="G57:H66" si="22">O57/10000</f>
        <v>0</v>
      </c>
      <c r="H57" s="1777">
        <f t="shared" si="22"/>
        <v>0</v>
      </c>
      <c r="I57" s="1747"/>
      <c r="J57" s="1778" t="str">
        <f t="shared" si="21"/>
        <v>在建工程</v>
      </c>
      <c r="K57" s="1779">
        <f>SUMIF('资负表（已审）-旧'!A$6:A$40,J57,'资负表（已审）-旧'!C$6:C$40)</f>
        <v>0</v>
      </c>
      <c r="L57" s="1779">
        <f>SUMIF('资负表（已审）-旧'!A$6:A$40,J57,'资负表（已审）-旧'!D$6:D$40)</f>
        <v>0</v>
      </c>
      <c r="M57" s="1779">
        <f>SUMIF('资负表（已审）-新'!A$6:A$42,J57,'资负表（已审）-新'!C$6:C$42)</f>
        <v>0</v>
      </c>
      <c r="N57" s="1779">
        <f>SUMIF('资负表（已审）-新'!A$6:A$42,J57,'资负表（已审）-新'!D$6:D$42)</f>
        <v>0</v>
      </c>
      <c r="O57" s="1779">
        <f t="shared" si="17"/>
        <v>0</v>
      </c>
      <c r="P57" s="1779">
        <f t="shared" si="17"/>
        <v>0</v>
      </c>
      <c r="Q57" s="1780" t="s">
        <v>343</v>
      </c>
    </row>
    <row r="58" s="1746" customFormat="1" ht="15" customHeight="1" spans="1:17">
      <c r="A58" s="1774" t="str">
        <f>分类汇总!B34</f>
        <v>生产性生物资产</v>
      </c>
      <c r="B58" s="1781" t="s">
        <v>341</v>
      </c>
      <c r="C58" s="1776"/>
      <c r="D58" s="1776"/>
      <c r="E58" s="1776"/>
      <c r="F58" s="1776"/>
      <c r="G58" s="1777">
        <f t="shared" si="22"/>
        <v>0</v>
      </c>
      <c r="H58" s="1777">
        <f t="shared" si="22"/>
        <v>0</v>
      </c>
      <c r="I58" s="1747"/>
      <c r="J58" s="1778" t="str">
        <f t="shared" si="21"/>
        <v>生产性生物资产</v>
      </c>
      <c r="K58" s="1779">
        <f>SUMIF('资负表（已审）-旧'!A$6:A$40,J58,'资负表（已审）-旧'!C$6:C$40)</f>
        <v>0</v>
      </c>
      <c r="L58" s="1779">
        <f>SUMIF('资负表（已审）-旧'!A$6:A$40,J58,'资负表（已审）-旧'!D$6:D$40)</f>
        <v>0</v>
      </c>
      <c r="M58" s="1779">
        <f>SUMIF('资负表（已审）-新'!A$6:A$42,J58,'资负表（已审）-新'!C$6:C$42)</f>
        <v>0</v>
      </c>
      <c r="N58" s="1779">
        <f>SUMIF('资负表（已审）-新'!A$6:A$42,J58,'资负表（已审）-新'!D$6:D$42)</f>
        <v>0</v>
      </c>
      <c r="O58" s="1779">
        <f t="shared" si="17"/>
        <v>0</v>
      </c>
      <c r="P58" s="1779">
        <f t="shared" si="17"/>
        <v>0</v>
      </c>
      <c r="Q58" s="1780" t="s">
        <v>343</v>
      </c>
    </row>
    <row r="59" s="1746" customFormat="1" ht="15" customHeight="1" spans="1:17">
      <c r="A59" s="1774" t="str">
        <f>分类汇总!B35</f>
        <v>油气资产</v>
      </c>
      <c r="B59" s="1781" t="s">
        <v>341</v>
      </c>
      <c r="C59" s="1776"/>
      <c r="D59" s="1776"/>
      <c r="E59" s="1776"/>
      <c r="F59" s="1776"/>
      <c r="G59" s="1777">
        <f t="shared" si="22"/>
        <v>0</v>
      </c>
      <c r="H59" s="1777">
        <f t="shared" si="22"/>
        <v>0</v>
      </c>
      <c r="I59" s="1747"/>
      <c r="J59" s="1778" t="str">
        <f t="shared" si="21"/>
        <v>油气资产</v>
      </c>
      <c r="K59" s="1779">
        <f>SUMIF('资负表（已审）-旧'!A$6:A$40,J59,'资负表（已审）-旧'!C$6:C$40)</f>
        <v>0</v>
      </c>
      <c r="L59" s="1779">
        <f>SUMIF('资负表（已审）-旧'!A$6:A$40,J59,'资负表（已审）-旧'!D$6:D$40)</f>
        <v>0</v>
      </c>
      <c r="M59" s="1779">
        <f>SUMIF('资负表（已审）-新'!A$6:A$42,J59,'资负表（已审）-新'!C$6:C$42)</f>
        <v>0</v>
      </c>
      <c r="N59" s="1779">
        <f>SUMIF('资负表（已审）-新'!A$6:A$42,J59,'资负表（已审）-新'!D$6:D$42)</f>
        <v>0</v>
      </c>
      <c r="O59" s="1779">
        <f t="shared" si="17"/>
        <v>0</v>
      </c>
      <c r="P59" s="1779">
        <f t="shared" si="17"/>
        <v>0</v>
      </c>
      <c r="Q59" s="1780" t="s">
        <v>343</v>
      </c>
    </row>
    <row r="60" s="1746" customFormat="1" ht="15" customHeight="1" spans="1:17">
      <c r="A60" s="1774" t="str">
        <f>分类汇总!B36</f>
        <v>使用权资产</v>
      </c>
      <c r="B60" s="1781" t="s">
        <v>345</v>
      </c>
      <c r="C60" s="1776"/>
      <c r="D60" s="1776"/>
      <c r="E60" s="1776"/>
      <c r="F60" s="1776"/>
      <c r="G60" s="1777">
        <f t="shared" si="22"/>
        <v>0</v>
      </c>
      <c r="H60" s="1777">
        <f t="shared" si="22"/>
        <v>0</v>
      </c>
      <c r="I60" s="1747"/>
      <c r="J60" s="1778" t="str">
        <f t="shared" si="21"/>
        <v>使用权资产</v>
      </c>
      <c r="K60" s="1779">
        <f>SUMIF('资负表（已审）-旧'!A$6:A$40,J60,'资负表（已审）-旧'!C$6:C$40)</f>
        <v>0</v>
      </c>
      <c r="L60" s="1779">
        <f>SUMIF('资负表（已审）-旧'!A$6:A$40,J60,'资负表（已审）-旧'!D$6:D$40)</f>
        <v>0</v>
      </c>
      <c r="M60" s="1779">
        <f>SUMIF('资负表（已审）-新'!A$6:A$42,J60,'资负表（已审）-新'!C$6:C$42)</f>
        <v>0</v>
      </c>
      <c r="N60" s="1779">
        <f>SUMIF('资负表（已审）-新'!A$6:A$42,J60,'资负表（已审）-新'!D$6:D$42)</f>
        <v>0</v>
      </c>
      <c r="O60" s="1779">
        <f t="shared" si="17"/>
        <v>0</v>
      </c>
      <c r="P60" s="1779">
        <f t="shared" si="17"/>
        <v>0</v>
      </c>
      <c r="Q60" s="1780" t="s">
        <v>343</v>
      </c>
    </row>
    <row r="61" s="1746" customFormat="1" ht="15" customHeight="1" spans="1:17">
      <c r="A61" s="1774" t="str">
        <f>分类汇总!B37</f>
        <v>无形资产</v>
      </c>
      <c r="B61" s="1781" t="s">
        <v>341</v>
      </c>
      <c r="C61" s="1776"/>
      <c r="D61" s="1776"/>
      <c r="E61" s="1776"/>
      <c r="F61" s="1776"/>
      <c r="G61" s="1777">
        <f t="shared" si="22"/>
        <v>0</v>
      </c>
      <c r="H61" s="1777">
        <f t="shared" si="22"/>
        <v>0</v>
      </c>
      <c r="I61" s="1747"/>
      <c r="J61" s="1778" t="str">
        <f t="shared" si="21"/>
        <v>无形资产</v>
      </c>
      <c r="K61" s="1779">
        <f>SUMIF('资负表（已审）-旧'!A$6:A$40,J61,'资负表（已审）-旧'!C$6:C$40)</f>
        <v>0</v>
      </c>
      <c r="L61" s="1779">
        <f>SUMIF('资负表（已审）-旧'!A$6:A$40,J61,'资负表（已审）-旧'!D$6:D$40)</f>
        <v>0</v>
      </c>
      <c r="M61" s="1779">
        <f>SUMIF('资负表（已审）-新'!A$6:A$42,J61,'资负表（已审）-新'!C$6:C$42)</f>
        <v>0</v>
      </c>
      <c r="N61" s="1779">
        <f>SUMIF('资负表（已审）-新'!A$6:A$42,J61,'资负表（已审）-新'!D$6:D$42)</f>
        <v>0</v>
      </c>
      <c r="O61" s="1779">
        <f t="shared" si="17"/>
        <v>0</v>
      </c>
      <c r="P61" s="1779">
        <f t="shared" si="17"/>
        <v>0</v>
      </c>
      <c r="Q61" s="1780" t="s">
        <v>343</v>
      </c>
    </row>
    <row r="62" s="1746" customFormat="1" ht="15" customHeight="1" spans="1:17">
      <c r="A62" s="1774" t="str">
        <f>分类汇总!B38</f>
        <v>开发支出</v>
      </c>
      <c r="B62" s="1781" t="s">
        <v>341</v>
      </c>
      <c r="C62" s="1776"/>
      <c r="D62" s="1776"/>
      <c r="E62" s="1776"/>
      <c r="F62" s="1776"/>
      <c r="G62" s="1777">
        <f t="shared" si="22"/>
        <v>0</v>
      </c>
      <c r="H62" s="1777">
        <f t="shared" si="22"/>
        <v>0</v>
      </c>
      <c r="I62" s="1747"/>
      <c r="J62" s="1778" t="str">
        <f t="shared" si="21"/>
        <v>开发支出</v>
      </c>
      <c r="K62" s="1779">
        <f>SUMIF('资负表（已审）-旧'!A$6:A$40,J62,'资负表（已审）-旧'!C$6:C$40)</f>
        <v>0</v>
      </c>
      <c r="L62" s="1779">
        <f>SUMIF('资负表（已审）-旧'!A$6:A$40,J62,'资负表（已审）-旧'!D$6:D$40)</f>
        <v>0</v>
      </c>
      <c r="M62" s="1779">
        <f>SUMIF('资负表（已审）-新'!A$6:A$42,J62,'资负表（已审）-新'!C$6:C$42)</f>
        <v>0</v>
      </c>
      <c r="N62" s="1779">
        <f>SUMIF('资负表（已审）-新'!A$6:A$42,J62,'资负表（已审）-新'!D$6:D$42)</f>
        <v>0</v>
      </c>
      <c r="O62" s="1779">
        <f t="shared" si="17"/>
        <v>0</v>
      </c>
      <c r="P62" s="1779">
        <f t="shared" si="17"/>
        <v>0</v>
      </c>
      <c r="Q62" s="1780" t="s">
        <v>343</v>
      </c>
    </row>
    <row r="63" s="1746" customFormat="1" ht="15" customHeight="1" spans="1:17">
      <c r="A63" s="1774" t="str">
        <f>分类汇总!B39</f>
        <v>商誉</v>
      </c>
      <c r="B63" s="1781" t="s">
        <v>341</v>
      </c>
      <c r="C63" s="1776"/>
      <c r="D63" s="1776"/>
      <c r="E63" s="1776"/>
      <c r="F63" s="1776"/>
      <c r="G63" s="1777">
        <f t="shared" si="22"/>
        <v>0</v>
      </c>
      <c r="H63" s="1777">
        <f t="shared" si="22"/>
        <v>0</v>
      </c>
      <c r="I63" s="1747"/>
      <c r="J63" s="1778" t="str">
        <f t="shared" si="21"/>
        <v>商誉</v>
      </c>
      <c r="K63" s="1779">
        <f>SUMIF('资负表（已审）-旧'!A$6:A$40,J63,'资负表（已审）-旧'!C$6:C$40)</f>
        <v>0</v>
      </c>
      <c r="L63" s="1779">
        <f>SUMIF('资负表（已审）-旧'!A$6:A$40,J63,'资负表（已审）-旧'!D$6:D$40)</f>
        <v>0</v>
      </c>
      <c r="M63" s="1779">
        <f>SUMIF('资负表（已审）-新'!A$6:A$42,J63,'资负表（已审）-新'!C$6:C$42)</f>
        <v>0</v>
      </c>
      <c r="N63" s="1779">
        <f>SUMIF('资负表（已审）-新'!A$6:A$42,J63,'资负表（已审）-新'!D$6:D$42)</f>
        <v>0</v>
      </c>
      <c r="O63" s="1779">
        <f t="shared" si="17"/>
        <v>0</v>
      </c>
      <c r="P63" s="1779">
        <f t="shared" si="17"/>
        <v>0</v>
      </c>
      <c r="Q63" s="1780" t="s">
        <v>343</v>
      </c>
    </row>
    <row r="64" s="1746" customFormat="1" ht="15" customHeight="1" spans="1:17">
      <c r="A64" s="1774" t="str">
        <f>分类汇总!B40</f>
        <v>长期待摊费用</v>
      </c>
      <c r="B64" s="1781" t="s">
        <v>341</v>
      </c>
      <c r="C64" s="1776"/>
      <c r="D64" s="1776"/>
      <c r="E64" s="1776"/>
      <c r="F64" s="1776"/>
      <c r="G64" s="1777">
        <f t="shared" si="22"/>
        <v>0</v>
      </c>
      <c r="H64" s="1777">
        <f t="shared" si="22"/>
        <v>0</v>
      </c>
      <c r="I64" s="1747"/>
      <c r="J64" s="1778" t="str">
        <f t="shared" si="21"/>
        <v>长期待摊费用</v>
      </c>
      <c r="K64" s="1779">
        <f>SUMIF('资负表（已审）-旧'!A$6:A$40,J64,'资负表（已审）-旧'!C$6:C$40)</f>
        <v>0</v>
      </c>
      <c r="L64" s="1779">
        <f>SUMIF('资负表（已审）-旧'!A$6:A$40,J64,'资负表（已审）-旧'!D$6:D$40)</f>
        <v>0</v>
      </c>
      <c r="M64" s="1779">
        <f>SUMIF('资负表（已审）-新'!A$6:A$42,J64,'资负表（已审）-新'!C$6:C$42)</f>
        <v>0</v>
      </c>
      <c r="N64" s="1779">
        <f>SUMIF('资负表（已审）-新'!A$6:A$42,J64,'资负表（已审）-新'!D$6:D$42)</f>
        <v>0</v>
      </c>
      <c r="O64" s="1779">
        <f t="shared" si="17"/>
        <v>0</v>
      </c>
      <c r="P64" s="1779">
        <f t="shared" si="17"/>
        <v>0</v>
      </c>
      <c r="Q64" s="1780" t="s">
        <v>343</v>
      </c>
    </row>
    <row r="65" s="1746" customFormat="1" ht="15" customHeight="1" spans="1:17">
      <c r="A65" s="1774" t="str">
        <f>分类汇总!B41</f>
        <v>递延所得税资产</v>
      </c>
      <c r="B65" s="1781" t="s">
        <v>341</v>
      </c>
      <c r="C65" s="1776"/>
      <c r="D65" s="1776"/>
      <c r="E65" s="1776"/>
      <c r="F65" s="1776"/>
      <c r="G65" s="1777">
        <f t="shared" si="22"/>
        <v>0</v>
      </c>
      <c r="H65" s="1777">
        <f t="shared" si="22"/>
        <v>0</v>
      </c>
      <c r="I65" s="1747"/>
      <c r="J65" s="1778" t="str">
        <f t="shared" si="21"/>
        <v>递延所得税资产</v>
      </c>
      <c r="K65" s="1779">
        <f>SUMIF('资负表（已审）-旧'!A$6:A$40,J65,'资负表（已审）-旧'!C$6:C$40)</f>
        <v>0</v>
      </c>
      <c r="L65" s="1779">
        <f>SUMIF('资负表（已审）-旧'!A$6:A$40,J65,'资负表（已审）-旧'!D$6:D$40)</f>
        <v>0</v>
      </c>
      <c r="M65" s="1779">
        <f>SUMIF('资负表（已审）-新'!A$6:A$42,J65,'资负表（已审）-新'!C$6:C$42)</f>
        <v>0</v>
      </c>
      <c r="N65" s="1779">
        <f>SUMIF('资负表（已审）-新'!A$6:A$42,J65,'资负表（已审）-新'!D$6:D$42)</f>
        <v>0</v>
      </c>
      <c r="O65" s="1779">
        <f t="shared" si="17"/>
        <v>0</v>
      </c>
      <c r="P65" s="1779">
        <f t="shared" si="17"/>
        <v>0</v>
      </c>
      <c r="Q65" s="1780" t="s">
        <v>343</v>
      </c>
    </row>
    <row r="66" s="1746" customFormat="1" ht="15" customHeight="1" spans="1:17">
      <c r="A66" s="1774" t="str">
        <f>分类汇总!B42</f>
        <v>其他非流动资产</v>
      </c>
      <c r="B66" s="1781" t="s">
        <v>341</v>
      </c>
      <c r="C66" s="1776"/>
      <c r="D66" s="1776"/>
      <c r="E66" s="1776"/>
      <c r="F66" s="1776"/>
      <c r="G66" s="1777">
        <f t="shared" si="22"/>
        <v>0</v>
      </c>
      <c r="H66" s="1777">
        <f t="shared" si="22"/>
        <v>0</v>
      </c>
      <c r="I66" s="1747"/>
      <c r="J66" s="1778" t="str">
        <f t="shared" si="21"/>
        <v>其他非流动资产</v>
      </c>
      <c r="K66" s="1779">
        <f>SUMIF('资负表（已审）-旧'!A$6:A$40,J66,'资负表（已审）-旧'!C$6:C$40)</f>
        <v>0</v>
      </c>
      <c r="L66" s="1779">
        <f>SUMIF('资负表（已审）-旧'!A$6:A$40,J66,'资负表（已审）-旧'!D$6:D$40)</f>
        <v>0</v>
      </c>
      <c r="M66" s="1779">
        <f>SUMIF('资负表（已审）-新'!A$6:A$42,J66,'资负表（已审）-新'!C$6:C$42)</f>
        <v>0</v>
      </c>
      <c r="N66" s="1779">
        <f>SUMIF('资负表（已审）-新'!A$6:A$42,J66,'资负表（已审）-新'!D$6:D$42)</f>
        <v>0</v>
      </c>
      <c r="O66" s="1779">
        <f t="shared" si="17"/>
        <v>0</v>
      </c>
      <c r="P66" s="1779">
        <f t="shared" si="17"/>
        <v>0</v>
      </c>
      <c r="Q66" s="1780" t="s">
        <v>343</v>
      </c>
    </row>
    <row r="67" s="1749" customFormat="1" ht="15" customHeight="1" spans="1:17">
      <c r="A67" s="1788" t="s">
        <v>365</v>
      </c>
      <c r="B67" s="1789" t="s">
        <v>341</v>
      </c>
      <c r="C67" s="1770">
        <f t="shared" ref="C67:H67" si="23">C6+C40</f>
        <v>0</v>
      </c>
      <c r="D67" s="1770">
        <f t="shared" si="23"/>
        <v>0</v>
      </c>
      <c r="E67" s="1770">
        <f t="shared" si="23"/>
        <v>0</v>
      </c>
      <c r="F67" s="1770">
        <f t="shared" si="23"/>
        <v>0</v>
      </c>
      <c r="G67" s="1770">
        <f t="shared" si="23"/>
        <v>0</v>
      </c>
      <c r="H67" s="1770">
        <f t="shared" si="23"/>
        <v>3.555752</v>
      </c>
      <c r="I67" s="1771"/>
      <c r="J67" s="1787" t="s">
        <v>366</v>
      </c>
      <c r="K67" s="1773">
        <f t="shared" ref="K67:P67" si="24">SUM(K6,K40)</f>
        <v>0</v>
      </c>
      <c r="L67" s="1773">
        <f t="shared" si="24"/>
        <v>0</v>
      </c>
      <c r="M67" s="1773">
        <f t="shared" si="24"/>
        <v>0</v>
      </c>
      <c r="N67" s="1773">
        <f t="shared" si="24"/>
        <v>0</v>
      </c>
      <c r="O67" s="1773">
        <f t="shared" si="24"/>
        <v>0</v>
      </c>
      <c r="P67" s="1773">
        <f t="shared" si="24"/>
        <v>0</v>
      </c>
      <c r="Q67" s="1771"/>
    </row>
    <row r="68" s="1749" customFormat="1" ht="15" customHeight="1" spans="1:17">
      <c r="A68" s="1785" t="s">
        <v>367</v>
      </c>
      <c r="B68" s="1786" t="s">
        <v>341</v>
      </c>
      <c r="C68" s="1770">
        <f>SUMIF($Q69:$Q85,"计算",C69:C85)</f>
        <v>0</v>
      </c>
      <c r="D68" s="1770">
        <f t="shared" ref="D68:H68" si="25">SUMIF($Q69:$Q85,"计算",D69:D85)</f>
        <v>0</v>
      </c>
      <c r="E68" s="1770">
        <f t="shared" si="25"/>
        <v>0</v>
      </c>
      <c r="F68" s="1770">
        <f t="shared" si="25"/>
        <v>0</v>
      </c>
      <c r="G68" s="1770">
        <f t="shared" si="25"/>
        <v>0</v>
      </c>
      <c r="H68" s="1770">
        <f t="shared" si="25"/>
        <v>0</v>
      </c>
      <c r="I68" s="1771"/>
      <c r="J68" s="1787" t="s">
        <v>368</v>
      </c>
      <c r="K68" s="1773">
        <f t="shared" ref="K68:P68" si="26">SUM(K69:K85)</f>
        <v>0</v>
      </c>
      <c r="L68" s="1773">
        <f t="shared" si="26"/>
        <v>0</v>
      </c>
      <c r="M68" s="1773">
        <f t="shared" si="26"/>
        <v>0</v>
      </c>
      <c r="N68" s="1773">
        <f t="shared" si="26"/>
        <v>0</v>
      </c>
      <c r="O68" s="1773">
        <f t="shared" si="26"/>
        <v>0</v>
      </c>
      <c r="P68" s="1773">
        <f t="shared" si="26"/>
        <v>0</v>
      </c>
      <c r="Q68" s="1771"/>
    </row>
    <row r="69" s="1746" customFormat="1" ht="15" customHeight="1" spans="1:17">
      <c r="A69" s="1774" t="str">
        <f>分类汇总!B45</f>
        <v>短期借款</v>
      </c>
      <c r="B69" s="1781" t="s">
        <v>341</v>
      </c>
      <c r="C69" s="1776"/>
      <c r="D69" s="1776"/>
      <c r="E69" s="1776"/>
      <c r="F69" s="1776"/>
      <c r="G69" s="1777">
        <f t="shared" ref="G69:H78" si="27">O69/10000</f>
        <v>0</v>
      </c>
      <c r="H69" s="1777">
        <f t="shared" si="27"/>
        <v>0</v>
      </c>
      <c r="I69" s="1747"/>
      <c r="J69" s="1778" t="str">
        <f t="shared" ref="J69:J79" si="28">A69</f>
        <v>短期借款</v>
      </c>
      <c r="K69" s="1779">
        <f>SUMIF('资负表（已审）-旧'!F$6:F$40,J69,'资负表（已审）-旧'!H$6:H$40)</f>
        <v>0</v>
      </c>
      <c r="L69" s="1779">
        <f>SUMIF('资负表（已审）-旧'!F$6:F$40,J69,'资负表（已审）-旧'!I$6:I$40)</f>
        <v>0</v>
      </c>
      <c r="M69" s="1779">
        <f>SUMIF('资负表（已审）-新'!F$6:F$40,J69,'资负表（已审）-新'!H$6:H$40)</f>
        <v>0</v>
      </c>
      <c r="N69" s="1779">
        <f>SUMIF('资负表（已审）-新'!F$6:F$40,J69,'资负表（已审）-新'!I$6:I$40)</f>
        <v>0</v>
      </c>
      <c r="O69" s="1779">
        <f t="shared" ref="O69:P85" si="29">IF($J69="","",K69+M69)</f>
        <v>0</v>
      </c>
      <c r="P69" s="1779">
        <f t="shared" si="29"/>
        <v>0</v>
      </c>
      <c r="Q69" s="1780" t="s">
        <v>343</v>
      </c>
    </row>
    <row r="70" s="1746" customFormat="1" ht="15" customHeight="1" spans="1:17">
      <c r="A70" s="1774" t="str">
        <f>分类汇总!B46</f>
        <v>以公允价值计量其其变动计入当期损益的金融负债</v>
      </c>
      <c r="B70" s="1781" t="s">
        <v>344</v>
      </c>
      <c r="C70" s="1776"/>
      <c r="D70" s="1776"/>
      <c r="E70" s="1776"/>
      <c r="F70" s="1776"/>
      <c r="G70" s="1777">
        <f t="shared" si="27"/>
        <v>0</v>
      </c>
      <c r="H70" s="1777">
        <f t="shared" si="27"/>
        <v>0</v>
      </c>
      <c r="I70" s="1747"/>
      <c r="J70" s="1778" t="str">
        <f t="shared" si="28"/>
        <v>以公允价值计量其其变动计入当期损益的金融负债</v>
      </c>
      <c r="K70" s="1779">
        <f>SUMIF('资负表（已审）-旧'!F$6:F$40,J70,'资负表（已审）-旧'!H$6:H$40)</f>
        <v>0</v>
      </c>
      <c r="L70" s="1779">
        <f>SUMIF('资负表（已审）-旧'!F$6:F$40,J70,'资负表（已审）-旧'!I$6:I$40)</f>
        <v>0</v>
      </c>
      <c r="M70" s="1779">
        <f>SUMIF('资负表（已审）-新'!F$6:F$40,J70,'资负表（已审）-新'!H$6:H$40)</f>
        <v>0</v>
      </c>
      <c r="N70" s="1779">
        <f>SUMIF('资负表（已审）-新'!F$6:F$40,J70,'资负表（已审）-新'!I$6:I$40)</f>
        <v>0</v>
      </c>
      <c r="O70" s="1779">
        <f t="shared" si="29"/>
        <v>0</v>
      </c>
      <c r="P70" s="1779">
        <f t="shared" si="29"/>
        <v>0</v>
      </c>
      <c r="Q70" s="1780" t="s">
        <v>343</v>
      </c>
    </row>
    <row r="71" s="1746" customFormat="1" ht="15" customHeight="1" spans="1:17">
      <c r="A71" s="1774" t="str">
        <f>分类汇总!B47</f>
        <v>交易性金融负债</v>
      </c>
      <c r="B71" s="1781" t="s">
        <v>345</v>
      </c>
      <c r="C71" s="1776"/>
      <c r="D71" s="1776"/>
      <c r="E71" s="1776"/>
      <c r="F71" s="1776"/>
      <c r="G71" s="1777">
        <f t="shared" si="27"/>
        <v>0</v>
      </c>
      <c r="H71" s="1777">
        <f t="shared" si="27"/>
        <v>0</v>
      </c>
      <c r="I71" s="1747"/>
      <c r="J71" s="1778" t="str">
        <f t="shared" si="28"/>
        <v>交易性金融负债</v>
      </c>
      <c r="K71" s="1779">
        <f>SUMIF('资负表（已审）-旧'!F$6:F$40,J71,'资负表（已审）-旧'!H$6:H$40)</f>
        <v>0</v>
      </c>
      <c r="L71" s="1779">
        <f>SUMIF('资负表（已审）-旧'!F$6:F$40,J71,'资负表（已审）-旧'!I$6:I$40)</f>
        <v>0</v>
      </c>
      <c r="M71" s="1779">
        <f>SUMIF('资负表（已审）-新'!F$6:F$40,J71,'资负表（已审）-新'!H$6:H$40)</f>
        <v>0</v>
      </c>
      <c r="N71" s="1779">
        <f>SUMIF('资负表（已审）-新'!F$6:F$40,J71,'资负表（已审）-新'!I$6:I$40)</f>
        <v>0</v>
      </c>
      <c r="O71" s="1779">
        <f t="shared" si="29"/>
        <v>0</v>
      </c>
      <c r="P71" s="1779">
        <f t="shared" si="29"/>
        <v>0</v>
      </c>
      <c r="Q71" s="1780" t="s">
        <v>343</v>
      </c>
    </row>
    <row r="72" s="1746" customFormat="1" ht="15" customHeight="1" spans="1:17">
      <c r="A72" s="1774" t="str">
        <f>分类汇总!B48</f>
        <v>衍生金融负债</v>
      </c>
      <c r="B72" s="1781" t="s">
        <v>341</v>
      </c>
      <c r="C72" s="1776"/>
      <c r="D72" s="1776"/>
      <c r="E72" s="1776"/>
      <c r="F72" s="1776"/>
      <c r="G72" s="1777">
        <f t="shared" si="27"/>
        <v>0</v>
      </c>
      <c r="H72" s="1777">
        <f t="shared" si="27"/>
        <v>0</v>
      </c>
      <c r="I72" s="1747"/>
      <c r="J72" s="1778" t="str">
        <f t="shared" si="28"/>
        <v>衍生金融负债</v>
      </c>
      <c r="K72" s="1779">
        <f>SUMIF('资负表（已审）-旧'!F$6:F$40,J72,'资负表（已审）-旧'!H$6:H$40)</f>
        <v>0</v>
      </c>
      <c r="L72" s="1779">
        <f>SUMIF('资负表（已审）-旧'!F$6:F$40,J72,'资负表（已审）-旧'!I$6:I$40)</f>
        <v>0</v>
      </c>
      <c r="M72" s="1779">
        <f>SUMIF('资负表（已审）-新'!F$6:F$40,J72,'资负表（已审）-新'!H$6:H$40)</f>
        <v>0</v>
      </c>
      <c r="N72" s="1779">
        <f>SUMIF('资负表（已审）-新'!F$6:F$40,J72,'资负表（已审）-新'!I$6:I$40)</f>
        <v>0</v>
      </c>
      <c r="O72" s="1779">
        <f t="shared" si="29"/>
        <v>0</v>
      </c>
      <c r="P72" s="1779">
        <f t="shared" si="29"/>
        <v>0</v>
      </c>
      <c r="Q72" s="1780" t="s">
        <v>343</v>
      </c>
    </row>
    <row r="73" s="1746" customFormat="1" ht="15" customHeight="1" spans="1:17">
      <c r="A73" s="1774" t="str">
        <f>分类汇总!B49</f>
        <v>应付票据</v>
      </c>
      <c r="B73" s="1781" t="s">
        <v>341</v>
      </c>
      <c r="C73" s="1776"/>
      <c r="D73" s="1776"/>
      <c r="E73" s="1776"/>
      <c r="F73" s="1776"/>
      <c r="G73" s="1777">
        <f t="shared" si="27"/>
        <v>0</v>
      </c>
      <c r="H73" s="1777">
        <f t="shared" si="27"/>
        <v>0</v>
      </c>
      <c r="I73" s="1747"/>
      <c r="J73" s="1778" t="str">
        <f t="shared" si="28"/>
        <v>应付票据</v>
      </c>
      <c r="K73" s="1779">
        <f>SUMIF('资负表（已审）-旧'!F$6:F$40,J73,'资负表（已审）-旧'!H$6:H$40)</f>
        <v>0</v>
      </c>
      <c r="L73" s="1779">
        <f>SUMIF('资负表（已审）-旧'!F$6:F$40,J73,'资负表（已审）-旧'!I$6:I$40)</f>
        <v>0</v>
      </c>
      <c r="M73" s="1779">
        <f>SUMIF('资负表（已审）-新'!F$6:F$40,J73,'资负表（已审）-新'!H$6:H$40)</f>
        <v>0</v>
      </c>
      <c r="N73" s="1779">
        <f>SUMIF('资负表（已审）-新'!F$6:F$40,J73,'资负表（已审）-新'!I$6:I$40)</f>
        <v>0</v>
      </c>
      <c r="O73" s="1779">
        <f t="shared" si="29"/>
        <v>0</v>
      </c>
      <c r="P73" s="1779">
        <f t="shared" si="29"/>
        <v>0</v>
      </c>
      <c r="Q73" s="1780" t="s">
        <v>343</v>
      </c>
    </row>
    <row r="74" s="1746" customFormat="1" ht="15" customHeight="1" spans="1:17">
      <c r="A74" s="1774" t="str">
        <f>分类汇总!B50</f>
        <v>应付账款</v>
      </c>
      <c r="B74" s="1781" t="s">
        <v>341</v>
      </c>
      <c r="C74" s="1776"/>
      <c r="D74" s="1776"/>
      <c r="E74" s="1776"/>
      <c r="F74" s="1776"/>
      <c r="G74" s="1777">
        <f t="shared" si="27"/>
        <v>0</v>
      </c>
      <c r="H74" s="1777">
        <f t="shared" si="27"/>
        <v>0</v>
      </c>
      <c r="I74" s="1747"/>
      <c r="J74" s="1778" t="str">
        <f t="shared" si="28"/>
        <v>应付账款</v>
      </c>
      <c r="K74" s="1779">
        <f>SUMIF('资负表（已审）-旧'!F$6:F$40,J74,'资负表（已审）-旧'!H$6:H$40)</f>
        <v>0</v>
      </c>
      <c r="L74" s="1779">
        <f>SUMIF('资负表（已审）-旧'!F$6:F$40,J74,'资负表（已审）-旧'!I$6:I$40)</f>
        <v>0</v>
      </c>
      <c r="M74" s="1779">
        <f>SUMIF('资负表（已审）-新'!F$6:F$40,J74,'资负表（已审）-新'!H$6:H$40)</f>
        <v>0</v>
      </c>
      <c r="N74" s="1779">
        <f>SUMIF('资负表（已审）-新'!F$6:F$40,J74,'资负表（已审）-新'!I$6:I$40)</f>
        <v>0</v>
      </c>
      <c r="O74" s="1779">
        <f t="shared" si="29"/>
        <v>0</v>
      </c>
      <c r="P74" s="1779">
        <f t="shared" si="29"/>
        <v>0</v>
      </c>
      <c r="Q74" s="1780" t="s">
        <v>343</v>
      </c>
    </row>
    <row r="75" s="1746" customFormat="1" ht="15" customHeight="1" spans="1:17">
      <c r="A75" s="1774" t="str">
        <f>分类汇总!B51</f>
        <v>预收款项</v>
      </c>
      <c r="B75" s="1781" t="s">
        <v>341</v>
      </c>
      <c r="C75" s="1776"/>
      <c r="D75" s="1776"/>
      <c r="E75" s="1776"/>
      <c r="F75" s="1776"/>
      <c r="G75" s="1777">
        <f t="shared" si="27"/>
        <v>0</v>
      </c>
      <c r="H75" s="1777">
        <f t="shared" si="27"/>
        <v>0</v>
      </c>
      <c r="I75" s="1747"/>
      <c r="J75" s="1778" t="str">
        <f t="shared" si="28"/>
        <v>预收款项</v>
      </c>
      <c r="K75" s="1779">
        <f>SUMIF('资负表（已审）-旧'!F$6:F$40,J75,'资负表（已审）-旧'!H$6:H$40)</f>
        <v>0</v>
      </c>
      <c r="L75" s="1779">
        <f>SUMIF('资负表（已审）-旧'!F$6:F$40,J75,'资负表（已审）-旧'!I$6:I$40)</f>
        <v>0</v>
      </c>
      <c r="M75" s="1779">
        <f>SUMIF('资负表（已审）-新'!F$6:F$40,J75,'资负表（已审）-新'!H$6:H$40)</f>
        <v>0</v>
      </c>
      <c r="N75" s="1779">
        <f>SUMIF('资负表（已审）-新'!F$6:F$40,J75,'资负表（已审）-新'!I$6:I$40)</f>
        <v>0</v>
      </c>
      <c r="O75" s="1779">
        <f t="shared" si="29"/>
        <v>0</v>
      </c>
      <c r="P75" s="1779">
        <f t="shared" si="29"/>
        <v>0</v>
      </c>
      <c r="Q75" s="1780" t="s">
        <v>343</v>
      </c>
    </row>
    <row r="76" s="1746" customFormat="1" ht="15" customHeight="1" spans="1:17">
      <c r="A76" s="1774" t="str">
        <f>分类汇总!B52</f>
        <v>合同负债</v>
      </c>
      <c r="B76" s="1781" t="s">
        <v>345</v>
      </c>
      <c r="C76" s="1776"/>
      <c r="D76" s="1776"/>
      <c r="E76" s="1776"/>
      <c r="F76" s="1776"/>
      <c r="G76" s="1777">
        <f t="shared" si="27"/>
        <v>0</v>
      </c>
      <c r="H76" s="1777">
        <f t="shared" si="27"/>
        <v>0</v>
      </c>
      <c r="I76" s="1747"/>
      <c r="J76" s="1778" t="str">
        <f t="shared" si="28"/>
        <v>合同负债</v>
      </c>
      <c r="K76" s="1779">
        <f>SUMIF('资负表（已审）-旧'!F$6:F$40,J76,'资负表（已审）-旧'!H$6:H$40)</f>
        <v>0</v>
      </c>
      <c r="L76" s="1779">
        <f>SUMIF('资负表（已审）-旧'!F$6:F$40,J76,'资负表（已审）-旧'!I$6:I$40)</f>
        <v>0</v>
      </c>
      <c r="M76" s="1779">
        <f>SUMIF('资负表（已审）-新'!F$6:F$40,J76,'资负表（已审）-新'!H$6:H$40)</f>
        <v>0</v>
      </c>
      <c r="N76" s="1779">
        <f>SUMIF('资负表（已审）-新'!F$6:F$40,J76,'资负表（已审）-新'!I$6:I$40)</f>
        <v>0</v>
      </c>
      <c r="O76" s="1779">
        <f t="shared" si="29"/>
        <v>0</v>
      </c>
      <c r="P76" s="1779">
        <f t="shared" si="29"/>
        <v>0</v>
      </c>
      <c r="Q76" s="1780" t="s">
        <v>343</v>
      </c>
    </row>
    <row r="77" s="1746" customFormat="1" ht="15" customHeight="1" spans="1:17">
      <c r="A77" s="1774" t="str">
        <f>分类汇总!B53</f>
        <v>应付职工薪酬</v>
      </c>
      <c r="B77" s="1781" t="s">
        <v>341</v>
      </c>
      <c r="C77" s="1776"/>
      <c r="D77" s="1776"/>
      <c r="E77" s="1776"/>
      <c r="F77" s="1776"/>
      <c r="G77" s="1777">
        <f t="shared" si="27"/>
        <v>0</v>
      </c>
      <c r="H77" s="1777">
        <f t="shared" si="27"/>
        <v>0</v>
      </c>
      <c r="I77" s="1747"/>
      <c r="J77" s="1778" t="str">
        <f t="shared" si="28"/>
        <v>应付职工薪酬</v>
      </c>
      <c r="K77" s="1779">
        <f>SUMIF('资负表（已审）-旧'!F$6:F$40,J77,'资负表（已审）-旧'!H$6:H$40)</f>
        <v>0</v>
      </c>
      <c r="L77" s="1779">
        <f>SUMIF('资负表（已审）-旧'!F$6:F$40,J77,'资负表（已审）-旧'!I$6:I$40)</f>
        <v>0</v>
      </c>
      <c r="M77" s="1779">
        <f>SUMIF('资负表（已审）-新'!F$6:F$40,J77,'资负表（已审）-新'!H$6:H$40)</f>
        <v>0</v>
      </c>
      <c r="N77" s="1779">
        <f>SUMIF('资负表（已审）-新'!F$6:F$40,J77,'资负表（已审）-新'!I$6:I$40)</f>
        <v>0</v>
      </c>
      <c r="O77" s="1779">
        <f t="shared" si="29"/>
        <v>0</v>
      </c>
      <c r="P77" s="1779">
        <f t="shared" si="29"/>
        <v>0</v>
      </c>
      <c r="Q77" s="1780" t="s">
        <v>343</v>
      </c>
    </row>
    <row r="78" s="1746" customFormat="1" ht="15" customHeight="1" spans="1:17">
      <c r="A78" s="1774" t="str">
        <f>分类汇总!B54</f>
        <v>应交税费</v>
      </c>
      <c r="B78" s="1781" t="s">
        <v>341</v>
      </c>
      <c r="C78" s="1776"/>
      <c r="D78" s="1776"/>
      <c r="E78" s="1776"/>
      <c r="F78" s="1776"/>
      <c r="G78" s="1777">
        <f t="shared" si="27"/>
        <v>0</v>
      </c>
      <c r="H78" s="1777">
        <f t="shared" si="27"/>
        <v>0</v>
      </c>
      <c r="I78" s="1747"/>
      <c r="J78" s="1778" t="str">
        <f t="shared" si="28"/>
        <v>应交税费</v>
      </c>
      <c r="K78" s="1779">
        <f>SUMIF('资负表（已审）-旧'!F$6:F$40,J78,'资负表（已审）-旧'!H$6:H$40)</f>
        <v>0</v>
      </c>
      <c r="L78" s="1779">
        <f>SUMIF('资负表（已审）-旧'!F$6:F$40,J78,'资负表（已审）-旧'!I$6:I$40)</f>
        <v>0</v>
      </c>
      <c r="M78" s="1779">
        <f>SUMIF('资负表（已审）-新'!F$6:F$40,J78,'资负表（已审）-新'!H$6:H$40)</f>
        <v>0</v>
      </c>
      <c r="N78" s="1779">
        <f>SUMIF('资负表（已审）-新'!F$6:F$40,J78,'资负表（已审）-新'!I$6:I$40)</f>
        <v>0</v>
      </c>
      <c r="O78" s="1779">
        <f t="shared" si="29"/>
        <v>0</v>
      </c>
      <c r="P78" s="1779">
        <f t="shared" si="29"/>
        <v>0</v>
      </c>
      <c r="Q78" s="1780" t="s">
        <v>343</v>
      </c>
    </row>
    <row r="79" s="1746" customFormat="1" ht="15" customHeight="1" spans="1:17">
      <c r="A79" s="1774" t="str">
        <f>分类汇总!B55</f>
        <v>其他应付款</v>
      </c>
      <c r="B79" s="1781" t="s">
        <v>341</v>
      </c>
      <c r="C79" s="1790">
        <f>SUM(C80:C82)</f>
        <v>0</v>
      </c>
      <c r="D79" s="1790">
        <f>SUM(D80:D82)</f>
        <v>0</v>
      </c>
      <c r="E79" s="1790">
        <f>SUM(E80:E82)</f>
        <v>0</v>
      </c>
      <c r="F79" s="1790">
        <f>SUM(F80:F82)</f>
        <v>0</v>
      </c>
      <c r="G79" s="1790">
        <f>IF(SUM(G80:G82)&gt;0,SUM(G80:G82),O79/10000)</f>
        <v>0</v>
      </c>
      <c r="H79" s="1790">
        <f>IF(SUM(H80:H82)&gt;0,SUM(H80:H82),P79/10000)</f>
        <v>0</v>
      </c>
      <c r="I79" s="1747"/>
      <c r="J79" s="1778" t="str">
        <f t="shared" si="28"/>
        <v>其他应付款</v>
      </c>
      <c r="K79" s="1779">
        <f>SUMIF('资负表（已审）-旧'!F$6:F$40,J79,'资负表（已审）-旧'!H$6:H$40)</f>
        <v>0</v>
      </c>
      <c r="L79" s="1779">
        <f>SUMIF('资负表（已审）-旧'!F$6:F$40,J79,'资负表（已审）-旧'!I$6:I$40)</f>
        <v>0</v>
      </c>
      <c r="M79" s="1779">
        <f>SUMIF('资负表（已审）-新'!F$6:F$40,J79,'资负表（已审）-新'!H$6:H$40)</f>
        <v>0</v>
      </c>
      <c r="N79" s="1779">
        <f>SUMIF('资负表（已审）-新'!F$6:F$40,J79,'资负表（已审）-新'!I$6:I$40)</f>
        <v>0</v>
      </c>
      <c r="O79" s="1779">
        <f t="shared" si="29"/>
        <v>0</v>
      </c>
      <c r="P79" s="1779">
        <f t="shared" si="29"/>
        <v>0</v>
      </c>
      <c r="Q79" s="1780" t="s">
        <v>343</v>
      </c>
    </row>
    <row r="80" s="1746" customFormat="1" ht="15" customHeight="1" spans="1:17">
      <c r="A80" s="1774" t="s">
        <v>369</v>
      </c>
      <c r="B80" s="1781" t="s">
        <v>341</v>
      </c>
      <c r="C80" s="1776"/>
      <c r="D80" s="1776"/>
      <c r="E80" s="1776"/>
      <c r="F80" s="1776"/>
      <c r="G80" s="1776"/>
      <c r="H80" s="1777">
        <f>其他应付总!D7/10000</f>
        <v>0</v>
      </c>
      <c r="I80" s="1747"/>
      <c r="J80" s="1782"/>
      <c r="K80" s="1779" t="s">
        <v>347</v>
      </c>
      <c r="L80" s="1779" t="s">
        <v>347</v>
      </c>
      <c r="M80" s="1779" t="s">
        <v>347</v>
      </c>
      <c r="N80" s="1779" t="s">
        <v>347</v>
      </c>
      <c r="O80" s="1779" t="str">
        <f t="shared" si="29"/>
        <v/>
      </c>
      <c r="P80" s="1779" t="str">
        <f t="shared" si="29"/>
        <v/>
      </c>
      <c r="Q80" s="1747"/>
    </row>
    <row r="81" s="1746" customFormat="1" ht="15" customHeight="1" spans="1:17">
      <c r="A81" s="1784" t="s">
        <v>370</v>
      </c>
      <c r="B81" s="1781" t="s">
        <v>341</v>
      </c>
      <c r="C81" s="1776"/>
      <c r="D81" s="1776"/>
      <c r="E81" s="1776"/>
      <c r="F81" s="1776"/>
      <c r="G81" s="1776"/>
      <c r="H81" s="1777">
        <f>其他应付总!D8/10000</f>
        <v>0</v>
      </c>
      <c r="I81" s="1747"/>
      <c r="J81" s="1782"/>
      <c r="K81" s="1779" t="s">
        <v>347</v>
      </c>
      <c r="L81" s="1779" t="s">
        <v>347</v>
      </c>
      <c r="M81" s="1779" t="s">
        <v>347</v>
      </c>
      <c r="N81" s="1779" t="s">
        <v>347</v>
      </c>
      <c r="O81" s="1779" t="str">
        <f t="shared" si="29"/>
        <v/>
      </c>
      <c r="P81" s="1779" t="str">
        <f t="shared" si="29"/>
        <v/>
      </c>
      <c r="Q81" s="1747"/>
    </row>
    <row r="82" s="1746" customFormat="1" ht="15" customHeight="1" spans="1:17">
      <c r="A82" s="1784" t="s">
        <v>371</v>
      </c>
      <c r="B82" s="1781" t="s">
        <v>341</v>
      </c>
      <c r="C82" s="1776"/>
      <c r="D82" s="1776"/>
      <c r="E82" s="1776"/>
      <c r="F82" s="1776"/>
      <c r="G82" s="1776"/>
      <c r="H82" s="1777">
        <f>其他应付总!D9/10000</f>
        <v>0</v>
      </c>
      <c r="I82" s="1747"/>
      <c r="J82" s="1782"/>
      <c r="K82" s="1779" t="s">
        <v>347</v>
      </c>
      <c r="L82" s="1779" t="s">
        <v>347</v>
      </c>
      <c r="M82" s="1779" t="s">
        <v>347</v>
      </c>
      <c r="N82" s="1779" t="s">
        <v>347</v>
      </c>
      <c r="O82" s="1779" t="str">
        <f t="shared" si="29"/>
        <v/>
      </c>
      <c r="P82" s="1779" t="str">
        <f t="shared" si="29"/>
        <v/>
      </c>
      <c r="Q82" s="1747"/>
    </row>
    <row r="83" s="1746" customFormat="1" ht="15" customHeight="1" spans="1:17">
      <c r="A83" s="1774" t="str">
        <f>分类汇总!B56</f>
        <v>持有待售负债</v>
      </c>
      <c r="B83" s="1781" t="s">
        <v>341</v>
      </c>
      <c r="C83" s="1776"/>
      <c r="D83" s="1776"/>
      <c r="E83" s="1776"/>
      <c r="F83" s="1776"/>
      <c r="G83" s="1777">
        <f t="shared" ref="G83:H85" si="30">O83/10000</f>
        <v>0</v>
      </c>
      <c r="H83" s="1777">
        <f t="shared" si="30"/>
        <v>0</v>
      </c>
      <c r="I83" s="1747"/>
      <c r="J83" s="1778" t="str">
        <f t="shared" ref="J83:J85" si="31">A83</f>
        <v>持有待售负债</v>
      </c>
      <c r="K83" s="1779">
        <f>SUMIF('资负表（已审）-旧'!F$6:F$40,J83,'资负表（已审）-旧'!H$6:H$40)</f>
        <v>0</v>
      </c>
      <c r="L83" s="1779">
        <f>SUMIF('资负表（已审）-旧'!F$6:F$40,J83,'资负表（已审）-旧'!I$6:I$40)</f>
        <v>0</v>
      </c>
      <c r="M83" s="1779">
        <f>SUMIF('资负表（已审）-新'!F$6:F$40,J83,'资负表（已审）-新'!H$6:H$40)</f>
        <v>0</v>
      </c>
      <c r="N83" s="1779">
        <f>SUMIF('资负表（已审）-新'!F$6:F$40,J83,'资负表（已审）-新'!I$6:I$40)</f>
        <v>0</v>
      </c>
      <c r="O83" s="1779">
        <f t="shared" si="29"/>
        <v>0</v>
      </c>
      <c r="P83" s="1779">
        <f t="shared" si="29"/>
        <v>0</v>
      </c>
      <c r="Q83" s="1780" t="s">
        <v>343</v>
      </c>
    </row>
    <row r="84" s="1746" customFormat="1" ht="15" customHeight="1" spans="1:17">
      <c r="A84" s="1774" t="str">
        <f>分类汇总!B57</f>
        <v>一年内到期的非流动负债</v>
      </c>
      <c r="B84" s="1781" t="s">
        <v>341</v>
      </c>
      <c r="C84" s="1776"/>
      <c r="D84" s="1776"/>
      <c r="E84" s="1776"/>
      <c r="F84" s="1776"/>
      <c r="G84" s="1777">
        <f t="shared" si="30"/>
        <v>0</v>
      </c>
      <c r="H84" s="1777">
        <f t="shared" si="30"/>
        <v>0</v>
      </c>
      <c r="I84" s="1747"/>
      <c r="J84" s="1778" t="str">
        <f t="shared" si="31"/>
        <v>一年内到期的非流动负债</v>
      </c>
      <c r="K84" s="1779">
        <f>SUMIF('资负表（已审）-旧'!F$6:F$40,J84,'资负表（已审）-旧'!H$6:H$40)</f>
        <v>0</v>
      </c>
      <c r="L84" s="1779">
        <f>SUMIF('资负表（已审）-旧'!F$6:F$40,J84,'资负表（已审）-旧'!I$6:I$40)</f>
        <v>0</v>
      </c>
      <c r="M84" s="1779">
        <f>SUMIF('资负表（已审）-新'!F$6:F$40,J84,'资负表（已审）-新'!H$6:H$40)</f>
        <v>0</v>
      </c>
      <c r="N84" s="1779">
        <f>SUMIF('资负表（已审）-新'!F$6:F$40,J84,'资负表（已审）-新'!I$6:I$40)</f>
        <v>0</v>
      </c>
      <c r="O84" s="1779">
        <f t="shared" si="29"/>
        <v>0</v>
      </c>
      <c r="P84" s="1779">
        <f t="shared" si="29"/>
        <v>0</v>
      </c>
      <c r="Q84" s="1780" t="s">
        <v>343</v>
      </c>
    </row>
    <row r="85" s="1746" customFormat="1" ht="15" customHeight="1" spans="1:17">
      <c r="A85" s="1774" t="str">
        <f>分类汇总!B58</f>
        <v>其他流动负债</v>
      </c>
      <c r="B85" s="1781" t="s">
        <v>341</v>
      </c>
      <c r="C85" s="1776"/>
      <c r="D85" s="1776"/>
      <c r="E85" s="1776"/>
      <c r="F85" s="1776"/>
      <c r="G85" s="1777">
        <f t="shared" si="30"/>
        <v>0</v>
      </c>
      <c r="H85" s="1777">
        <f t="shared" si="30"/>
        <v>0</v>
      </c>
      <c r="I85" s="1747"/>
      <c r="J85" s="1778" t="str">
        <f t="shared" si="31"/>
        <v>其他流动负债</v>
      </c>
      <c r="K85" s="1779">
        <f>SUMIF('资负表（已审）-旧'!F$6:F$40,J85,'资负表（已审）-旧'!H$6:H$40)</f>
        <v>0</v>
      </c>
      <c r="L85" s="1779">
        <f>SUMIF('资负表（已审）-旧'!F$6:F$40,J85,'资负表（已审）-旧'!I$6:I$40)</f>
        <v>0</v>
      </c>
      <c r="M85" s="1779">
        <f>SUMIF('资负表（已审）-新'!F$6:F$40,J85,'资负表（已审）-新'!H$6:H$40)</f>
        <v>0</v>
      </c>
      <c r="N85" s="1779">
        <f>SUMIF('资负表（已审）-新'!F$6:F$40,J85,'资负表（已审）-新'!I$6:I$40)</f>
        <v>0</v>
      </c>
      <c r="O85" s="1779">
        <f t="shared" si="29"/>
        <v>0</v>
      </c>
      <c r="P85" s="1779">
        <f t="shared" si="29"/>
        <v>0</v>
      </c>
      <c r="Q85" s="1780" t="s">
        <v>343</v>
      </c>
    </row>
    <row r="86" s="1749" customFormat="1" ht="15" customHeight="1" spans="1:17">
      <c r="A86" s="1785" t="s">
        <v>372</v>
      </c>
      <c r="B86" s="1786" t="s">
        <v>341</v>
      </c>
      <c r="C86" s="1770">
        <f t="shared" ref="C86:H86" si="32">SUM(C87:C94)</f>
        <v>0</v>
      </c>
      <c r="D86" s="1770">
        <f t="shared" si="32"/>
        <v>0</v>
      </c>
      <c r="E86" s="1770">
        <f t="shared" si="32"/>
        <v>0</v>
      </c>
      <c r="F86" s="1770">
        <f t="shared" si="32"/>
        <v>0</v>
      </c>
      <c r="G86" s="1770">
        <f t="shared" si="32"/>
        <v>0</v>
      </c>
      <c r="H86" s="1770">
        <f t="shared" si="32"/>
        <v>0</v>
      </c>
      <c r="I86" s="1771"/>
      <c r="J86" s="1787" t="s">
        <v>373</v>
      </c>
      <c r="K86" s="1773">
        <f t="shared" ref="K86:P86" si="33">SUM(K87:K94)</f>
        <v>0</v>
      </c>
      <c r="L86" s="1773">
        <f t="shared" si="33"/>
        <v>0</v>
      </c>
      <c r="M86" s="1773">
        <f t="shared" si="33"/>
        <v>0</v>
      </c>
      <c r="N86" s="1773">
        <f t="shared" si="33"/>
        <v>0</v>
      </c>
      <c r="O86" s="1773">
        <f t="shared" si="33"/>
        <v>0</v>
      </c>
      <c r="P86" s="1773">
        <f t="shared" si="33"/>
        <v>0</v>
      </c>
      <c r="Q86" s="1771"/>
    </row>
    <row r="87" s="1746" customFormat="1" ht="15" customHeight="1" spans="1:17">
      <c r="A87" s="1774" t="str">
        <f>分类汇总!B60</f>
        <v>长期借款</v>
      </c>
      <c r="B87" s="1781" t="s">
        <v>341</v>
      </c>
      <c r="C87" s="1776"/>
      <c r="D87" s="1776"/>
      <c r="E87" s="1776"/>
      <c r="F87" s="1776"/>
      <c r="G87" s="1777">
        <f t="shared" ref="G87:H94" si="34">O87/10000</f>
        <v>0</v>
      </c>
      <c r="H87" s="1777">
        <f t="shared" si="34"/>
        <v>0</v>
      </c>
      <c r="I87" s="1747"/>
      <c r="J87" s="1778" t="str">
        <f t="shared" ref="J87:J94" si="35">A87</f>
        <v>长期借款</v>
      </c>
      <c r="K87" s="1779">
        <f>SUMIF('资负表（已审）-旧'!F$6:F$40,J87,'资负表（已审）-旧'!H$6:H$40)</f>
        <v>0</v>
      </c>
      <c r="L87" s="1779">
        <f>SUMIF('资负表（已审）-旧'!F$6:F$40,J87,'资负表（已审）-旧'!I$6:I$40)</f>
        <v>0</v>
      </c>
      <c r="M87" s="1779">
        <f>SUMIF('资负表（已审）-新'!F$6:F$40,J87,'资负表（已审）-新'!H$6:H$40)</f>
        <v>0</v>
      </c>
      <c r="N87" s="1779">
        <f>SUMIF('资负表（已审）-新'!F$6:F$40,J87,'资负表（已审）-新'!I$6:I$40)</f>
        <v>0</v>
      </c>
      <c r="O87" s="1779">
        <f t="shared" ref="O87:P94" si="36">IF($J87="","",K87+M87)</f>
        <v>0</v>
      </c>
      <c r="P87" s="1779">
        <f t="shared" si="36"/>
        <v>0</v>
      </c>
      <c r="Q87" s="1780" t="s">
        <v>343</v>
      </c>
    </row>
    <row r="88" s="1746" customFormat="1" ht="15" customHeight="1" spans="1:17">
      <c r="A88" s="1774" t="str">
        <f>分类汇总!B61</f>
        <v>应付债券</v>
      </c>
      <c r="B88" s="1781" t="s">
        <v>341</v>
      </c>
      <c r="C88" s="1776"/>
      <c r="D88" s="1776"/>
      <c r="E88" s="1776"/>
      <c r="F88" s="1776"/>
      <c r="G88" s="1777">
        <f t="shared" si="34"/>
        <v>0</v>
      </c>
      <c r="H88" s="1777">
        <f t="shared" si="34"/>
        <v>0</v>
      </c>
      <c r="I88" s="1747"/>
      <c r="J88" s="1778" t="str">
        <f t="shared" si="35"/>
        <v>应付债券</v>
      </c>
      <c r="K88" s="1779">
        <f>SUMIF('资负表（已审）-旧'!F$6:F$40,J88,'资负表（已审）-旧'!H$6:H$40)</f>
        <v>0</v>
      </c>
      <c r="L88" s="1779">
        <f>SUMIF('资负表（已审）-旧'!F$6:F$40,J88,'资负表（已审）-旧'!I$6:I$40)</f>
        <v>0</v>
      </c>
      <c r="M88" s="1779">
        <f>SUMIF('资负表（已审）-新'!F$6:F$40,J88,'资负表（已审）-新'!H$6:H$40)</f>
        <v>0</v>
      </c>
      <c r="N88" s="1779">
        <f>SUMIF('资负表（已审）-新'!F$6:F$40,J88,'资负表（已审）-新'!I$6:I$40)</f>
        <v>0</v>
      </c>
      <c r="O88" s="1779">
        <f t="shared" si="36"/>
        <v>0</v>
      </c>
      <c r="P88" s="1779">
        <f t="shared" si="36"/>
        <v>0</v>
      </c>
      <c r="Q88" s="1780" t="s">
        <v>343</v>
      </c>
    </row>
    <row r="89" s="1746" customFormat="1" ht="15" customHeight="1" spans="1:17">
      <c r="A89" s="1774" t="str">
        <f>分类汇总!B62</f>
        <v>租赁负债</v>
      </c>
      <c r="B89" s="1781" t="s">
        <v>345</v>
      </c>
      <c r="C89" s="1776"/>
      <c r="D89" s="1776"/>
      <c r="E89" s="1776"/>
      <c r="F89" s="1776"/>
      <c r="G89" s="1777">
        <f t="shared" si="34"/>
        <v>0</v>
      </c>
      <c r="H89" s="1777">
        <f t="shared" si="34"/>
        <v>0</v>
      </c>
      <c r="I89" s="1747"/>
      <c r="J89" s="1778" t="str">
        <f t="shared" si="35"/>
        <v>租赁负债</v>
      </c>
      <c r="K89" s="1779">
        <f>SUMIF('资负表（已审）-旧'!F$6:F$40,J89,'资负表（已审）-旧'!H$6:H$40)</f>
        <v>0</v>
      </c>
      <c r="L89" s="1779">
        <f>SUMIF('资负表（已审）-旧'!F$6:F$40,J89,'资负表（已审）-旧'!I$6:I$40)</f>
        <v>0</v>
      </c>
      <c r="M89" s="1779">
        <f>SUMIF('资负表（已审）-新'!F$6:F$40,J89,'资负表（已审）-新'!H$6:H$40)</f>
        <v>0</v>
      </c>
      <c r="N89" s="1779">
        <f>SUMIF('资负表（已审）-新'!F$6:F$40,J89,'资负表（已审）-新'!I$6:I$40)</f>
        <v>0</v>
      </c>
      <c r="O89" s="1779">
        <f t="shared" si="36"/>
        <v>0</v>
      </c>
      <c r="P89" s="1779">
        <f t="shared" si="36"/>
        <v>0</v>
      </c>
      <c r="Q89" s="1780" t="s">
        <v>343</v>
      </c>
    </row>
    <row r="90" s="1746" customFormat="1" ht="15" customHeight="1" spans="1:17">
      <c r="A90" s="1774" t="str">
        <f>分类汇总!B63</f>
        <v>长期应付款</v>
      </c>
      <c r="B90" s="1781" t="s">
        <v>341</v>
      </c>
      <c r="C90" s="1776"/>
      <c r="D90" s="1776"/>
      <c r="E90" s="1776"/>
      <c r="F90" s="1776"/>
      <c r="G90" s="1777">
        <f t="shared" si="34"/>
        <v>0</v>
      </c>
      <c r="H90" s="1777">
        <f t="shared" si="34"/>
        <v>0</v>
      </c>
      <c r="I90" s="1747"/>
      <c r="J90" s="1778" t="str">
        <f t="shared" si="35"/>
        <v>长期应付款</v>
      </c>
      <c r="K90" s="1779">
        <f>SUMIF('资负表（已审）-旧'!F$6:F$40,J90,'资负表（已审）-旧'!H$6:H$40)</f>
        <v>0</v>
      </c>
      <c r="L90" s="1779">
        <f>SUMIF('资负表（已审）-旧'!F$6:F$40,J90,'资负表（已审）-旧'!I$6:I$40)</f>
        <v>0</v>
      </c>
      <c r="M90" s="1779">
        <f>SUMIF('资负表（已审）-新'!F$6:F$40,J90,'资负表（已审）-新'!H$6:H$40)</f>
        <v>0</v>
      </c>
      <c r="N90" s="1779">
        <f>SUMIF('资负表（已审）-新'!F$6:F$40,J90,'资负表（已审）-新'!I$6:I$40)</f>
        <v>0</v>
      </c>
      <c r="O90" s="1779">
        <f t="shared" si="36"/>
        <v>0</v>
      </c>
      <c r="P90" s="1779">
        <f t="shared" si="36"/>
        <v>0</v>
      </c>
      <c r="Q90" s="1780" t="s">
        <v>343</v>
      </c>
    </row>
    <row r="91" s="1746" customFormat="1" ht="15" customHeight="1" spans="1:17">
      <c r="A91" s="1774" t="str">
        <f>分类汇总!B64</f>
        <v>预计负债</v>
      </c>
      <c r="B91" s="1781" t="s">
        <v>341</v>
      </c>
      <c r="C91" s="1776"/>
      <c r="D91" s="1776"/>
      <c r="E91" s="1776"/>
      <c r="F91" s="1776"/>
      <c r="G91" s="1777">
        <f t="shared" si="34"/>
        <v>0</v>
      </c>
      <c r="H91" s="1777">
        <f t="shared" si="34"/>
        <v>0</v>
      </c>
      <c r="I91" s="1747"/>
      <c r="J91" s="1778" t="str">
        <f t="shared" si="35"/>
        <v>预计负债</v>
      </c>
      <c r="K91" s="1779">
        <f>SUMIF('资负表（已审）-旧'!F$6:F$40,J91,'资负表（已审）-旧'!H$6:H$40)</f>
        <v>0</v>
      </c>
      <c r="L91" s="1779">
        <f>SUMIF('资负表（已审）-旧'!F$6:F$40,J91,'资负表（已审）-旧'!I$6:I$40)</f>
        <v>0</v>
      </c>
      <c r="M91" s="1779">
        <f>SUMIF('资负表（已审）-新'!F$6:F$40,J91,'资负表（已审）-新'!H$6:H$40)</f>
        <v>0</v>
      </c>
      <c r="N91" s="1779">
        <f>SUMIF('资负表（已审）-新'!F$6:F$40,J91,'资负表（已审）-新'!I$6:I$40)</f>
        <v>0</v>
      </c>
      <c r="O91" s="1779">
        <f t="shared" si="36"/>
        <v>0</v>
      </c>
      <c r="P91" s="1779">
        <f t="shared" si="36"/>
        <v>0</v>
      </c>
      <c r="Q91" s="1780" t="s">
        <v>343</v>
      </c>
    </row>
    <row r="92" s="1746" customFormat="1" ht="15" customHeight="1" spans="1:17">
      <c r="A92" s="1774" t="str">
        <f>分类汇总!B65</f>
        <v>递延收益</v>
      </c>
      <c r="B92" s="1781" t="s">
        <v>341</v>
      </c>
      <c r="C92" s="1776"/>
      <c r="D92" s="1776"/>
      <c r="E92" s="1776"/>
      <c r="F92" s="1776"/>
      <c r="G92" s="1777">
        <f t="shared" si="34"/>
        <v>0</v>
      </c>
      <c r="H92" s="1777">
        <f t="shared" si="34"/>
        <v>0</v>
      </c>
      <c r="I92" s="1747"/>
      <c r="J92" s="1778" t="str">
        <f t="shared" si="35"/>
        <v>递延收益</v>
      </c>
      <c r="K92" s="1779">
        <f>SUMIF('资负表（已审）-旧'!F$6:F$40,J92,'资负表（已审）-旧'!H$6:H$40)</f>
        <v>0</v>
      </c>
      <c r="L92" s="1779">
        <f>SUMIF('资负表（已审）-旧'!F$6:F$40,J92,'资负表（已审）-旧'!I$6:I$40)</f>
        <v>0</v>
      </c>
      <c r="M92" s="1779">
        <f>SUMIF('资负表（已审）-新'!F$6:F$40,J92,'资负表（已审）-新'!H$6:H$40)</f>
        <v>0</v>
      </c>
      <c r="N92" s="1779">
        <f>SUMIF('资负表（已审）-新'!F$6:F$40,J92,'资负表（已审）-新'!I$6:I$40)</f>
        <v>0</v>
      </c>
      <c r="O92" s="1779">
        <f t="shared" si="36"/>
        <v>0</v>
      </c>
      <c r="P92" s="1779">
        <f t="shared" si="36"/>
        <v>0</v>
      </c>
      <c r="Q92" s="1780" t="s">
        <v>343</v>
      </c>
    </row>
    <row r="93" s="1746" customFormat="1" ht="15" customHeight="1" spans="1:17">
      <c r="A93" s="1774" t="str">
        <f>分类汇总!B66</f>
        <v>递延所得税负债</v>
      </c>
      <c r="B93" s="1781" t="s">
        <v>341</v>
      </c>
      <c r="C93" s="1776"/>
      <c r="D93" s="1776"/>
      <c r="E93" s="1776"/>
      <c r="F93" s="1776"/>
      <c r="G93" s="1777">
        <f t="shared" si="34"/>
        <v>0</v>
      </c>
      <c r="H93" s="1777">
        <f t="shared" si="34"/>
        <v>0</v>
      </c>
      <c r="I93" s="1747"/>
      <c r="J93" s="1778" t="str">
        <f t="shared" si="35"/>
        <v>递延所得税负债</v>
      </c>
      <c r="K93" s="1779">
        <f>SUMIF('资负表（已审）-旧'!F$6:F$40,J93,'资负表（已审）-旧'!H$6:H$40)</f>
        <v>0</v>
      </c>
      <c r="L93" s="1779">
        <f>SUMIF('资负表（已审）-旧'!F$6:F$40,J93,'资负表（已审）-旧'!I$6:I$40)</f>
        <v>0</v>
      </c>
      <c r="M93" s="1779">
        <f>SUMIF('资负表（已审）-新'!F$6:F$40,J93,'资负表（已审）-新'!H$6:H$40)</f>
        <v>0</v>
      </c>
      <c r="N93" s="1779">
        <f>SUMIF('资负表（已审）-新'!F$6:F$40,J93,'资负表（已审）-新'!I$6:I$40)</f>
        <v>0</v>
      </c>
      <c r="O93" s="1779">
        <f t="shared" si="36"/>
        <v>0</v>
      </c>
      <c r="P93" s="1779">
        <f t="shared" si="36"/>
        <v>0</v>
      </c>
      <c r="Q93" s="1780" t="s">
        <v>343</v>
      </c>
    </row>
    <row r="94" s="1746" customFormat="1" ht="15" customHeight="1" spans="1:17">
      <c r="A94" s="1774" t="str">
        <f>分类汇总!B67</f>
        <v>其他非流动负债</v>
      </c>
      <c r="B94" s="1781" t="s">
        <v>341</v>
      </c>
      <c r="C94" s="1776"/>
      <c r="D94" s="1776"/>
      <c r="E94" s="1776"/>
      <c r="F94" s="1776"/>
      <c r="G94" s="1777">
        <f t="shared" si="34"/>
        <v>0</v>
      </c>
      <c r="H94" s="1777">
        <f t="shared" si="34"/>
        <v>0</v>
      </c>
      <c r="I94" s="1747"/>
      <c r="J94" s="1778" t="str">
        <f t="shared" si="35"/>
        <v>其他非流动负债</v>
      </c>
      <c r="K94" s="1779">
        <f>SUMIF('资负表（已审）-旧'!F$6:F$40,J94,'资负表（已审）-旧'!H$6:H$40)</f>
        <v>0</v>
      </c>
      <c r="L94" s="1779">
        <f>SUMIF('资负表（已审）-旧'!F$6:F$40,J94,'资负表（已审）-旧'!I$6:I$40)</f>
        <v>0</v>
      </c>
      <c r="M94" s="1779">
        <f>SUMIF('资负表（已审）-新'!F$6:F$40,J94,'资负表（已审）-新'!H$6:H$40)</f>
        <v>0</v>
      </c>
      <c r="N94" s="1779">
        <f>SUMIF('资负表（已审）-新'!F$6:F$40,J94,'资负表（已审）-新'!I$6:I$40)</f>
        <v>0</v>
      </c>
      <c r="O94" s="1779">
        <f t="shared" si="36"/>
        <v>0</v>
      </c>
      <c r="P94" s="1779">
        <f t="shared" si="36"/>
        <v>0</v>
      </c>
      <c r="Q94" s="1780" t="s">
        <v>343</v>
      </c>
    </row>
    <row r="95" s="1749" customFormat="1" ht="15" customHeight="1" spans="1:17">
      <c r="A95" s="1788" t="s">
        <v>374</v>
      </c>
      <c r="B95" s="1789" t="s">
        <v>341</v>
      </c>
      <c r="C95" s="1770">
        <f t="shared" ref="C95:H95" si="37">C68+C86</f>
        <v>0</v>
      </c>
      <c r="D95" s="1770">
        <f t="shared" si="37"/>
        <v>0</v>
      </c>
      <c r="E95" s="1770">
        <f t="shared" si="37"/>
        <v>0</v>
      </c>
      <c r="F95" s="1770">
        <f t="shared" si="37"/>
        <v>0</v>
      </c>
      <c r="G95" s="1770">
        <f t="shared" si="37"/>
        <v>0</v>
      </c>
      <c r="H95" s="1770">
        <f t="shared" si="37"/>
        <v>0</v>
      </c>
      <c r="I95" s="1771"/>
      <c r="J95" s="1787" t="s">
        <v>375</v>
      </c>
      <c r="K95" s="1773">
        <f t="shared" ref="K95:P95" si="38">SUM(K68,K86)</f>
        <v>0</v>
      </c>
      <c r="L95" s="1773">
        <f t="shared" si="38"/>
        <v>0</v>
      </c>
      <c r="M95" s="1773">
        <f t="shared" si="38"/>
        <v>0</v>
      </c>
      <c r="N95" s="1773">
        <f t="shared" si="38"/>
        <v>0</v>
      </c>
      <c r="O95" s="1773">
        <f t="shared" si="38"/>
        <v>0</v>
      </c>
      <c r="P95" s="1773">
        <f t="shared" si="38"/>
        <v>0</v>
      </c>
      <c r="Q95" s="1771"/>
    </row>
    <row r="96" s="1749" customFormat="1" ht="15" customHeight="1" spans="1:17">
      <c r="A96" s="1788" t="s">
        <v>376</v>
      </c>
      <c r="B96" s="1789" t="s">
        <v>341</v>
      </c>
      <c r="C96" s="1770">
        <f t="shared" ref="C96:H96" si="39">SUM(C97:C99,C101:C107,-C100)</f>
        <v>0</v>
      </c>
      <c r="D96" s="1770">
        <f t="shared" si="39"/>
        <v>0</v>
      </c>
      <c r="E96" s="1770">
        <f t="shared" si="39"/>
        <v>0</v>
      </c>
      <c r="F96" s="1770">
        <f t="shared" si="39"/>
        <v>0</v>
      </c>
      <c r="G96" s="1770">
        <f t="shared" si="39"/>
        <v>0</v>
      </c>
      <c r="H96" s="1770">
        <f t="shared" si="39"/>
        <v>0</v>
      </c>
      <c r="I96" s="1771"/>
      <c r="J96" s="1787" t="s">
        <v>377</v>
      </c>
      <c r="K96" s="1773">
        <f>SUM(K97:K99,K101:K107)-K100</f>
        <v>0</v>
      </c>
      <c r="L96" s="1773">
        <f>L67-L95</f>
        <v>0</v>
      </c>
      <c r="M96" s="1773">
        <f>M67-M95</f>
        <v>0</v>
      </c>
      <c r="N96" s="1773">
        <f>N67-N95</f>
        <v>0</v>
      </c>
      <c r="O96" s="1773">
        <f>O67-O95</f>
        <v>0</v>
      </c>
      <c r="P96" s="1773">
        <f>P67-P95</f>
        <v>0</v>
      </c>
      <c r="Q96" s="1771"/>
    </row>
    <row r="97" s="1746" customFormat="1" ht="15" customHeight="1" spans="1:17">
      <c r="A97" s="1774" t="str">
        <f>'资负表（已审）-新'!F33</f>
        <v>实收资本（或股本）</v>
      </c>
      <c r="B97" s="1781" t="s">
        <v>341</v>
      </c>
      <c r="C97" s="1776"/>
      <c r="D97" s="1776"/>
      <c r="E97" s="1776"/>
      <c r="F97" s="1776"/>
      <c r="G97" s="1777">
        <f t="shared" ref="G97:H103" si="40">O97/10000</f>
        <v>0</v>
      </c>
      <c r="H97" s="1777">
        <f t="shared" si="40"/>
        <v>0</v>
      </c>
      <c r="I97" s="1747"/>
      <c r="J97" s="1778" t="str">
        <f t="shared" ref="J97:J103" si="41">A97</f>
        <v>实收资本（或股本）</v>
      </c>
      <c r="K97" s="1779">
        <f>SUMIF('资负表（已审）-旧'!F$6:F$40,J97,'资负表（已审）-旧'!H$6:H$40)</f>
        <v>0</v>
      </c>
      <c r="L97" s="1779">
        <f>SUMIF('资负表（已审）-旧'!F$6:F$40,J97,'资负表（已审）-旧'!I$6:I$40)</f>
        <v>0</v>
      </c>
      <c r="M97" s="1779">
        <f>SUMIF('资负表（已审）-新'!F$6:F$40,J97,'资负表（已审）-新'!H$6:H$40)</f>
        <v>0</v>
      </c>
      <c r="N97" s="1779">
        <f>SUMIF('资负表（已审）-新'!F$6:F$40,J97,'资负表（已审）-新'!I$6:I$40)</f>
        <v>0</v>
      </c>
      <c r="O97" s="1779">
        <f t="shared" ref="O97:P105" si="42">IF($J97="","",K97+M97)</f>
        <v>0</v>
      </c>
      <c r="P97" s="1779">
        <f t="shared" si="42"/>
        <v>0</v>
      </c>
      <c r="Q97" s="1780" t="s">
        <v>343</v>
      </c>
    </row>
    <row r="98" s="1746" customFormat="1" ht="15" customHeight="1" spans="1:17">
      <c r="A98" s="1774" t="str">
        <f>'资负表（已审）-新'!F34</f>
        <v>其他权益工具</v>
      </c>
      <c r="B98" s="1781" t="s">
        <v>341</v>
      </c>
      <c r="C98" s="1776"/>
      <c r="D98" s="1776"/>
      <c r="E98" s="1776"/>
      <c r="F98" s="1776"/>
      <c r="G98" s="1777">
        <f t="shared" si="40"/>
        <v>0</v>
      </c>
      <c r="H98" s="1777">
        <f t="shared" si="40"/>
        <v>0</v>
      </c>
      <c r="I98" s="1747"/>
      <c r="J98" s="1778" t="str">
        <f t="shared" si="41"/>
        <v>其他权益工具</v>
      </c>
      <c r="K98" s="1779">
        <f>SUMIF('资负表（已审）-旧'!F$6:F$40,J98,'资负表（已审）-旧'!H$6:H$40)</f>
        <v>0</v>
      </c>
      <c r="L98" s="1779">
        <f>SUMIF('资负表（已审）-旧'!F$6:F$40,J98,'资负表（已审）-旧'!I$6:I$40)</f>
        <v>0</v>
      </c>
      <c r="M98" s="1779">
        <f>SUMIF('资负表（已审）-新'!F$6:F$40,J98,'资负表（已审）-新'!H$6:H$40)</f>
        <v>0</v>
      </c>
      <c r="N98" s="1779">
        <f>SUMIF('资负表（已审）-新'!F$6:F$40,J98,'资负表（已审）-新'!I$6:I$40)</f>
        <v>0</v>
      </c>
      <c r="O98" s="1779">
        <f t="shared" si="42"/>
        <v>0</v>
      </c>
      <c r="P98" s="1779">
        <f t="shared" si="42"/>
        <v>0</v>
      </c>
      <c r="Q98" s="1780" t="s">
        <v>343</v>
      </c>
    </row>
    <row r="99" s="1746" customFormat="1" ht="15" customHeight="1" spans="1:17">
      <c r="A99" s="1774" t="str">
        <f>'资负表（已审）-新'!F35</f>
        <v>资本公积</v>
      </c>
      <c r="B99" s="1781" t="s">
        <v>341</v>
      </c>
      <c r="C99" s="1776"/>
      <c r="D99" s="1776"/>
      <c r="E99" s="1776"/>
      <c r="F99" s="1776"/>
      <c r="G99" s="1777">
        <f t="shared" si="40"/>
        <v>0</v>
      </c>
      <c r="H99" s="1777">
        <f t="shared" si="40"/>
        <v>0</v>
      </c>
      <c r="I99" s="1747"/>
      <c r="J99" s="1778" t="str">
        <f t="shared" si="41"/>
        <v>资本公积</v>
      </c>
      <c r="K99" s="1779">
        <f>SUMIF('资负表（已审）-旧'!F$6:F$40,J99,'资负表（已审）-旧'!H$6:H$40)</f>
        <v>0</v>
      </c>
      <c r="L99" s="1779">
        <f>SUMIF('资负表（已审）-旧'!F$6:F$40,J99,'资负表（已审）-旧'!I$6:I$40)</f>
        <v>0</v>
      </c>
      <c r="M99" s="1779">
        <f>SUMIF('资负表（已审）-新'!F$6:F$40,J99,'资负表（已审）-新'!H$6:H$40)</f>
        <v>0</v>
      </c>
      <c r="N99" s="1779">
        <f>SUMIF('资负表（已审）-新'!F$6:F$40,J99,'资负表（已审）-新'!I$6:I$40)</f>
        <v>0</v>
      </c>
      <c r="O99" s="1779">
        <f t="shared" si="42"/>
        <v>0</v>
      </c>
      <c r="P99" s="1779">
        <f t="shared" si="42"/>
        <v>0</v>
      </c>
      <c r="Q99" s="1780" t="s">
        <v>343</v>
      </c>
    </row>
    <row r="100" s="1746" customFormat="1" ht="15" customHeight="1" spans="1:17">
      <c r="A100" s="1774" t="str">
        <f>'资负表（已审）-新'!F36</f>
        <v>减：库存股</v>
      </c>
      <c r="B100" s="1781" t="s">
        <v>341</v>
      </c>
      <c r="C100" s="1776"/>
      <c r="D100" s="1776"/>
      <c r="E100" s="1776"/>
      <c r="F100" s="1776"/>
      <c r="G100" s="1777">
        <f t="shared" si="40"/>
        <v>0</v>
      </c>
      <c r="H100" s="1777">
        <f t="shared" si="40"/>
        <v>0</v>
      </c>
      <c r="I100" s="1747"/>
      <c r="J100" s="1778" t="str">
        <f t="shared" si="41"/>
        <v>减：库存股</v>
      </c>
      <c r="K100" s="1779">
        <f>SUMIF('资负表（已审）-旧'!F$6:F$40,J100,'资负表（已审）-旧'!H$6:H$40)</f>
        <v>0</v>
      </c>
      <c r="L100" s="1779">
        <f>SUMIF('资负表（已审）-旧'!F$6:F$40,J100,'资负表（已审）-旧'!I$6:I$40)</f>
        <v>0</v>
      </c>
      <c r="M100" s="1779">
        <f>SUMIF('资负表（已审）-新'!F$6:F$40,J100,'资负表（已审）-新'!H$6:H$40)</f>
        <v>0</v>
      </c>
      <c r="N100" s="1779">
        <f>SUMIF('资负表（已审）-新'!F$6:F$40,J100,'资负表（已审）-新'!I$6:I$40)</f>
        <v>0</v>
      </c>
      <c r="O100" s="1779">
        <f t="shared" si="42"/>
        <v>0</v>
      </c>
      <c r="P100" s="1779">
        <f t="shared" si="42"/>
        <v>0</v>
      </c>
      <c r="Q100" s="1780" t="s">
        <v>343</v>
      </c>
    </row>
    <row r="101" s="1746" customFormat="1" ht="15" customHeight="1" spans="1:17">
      <c r="A101" s="1774" t="str">
        <f>'资负表（已审）-新'!F37</f>
        <v>专项储备</v>
      </c>
      <c r="B101" s="1781" t="s">
        <v>341</v>
      </c>
      <c r="C101" s="1776"/>
      <c r="D101" s="1776"/>
      <c r="E101" s="1776"/>
      <c r="F101" s="1776"/>
      <c r="G101" s="1777">
        <f t="shared" si="40"/>
        <v>0</v>
      </c>
      <c r="H101" s="1777">
        <f t="shared" si="40"/>
        <v>0</v>
      </c>
      <c r="I101" s="1747"/>
      <c r="J101" s="1778" t="str">
        <f t="shared" si="41"/>
        <v>专项储备</v>
      </c>
      <c r="K101" s="1779">
        <f>SUMIF('资负表（已审）-旧'!F$6:F$40,J101,'资负表（已审）-旧'!H$6:H$40)</f>
        <v>0</v>
      </c>
      <c r="L101" s="1779">
        <f>SUMIF('资负表（已审）-旧'!F$6:F$40,J101,'资负表（已审）-旧'!I$6:I$40)</f>
        <v>0</v>
      </c>
      <c r="M101" s="1779">
        <f>SUMIF('资负表（已审）-新'!F$6:F$40,J101,'资负表（已审）-新'!H$6:H$40)</f>
        <v>0</v>
      </c>
      <c r="N101" s="1779">
        <f>SUMIF('资负表（已审）-新'!F$6:F$40,J101,'资负表（已审）-新'!I$6:I$40)</f>
        <v>0</v>
      </c>
      <c r="O101" s="1779">
        <f t="shared" si="42"/>
        <v>0</v>
      </c>
      <c r="P101" s="1779">
        <f t="shared" si="42"/>
        <v>0</v>
      </c>
      <c r="Q101" s="1780" t="s">
        <v>343</v>
      </c>
    </row>
    <row r="102" s="1746" customFormat="1" ht="15" customHeight="1" spans="1:17">
      <c r="A102" s="1774" t="str">
        <f>'资负表（已审）-新'!F38</f>
        <v>其他综合收益</v>
      </c>
      <c r="B102" s="1781" t="s">
        <v>341</v>
      </c>
      <c r="C102" s="1776"/>
      <c r="D102" s="1776"/>
      <c r="E102" s="1776"/>
      <c r="F102" s="1776"/>
      <c r="G102" s="1777">
        <f t="shared" si="40"/>
        <v>0</v>
      </c>
      <c r="H102" s="1777">
        <f t="shared" si="40"/>
        <v>0</v>
      </c>
      <c r="I102" s="1747"/>
      <c r="J102" s="1778" t="str">
        <f t="shared" si="41"/>
        <v>其他综合收益</v>
      </c>
      <c r="K102" s="1779">
        <f>SUMIF('资负表（已审）-旧'!F$6:F$40,J102,'资负表（已审）-旧'!H$6:H$40)</f>
        <v>0</v>
      </c>
      <c r="L102" s="1779">
        <f>SUMIF('资负表（已审）-旧'!F$6:F$40,J102,'资负表（已审）-旧'!I$6:I$40)</f>
        <v>0</v>
      </c>
      <c r="M102" s="1779">
        <f>SUMIF('资负表（已审）-新'!F$6:F$40,J102,'资负表（已审）-新'!H$6:H$40)</f>
        <v>0</v>
      </c>
      <c r="N102" s="1779">
        <f>SUMIF('资负表（已审）-新'!F$6:F$40,J102,'资负表（已审）-新'!I$6:I$40)</f>
        <v>0</v>
      </c>
      <c r="O102" s="1779">
        <f t="shared" si="42"/>
        <v>0</v>
      </c>
      <c r="P102" s="1779">
        <f t="shared" si="42"/>
        <v>0</v>
      </c>
      <c r="Q102" s="1780" t="s">
        <v>343</v>
      </c>
    </row>
    <row r="103" s="1746" customFormat="1" ht="15" customHeight="1" spans="1:17">
      <c r="A103" s="1774" t="str">
        <f>'资负表（已审）-新'!F39</f>
        <v>盈余公积</v>
      </c>
      <c r="B103" s="1781" t="s">
        <v>341</v>
      </c>
      <c r="C103" s="1776"/>
      <c r="D103" s="1776"/>
      <c r="E103" s="1776"/>
      <c r="F103" s="1776"/>
      <c r="G103" s="1777">
        <f t="shared" si="40"/>
        <v>0</v>
      </c>
      <c r="H103" s="1777">
        <f t="shared" si="40"/>
        <v>0</v>
      </c>
      <c r="I103" s="1747"/>
      <c r="J103" s="1778" t="str">
        <f t="shared" si="41"/>
        <v>盈余公积</v>
      </c>
      <c r="K103" s="1779">
        <f>SUMIF('资负表（已审）-旧'!F$6:F$40,J103,'资负表（已审）-旧'!H$6:H$40)</f>
        <v>0</v>
      </c>
      <c r="L103" s="1779">
        <f>SUMIF('资负表（已审）-旧'!F$6:F$40,J103,'资负表（已审）-旧'!I$6:I$40)</f>
        <v>0</v>
      </c>
      <c r="M103" s="1779">
        <f>SUMIF('资负表（已审）-新'!F$6:F$40,J103,'资负表（已审）-新'!H$6:H$40)</f>
        <v>0</v>
      </c>
      <c r="N103" s="1779">
        <f>SUMIF('资负表（已审）-新'!F$6:F$40,J103,'资负表（已审）-新'!I$6:I$40)</f>
        <v>0</v>
      </c>
      <c r="O103" s="1779">
        <f t="shared" si="42"/>
        <v>0</v>
      </c>
      <c r="P103" s="1779">
        <f t="shared" si="42"/>
        <v>0</v>
      </c>
      <c r="Q103" s="1780" t="s">
        <v>343</v>
      </c>
    </row>
    <row r="104" s="1746" customFormat="1" ht="15" customHeight="1" spans="1:17">
      <c r="A104" s="1774" t="s">
        <v>378</v>
      </c>
      <c r="B104" s="1781" t="s">
        <v>341</v>
      </c>
      <c r="C104" s="1776"/>
      <c r="D104" s="1776"/>
      <c r="E104" s="1776"/>
      <c r="F104" s="1776"/>
      <c r="G104" s="1776"/>
      <c r="H104" s="1776"/>
      <c r="I104" s="1747"/>
      <c r="J104" s="1791"/>
      <c r="K104" s="1779" t="s">
        <v>347</v>
      </c>
      <c r="L104" s="1779" t="s">
        <v>347</v>
      </c>
      <c r="M104" s="1779" t="s">
        <v>347</v>
      </c>
      <c r="N104" s="1779" t="s">
        <v>347</v>
      </c>
      <c r="O104" s="1779" t="str">
        <f t="shared" si="42"/>
        <v/>
      </c>
      <c r="P104" s="1779" t="str">
        <f t="shared" si="42"/>
        <v/>
      </c>
      <c r="Q104" s="1780" t="s">
        <v>343</v>
      </c>
    </row>
    <row r="105" s="1746" customFormat="1" ht="15" customHeight="1" spans="1:17">
      <c r="A105" s="1774" t="str">
        <f>'资负表（已审）-新'!F40</f>
        <v>未分配利润</v>
      </c>
      <c r="B105" s="1781" t="s">
        <v>341</v>
      </c>
      <c r="C105" s="1776"/>
      <c r="D105" s="1776"/>
      <c r="E105" s="1776"/>
      <c r="F105" s="1776"/>
      <c r="G105" s="1777">
        <f>O105/10000</f>
        <v>0</v>
      </c>
      <c r="H105" s="1777">
        <f>P105/10000</f>
        <v>0</v>
      </c>
      <c r="I105" s="1747"/>
      <c r="J105" s="1778" t="str">
        <f t="shared" ref="J105" si="43">A105</f>
        <v>未分配利润</v>
      </c>
      <c r="K105" s="1779">
        <f>SUMIF('资负表（已审）-旧'!F$6:F$40,J105,'资负表（已审）-旧'!H$6:H$40)</f>
        <v>0</v>
      </c>
      <c r="L105" s="1779">
        <f>SUMIF('资负表（已审）-旧'!F$6:F$40,J105,'资负表（已审）-旧'!I$6:I$40)</f>
        <v>0</v>
      </c>
      <c r="M105" s="1779">
        <f>SUMIF('资负表（已审）-新'!F$6:F$40,J105,'资负表（已审）-新'!H$6:H$40)</f>
        <v>0</v>
      </c>
      <c r="N105" s="1779">
        <f>SUMIF('资负表（已审）-新'!F$6:F$40,J105,'资负表（已审）-新'!I$6:I$40)</f>
        <v>0</v>
      </c>
      <c r="O105" s="1779">
        <f t="shared" si="42"/>
        <v>0</v>
      </c>
      <c r="P105" s="1779">
        <f t="shared" si="42"/>
        <v>0</v>
      </c>
      <c r="Q105" s="1780" t="s">
        <v>343</v>
      </c>
    </row>
    <row r="106" s="1746" customFormat="1" ht="15" customHeight="1" spans="1:17">
      <c r="A106" s="1774" t="s">
        <v>379</v>
      </c>
      <c r="B106" s="1781" t="s">
        <v>341</v>
      </c>
      <c r="C106" s="1776"/>
      <c r="D106" s="1776"/>
      <c r="E106" s="1776"/>
      <c r="F106" s="1776"/>
      <c r="G106" s="1776"/>
      <c r="H106" s="1776"/>
      <c r="I106" s="1747"/>
      <c r="J106" s="1750"/>
      <c r="Q106" s="1747"/>
    </row>
    <row r="107" s="1746" customFormat="1" ht="15" customHeight="1" spans="1:17">
      <c r="A107" s="1774" t="s">
        <v>380</v>
      </c>
      <c r="B107" s="1781" t="s">
        <v>341</v>
      </c>
      <c r="C107" s="1776"/>
      <c r="D107" s="1776"/>
      <c r="E107" s="1776"/>
      <c r="F107" s="1776"/>
      <c r="G107" s="1776"/>
      <c r="H107" s="1776"/>
      <c r="I107" s="1747"/>
      <c r="J107" s="1750"/>
      <c r="Q107" s="1747"/>
    </row>
    <row r="108" s="1746" customFormat="1" ht="15" customHeight="1" spans="1:17">
      <c r="A108" s="1792" t="s">
        <v>381</v>
      </c>
      <c r="B108" s="1786"/>
      <c r="C108" s="1793">
        <f t="shared" ref="C108:H108" si="44">C67-C95-C96</f>
        <v>0</v>
      </c>
      <c r="D108" s="1793">
        <f t="shared" si="44"/>
        <v>0</v>
      </c>
      <c r="E108" s="1793">
        <f t="shared" si="44"/>
        <v>0</v>
      </c>
      <c r="F108" s="1793">
        <f t="shared" si="44"/>
        <v>0</v>
      </c>
      <c r="G108" s="1793">
        <f t="shared" si="44"/>
        <v>0</v>
      </c>
      <c r="H108" s="1793">
        <f t="shared" si="44"/>
        <v>3.555752</v>
      </c>
      <c r="I108" s="1747"/>
      <c r="J108" s="1750"/>
      <c r="Q108" s="1747"/>
    </row>
    <row r="109" s="1746" customFormat="1" ht="13.2" spans="1:17">
      <c r="A109" s="1794" t="str">
        <f>参数表!F6</f>
        <v>产权持有单位填表人：贾广东</v>
      </c>
      <c r="B109" s="1759"/>
      <c r="C109" s="1794"/>
      <c r="D109" s="1794"/>
      <c r="E109" s="1794"/>
      <c r="F109" s="1794"/>
      <c r="G109" s="1794"/>
      <c r="H109" s="1795" t="str">
        <f>参数表!F7</f>
        <v>填表日期：2025年9月20日</v>
      </c>
      <c r="I109" s="1747"/>
      <c r="J109" s="1750"/>
      <c r="Q109" s="1747"/>
    </row>
    <row r="111" s="1750" customFormat="1" ht="13.2" hidden="1" outlineLevel="1" spans="1:17">
      <c r="A111" s="1796" t="s">
        <v>382</v>
      </c>
      <c r="B111" s="1796"/>
      <c r="C111" s="1782" t="s">
        <v>383</v>
      </c>
      <c r="I111" s="1748"/>
      <c r="Q111" s="1748"/>
    </row>
    <row r="112" s="1750" customFormat="1" ht="13.2" hidden="1" outlineLevel="1" spans="1:17">
      <c r="A112" s="1796"/>
      <c r="B112" s="1796"/>
      <c r="C112" s="1782" t="s">
        <v>384</v>
      </c>
      <c r="I112" s="1748"/>
      <c r="Q112" s="1748"/>
    </row>
    <row r="113" s="1750" customFormat="1" ht="13.2" hidden="1" outlineLevel="1" spans="1:17">
      <c r="A113" s="1796"/>
      <c r="B113" s="1796"/>
      <c r="C113" s="1782" t="s">
        <v>273</v>
      </c>
      <c r="I113" s="1748"/>
      <c r="Q113" s="1748"/>
    </row>
    <row r="114" s="1750" customFormat="1" ht="13.2" hidden="1" outlineLevel="1" spans="1:17">
      <c r="A114" s="1796" t="s">
        <v>385</v>
      </c>
      <c r="B114" s="1766"/>
      <c r="C114" s="1782" t="s">
        <v>386</v>
      </c>
      <c r="I114" s="1748"/>
      <c r="Q114" s="1748"/>
    </row>
    <row r="115" s="1750" customFormat="1" ht="13.2" hidden="1" outlineLevel="1" spans="1:17">
      <c r="A115" s="1796"/>
      <c r="B115" s="1766"/>
      <c r="C115" s="1782" t="s">
        <v>387</v>
      </c>
      <c r="I115" s="1748"/>
      <c r="Q115" s="1748"/>
    </row>
    <row r="116" s="1750" customFormat="1" ht="13.2" hidden="1" outlineLevel="1" spans="1:17">
      <c r="A116" s="1796"/>
      <c r="B116" s="1766"/>
      <c r="C116" s="1782" t="s">
        <v>388</v>
      </c>
      <c r="I116" s="1748"/>
      <c r="Q116" s="1748"/>
    </row>
    <row r="117" s="1750" customFormat="1" ht="13.2" hidden="1" outlineLevel="1" spans="1:17">
      <c r="A117" s="1796"/>
      <c r="B117" s="1766"/>
      <c r="C117" s="1782" t="s">
        <v>389</v>
      </c>
      <c r="I117" s="1748"/>
      <c r="Q117" s="1748"/>
    </row>
    <row r="118" s="1750" customFormat="1" ht="13.2" hidden="1" outlineLevel="1" spans="1:17">
      <c r="A118" s="1796" t="s">
        <v>390</v>
      </c>
      <c r="B118" s="1766"/>
      <c r="C118" s="1782" t="s">
        <v>386</v>
      </c>
      <c r="I118" s="1748"/>
      <c r="Q118" s="1748"/>
    </row>
    <row r="119" s="1750" customFormat="1" ht="13.2" hidden="1" outlineLevel="1" spans="1:17">
      <c r="A119" s="1796"/>
      <c r="B119" s="1766"/>
      <c r="C119" s="1782" t="s">
        <v>387</v>
      </c>
      <c r="I119" s="1748"/>
      <c r="Q119" s="1748"/>
    </row>
    <row r="120" s="1750" customFormat="1" ht="13.2" hidden="1" outlineLevel="1" spans="1:17">
      <c r="A120" s="1796"/>
      <c r="B120" s="1766"/>
      <c r="C120" s="1782" t="s">
        <v>388</v>
      </c>
      <c r="I120" s="1748"/>
      <c r="Q120" s="1748"/>
    </row>
    <row r="121" s="1750" customFormat="1" ht="13.2" hidden="1" outlineLevel="1" spans="1:17">
      <c r="A121" s="1796"/>
      <c r="B121" s="1766"/>
      <c r="C121" s="1782" t="s">
        <v>389</v>
      </c>
      <c r="I121" s="1748"/>
      <c r="Q121" s="1748"/>
    </row>
    <row r="122" s="1750" customFormat="1" ht="13.2" hidden="1" outlineLevel="1" spans="1:17">
      <c r="A122" s="1796" t="s">
        <v>391</v>
      </c>
      <c r="B122" s="1766"/>
      <c r="C122" s="1782" t="s">
        <v>386</v>
      </c>
      <c r="I122" s="1748"/>
      <c r="Q122" s="1748"/>
    </row>
    <row r="123" s="1750" customFormat="1" ht="13.2" hidden="1" outlineLevel="1" spans="1:17">
      <c r="A123" s="1796"/>
      <c r="B123" s="1766"/>
      <c r="C123" s="1782" t="s">
        <v>387</v>
      </c>
      <c r="I123" s="1748"/>
      <c r="Q123" s="1748"/>
    </row>
    <row r="124" s="1750" customFormat="1" ht="13.2" hidden="1" outlineLevel="1" spans="1:17">
      <c r="A124" s="1796"/>
      <c r="B124" s="1796"/>
      <c r="C124" s="1782" t="s">
        <v>392</v>
      </c>
      <c r="I124" s="1748"/>
      <c r="Q124" s="1748"/>
    </row>
    <row r="125" s="1750" customFormat="1" ht="13.2" hidden="1" outlineLevel="1" spans="1:17">
      <c r="A125" s="1796"/>
      <c r="B125" s="1796"/>
      <c r="C125" s="1782" t="s">
        <v>393</v>
      </c>
      <c r="I125" s="1748"/>
      <c r="Q125" s="1748"/>
    </row>
    <row r="126" s="1750" customFormat="1" ht="13.2" hidden="1" outlineLevel="1" spans="1:17">
      <c r="A126" s="1796"/>
      <c r="B126" s="1766"/>
      <c r="C126" s="1782" t="s">
        <v>388</v>
      </c>
      <c r="I126" s="1748"/>
      <c r="Q126" s="1748"/>
    </row>
    <row r="127" s="1750" customFormat="1" ht="13.2" hidden="1" outlineLevel="1" spans="1:17">
      <c r="A127" s="1796"/>
      <c r="B127" s="1766"/>
      <c r="C127" s="1782" t="s">
        <v>389</v>
      </c>
      <c r="I127" s="1748"/>
      <c r="Q127" s="1748"/>
    </row>
    <row r="128" s="1750" customFormat="1" ht="13.2" hidden="1" outlineLevel="1" spans="1:17">
      <c r="A128" s="1796" t="s">
        <v>394</v>
      </c>
      <c r="B128" s="1766"/>
      <c r="C128" s="1782" t="s">
        <v>386</v>
      </c>
      <c r="I128" s="1748"/>
      <c r="Q128" s="1748"/>
    </row>
    <row r="129" s="1750" customFormat="1" ht="13.2" hidden="1" outlineLevel="1" spans="1:17">
      <c r="A129" s="1796"/>
      <c r="B129" s="1766"/>
      <c r="C129" s="1782" t="s">
        <v>387</v>
      </c>
      <c r="I129" s="1748"/>
      <c r="Q129" s="1748"/>
    </row>
    <row r="130" s="1750" customFormat="1" ht="13.2" hidden="1" outlineLevel="1" spans="1:17">
      <c r="A130" s="1796"/>
      <c r="B130" s="1766"/>
      <c r="C130" s="1782" t="s">
        <v>388</v>
      </c>
      <c r="I130" s="1748"/>
      <c r="Q130" s="1748"/>
    </row>
    <row r="131" s="1750" customFormat="1" ht="13.2" hidden="1" outlineLevel="1" spans="1:17">
      <c r="A131" s="1796"/>
      <c r="B131" s="1766"/>
      <c r="C131" s="1782" t="s">
        <v>389</v>
      </c>
      <c r="I131" s="1748"/>
      <c r="Q131" s="1748"/>
    </row>
    <row r="132" s="1750" customFormat="1" ht="13.2" hidden="1" outlineLevel="1" spans="1:17">
      <c r="A132" s="1796" t="s">
        <v>395</v>
      </c>
      <c r="B132" s="1766"/>
      <c r="C132" s="1782" t="s">
        <v>386</v>
      </c>
      <c r="I132" s="1748"/>
      <c r="Q132" s="1748"/>
    </row>
    <row r="133" s="1750" customFormat="1" ht="13.2" hidden="1" outlineLevel="1" spans="1:17">
      <c r="A133" s="1796"/>
      <c r="B133" s="1766"/>
      <c r="C133" s="1782" t="s">
        <v>387</v>
      </c>
      <c r="I133" s="1748"/>
      <c r="Q133" s="1748"/>
    </row>
    <row r="134" s="1750" customFormat="1" ht="13.2" hidden="1" outlineLevel="1" spans="1:17">
      <c r="A134" s="1796"/>
      <c r="B134" s="1766"/>
      <c r="C134" s="1782" t="s">
        <v>388</v>
      </c>
      <c r="I134" s="1748"/>
      <c r="Q134" s="1748"/>
    </row>
    <row r="135" s="1750" customFormat="1" ht="13.2" hidden="1" outlineLevel="1" spans="1:17">
      <c r="A135" s="1796"/>
      <c r="B135" s="1766"/>
      <c r="C135" s="1782" t="s">
        <v>389</v>
      </c>
      <c r="I135" s="1748"/>
      <c r="Q135" s="1748"/>
    </row>
    <row r="136" s="1750" customFormat="1" ht="13.2" hidden="1" outlineLevel="1" spans="1:17">
      <c r="A136" s="1796" t="s">
        <v>396</v>
      </c>
      <c r="B136" s="1766"/>
      <c r="C136" s="1782" t="s">
        <v>386</v>
      </c>
      <c r="I136" s="1748"/>
      <c r="Q136" s="1748"/>
    </row>
    <row r="137" s="1750" customFormat="1" ht="13.2" hidden="1" outlineLevel="1" spans="1:17">
      <c r="A137" s="1796"/>
      <c r="B137" s="1766"/>
      <c r="C137" s="1782" t="s">
        <v>387</v>
      </c>
      <c r="I137" s="1748"/>
      <c r="Q137" s="1748"/>
    </row>
    <row r="138" s="1750" customFormat="1" ht="13.2" hidden="1" outlineLevel="1" spans="1:17">
      <c r="A138" s="1796"/>
      <c r="B138" s="1766"/>
      <c r="C138" s="1782" t="s">
        <v>388</v>
      </c>
      <c r="I138" s="1748"/>
      <c r="Q138" s="1748"/>
    </row>
    <row r="139" s="1750" customFormat="1" ht="13.2" hidden="1" outlineLevel="1" spans="1:17">
      <c r="A139" s="1796"/>
      <c r="B139" s="1766"/>
      <c r="C139" s="1782" t="s">
        <v>389</v>
      </c>
      <c r="I139" s="1748"/>
      <c r="Q139" s="1748"/>
    </row>
    <row r="140" s="1750" customFormat="1" ht="13.2" hidden="1" outlineLevel="1" spans="1:17">
      <c r="A140" s="1796" t="s">
        <v>397</v>
      </c>
      <c r="B140" s="1766"/>
      <c r="C140" s="1782" t="s">
        <v>386</v>
      </c>
      <c r="I140" s="1748"/>
      <c r="Q140" s="1748"/>
    </row>
    <row r="141" s="1750" customFormat="1" ht="13.2" hidden="1" outlineLevel="1" spans="1:17">
      <c r="A141" s="1796"/>
      <c r="B141" s="1766"/>
      <c r="C141" s="1782" t="s">
        <v>387</v>
      </c>
      <c r="I141" s="1748"/>
      <c r="Q141" s="1748"/>
    </row>
    <row r="142" s="1750" customFormat="1" ht="13.2" hidden="1" outlineLevel="1" spans="1:17">
      <c r="A142" s="1796"/>
      <c r="B142" s="1796"/>
      <c r="C142" s="1782" t="s">
        <v>392</v>
      </c>
      <c r="I142" s="1748"/>
      <c r="Q142" s="1748"/>
    </row>
    <row r="143" s="1750" customFormat="1" ht="13.2" hidden="1" outlineLevel="1" spans="1:17">
      <c r="A143" s="1796"/>
      <c r="B143" s="1796"/>
      <c r="C143" s="1782" t="s">
        <v>393</v>
      </c>
      <c r="I143" s="1748"/>
      <c r="Q143" s="1748"/>
    </row>
    <row r="144" s="1750" customFormat="1" ht="13.2" hidden="1" outlineLevel="1" spans="1:17">
      <c r="A144" s="1796"/>
      <c r="B144" s="1766"/>
      <c r="C144" s="1782" t="s">
        <v>388</v>
      </c>
      <c r="I144" s="1748"/>
      <c r="Q144" s="1748"/>
    </row>
    <row r="145" s="1750" customFormat="1" ht="13.2" hidden="1" outlineLevel="1" spans="1:17">
      <c r="A145" s="1796"/>
      <c r="B145" s="1766"/>
      <c r="C145" s="1782" t="s">
        <v>389</v>
      </c>
      <c r="I145" s="1748"/>
      <c r="Q145" s="1748"/>
    </row>
    <row r="146" s="1750" customFormat="1" ht="13.2" hidden="1" outlineLevel="1" spans="1:17">
      <c r="A146" s="1796" t="s">
        <v>398</v>
      </c>
      <c r="B146" s="1766"/>
      <c r="C146" s="1782" t="s">
        <v>386</v>
      </c>
      <c r="I146" s="1748"/>
      <c r="Q146" s="1748"/>
    </row>
    <row r="147" s="1750" customFormat="1" ht="13.2" hidden="1" outlineLevel="1" spans="1:17">
      <c r="A147" s="1796"/>
      <c r="B147" s="1766"/>
      <c r="C147" s="1782" t="s">
        <v>387</v>
      </c>
      <c r="I147" s="1748"/>
      <c r="Q147" s="1748"/>
    </row>
    <row r="148" s="1750" customFormat="1" ht="13.2" hidden="1" outlineLevel="1" spans="1:17">
      <c r="A148" s="1796"/>
      <c r="B148" s="1766"/>
      <c r="C148" s="1782" t="s">
        <v>388</v>
      </c>
      <c r="I148" s="1748"/>
      <c r="Q148" s="1748"/>
    </row>
    <row r="149" s="1750" customFormat="1" ht="13.2" hidden="1" outlineLevel="1" spans="1:17">
      <c r="A149" s="1796"/>
      <c r="B149" s="1766"/>
      <c r="C149" s="1782" t="s">
        <v>389</v>
      </c>
      <c r="I149" s="1748"/>
      <c r="Q149" s="1748"/>
    </row>
    <row r="150" s="1750" customFormat="1" ht="13.2" hidden="1" outlineLevel="1" spans="1:17">
      <c r="A150" s="1796" t="s">
        <v>399</v>
      </c>
      <c r="B150" s="1766"/>
      <c r="C150" s="1782" t="s">
        <v>386</v>
      </c>
      <c r="I150" s="1748"/>
      <c r="Q150" s="1748"/>
    </row>
    <row r="151" s="1750" customFormat="1" ht="13.2" hidden="1" outlineLevel="1" spans="1:17">
      <c r="A151" s="1796"/>
      <c r="B151" s="1766"/>
      <c r="C151" s="1782" t="s">
        <v>387</v>
      </c>
      <c r="I151" s="1748"/>
      <c r="Q151" s="1748"/>
    </row>
    <row r="152" s="1750" customFormat="1" ht="13.2" hidden="1" outlineLevel="1" spans="1:17">
      <c r="A152" s="1796"/>
      <c r="B152" s="1766"/>
      <c r="C152" s="1782" t="s">
        <v>388</v>
      </c>
      <c r="I152" s="1748"/>
      <c r="Q152" s="1748"/>
    </row>
    <row r="153" s="1750" customFormat="1" ht="13.2" hidden="1" outlineLevel="1" spans="1:17">
      <c r="A153" s="1796"/>
      <c r="B153" s="1766"/>
      <c r="C153" s="1782" t="s">
        <v>389</v>
      </c>
      <c r="I153" s="1748"/>
      <c r="Q153" s="1748"/>
    </row>
    <row r="154" s="1750" customFormat="1" ht="13.2" hidden="1" outlineLevel="1" spans="1:17">
      <c r="A154" s="1796" t="s">
        <v>400</v>
      </c>
      <c r="B154" s="1766"/>
      <c r="C154" s="1782" t="s">
        <v>386</v>
      </c>
      <c r="I154" s="1748"/>
      <c r="Q154" s="1748"/>
    </row>
    <row r="155" s="1750" customFormat="1" ht="13.2" hidden="1" outlineLevel="1" spans="1:17">
      <c r="A155" s="1796"/>
      <c r="B155" s="1766"/>
      <c r="C155" s="1782" t="s">
        <v>387</v>
      </c>
      <c r="I155" s="1748"/>
      <c r="Q155" s="1748"/>
    </row>
    <row r="156" s="1750" customFormat="1" ht="13.2" hidden="1" outlineLevel="1" spans="1:17">
      <c r="A156" s="1796"/>
      <c r="B156" s="1766"/>
      <c r="C156" s="1782" t="s">
        <v>388</v>
      </c>
      <c r="I156" s="1748"/>
      <c r="Q156" s="1748"/>
    </row>
    <row r="157" s="1750" customFormat="1" ht="13.2" hidden="1" outlineLevel="1" spans="1:17">
      <c r="A157" s="1796"/>
      <c r="B157" s="1766"/>
      <c r="C157" s="1782" t="s">
        <v>389</v>
      </c>
      <c r="I157" s="1748"/>
      <c r="Q157" s="1748"/>
    </row>
    <row r="158" s="1750" customFormat="1" ht="13.2" hidden="1" outlineLevel="1" spans="1:17">
      <c r="A158" s="1796" t="str">
        <f>A82</f>
        <v>其他应付款项</v>
      </c>
      <c r="B158" s="1796"/>
      <c r="C158" s="1782" t="s">
        <v>401</v>
      </c>
      <c r="I158" s="1748"/>
      <c r="Q158" s="1748"/>
    </row>
    <row r="159" s="1750" customFormat="1" ht="13.2" hidden="1" outlineLevel="1" spans="1:17">
      <c r="A159" s="1796"/>
      <c r="B159" s="1796"/>
      <c r="C159" s="1782" t="s">
        <v>384</v>
      </c>
      <c r="I159" s="1748"/>
      <c r="Q159" s="1748"/>
    </row>
    <row r="160" s="1750" customFormat="1" ht="13.2" hidden="1" outlineLevel="1" spans="1:17">
      <c r="A160" s="1796"/>
      <c r="B160" s="1796"/>
      <c r="C160" s="1782" t="s">
        <v>273</v>
      </c>
      <c r="I160" s="1748"/>
      <c r="Q160" s="1748"/>
    </row>
    <row r="161" s="1750" customFormat="1" ht="13.2" hidden="1" outlineLevel="1" spans="1:17">
      <c r="A161" s="1796" t="s">
        <v>402</v>
      </c>
      <c r="B161" s="1766"/>
      <c r="C161" s="1782" t="s">
        <v>386</v>
      </c>
      <c r="I161" s="1748"/>
      <c r="Q161" s="1748"/>
    </row>
    <row r="162" s="1750" customFormat="1" ht="13.2" hidden="1" outlineLevel="1" spans="1:17">
      <c r="A162" s="1796"/>
      <c r="B162" s="1766"/>
      <c r="C162" s="1782" t="s">
        <v>388</v>
      </c>
      <c r="I162" s="1748"/>
      <c r="Q162" s="1748"/>
    </row>
    <row r="163" s="1750" customFormat="1" ht="13.2" hidden="1" outlineLevel="1" spans="1:17">
      <c r="A163" s="1796"/>
      <c r="B163" s="1766"/>
      <c r="C163" s="1782" t="s">
        <v>389</v>
      </c>
      <c r="I163" s="1748"/>
      <c r="Q163" s="1748"/>
    </row>
    <row r="164" s="1750" customFormat="1" ht="13.2" hidden="1" outlineLevel="1" spans="1:17">
      <c r="A164" s="1796" t="s">
        <v>324</v>
      </c>
      <c r="B164" s="1766"/>
      <c r="C164" s="1782" t="s">
        <v>386</v>
      </c>
      <c r="I164" s="1748"/>
      <c r="Q164" s="1748"/>
    </row>
    <row r="165" s="1750" customFormat="1" ht="13.2" hidden="1" outlineLevel="1" spans="1:17">
      <c r="A165" s="1796"/>
      <c r="B165" s="1766"/>
      <c r="C165" s="1782" t="s">
        <v>387</v>
      </c>
      <c r="I165" s="1748"/>
      <c r="Q165" s="1748"/>
    </row>
    <row r="166" s="1750" customFormat="1" ht="13.2" hidden="1" outlineLevel="1" spans="1:17">
      <c r="A166" s="1796"/>
      <c r="B166" s="1766"/>
      <c r="C166" s="1782" t="s">
        <v>389</v>
      </c>
      <c r="I166" s="1748"/>
      <c r="Q166" s="1748"/>
    </row>
    <row r="167" s="1750" customFormat="1" ht="13.2" hidden="1" outlineLevel="1" spans="1:17">
      <c r="A167" s="1796" t="s">
        <v>325</v>
      </c>
      <c r="B167" s="1766"/>
      <c r="C167" s="1782" t="s">
        <v>386</v>
      </c>
      <c r="I167" s="1748"/>
      <c r="Q167" s="1748"/>
    </row>
    <row r="168" s="1750" customFormat="1" ht="13.2" hidden="1" outlineLevel="1" spans="1:17">
      <c r="A168" s="1796"/>
      <c r="B168" s="1766"/>
      <c r="C168" s="1782" t="s">
        <v>387</v>
      </c>
      <c r="I168" s="1748"/>
      <c r="Q168" s="1748"/>
    </row>
    <row r="169" s="1750" customFormat="1" ht="13.2" hidden="1" outlineLevel="1" spans="1:17">
      <c r="A169" s="1796"/>
      <c r="B169" s="1766"/>
      <c r="C169" s="1782" t="s">
        <v>403</v>
      </c>
      <c r="I169" s="1748"/>
      <c r="Q169" s="1748"/>
    </row>
    <row r="170" s="1750" customFormat="1" ht="13.2" hidden="1" outlineLevel="1" spans="1:17">
      <c r="A170" s="1796"/>
      <c r="B170" s="1766"/>
      <c r="C170" s="1782" t="s">
        <v>404</v>
      </c>
      <c r="I170" s="1748"/>
      <c r="Q170" s="1748"/>
    </row>
    <row r="171" s="1750" customFormat="1" ht="13.2" hidden="1" outlineLevel="1" spans="1:17">
      <c r="A171" s="1796"/>
      <c r="B171" s="1766"/>
      <c r="C171" s="1782" t="s">
        <v>405</v>
      </c>
      <c r="I171" s="1748"/>
      <c r="Q171" s="1748"/>
    </row>
    <row r="172" s="1750" customFormat="1" ht="13.2" hidden="1" outlineLevel="1" spans="1:17">
      <c r="A172" s="1796"/>
      <c r="B172" s="1766"/>
      <c r="C172" s="1782" t="s">
        <v>406</v>
      </c>
      <c r="I172" s="1748"/>
      <c r="Q172" s="1748"/>
    </row>
    <row r="173" s="1750" customFormat="1" ht="13.2" hidden="1" outlineLevel="1" spans="1:17">
      <c r="A173" s="1796"/>
      <c r="B173" s="1766"/>
      <c r="C173" s="1782" t="s">
        <v>389</v>
      </c>
      <c r="I173" s="1748"/>
      <c r="Q173" s="1748"/>
    </row>
    <row r="174" s="1750" customFormat="1" ht="13.2" hidden="1" outlineLevel="1" spans="1:17">
      <c r="A174" s="1796" t="s">
        <v>326</v>
      </c>
      <c r="B174" s="1766"/>
      <c r="C174" s="1782" t="s">
        <v>386</v>
      </c>
      <c r="I174" s="1748"/>
      <c r="Q174" s="1748"/>
    </row>
    <row r="175" s="1750" customFormat="1" ht="13.2" hidden="1" outlineLevel="1" spans="1:17">
      <c r="A175" s="1796"/>
      <c r="B175" s="1766"/>
      <c r="C175" s="1782" t="s">
        <v>387</v>
      </c>
      <c r="I175" s="1748"/>
      <c r="Q175" s="1748"/>
    </row>
    <row r="176" s="1750" customFormat="1" ht="13.2" hidden="1" outlineLevel="1" spans="1:17">
      <c r="A176" s="1796"/>
      <c r="B176" s="1766"/>
      <c r="C176" s="1782" t="s">
        <v>389</v>
      </c>
      <c r="I176" s="1748"/>
      <c r="Q176" s="1748"/>
    </row>
    <row r="177" s="1750" customFormat="1" ht="13.2" hidden="1" outlineLevel="1" spans="1:17">
      <c r="B177" s="1748"/>
      <c r="I177" s="1748"/>
      <c r="Q177" s="1748"/>
    </row>
    <row r="178" s="1750" customFormat="1" ht="13.2" hidden="1" outlineLevel="1" spans="1:17">
      <c r="A178" s="1796" t="s">
        <v>407</v>
      </c>
      <c r="B178" s="1766"/>
      <c r="C178" s="1782" t="s">
        <v>408</v>
      </c>
      <c r="I178" s="1766"/>
      <c r="Q178" s="1748"/>
    </row>
    <row r="179" s="1750" customFormat="1" ht="13.2" hidden="1" outlineLevel="1" spans="1:17">
      <c r="A179" s="1796"/>
      <c r="B179" s="1766"/>
      <c r="C179" s="1782" t="s">
        <v>409</v>
      </c>
      <c r="I179" s="1766"/>
      <c r="Q179" s="1748"/>
    </row>
    <row r="180" s="1750" customFormat="1" ht="13.2" hidden="1" outlineLevel="1" spans="1:17">
      <c r="A180" s="1796"/>
      <c r="B180" s="1766"/>
      <c r="C180" s="1782" t="s">
        <v>410</v>
      </c>
      <c r="I180" s="1766"/>
      <c r="Q180" s="1748"/>
    </row>
    <row r="181" s="1750" customFormat="1" ht="13.2" hidden="1" outlineLevel="1" spans="1:17">
      <c r="A181" s="1796"/>
      <c r="B181" s="1766"/>
      <c r="C181" s="1782" t="s">
        <v>411</v>
      </c>
      <c r="I181" s="1766" t="e">
        <f>#REF!</f>
        <v>#REF!</v>
      </c>
      <c r="Q181" s="1748"/>
    </row>
    <row r="182" s="1750" customFormat="1" ht="13.2" hidden="1" outlineLevel="1" spans="1:17">
      <c r="A182" s="1796"/>
      <c r="B182" s="1766"/>
      <c r="C182" s="1782" t="s">
        <v>412</v>
      </c>
      <c r="I182" s="1766" t="e">
        <f>I181</f>
        <v>#REF!</v>
      </c>
      <c r="Q182" s="1748"/>
    </row>
    <row r="183" s="1750" customFormat="1" ht="13.2" hidden="1" outlineLevel="1" spans="1:17">
      <c r="A183" s="1796"/>
      <c r="B183" s="1766"/>
      <c r="C183" s="1782" t="s">
        <v>413</v>
      </c>
      <c r="I183" s="1766"/>
      <c r="Q183" s="1748"/>
    </row>
    <row r="184" s="1750" customFormat="1" ht="13.2" hidden="1" outlineLevel="1" spans="1:17">
      <c r="A184" s="1796"/>
      <c r="B184" s="1766"/>
      <c r="C184" s="1782" t="s">
        <v>273</v>
      </c>
      <c r="I184" s="1766"/>
      <c r="Q184" s="1748"/>
    </row>
    <row r="185" s="1750" customFormat="1" ht="13.2" collapsed="1" spans="1:17">
      <c r="B185" s="1748"/>
      <c r="I185" s="1748"/>
      <c r="Q185" s="1748"/>
    </row>
  </sheetData>
  <sheetProtection autoFilter="0"/>
  <autoFilter xmlns:etc="http://www.wps.cn/officeDocument/2017/etCustomData" ref="A5:H109" etc:filterBottomFollowUsedRange="0">
    <extLst/>
  </autoFilter>
  <mergeCells count="25">
    <mergeCell ref="A1:H1"/>
    <mergeCell ref="A2:H2"/>
    <mergeCell ref="C4:H4"/>
    <mergeCell ref="K4:L4"/>
    <mergeCell ref="M4:N4"/>
    <mergeCell ref="O4:P4"/>
    <mergeCell ref="A4:A5"/>
    <mergeCell ref="A111:A113"/>
    <mergeCell ref="A114:A117"/>
    <mergeCell ref="A118:A121"/>
    <mergeCell ref="A122:A127"/>
    <mergeCell ref="A128:A131"/>
    <mergeCell ref="A132:A135"/>
    <mergeCell ref="A136:A139"/>
    <mergeCell ref="A140:A145"/>
    <mergeCell ref="A146:A149"/>
    <mergeCell ref="A150:A153"/>
    <mergeCell ref="A154:A157"/>
    <mergeCell ref="A158:A160"/>
    <mergeCell ref="A161:A163"/>
    <mergeCell ref="A164:A166"/>
    <mergeCell ref="A167:A173"/>
    <mergeCell ref="A174:A176"/>
    <mergeCell ref="A178:A184"/>
    <mergeCell ref="B4:B5"/>
  </mergeCells>
  <printOptions horizontalCentered="1"/>
  <pageMargins left="0.196850393700787" right="0.196850393700787" top="0.984251968503937" bottom="0.590551181102362" header="0.826771653543307" footer="0.47244094488189"/>
  <pageSetup paperSize="9" orientation="landscape" blackAndWhite="1"/>
  <headerFooter alignWithMargins="0"/>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6"/>
  <dimension ref="A1:BZ38"/>
  <sheetViews>
    <sheetView workbookViewId="0">
      <pane xSplit="5" ySplit="7" topLeftCell="F8" activePane="bottomRight" state="frozen"/>
      <selection/>
      <selection pane="topRight"/>
      <selection pane="bottomLeft"/>
      <selection pane="bottomRight" activeCell="E45" sqref="E45"/>
    </sheetView>
  </sheetViews>
  <sheetFormatPr defaultColWidth="9" defaultRowHeight="15.75" customHeight="1"/>
  <cols>
    <col min="1" max="1" width="4.7" style="74" customWidth="1"/>
    <col min="2" max="2" width="12.2" style="75" customWidth="1"/>
    <col min="3" max="3" width="12.2" style="75" customWidth="1" outlineLevel="1"/>
    <col min="4" max="4" width="5.8" style="165" customWidth="1" outlineLevel="1"/>
    <col min="5" max="5" width="9.6" style="75" customWidth="1"/>
    <col min="6" max="6" width="10.5" style="75" customWidth="1"/>
    <col min="7" max="7" width="7.6" style="75" customWidth="1"/>
    <col min="8" max="9" width="5.2" style="75" customWidth="1"/>
    <col min="10" max="10" width="7.6" style="75" customWidth="1"/>
    <col min="11" max="11" width="5.1" style="75" customWidth="1"/>
    <col min="12" max="12" width="8" style="75" customWidth="1"/>
    <col min="13" max="13" width="11.7" style="75" customWidth="1" outlineLevel="1"/>
    <col min="14" max="15" width="8" style="75" customWidth="1" outlineLevel="1"/>
    <col min="16" max="16" width="8" style="494" customWidth="1" outlineLevel="1"/>
    <col min="17" max="24" width="8" style="75" customWidth="1" outlineLevel="1"/>
    <col min="25" max="25" width="8" style="165" customWidth="1" outlineLevel="1"/>
    <col min="26" max="27" width="4.6" style="75" customWidth="1" outlineLevel="1"/>
    <col min="28" max="29" width="6.1" style="75" customWidth="1" outlineLevel="1"/>
    <col min="30" max="30" width="11.7" style="75" customWidth="1"/>
    <col min="31" max="31" width="10.6" style="75" customWidth="1" outlineLevel="1"/>
    <col min="32" max="32" width="13" style="76" customWidth="1" outlineLevel="1"/>
    <col min="33" max="34" width="10.6" style="75" customWidth="1"/>
    <col min="35" max="35" width="9.1" style="75" customWidth="1"/>
    <col min="36" max="36" width="5.6" style="75" customWidth="1"/>
    <col min="37" max="37" width="6.2" style="75" customWidth="1"/>
    <col min="38"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165" customWidth="1"/>
    <col min="61" max="61" width="6.6" style="75" customWidth="1"/>
    <col min="62" max="65" width="4.7" style="165" customWidth="1"/>
    <col min="66" max="66" width="10.3" style="75" customWidth="1"/>
    <col min="67" max="67" width="4.7" style="165" customWidth="1"/>
    <col min="68" max="68" width="8.7" style="75" customWidth="1"/>
    <col min="69" max="69" width="8.6" style="75" customWidth="1"/>
    <col min="70" max="70" width="1.6" style="77" customWidth="1"/>
    <col min="71" max="71" width="10.6" style="78" customWidth="1"/>
    <col min="72" max="72" width="10.6" style="77" customWidth="1"/>
    <col min="73" max="73" width="4.6" style="78" customWidth="1"/>
    <col min="74" max="74" width="10.6" style="78" customWidth="1"/>
    <col min="75" max="76" width="4.6" style="78" customWidth="1"/>
    <col min="77" max="77" width="10.6" style="78" customWidth="1"/>
    <col min="78" max="78" width="5" style="77" customWidth="1"/>
    <col min="79" max="16384" width="9" style="75"/>
  </cols>
  <sheetData>
    <row r="1" s="86" customFormat="1" ht="13.8" spans="1:78">
      <c r="A1" s="203" t="s">
        <v>1591</v>
      </c>
      <c r="B1" s="204" t="s">
        <v>1592</v>
      </c>
      <c r="C1" s="204"/>
      <c r="D1" s="495"/>
      <c r="E1" s="82"/>
      <c r="F1" s="82"/>
      <c r="G1" s="82"/>
      <c r="H1" s="82"/>
      <c r="I1" s="82"/>
      <c r="J1" s="82"/>
      <c r="K1" s="82"/>
      <c r="L1" s="82"/>
      <c r="M1" s="82"/>
      <c r="N1" s="82"/>
      <c r="O1" s="82"/>
      <c r="P1" s="496"/>
      <c r="Q1" s="82"/>
      <c r="R1" s="82"/>
      <c r="S1" s="82"/>
      <c r="T1" s="82"/>
      <c r="U1" s="82"/>
      <c r="V1" s="82"/>
      <c r="W1" s="82"/>
      <c r="X1" s="82"/>
      <c r="Y1" s="82"/>
      <c r="Z1" s="82"/>
      <c r="AA1" s="82"/>
      <c r="AB1" s="82"/>
      <c r="AC1" s="82"/>
      <c r="AD1" s="82"/>
      <c r="AE1" s="82"/>
      <c r="AF1" s="205"/>
      <c r="AG1" s="82"/>
      <c r="AH1" s="82"/>
      <c r="AI1" s="82"/>
      <c r="AJ1" s="82"/>
      <c r="AK1" s="82"/>
      <c r="BA1" s="84" t="str">
        <f>参数表!BA1</f>
        <v>注意：补充特殊事项、作价等均从BA列开始填写</v>
      </c>
      <c r="BB1" s="85"/>
      <c r="BH1" s="82"/>
      <c r="BJ1" s="82"/>
      <c r="BK1" s="82"/>
      <c r="BL1" s="82"/>
      <c r="BM1" s="82"/>
      <c r="BO1" s="82"/>
      <c r="BR1" s="87"/>
      <c r="BS1" s="88"/>
      <c r="BT1" s="87"/>
      <c r="BU1" s="88"/>
      <c r="BV1" s="88"/>
      <c r="BW1" s="88"/>
      <c r="BX1" s="88"/>
      <c r="BY1" s="88"/>
      <c r="BZ1" s="87"/>
    </row>
    <row r="2" s="71" customFormat="1" ht="30" customHeight="1" spans="1:78">
      <c r="A2" s="89" t="s">
        <v>4567</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BA2" s="90" t="str">
        <f>参数表!BA2</f>
        <v>评估基准日：</v>
      </c>
      <c r="BB2" s="91" t="str">
        <f>参数表!$BB$2</f>
        <v>2025年7月31日</v>
      </c>
      <c r="BH2" s="171"/>
      <c r="BJ2" s="171"/>
      <c r="BK2" s="171"/>
      <c r="BL2" s="171"/>
      <c r="BM2" s="171"/>
      <c r="BO2" s="171"/>
      <c r="BR2" s="92"/>
      <c r="BS2" s="93"/>
      <c r="BT2" s="92"/>
      <c r="BU2" s="93"/>
      <c r="BV2" s="93"/>
      <c r="BW2" s="93"/>
      <c r="BX2" s="93"/>
      <c r="BY2" s="93"/>
      <c r="BZ2" s="92"/>
    </row>
    <row r="3" ht="15" customHeight="1" spans="1:78">
      <c r="A3" s="94" t="str">
        <f>参数表!F5</f>
        <v>评估基准日：2025年7月31日</v>
      </c>
      <c r="B3" s="94"/>
      <c r="C3" s="94"/>
      <c r="D3" s="94"/>
      <c r="E3" s="94"/>
      <c r="F3" s="94"/>
      <c r="G3" s="94"/>
      <c r="H3" s="94"/>
      <c r="I3" s="94"/>
      <c r="J3" s="94"/>
      <c r="K3" s="94"/>
      <c r="L3" s="95"/>
      <c r="M3" s="95"/>
      <c r="N3" s="95"/>
      <c r="O3" s="95"/>
      <c r="P3" s="95"/>
      <c r="Q3" s="95"/>
      <c r="R3" s="95"/>
      <c r="S3" s="95"/>
      <c r="T3" s="95"/>
      <c r="U3" s="95"/>
      <c r="V3" s="95"/>
      <c r="W3" s="95"/>
      <c r="X3" s="95"/>
      <c r="Y3" s="95"/>
      <c r="Z3" s="95"/>
      <c r="AA3" s="95"/>
      <c r="AB3" s="95"/>
      <c r="AC3" s="95"/>
      <c r="AD3" s="95"/>
      <c r="AE3" s="95"/>
      <c r="AF3" s="95"/>
      <c r="AG3" s="95"/>
      <c r="AH3" s="95"/>
      <c r="AI3" s="95"/>
      <c r="AJ3" s="95"/>
      <c r="AK3" s="95"/>
      <c r="BA3" s="90" t="str">
        <f>参数表!BA3</f>
        <v>是否显示评估值：</v>
      </c>
      <c r="BB3" s="90" t="str">
        <f>参数表!$BB$3</f>
        <v>是</v>
      </c>
      <c r="BT3" s="78"/>
    </row>
    <row r="4" ht="15" customHeight="1" spans="1:78">
      <c r="A4" s="96"/>
      <c r="B4" s="94"/>
      <c r="C4" s="94"/>
      <c r="D4" s="94"/>
      <c r="E4" s="94"/>
      <c r="F4" s="94"/>
      <c r="G4" s="94"/>
      <c r="H4" s="94"/>
      <c r="I4" s="94"/>
      <c r="J4" s="94"/>
      <c r="K4" s="94"/>
      <c r="L4" s="95"/>
      <c r="M4" s="95"/>
      <c r="N4" s="95"/>
      <c r="O4" s="95"/>
      <c r="P4" s="497"/>
      <c r="Q4" s="95"/>
      <c r="R4" s="95"/>
      <c r="S4" s="95"/>
      <c r="T4" s="95"/>
      <c r="U4" s="95"/>
      <c r="V4" s="95"/>
      <c r="W4" s="95"/>
      <c r="X4" s="95"/>
      <c r="Y4" s="95"/>
      <c r="Z4" s="95"/>
      <c r="AA4" s="95"/>
      <c r="AB4" s="95"/>
      <c r="AC4" s="95"/>
      <c r="AD4" s="98"/>
      <c r="AE4" s="95"/>
      <c r="AF4" s="206"/>
      <c r="AG4" s="95"/>
      <c r="AH4" s="95"/>
      <c r="AI4" s="95"/>
      <c r="AJ4" s="95"/>
      <c r="AK4" s="98" t="str">
        <f>"表"&amp;$BA4</f>
        <v>表4-15-1</v>
      </c>
      <c r="BA4" s="274" t="str">
        <f>无形资总!A7</f>
        <v>4-15-1</v>
      </c>
      <c r="BB4" s="100">
        <f>MAX(COUNTA(A7:A26),COUNTA(B7:B26),COUNTA(AE7:AE26),COUNTA(AG7:AG26))</f>
        <v>20</v>
      </c>
      <c r="BC4" s="101">
        <f>ROW(A6)+1</f>
        <v>7</v>
      </c>
      <c r="BD4" s="77"/>
      <c r="BE4" s="77"/>
      <c r="BT4" s="78"/>
    </row>
    <row r="5" ht="15" customHeight="1" spans="1:78">
      <c r="A5" s="102" t="str">
        <f>参数表!F3</f>
        <v>产权持有单位:中煤第五建设有限公司</v>
      </c>
      <c r="B5" s="103"/>
      <c r="C5" s="103"/>
      <c r="D5" s="95"/>
      <c r="E5" s="103"/>
      <c r="F5" s="103"/>
      <c r="G5" s="103"/>
      <c r="H5" s="103"/>
      <c r="I5" s="103"/>
      <c r="J5" s="103"/>
      <c r="K5" s="103"/>
      <c r="L5" s="103"/>
      <c r="M5" s="103"/>
      <c r="N5" s="103"/>
      <c r="O5" s="103"/>
      <c r="P5" s="498"/>
      <c r="Q5" s="103"/>
      <c r="R5" s="103"/>
      <c r="S5" s="103"/>
      <c r="T5" s="103"/>
      <c r="U5" s="103"/>
      <c r="V5" s="103"/>
      <c r="W5" s="103"/>
      <c r="X5" s="103"/>
      <c r="Y5" s="95"/>
      <c r="Z5" s="95"/>
      <c r="AA5" s="95"/>
      <c r="AB5" s="95"/>
      <c r="AC5" s="95"/>
      <c r="AD5" s="103"/>
      <c r="AE5" s="103"/>
      <c r="AF5" s="104"/>
      <c r="AG5" s="103"/>
      <c r="AH5" s="103"/>
      <c r="AI5" s="103"/>
      <c r="AJ5" s="103"/>
      <c r="AK5" s="98" t="s">
        <v>236</v>
      </c>
      <c r="BA5" s="103"/>
      <c r="BB5" s="105" t="str">
        <f ca="1">判断表!C87</f>
        <v>中煤第五建设有限公司第三工程处拟处置实物资产项目\[0000-3基础法明细表.xlsx]无形-土地</v>
      </c>
      <c r="BC5" s="106">
        <f>IFERROR(SUMIF(BC7:BC26,"√",AG7:AG26)/AG27,0)</f>
        <v>0</v>
      </c>
      <c r="BD5" s="107"/>
      <c r="BE5" s="107"/>
      <c r="BF5" s="108">
        <f>分类汇总!I37</f>
        <v>0</v>
      </c>
      <c r="BG5" s="108">
        <f>分类汇总!K37</f>
        <v>0</v>
      </c>
      <c r="BH5" s="109"/>
      <c r="BI5" s="109"/>
      <c r="BJ5" s="109"/>
      <c r="BK5" s="109"/>
      <c r="BL5" s="109"/>
      <c r="BM5" s="109"/>
      <c r="BN5" s="110"/>
      <c r="BO5" s="109"/>
      <c r="BP5" s="110"/>
      <c r="BR5" s="111"/>
      <c r="BT5" s="78"/>
      <c r="BY5" s="194"/>
      <c r="BZ5" s="111"/>
    </row>
    <row r="6" s="349" customFormat="1" ht="36" spans="1:78">
      <c r="A6" s="350" t="s">
        <v>305</v>
      </c>
      <c r="B6" s="118" t="s">
        <v>3771</v>
      </c>
      <c r="C6" s="208" t="s">
        <v>3671</v>
      </c>
      <c r="D6" s="208" t="s">
        <v>3672</v>
      </c>
      <c r="E6" s="118" t="s">
        <v>3772</v>
      </c>
      <c r="F6" s="118" t="s">
        <v>3773</v>
      </c>
      <c r="G6" s="118" t="s">
        <v>3774</v>
      </c>
      <c r="H6" s="118" t="s">
        <v>3775</v>
      </c>
      <c r="I6" s="118" t="s">
        <v>3776</v>
      </c>
      <c r="J6" s="118" t="s">
        <v>3777</v>
      </c>
      <c r="K6" s="118" t="s">
        <v>3778</v>
      </c>
      <c r="L6" s="118" t="s">
        <v>3779</v>
      </c>
      <c r="M6" s="118" t="s">
        <v>3780</v>
      </c>
      <c r="N6" s="118" t="s">
        <v>3781</v>
      </c>
      <c r="O6" s="118" t="s">
        <v>3782</v>
      </c>
      <c r="P6" s="499" t="s">
        <v>3783</v>
      </c>
      <c r="Q6" s="118" t="s">
        <v>3784</v>
      </c>
      <c r="R6" s="118" t="s">
        <v>3785</v>
      </c>
      <c r="S6" s="118" t="s">
        <v>3786</v>
      </c>
      <c r="T6" s="118" t="s">
        <v>3787</v>
      </c>
      <c r="U6" s="118" t="s">
        <v>3788</v>
      </c>
      <c r="V6" s="118" t="s">
        <v>3789</v>
      </c>
      <c r="W6" s="118" t="s">
        <v>3790</v>
      </c>
      <c r="X6" s="118" t="s">
        <v>3791</v>
      </c>
      <c r="Y6" s="118" t="s">
        <v>3792</v>
      </c>
      <c r="Z6" s="114" t="s">
        <v>1631</v>
      </c>
      <c r="AA6" s="115" t="s">
        <v>1632</v>
      </c>
      <c r="AB6" s="116" t="s">
        <v>3638</v>
      </c>
      <c r="AC6" s="116" t="s">
        <v>3793</v>
      </c>
      <c r="AD6" s="118" t="s">
        <v>2751</v>
      </c>
      <c r="AE6" s="118" t="s">
        <v>1549</v>
      </c>
      <c r="AF6" s="352" t="s">
        <v>1634</v>
      </c>
      <c r="AG6" s="118" t="s">
        <v>1523</v>
      </c>
      <c r="AH6" s="118" t="s">
        <v>1550</v>
      </c>
      <c r="AI6" s="118" t="s">
        <v>1525</v>
      </c>
      <c r="AJ6" s="118" t="s">
        <v>1551</v>
      </c>
      <c r="AK6" s="118"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1641</v>
      </c>
      <c r="BN6" s="118" t="s">
        <v>2209</v>
      </c>
      <c r="BO6" s="118" t="s">
        <v>3697</v>
      </c>
      <c r="BP6" s="118" t="s">
        <v>1644</v>
      </c>
      <c r="BQ6" s="224" t="s">
        <v>2184</v>
      </c>
      <c r="BR6" s="119"/>
      <c r="BS6" s="120" t="s">
        <v>1645</v>
      </c>
      <c r="BT6" s="121" t="s">
        <v>1646</v>
      </c>
      <c r="BU6" s="121" t="s">
        <v>1647</v>
      </c>
      <c r="BV6" s="121" t="s">
        <v>1648</v>
      </c>
      <c r="BW6" s="121" t="s">
        <v>1647</v>
      </c>
      <c r="BX6" s="121" t="s">
        <v>1647</v>
      </c>
      <c r="BY6" s="121" t="s">
        <v>1649</v>
      </c>
      <c r="BZ6" s="122" t="s">
        <v>1650</v>
      </c>
    </row>
    <row r="7" ht="15" customHeight="1" spans="1:78">
      <c r="A7" s="123" t="str">
        <f>IF(E7="","",COUNT(A$6:A6)+1)</f>
        <v/>
      </c>
      <c r="B7" s="149"/>
      <c r="C7" s="149"/>
      <c r="D7" s="149"/>
      <c r="E7" s="124"/>
      <c r="F7" s="124"/>
      <c r="G7" s="125"/>
      <c r="H7" s="126"/>
      <c r="I7" s="126"/>
      <c r="J7" s="125"/>
      <c r="K7" s="126"/>
      <c r="L7" s="491"/>
      <c r="M7" s="491"/>
      <c r="N7" s="491"/>
      <c r="O7" s="491"/>
      <c r="P7" s="500"/>
      <c r="Q7" s="491"/>
      <c r="R7" s="491"/>
      <c r="S7" s="491"/>
      <c r="T7" s="491"/>
      <c r="U7" s="491"/>
      <c r="V7" s="491"/>
      <c r="W7" s="491"/>
      <c r="X7" s="491"/>
      <c r="Y7" s="214"/>
      <c r="Z7" s="127"/>
      <c r="AA7" s="127" t="str">
        <f>IFERROR(VLOOKUP(Z7,参数表!$H$2:$I$50,2,FALSE),"")</f>
        <v/>
      </c>
      <c r="AB7" s="128" t="str">
        <f>IFERROR(IF(OR(Z7="人民币",Z7=""),"",AD7/AA7),"")</f>
        <v/>
      </c>
      <c r="AC7" s="128" t="str">
        <f>IFERROR(IF(OR(Z7="人民币",Z7=""),"",AG7/AA7),"")</f>
        <v/>
      </c>
      <c r="AD7" s="129"/>
      <c r="AE7" s="129"/>
      <c r="AF7" s="130"/>
      <c r="AG7" s="129" t="str">
        <f>IF(E7="","",AE7+AF7)</f>
        <v/>
      </c>
      <c r="AH7" s="129" t="str">
        <f t="shared" ref="AH7:AH26" si="0">IF(E7="","",IF(BB$3="是",ROUND(L7*BQ7,-2),""))</f>
        <v/>
      </c>
      <c r="AI7" s="129" t="str">
        <f t="shared" ref="AI7:AI29" si="1">IFERROR(AH7-AG7,"")</f>
        <v/>
      </c>
      <c r="AJ7" s="129" t="str">
        <f t="shared" ref="AJ7:AJ29" si="2">IFERROR(AI7/AG7*100,"")</f>
        <v/>
      </c>
      <c r="AK7" s="131"/>
      <c r="BA7" s="78"/>
      <c r="BB7" s="132" t="s">
        <v>4568</v>
      </c>
      <c r="BC7" s="133"/>
      <c r="BD7" s="132" t="str">
        <f>IF(OR(E7="",BC7=""),"",COUNTIF(BC$7:BC7,"√"))</f>
        <v/>
      </c>
      <c r="BE7" s="134" t="str">
        <f t="shared" ref="BE7:BE26" si="3">IF(BC7="","",BB7&amp;"︱"&amp;E7&amp;"︱"&amp;TEXT(AE7,"#,##0.00"))</f>
        <v/>
      </c>
      <c r="BF7" s="135" t="str">
        <f>IF($B7="","",IF(BF$5=0,"OK","出错"))</f>
        <v/>
      </c>
      <c r="BG7" s="135" t="str">
        <f>IF($B7="","",IF(BG$5=0,"OK","出错"))</f>
        <v/>
      </c>
      <c r="BH7" s="136"/>
      <c r="BI7" s="137"/>
      <c r="BJ7" s="136"/>
      <c r="BK7" s="136"/>
      <c r="BL7" s="136"/>
      <c r="BM7" s="136"/>
      <c r="BN7" s="137"/>
      <c r="BO7" s="136"/>
      <c r="BP7" s="137"/>
      <c r="BS7" s="134" t="str">
        <f>IF(COUNTIF(BS$6:BS6,I7)&gt;0,"",I7)&amp;""</f>
        <v/>
      </c>
      <c r="BT7" s="138">
        <f>SUMIF(I$7:I$26,BS7,AD$7:AD$26)</f>
        <v>0</v>
      </c>
      <c r="BU7" s="132">
        <f t="shared" ref="BU7" si="4">RANK(BT7,BT$7:BT$26)</f>
        <v>1</v>
      </c>
      <c r="BV7" s="138">
        <f>SUMIF(I$7:I$26,BS7,AH$7:AH$26)</f>
        <v>0</v>
      </c>
      <c r="BW7" s="132">
        <f>RANK(BV7,BV$7:BV$26)</f>
        <v>1</v>
      </c>
      <c r="BX7" s="138">
        <f>SUM(BT7:BT26)</f>
        <v>0</v>
      </c>
      <c r="BY7" s="138"/>
      <c r="BZ7" s="138"/>
    </row>
    <row r="8" ht="15" customHeight="1" spans="1:78">
      <c r="A8" s="123" t="str">
        <f>IF(E8="","",COUNT(A$6:A7)+1)</f>
        <v/>
      </c>
      <c r="B8" s="141"/>
      <c r="C8" s="141"/>
      <c r="D8" s="263"/>
      <c r="E8" s="139"/>
      <c r="F8" s="139"/>
      <c r="G8" s="140"/>
      <c r="H8" s="141"/>
      <c r="I8" s="141"/>
      <c r="J8" s="140"/>
      <c r="K8" s="141"/>
      <c r="L8" s="501"/>
      <c r="M8" s="501"/>
      <c r="N8" s="501"/>
      <c r="O8" s="501"/>
      <c r="P8" s="502"/>
      <c r="Q8" s="501"/>
      <c r="R8" s="501"/>
      <c r="S8" s="501"/>
      <c r="T8" s="501"/>
      <c r="U8" s="501"/>
      <c r="V8" s="501"/>
      <c r="W8" s="501"/>
      <c r="X8" s="501"/>
      <c r="Y8" s="219"/>
      <c r="Z8" s="142"/>
      <c r="AA8" s="127" t="str">
        <f>IFERROR(VLOOKUP(Z8,参数表!$H$2:$I$50,2,FALSE),"")</f>
        <v/>
      </c>
      <c r="AB8" s="128" t="str">
        <f t="shared" ref="AB8:AB26" si="5">IFERROR(IF(OR(Z8="人民币",Z8=""),"",AD8/AA8),"")</f>
        <v/>
      </c>
      <c r="AC8" s="128" t="str">
        <f t="shared" ref="AC8:AC26" si="6">IFERROR(IF(OR(Z8="人民币",Z8=""),"",AG8/AA8),"")</f>
        <v/>
      </c>
      <c r="AD8" s="143"/>
      <c r="AE8" s="143"/>
      <c r="AF8" s="144"/>
      <c r="AG8" s="129" t="str">
        <f t="shared" ref="AG8:AG26" si="7">IF(E8="","",AE8+AF8)</f>
        <v/>
      </c>
      <c r="AH8" s="129" t="str">
        <f t="shared" si="0"/>
        <v/>
      </c>
      <c r="AI8" s="129" t="str">
        <f t="shared" si="1"/>
        <v/>
      </c>
      <c r="AJ8" s="129" t="str">
        <f t="shared" si="2"/>
        <v/>
      </c>
      <c r="AK8" s="145"/>
      <c r="BA8" s="78"/>
      <c r="BB8" s="132" t="s">
        <v>4569</v>
      </c>
      <c r="BC8" s="133"/>
      <c r="BD8" s="132" t="str">
        <f>IF(OR(E8="",BC8=""),"",COUNTIF(BC$7:BC8,"√"))</f>
        <v/>
      </c>
      <c r="BE8" s="134" t="str">
        <f t="shared" si="3"/>
        <v/>
      </c>
      <c r="BF8" s="135" t="str">
        <f t="shared" ref="BF8:BG26" si="8">IF($B8="","",IF(BF$5=0,"OK","出错"))</f>
        <v/>
      </c>
      <c r="BG8" s="135" t="str">
        <f t="shared" si="8"/>
        <v/>
      </c>
      <c r="BH8" s="136"/>
      <c r="BI8" s="137"/>
      <c r="BJ8" s="136"/>
      <c r="BK8" s="136"/>
      <c r="BL8" s="136"/>
      <c r="BM8" s="136"/>
      <c r="BN8" s="137"/>
      <c r="BO8" s="136"/>
      <c r="BP8" s="137"/>
      <c r="BS8" s="134" t="str">
        <f>IF(COUNTIF(BS$6:BS7,I8)&gt;0,"",I8)&amp;""</f>
        <v/>
      </c>
      <c r="BT8" s="138">
        <f t="shared" ref="BT8:BT26" si="9">SUMIF(I$7:I$26,BS8,AD$7:AD$26)</f>
        <v>0</v>
      </c>
      <c r="BU8" s="132">
        <f t="shared" ref="BU8:BU26" si="10">RANK(BT8,BT$7:BT$26)</f>
        <v>1</v>
      </c>
      <c r="BV8" s="138">
        <f t="shared" ref="BV8:BV26" si="11">SUMIF(I$7:I$26,BS8,AH$7:AH$26)</f>
        <v>0</v>
      </c>
      <c r="BW8" s="132">
        <f t="shared" ref="BW8:BW26" si="12">RANK(BV8,BV$7:BV$26)</f>
        <v>1</v>
      </c>
      <c r="BX8" s="138">
        <f>SUM(BV7:BV26)</f>
        <v>0</v>
      </c>
      <c r="BY8" s="138"/>
      <c r="BZ8" s="138"/>
    </row>
    <row r="9" ht="15" customHeight="1" spans="1:78">
      <c r="A9" s="123" t="str">
        <f>IF(E9="","",COUNT(A$6:A8)+1)</f>
        <v/>
      </c>
      <c r="B9" s="141"/>
      <c r="C9" s="141"/>
      <c r="D9" s="263"/>
      <c r="E9" s="139"/>
      <c r="F9" s="139"/>
      <c r="G9" s="140"/>
      <c r="H9" s="141"/>
      <c r="I9" s="141"/>
      <c r="J9" s="140"/>
      <c r="K9" s="141"/>
      <c r="L9" s="501"/>
      <c r="M9" s="501"/>
      <c r="N9" s="501"/>
      <c r="O9" s="501"/>
      <c r="P9" s="502"/>
      <c r="Q9" s="501"/>
      <c r="R9" s="501"/>
      <c r="S9" s="501"/>
      <c r="T9" s="501"/>
      <c r="U9" s="501"/>
      <c r="V9" s="501"/>
      <c r="W9" s="501"/>
      <c r="X9" s="501"/>
      <c r="Y9" s="219"/>
      <c r="Z9" s="142"/>
      <c r="AA9" s="127" t="str">
        <f>IFERROR(VLOOKUP(Z9,参数表!$H$2:$I$50,2,FALSE),"")</f>
        <v/>
      </c>
      <c r="AB9" s="128" t="str">
        <f t="shared" si="5"/>
        <v/>
      </c>
      <c r="AC9" s="128" t="str">
        <f t="shared" si="6"/>
        <v/>
      </c>
      <c r="AD9" s="143"/>
      <c r="AE9" s="143"/>
      <c r="AF9" s="144"/>
      <c r="AG9" s="129" t="str">
        <f t="shared" si="7"/>
        <v/>
      </c>
      <c r="AH9" s="129" t="str">
        <f t="shared" si="0"/>
        <v/>
      </c>
      <c r="AI9" s="129" t="str">
        <f t="shared" si="1"/>
        <v/>
      </c>
      <c r="AJ9" s="129" t="str">
        <f t="shared" si="2"/>
        <v/>
      </c>
      <c r="AK9" s="145"/>
      <c r="BA9" s="78"/>
      <c r="BB9" s="132" t="s">
        <v>4570</v>
      </c>
      <c r="BC9" s="133"/>
      <c r="BD9" s="132" t="str">
        <f>IF(OR(E9="",BC9=""),"",COUNTIF(BC$7:BC9,"√"))</f>
        <v/>
      </c>
      <c r="BE9" s="134" t="str">
        <f t="shared" si="3"/>
        <v/>
      </c>
      <c r="BF9" s="135" t="str">
        <f t="shared" si="8"/>
        <v/>
      </c>
      <c r="BG9" s="135" t="str">
        <f t="shared" si="8"/>
        <v/>
      </c>
      <c r="BH9" s="136"/>
      <c r="BI9" s="137"/>
      <c r="BJ9" s="136"/>
      <c r="BK9" s="136"/>
      <c r="BL9" s="136"/>
      <c r="BM9" s="136"/>
      <c r="BN9" s="137"/>
      <c r="BO9" s="136"/>
      <c r="BP9" s="137"/>
      <c r="BS9" s="134" t="str">
        <f>IF(COUNTIF(BS$6:BS8,I9)&gt;0,"",I9)&amp;""</f>
        <v/>
      </c>
      <c r="BT9" s="138">
        <f t="shared" si="9"/>
        <v>0</v>
      </c>
      <c r="BU9" s="132">
        <f t="shared" si="10"/>
        <v>1</v>
      </c>
      <c r="BV9" s="138">
        <f t="shared" si="11"/>
        <v>0</v>
      </c>
      <c r="BW9" s="132">
        <f t="shared" si="12"/>
        <v>1</v>
      </c>
      <c r="BX9" s="132">
        <v>1</v>
      </c>
      <c r="BY9" s="134" t="str">
        <f>IFERROR(INDEX(BS$7:BS$26,MATCH(BX9,IF(BX$7=0,BW$7:BW$26,BU$7:BU$26),0))&amp;"","")</f>
        <v/>
      </c>
      <c r="BZ9" s="146" t="str">
        <f>IF(BY10="","",IF(BY11="","和","、"))</f>
        <v/>
      </c>
    </row>
    <row r="10" ht="15" customHeight="1" spans="1:78">
      <c r="A10" s="123" t="str">
        <f>IF(E10="","",COUNT(A$6:A9)+1)</f>
        <v/>
      </c>
      <c r="B10" s="141"/>
      <c r="C10" s="141"/>
      <c r="D10" s="263"/>
      <c r="E10" s="139"/>
      <c r="F10" s="139"/>
      <c r="G10" s="140"/>
      <c r="H10" s="141"/>
      <c r="I10" s="141"/>
      <c r="J10" s="140"/>
      <c r="K10" s="141"/>
      <c r="L10" s="501"/>
      <c r="M10" s="501"/>
      <c r="N10" s="501"/>
      <c r="O10" s="501"/>
      <c r="P10" s="502"/>
      <c r="Q10" s="501"/>
      <c r="R10" s="501"/>
      <c r="S10" s="501"/>
      <c r="T10" s="501"/>
      <c r="U10" s="501"/>
      <c r="V10" s="501"/>
      <c r="W10" s="501"/>
      <c r="X10" s="501"/>
      <c r="Y10" s="219"/>
      <c r="Z10" s="142"/>
      <c r="AA10" s="127" t="str">
        <f>IFERROR(VLOOKUP(Z10,参数表!$H$2:$I$50,2,FALSE),"")</f>
        <v/>
      </c>
      <c r="AB10" s="128" t="str">
        <f t="shared" si="5"/>
        <v/>
      </c>
      <c r="AC10" s="128" t="str">
        <f t="shared" si="6"/>
        <v/>
      </c>
      <c r="AD10" s="143"/>
      <c r="AE10" s="143"/>
      <c r="AF10" s="144"/>
      <c r="AG10" s="129" t="str">
        <f t="shared" si="7"/>
        <v/>
      </c>
      <c r="AH10" s="129" t="str">
        <f t="shared" si="0"/>
        <v/>
      </c>
      <c r="AI10" s="129" t="str">
        <f t="shared" si="1"/>
        <v/>
      </c>
      <c r="AJ10" s="129" t="str">
        <f t="shared" si="2"/>
        <v/>
      </c>
      <c r="AK10" s="145"/>
      <c r="BA10" s="78"/>
      <c r="BB10" s="132" t="s">
        <v>4571</v>
      </c>
      <c r="BC10" s="133"/>
      <c r="BD10" s="132" t="str">
        <f>IF(OR(E10="",BC10=""),"",COUNTIF(BC$7:BC10,"√"))</f>
        <v/>
      </c>
      <c r="BE10" s="134" t="str">
        <f t="shared" si="3"/>
        <v/>
      </c>
      <c r="BF10" s="135" t="str">
        <f t="shared" si="8"/>
        <v/>
      </c>
      <c r="BG10" s="135" t="str">
        <f t="shared" si="8"/>
        <v/>
      </c>
      <c r="BH10" s="136"/>
      <c r="BI10" s="137"/>
      <c r="BJ10" s="136"/>
      <c r="BK10" s="136"/>
      <c r="BL10" s="136"/>
      <c r="BM10" s="136"/>
      <c r="BN10" s="137"/>
      <c r="BO10" s="136"/>
      <c r="BP10" s="137"/>
      <c r="BS10" s="134" t="str">
        <f>IF(COUNTIF(BS$6:BS9,I10)&gt;0,"",I10)&amp;""</f>
        <v/>
      </c>
      <c r="BT10" s="138">
        <f t="shared" si="9"/>
        <v>0</v>
      </c>
      <c r="BU10" s="132">
        <f t="shared" si="10"/>
        <v>1</v>
      </c>
      <c r="BV10" s="138">
        <f t="shared" si="11"/>
        <v>0</v>
      </c>
      <c r="BW10" s="132">
        <f t="shared" si="12"/>
        <v>1</v>
      </c>
      <c r="BX10" s="132">
        <v>2</v>
      </c>
      <c r="BY10" s="134" t="str">
        <f t="shared" ref="BY10:BY13" si="13">IFERROR(INDEX(BS$7:BS$26,MATCH(BX10,IF(BX$7=0,BW$7:BW$26,BU$7:BU$26),0))&amp;"","")</f>
        <v/>
      </c>
      <c r="BZ10" s="146" t="str">
        <f t="shared" ref="BZ10:BZ11" si="14">IF(BY11="","",IF(BY12="","和","、"))</f>
        <v/>
      </c>
    </row>
    <row r="11" ht="15" customHeight="1" spans="1:78">
      <c r="A11" s="123" t="str">
        <f>IF(E11="","",COUNT(A$6:A10)+1)</f>
        <v/>
      </c>
      <c r="B11" s="141"/>
      <c r="C11" s="141"/>
      <c r="D11" s="263"/>
      <c r="E11" s="139"/>
      <c r="F11" s="139"/>
      <c r="G11" s="140"/>
      <c r="H11" s="141"/>
      <c r="I11" s="141"/>
      <c r="J11" s="140"/>
      <c r="K11" s="141"/>
      <c r="L11" s="501"/>
      <c r="M11" s="501"/>
      <c r="N11" s="501"/>
      <c r="O11" s="501"/>
      <c r="P11" s="502"/>
      <c r="Q11" s="501"/>
      <c r="R11" s="501"/>
      <c r="S11" s="501"/>
      <c r="T11" s="501"/>
      <c r="U11" s="501"/>
      <c r="V11" s="501"/>
      <c r="W11" s="501"/>
      <c r="X11" s="501"/>
      <c r="Y11" s="219"/>
      <c r="Z11" s="142"/>
      <c r="AA11" s="127" t="str">
        <f>IFERROR(VLOOKUP(Z11,参数表!$H$2:$I$50,2,FALSE),"")</f>
        <v/>
      </c>
      <c r="AB11" s="128" t="str">
        <f t="shared" si="5"/>
        <v/>
      </c>
      <c r="AC11" s="128" t="str">
        <f t="shared" si="6"/>
        <v/>
      </c>
      <c r="AD11" s="143"/>
      <c r="AE11" s="143"/>
      <c r="AF11" s="144"/>
      <c r="AG11" s="129" t="str">
        <f t="shared" si="7"/>
        <v/>
      </c>
      <c r="AH11" s="129" t="str">
        <f t="shared" si="0"/>
        <v/>
      </c>
      <c r="AI11" s="129" t="str">
        <f t="shared" si="1"/>
        <v/>
      </c>
      <c r="AJ11" s="129" t="str">
        <f t="shared" si="2"/>
        <v/>
      </c>
      <c r="AK11" s="145"/>
      <c r="BA11" s="78"/>
      <c r="BB11" s="132" t="s">
        <v>4572</v>
      </c>
      <c r="BC11" s="133"/>
      <c r="BD11" s="132" t="str">
        <f>IF(OR(E11="",BC11=""),"",COUNTIF(BC$7:BC11,"√"))</f>
        <v/>
      </c>
      <c r="BE11" s="134" t="str">
        <f t="shared" si="3"/>
        <v/>
      </c>
      <c r="BF11" s="135" t="str">
        <f t="shared" si="8"/>
        <v/>
      </c>
      <c r="BG11" s="135" t="str">
        <f t="shared" si="8"/>
        <v/>
      </c>
      <c r="BH11" s="136"/>
      <c r="BI11" s="137"/>
      <c r="BJ11" s="136"/>
      <c r="BK11" s="136"/>
      <c r="BL11" s="136"/>
      <c r="BM11" s="136"/>
      <c r="BN11" s="137"/>
      <c r="BO11" s="136"/>
      <c r="BP11" s="137"/>
      <c r="BS11" s="134" t="str">
        <f>IF(COUNTIF(BS$6:BS10,I11)&gt;0,"",I11)&amp;""</f>
        <v/>
      </c>
      <c r="BT11" s="138">
        <f t="shared" si="9"/>
        <v>0</v>
      </c>
      <c r="BU11" s="132">
        <f t="shared" si="10"/>
        <v>1</v>
      </c>
      <c r="BV11" s="138">
        <f t="shared" si="11"/>
        <v>0</v>
      </c>
      <c r="BW11" s="132">
        <f t="shared" si="12"/>
        <v>1</v>
      </c>
      <c r="BX11" s="132">
        <v>3</v>
      </c>
      <c r="BY11" s="134" t="str">
        <f t="shared" si="13"/>
        <v/>
      </c>
      <c r="BZ11" s="146" t="str">
        <f t="shared" si="14"/>
        <v/>
      </c>
    </row>
    <row r="12" ht="15" customHeight="1" spans="1:78">
      <c r="A12" s="123" t="str">
        <f>IF(E12="","",COUNT(A$6:A11)+1)</f>
        <v/>
      </c>
      <c r="B12" s="141"/>
      <c r="C12" s="141"/>
      <c r="D12" s="263"/>
      <c r="E12" s="139"/>
      <c r="F12" s="139"/>
      <c r="G12" s="140"/>
      <c r="H12" s="141"/>
      <c r="I12" s="141"/>
      <c r="J12" s="140"/>
      <c r="K12" s="141"/>
      <c r="L12" s="501"/>
      <c r="M12" s="501"/>
      <c r="N12" s="501"/>
      <c r="O12" s="501"/>
      <c r="P12" s="502"/>
      <c r="Q12" s="501"/>
      <c r="R12" s="501"/>
      <c r="S12" s="501"/>
      <c r="T12" s="501"/>
      <c r="U12" s="501"/>
      <c r="V12" s="501"/>
      <c r="W12" s="501"/>
      <c r="X12" s="501"/>
      <c r="Y12" s="219"/>
      <c r="Z12" s="142"/>
      <c r="AA12" s="127" t="str">
        <f>IFERROR(VLOOKUP(Z12,参数表!$H$2:$I$50,2,FALSE),"")</f>
        <v/>
      </c>
      <c r="AB12" s="128" t="str">
        <f t="shared" si="5"/>
        <v/>
      </c>
      <c r="AC12" s="128" t="str">
        <f t="shared" si="6"/>
        <v/>
      </c>
      <c r="AD12" s="143"/>
      <c r="AE12" s="143"/>
      <c r="AF12" s="144"/>
      <c r="AG12" s="129" t="str">
        <f t="shared" si="7"/>
        <v/>
      </c>
      <c r="AH12" s="129" t="str">
        <f t="shared" si="0"/>
        <v/>
      </c>
      <c r="AI12" s="129" t="str">
        <f t="shared" si="1"/>
        <v/>
      </c>
      <c r="AJ12" s="129" t="str">
        <f t="shared" si="2"/>
        <v/>
      </c>
      <c r="AK12" s="145"/>
      <c r="BA12" s="78"/>
      <c r="BB12" s="132" t="s">
        <v>4573</v>
      </c>
      <c r="BC12" s="133"/>
      <c r="BD12" s="132" t="str">
        <f>IF(OR(E12="",BC12=""),"",COUNTIF(BC$7:BC12,"√"))</f>
        <v/>
      </c>
      <c r="BE12" s="134" t="str">
        <f t="shared" si="3"/>
        <v/>
      </c>
      <c r="BF12" s="135" t="str">
        <f t="shared" si="8"/>
        <v/>
      </c>
      <c r="BG12" s="135" t="str">
        <f t="shared" si="8"/>
        <v/>
      </c>
      <c r="BH12" s="136"/>
      <c r="BI12" s="137"/>
      <c r="BJ12" s="136"/>
      <c r="BK12" s="136"/>
      <c r="BL12" s="136"/>
      <c r="BM12" s="136"/>
      <c r="BN12" s="137"/>
      <c r="BO12" s="136"/>
      <c r="BP12" s="137"/>
      <c r="BS12" s="134" t="str">
        <f>IF(COUNTIF(BS$6:BS11,I12)&gt;0,"",I12)&amp;""</f>
        <v/>
      </c>
      <c r="BT12" s="138">
        <f t="shared" si="9"/>
        <v>0</v>
      </c>
      <c r="BU12" s="132">
        <f t="shared" si="10"/>
        <v>1</v>
      </c>
      <c r="BV12" s="138">
        <f t="shared" si="11"/>
        <v>0</v>
      </c>
      <c r="BW12" s="132">
        <f t="shared" si="12"/>
        <v>1</v>
      </c>
      <c r="BX12" s="132">
        <v>4</v>
      </c>
      <c r="BY12" s="134" t="str">
        <f t="shared" si="13"/>
        <v/>
      </c>
      <c r="BZ12" s="146" t="str">
        <f>IF(BY13="","","和")</f>
        <v/>
      </c>
    </row>
    <row r="13" ht="15" customHeight="1" spans="1:78">
      <c r="A13" s="123" t="str">
        <f>IF(E13="","",COUNT(A$6:A12)+1)</f>
        <v/>
      </c>
      <c r="B13" s="141"/>
      <c r="C13" s="141"/>
      <c r="D13" s="263"/>
      <c r="E13" s="139"/>
      <c r="F13" s="139"/>
      <c r="G13" s="140"/>
      <c r="H13" s="141"/>
      <c r="I13" s="141"/>
      <c r="J13" s="140"/>
      <c r="K13" s="141"/>
      <c r="L13" s="501"/>
      <c r="M13" s="501"/>
      <c r="N13" s="501"/>
      <c r="O13" s="501"/>
      <c r="P13" s="502"/>
      <c r="Q13" s="501"/>
      <c r="R13" s="501"/>
      <c r="S13" s="501"/>
      <c r="T13" s="501"/>
      <c r="U13" s="501"/>
      <c r="V13" s="501"/>
      <c r="W13" s="501"/>
      <c r="X13" s="501"/>
      <c r="Y13" s="219"/>
      <c r="Z13" s="142"/>
      <c r="AA13" s="127" t="str">
        <f>IFERROR(VLOOKUP(Z13,参数表!$H$2:$I$50,2,FALSE),"")</f>
        <v/>
      </c>
      <c r="AB13" s="128" t="str">
        <f t="shared" si="5"/>
        <v/>
      </c>
      <c r="AC13" s="128" t="str">
        <f t="shared" si="6"/>
        <v/>
      </c>
      <c r="AD13" s="143"/>
      <c r="AE13" s="143"/>
      <c r="AF13" s="144"/>
      <c r="AG13" s="129" t="str">
        <f t="shared" si="7"/>
        <v/>
      </c>
      <c r="AH13" s="129" t="str">
        <f t="shared" si="0"/>
        <v/>
      </c>
      <c r="AI13" s="129" t="str">
        <f t="shared" si="1"/>
        <v/>
      </c>
      <c r="AJ13" s="129" t="str">
        <f t="shared" si="2"/>
        <v/>
      </c>
      <c r="AK13" s="145"/>
      <c r="BA13" s="78"/>
      <c r="BB13" s="132" t="s">
        <v>4574</v>
      </c>
      <c r="BC13" s="133"/>
      <c r="BD13" s="132" t="str">
        <f>IF(OR(E13="",BC13=""),"",COUNTIF(BC$7:BC13,"√"))</f>
        <v/>
      </c>
      <c r="BE13" s="134" t="str">
        <f t="shared" si="3"/>
        <v/>
      </c>
      <c r="BF13" s="135" t="str">
        <f t="shared" si="8"/>
        <v/>
      </c>
      <c r="BG13" s="135" t="str">
        <f t="shared" si="8"/>
        <v/>
      </c>
      <c r="BH13" s="136"/>
      <c r="BI13" s="137"/>
      <c r="BJ13" s="136"/>
      <c r="BK13" s="136"/>
      <c r="BL13" s="136"/>
      <c r="BM13" s="136"/>
      <c r="BN13" s="137"/>
      <c r="BO13" s="136"/>
      <c r="BP13" s="137"/>
      <c r="BS13" s="134" t="str">
        <f>IF(COUNTIF(BS$6:BS12,I13)&gt;0,"",I13)&amp;""</f>
        <v/>
      </c>
      <c r="BT13" s="138">
        <f t="shared" si="9"/>
        <v>0</v>
      </c>
      <c r="BU13" s="132">
        <f t="shared" si="10"/>
        <v>1</v>
      </c>
      <c r="BV13" s="138">
        <f t="shared" si="11"/>
        <v>0</v>
      </c>
      <c r="BW13" s="132">
        <f t="shared" si="12"/>
        <v>1</v>
      </c>
      <c r="BX13" s="132">
        <v>5</v>
      </c>
      <c r="BY13" s="134" t="str">
        <f t="shared" si="13"/>
        <v/>
      </c>
      <c r="BZ13" s="146"/>
    </row>
    <row r="14" ht="15" customHeight="1" spans="1:78">
      <c r="A14" s="123" t="str">
        <f>IF(E14="","",COUNT(A$6:A13)+1)</f>
        <v/>
      </c>
      <c r="B14" s="141"/>
      <c r="C14" s="141"/>
      <c r="D14" s="263"/>
      <c r="E14" s="139"/>
      <c r="F14" s="139"/>
      <c r="G14" s="140"/>
      <c r="H14" s="141"/>
      <c r="I14" s="141"/>
      <c r="J14" s="140"/>
      <c r="K14" s="141"/>
      <c r="L14" s="501"/>
      <c r="M14" s="501"/>
      <c r="N14" s="501"/>
      <c r="O14" s="501"/>
      <c r="P14" s="502"/>
      <c r="Q14" s="501"/>
      <c r="R14" s="501"/>
      <c r="S14" s="501"/>
      <c r="T14" s="501"/>
      <c r="U14" s="501"/>
      <c r="V14" s="501"/>
      <c r="W14" s="501"/>
      <c r="X14" s="501"/>
      <c r="Y14" s="219"/>
      <c r="Z14" s="142"/>
      <c r="AA14" s="127" t="str">
        <f>IFERROR(VLOOKUP(Z14,参数表!$H$2:$I$50,2,FALSE),"")</f>
        <v/>
      </c>
      <c r="AB14" s="128" t="str">
        <f t="shared" si="5"/>
        <v/>
      </c>
      <c r="AC14" s="128" t="str">
        <f t="shared" si="6"/>
        <v/>
      </c>
      <c r="AD14" s="143"/>
      <c r="AE14" s="143"/>
      <c r="AF14" s="144"/>
      <c r="AG14" s="129" t="str">
        <f t="shared" si="7"/>
        <v/>
      </c>
      <c r="AH14" s="129" t="str">
        <f t="shared" si="0"/>
        <v/>
      </c>
      <c r="AI14" s="129" t="str">
        <f t="shared" si="1"/>
        <v/>
      </c>
      <c r="AJ14" s="129" t="str">
        <f t="shared" si="2"/>
        <v/>
      </c>
      <c r="AK14" s="145"/>
      <c r="BA14" s="78"/>
      <c r="BB14" s="132" t="s">
        <v>4575</v>
      </c>
      <c r="BC14" s="133"/>
      <c r="BD14" s="132" t="str">
        <f>IF(OR(E14="",BC14=""),"",COUNTIF(BC$7:BC14,"√"))</f>
        <v/>
      </c>
      <c r="BE14" s="134" t="str">
        <f t="shared" si="3"/>
        <v/>
      </c>
      <c r="BF14" s="135" t="str">
        <f t="shared" si="8"/>
        <v/>
      </c>
      <c r="BG14" s="135" t="str">
        <f t="shared" si="8"/>
        <v/>
      </c>
      <c r="BH14" s="136"/>
      <c r="BI14" s="137"/>
      <c r="BJ14" s="136"/>
      <c r="BK14" s="136"/>
      <c r="BL14" s="136"/>
      <c r="BM14" s="136"/>
      <c r="BN14" s="137"/>
      <c r="BO14" s="136"/>
      <c r="BP14" s="137"/>
      <c r="BS14" s="134" t="str">
        <f>IF(COUNTIF(BS$6:BS13,I14)&gt;0,"",I14)&amp;""</f>
        <v/>
      </c>
      <c r="BT14" s="138">
        <f t="shared" si="9"/>
        <v>0</v>
      </c>
      <c r="BU14" s="132">
        <f t="shared" si="10"/>
        <v>1</v>
      </c>
      <c r="BV14" s="138">
        <f t="shared" si="11"/>
        <v>0</v>
      </c>
      <c r="BW14" s="132">
        <f t="shared" si="12"/>
        <v>1</v>
      </c>
      <c r="BX14" s="147" t="s">
        <v>1659</v>
      </c>
      <c r="BY14" s="132" t="str">
        <f>CONCATENATE(BY9,BZ9,BY10,BZ10,BY11,BZ11,BY12,BZ12,BY13)</f>
        <v/>
      </c>
      <c r="BZ14" s="132"/>
    </row>
    <row r="15" ht="15" customHeight="1" spans="1:78">
      <c r="A15" s="123" t="str">
        <f>IF(E15="","",COUNT(A$6:A14)+1)</f>
        <v/>
      </c>
      <c r="B15" s="141"/>
      <c r="C15" s="141"/>
      <c r="D15" s="263"/>
      <c r="E15" s="139"/>
      <c r="F15" s="139"/>
      <c r="G15" s="140"/>
      <c r="H15" s="141"/>
      <c r="I15" s="141"/>
      <c r="J15" s="140"/>
      <c r="K15" s="141"/>
      <c r="L15" s="501"/>
      <c r="M15" s="501"/>
      <c r="N15" s="501"/>
      <c r="O15" s="501"/>
      <c r="P15" s="502"/>
      <c r="Q15" s="501"/>
      <c r="R15" s="501"/>
      <c r="S15" s="501"/>
      <c r="T15" s="501"/>
      <c r="U15" s="501"/>
      <c r="V15" s="501"/>
      <c r="W15" s="501"/>
      <c r="X15" s="501"/>
      <c r="Y15" s="219"/>
      <c r="Z15" s="142"/>
      <c r="AA15" s="127" t="str">
        <f>IFERROR(VLOOKUP(Z15,参数表!$H$2:$I$50,2,FALSE),"")</f>
        <v/>
      </c>
      <c r="AB15" s="128" t="str">
        <f t="shared" si="5"/>
        <v/>
      </c>
      <c r="AC15" s="128" t="str">
        <f t="shared" si="6"/>
        <v/>
      </c>
      <c r="AD15" s="143"/>
      <c r="AE15" s="143"/>
      <c r="AF15" s="144"/>
      <c r="AG15" s="129" t="str">
        <f t="shared" si="7"/>
        <v/>
      </c>
      <c r="AH15" s="129" t="str">
        <f t="shared" si="0"/>
        <v/>
      </c>
      <c r="AI15" s="129" t="str">
        <f t="shared" si="1"/>
        <v/>
      </c>
      <c r="AJ15" s="129" t="str">
        <f t="shared" si="2"/>
        <v/>
      </c>
      <c r="AK15" s="145"/>
      <c r="BA15" s="78"/>
      <c r="BB15" s="132" t="s">
        <v>4576</v>
      </c>
      <c r="BC15" s="133"/>
      <c r="BD15" s="132" t="str">
        <f>IF(OR(E15="",BC15=""),"",COUNTIF(BC$7:BC15,"√"))</f>
        <v/>
      </c>
      <c r="BE15" s="134" t="str">
        <f t="shared" si="3"/>
        <v/>
      </c>
      <c r="BF15" s="135" t="str">
        <f t="shared" si="8"/>
        <v/>
      </c>
      <c r="BG15" s="135" t="str">
        <f t="shared" si="8"/>
        <v/>
      </c>
      <c r="BH15" s="136"/>
      <c r="BI15" s="137"/>
      <c r="BJ15" s="136"/>
      <c r="BK15" s="136"/>
      <c r="BL15" s="136"/>
      <c r="BM15" s="136"/>
      <c r="BN15" s="137"/>
      <c r="BO15" s="136"/>
      <c r="BP15" s="137"/>
      <c r="BS15" s="134" t="str">
        <f>IF(COUNTIF(BS$6:BS14,I15)&gt;0,"",I15)&amp;""</f>
        <v/>
      </c>
      <c r="BT15" s="138">
        <f t="shared" si="9"/>
        <v>0</v>
      </c>
      <c r="BU15" s="132">
        <f t="shared" si="10"/>
        <v>1</v>
      </c>
      <c r="BV15" s="138">
        <f t="shared" si="11"/>
        <v>0</v>
      </c>
      <c r="BW15" s="132">
        <f t="shared" si="12"/>
        <v>1</v>
      </c>
      <c r="BX15" s="133"/>
      <c r="BY15" s="133"/>
    </row>
    <row r="16" ht="15" customHeight="1" spans="1:78">
      <c r="A16" s="123" t="str">
        <f>IF(E16="","",COUNT(A$6:A15)+1)</f>
        <v/>
      </c>
      <c r="B16" s="141"/>
      <c r="C16" s="141"/>
      <c r="D16" s="263"/>
      <c r="E16" s="139"/>
      <c r="F16" s="139"/>
      <c r="G16" s="140"/>
      <c r="H16" s="141"/>
      <c r="I16" s="141"/>
      <c r="J16" s="140"/>
      <c r="K16" s="141"/>
      <c r="L16" s="501"/>
      <c r="M16" s="501"/>
      <c r="N16" s="501"/>
      <c r="O16" s="501"/>
      <c r="P16" s="502"/>
      <c r="Q16" s="501"/>
      <c r="R16" s="501"/>
      <c r="S16" s="501"/>
      <c r="T16" s="501"/>
      <c r="U16" s="501"/>
      <c r="V16" s="501"/>
      <c r="W16" s="501"/>
      <c r="X16" s="501"/>
      <c r="Y16" s="219"/>
      <c r="Z16" s="142"/>
      <c r="AA16" s="127" t="str">
        <f>IFERROR(VLOOKUP(Z16,参数表!$H$2:$I$50,2,FALSE),"")</f>
        <v/>
      </c>
      <c r="AB16" s="128" t="str">
        <f t="shared" si="5"/>
        <v/>
      </c>
      <c r="AC16" s="128" t="str">
        <f t="shared" si="6"/>
        <v/>
      </c>
      <c r="AD16" s="143"/>
      <c r="AE16" s="143"/>
      <c r="AF16" s="144"/>
      <c r="AG16" s="129" t="str">
        <f t="shared" si="7"/>
        <v/>
      </c>
      <c r="AH16" s="129" t="str">
        <f t="shared" si="0"/>
        <v/>
      </c>
      <c r="AI16" s="129" t="str">
        <f t="shared" si="1"/>
        <v/>
      </c>
      <c r="AJ16" s="129" t="str">
        <f t="shared" si="2"/>
        <v/>
      </c>
      <c r="AK16" s="145"/>
      <c r="BA16" s="78"/>
      <c r="BB16" s="132" t="s">
        <v>4577</v>
      </c>
      <c r="BC16" s="133"/>
      <c r="BD16" s="132" t="str">
        <f>IF(OR(E16="",BC16=""),"",COUNTIF(BC$7:BC16,"√"))</f>
        <v/>
      </c>
      <c r="BE16" s="134" t="str">
        <f t="shared" si="3"/>
        <v/>
      </c>
      <c r="BF16" s="135" t="str">
        <f t="shared" si="8"/>
        <v/>
      </c>
      <c r="BG16" s="135" t="str">
        <f t="shared" si="8"/>
        <v/>
      </c>
      <c r="BH16" s="136"/>
      <c r="BI16" s="137"/>
      <c r="BJ16" s="136"/>
      <c r="BK16" s="136"/>
      <c r="BL16" s="136"/>
      <c r="BM16" s="136"/>
      <c r="BN16" s="137"/>
      <c r="BO16" s="136"/>
      <c r="BP16" s="137"/>
      <c r="BS16" s="134" t="str">
        <f>IF(COUNTIF(BS$6:BS15,I16)&gt;0,"",I16)&amp;""</f>
        <v/>
      </c>
      <c r="BT16" s="138">
        <f t="shared" si="9"/>
        <v>0</v>
      </c>
      <c r="BU16" s="132">
        <f t="shared" si="10"/>
        <v>1</v>
      </c>
      <c r="BV16" s="138">
        <f t="shared" si="11"/>
        <v>0</v>
      </c>
      <c r="BW16" s="132">
        <f t="shared" si="12"/>
        <v>1</v>
      </c>
      <c r="BX16" s="133"/>
      <c r="BY16" s="148"/>
    </row>
    <row r="17" ht="15" customHeight="1" spans="1:78">
      <c r="A17" s="123" t="str">
        <f>IF(E17="","",COUNT(A$6:A16)+1)</f>
        <v/>
      </c>
      <c r="B17" s="141"/>
      <c r="C17" s="141"/>
      <c r="D17" s="263"/>
      <c r="E17" s="139"/>
      <c r="F17" s="139"/>
      <c r="G17" s="140"/>
      <c r="H17" s="141"/>
      <c r="I17" s="141"/>
      <c r="J17" s="140"/>
      <c r="K17" s="141"/>
      <c r="L17" s="501"/>
      <c r="M17" s="501"/>
      <c r="N17" s="501"/>
      <c r="O17" s="501"/>
      <c r="P17" s="502"/>
      <c r="Q17" s="501"/>
      <c r="R17" s="501"/>
      <c r="S17" s="501"/>
      <c r="T17" s="501"/>
      <c r="U17" s="501"/>
      <c r="V17" s="501"/>
      <c r="W17" s="501"/>
      <c r="X17" s="501"/>
      <c r="Y17" s="219"/>
      <c r="Z17" s="142"/>
      <c r="AA17" s="127" t="str">
        <f>IFERROR(VLOOKUP(Z17,参数表!$H$2:$I$50,2,FALSE),"")</f>
        <v/>
      </c>
      <c r="AB17" s="128" t="str">
        <f t="shared" si="5"/>
        <v/>
      </c>
      <c r="AC17" s="128" t="str">
        <f t="shared" si="6"/>
        <v/>
      </c>
      <c r="AD17" s="143"/>
      <c r="AE17" s="143"/>
      <c r="AF17" s="144"/>
      <c r="AG17" s="129" t="str">
        <f t="shared" si="7"/>
        <v/>
      </c>
      <c r="AH17" s="129" t="str">
        <f t="shared" si="0"/>
        <v/>
      </c>
      <c r="AI17" s="129" t="str">
        <f t="shared" si="1"/>
        <v/>
      </c>
      <c r="AJ17" s="129" t="str">
        <f t="shared" si="2"/>
        <v/>
      </c>
      <c r="AK17" s="145"/>
      <c r="BA17" s="78"/>
      <c r="BB17" s="132" t="s">
        <v>4578</v>
      </c>
      <c r="BC17" s="133"/>
      <c r="BD17" s="132" t="str">
        <f>IF(OR(E17="",BC17=""),"",COUNTIF(BC$7:BC17,"√"))</f>
        <v/>
      </c>
      <c r="BE17" s="134" t="str">
        <f t="shared" si="3"/>
        <v/>
      </c>
      <c r="BF17" s="135" t="str">
        <f t="shared" si="8"/>
        <v/>
      </c>
      <c r="BG17" s="135" t="str">
        <f t="shared" si="8"/>
        <v/>
      </c>
      <c r="BH17" s="136"/>
      <c r="BI17" s="137"/>
      <c r="BJ17" s="136"/>
      <c r="BK17" s="136"/>
      <c r="BL17" s="136"/>
      <c r="BM17" s="136"/>
      <c r="BN17" s="137"/>
      <c r="BO17" s="136"/>
      <c r="BP17" s="137"/>
      <c r="BS17" s="134" t="str">
        <f>IF(COUNTIF(BS$6:BS16,I17)&gt;0,"",I17)&amp;""</f>
        <v/>
      </c>
      <c r="BT17" s="138">
        <f t="shared" si="9"/>
        <v>0</v>
      </c>
      <c r="BU17" s="132">
        <f t="shared" si="10"/>
        <v>1</v>
      </c>
      <c r="BV17" s="138">
        <f t="shared" si="11"/>
        <v>0</v>
      </c>
      <c r="BW17" s="132">
        <f t="shared" si="12"/>
        <v>1</v>
      </c>
      <c r="BX17" s="133"/>
      <c r="BY17" s="133"/>
    </row>
    <row r="18" ht="15" customHeight="1" spans="1:78">
      <c r="A18" s="123" t="str">
        <f>IF(E18="","",COUNT(A$6:A17)+1)</f>
        <v/>
      </c>
      <c r="B18" s="141"/>
      <c r="C18" s="141"/>
      <c r="D18" s="263"/>
      <c r="E18" s="139"/>
      <c r="F18" s="139"/>
      <c r="G18" s="140"/>
      <c r="H18" s="141"/>
      <c r="I18" s="141"/>
      <c r="J18" s="140"/>
      <c r="K18" s="141"/>
      <c r="L18" s="501"/>
      <c r="M18" s="501"/>
      <c r="N18" s="501"/>
      <c r="O18" s="501"/>
      <c r="P18" s="502"/>
      <c r="Q18" s="501"/>
      <c r="R18" s="501"/>
      <c r="S18" s="501"/>
      <c r="T18" s="501"/>
      <c r="U18" s="501"/>
      <c r="V18" s="501"/>
      <c r="W18" s="501"/>
      <c r="X18" s="501"/>
      <c r="Y18" s="219"/>
      <c r="Z18" s="142"/>
      <c r="AA18" s="127" t="str">
        <f>IFERROR(VLOOKUP(Z18,参数表!$H$2:$I$50,2,FALSE),"")</f>
        <v/>
      </c>
      <c r="AB18" s="128" t="str">
        <f t="shared" si="5"/>
        <v/>
      </c>
      <c r="AC18" s="128" t="str">
        <f t="shared" si="6"/>
        <v/>
      </c>
      <c r="AD18" s="143"/>
      <c r="AE18" s="143"/>
      <c r="AF18" s="144"/>
      <c r="AG18" s="129" t="str">
        <f t="shared" si="7"/>
        <v/>
      </c>
      <c r="AH18" s="129" t="str">
        <f t="shared" si="0"/>
        <v/>
      </c>
      <c r="AI18" s="129" t="str">
        <f t="shared" si="1"/>
        <v/>
      </c>
      <c r="AJ18" s="129" t="str">
        <f t="shared" si="2"/>
        <v/>
      </c>
      <c r="AK18" s="145"/>
      <c r="BA18" s="78"/>
      <c r="BB18" s="132" t="s">
        <v>4579</v>
      </c>
      <c r="BC18" s="133"/>
      <c r="BD18" s="132" t="str">
        <f>IF(OR(E18="",BC18=""),"",COUNTIF(BC$7:BC18,"√"))</f>
        <v/>
      </c>
      <c r="BE18" s="134" t="str">
        <f t="shared" si="3"/>
        <v/>
      </c>
      <c r="BF18" s="135" t="str">
        <f t="shared" si="8"/>
        <v/>
      </c>
      <c r="BG18" s="135" t="str">
        <f t="shared" si="8"/>
        <v/>
      </c>
      <c r="BH18" s="136"/>
      <c r="BI18" s="137"/>
      <c r="BJ18" s="136"/>
      <c r="BK18" s="136"/>
      <c r="BL18" s="136"/>
      <c r="BM18" s="136"/>
      <c r="BN18" s="137"/>
      <c r="BO18" s="136"/>
      <c r="BP18" s="137"/>
      <c r="BS18" s="134" t="str">
        <f>IF(COUNTIF(BS$6:BS17,I18)&gt;0,"",I18)&amp;""</f>
        <v/>
      </c>
      <c r="BT18" s="138">
        <f t="shared" si="9"/>
        <v>0</v>
      </c>
      <c r="BU18" s="132">
        <f t="shared" si="10"/>
        <v>1</v>
      </c>
      <c r="BV18" s="138">
        <f t="shared" si="11"/>
        <v>0</v>
      </c>
      <c r="BW18" s="132">
        <f t="shared" si="12"/>
        <v>1</v>
      </c>
      <c r="BX18" s="133"/>
      <c r="BY18" s="133"/>
    </row>
    <row r="19" ht="15" customHeight="1" spans="1:78">
      <c r="A19" s="123" t="str">
        <f>IF(E19="","",COUNT(A$6:A18)+1)</f>
        <v/>
      </c>
      <c r="B19" s="141"/>
      <c r="C19" s="141"/>
      <c r="D19" s="263"/>
      <c r="E19" s="139"/>
      <c r="F19" s="139"/>
      <c r="G19" s="140"/>
      <c r="H19" s="141"/>
      <c r="I19" s="141"/>
      <c r="J19" s="140"/>
      <c r="K19" s="141"/>
      <c r="L19" s="501"/>
      <c r="M19" s="501"/>
      <c r="N19" s="501"/>
      <c r="O19" s="501"/>
      <c r="P19" s="502"/>
      <c r="Q19" s="501"/>
      <c r="R19" s="501"/>
      <c r="S19" s="501"/>
      <c r="T19" s="501"/>
      <c r="U19" s="501"/>
      <c r="V19" s="501"/>
      <c r="W19" s="501"/>
      <c r="X19" s="501"/>
      <c r="Y19" s="219"/>
      <c r="Z19" s="142"/>
      <c r="AA19" s="127" t="str">
        <f>IFERROR(VLOOKUP(Z19,参数表!$H$2:$I$50,2,FALSE),"")</f>
        <v/>
      </c>
      <c r="AB19" s="128" t="str">
        <f t="shared" si="5"/>
        <v/>
      </c>
      <c r="AC19" s="128" t="str">
        <f t="shared" si="6"/>
        <v/>
      </c>
      <c r="AD19" s="143"/>
      <c r="AE19" s="143"/>
      <c r="AF19" s="144"/>
      <c r="AG19" s="129" t="str">
        <f t="shared" si="7"/>
        <v/>
      </c>
      <c r="AH19" s="129" t="str">
        <f t="shared" si="0"/>
        <v/>
      </c>
      <c r="AI19" s="129" t="str">
        <f t="shared" si="1"/>
        <v/>
      </c>
      <c r="AJ19" s="129" t="str">
        <f t="shared" si="2"/>
        <v/>
      </c>
      <c r="AK19" s="145"/>
      <c r="BA19" s="78"/>
      <c r="BB19" s="132" t="s">
        <v>4580</v>
      </c>
      <c r="BC19" s="133"/>
      <c r="BD19" s="132" t="str">
        <f>IF(OR(E19="",BC19=""),"",COUNTIF(BC$7:BC19,"√"))</f>
        <v/>
      </c>
      <c r="BE19" s="134" t="str">
        <f t="shared" si="3"/>
        <v/>
      </c>
      <c r="BF19" s="135" t="str">
        <f t="shared" si="8"/>
        <v/>
      </c>
      <c r="BG19" s="135" t="str">
        <f t="shared" si="8"/>
        <v/>
      </c>
      <c r="BH19" s="136"/>
      <c r="BI19" s="137"/>
      <c r="BJ19" s="136"/>
      <c r="BK19" s="136"/>
      <c r="BL19" s="136"/>
      <c r="BM19" s="136"/>
      <c r="BN19" s="137"/>
      <c r="BO19" s="136"/>
      <c r="BP19" s="137"/>
      <c r="BS19" s="134" t="str">
        <f>IF(COUNTIF(BS$6:BS18,I19)&gt;0,"",I19)&amp;""</f>
        <v/>
      </c>
      <c r="BT19" s="138">
        <f t="shared" si="9"/>
        <v>0</v>
      </c>
      <c r="BU19" s="132">
        <f t="shared" si="10"/>
        <v>1</v>
      </c>
      <c r="BV19" s="138">
        <f t="shared" si="11"/>
        <v>0</v>
      </c>
      <c r="BW19" s="132">
        <f t="shared" si="12"/>
        <v>1</v>
      </c>
      <c r="BX19" s="133"/>
      <c r="BY19" s="133"/>
    </row>
    <row r="20" ht="15" customHeight="1" spans="1:78">
      <c r="A20" s="123" t="str">
        <f>IF(E20="","",COUNT(A$6:A19)+1)</f>
        <v/>
      </c>
      <c r="B20" s="141"/>
      <c r="C20" s="141"/>
      <c r="D20" s="263"/>
      <c r="E20" s="139"/>
      <c r="F20" s="139"/>
      <c r="G20" s="140"/>
      <c r="H20" s="141"/>
      <c r="I20" s="141"/>
      <c r="J20" s="140"/>
      <c r="K20" s="141"/>
      <c r="L20" s="501"/>
      <c r="M20" s="501"/>
      <c r="N20" s="501"/>
      <c r="O20" s="501"/>
      <c r="P20" s="502"/>
      <c r="Q20" s="501"/>
      <c r="R20" s="501"/>
      <c r="S20" s="501"/>
      <c r="T20" s="501"/>
      <c r="U20" s="501"/>
      <c r="V20" s="501"/>
      <c r="W20" s="501"/>
      <c r="X20" s="501"/>
      <c r="Y20" s="219"/>
      <c r="Z20" s="142"/>
      <c r="AA20" s="127" t="str">
        <f>IFERROR(VLOOKUP(Z20,参数表!$H$2:$I$50,2,FALSE),"")</f>
        <v/>
      </c>
      <c r="AB20" s="128" t="str">
        <f t="shared" si="5"/>
        <v/>
      </c>
      <c r="AC20" s="128" t="str">
        <f t="shared" si="6"/>
        <v/>
      </c>
      <c r="AD20" s="143"/>
      <c r="AE20" s="143"/>
      <c r="AF20" s="144"/>
      <c r="AG20" s="129" t="str">
        <f t="shared" si="7"/>
        <v/>
      </c>
      <c r="AH20" s="129" t="str">
        <f t="shared" si="0"/>
        <v/>
      </c>
      <c r="AI20" s="129" t="str">
        <f t="shared" si="1"/>
        <v/>
      </c>
      <c r="AJ20" s="129" t="str">
        <f t="shared" si="2"/>
        <v/>
      </c>
      <c r="AK20" s="145"/>
      <c r="BA20" s="78"/>
      <c r="BB20" s="132" t="s">
        <v>4581</v>
      </c>
      <c r="BC20" s="133"/>
      <c r="BD20" s="132" t="str">
        <f>IF(OR(E20="",BC20=""),"",COUNTIF(BC$7:BC20,"√"))</f>
        <v/>
      </c>
      <c r="BE20" s="134" t="str">
        <f t="shared" si="3"/>
        <v/>
      </c>
      <c r="BF20" s="135" t="str">
        <f t="shared" si="8"/>
        <v/>
      </c>
      <c r="BG20" s="135" t="str">
        <f t="shared" si="8"/>
        <v/>
      </c>
      <c r="BH20" s="136"/>
      <c r="BI20" s="137"/>
      <c r="BJ20" s="136"/>
      <c r="BK20" s="136"/>
      <c r="BL20" s="136"/>
      <c r="BM20" s="136"/>
      <c r="BN20" s="137"/>
      <c r="BO20" s="136"/>
      <c r="BP20" s="137"/>
      <c r="BS20" s="134" t="str">
        <f>IF(COUNTIF(BS$6:BS19,I20)&gt;0,"",I20)&amp;""</f>
        <v/>
      </c>
      <c r="BT20" s="138">
        <f t="shared" si="9"/>
        <v>0</v>
      </c>
      <c r="BU20" s="132">
        <f t="shared" si="10"/>
        <v>1</v>
      </c>
      <c r="BV20" s="138">
        <f t="shared" si="11"/>
        <v>0</v>
      </c>
      <c r="BW20" s="132">
        <f t="shared" si="12"/>
        <v>1</v>
      </c>
      <c r="BX20" s="133"/>
      <c r="BY20" s="133"/>
    </row>
    <row r="21" ht="15" customHeight="1" spans="1:78">
      <c r="A21" s="123" t="str">
        <f>IF(E21="","",COUNT(A$6:A20)+1)</f>
        <v/>
      </c>
      <c r="B21" s="141"/>
      <c r="C21" s="141"/>
      <c r="D21" s="263"/>
      <c r="E21" s="139"/>
      <c r="F21" s="139"/>
      <c r="G21" s="140"/>
      <c r="H21" s="141"/>
      <c r="I21" s="141"/>
      <c r="J21" s="140"/>
      <c r="K21" s="141"/>
      <c r="L21" s="501"/>
      <c r="M21" s="501"/>
      <c r="N21" s="501"/>
      <c r="O21" s="501"/>
      <c r="P21" s="502"/>
      <c r="Q21" s="501"/>
      <c r="R21" s="501"/>
      <c r="S21" s="501"/>
      <c r="T21" s="501"/>
      <c r="U21" s="501"/>
      <c r="V21" s="501"/>
      <c r="W21" s="501"/>
      <c r="X21" s="501"/>
      <c r="Y21" s="219"/>
      <c r="Z21" s="142"/>
      <c r="AA21" s="127" t="str">
        <f>IFERROR(VLOOKUP(Z21,参数表!$H$2:$I$50,2,FALSE),"")</f>
        <v/>
      </c>
      <c r="AB21" s="128" t="str">
        <f t="shared" si="5"/>
        <v/>
      </c>
      <c r="AC21" s="128" t="str">
        <f t="shared" si="6"/>
        <v/>
      </c>
      <c r="AD21" s="143"/>
      <c r="AE21" s="143"/>
      <c r="AF21" s="144"/>
      <c r="AG21" s="129" t="str">
        <f t="shared" si="7"/>
        <v/>
      </c>
      <c r="AH21" s="129" t="str">
        <f t="shared" si="0"/>
        <v/>
      </c>
      <c r="AI21" s="129" t="str">
        <f t="shared" si="1"/>
        <v/>
      </c>
      <c r="AJ21" s="129" t="str">
        <f t="shared" si="2"/>
        <v/>
      </c>
      <c r="AK21" s="145"/>
      <c r="BA21" s="78"/>
      <c r="BB21" s="132" t="s">
        <v>4582</v>
      </c>
      <c r="BC21" s="133"/>
      <c r="BD21" s="132" t="str">
        <f>IF(OR(E21="",BC21=""),"",COUNTIF(BC$7:BC21,"√"))</f>
        <v/>
      </c>
      <c r="BE21" s="134" t="str">
        <f t="shared" si="3"/>
        <v/>
      </c>
      <c r="BF21" s="135" t="str">
        <f t="shared" si="8"/>
        <v/>
      </c>
      <c r="BG21" s="135" t="str">
        <f t="shared" si="8"/>
        <v/>
      </c>
      <c r="BH21" s="136"/>
      <c r="BI21" s="137"/>
      <c r="BJ21" s="136"/>
      <c r="BK21" s="136"/>
      <c r="BL21" s="136"/>
      <c r="BM21" s="136"/>
      <c r="BN21" s="137"/>
      <c r="BO21" s="136"/>
      <c r="BP21" s="137"/>
      <c r="BS21" s="134" t="str">
        <f>IF(COUNTIF(BS$6:BS20,I21)&gt;0,"",I21)&amp;""</f>
        <v/>
      </c>
      <c r="BT21" s="138">
        <f t="shared" si="9"/>
        <v>0</v>
      </c>
      <c r="BU21" s="132">
        <f t="shared" si="10"/>
        <v>1</v>
      </c>
      <c r="BV21" s="138">
        <f t="shared" si="11"/>
        <v>0</v>
      </c>
      <c r="BW21" s="132">
        <f t="shared" si="12"/>
        <v>1</v>
      </c>
      <c r="BX21" s="133"/>
      <c r="BY21" s="133"/>
    </row>
    <row r="22" ht="15" customHeight="1" spans="1:78">
      <c r="A22" s="123" t="str">
        <f>IF(E22="","",COUNT(A$6:A21)+1)</f>
        <v/>
      </c>
      <c r="B22" s="141"/>
      <c r="C22" s="141"/>
      <c r="D22" s="263"/>
      <c r="E22" s="139"/>
      <c r="F22" s="139"/>
      <c r="G22" s="140"/>
      <c r="H22" s="141"/>
      <c r="I22" s="141"/>
      <c r="J22" s="140"/>
      <c r="K22" s="141"/>
      <c r="L22" s="501"/>
      <c r="M22" s="501"/>
      <c r="N22" s="501"/>
      <c r="O22" s="501"/>
      <c r="P22" s="502"/>
      <c r="Q22" s="501"/>
      <c r="R22" s="501"/>
      <c r="S22" s="501"/>
      <c r="T22" s="501"/>
      <c r="U22" s="501"/>
      <c r="V22" s="501"/>
      <c r="W22" s="501"/>
      <c r="X22" s="501"/>
      <c r="Y22" s="219"/>
      <c r="Z22" s="142"/>
      <c r="AA22" s="127" t="str">
        <f>IFERROR(VLOOKUP(Z22,参数表!$H$2:$I$50,2,FALSE),"")</f>
        <v/>
      </c>
      <c r="AB22" s="128" t="str">
        <f t="shared" si="5"/>
        <v/>
      </c>
      <c r="AC22" s="128" t="str">
        <f t="shared" si="6"/>
        <v/>
      </c>
      <c r="AD22" s="143"/>
      <c r="AE22" s="143"/>
      <c r="AF22" s="144"/>
      <c r="AG22" s="129" t="str">
        <f t="shared" si="7"/>
        <v/>
      </c>
      <c r="AH22" s="129" t="str">
        <f t="shared" si="0"/>
        <v/>
      </c>
      <c r="AI22" s="129" t="str">
        <f t="shared" si="1"/>
        <v/>
      </c>
      <c r="AJ22" s="129" t="str">
        <f t="shared" si="2"/>
        <v/>
      </c>
      <c r="AK22" s="145"/>
      <c r="BA22" s="78"/>
      <c r="BB22" s="132" t="s">
        <v>4583</v>
      </c>
      <c r="BC22" s="133"/>
      <c r="BD22" s="132" t="str">
        <f>IF(OR(E22="",BC22=""),"",COUNTIF(BC$7:BC22,"√"))</f>
        <v/>
      </c>
      <c r="BE22" s="134" t="str">
        <f t="shared" si="3"/>
        <v/>
      </c>
      <c r="BF22" s="135" t="str">
        <f t="shared" si="8"/>
        <v/>
      </c>
      <c r="BG22" s="135" t="str">
        <f t="shared" si="8"/>
        <v/>
      </c>
      <c r="BH22" s="136"/>
      <c r="BI22" s="137"/>
      <c r="BJ22" s="136"/>
      <c r="BK22" s="136"/>
      <c r="BL22" s="136"/>
      <c r="BM22" s="136"/>
      <c r="BN22" s="137"/>
      <c r="BO22" s="136"/>
      <c r="BP22" s="137"/>
      <c r="BS22" s="134" t="str">
        <f>IF(COUNTIF(BS$6:BS21,I22)&gt;0,"",I22)&amp;""</f>
        <v/>
      </c>
      <c r="BT22" s="138">
        <f t="shared" si="9"/>
        <v>0</v>
      </c>
      <c r="BU22" s="132">
        <f t="shared" si="10"/>
        <v>1</v>
      </c>
      <c r="BV22" s="138">
        <f t="shared" si="11"/>
        <v>0</v>
      </c>
      <c r="BW22" s="132">
        <f t="shared" si="12"/>
        <v>1</v>
      </c>
      <c r="BX22" s="133"/>
      <c r="BY22" s="133"/>
    </row>
    <row r="23" ht="15" customHeight="1" spans="1:78">
      <c r="A23" s="123" t="str">
        <f>IF(E23="","",COUNT(A$6:A22)+1)</f>
        <v/>
      </c>
      <c r="B23" s="141"/>
      <c r="C23" s="141"/>
      <c r="D23" s="263"/>
      <c r="E23" s="139"/>
      <c r="F23" s="139"/>
      <c r="G23" s="140"/>
      <c r="H23" s="141"/>
      <c r="I23" s="141"/>
      <c r="J23" s="140"/>
      <c r="K23" s="141"/>
      <c r="L23" s="501"/>
      <c r="M23" s="501"/>
      <c r="N23" s="501"/>
      <c r="O23" s="501"/>
      <c r="P23" s="502"/>
      <c r="Q23" s="501"/>
      <c r="R23" s="501"/>
      <c r="S23" s="501"/>
      <c r="T23" s="501"/>
      <c r="U23" s="501"/>
      <c r="V23" s="501"/>
      <c r="W23" s="501"/>
      <c r="X23" s="501"/>
      <c r="Y23" s="219"/>
      <c r="Z23" s="142"/>
      <c r="AA23" s="127" t="str">
        <f>IFERROR(VLOOKUP(Z23,参数表!$H$2:$I$50,2,FALSE),"")</f>
        <v/>
      </c>
      <c r="AB23" s="128" t="str">
        <f t="shared" si="5"/>
        <v/>
      </c>
      <c r="AC23" s="128" t="str">
        <f t="shared" si="6"/>
        <v/>
      </c>
      <c r="AD23" s="143"/>
      <c r="AE23" s="143"/>
      <c r="AF23" s="144"/>
      <c r="AG23" s="129" t="str">
        <f t="shared" si="7"/>
        <v/>
      </c>
      <c r="AH23" s="129" t="str">
        <f t="shared" si="0"/>
        <v/>
      </c>
      <c r="AI23" s="129" t="str">
        <f t="shared" si="1"/>
        <v/>
      </c>
      <c r="AJ23" s="129" t="str">
        <f t="shared" si="2"/>
        <v/>
      </c>
      <c r="AK23" s="145"/>
      <c r="BA23" s="78"/>
      <c r="BB23" s="132" t="s">
        <v>4584</v>
      </c>
      <c r="BC23" s="133"/>
      <c r="BD23" s="132" t="str">
        <f>IF(OR(E23="",BC23=""),"",COUNTIF(BC$7:BC23,"√"))</f>
        <v/>
      </c>
      <c r="BE23" s="134" t="str">
        <f t="shared" si="3"/>
        <v/>
      </c>
      <c r="BF23" s="135" t="str">
        <f t="shared" si="8"/>
        <v/>
      </c>
      <c r="BG23" s="135" t="str">
        <f t="shared" si="8"/>
        <v/>
      </c>
      <c r="BH23" s="136"/>
      <c r="BI23" s="137"/>
      <c r="BJ23" s="136"/>
      <c r="BK23" s="136"/>
      <c r="BL23" s="136"/>
      <c r="BM23" s="136"/>
      <c r="BN23" s="137"/>
      <c r="BO23" s="136"/>
      <c r="BP23" s="137"/>
      <c r="BS23" s="134" t="str">
        <f>IF(COUNTIF(BS$6:BS22,I23)&gt;0,"",I23)&amp;""</f>
        <v/>
      </c>
      <c r="BT23" s="138">
        <f t="shared" si="9"/>
        <v>0</v>
      </c>
      <c r="BU23" s="132">
        <f t="shared" si="10"/>
        <v>1</v>
      </c>
      <c r="BV23" s="138">
        <f t="shared" si="11"/>
        <v>0</v>
      </c>
      <c r="BW23" s="132">
        <f t="shared" si="12"/>
        <v>1</v>
      </c>
      <c r="BX23" s="133"/>
      <c r="BY23" s="133"/>
    </row>
    <row r="24" ht="15" customHeight="1" spans="1:78">
      <c r="A24" s="123" t="str">
        <f>IF(E24="","",COUNT(A$6:A23)+1)</f>
        <v/>
      </c>
      <c r="B24" s="141"/>
      <c r="C24" s="141"/>
      <c r="D24" s="263"/>
      <c r="E24" s="139"/>
      <c r="F24" s="139"/>
      <c r="G24" s="140"/>
      <c r="H24" s="141"/>
      <c r="I24" s="141"/>
      <c r="J24" s="140"/>
      <c r="K24" s="141"/>
      <c r="L24" s="501"/>
      <c r="M24" s="501"/>
      <c r="N24" s="501"/>
      <c r="O24" s="501"/>
      <c r="P24" s="502"/>
      <c r="Q24" s="501"/>
      <c r="R24" s="501"/>
      <c r="S24" s="501"/>
      <c r="T24" s="501"/>
      <c r="U24" s="501"/>
      <c r="V24" s="501"/>
      <c r="W24" s="501"/>
      <c r="X24" s="501"/>
      <c r="Y24" s="219"/>
      <c r="Z24" s="142"/>
      <c r="AA24" s="127" t="str">
        <f>IFERROR(VLOOKUP(Z24,参数表!$H$2:$I$50,2,FALSE),"")</f>
        <v/>
      </c>
      <c r="AB24" s="128" t="str">
        <f t="shared" si="5"/>
        <v/>
      </c>
      <c r="AC24" s="128" t="str">
        <f t="shared" si="6"/>
        <v/>
      </c>
      <c r="AD24" s="143"/>
      <c r="AE24" s="143"/>
      <c r="AF24" s="144"/>
      <c r="AG24" s="129" t="str">
        <f t="shared" si="7"/>
        <v/>
      </c>
      <c r="AH24" s="129" t="str">
        <f t="shared" si="0"/>
        <v/>
      </c>
      <c r="AI24" s="129" t="str">
        <f t="shared" si="1"/>
        <v/>
      </c>
      <c r="AJ24" s="129" t="str">
        <f t="shared" si="2"/>
        <v/>
      </c>
      <c r="AK24" s="145"/>
      <c r="BA24" s="78"/>
      <c r="BB24" s="132" t="s">
        <v>4585</v>
      </c>
      <c r="BC24" s="133"/>
      <c r="BD24" s="132" t="str">
        <f>IF(OR(E24="",BC24=""),"",COUNTIF(BC$7:BC24,"√"))</f>
        <v/>
      </c>
      <c r="BE24" s="134" t="str">
        <f t="shared" si="3"/>
        <v/>
      </c>
      <c r="BF24" s="135" t="str">
        <f t="shared" si="8"/>
        <v/>
      </c>
      <c r="BG24" s="135" t="str">
        <f t="shared" si="8"/>
        <v/>
      </c>
      <c r="BH24" s="136"/>
      <c r="BI24" s="137"/>
      <c r="BJ24" s="136"/>
      <c r="BK24" s="136"/>
      <c r="BL24" s="136"/>
      <c r="BM24" s="136"/>
      <c r="BN24" s="137"/>
      <c r="BO24" s="136"/>
      <c r="BP24" s="137"/>
      <c r="BS24" s="134" t="str">
        <f>IF(COUNTIF(BS$6:BS23,I24)&gt;0,"",I24)&amp;""</f>
        <v/>
      </c>
      <c r="BT24" s="138">
        <f t="shared" si="9"/>
        <v>0</v>
      </c>
      <c r="BU24" s="132">
        <f t="shared" si="10"/>
        <v>1</v>
      </c>
      <c r="BV24" s="138">
        <f t="shared" si="11"/>
        <v>0</v>
      </c>
      <c r="BW24" s="132">
        <f t="shared" si="12"/>
        <v>1</v>
      </c>
      <c r="BX24" s="133"/>
      <c r="BY24" s="133"/>
    </row>
    <row r="25" ht="15" customHeight="1" spans="1:78">
      <c r="A25" s="123" t="str">
        <f>IF(E25="","",COUNT(A$6:A24)+1)</f>
        <v/>
      </c>
      <c r="B25" s="141"/>
      <c r="C25" s="141"/>
      <c r="D25" s="263"/>
      <c r="E25" s="139"/>
      <c r="F25" s="139"/>
      <c r="G25" s="140"/>
      <c r="H25" s="141"/>
      <c r="I25" s="141"/>
      <c r="J25" s="140"/>
      <c r="K25" s="141"/>
      <c r="L25" s="501"/>
      <c r="M25" s="501"/>
      <c r="N25" s="501"/>
      <c r="O25" s="501"/>
      <c r="P25" s="502"/>
      <c r="Q25" s="501"/>
      <c r="R25" s="501"/>
      <c r="S25" s="501"/>
      <c r="T25" s="501"/>
      <c r="U25" s="501"/>
      <c r="V25" s="501"/>
      <c r="W25" s="501"/>
      <c r="X25" s="501"/>
      <c r="Y25" s="219"/>
      <c r="Z25" s="142"/>
      <c r="AA25" s="127" t="str">
        <f>IFERROR(VLOOKUP(Z25,参数表!$H$2:$I$50,2,FALSE),"")</f>
        <v/>
      </c>
      <c r="AB25" s="128" t="str">
        <f t="shared" si="5"/>
        <v/>
      </c>
      <c r="AC25" s="128" t="str">
        <f t="shared" si="6"/>
        <v/>
      </c>
      <c r="AD25" s="143"/>
      <c r="AE25" s="143"/>
      <c r="AF25" s="144"/>
      <c r="AG25" s="129" t="str">
        <f t="shared" si="7"/>
        <v/>
      </c>
      <c r="AH25" s="129" t="str">
        <f t="shared" si="0"/>
        <v/>
      </c>
      <c r="AI25" s="129" t="str">
        <f t="shared" si="1"/>
        <v/>
      </c>
      <c r="AJ25" s="129" t="str">
        <f t="shared" si="2"/>
        <v/>
      </c>
      <c r="AK25" s="145"/>
      <c r="BA25" s="78"/>
      <c r="BB25" s="132" t="s">
        <v>4586</v>
      </c>
      <c r="BC25" s="133"/>
      <c r="BD25" s="132" t="str">
        <f>IF(OR(E25="",BC25=""),"",COUNTIF(BC$7:BC25,"√"))</f>
        <v/>
      </c>
      <c r="BE25" s="134" t="str">
        <f t="shared" si="3"/>
        <v/>
      </c>
      <c r="BF25" s="135" t="str">
        <f t="shared" si="8"/>
        <v/>
      </c>
      <c r="BG25" s="135" t="str">
        <f t="shared" si="8"/>
        <v/>
      </c>
      <c r="BH25" s="136"/>
      <c r="BI25" s="137"/>
      <c r="BJ25" s="136"/>
      <c r="BK25" s="136"/>
      <c r="BL25" s="136"/>
      <c r="BM25" s="136"/>
      <c r="BN25" s="137"/>
      <c r="BO25" s="136"/>
      <c r="BP25" s="137"/>
      <c r="BS25" s="134" t="str">
        <f>IF(COUNTIF(BS$6:BS24,I25)&gt;0,"",I25)&amp;""</f>
        <v/>
      </c>
      <c r="BT25" s="138">
        <f t="shared" si="9"/>
        <v>0</v>
      </c>
      <c r="BU25" s="132">
        <f t="shared" si="10"/>
        <v>1</v>
      </c>
      <c r="BV25" s="138">
        <f t="shared" si="11"/>
        <v>0</v>
      </c>
      <c r="BW25" s="132">
        <f t="shared" si="12"/>
        <v>1</v>
      </c>
      <c r="BX25" s="133"/>
      <c r="BY25" s="133"/>
    </row>
    <row r="26" ht="15" customHeight="1" spans="1:78">
      <c r="A26" s="123" t="str">
        <f>IF(E26="","",COUNT(A$6:A25)+1)</f>
        <v/>
      </c>
      <c r="B26" s="126"/>
      <c r="C26" s="126"/>
      <c r="D26" s="149"/>
      <c r="E26" s="124"/>
      <c r="F26" s="124"/>
      <c r="G26" s="125"/>
      <c r="H26" s="126"/>
      <c r="I26" s="126"/>
      <c r="J26" s="125"/>
      <c r="K26" s="126"/>
      <c r="L26" s="491"/>
      <c r="M26" s="491"/>
      <c r="N26" s="491"/>
      <c r="O26" s="491"/>
      <c r="P26" s="500"/>
      <c r="Q26" s="491"/>
      <c r="R26" s="491"/>
      <c r="S26" s="491"/>
      <c r="T26" s="491"/>
      <c r="U26" s="491"/>
      <c r="V26" s="491"/>
      <c r="W26" s="491"/>
      <c r="X26" s="491"/>
      <c r="Y26" s="214"/>
      <c r="Z26" s="127"/>
      <c r="AA26" s="127" t="str">
        <f>IFERROR(VLOOKUP(Z26,参数表!$H$2:$I$50,2,FALSE),"")</f>
        <v/>
      </c>
      <c r="AB26" s="128" t="str">
        <f t="shared" si="5"/>
        <v/>
      </c>
      <c r="AC26" s="128" t="str">
        <f t="shared" si="6"/>
        <v/>
      </c>
      <c r="AD26" s="129"/>
      <c r="AE26" s="129"/>
      <c r="AF26" s="130"/>
      <c r="AG26" s="129" t="str">
        <f t="shared" si="7"/>
        <v/>
      </c>
      <c r="AH26" s="129" t="str">
        <f t="shared" si="0"/>
        <v/>
      </c>
      <c r="AI26" s="129" t="str">
        <f t="shared" si="1"/>
        <v/>
      </c>
      <c r="AJ26" s="129" t="str">
        <f t="shared" si="2"/>
        <v/>
      </c>
      <c r="AK26" s="131"/>
      <c r="BA26" s="78"/>
      <c r="BB26" s="132" t="s">
        <v>4587</v>
      </c>
      <c r="BC26" s="133"/>
      <c r="BD26" s="132" t="str">
        <f>IF(OR(E26="",BC26=""),"",COUNTIF(BC$7:BC26,"√"))</f>
        <v/>
      </c>
      <c r="BE26" s="134" t="str">
        <f t="shared" si="3"/>
        <v/>
      </c>
      <c r="BF26" s="135" t="str">
        <f t="shared" si="8"/>
        <v/>
      </c>
      <c r="BG26" s="135" t="str">
        <f t="shared" si="8"/>
        <v/>
      </c>
      <c r="BH26" s="136"/>
      <c r="BI26" s="137"/>
      <c r="BJ26" s="136"/>
      <c r="BK26" s="136"/>
      <c r="BL26" s="136"/>
      <c r="BM26" s="136"/>
      <c r="BN26" s="137"/>
      <c r="BO26" s="136"/>
      <c r="BP26" s="137"/>
      <c r="BS26" s="134" t="str">
        <f>IF(COUNTIF(BS$6:BS25,I26)&gt;0,"",I26)&amp;""</f>
        <v/>
      </c>
      <c r="BT26" s="138">
        <f t="shared" si="9"/>
        <v>0</v>
      </c>
      <c r="BU26" s="132">
        <f t="shared" si="10"/>
        <v>1</v>
      </c>
      <c r="BV26" s="138">
        <f t="shared" si="11"/>
        <v>0</v>
      </c>
      <c r="BW26" s="132">
        <f t="shared" si="12"/>
        <v>1</v>
      </c>
      <c r="BX26" s="133"/>
      <c r="BY26" s="133"/>
    </row>
    <row r="27" ht="15" customHeight="1" spans="1:78">
      <c r="A27" s="221" t="s">
        <v>1954</v>
      </c>
      <c r="B27" s="493"/>
      <c r="C27" s="493"/>
      <c r="D27" s="493"/>
      <c r="E27" s="493"/>
      <c r="F27" s="124"/>
      <c r="G27" s="213"/>
      <c r="H27" s="126"/>
      <c r="I27" s="126"/>
      <c r="J27" s="126"/>
      <c r="K27" s="126"/>
      <c r="L27" s="491">
        <f>SUM(L7:L26)</f>
        <v>0</v>
      </c>
      <c r="M27" s="491"/>
      <c r="N27" s="491"/>
      <c r="O27" s="491"/>
      <c r="P27" s="500"/>
      <c r="Q27" s="491"/>
      <c r="R27" s="491"/>
      <c r="S27" s="491"/>
      <c r="T27" s="491"/>
      <c r="U27" s="491"/>
      <c r="V27" s="491"/>
      <c r="W27" s="491"/>
      <c r="X27" s="491"/>
      <c r="Y27" s="214"/>
      <c r="Z27" s="354"/>
      <c r="AA27" s="354"/>
      <c r="AB27" s="354"/>
      <c r="AC27" s="354"/>
      <c r="AD27" s="152">
        <f>SUM(AD7:AD26)</f>
        <v>0</v>
      </c>
      <c r="AE27" s="152">
        <f>SUM(AE7:AE26)</f>
        <v>0</v>
      </c>
      <c r="AF27" s="153"/>
      <c r="AG27" s="152">
        <f>SUM(AG7:AG26)</f>
        <v>0</v>
      </c>
      <c r="AH27" s="152">
        <f>SUM(AH7:AH26)</f>
        <v>0</v>
      </c>
      <c r="AI27" s="152">
        <f t="shared" si="1"/>
        <v>0</v>
      </c>
      <c r="AJ27" s="152" t="str">
        <f t="shared" si="2"/>
        <v/>
      </c>
      <c r="AK27" s="131"/>
      <c r="BR27" s="111"/>
      <c r="BS27" s="119"/>
      <c r="BU27" s="77"/>
      <c r="BV27" s="77"/>
      <c r="BW27" s="119"/>
      <c r="BX27" s="119"/>
      <c r="BY27" s="119"/>
      <c r="BZ27" s="111"/>
    </row>
    <row r="28" ht="15" customHeight="1" spans="1:78">
      <c r="A28" s="124" t="s">
        <v>3434</v>
      </c>
      <c r="B28" s="124"/>
      <c r="C28" s="124"/>
      <c r="D28" s="124"/>
      <c r="E28" s="124"/>
      <c r="F28" s="124"/>
      <c r="G28" s="213"/>
      <c r="H28" s="126"/>
      <c r="I28" s="126"/>
      <c r="J28" s="126"/>
      <c r="K28" s="126"/>
      <c r="L28" s="491"/>
      <c r="M28" s="491"/>
      <c r="N28" s="491"/>
      <c r="O28" s="491"/>
      <c r="P28" s="500"/>
      <c r="Q28" s="491"/>
      <c r="R28" s="491"/>
      <c r="S28" s="491"/>
      <c r="T28" s="491"/>
      <c r="U28" s="491"/>
      <c r="V28" s="491"/>
      <c r="W28" s="491"/>
      <c r="X28" s="491"/>
      <c r="Y28" s="214"/>
      <c r="Z28" s="354"/>
      <c r="AA28" s="354"/>
      <c r="AB28" s="354"/>
      <c r="AC28" s="354"/>
      <c r="AD28" s="129"/>
      <c r="AE28" s="129"/>
      <c r="AF28" s="130"/>
      <c r="AG28" s="129">
        <f>AE28+AF28</f>
        <v>0</v>
      </c>
      <c r="AH28" s="129"/>
      <c r="AI28" s="129">
        <f t="shared" si="1"/>
        <v>0</v>
      </c>
      <c r="AJ28" s="129" t="str">
        <f t="shared" si="2"/>
        <v/>
      </c>
      <c r="AK28" s="131"/>
    </row>
    <row r="29" s="73" customFormat="1" ht="15" customHeight="1" spans="1:78">
      <c r="A29" s="221" t="s">
        <v>1957</v>
      </c>
      <c r="B29" s="221"/>
      <c r="C29" s="221"/>
      <c r="D29" s="221"/>
      <c r="E29" s="221"/>
      <c r="F29" s="151"/>
      <c r="G29" s="150"/>
      <c r="H29" s="149"/>
      <c r="I29" s="149"/>
      <c r="J29" s="149"/>
      <c r="K29" s="149"/>
      <c r="L29" s="354"/>
      <c r="M29" s="354"/>
      <c r="N29" s="354"/>
      <c r="O29" s="354"/>
      <c r="P29" s="503"/>
      <c r="Q29" s="354"/>
      <c r="R29" s="354"/>
      <c r="S29" s="354"/>
      <c r="T29" s="354"/>
      <c r="U29" s="354"/>
      <c r="V29" s="354"/>
      <c r="W29" s="354"/>
      <c r="X29" s="354"/>
      <c r="Y29" s="222"/>
      <c r="Z29" s="354"/>
      <c r="AA29" s="354"/>
      <c r="AB29" s="354"/>
      <c r="AC29" s="354"/>
      <c r="AD29" s="152">
        <f>AD27-AD28</f>
        <v>0</v>
      </c>
      <c r="AE29" s="152">
        <f>AE27-AE28</f>
        <v>0</v>
      </c>
      <c r="AF29" s="153"/>
      <c r="AG29" s="152">
        <f>AG27-AG28</f>
        <v>0</v>
      </c>
      <c r="AH29" s="152">
        <f>AH27-AH28</f>
        <v>0</v>
      </c>
      <c r="AI29" s="152">
        <f t="shared" si="1"/>
        <v>0</v>
      </c>
      <c r="AJ29" s="152" t="str">
        <f t="shared" si="2"/>
        <v/>
      </c>
      <c r="AK29" s="151"/>
      <c r="BH29" s="72"/>
      <c r="BJ29" s="72"/>
      <c r="BK29" s="72"/>
      <c r="BL29" s="72"/>
      <c r="BM29" s="72"/>
      <c r="BO29" s="72"/>
      <c r="BR29" s="77"/>
      <c r="BS29" s="78"/>
      <c r="BT29" s="77"/>
      <c r="BU29" s="78"/>
      <c r="BV29" s="78"/>
      <c r="BW29" s="78"/>
      <c r="BX29" s="78"/>
      <c r="BY29" s="78"/>
      <c r="BZ29" s="77"/>
    </row>
    <row r="30" customHeight="1" spans="1:78">
      <c r="A30" s="102" t="str">
        <f>参数表!F$6</f>
        <v>产权持有单位填表人：贾广东</v>
      </c>
      <c r="B30" s="154"/>
      <c r="C30" s="154"/>
      <c r="D30" s="286"/>
      <c r="E30" s="154"/>
      <c r="F30" s="154"/>
      <c r="G30" s="154"/>
      <c r="H30" s="154"/>
      <c r="I30" s="103"/>
      <c r="J30" s="103"/>
      <c r="K30" s="103"/>
      <c r="L30" s="103"/>
      <c r="M30" s="103"/>
      <c r="N30" s="103"/>
      <c r="O30" s="103"/>
      <c r="P30" s="498"/>
      <c r="Q30" s="103"/>
      <c r="R30" s="103"/>
      <c r="S30" s="103"/>
      <c r="T30" s="103"/>
      <c r="U30" s="103"/>
      <c r="V30" s="103"/>
      <c r="W30" s="103"/>
      <c r="X30" s="103"/>
      <c r="Y30" s="95"/>
      <c r="Z30" s="103"/>
      <c r="AA30" s="103"/>
      <c r="AB30" s="103"/>
      <c r="AC30" s="103"/>
      <c r="AD30" s="103"/>
      <c r="AE30" s="103"/>
      <c r="AF30" s="104"/>
      <c r="AG30" s="103"/>
      <c r="AH30" s="156" t="str">
        <f>"评估人员："&amp;封面!$G$28</f>
        <v>评估人员：</v>
      </c>
      <c r="AI30" s="103"/>
      <c r="AJ30" s="103"/>
      <c r="AK30" s="103"/>
    </row>
    <row r="31" customHeight="1" spans="1:78">
      <c r="A31" s="102" t="str">
        <f>参数表!F$7</f>
        <v>填表日期：2025年9月20日</v>
      </c>
      <c r="B31" s="154"/>
      <c r="C31" s="154"/>
      <c r="D31" s="286"/>
      <c r="E31" s="154"/>
      <c r="F31" s="154"/>
      <c r="G31" s="154"/>
      <c r="H31" s="154"/>
      <c r="I31" s="103"/>
      <c r="J31" s="103"/>
      <c r="K31" s="103"/>
      <c r="L31" s="103"/>
      <c r="M31" s="103"/>
      <c r="N31" s="103"/>
      <c r="O31" s="103"/>
      <c r="P31" s="498"/>
      <c r="Q31" s="103"/>
      <c r="R31" s="103"/>
      <c r="S31" s="103"/>
      <c r="T31" s="103"/>
      <c r="U31" s="103"/>
      <c r="V31" s="103"/>
      <c r="W31" s="103"/>
      <c r="X31" s="103"/>
      <c r="Y31" s="95"/>
      <c r="Z31" s="103"/>
      <c r="AA31" s="103"/>
      <c r="AB31" s="103"/>
      <c r="AC31" s="103"/>
      <c r="AD31" s="103"/>
      <c r="AE31" s="103"/>
      <c r="AF31" s="104"/>
      <c r="AG31" s="103"/>
      <c r="AH31" s="103"/>
      <c r="AI31" s="103"/>
      <c r="AJ31" s="103"/>
      <c r="AK31" s="103"/>
    </row>
    <row r="32" hidden="1" customHeight="1" outlineLevel="1" spans="1:78">
      <c r="A32" s="157"/>
      <c r="B32" s="154" t="s">
        <v>1673</v>
      </c>
      <c r="C32" s="158"/>
      <c r="D32" s="286" t="s">
        <v>1674</v>
      </c>
      <c r="E32" s="158"/>
      <c r="F32" s="158"/>
      <c r="G32" s="158"/>
      <c r="H32" s="158"/>
      <c r="L32" s="159">
        <f>SUMIF($BA7:$BA26,$BA32,L7:L26)</f>
        <v>0</v>
      </c>
      <c r="M32" s="223"/>
      <c r="N32" s="223"/>
      <c r="O32" s="223"/>
      <c r="P32" s="504"/>
      <c r="Q32" s="223"/>
      <c r="R32" s="223"/>
      <c r="S32" s="223"/>
      <c r="T32" s="223"/>
      <c r="U32" s="223"/>
      <c r="V32" s="223"/>
      <c r="W32" s="223"/>
      <c r="X32" s="223"/>
      <c r="Y32" s="505"/>
      <c r="AD32" s="159">
        <f>SUMIF($BA7:$BA26,$BA32,AD7:AD26)</f>
        <v>0</v>
      </c>
      <c r="AE32" s="159">
        <f>SUMIF($BA7:$BA26,$BA32,AE7:AE26)</f>
        <v>0</v>
      </c>
      <c r="AF32" s="202"/>
      <c r="AG32" s="159">
        <f>SUMIF($BA7:$BA26,$BA32,AG7:AG26)</f>
        <v>0</v>
      </c>
      <c r="AH32" s="159">
        <f>SUMIF($BA7:$BA26,$BA32,AH7:AH26)</f>
        <v>0</v>
      </c>
      <c r="BA32" s="161" t="s">
        <v>1674</v>
      </c>
      <c r="BH32" s="95" t="s">
        <v>1675</v>
      </c>
      <c r="BJ32" s="95" t="s">
        <v>1675</v>
      </c>
      <c r="BK32" s="95" t="s">
        <v>1675</v>
      </c>
      <c r="BL32" s="95" t="s">
        <v>1675</v>
      </c>
      <c r="BM32" s="95" t="s">
        <v>1675</v>
      </c>
      <c r="BO32" s="95" t="s">
        <v>1675</v>
      </c>
    </row>
    <row r="33" hidden="1" customHeight="1" outlineLevel="1" spans="1:67">
      <c r="A33" s="157"/>
      <c r="B33" s="154" t="s">
        <v>1676</v>
      </c>
      <c r="C33" s="158"/>
      <c r="D33" s="286" t="s">
        <v>1677</v>
      </c>
      <c r="E33" s="158"/>
      <c r="F33" s="158"/>
      <c r="G33" s="158"/>
      <c r="H33" s="158"/>
      <c r="L33" s="159">
        <f>L27-L32</f>
        <v>0</v>
      </c>
      <c r="M33" s="223"/>
      <c r="N33" s="223"/>
      <c r="O33" s="223"/>
      <c r="P33" s="504"/>
      <c r="Q33" s="223"/>
      <c r="R33" s="223"/>
      <c r="S33" s="223"/>
      <c r="T33" s="223"/>
      <c r="U33" s="223"/>
      <c r="V33" s="223"/>
      <c r="W33" s="223"/>
      <c r="X33" s="223"/>
      <c r="Y33" s="505"/>
      <c r="AD33" s="159">
        <f>AD27-AD32</f>
        <v>0</v>
      </c>
      <c r="AE33" s="159">
        <f>AE27-AE32</f>
        <v>0</v>
      </c>
      <c r="AF33" s="202"/>
      <c r="AG33" s="159">
        <f>AG27-AG32</f>
        <v>0</v>
      </c>
      <c r="AH33" s="159">
        <f>AH27-AH32</f>
        <v>0</v>
      </c>
      <c r="BA33" s="161" t="s">
        <v>1677</v>
      </c>
      <c r="BH33" s="95" t="s">
        <v>1678</v>
      </c>
      <c r="BJ33" s="95" t="s">
        <v>1678</v>
      </c>
      <c r="BK33" s="95" t="s">
        <v>1678</v>
      </c>
      <c r="BL33" s="95" t="s">
        <v>1678</v>
      </c>
      <c r="BM33" s="95" t="s">
        <v>1678</v>
      </c>
      <c r="BO33" s="95" t="s">
        <v>1678</v>
      </c>
    </row>
    <row r="34" customHeight="1" collapsed="1" spans="1:67">
      <c r="A34" s="157"/>
      <c r="B34" s="158"/>
      <c r="C34" s="158"/>
      <c r="D34" s="228"/>
      <c r="E34" s="158"/>
      <c r="F34" s="158"/>
      <c r="G34" s="158"/>
      <c r="H34" s="158"/>
    </row>
    <row r="35" customHeight="1" spans="1:67">
      <c r="A35" s="157"/>
      <c r="B35" s="158"/>
      <c r="C35" s="158"/>
      <c r="D35" s="228"/>
      <c r="E35" s="158"/>
      <c r="F35" s="158"/>
      <c r="G35" s="158"/>
      <c r="H35" s="158"/>
    </row>
    <row r="36" customHeight="1" spans="1:67">
      <c r="A36" s="157"/>
      <c r="B36" s="158"/>
      <c r="C36" s="158"/>
      <c r="D36" s="228"/>
      <c r="E36" s="158"/>
      <c r="F36" s="158"/>
      <c r="G36" s="158"/>
      <c r="H36" s="158"/>
    </row>
    <row r="37" customHeight="1" spans="1:67">
      <c r="A37" s="157"/>
      <c r="B37" s="158"/>
      <c r="C37" s="158"/>
      <c r="D37" s="228"/>
      <c r="E37" s="158"/>
      <c r="F37" s="158"/>
      <c r="G37" s="158"/>
      <c r="H37" s="158"/>
    </row>
    <row r="38" customHeight="1" spans="1:67">
      <c r="A38" s="157"/>
      <c r="B38" s="158"/>
      <c r="C38" s="158"/>
      <c r="D38" s="228"/>
      <c r="E38" s="158"/>
      <c r="F38" s="158"/>
      <c r="G38" s="158"/>
      <c r="H38" s="158"/>
    </row>
  </sheetData>
  <sheetProtection autoFilter="0"/>
  <mergeCells count="8">
    <mergeCell ref="A2:AK2"/>
    <mergeCell ref="A3:AK3"/>
    <mergeCell ref="BX7:BZ7"/>
    <mergeCell ref="BX8:BZ8"/>
    <mergeCell ref="BY14:BZ14"/>
    <mergeCell ref="A27:E27"/>
    <mergeCell ref="A28:E28"/>
    <mergeCell ref="A29:E29"/>
  </mergeCells>
  <conditionalFormatting sqref="BI7:BI26">
    <cfRule type="expression" dxfId="5" priority="6" stopIfTrue="1">
      <formula>AND(BH7="有",BI7="")</formula>
    </cfRule>
  </conditionalFormatting>
  <conditionalFormatting sqref="BN7:BN26">
    <cfRule type="expression" dxfId="5" priority="7" stopIfTrue="1">
      <formula>AND(BM7="无",BN7="")</formula>
    </cfRule>
  </conditionalFormatting>
  <conditionalFormatting sqref="BF7:BG26">
    <cfRule type="containsText" dxfId="6" priority="1" stopIfTrue="1" operator="between" text="出错">
      <formula>NOT(ISERROR(SEARCH("出错",BF7)))</formula>
    </cfRule>
  </conditionalFormatting>
  <conditionalFormatting sqref="BH7:BH26 BJ7:BM26 BO7:BO26">
    <cfRule type="expression" dxfId="5" priority="8" stopIfTrue="1">
      <formula>AND($B7&lt;&gt;"",BH7="")</formula>
    </cfRule>
  </conditionalFormatting>
  <dataValidations count="4">
    <dataValidation type="list" allowBlank="1" showInputMessage="1" showErrorMessage="1" sqref="D7:D26 BH7:BH26 BO7:BO26 BJ7:BM26">
      <formula1>D$32:D$33</formula1>
    </dataValidation>
    <dataValidation type="list" allowBlank="1" showInputMessage="1" showErrorMessage="1" sqref="Z7:Z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s>
  <hyperlinks>
    <hyperlink ref="B1" location="无形资产汇总!B9" display="返回"/>
    <hyperlink ref="A1" location="索引目录!E48" display="返回索引页"/>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7"/>
  <dimension ref="A1:BZ38"/>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13.8" style="75" customWidth="1"/>
    <col min="3" max="3" width="12.6" style="75" customWidth="1"/>
    <col min="4" max="4" width="5.2" style="75" customWidth="1"/>
    <col min="5" max="5" width="7.7" style="75" customWidth="1"/>
    <col min="6" max="6" width="7" style="75" customWidth="1"/>
    <col min="7" max="7" width="6.5" style="75" customWidth="1"/>
    <col min="8" max="8" width="12.3" style="75" customWidth="1"/>
    <col min="9" max="10" width="4.6" style="75" customWidth="1" outlineLevel="1"/>
    <col min="11" max="12" width="6.1" style="75" customWidth="1" outlineLevel="1"/>
    <col min="13" max="13" width="10.6" style="75" customWidth="1"/>
    <col min="14" max="14" width="10.6" style="75" customWidth="1" outlineLevel="1"/>
    <col min="15" max="15" width="13" style="76" customWidth="1" outlineLevel="1"/>
    <col min="16" max="16" width="10.6" style="75" customWidth="1"/>
    <col min="17" max="17" width="11.2" style="75" customWidth="1"/>
    <col min="18" max="18" width="9.1" style="75" customWidth="1"/>
    <col min="19" max="19" width="5.6" style="75" customWidth="1"/>
    <col min="20" max="20" width="7.6" style="75" customWidth="1"/>
    <col min="21"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165" customWidth="1"/>
    <col min="61" max="61" width="11.5" style="75" customWidth="1"/>
    <col min="62" max="65" width="4.7" style="165" customWidth="1"/>
    <col min="66" max="66" width="10.3" style="75" customWidth="1"/>
    <col min="67" max="67" width="4.7" style="165" customWidth="1"/>
    <col min="68" max="68" width="8.7" style="75" customWidth="1"/>
    <col min="69" max="69" width="6.7" style="75" customWidth="1"/>
    <col min="70" max="70" width="1.6" style="77" customWidth="1"/>
    <col min="71" max="71" width="10.6" style="78" customWidth="1"/>
    <col min="72" max="72" width="10.6" style="77" customWidth="1"/>
    <col min="73" max="73" width="4.6" style="78" customWidth="1"/>
    <col min="74" max="74" width="10.6" style="78" customWidth="1"/>
    <col min="75" max="76" width="4.6" style="78" customWidth="1"/>
    <col min="77" max="77" width="10.6" style="78" customWidth="1"/>
    <col min="78" max="78" width="5" style="77" customWidth="1"/>
    <col min="79" max="16384" width="9" style="75"/>
  </cols>
  <sheetData>
    <row r="1" s="86" customFormat="1" ht="13.8" spans="1:78">
      <c r="A1" s="203" t="s">
        <v>1591</v>
      </c>
      <c r="B1" s="204" t="s">
        <v>1592</v>
      </c>
      <c r="C1" s="82"/>
      <c r="D1" s="82"/>
      <c r="E1" s="82"/>
      <c r="F1" s="82"/>
      <c r="G1" s="82"/>
      <c r="H1" s="82"/>
      <c r="I1" s="82"/>
      <c r="J1" s="82"/>
      <c r="K1" s="82"/>
      <c r="L1" s="82"/>
      <c r="M1" s="82"/>
      <c r="N1" s="82"/>
      <c r="O1" s="205"/>
      <c r="P1" s="82"/>
      <c r="Q1" s="82"/>
      <c r="R1" s="82"/>
      <c r="S1" s="82"/>
      <c r="T1" s="82"/>
      <c r="BA1" s="84" t="str">
        <f>参数表!BA1</f>
        <v>注意：补充特殊事项、作价等均从BA列开始填写</v>
      </c>
      <c r="BB1" s="85"/>
      <c r="BH1" s="82"/>
      <c r="BJ1" s="82"/>
      <c r="BK1" s="82"/>
      <c r="BL1" s="82"/>
      <c r="BM1" s="82"/>
      <c r="BO1" s="82"/>
      <c r="BR1" s="87"/>
      <c r="BS1" s="88"/>
      <c r="BT1" s="87"/>
      <c r="BU1" s="88"/>
      <c r="BV1" s="88"/>
      <c r="BW1" s="88"/>
      <c r="BX1" s="88"/>
      <c r="BY1" s="88"/>
      <c r="BZ1" s="87"/>
    </row>
    <row r="2" s="71" customFormat="1" ht="30" customHeight="1" spans="1:78">
      <c r="A2" s="89" t="s">
        <v>4588</v>
      </c>
      <c r="B2" s="89"/>
      <c r="C2" s="89"/>
      <c r="D2" s="89"/>
      <c r="E2" s="89"/>
      <c r="F2" s="89"/>
      <c r="G2" s="89"/>
      <c r="H2" s="89"/>
      <c r="I2" s="89"/>
      <c r="J2" s="89"/>
      <c r="K2" s="89"/>
      <c r="L2" s="89"/>
      <c r="M2" s="89"/>
      <c r="N2" s="89"/>
      <c r="O2" s="89"/>
      <c r="P2" s="89"/>
      <c r="Q2" s="89"/>
      <c r="R2" s="89"/>
      <c r="S2" s="89"/>
      <c r="T2" s="89"/>
      <c r="BA2" s="90" t="str">
        <f>参数表!BA2</f>
        <v>评估基准日：</v>
      </c>
      <c r="BB2" s="91" t="str">
        <f>参数表!$BB$2</f>
        <v>2025年7月31日</v>
      </c>
      <c r="BH2" s="171"/>
      <c r="BJ2" s="171"/>
      <c r="BK2" s="171"/>
      <c r="BL2" s="171"/>
      <c r="BM2" s="171"/>
      <c r="BO2" s="171"/>
      <c r="BR2" s="92"/>
      <c r="BS2" s="93"/>
      <c r="BT2" s="92"/>
      <c r="BU2" s="93"/>
      <c r="BV2" s="93"/>
      <c r="BW2" s="93"/>
      <c r="BX2" s="93"/>
      <c r="BY2" s="93"/>
      <c r="BZ2" s="92"/>
    </row>
    <row r="3" ht="15" customHeight="1" spans="1:78">
      <c r="A3" s="94" t="str">
        <f>参数表!F5</f>
        <v>评估基准日：2025年7月31日</v>
      </c>
      <c r="B3" s="94"/>
      <c r="C3" s="94"/>
      <c r="D3" s="94"/>
      <c r="E3" s="94"/>
      <c r="F3" s="94"/>
      <c r="G3" s="94"/>
      <c r="H3" s="94"/>
      <c r="I3" s="94"/>
      <c r="J3" s="94"/>
      <c r="K3" s="94"/>
      <c r="L3" s="94"/>
      <c r="M3" s="95"/>
      <c r="N3" s="95"/>
      <c r="O3" s="95"/>
      <c r="P3" s="95"/>
      <c r="Q3" s="95"/>
      <c r="R3" s="95"/>
      <c r="S3" s="95"/>
      <c r="T3" s="95"/>
      <c r="BA3" s="90" t="str">
        <f>参数表!BA3</f>
        <v>是否显示评估值：</v>
      </c>
      <c r="BB3" s="90" t="str">
        <f>参数表!$BB$3</f>
        <v>是</v>
      </c>
      <c r="BT3" s="78"/>
    </row>
    <row r="4" ht="15" customHeight="1" spans="1:78">
      <c r="A4" s="96"/>
      <c r="B4" s="94"/>
      <c r="C4" s="94"/>
      <c r="D4" s="94"/>
      <c r="E4" s="94"/>
      <c r="F4" s="94"/>
      <c r="G4" s="94"/>
      <c r="H4" s="94"/>
      <c r="I4" s="95"/>
      <c r="J4" s="95"/>
      <c r="K4" s="95"/>
      <c r="L4" s="95"/>
      <c r="M4" s="95"/>
      <c r="N4" s="95"/>
      <c r="O4" s="206"/>
      <c r="P4" s="98"/>
      <c r="Q4" s="95"/>
      <c r="R4" s="95"/>
      <c r="S4" s="95"/>
      <c r="T4" s="98" t="str">
        <f>"表"&amp;$BA4</f>
        <v>表4-15-2</v>
      </c>
      <c r="BA4" s="274" t="str">
        <f>无形资总!A8</f>
        <v>4-15-2</v>
      </c>
      <c r="BB4" s="100">
        <f>MAX(COUNTA(A7:A26),COUNTA(B7:B26),COUNTA(N7:N26),COUNTA(P7:P26))</f>
        <v>20</v>
      </c>
      <c r="BC4" s="101">
        <f>ROW(A6)+1</f>
        <v>7</v>
      </c>
      <c r="BD4" s="77"/>
      <c r="BE4" s="77"/>
      <c r="BT4" s="78"/>
    </row>
    <row r="5" ht="15" customHeight="1" spans="1:78">
      <c r="A5" s="102" t="str">
        <f>参数表!F3</f>
        <v>产权持有单位:中煤第五建设有限公司</v>
      </c>
      <c r="B5" s="103"/>
      <c r="C5" s="103"/>
      <c r="D5" s="103"/>
      <c r="E5" s="103"/>
      <c r="F5" s="103"/>
      <c r="G5" s="103"/>
      <c r="H5" s="103"/>
      <c r="I5" s="95"/>
      <c r="J5" s="95"/>
      <c r="K5" s="95"/>
      <c r="L5" s="95"/>
      <c r="M5" s="103"/>
      <c r="N5" s="103"/>
      <c r="O5" s="104"/>
      <c r="P5" s="103"/>
      <c r="Q5" s="103"/>
      <c r="R5" s="103"/>
      <c r="S5" s="103"/>
      <c r="T5" s="98" t="s">
        <v>236</v>
      </c>
      <c r="BA5" s="103"/>
      <c r="BB5" s="105" t="str">
        <f ca="1">判断表!C88</f>
        <v>中煤第五建设有限公司第三工程处拟处置实物资产项目\[0000-3基础法明细表.xlsx]无形-矿权</v>
      </c>
      <c r="BC5" s="106">
        <f>IFERROR(SUMIF(BC7:BC26,"√",P7:P26)/P27,0)</f>
        <v>0</v>
      </c>
      <c r="BD5" s="107"/>
      <c r="BE5" s="107"/>
      <c r="BF5" s="108">
        <f>'无形-土地'!BF5</f>
        <v>0</v>
      </c>
      <c r="BG5" s="108">
        <f>'无形-土地'!BG5</f>
        <v>0</v>
      </c>
      <c r="BH5" s="109"/>
      <c r="BI5" s="109"/>
      <c r="BJ5" s="109"/>
      <c r="BK5" s="109"/>
      <c r="BL5" s="109"/>
      <c r="BM5" s="109"/>
      <c r="BN5" s="110"/>
      <c r="BO5" s="109"/>
      <c r="BP5" s="110"/>
      <c r="BR5" s="111"/>
      <c r="BT5" s="78"/>
      <c r="BZ5" s="111"/>
    </row>
    <row r="6" s="349" customFormat="1" ht="36" spans="1:78">
      <c r="A6" s="350" t="s">
        <v>305</v>
      </c>
      <c r="B6" s="118" t="s">
        <v>4589</v>
      </c>
      <c r="C6" s="118" t="s">
        <v>4590</v>
      </c>
      <c r="D6" s="118" t="s">
        <v>4591</v>
      </c>
      <c r="E6" s="118" t="s">
        <v>3774</v>
      </c>
      <c r="F6" s="118" t="s">
        <v>4592</v>
      </c>
      <c r="G6" s="118" t="s">
        <v>4593</v>
      </c>
      <c r="H6" s="118" t="s">
        <v>4594</v>
      </c>
      <c r="I6" s="114" t="s">
        <v>1631</v>
      </c>
      <c r="J6" s="115" t="s">
        <v>1632</v>
      </c>
      <c r="K6" s="116" t="s">
        <v>3638</v>
      </c>
      <c r="L6" s="116" t="s">
        <v>3793</v>
      </c>
      <c r="M6" s="118" t="s">
        <v>2751</v>
      </c>
      <c r="N6" s="118" t="s">
        <v>1549</v>
      </c>
      <c r="O6" s="352" t="s">
        <v>1634</v>
      </c>
      <c r="P6" s="118" t="s">
        <v>1523</v>
      </c>
      <c r="Q6" s="118" t="s">
        <v>1550</v>
      </c>
      <c r="R6" s="118" t="s">
        <v>1525</v>
      </c>
      <c r="S6" s="118" t="s">
        <v>1551</v>
      </c>
      <c r="T6" s="118"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1641</v>
      </c>
      <c r="BN6" s="118" t="s">
        <v>2209</v>
      </c>
      <c r="BO6" s="118" t="s">
        <v>3697</v>
      </c>
      <c r="BP6" s="118" t="s">
        <v>1644</v>
      </c>
      <c r="BQ6" s="224" t="s">
        <v>1524</v>
      </c>
      <c r="BR6" s="119"/>
      <c r="BS6" s="120" t="s">
        <v>1645</v>
      </c>
      <c r="BT6" s="121" t="s">
        <v>1646</v>
      </c>
      <c r="BU6" s="121" t="s">
        <v>1647</v>
      </c>
      <c r="BV6" s="121" t="s">
        <v>1648</v>
      </c>
      <c r="BW6" s="121" t="s">
        <v>1647</v>
      </c>
      <c r="BX6" s="121" t="s">
        <v>1647</v>
      </c>
      <c r="BY6" s="121" t="s">
        <v>1649</v>
      </c>
      <c r="BZ6" s="122" t="s">
        <v>1650</v>
      </c>
    </row>
    <row r="7" ht="15" customHeight="1" spans="1:78">
      <c r="A7" s="123" t="str">
        <f>IF(B7="","",COUNT(A$6:A6)+1)</f>
        <v/>
      </c>
      <c r="B7" s="126"/>
      <c r="C7" s="124"/>
      <c r="D7" s="125"/>
      <c r="E7" s="125"/>
      <c r="F7" s="214"/>
      <c r="G7" s="214"/>
      <c r="H7" s="214"/>
      <c r="I7" s="127"/>
      <c r="J7" s="127" t="str">
        <f>IFERROR(VLOOKUP(I7,参数表!$H$2:$I$50,2,FALSE),"")</f>
        <v/>
      </c>
      <c r="K7" s="128" t="str">
        <f>IFERROR(IF(OR(I7="人民币",I7=""),"",M7/J7),"")</f>
        <v/>
      </c>
      <c r="L7" s="128" t="str">
        <f>IFERROR(IF(OR(I7="人民币",I7=""),"",P7/J7),"")</f>
        <v/>
      </c>
      <c r="M7" s="129"/>
      <c r="N7" s="129"/>
      <c r="O7" s="130"/>
      <c r="P7" s="129" t="str">
        <f>IF(B7&amp;C7="","",N7+O7)</f>
        <v/>
      </c>
      <c r="Q7" s="129" t="str">
        <f t="shared" ref="Q7:Q26" si="0">IF(B7&amp;C7="","",IF(BB$3="是",BQ7,""))</f>
        <v/>
      </c>
      <c r="R7" s="129" t="str">
        <f>IFERROR(Q7-P7,"")</f>
        <v/>
      </c>
      <c r="S7" s="129" t="str">
        <f>IFERROR(R7/P7*100,"")</f>
        <v/>
      </c>
      <c r="T7" s="131"/>
      <c r="BA7" s="78"/>
      <c r="BB7" s="132" t="s">
        <v>4595</v>
      </c>
      <c r="BC7" s="133"/>
      <c r="BD7" s="132" t="str">
        <f>IF(OR(B7="",BC7=""),"",COUNTIF(BC$7:BC7,"√"))</f>
        <v/>
      </c>
      <c r="BE7" s="134" t="str">
        <f t="shared" ref="BE7:BE26" si="1">IF(BC7="","",BB7&amp;"︱"&amp;B7&amp;"︱"&amp;TEXT(N7,"#,##0.00"))</f>
        <v/>
      </c>
      <c r="BF7" s="135" t="str">
        <f>IF($B7="","",IF(BF$5=0,"OK","出错"))</f>
        <v/>
      </c>
      <c r="BG7" s="135" t="str">
        <f>IF($B7="","",IF(BG$5=0,"OK","出错"))</f>
        <v/>
      </c>
      <c r="BH7" s="136"/>
      <c r="BI7" s="137"/>
      <c r="BJ7" s="136"/>
      <c r="BK7" s="136"/>
      <c r="BL7" s="136"/>
      <c r="BM7" s="136"/>
      <c r="BN7" s="137"/>
      <c r="BO7" s="136"/>
      <c r="BP7" s="137"/>
      <c r="BS7" s="134" t="str">
        <f>IF(COUNTIF(BS$6:BS6,B7)&gt;0,"",B7)&amp;""</f>
        <v/>
      </c>
      <c r="BT7" s="138">
        <f>SUMIF(B$7:B$26,BS7,M$7:M$26)</f>
        <v>0</v>
      </c>
      <c r="BU7" s="132">
        <f t="shared" ref="BU7" si="2">RANK(BT7,BT$7:BT$26)</f>
        <v>1</v>
      </c>
      <c r="BV7" s="138">
        <f>SUMIF(B$7:B$26,BS7,Q$7:Q$26)</f>
        <v>0</v>
      </c>
      <c r="BW7" s="132">
        <f>RANK(BV7,BV$7:BV$26)</f>
        <v>1</v>
      </c>
      <c r="BX7" s="138">
        <f>SUM(BT7:BT26)</f>
        <v>0</v>
      </c>
      <c r="BY7" s="138"/>
      <c r="BZ7" s="138"/>
    </row>
    <row r="8" ht="15" customHeight="1" spans="1:78">
      <c r="A8" s="123" t="str">
        <f>IF(B8="","",COUNT(A$6:A7)+1)</f>
        <v/>
      </c>
      <c r="B8" s="141"/>
      <c r="C8" s="139"/>
      <c r="D8" s="140"/>
      <c r="E8" s="140"/>
      <c r="F8" s="219"/>
      <c r="G8" s="219"/>
      <c r="H8" s="219"/>
      <c r="I8" s="142"/>
      <c r="J8" s="127" t="str">
        <f>IFERROR(VLOOKUP(I8,参数表!$H$2:$I$50,2,FALSE),"")</f>
        <v/>
      </c>
      <c r="K8" s="128" t="str">
        <f t="shared" ref="K8:K26" si="3">IFERROR(IF(OR(I8="人民币",I8=""),"",M8/J8),"")</f>
        <v/>
      </c>
      <c r="L8" s="128" t="str">
        <f t="shared" ref="L8:L26" si="4">IFERROR(IF(OR(I8="人民币",I8=""),"",P8/J8),"")</f>
        <v/>
      </c>
      <c r="M8" s="143"/>
      <c r="N8" s="143"/>
      <c r="O8" s="144"/>
      <c r="P8" s="129" t="str">
        <f t="shared" ref="P8:P26" si="5">IF(B8&amp;C8="","",N8+O8)</f>
        <v/>
      </c>
      <c r="Q8" s="129" t="str">
        <f t="shared" si="0"/>
        <v/>
      </c>
      <c r="R8" s="129" t="str">
        <f t="shared" ref="R8:R29" si="6">IFERROR(Q8-P8,"")</f>
        <v/>
      </c>
      <c r="S8" s="129" t="str">
        <f t="shared" ref="S8:S29" si="7">IFERROR(R8/P8*100,"")</f>
        <v/>
      </c>
      <c r="T8" s="145"/>
      <c r="BA8" s="78"/>
      <c r="BB8" s="132" t="s">
        <v>4596</v>
      </c>
      <c r="BC8" s="133"/>
      <c r="BD8" s="132" t="str">
        <f>IF(OR(B8="",BC8=""),"",COUNTIF(BC$7:BC8,"√"))</f>
        <v/>
      </c>
      <c r="BE8" s="134" t="str">
        <f t="shared" si="1"/>
        <v/>
      </c>
      <c r="BF8" s="135" t="str">
        <f t="shared" ref="BF8:BG26" si="8">IF($B8="","",IF(BF$5=0,"OK","出错"))</f>
        <v/>
      </c>
      <c r="BG8" s="135" t="str">
        <f t="shared" si="8"/>
        <v/>
      </c>
      <c r="BH8" s="136"/>
      <c r="BI8" s="137"/>
      <c r="BJ8" s="136"/>
      <c r="BK8" s="136"/>
      <c r="BL8" s="136"/>
      <c r="BM8" s="136"/>
      <c r="BN8" s="137"/>
      <c r="BO8" s="136"/>
      <c r="BP8" s="137"/>
      <c r="BS8" s="134" t="str">
        <f>IF(COUNTIF(BS$6:BS7,B8)&gt;0,"",B8)&amp;""</f>
        <v/>
      </c>
      <c r="BT8" s="138">
        <f t="shared" ref="BT8:BT26" si="9">SUMIF(B$7:B$26,BS8,M$7:M$26)</f>
        <v>0</v>
      </c>
      <c r="BU8" s="132">
        <f t="shared" ref="BU8:BU26" si="10">RANK(BT8,BT$7:BT$26)</f>
        <v>1</v>
      </c>
      <c r="BV8" s="138">
        <f t="shared" ref="BV8:BV26" si="11">SUMIF(B$7:B$26,BS8,Q$7:Q$26)</f>
        <v>0</v>
      </c>
      <c r="BW8" s="132">
        <f t="shared" ref="BW8:BW26" si="12">RANK(BV8,BV$7:BV$26)</f>
        <v>1</v>
      </c>
      <c r="BX8" s="138">
        <f>SUM(BV7:BV26)</f>
        <v>0</v>
      </c>
      <c r="BY8" s="138"/>
      <c r="BZ8" s="138"/>
    </row>
    <row r="9" ht="15" customHeight="1" spans="1:78">
      <c r="A9" s="123" t="str">
        <f>IF(B9="","",COUNT(A$6:A8)+1)</f>
        <v/>
      </c>
      <c r="B9" s="141"/>
      <c r="C9" s="139"/>
      <c r="D9" s="140"/>
      <c r="E9" s="140"/>
      <c r="F9" s="219"/>
      <c r="G9" s="219"/>
      <c r="H9" s="219"/>
      <c r="I9" s="142"/>
      <c r="J9" s="127" t="str">
        <f>IFERROR(VLOOKUP(I9,参数表!$H$2:$I$50,2,FALSE),"")</f>
        <v/>
      </c>
      <c r="K9" s="128" t="str">
        <f t="shared" si="3"/>
        <v/>
      </c>
      <c r="L9" s="128" t="str">
        <f t="shared" si="4"/>
        <v/>
      </c>
      <c r="M9" s="143"/>
      <c r="N9" s="143"/>
      <c r="O9" s="144"/>
      <c r="P9" s="129" t="str">
        <f t="shared" si="5"/>
        <v/>
      </c>
      <c r="Q9" s="129" t="str">
        <f t="shared" si="0"/>
        <v/>
      </c>
      <c r="R9" s="129" t="str">
        <f t="shared" si="6"/>
        <v/>
      </c>
      <c r="S9" s="129" t="str">
        <f t="shared" si="7"/>
        <v/>
      </c>
      <c r="T9" s="145"/>
      <c r="BA9" s="78"/>
      <c r="BB9" s="132" t="s">
        <v>4597</v>
      </c>
      <c r="BC9" s="133"/>
      <c r="BD9" s="132" t="str">
        <f>IF(OR(B9="",BC9=""),"",COUNTIF(BC$7:BC9,"√"))</f>
        <v/>
      </c>
      <c r="BE9" s="134" t="str">
        <f t="shared" si="1"/>
        <v/>
      </c>
      <c r="BF9" s="135" t="str">
        <f t="shared" si="8"/>
        <v/>
      </c>
      <c r="BG9" s="135" t="str">
        <f t="shared" si="8"/>
        <v/>
      </c>
      <c r="BH9" s="136"/>
      <c r="BI9" s="137"/>
      <c r="BJ9" s="136"/>
      <c r="BK9" s="136"/>
      <c r="BL9" s="136"/>
      <c r="BM9" s="136"/>
      <c r="BN9" s="137"/>
      <c r="BO9" s="136"/>
      <c r="BP9" s="137"/>
      <c r="BS9" s="134" t="str">
        <f>IF(COUNTIF(BS$6:BS8,B9)&gt;0,"",B9)&amp;""</f>
        <v/>
      </c>
      <c r="BT9" s="138">
        <f t="shared" si="9"/>
        <v>0</v>
      </c>
      <c r="BU9" s="132">
        <f t="shared" si="10"/>
        <v>1</v>
      </c>
      <c r="BV9" s="138">
        <f t="shared" si="11"/>
        <v>0</v>
      </c>
      <c r="BW9" s="132">
        <f t="shared" si="12"/>
        <v>1</v>
      </c>
      <c r="BX9" s="132">
        <v>1</v>
      </c>
      <c r="BY9" s="134" t="str">
        <f>IFERROR(INDEX(BS$7:BS$26,MATCH(BX9,IF(BX$7=0,BW$7:BW$26,BU$7:BU$26),0))&amp;"","")</f>
        <v/>
      </c>
      <c r="BZ9" s="146" t="str">
        <f>IF(BY10="","",IF(BY11="","和","、"))</f>
        <v/>
      </c>
    </row>
    <row r="10" ht="15" customHeight="1" spans="1:78">
      <c r="A10" s="123" t="str">
        <f>IF(B10="","",COUNT(A$6:A9)+1)</f>
        <v/>
      </c>
      <c r="B10" s="141"/>
      <c r="C10" s="139"/>
      <c r="D10" s="140"/>
      <c r="E10" s="140"/>
      <c r="F10" s="219"/>
      <c r="G10" s="219"/>
      <c r="H10" s="219"/>
      <c r="I10" s="142"/>
      <c r="J10" s="127" t="str">
        <f>IFERROR(VLOOKUP(I10,参数表!$H$2:$I$50,2,FALSE),"")</f>
        <v/>
      </c>
      <c r="K10" s="128" t="str">
        <f t="shared" si="3"/>
        <v/>
      </c>
      <c r="L10" s="128" t="str">
        <f t="shared" si="4"/>
        <v/>
      </c>
      <c r="M10" s="143"/>
      <c r="N10" s="143"/>
      <c r="O10" s="144"/>
      <c r="P10" s="129" t="str">
        <f t="shared" si="5"/>
        <v/>
      </c>
      <c r="Q10" s="129" t="str">
        <f t="shared" si="0"/>
        <v/>
      </c>
      <c r="R10" s="129" t="str">
        <f t="shared" si="6"/>
        <v/>
      </c>
      <c r="S10" s="129" t="str">
        <f t="shared" si="7"/>
        <v/>
      </c>
      <c r="T10" s="145"/>
      <c r="BA10" s="78"/>
      <c r="BB10" s="132" t="s">
        <v>4598</v>
      </c>
      <c r="BC10" s="133"/>
      <c r="BD10" s="132" t="str">
        <f>IF(OR(B10="",BC10=""),"",COUNTIF(BC$7:BC10,"√"))</f>
        <v/>
      </c>
      <c r="BE10" s="134" t="str">
        <f t="shared" si="1"/>
        <v/>
      </c>
      <c r="BF10" s="135" t="str">
        <f t="shared" si="8"/>
        <v/>
      </c>
      <c r="BG10" s="135" t="str">
        <f t="shared" si="8"/>
        <v/>
      </c>
      <c r="BH10" s="136"/>
      <c r="BI10" s="137"/>
      <c r="BJ10" s="136"/>
      <c r="BK10" s="136"/>
      <c r="BL10" s="136"/>
      <c r="BM10" s="136"/>
      <c r="BN10" s="137"/>
      <c r="BO10" s="136"/>
      <c r="BP10" s="137"/>
      <c r="BS10" s="134" t="str">
        <f>IF(COUNTIF(BS$6:BS9,B10)&gt;0,"",B10)&amp;""</f>
        <v/>
      </c>
      <c r="BT10" s="138">
        <f t="shared" si="9"/>
        <v>0</v>
      </c>
      <c r="BU10" s="132">
        <f t="shared" si="10"/>
        <v>1</v>
      </c>
      <c r="BV10" s="138">
        <f t="shared" si="11"/>
        <v>0</v>
      </c>
      <c r="BW10" s="132">
        <f t="shared" si="12"/>
        <v>1</v>
      </c>
      <c r="BX10" s="132">
        <v>2</v>
      </c>
      <c r="BY10" s="134" t="str">
        <f t="shared" ref="BY10:BY13" si="13">IFERROR(INDEX(BS$7:BS$26,MATCH(BX10,IF(BX$7=0,BW$7:BW$26,BU$7:BU$26),0))&amp;"","")</f>
        <v/>
      </c>
      <c r="BZ10" s="146" t="str">
        <f t="shared" ref="BZ10:BZ11" si="14">IF(BY11="","",IF(BY12="","和","、"))</f>
        <v/>
      </c>
    </row>
    <row r="11" ht="15" customHeight="1" spans="1:78">
      <c r="A11" s="123" t="str">
        <f>IF(B11="","",COUNT(A$6:A10)+1)</f>
        <v/>
      </c>
      <c r="B11" s="141"/>
      <c r="C11" s="139"/>
      <c r="D11" s="140"/>
      <c r="E11" s="140"/>
      <c r="F11" s="219"/>
      <c r="G11" s="219"/>
      <c r="H11" s="219"/>
      <c r="I11" s="142"/>
      <c r="J11" s="127" t="str">
        <f>IFERROR(VLOOKUP(I11,参数表!$H$2:$I$50,2,FALSE),"")</f>
        <v/>
      </c>
      <c r="K11" s="128" t="str">
        <f t="shared" si="3"/>
        <v/>
      </c>
      <c r="L11" s="128" t="str">
        <f t="shared" si="4"/>
        <v/>
      </c>
      <c r="M11" s="143"/>
      <c r="N11" s="143"/>
      <c r="O11" s="144"/>
      <c r="P11" s="129" t="str">
        <f t="shared" si="5"/>
        <v/>
      </c>
      <c r="Q11" s="129" t="str">
        <f t="shared" si="0"/>
        <v/>
      </c>
      <c r="R11" s="129" t="str">
        <f t="shared" si="6"/>
        <v/>
      </c>
      <c r="S11" s="129" t="str">
        <f t="shared" si="7"/>
        <v/>
      </c>
      <c r="T11" s="145"/>
      <c r="BA11" s="78"/>
      <c r="BB11" s="132" t="s">
        <v>4599</v>
      </c>
      <c r="BC11" s="133"/>
      <c r="BD11" s="132" t="str">
        <f>IF(OR(B11="",BC11=""),"",COUNTIF(BC$7:BC11,"√"))</f>
        <v/>
      </c>
      <c r="BE11" s="134" t="str">
        <f t="shared" si="1"/>
        <v/>
      </c>
      <c r="BF11" s="135" t="str">
        <f t="shared" si="8"/>
        <v/>
      </c>
      <c r="BG11" s="135" t="str">
        <f t="shared" si="8"/>
        <v/>
      </c>
      <c r="BH11" s="136"/>
      <c r="BI11" s="137"/>
      <c r="BJ11" s="136"/>
      <c r="BK11" s="136"/>
      <c r="BL11" s="136"/>
      <c r="BM11" s="136"/>
      <c r="BN11" s="137"/>
      <c r="BO11" s="136"/>
      <c r="BP11" s="137"/>
      <c r="BS11" s="134" t="str">
        <f>IF(COUNTIF(BS$6:BS10,B11)&gt;0,"",B11)&amp;""</f>
        <v/>
      </c>
      <c r="BT11" s="138">
        <f t="shared" si="9"/>
        <v>0</v>
      </c>
      <c r="BU11" s="132">
        <f t="shared" si="10"/>
        <v>1</v>
      </c>
      <c r="BV11" s="138">
        <f t="shared" si="11"/>
        <v>0</v>
      </c>
      <c r="BW11" s="132">
        <f t="shared" si="12"/>
        <v>1</v>
      </c>
      <c r="BX11" s="132">
        <v>3</v>
      </c>
      <c r="BY11" s="134" t="str">
        <f t="shared" si="13"/>
        <v/>
      </c>
      <c r="BZ11" s="146" t="str">
        <f t="shared" si="14"/>
        <v/>
      </c>
    </row>
    <row r="12" ht="15" customHeight="1" spans="1:78">
      <c r="A12" s="123" t="str">
        <f>IF(B12="","",COUNT(A$6:A11)+1)</f>
        <v/>
      </c>
      <c r="B12" s="141"/>
      <c r="C12" s="139"/>
      <c r="D12" s="140"/>
      <c r="E12" s="140"/>
      <c r="F12" s="219"/>
      <c r="G12" s="219"/>
      <c r="H12" s="219"/>
      <c r="I12" s="142"/>
      <c r="J12" s="127" t="str">
        <f>IFERROR(VLOOKUP(I12,参数表!$H$2:$I$50,2,FALSE),"")</f>
        <v/>
      </c>
      <c r="K12" s="128" t="str">
        <f t="shared" si="3"/>
        <v/>
      </c>
      <c r="L12" s="128" t="str">
        <f t="shared" si="4"/>
        <v/>
      </c>
      <c r="M12" s="143"/>
      <c r="N12" s="143"/>
      <c r="O12" s="144"/>
      <c r="P12" s="129" t="str">
        <f t="shared" si="5"/>
        <v/>
      </c>
      <c r="Q12" s="129" t="str">
        <f t="shared" si="0"/>
        <v/>
      </c>
      <c r="R12" s="129" t="str">
        <f t="shared" si="6"/>
        <v/>
      </c>
      <c r="S12" s="129" t="str">
        <f t="shared" si="7"/>
        <v/>
      </c>
      <c r="T12" s="145"/>
      <c r="BA12" s="78"/>
      <c r="BB12" s="132" t="s">
        <v>4600</v>
      </c>
      <c r="BC12" s="133"/>
      <c r="BD12" s="132" t="str">
        <f>IF(OR(B12="",BC12=""),"",COUNTIF(BC$7:BC12,"√"))</f>
        <v/>
      </c>
      <c r="BE12" s="134" t="str">
        <f t="shared" si="1"/>
        <v/>
      </c>
      <c r="BF12" s="135" t="str">
        <f t="shared" si="8"/>
        <v/>
      </c>
      <c r="BG12" s="135" t="str">
        <f t="shared" si="8"/>
        <v/>
      </c>
      <c r="BH12" s="136"/>
      <c r="BI12" s="137"/>
      <c r="BJ12" s="136"/>
      <c r="BK12" s="136"/>
      <c r="BL12" s="136"/>
      <c r="BM12" s="136"/>
      <c r="BN12" s="137"/>
      <c r="BO12" s="136"/>
      <c r="BP12" s="137"/>
      <c r="BS12" s="134" t="str">
        <f>IF(COUNTIF(BS$6:BS11,B12)&gt;0,"",B12)&amp;""</f>
        <v/>
      </c>
      <c r="BT12" s="138">
        <f t="shared" si="9"/>
        <v>0</v>
      </c>
      <c r="BU12" s="132">
        <f t="shared" si="10"/>
        <v>1</v>
      </c>
      <c r="BV12" s="138">
        <f t="shared" si="11"/>
        <v>0</v>
      </c>
      <c r="BW12" s="132">
        <f t="shared" si="12"/>
        <v>1</v>
      </c>
      <c r="BX12" s="132">
        <v>4</v>
      </c>
      <c r="BY12" s="134" t="str">
        <f t="shared" si="13"/>
        <v/>
      </c>
      <c r="BZ12" s="146" t="str">
        <f>IF(BY13="","","和")</f>
        <v/>
      </c>
    </row>
    <row r="13" ht="15" customHeight="1" spans="1:78">
      <c r="A13" s="123" t="str">
        <f>IF(B13="","",COUNT(A$6:A12)+1)</f>
        <v/>
      </c>
      <c r="B13" s="141"/>
      <c r="C13" s="139"/>
      <c r="D13" s="140"/>
      <c r="E13" s="140"/>
      <c r="F13" s="219"/>
      <c r="G13" s="219"/>
      <c r="H13" s="219"/>
      <c r="I13" s="142"/>
      <c r="J13" s="127" t="str">
        <f>IFERROR(VLOOKUP(I13,参数表!$H$2:$I$50,2,FALSE),"")</f>
        <v/>
      </c>
      <c r="K13" s="128" t="str">
        <f t="shared" si="3"/>
        <v/>
      </c>
      <c r="L13" s="128" t="str">
        <f t="shared" si="4"/>
        <v/>
      </c>
      <c r="M13" s="143"/>
      <c r="N13" s="143"/>
      <c r="O13" s="144"/>
      <c r="P13" s="129" t="str">
        <f t="shared" si="5"/>
        <v/>
      </c>
      <c r="Q13" s="129" t="str">
        <f t="shared" si="0"/>
        <v/>
      </c>
      <c r="R13" s="129" t="str">
        <f t="shared" si="6"/>
        <v/>
      </c>
      <c r="S13" s="129" t="str">
        <f t="shared" si="7"/>
        <v/>
      </c>
      <c r="T13" s="145"/>
      <c r="BA13" s="78"/>
      <c r="BB13" s="132" t="s">
        <v>4601</v>
      </c>
      <c r="BC13" s="133"/>
      <c r="BD13" s="132" t="str">
        <f>IF(OR(B13="",BC13=""),"",COUNTIF(BC$7:BC13,"√"))</f>
        <v/>
      </c>
      <c r="BE13" s="134" t="str">
        <f t="shared" si="1"/>
        <v/>
      </c>
      <c r="BF13" s="135" t="str">
        <f t="shared" si="8"/>
        <v/>
      </c>
      <c r="BG13" s="135" t="str">
        <f t="shared" si="8"/>
        <v/>
      </c>
      <c r="BH13" s="136"/>
      <c r="BI13" s="137"/>
      <c r="BJ13" s="136"/>
      <c r="BK13" s="136"/>
      <c r="BL13" s="136"/>
      <c r="BM13" s="136"/>
      <c r="BN13" s="137"/>
      <c r="BO13" s="136"/>
      <c r="BP13" s="137"/>
      <c r="BS13" s="134" t="str">
        <f>IF(COUNTIF(BS$6:BS12,B13)&gt;0,"",B13)&amp;""</f>
        <v/>
      </c>
      <c r="BT13" s="138">
        <f t="shared" si="9"/>
        <v>0</v>
      </c>
      <c r="BU13" s="132">
        <f t="shared" si="10"/>
        <v>1</v>
      </c>
      <c r="BV13" s="138">
        <f t="shared" si="11"/>
        <v>0</v>
      </c>
      <c r="BW13" s="132">
        <f t="shared" si="12"/>
        <v>1</v>
      </c>
      <c r="BX13" s="132">
        <v>5</v>
      </c>
      <c r="BY13" s="134" t="str">
        <f t="shared" si="13"/>
        <v/>
      </c>
      <c r="BZ13" s="146"/>
    </row>
    <row r="14" ht="15" customHeight="1" spans="1:78">
      <c r="A14" s="123" t="str">
        <f>IF(B14="","",COUNT(A$6:A13)+1)</f>
        <v/>
      </c>
      <c r="B14" s="141"/>
      <c r="C14" s="139"/>
      <c r="D14" s="140"/>
      <c r="E14" s="140"/>
      <c r="F14" s="219"/>
      <c r="G14" s="219"/>
      <c r="H14" s="219"/>
      <c r="I14" s="142"/>
      <c r="J14" s="127" t="str">
        <f>IFERROR(VLOOKUP(I14,参数表!$H$2:$I$50,2,FALSE),"")</f>
        <v/>
      </c>
      <c r="K14" s="128" t="str">
        <f t="shared" si="3"/>
        <v/>
      </c>
      <c r="L14" s="128" t="str">
        <f t="shared" si="4"/>
        <v/>
      </c>
      <c r="M14" s="143"/>
      <c r="N14" s="143"/>
      <c r="O14" s="144"/>
      <c r="P14" s="129" t="str">
        <f t="shared" si="5"/>
        <v/>
      </c>
      <c r="Q14" s="129" t="str">
        <f t="shared" si="0"/>
        <v/>
      </c>
      <c r="R14" s="129" t="str">
        <f t="shared" si="6"/>
        <v/>
      </c>
      <c r="S14" s="129" t="str">
        <f t="shared" si="7"/>
        <v/>
      </c>
      <c r="T14" s="145"/>
      <c r="BA14" s="78"/>
      <c r="BB14" s="132" t="s">
        <v>4602</v>
      </c>
      <c r="BC14" s="133"/>
      <c r="BD14" s="132" t="str">
        <f>IF(OR(B14="",BC14=""),"",COUNTIF(BC$7:BC14,"√"))</f>
        <v/>
      </c>
      <c r="BE14" s="134" t="str">
        <f t="shared" si="1"/>
        <v/>
      </c>
      <c r="BF14" s="135" t="str">
        <f t="shared" si="8"/>
        <v/>
      </c>
      <c r="BG14" s="135" t="str">
        <f t="shared" si="8"/>
        <v/>
      </c>
      <c r="BH14" s="136"/>
      <c r="BI14" s="137"/>
      <c r="BJ14" s="136"/>
      <c r="BK14" s="136"/>
      <c r="BL14" s="136"/>
      <c r="BM14" s="136"/>
      <c r="BN14" s="137"/>
      <c r="BO14" s="136"/>
      <c r="BP14" s="137"/>
      <c r="BS14" s="134" t="str">
        <f>IF(COUNTIF(BS$6:BS13,B14)&gt;0,"",B14)&amp;""</f>
        <v/>
      </c>
      <c r="BT14" s="138">
        <f t="shared" si="9"/>
        <v>0</v>
      </c>
      <c r="BU14" s="132">
        <f t="shared" si="10"/>
        <v>1</v>
      </c>
      <c r="BV14" s="138">
        <f t="shared" si="11"/>
        <v>0</v>
      </c>
      <c r="BW14" s="132">
        <f t="shared" si="12"/>
        <v>1</v>
      </c>
      <c r="BX14" s="147" t="s">
        <v>1659</v>
      </c>
      <c r="BY14" s="132" t="str">
        <f>CONCATENATE(BY9,BZ9,BY10,BZ10,BY11,BZ11,BY12,BZ12,BY13)</f>
        <v/>
      </c>
      <c r="BZ14" s="132"/>
    </row>
    <row r="15" ht="15" customHeight="1" spans="1:78">
      <c r="A15" s="123" t="str">
        <f>IF(B15="","",COUNT(A$6:A14)+1)</f>
        <v/>
      </c>
      <c r="B15" s="141"/>
      <c r="C15" s="139"/>
      <c r="D15" s="140"/>
      <c r="E15" s="140"/>
      <c r="F15" s="219"/>
      <c r="G15" s="219"/>
      <c r="H15" s="219"/>
      <c r="I15" s="142"/>
      <c r="J15" s="127" t="str">
        <f>IFERROR(VLOOKUP(I15,参数表!$H$2:$I$50,2,FALSE),"")</f>
        <v/>
      </c>
      <c r="K15" s="128" t="str">
        <f t="shared" si="3"/>
        <v/>
      </c>
      <c r="L15" s="128" t="str">
        <f t="shared" si="4"/>
        <v/>
      </c>
      <c r="M15" s="143"/>
      <c r="N15" s="143"/>
      <c r="O15" s="144"/>
      <c r="P15" s="129" t="str">
        <f t="shared" si="5"/>
        <v/>
      </c>
      <c r="Q15" s="129" t="str">
        <f t="shared" si="0"/>
        <v/>
      </c>
      <c r="R15" s="129" t="str">
        <f t="shared" si="6"/>
        <v/>
      </c>
      <c r="S15" s="129" t="str">
        <f t="shared" si="7"/>
        <v/>
      </c>
      <c r="T15" s="145"/>
      <c r="BA15" s="78"/>
      <c r="BB15" s="132" t="s">
        <v>4603</v>
      </c>
      <c r="BC15" s="133"/>
      <c r="BD15" s="132" t="str">
        <f>IF(OR(B15="",BC15=""),"",COUNTIF(BC$7:BC15,"√"))</f>
        <v/>
      </c>
      <c r="BE15" s="134" t="str">
        <f t="shared" si="1"/>
        <v/>
      </c>
      <c r="BF15" s="135" t="str">
        <f t="shared" si="8"/>
        <v/>
      </c>
      <c r="BG15" s="135" t="str">
        <f t="shared" si="8"/>
        <v/>
      </c>
      <c r="BH15" s="136"/>
      <c r="BI15" s="137"/>
      <c r="BJ15" s="136"/>
      <c r="BK15" s="136"/>
      <c r="BL15" s="136"/>
      <c r="BM15" s="136"/>
      <c r="BN15" s="137"/>
      <c r="BO15" s="136"/>
      <c r="BP15" s="137"/>
      <c r="BS15" s="134" t="str">
        <f>IF(COUNTIF(BS$6:BS14,B15)&gt;0,"",B15)&amp;""</f>
        <v/>
      </c>
      <c r="BT15" s="138">
        <f t="shared" si="9"/>
        <v>0</v>
      </c>
      <c r="BU15" s="132">
        <f t="shared" si="10"/>
        <v>1</v>
      </c>
      <c r="BV15" s="138">
        <f t="shared" si="11"/>
        <v>0</v>
      </c>
      <c r="BW15" s="132">
        <f t="shared" si="12"/>
        <v>1</v>
      </c>
      <c r="BX15" s="133"/>
      <c r="BY15" s="133"/>
    </row>
    <row r="16" ht="15" customHeight="1" spans="1:78">
      <c r="A16" s="123" t="str">
        <f>IF(B16="","",COUNT(A$6:A15)+1)</f>
        <v/>
      </c>
      <c r="B16" s="141"/>
      <c r="C16" s="139"/>
      <c r="D16" s="140"/>
      <c r="E16" s="140"/>
      <c r="F16" s="219"/>
      <c r="G16" s="219"/>
      <c r="H16" s="219"/>
      <c r="I16" s="142"/>
      <c r="J16" s="127" t="str">
        <f>IFERROR(VLOOKUP(I16,参数表!$H$2:$I$50,2,FALSE),"")</f>
        <v/>
      </c>
      <c r="K16" s="128" t="str">
        <f t="shared" si="3"/>
        <v/>
      </c>
      <c r="L16" s="128" t="str">
        <f t="shared" si="4"/>
        <v/>
      </c>
      <c r="M16" s="143"/>
      <c r="N16" s="143"/>
      <c r="O16" s="144"/>
      <c r="P16" s="129" t="str">
        <f t="shared" si="5"/>
        <v/>
      </c>
      <c r="Q16" s="129" t="str">
        <f t="shared" si="0"/>
        <v/>
      </c>
      <c r="R16" s="129" t="str">
        <f t="shared" si="6"/>
        <v/>
      </c>
      <c r="S16" s="129" t="str">
        <f t="shared" si="7"/>
        <v/>
      </c>
      <c r="T16" s="145"/>
      <c r="BA16" s="78"/>
      <c r="BB16" s="132" t="s">
        <v>4604</v>
      </c>
      <c r="BC16" s="133"/>
      <c r="BD16" s="132" t="str">
        <f>IF(OR(B16="",BC16=""),"",COUNTIF(BC$7:BC16,"√"))</f>
        <v/>
      </c>
      <c r="BE16" s="134" t="str">
        <f t="shared" si="1"/>
        <v/>
      </c>
      <c r="BF16" s="135" t="str">
        <f t="shared" si="8"/>
        <v/>
      </c>
      <c r="BG16" s="135" t="str">
        <f t="shared" si="8"/>
        <v/>
      </c>
      <c r="BH16" s="136"/>
      <c r="BI16" s="137"/>
      <c r="BJ16" s="136"/>
      <c r="BK16" s="136"/>
      <c r="BL16" s="136"/>
      <c r="BM16" s="136"/>
      <c r="BN16" s="137"/>
      <c r="BO16" s="136"/>
      <c r="BP16" s="137"/>
      <c r="BS16" s="134" t="str">
        <f>IF(COUNTIF(BS$6:BS15,B16)&gt;0,"",B16)&amp;""</f>
        <v/>
      </c>
      <c r="BT16" s="138">
        <f t="shared" si="9"/>
        <v>0</v>
      </c>
      <c r="BU16" s="132">
        <f t="shared" si="10"/>
        <v>1</v>
      </c>
      <c r="BV16" s="138">
        <f t="shared" si="11"/>
        <v>0</v>
      </c>
      <c r="BW16" s="132">
        <f t="shared" si="12"/>
        <v>1</v>
      </c>
      <c r="BX16" s="133"/>
      <c r="BY16" s="148"/>
    </row>
    <row r="17" ht="15" customHeight="1" spans="1:78">
      <c r="A17" s="123" t="str">
        <f>IF(B17="","",COUNT(A$6:A16)+1)</f>
        <v/>
      </c>
      <c r="B17" s="141"/>
      <c r="C17" s="139"/>
      <c r="D17" s="140"/>
      <c r="E17" s="140"/>
      <c r="F17" s="219"/>
      <c r="G17" s="219"/>
      <c r="H17" s="219"/>
      <c r="I17" s="142"/>
      <c r="J17" s="127" t="str">
        <f>IFERROR(VLOOKUP(I17,参数表!$H$2:$I$50,2,FALSE),"")</f>
        <v/>
      </c>
      <c r="K17" s="128" t="str">
        <f t="shared" si="3"/>
        <v/>
      </c>
      <c r="L17" s="128" t="str">
        <f t="shared" si="4"/>
        <v/>
      </c>
      <c r="M17" s="143"/>
      <c r="N17" s="143"/>
      <c r="O17" s="144"/>
      <c r="P17" s="129" t="str">
        <f t="shared" si="5"/>
        <v/>
      </c>
      <c r="Q17" s="129" t="str">
        <f t="shared" si="0"/>
        <v/>
      </c>
      <c r="R17" s="129" t="str">
        <f t="shared" si="6"/>
        <v/>
      </c>
      <c r="S17" s="129" t="str">
        <f t="shared" si="7"/>
        <v/>
      </c>
      <c r="T17" s="145"/>
      <c r="BA17" s="78"/>
      <c r="BB17" s="132" t="s">
        <v>4605</v>
      </c>
      <c r="BC17" s="133"/>
      <c r="BD17" s="132" t="str">
        <f>IF(OR(B17="",BC17=""),"",COUNTIF(BC$7:BC17,"√"))</f>
        <v/>
      </c>
      <c r="BE17" s="134" t="str">
        <f t="shared" si="1"/>
        <v/>
      </c>
      <c r="BF17" s="135" t="str">
        <f t="shared" si="8"/>
        <v/>
      </c>
      <c r="BG17" s="135" t="str">
        <f t="shared" si="8"/>
        <v/>
      </c>
      <c r="BH17" s="136"/>
      <c r="BI17" s="137"/>
      <c r="BJ17" s="136"/>
      <c r="BK17" s="136"/>
      <c r="BL17" s="136"/>
      <c r="BM17" s="136"/>
      <c r="BN17" s="137"/>
      <c r="BO17" s="136"/>
      <c r="BP17" s="137"/>
      <c r="BS17" s="134" t="str">
        <f>IF(COUNTIF(BS$6:BS16,B17)&gt;0,"",B17)&amp;""</f>
        <v/>
      </c>
      <c r="BT17" s="138">
        <f t="shared" si="9"/>
        <v>0</v>
      </c>
      <c r="BU17" s="132">
        <f t="shared" si="10"/>
        <v>1</v>
      </c>
      <c r="BV17" s="138">
        <f t="shared" si="11"/>
        <v>0</v>
      </c>
      <c r="BW17" s="132">
        <f t="shared" si="12"/>
        <v>1</v>
      </c>
      <c r="BX17" s="133"/>
      <c r="BY17" s="133"/>
    </row>
    <row r="18" ht="15" customHeight="1" spans="1:78">
      <c r="A18" s="123" t="str">
        <f>IF(B18="","",COUNT(A$6:A17)+1)</f>
        <v/>
      </c>
      <c r="B18" s="141"/>
      <c r="C18" s="139"/>
      <c r="D18" s="140"/>
      <c r="E18" s="140"/>
      <c r="F18" s="219"/>
      <c r="G18" s="219"/>
      <c r="H18" s="219"/>
      <c r="I18" s="142"/>
      <c r="J18" s="127" t="str">
        <f>IFERROR(VLOOKUP(I18,参数表!$H$2:$I$50,2,FALSE),"")</f>
        <v/>
      </c>
      <c r="K18" s="128" t="str">
        <f t="shared" si="3"/>
        <v/>
      </c>
      <c r="L18" s="128" t="str">
        <f t="shared" si="4"/>
        <v/>
      </c>
      <c r="M18" s="143"/>
      <c r="N18" s="143"/>
      <c r="O18" s="144"/>
      <c r="P18" s="129" t="str">
        <f t="shared" si="5"/>
        <v/>
      </c>
      <c r="Q18" s="129" t="str">
        <f t="shared" si="0"/>
        <v/>
      </c>
      <c r="R18" s="129" t="str">
        <f t="shared" si="6"/>
        <v/>
      </c>
      <c r="S18" s="129" t="str">
        <f t="shared" si="7"/>
        <v/>
      </c>
      <c r="T18" s="145"/>
      <c r="BA18" s="78"/>
      <c r="BB18" s="132" t="s">
        <v>4606</v>
      </c>
      <c r="BC18" s="133"/>
      <c r="BD18" s="132" t="str">
        <f>IF(OR(B18="",BC18=""),"",COUNTIF(BC$7:BC18,"√"))</f>
        <v/>
      </c>
      <c r="BE18" s="134" t="str">
        <f t="shared" si="1"/>
        <v/>
      </c>
      <c r="BF18" s="135" t="str">
        <f t="shared" si="8"/>
        <v/>
      </c>
      <c r="BG18" s="135" t="str">
        <f t="shared" si="8"/>
        <v/>
      </c>
      <c r="BH18" s="136"/>
      <c r="BI18" s="137"/>
      <c r="BJ18" s="136"/>
      <c r="BK18" s="136"/>
      <c r="BL18" s="136"/>
      <c r="BM18" s="136"/>
      <c r="BN18" s="137"/>
      <c r="BO18" s="136"/>
      <c r="BP18" s="137"/>
      <c r="BS18" s="134" t="str">
        <f>IF(COUNTIF(BS$6:BS17,B18)&gt;0,"",B18)&amp;""</f>
        <v/>
      </c>
      <c r="BT18" s="138">
        <f t="shared" si="9"/>
        <v>0</v>
      </c>
      <c r="BU18" s="132">
        <f t="shared" si="10"/>
        <v>1</v>
      </c>
      <c r="BV18" s="138">
        <f t="shared" si="11"/>
        <v>0</v>
      </c>
      <c r="BW18" s="132">
        <f t="shared" si="12"/>
        <v>1</v>
      </c>
      <c r="BX18" s="133"/>
      <c r="BY18" s="133"/>
    </row>
    <row r="19" ht="15" customHeight="1" spans="1:78">
      <c r="A19" s="123" t="str">
        <f>IF(B19="","",COUNT(A$6:A18)+1)</f>
        <v/>
      </c>
      <c r="B19" s="141"/>
      <c r="C19" s="139"/>
      <c r="D19" s="140"/>
      <c r="E19" s="140"/>
      <c r="F19" s="219"/>
      <c r="G19" s="219"/>
      <c r="H19" s="219"/>
      <c r="I19" s="142"/>
      <c r="J19" s="127" t="str">
        <f>IFERROR(VLOOKUP(I19,参数表!$H$2:$I$50,2,FALSE),"")</f>
        <v/>
      </c>
      <c r="K19" s="128" t="str">
        <f t="shared" si="3"/>
        <v/>
      </c>
      <c r="L19" s="128" t="str">
        <f t="shared" si="4"/>
        <v/>
      </c>
      <c r="M19" s="143"/>
      <c r="N19" s="143"/>
      <c r="O19" s="144"/>
      <c r="P19" s="129" t="str">
        <f t="shared" si="5"/>
        <v/>
      </c>
      <c r="Q19" s="129" t="str">
        <f t="shared" si="0"/>
        <v/>
      </c>
      <c r="R19" s="129" t="str">
        <f t="shared" si="6"/>
        <v/>
      </c>
      <c r="S19" s="129" t="str">
        <f t="shared" si="7"/>
        <v/>
      </c>
      <c r="T19" s="145"/>
      <c r="BA19" s="78"/>
      <c r="BB19" s="132" t="s">
        <v>4607</v>
      </c>
      <c r="BC19" s="133"/>
      <c r="BD19" s="132" t="str">
        <f>IF(OR(B19="",BC19=""),"",COUNTIF(BC$7:BC19,"√"))</f>
        <v/>
      </c>
      <c r="BE19" s="134" t="str">
        <f t="shared" si="1"/>
        <v/>
      </c>
      <c r="BF19" s="135" t="str">
        <f t="shared" si="8"/>
        <v/>
      </c>
      <c r="BG19" s="135" t="str">
        <f t="shared" si="8"/>
        <v/>
      </c>
      <c r="BH19" s="136"/>
      <c r="BI19" s="137"/>
      <c r="BJ19" s="136"/>
      <c r="BK19" s="136"/>
      <c r="BL19" s="136"/>
      <c r="BM19" s="136"/>
      <c r="BN19" s="137"/>
      <c r="BO19" s="136"/>
      <c r="BP19" s="137"/>
      <c r="BS19" s="134" t="str">
        <f>IF(COUNTIF(BS$6:BS18,B19)&gt;0,"",B19)&amp;""</f>
        <v/>
      </c>
      <c r="BT19" s="138">
        <f t="shared" si="9"/>
        <v>0</v>
      </c>
      <c r="BU19" s="132">
        <f t="shared" si="10"/>
        <v>1</v>
      </c>
      <c r="BV19" s="138">
        <f t="shared" si="11"/>
        <v>0</v>
      </c>
      <c r="BW19" s="132">
        <f t="shared" si="12"/>
        <v>1</v>
      </c>
      <c r="BX19" s="133"/>
      <c r="BY19" s="133"/>
    </row>
    <row r="20" ht="15" customHeight="1" spans="1:78">
      <c r="A20" s="123" t="str">
        <f>IF(B20="","",COUNT(A$6:A19)+1)</f>
        <v/>
      </c>
      <c r="B20" s="141"/>
      <c r="C20" s="139"/>
      <c r="D20" s="140"/>
      <c r="E20" s="140"/>
      <c r="F20" s="219"/>
      <c r="G20" s="219"/>
      <c r="H20" s="219"/>
      <c r="I20" s="142"/>
      <c r="J20" s="127" t="str">
        <f>IFERROR(VLOOKUP(I20,参数表!$H$2:$I$50,2,FALSE),"")</f>
        <v/>
      </c>
      <c r="K20" s="128" t="str">
        <f t="shared" si="3"/>
        <v/>
      </c>
      <c r="L20" s="128" t="str">
        <f t="shared" si="4"/>
        <v/>
      </c>
      <c r="M20" s="143"/>
      <c r="N20" s="143"/>
      <c r="O20" s="144"/>
      <c r="P20" s="129" t="str">
        <f t="shared" si="5"/>
        <v/>
      </c>
      <c r="Q20" s="129" t="str">
        <f t="shared" si="0"/>
        <v/>
      </c>
      <c r="R20" s="129" t="str">
        <f t="shared" si="6"/>
        <v/>
      </c>
      <c r="S20" s="129" t="str">
        <f t="shared" si="7"/>
        <v/>
      </c>
      <c r="T20" s="145"/>
      <c r="BA20" s="78"/>
      <c r="BB20" s="132" t="s">
        <v>4608</v>
      </c>
      <c r="BC20" s="133"/>
      <c r="BD20" s="132" t="str">
        <f>IF(OR(B20="",BC20=""),"",COUNTIF(BC$7:BC20,"√"))</f>
        <v/>
      </c>
      <c r="BE20" s="134" t="str">
        <f t="shared" si="1"/>
        <v/>
      </c>
      <c r="BF20" s="135" t="str">
        <f t="shared" si="8"/>
        <v/>
      </c>
      <c r="BG20" s="135" t="str">
        <f t="shared" si="8"/>
        <v/>
      </c>
      <c r="BH20" s="136"/>
      <c r="BI20" s="137"/>
      <c r="BJ20" s="136"/>
      <c r="BK20" s="136"/>
      <c r="BL20" s="136"/>
      <c r="BM20" s="136"/>
      <c r="BN20" s="137"/>
      <c r="BO20" s="136"/>
      <c r="BP20" s="137"/>
      <c r="BS20" s="134" t="str">
        <f>IF(COUNTIF(BS$6:BS19,B20)&gt;0,"",B20)&amp;""</f>
        <v/>
      </c>
      <c r="BT20" s="138">
        <f t="shared" si="9"/>
        <v>0</v>
      </c>
      <c r="BU20" s="132">
        <f t="shared" si="10"/>
        <v>1</v>
      </c>
      <c r="BV20" s="138">
        <f t="shared" si="11"/>
        <v>0</v>
      </c>
      <c r="BW20" s="132">
        <f t="shared" si="12"/>
        <v>1</v>
      </c>
      <c r="BX20" s="133"/>
      <c r="BY20" s="133"/>
    </row>
    <row r="21" ht="15" customHeight="1" spans="1:78">
      <c r="A21" s="123" t="str">
        <f>IF(B21="","",COUNT(A$6:A20)+1)</f>
        <v/>
      </c>
      <c r="B21" s="141"/>
      <c r="C21" s="139"/>
      <c r="D21" s="140"/>
      <c r="E21" s="140"/>
      <c r="F21" s="219"/>
      <c r="G21" s="219"/>
      <c r="H21" s="219"/>
      <c r="I21" s="142"/>
      <c r="J21" s="127" t="str">
        <f>IFERROR(VLOOKUP(I21,参数表!$H$2:$I$50,2,FALSE),"")</f>
        <v/>
      </c>
      <c r="K21" s="128" t="str">
        <f t="shared" si="3"/>
        <v/>
      </c>
      <c r="L21" s="128" t="str">
        <f t="shared" si="4"/>
        <v/>
      </c>
      <c r="M21" s="143"/>
      <c r="N21" s="143"/>
      <c r="O21" s="144"/>
      <c r="P21" s="129" t="str">
        <f t="shared" si="5"/>
        <v/>
      </c>
      <c r="Q21" s="129" t="str">
        <f t="shared" si="0"/>
        <v/>
      </c>
      <c r="R21" s="129" t="str">
        <f t="shared" si="6"/>
        <v/>
      </c>
      <c r="S21" s="129" t="str">
        <f t="shared" si="7"/>
        <v/>
      </c>
      <c r="T21" s="145"/>
      <c r="BA21" s="78"/>
      <c r="BB21" s="132" t="s">
        <v>4609</v>
      </c>
      <c r="BC21" s="133"/>
      <c r="BD21" s="132" t="str">
        <f>IF(OR(B21="",BC21=""),"",COUNTIF(BC$7:BC21,"√"))</f>
        <v/>
      </c>
      <c r="BE21" s="134" t="str">
        <f t="shared" si="1"/>
        <v/>
      </c>
      <c r="BF21" s="135" t="str">
        <f t="shared" si="8"/>
        <v/>
      </c>
      <c r="BG21" s="135" t="str">
        <f t="shared" si="8"/>
        <v/>
      </c>
      <c r="BH21" s="136"/>
      <c r="BI21" s="137"/>
      <c r="BJ21" s="136"/>
      <c r="BK21" s="136"/>
      <c r="BL21" s="136"/>
      <c r="BM21" s="136"/>
      <c r="BN21" s="137"/>
      <c r="BO21" s="136"/>
      <c r="BP21" s="137"/>
      <c r="BS21" s="134" t="str">
        <f>IF(COUNTIF(BS$6:BS20,B21)&gt;0,"",B21)&amp;""</f>
        <v/>
      </c>
      <c r="BT21" s="138">
        <f t="shared" si="9"/>
        <v>0</v>
      </c>
      <c r="BU21" s="132">
        <f t="shared" si="10"/>
        <v>1</v>
      </c>
      <c r="BV21" s="138">
        <f t="shared" si="11"/>
        <v>0</v>
      </c>
      <c r="BW21" s="132">
        <f t="shared" si="12"/>
        <v>1</v>
      </c>
      <c r="BX21" s="133"/>
      <c r="BY21" s="133"/>
    </row>
    <row r="22" ht="15" customHeight="1" spans="1:78">
      <c r="A22" s="123" t="str">
        <f>IF(B22="","",COUNT(A$6:A21)+1)</f>
        <v/>
      </c>
      <c r="B22" s="141"/>
      <c r="C22" s="139"/>
      <c r="D22" s="140"/>
      <c r="E22" s="140"/>
      <c r="F22" s="219"/>
      <c r="G22" s="219"/>
      <c r="H22" s="219"/>
      <c r="I22" s="142"/>
      <c r="J22" s="127" t="str">
        <f>IFERROR(VLOOKUP(I22,参数表!$H$2:$I$50,2,FALSE),"")</f>
        <v/>
      </c>
      <c r="K22" s="128" t="str">
        <f t="shared" si="3"/>
        <v/>
      </c>
      <c r="L22" s="128" t="str">
        <f t="shared" si="4"/>
        <v/>
      </c>
      <c r="M22" s="143"/>
      <c r="N22" s="143"/>
      <c r="O22" s="144"/>
      <c r="P22" s="129" t="str">
        <f t="shared" si="5"/>
        <v/>
      </c>
      <c r="Q22" s="129" t="str">
        <f t="shared" si="0"/>
        <v/>
      </c>
      <c r="R22" s="129" t="str">
        <f t="shared" si="6"/>
        <v/>
      </c>
      <c r="S22" s="129" t="str">
        <f t="shared" si="7"/>
        <v/>
      </c>
      <c r="T22" s="145"/>
      <c r="BA22" s="78"/>
      <c r="BB22" s="132" t="s">
        <v>4610</v>
      </c>
      <c r="BC22" s="133"/>
      <c r="BD22" s="132" t="str">
        <f>IF(OR(B22="",BC22=""),"",COUNTIF(BC$7:BC22,"√"))</f>
        <v/>
      </c>
      <c r="BE22" s="134" t="str">
        <f t="shared" si="1"/>
        <v/>
      </c>
      <c r="BF22" s="135" t="str">
        <f t="shared" si="8"/>
        <v/>
      </c>
      <c r="BG22" s="135" t="str">
        <f t="shared" si="8"/>
        <v/>
      </c>
      <c r="BH22" s="136"/>
      <c r="BI22" s="137"/>
      <c r="BJ22" s="136"/>
      <c r="BK22" s="136"/>
      <c r="BL22" s="136"/>
      <c r="BM22" s="136"/>
      <c r="BN22" s="137"/>
      <c r="BO22" s="136"/>
      <c r="BP22" s="137"/>
      <c r="BS22" s="134" t="str">
        <f>IF(COUNTIF(BS$6:BS21,B22)&gt;0,"",B22)&amp;""</f>
        <v/>
      </c>
      <c r="BT22" s="138">
        <f t="shared" si="9"/>
        <v>0</v>
      </c>
      <c r="BU22" s="132">
        <f t="shared" si="10"/>
        <v>1</v>
      </c>
      <c r="BV22" s="138">
        <f t="shared" si="11"/>
        <v>0</v>
      </c>
      <c r="BW22" s="132">
        <f t="shared" si="12"/>
        <v>1</v>
      </c>
      <c r="BX22" s="133"/>
      <c r="BY22" s="133"/>
    </row>
    <row r="23" ht="15" customHeight="1" spans="1:78">
      <c r="A23" s="123" t="str">
        <f>IF(B23="","",COUNT(A$6:A22)+1)</f>
        <v/>
      </c>
      <c r="B23" s="141"/>
      <c r="C23" s="139"/>
      <c r="D23" s="140"/>
      <c r="E23" s="140"/>
      <c r="F23" s="219"/>
      <c r="G23" s="219"/>
      <c r="H23" s="219"/>
      <c r="I23" s="142"/>
      <c r="J23" s="127" t="str">
        <f>IFERROR(VLOOKUP(I23,参数表!$H$2:$I$50,2,FALSE),"")</f>
        <v/>
      </c>
      <c r="K23" s="128" t="str">
        <f t="shared" si="3"/>
        <v/>
      </c>
      <c r="L23" s="128" t="str">
        <f t="shared" si="4"/>
        <v/>
      </c>
      <c r="M23" s="143"/>
      <c r="N23" s="143"/>
      <c r="O23" s="144"/>
      <c r="P23" s="129" t="str">
        <f t="shared" si="5"/>
        <v/>
      </c>
      <c r="Q23" s="129" t="str">
        <f t="shared" si="0"/>
        <v/>
      </c>
      <c r="R23" s="129" t="str">
        <f t="shared" si="6"/>
        <v/>
      </c>
      <c r="S23" s="129" t="str">
        <f t="shared" si="7"/>
        <v/>
      </c>
      <c r="T23" s="145"/>
      <c r="BA23" s="78"/>
      <c r="BB23" s="132" t="s">
        <v>4611</v>
      </c>
      <c r="BC23" s="133"/>
      <c r="BD23" s="132" t="str">
        <f>IF(OR(B23="",BC23=""),"",COUNTIF(BC$7:BC23,"√"))</f>
        <v/>
      </c>
      <c r="BE23" s="134" t="str">
        <f t="shared" si="1"/>
        <v/>
      </c>
      <c r="BF23" s="135" t="str">
        <f t="shared" si="8"/>
        <v/>
      </c>
      <c r="BG23" s="135" t="str">
        <f t="shared" si="8"/>
        <v/>
      </c>
      <c r="BH23" s="136"/>
      <c r="BI23" s="137"/>
      <c r="BJ23" s="136"/>
      <c r="BK23" s="136"/>
      <c r="BL23" s="136"/>
      <c r="BM23" s="136"/>
      <c r="BN23" s="137"/>
      <c r="BO23" s="136"/>
      <c r="BP23" s="137"/>
      <c r="BS23" s="134" t="str">
        <f>IF(COUNTIF(BS$6:BS22,B23)&gt;0,"",B23)&amp;""</f>
        <v/>
      </c>
      <c r="BT23" s="138">
        <f t="shared" si="9"/>
        <v>0</v>
      </c>
      <c r="BU23" s="132">
        <f t="shared" si="10"/>
        <v>1</v>
      </c>
      <c r="BV23" s="138">
        <f t="shared" si="11"/>
        <v>0</v>
      </c>
      <c r="BW23" s="132">
        <f t="shared" si="12"/>
        <v>1</v>
      </c>
      <c r="BX23" s="133"/>
      <c r="BY23" s="133"/>
    </row>
    <row r="24" ht="15" customHeight="1" spans="1:78">
      <c r="A24" s="123" t="str">
        <f>IF(B24="","",COUNT(A$6:A23)+1)</f>
        <v/>
      </c>
      <c r="B24" s="141"/>
      <c r="C24" s="139"/>
      <c r="D24" s="140"/>
      <c r="E24" s="140"/>
      <c r="F24" s="219"/>
      <c r="G24" s="219"/>
      <c r="H24" s="219"/>
      <c r="I24" s="142"/>
      <c r="J24" s="127" t="str">
        <f>IFERROR(VLOOKUP(I24,参数表!$H$2:$I$50,2,FALSE),"")</f>
        <v/>
      </c>
      <c r="K24" s="128" t="str">
        <f t="shared" si="3"/>
        <v/>
      </c>
      <c r="L24" s="128" t="str">
        <f t="shared" si="4"/>
        <v/>
      </c>
      <c r="M24" s="143"/>
      <c r="N24" s="143"/>
      <c r="O24" s="144"/>
      <c r="P24" s="129" t="str">
        <f t="shared" si="5"/>
        <v/>
      </c>
      <c r="Q24" s="129" t="str">
        <f t="shared" si="0"/>
        <v/>
      </c>
      <c r="R24" s="129" t="str">
        <f t="shared" si="6"/>
        <v/>
      </c>
      <c r="S24" s="129" t="str">
        <f t="shared" si="7"/>
        <v/>
      </c>
      <c r="T24" s="145"/>
      <c r="BA24" s="78"/>
      <c r="BB24" s="132" t="s">
        <v>4612</v>
      </c>
      <c r="BC24" s="133"/>
      <c r="BD24" s="132" t="str">
        <f>IF(OR(B24="",BC24=""),"",COUNTIF(BC$7:BC24,"√"))</f>
        <v/>
      </c>
      <c r="BE24" s="134" t="str">
        <f t="shared" si="1"/>
        <v/>
      </c>
      <c r="BF24" s="135" t="str">
        <f t="shared" si="8"/>
        <v/>
      </c>
      <c r="BG24" s="135" t="str">
        <f t="shared" si="8"/>
        <v/>
      </c>
      <c r="BH24" s="136"/>
      <c r="BI24" s="137"/>
      <c r="BJ24" s="136"/>
      <c r="BK24" s="136"/>
      <c r="BL24" s="136"/>
      <c r="BM24" s="136"/>
      <c r="BN24" s="137"/>
      <c r="BO24" s="136"/>
      <c r="BP24" s="137"/>
      <c r="BS24" s="134" t="str">
        <f>IF(COUNTIF(BS$6:BS23,B24)&gt;0,"",B24)&amp;""</f>
        <v/>
      </c>
      <c r="BT24" s="138">
        <f t="shared" si="9"/>
        <v>0</v>
      </c>
      <c r="BU24" s="132">
        <f t="shared" si="10"/>
        <v>1</v>
      </c>
      <c r="BV24" s="138">
        <f t="shared" si="11"/>
        <v>0</v>
      </c>
      <c r="BW24" s="132">
        <f t="shared" si="12"/>
        <v>1</v>
      </c>
      <c r="BX24" s="133"/>
      <c r="BY24" s="133"/>
    </row>
    <row r="25" ht="15" customHeight="1" spans="1:78">
      <c r="A25" s="123" t="str">
        <f>IF(B25="","",COUNT(A$6:A24)+1)</f>
        <v/>
      </c>
      <c r="B25" s="141"/>
      <c r="C25" s="139"/>
      <c r="D25" s="140"/>
      <c r="E25" s="140"/>
      <c r="F25" s="219"/>
      <c r="G25" s="219"/>
      <c r="H25" s="219"/>
      <c r="I25" s="142"/>
      <c r="J25" s="127" t="str">
        <f>IFERROR(VLOOKUP(I25,参数表!$H$2:$I$50,2,FALSE),"")</f>
        <v/>
      </c>
      <c r="K25" s="128" t="str">
        <f t="shared" si="3"/>
        <v/>
      </c>
      <c r="L25" s="128" t="str">
        <f t="shared" si="4"/>
        <v/>
      </c>
      <c r="M25" s="143"/>
      <c r="N25" s="143"/>
      <c r="O25" s="144"/>
      <c r="P25" s="129" t="str">
        <f t="shared" si="5"/>
        <v/>
      </c>
      <c r="Q25" s="129" t="str">
        <f t="shared" si="0"/>
        <v/>
      </c>
      <c r="R25" s="129" t="str">
        <f t="shared" si="6"/>
        <v/>
      </c>
      <c r="S25" s="129" t="str">
        <f t="shared" si="7"/>
        <v/>
      </c>
      <c r="T25" s="145"/>
      <c r="BA25" s="78"/>
      <c r="BB25" s="132" t="s">
        <v>4613</v>
      </c>
      <c r="BC25" s="133"/>
      <c r="BD25" s="132" t="str">
        <f>IF(OR(B25="",BC25=""),"",COUNTIF(BC$7:BC25,"√"))</f>
        <v/>
      </c>
      <c r="BE25" s="134" t="str">
        <f t="shared" si="1"/>
        <v/>
      </c>
      <c r="BF25" s="135" t="str">
        <f t="shared" si="8"/>
        <v/>
      </c>
      <c r="BG25" s="135" t="str">
        <f t="shared" si="8"/>
        <v/>
      </c>
      <c r="BH25" s="136"/>
      <c r="BI25" s="137"/>
      <c r="BJ25" s="136"/>
      <c r="BK25" s="136"/>
      <c r="BL25" s="136"/>
      <c r="BM25" s="136"/>
      <c r="BN25" s="137"/>
      <c r="BO25" s="136"/>
      <c r="BP25" s="137"/>
      <c r="BS25" s="134" t="str">
        <f>IF(COUNTIF(BS$6:BS24,B25)&gt;0,"",B25)&amp;""</f>
        <v/>
      </c>
      <c r="BT25" s="138">
        <f t="shared" si="9"/>
        <v>0</v>
      </c>
      <c r="BU25" s="132">
        <f t="shared" si="10"/>
        <v>1</v>
      </c>
      <c r="BV25" s="138">
        <f t="shared" si="11"/>
        <v>0</v>
      </c>
      <c r="BW25" s="132">
        <f t="shared" si="12"/>
        <v>1</v>
      </c>
      <c r="BX25" s="133"/>
      <c r="BY25" s="133"/>
    </row>
    <row r="26" ht="15" customHeight="1" spans="1:78">
      <c r="A26" s="123" t="str">
        <f>IF(B26="","",COUNT(A$6:A25)+1)</f>
        <v/>
      </c>
      <c r="B26" s="126"/>
      <c r="C26" s="124"/>
      <c r="D26" s="125"/>
      <c r="E26" s="125"/>
      <c r="F26" s="214"/>
      <c r="G26" s="214"/>
      <c r="H26" s="214"/>
      <c r="I26" s="127"/>
      <c r="J26" s="127" t="str">
        <f>IFERROR(VLOOKUP(I26,参数表!$H$2:$I$50,2,FALSE),"")</f>
        <v/>
      </c>
      <c r="K26" s="128" t="str">
        <f t="shared" si="3"/>
        <v/>
      </c>
      <c r="L26" s="128" t="str">
        <f t="shared" si="4"/>
        <v/>
      </c>
      <c r="M26" s="129"/>
      <c r="N26" s="129"/>
      <c r="O26" s="130"/>
      <c r="P26" s="129" t="str">
        <f t="shared" si="5"/>
        <v/>
      </c>
      <c r="Q26" s="129" t="str">
        <f t="shared" si="0"/>
        <v/>
      </c>
      <c r="R26" s="129" t="str">
        <f t="shared" si="6"/>
        <v/>
      </c>
      <c r="S26" s="129" t="str">
        <f t="shared" si="7"/>
        <v/>
      </c>
      <c r="T26" s="131"/>
      <c r="BA26" s="78"/>
      <c r="BB26" s="132" t="s">
        <v>4614</v>
      </c>
      <c r="BC26" s="133"/>
      <c r="BD26" s="132" t="str">
        <f>IF(OR(B26="",BC26=""),"",COUNTIF(BC$7:BC26,"√"))</f>
        <v/>
      </c>
      <c r="BE26" s="134" t="str">
        <f t="shared" si="1"/>
        <v/>
      </c>
      <c r="BF26" s="135" t="str">
        <f t="shared" si="8"/>
        <v/>
      </c>
      <c r="BG26" s="135" t="str">
        <f t="shared" si="8"/>
        <v/>
      </c>
      <c r="BH26" s="136"/>
      <c r="BI26" s="137"/>
      <c r="BJ26" s="136"/>
      <c r="BK26" s="136"/>
      <c r="BL26" s="136"/>
      <c r="BM26" s="136"/>
      <c r="BN26" s="137"/>
      <c r="BO26" s="136"/>
      <c r="BP26" s="137"/>
      <c r="BS26" s="134" t="str">
        <f>IF(COUNTIF(BS$6:BS25,B26)&gt;0,"",B26)&amp;""</f>
        <v/>
      </c>
      <c r="BT26" s="138">
        <f t="shared" si="9"/>
        <v>0</v>
      </c>
      <c r="BU26" s="132">
        <f t="shared" si="10"/>
        <v>1</v>
      </c>
      <c r="BV26" s="138">
        <f t="shared" si="11"/>
        <v>0</v>
      </c>
      <c r="BW26" s="132">
        <f t="shared" si="12"/>
        <v>1</v>
      </c>
      <c r="BX26" s="133"/>
      <c r="BY26" s="133"/>
    </row>
    <row r="27" ht="15" customHeight="1" spans="1:78">
      <c r="A27" s="221" t="s">
        <v>1954</v>
      </c>
      <c r="B27" s="493"/>
      <c r="C27" s="493"/>
      <c r="D27" s="125"/>
      <c r="E27" s="213"/>
      <c r="F27" s="214"/>
      <c r="G27" s="214"/>
      <c r="H27" s="214"/>
      <c r="I27" s="354"/>
      <c r="J27" s="354"/>
      <c r="K27" s="354"/>
      <c r="L27" s="354"/>
      <c r="M27" s="152">
        <f>SUM(M7:M26)</f>
        <v>0</v>
      </c>
      <c r="N27" s="152">
        <f>SUM(N7:N26)</f>
        <v>0</v>
      </c>
      <c r="O27" s="153"/>
      <c r="P27" s="152">
        <f>SUM(P7:P26)</f>
        <v>0</v>
      </c>
      <c r="Q27" s="152">
        <f>SUM(Q7:Q26)</f>
        <v>0</v>
      </c>
      <c r="R27" s="152">
        <f t="shared" si="6"/>
        <v>0</v>
      </c>
      <c r="S27" s="152" t="str">
        <f t="shared" si="7"/>
        <v/>
      </c>
      <c r="T27" s="131"/>
      <c r="BR27" s="111"/>
      <c r="BS27" s="119"/>
      <c r="BU27" s="77"/>
      <c r="BV27" s="77"/>
      <c r="BW27" s="119"/>
      <c r="BX27" s="119"/>
      <c r="BY27" s="119"/>
      <c r="BZ27" s="111"/>
    </row>
    <row r="28" ht="15" customHeight="1" spans="1:78">
      <c r="A28" s="124" t="s">
        <v>3434</v>
      </c>
      <c r="B28" s="124"/>
      <c r="C28" s="124"/>
      <c r="D28" s="125"/>
      <c r="E28" s="213"/>
      <c r="F28" s="214"/>
      <c r="G28" s="214"/>
      <c r="H28" s="214"/>
      <c r="I28" s="354"/>
      <c r="J28" s="354"/>
      <c r="K28" s="354"/>
      <c r="L28" s="354"/>
      <c r="M28" s="129"/>
      <c r="N28" s="129"/>
      <c r="O28" s="130"/>
      <c r="P28" s="129">
        <f>N28+O28</f>
        <v>0</v>
      </c>
      <c r="Q28" s="129"/>
      <c r="R28" s="129">
        <f t="shared" si="6"/>
        <v>0</v>
      </c>
      <c r="S28" s="129" t="str">
        <f t="shared" si="7"/>
        <v/>
      </c>
      <c r="T28" s="131"/>
    </row>
    <row r="29" s="73" customFormat="1" ht="15" customHeight="1" spans="1:78">
      <c r="A29" s="221" t="s">
        <v>1957</v>
      </c>
      <c r="B29" s="221"/>
      <c r="C29" s="221"/>
      <c r="D29" s="356"/>
      <c r="E29" s="150"/>
      <c r="F29" s="222"/>
      <c r="G29" s="222"/>
      <c r="H29" s="222"/>
      <c r="I29" s="354"/>
      <c r="J29" s="354"/>
      <c r="K29" s="354"/>
      <c r="L29" s="354"/>
      <c r="M29" s="152">
        <f>M27-M28</f>
        <v>0</v>
      </c>
      <c r="N29" s="152">
        <f>N27-N28</f>
        <v>0</v>
      </c>
      <c r="O29" s="153"/>
      <c r="P29" s="152">
        <f>P27-P28</f>
        <v>0</v>
      </c>
      <c r="Q29" s="152">
        <f>Q27-Q28</f>
        <v>0</v>
      </c>
      <c r="R29" s="152">
        <f t="shared" si="6"/>
        <v>0</v>
      </c>
      <c r="S29" s="152" t="str">
        <f t="shared" si="7"/>
        <v/>
      </c>
      <c r="T29" s="151"/>
      <c r="BH29" s="72"/>
      <c r="BJ29" s="72"/>
      <c r="BK29" s="72"/>
      <c r="BL29" s="72"/>
      <c r="BM29" s="72"/>
      <c r="BO29" s="72"/>
      <c r="BR29" s="77"/>
      <c r="BS29" s="78"/>
      <c r="BT29" s="77"/>
      <c r="BU29" s="78"/>
      <c r="BV29" s="78"/>
      <c r="BW29" s="78"/>
      <c r="BX29" s="78"/>
      <c r="BY29" s="78"/>
      <c r="BZ29" s="77"/>
    </row>
    <row r="30" customHeight="1" spans="1:78">
      <c r="A30" s="102" t="str">
        <f>参数表!F$6</f>
        <v>产权持有单位填表人：贾广东</v>
      </c>
      <c r="B30" s="154"/>
      <c r="C30" s="154"/>
      <c r="D30" s="154"/>
      <c r="E30" s="154"/>
      <c r="F30" s="154"/>
      <c r="G30" s="103"/>
      <c r="H30" s="103"/>
      <c r="I30" s="103"/>
      <c r="J30" s="103"/>
      <c r="K30" s="103"/>
      <c r="L30" s="103"/>
      <c r="M30" s="103"/>
      <c r="N30" s="103"/>
      <c r="O30" s="104"/>
      <c r="P30" s="103"/>
      <c r="Q30" s="156" t="str">
        <f>"评估人员："&amp;封面!$G$34</f>
        <v>评估人员：</v>
      </c>
      <c r="R30" s="103"/>
      <c r="S30" s="103"/>
      <c r="T30" s="103"/>
    </row>
    <row r="31" customHeight="1" spans="1:78">
      <c r="A31" s="102" t="str">
        <f>参数表!F$7</f>
        <v>填表日期：2025年9月20日</v>
      </c>
      <c r="B31" s="154"/>
      <c r="C31" s="154"/>
      <c r="D31" s="154"/>
      <c r="E31" s="154"/>
      <c r="F31" s="154"/>
      <c r="G31" s="103"/>
      <c r="H31" s="103"/>
      <c r="I31" s="103"/>
      <c r="J31" s="103"/>
      <c r="K31" s="103"/>
      <c r="L31" s="103"/>
      <c r="M31" s="103"/>
      <c r="N31" s="103"/>
      <c r="O31" s="104"/>
      <c r="P31" s="103"/>
      <c r="Q31" s="103"/>
      <c r="R31" s="103"/>
      <c r="S31" s="103"/>
      <c r="T31" s="103"/>
    </row>
    <row r="32" hidden="1" customHeight="1" outlineLevel="1" spans="1:78">
      <c r="A32" s="157"/>
      <c r="B32" s="154" t="s">
        <v>1673</v>
      </c>
      <c r="C32" s="158"/>
      <c r="D32" s="158"/>
      <c r="E32" s="158"/>
      <c r="F32" s="158"/>
      <c r="M32" s="159">
        <f>SUMIF($BA7:$BA26,$BA32,M7:M26)</f>
        <v>0</v>
      </c>
      <c r="N32" s="159">
        <f>SUMIF($BA7:$BA26,$BA32,N7:N26)</f>
        <v>0</v>
      </c>
      <c r="O32" s="202"/>
      <c r="P32" s="159">
        <f>SUMIF($BA7:$BA26,$BA32,P7:P26)</f>
        <v>0</v>
      </c>
      <c r="Q32" s="159">
        <f>SUMIF($BA7:$BA26,$BA32,Q7:Q26)</f>
        <v>0</v>
      </c>
      <c r="BA32" s="161" t="s">
        <v>1674</v>
      </c>
      <c r="BH32" s="95" t="s">
        <v>1675</v>
      </c>
      <c r="BJ32" s="95" t="s">
        <v>1675</v>
      </c>
      <c r="BK32" s="95" t="s">
        <v>1675</v>
      </c>
      <c r="BL32" s="95" t="s">
        <v>1675</v>
      </c>
      <c r="BM32" s="95" t="s">
        <v>1675</v>
      </c>
      <c r="BO32" s="95" t="s">
        <v>1675</v>
      </c>
    </row>
    <row r="33" hidden="1" customHeight="1" outlineLevel="1" spans="1:67">
      <c r="A33" s="157"/>
      <c r="B33" s="154" t="s">
        <v>1676</v>
      </c>
      <c r="C33" s="158"/>
      <c r="D33" s="158"/>
      <c r="E33" s="158"/>
      <c r="F33" s="158"/>
      <c r="M33" s="159">
        <f>M27-M32</f>
        <v>0</v>
      </c>
      <c r="N33" s="159">
        <f>N27-N32</f>
        <v>0</v>
      </c>
      <c r="O33" s="202"/>
      <c r="P33" s="159">
        <f>P27-P32</f>
        <v>0</v>
      </c>
      <c r="Q33" s="159">
        <f>Q27-Q32</f>
        <v>0</v>
      </c>
      <c r="BA33" s="161" t="s">
        <v>1677</v>
      </c>
      <c r="BH33" s="95" t="s">
        <v>1678</v>
      </c>
      <c r="BJ33" s="95" t="s">
        <v>1678</v>
      </c>
      <c r="BK33" s="95" t="s">
        <v>1678</v>
      </c>
      <c r="BL33" s="95" t="s">
        <v>1678</v>
      </c>
      <c r="BM33" s="95" t="s">
        <v>1678</v>
      </c>
      <c r="BO33" s="95" t="s">
        <v>1678</v>
      </c>
    </row>
    <row r="34" customHeight="1" collapsed="1" spans="1:67">
      <c r="A34" s="157"/>
      <c r="B34" s="158"/>
      <c r="C34" s="158"/>
      <c r="D34" s="158"/>
      <c r="E34" s="158"/>
      <c r="F34" s="158"/>
    </row>
    <row r="35" customHeight="1" spans="1:67">
      <c r="A35" s="157"/>
      <c r="B35" s="158"/>
      <c r="C35" s="158"/>
      <c r="D35" s="158"/>
      <c r="E35" s="158"/>
      <c r="F35" s="158"/>
    </row>
    <row r="36" customHeight="1" spans="1:67">
      <c r="A36" s="157"/>
      <c r="B36" s="158"/>
      <c r="C36" s="158"/>
      <c r="D36" s="158"/>
      <c r="E36" s="158"/>
      <c r="F36" s="158"/>
    </row>
    <row r="37" customHeight="1" spans="1:67">
      <c r="A37" s="157"/>
      <c r="B37" s="158"/>
      <c r="C37" s="158"/>
      <c r="D37" s="158"/>
      <c r="E37" s="158"/>
      <c r="F37" s="158"/>
    </row>
    <row r="38" customHeight="1" spans="1:67">
      <c r="A38" s="157"/>
      <c r="B38" s="158"/>
      <c r="C38" s="158"/>
      <c r="D38" s="158"/>
      <c r="E38" s="158"/>
      <c r="F38" s="158"/>
    </row>
  </sheetData>
  <sheetProtection autoFilter="0"/>
  <mergeCells count="8">
    <mergeCell ref="A2:T2"/>
    <mergeCell ref="A3:T3"/>
    <mergeCell ref="BX7:BZ7"/>
    <mergeCell ref="BX8:BZ8"/>
    <mergeCell ref="BY14:BZ14"/>
    <mergeCell ref="A27:C27"/>
    <mergeCell ref="A28:C28"/>
    <mergeCell ref="A29:C29"/>
  </mergeCells>
  <conditionalFormatting sqref="BI7:BI26">
    <cfRule type="expression" dxfId="5" priority="65539" stopIfTrue="1">
      <formula>AND(BH7="有",BI7="")</formula>
    </cfRule>
  </conditionalFormatting>
  <conditionalFormatting sqref="BN7:BN26">
    <cfRule type="expression" dxfId="5" priority="7" stopIfTrue="1">
      <formula>AND(BM7="无",BN7="")</formula>
    </cfRule>
  </conditionalFormatting>
  <conditionalFormatting sqref="BF7:BG26">
    <cfRule type="containsText" dxfId="6" priority="1" stopIfTrue="1" operator="between" text="出错">
      <formula>NOT(ISERROR(SEARCH("出错",BF7)))</formula>
    </cfRule>
  </conditionalFormatting>
  <conditionalFormatting sqref="BH7:BH26 BJ7:BM26 BO7:BO26">
    <cfRule type="expression" dxfId="5" priority="8" stopIfTrue="1">
      <formula>AND($B7&lt;&gt;"",BH7="")</formula>
    </cfRule>
  </conditionalFormatting>
  <dataValidations count="4">
    <dataValidation type="list" allowBlank="1" showInputMessage="1" showErrorMessage="1" sqref="I7:I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 type="list" allowBlank="1" showInputMessage="1" showErrorMessage="1" sqref="BH7:BH26 BO7:BO26 BJ7:BM26">
      <formula1>BH$32:BH$33</formula1>
    </dataValidation>
  </dataValidations>
  <hyperlinks>
    <hyperlink ref="B1" location="无形资产汇总!B12" display="返回"/>
    <hyperlink ref="A1" location="索引目录!E48" display="返回索引页"/>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8"/>
  <dimension ref="A1:BZ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21.6" style="75" customWidth="1"/>
    <col min="3" max="3" width="7.8" style="75" customWidth="1"/>
    <col min="4" max="4" width="9.2" style="165" customWidth="1"/>
    <col min="5" max="6" width="4.6" style="75" customWidth="1" outlineLevel="1"/>
    <col min="7" max="8" width="6.1" style="75" customWidth="1" outlineLevel="1"/>
    <col min="9" max="9" width="14.1" style="75" customWidth="1"/>
    <col min="10" max="10" width="14.1" style="75" customWidth="1" outlineLevel="1"/>
    <col min="11" max="11" width="13.2" style="76" customWidth="1" outlineLevel="1"/>
    <col min="12" max="12" width="14.1" style="75" customWidth="1"/>
    <col min="13" max="13" width="7.2" style="165" customWidth="1"/>
    <col min="14" max="14" width="14.1" style="75" customWidth="1"/>
    <col min="15" max="15" width="11.2" style="75" customWidth="1"/>
    <col min="16" max="16" width="7.7" style="75" customWidth="1"/>
    <col min="17" max="17" width="11.7" style="75" customWidth="1"/>
    <col min="18"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165" customWidth="1"/>
    <col min="61" max="61" width="11.5" style="75" customWidth="1"/>
    <col min="62" max="64" width="4.7" style="165" customWidth="1"/>
    <col min="65" max="65" width="8.7" style="75" customWidth="1"/>
    <col min="66" max="69" width="9" style="75"/>
    <col min="70" max="70" width="1.6" style="77" customWidth="1"/>
    <col min="71" max="71" width="10.6" style="78" customWidth="1"/>
    <col min="72" max="72" width="10.6" style="77" customWidth="1"/>
    <col min="73" max="73" width="4.6" style="78" customWidth="1"/>
    <col min="74" max="74" width="10.6" style="78" customWidth="1"/>
    <col min="75" max="76" width="4.6" style="78" customWidth="1"/>
    <col min="77" max="77" width="10.6" style="78" customWidth="1"/>
    <col min="78" max="78" width="5" style="77" customWidth="1"/>
    <col min="79" max="16384" width="9" style="75"/>
  </cols>
  <sheetData>
    <row r="1" s="86" customFormat="1" ht="13.8" spans="1:78">
      <c r="A1" s="203" t="s">
        <v>1591</v>
      </c>
      <c r="B1" s="204" t="s">
        <v>1592</v>
      </c>
      <c r="C1" s="82"/>
      <c r="D1" s="82"/>
      <c r="E1" s="82"/>
      <c r="F1" s="82"/>
      <c r="G1" s="82"/>
      <c r="H1" s="82"/>
      <c r="I1" s="82"/>
      <c r="J1" s="82"/>
      <c r="K1" s="205"/>
      <c r="L1" s="82"/>
      <c r="M1" s="82"/>
      <c r="N1" s="82"/>
      <c r="O1" s="82"/>
      <c r="P1" s="82"/>
      <c r="Q1" s="82"/>
      <c r="BA1" s="84" t="str">
        <f>参数表!BA1</f>
        <v>注意：补充特殊事项、作价等均从BA列开始填写</v>
      </c>
      <c r="BB1" s="85"/>
      <c r="BE1" s="85"/>
      <c r="BH1" s="82"/>
      <c r="BJ1" s="82"/>
      <c r="BK1" s="82"/>
      <c r="BL1" s="82"/>
      <c r="BR1" s="87"/>
      <c r="BS1" s="88"/>
      <c r="BT1" s="87"/>
      <c r="BU1" s="88"/>
      <c r="BV1" s="88"/>
      <c r="BW1" s="88"/>
      <c r="BX1" s="88"/>
      <c r="BY1" s="88"/>
      <c r="BZ1" s="87"/>
    </row>
    <row r="2" s="71" customFormat="1" ht="30" customHeight="1" spans="1:78">
      <c r="A2" s="89" t="s">
        <v>4615</v>
      </c>
      <c r="B2" s="89"/>
      <c r="C2" s="89"/>
      <c r="D2" s="89"/>
      <c r="E2" s="89"/>
      <c r="F2" s="89"/>
      <c r="G2" s="89"/>
      <c r="H2" s="89"/>
      <c r="I2" s="89"/>
      <c r="J2" s="89"/>
      <c r="K2" s="89"/>
      <c r="L2" s="89"/>
      <c r="M2" s="89"/>
      <c r="N2" s="89"/>
      <c r="O2" s="89"/>
      <c r="P2" s="89"/>
      <c r="Q2" s="89"/>
      <c r="BA2" s="90" t="str">
        <f>参数表!BA2</f>
        <v>评估基准日：</v>
      </c>
      <c r="BB2" s="91" t="str">
        <f>参数表!BB2</f>
        <v>2025年7月31日</v>
      </c>
      <c r="BC2" s="488"/>
      <c r="BD2" s="488"/>
      <c r="BE2" s="182"/>
      <c r="BH2" s="171"/>
      <c r="BJ2" s="171"/>
      <c r="BK2" s="171"/>
      <c r="BL2" s="171"/>
      <c r="BR2" s="92"/>
      <c r="BS2" s="93"/>
      <c r="BT2" s="92"/>
      <c r="BU2" s="93"/>
      <c r="BV2" s="93"/>
      <c r="BW2" s="93"/>
      <c r="BX2" s="93"/>
      <c r="BY2" s="93"/>
      <c r="BZ2" s="92"/>
    </row>
    <row r="3" ht="15" customHeight="1" spans="1:78">
      <c r="A3" s="94" t="str">
        <f>参数表!F5</f>
        <v>评估基准日：2025年7月31日</v>
      </c>
      <c r="B3" s="94"/>
      <c r="C3" s="94"/>
      <c r="D3" s="94"/>
      <c r="E3" s="94"/>
      <c r="F3" s="94"/>
      <c r="G3" s="94"/>
      <c r="H3" s="94"/>
      <c r="I3" s="94"/>
      <c r="J3" s="94"/>
      <c r="K3" s="94"/>
      <c r="L3" s="94"/>
      <c r="M3" s="95"/>
      <c r="N3" s="95"/>
      <c r="O3" s="95"/>
      <c r="P3" s="95"/>
      <c r="Q3" s="95"/>
      <c r="BA3" s="90" t="str">
        <f>参数表!BA3</f>
        <v>是否显示评估值：</v>
      </c>
      <c r="BB3" s="90" t="str">
        <f>参数表!BB3</f>
        <v>是</v>
      </c>
      <c r="BC3" s="103"/>
      <c r="BD3" s="103"/>
      <c r="BE3" s="85"/>
      <c r="BT3" s="78"/>
    </row>
    <row r="4" ht="15" customHeight="1" spans="1:78">
      <c r="A4" s="96"/>
      <c r="B4" s="94"/>
      <c r="C4" s="94"/>
      <c r="D4" s="94"/>
      <c r="E4" s="95"/>
      <c r="F4" s="95"/>
      <c r="G4" s="95"/>
      <c r="H4" s="95"/>
      <c r="I4" s="94"/>
      <c r="J4" s="94"/>
      <c r="K4" s="97"/>
      <c r="L4" s="94"/>
      <c r="M4" s="95"/>
      <c r="N4" s="95"/>
      <c r="O4" s="95"/>
      <c r="P4" s="98"/>
      <c r="Q4" s="98" t="str">
        <f>"表"&amp;$BA4</f>
        <v>表4-15-3</v>
      </c>
      <c r="BA4" s="274" t="str">
        <f>无形资总!A9</f>
        <v>4-15-3</v>
      </c>
      <c r="BB4" s="100">
        <f>MAX(COUNTA(A7:A26),COUNTA(B7:B26),COUNTA(J7:J26),COUNTA(L7:L26))</f>
        <v>20</v>
      </c>
      <c r="BC4" s="101">
        <f>ROW(A6)+1</f>
        <v>7</v>
      </c>
      <c r="BD4" s="77"/>
      <c r="BE4" s="77"/>
      <c r="BO4" s="103" t="s">
        <v>4616</v>
      </c>
      <c r="BT4" s="78"/>
    </row>
    <row r="5" ht="15" customHeight="1" spans="1:78">
      <c r="A5" s="102" t="str">
        <f>参数表!F3</f>
        <v>产权持有单位:中煤第五建设有限公司</v>
      </c>
      <c r="B5" s="103"/>
      <c r="C5" s="103"/>
      <c r="D5" s="95"/>
      <c r="E5" s="95"/>
      <c r="F5" s="95"/>
      <c r="G5" s="95"/>
      <c r="H5" s="95"/>
      <c r="I5" s="103"/>
      <c r="J5" s="103"/>
      <c r="K5" s="104"/>
      <c r="L5" s="103"/>
      <c r="M5" s="95"/>
      <c r="N5" s="103"/>
      <c r="O5" s="103"/>
      <c r="P5" s="103"/>
      <c r="Q5" s="98" t="s">
        <v>236</v>
      </c>
      <c r="BA5" s="103"/>
      <c r="BB5" s="105" t="str">
        <f ca="1">判断表!C89</f>
        <v>中煤第五建设有限公司第三工程处拟处置实物资产项目\[0000-3基础法明细表.xlsx]无形-其他</v>
      </c>
      <c r="BC5" s="106">
        <f>IFERROR(SUMIF(BC7:BC26,"√",L7:L26)/L27,0)</f>
        <v>0</v>
      </c>
      <c r="BD5" s="107"/>
      <c r="BE5" s="107"/>
      <c r="BF5" s="108">
        <f>'无形-土地'!BF5</f>
        <v>0</v>
      </c>
      <c r="BG5" s="108">
        <f>'无形-土地'!BG5</f>
        <v>0</v>
      </c>
      <c r="BH5" s="109"/>
      <c r="BI5" s="109"/>
      <c r="BJ5" s="109"/>
      <c r="BK5" s="109"/>
      <c r="BL5" s="109"/>
      <c r="BM5" s="110"/>
      <c r="BN5" s="489" t="s">
        <v>4617</v>
      </c>
      <c r="BO5" s="490" t="s">
        <v>229</v>
      </c>
      <c r="BP5" s="103"/>
      <c r="BQ5" s="103"/>
      <c r="BR5" s="111"/>
      <c r="BT5" s="78"/>
      <c r="BZ5" s="111"/>
    </row>
    <row r="6" s="349" customFormat="1" ht="36" spans="1:78">
      <c r="A6" s="350" t="s">
        <v>305</v>
      </c>
      <c r="B6" s="118" t="s">
        <v>4618</v>
      </c>
      <c r="C6" s="118" t="s">
        <v>3774</v>
      </c>
      <c r="D6" s="118" t="s">
        <v>4619</v>
      </c>
      <c r="E6" s="114" t="s">
        <v>1631</v>
      </c>
      <c r="F6" s="115" t="s">
        <v>1632</v>
      </c>
      <c r="G6" s="116" t="s">
        <v>3638</v>
      </c>
      <c r="H6" s="116" t="s">
        <v>3793</v>
      </c>
      <c r="I6" s="118" t="s">
        <v>2751</v>
      </c>
      <c r="J6" s="118" t="s">
        <v>1549</v>
      </c>
      <c r="K6" s="352" t="s">
        <v>1634</v>
      </c>
      <c r="L6" s="118" t="s">
        <v>1523</v>
      </c>
      <c r="M6" s="118" t="s">
        <v>4620</v>
      </c>
      <c r="N6" s="118" t="s">
        <v>1550</v>
      </c>
      <c r="O6" s="118" t="s">
        <v>1525</v>
      </c>
      <c r="P6" s="118" t="s">
        <v>1551</v>
      </c>
      <c r="Q6" s="118"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1644</v>
      </c>
      <c r="BN6" s="224" t="s">
        <v>2761</v>
      </c>
      <c r="BO6" s="224" t="s">
        <v>4621</v>
      </c>
      <c r="BP6" s="224" t="s">
        <v>4050</v>
      </c>
      <c r="BQ6" s="224" t="s">
        <v>1524</v>
      </c>
      <c r="BR6" s="119"/>
      <c r="BS6" s="120" t="s">
        <v>1645</v>
      </c>
      <c r="BT6" s="121" t="s">
        <v>1646</v>
      </c>
      <c r="BU6" s="121" t="s">
        <v>1647</v>
      </c>
      <c r="BV6" s="121" t="s">
        <v>1648</v>
      </c>
      <c r="BW6" s="121" t="s">
        <v>1647</v>
      </c>
      <c r="BX6" s="121" t="s">
        <v>1647</v>
      </c>
      <c r="BY6" s="121" t="s">
        <v>1649</v>
      </c>
      <c r="BZ6" s="122" t="s">
        <v>1650</v>
      </c>
    </row>
    <row r="7" ht="15" customHeight="1" spans="1:78">
      <c r="A7" s="123" t="str">
        <f>IF(B7="","",COUNT(A$6:A6)+1)</f>
        <v/>
      </c>
      <c r="B7" s="124"/>
      <c r="C7" s="125"/>
      <c r="D7" s="126"/>
      <c r="E7" s="127"/>
      <c r="F7" s="127" t="str">
        <f>IFERROR(VLOOKUP(E7,参数表!$H$2:$I$50,2,FALSE),"")</f>
        <v/>
      </c>
      <c r="G7" s="128" t="str">
        <f>IFERROR(IF(OR(E7="人民币",E7=""),"",I7/F7),"")</f>
        <v/>
      </c>
      <c r="H7" s="128" t="str">
        <f>IFERROR(IF(OR(E7="人民币",E7=""),"",L7/F7),"")</f>
        <v/>
      </c>
      <c r="I7" s="129"/>
      <c r="J7" s="129"/>
      <c r="K7" s="130"/>
      <c r="L7" s="129" t="str">
        <f>IF(B7="","",J7+K7)</f>
        <v/>
      </c>
      <c r="M7" s="214" t="str">
        <f t="shared" ref="M7:M26" si="0">IF(L7="","",MAX(D7-BN7,0))</f>
        <v/>
      </c>
      <c r="N7" s="129" t="str">
        <f t="shared" ref="N7:N26" si="1">IF(B7="","",IF(BB$3="是",BQ7,""))</f>
        <v/>
      </c>
      <c r="O7" s="129" t="str">
        <f>IFERROR(N7-L7,"")</f>
        <v/>
      </c>
      <c r="P7" s="491" t="str">
        <f>IFERROR(O7/L7*100,"")</f>
        <v/>
      </c>
      <c r="Q7" s="131"/>
      <c r="BA7" s="78"/>
      <c r="BB7" s="132" t="s">
        <v>4622</v>
      </c>
      <c r="BC7" s="133"/>
      <c r="BD7" s="132" t="str">
        <f>IF(OR(B7="",BC7=""),"",COUNTIF(BC$7:BC7,"√"))</f>
        <v/>
      </c>
      <c r="BE7" s="134" t="str">
        <f t="shared" ref="BE7:BE26" si="2">IF(BC7="","",BB7&amp;"︱"&amp;B7&amp;"︱"&amp;TEXT(J7,"#,##0.00"))</f>
        <v/>
      </c>
      <c r="BF7" s="135" t="str">
        <f>IF($B7="","",IF(BF$5=0,"OK","出错"))</f>
        <v/>
      </c>
      <c r="BG7" s="135" t="str">
        <f>IF($B7="","",IF(BG$5=0,"OK","出错"))</f>
        <v/>
      </c>
      <c r="BH7" s="136"/>
      <c r="BI7" s="137"/>
      <c r="BJ7" s="136"/>
      <c r="BK7" s="136"/>
      <c r="BL7" s="136"/>
      <c r="BM7" s="137"/>
      <c r="BN7" s="156">
        <f>(BB$2-C7)/365.25</f>
        <v>125.582477754962</v>
      </c>
      <c r="BO7" s="272"/>
      <c r="BP7" s="492"/>
      <c r="BQ7" s="156">
        <f>ROUND(BO7/(1+BP7),-2)</f>
        <v>0</v>
      </c>
      <c r="BS7" s="134" t="str">
        <f>IF(COUNTIF(BS$6:BS6,B7)&gt;0,"",B7)&amp;""</f>
        <v/>
      </c>
      <c r="BT7" s="138">
        <f>SUMIF(B$7:B$26,BS7,I$7:I$26)</f>
        <v>0</v>
      </c>
      <c r="BU7" s="132">
        <f t="shared" ref="BU7" si="3">RANK(BT7,BT$7:BT$26)</f>
        <v>1</v>
      </c>
      <c r="BV7" s="138">
        <f>SUMIF(B$7:B$26,BS7,N$7:N$26)</f>
        <v>0</v>
      </c>
      <c r="BW7" s="132">
        <f>RANK(BV7,BV$7:BV$26)</f>
        <v>1</v>
      </c>
      <c r="BX7" s="138">
        <f>SUM(BT7:BT26)</f>
        <v>0</v>
      </c>
      <c r="BY7" s="138"/>
      <c r="BZ7" s="138"/>
    </row>
    <row r="8" ht="15" customHeight="1" spans="1:78">
      <c r="A8" s="123" t="str">
        <f>IF(B8="","",COUNT(A$6:A7)+1)</f>
        <v/>
      </c>
      <c r="B8" s="139"/>
      <c r="C8" s="140"/>
      <c r="D8" s="141"/>
      <c r="E8" s="142"/>
      <c r="F8" s="127" t="str">
        <f>IFERROR(VLOOKUP(E8,参数表!$H$2:$I$50,2,FALSE),"")</f>
        <v/>
      </c>
      <c r="G8" s="128" t="str">
        <f t="shared" ref="G8:G26" si="4">IFERROR(IF(OR(E8="人民币",E8=""),"",I8/F8),"")</f>
        <v/>
      </c>
      <c r="H8" s="128" t="str">
        <f t="shared" ref="H8:H26" si="5">IFERROR(IF(OR(E8="人民币",E8=""),"",L8/F8),"")</f>
        <v/>
      </c>
      <c r="I8" s="143"/>
      <c r="J8" s="143"/>
      <c r="K8" s="144"/>
      <c r="L8" s="129" t="str">
        <f t="shared" ref="L8:L26" si="6">IF(B8="","",J8+K8)</f>
        <v/>
      </c>
      <c r="M8" s="214" t="str">
        <f t="shared" si="0"/>
        <v/>
      </c>
      <c r="N8" s="129" t="str">
        <f t="shared" si="1"/>
        <v/>
      </c>
      <c r="O8" s="129" t="str">
        <f t="shared" ref="O8:O29" si="7">IFERROR(N8-L8,"")</f>
        <v/>
      </c>
      <c r="P8" s="491" t="str">
        <f t="shared" ref="P8:P29" si="8">IFERROR(O8/L8*100,"")</f>
        <v/>
      </c>
      <c r="Q8" s="145"/>
      <c r="BA8" s="78"/>
      <c r="BB8" s="132" t="s">
        <v>4623</v>
      </c>
      <c r="BC8" s="133"/>
      <c r="BD8" s="132" t="str">
        <f>IF(OR(B8="",BC8=""),"",COUNTIF(BC$7:BC8,"√"))</f>
        <v/>
      </c>
      <c r="BE8" s="134" t="str">
        <f t="shared" si="2"/>
        <v/>
      </c>
      <c r="BF8" s="135" t="str">
        <f t="shared" ref="BF8:BG26" si="9">IF($B8="","",IF(BF$5=0,"OK","出错"))</f>
        <v/>
      </c>
      <c r="BG8" s="135" t="str">
        <f t="shared" si="9"/>
        <v/>
      </c>
      <c r="BH8" s="136"/>
      <c r="BI8" s="137"/>
      <c r="BJ8" s="136"/>
      <c r="BK8" s="136"/>
      <c r="BL8" s="136"/>
      <c r="BM8" s="137"/>
      <c r="BN8" s="156">
        <f t="shared" ref="BN8:BN26" si="10">(BB$2-C8)/365.25</f>
        <v>125.582477754962</v>
      </c>
      <c r="BP8" s="492"/>
      <c r="BQ8" s="156">
        <f t="shared" ref="BQ8:BQ26" si="11">ROUND(BO8/(1+BP8),-2)</f>
        <v>0</v>
      </c>
      <c r="BS8" s="134" t="str">
        <f>IF(COUNTIF(BS$6:BS7,B8)&gt;0,"",B8)&amp;""</f>
        <v/>
      </c>
      <c r="BT8" s="138">
        <f t="shared" ref="BT8:BT26" si="12">SUMIF(B$7:B$26,BS8,I$7:I$26)</f>
        <v>0</v>
      </c>
      <c r="BU8" s="132">
        <f t="shared" ref="BU8:BU26" si="13">RANK(BT8,BT$7:BT$26)</f>
        <v>1</v>
      </c>
      <c r="BV8" s="138">
        <f t="shared" ref="BV8:BV26" si="14">SUMIF(B$7:B$26,BS8,N$7:N$26)</f>
        <v>0</v>
      </c>
      <c r="BW8" s="132">
        <f t="shared" ref="BW8:BW26" si="15">RANK(BV8,BV$7:BV$26)</f>
        <v>1</v>
      </c>
      <c r="BX8" s="138">
        <f>SUM(BV7:BV26)</f>
        <v>0</v>
      </c>
      <c r="BY8" s="138"/>
      <c r="BZ8" s="138"/>
    </row>
    <row r="9" ht="15" customHeight="1" spans="1:78">
      <c r="A9" s="123" t="str">
        <f>IF(B9="","",COUNT(A$6:A8)+1)</f>
        <v/>
      </c>
      <c r="B9" s="139"/>
      <c r="C9" s="140"/>
      <c r="D9" s="141"/>
      <c r="E9" s="142"/>
      <c r="F9" s="127" t="str">
        <f>IFERROR(VLOOKUP(E9,参数表!$H$2:$I$50,2,FALSE),"")</f>
        <v/>
      </c>
      <c r="G9" s="128" t="str">
        <f t="shared" si="4"/>
        <v/>
      </c>
      <c r="H9" s="128" t="str">
        <f t="shared" si="5"/>
        <v/>
      </c>
      <c r="I9" s="143"/>
      <c r="J9" s="143"/>
      <c r="K9" s="144"/>
      <c r="L9" s="129" t="str">
        <f t="shared" si="6"/>
        <v/>
      </c>
      <c r="M9" s="214" t="str">
        <f t="shared" si="0"/>
        <v/>
      </c>
      <c r="N9" s="129" t="str">
        <f t="shared" si="1"/>
        <v/>
      </c>
      <c r="O9" s="129" t="str">
        <f t="shared" si="7"/>
        <v/>
      </c>
      <c r="P9" s="491" t="str">
        <f t="shared" si="8"/>
        <v/>
      </c>
      <c r="Q9" s="145"/>
      <c r="BA9" s="78"/>
      <c r="BB9" s="132" t="s">
        <v>4624</v>
      </c>
      <c r="BC9" s="133"/>
      <c r="BD9" s="132" t="str">
        <f>IF(OR(B9="",BC9=""),"",COUNTIF(BC$7:BC9,"√"))</f>
        <v/>
      </c>
      <c r="BE9" s="134" t="str">
        <f t="shared" si="2"/>
        <v/>
      </c>
      <c r="BF9" s="135" t="str">
        <f t="shared" si="9"/>
        <v/>
      </c>
      <c r="BG9" s="135" t="str">
        <f t="shared" si="9"/>
        <v/>
      </c>
      <c r="BH9" s="136"/>
      <c r="BI9" s="137"/>
      <c r="BJ9" s="136"/>
      <c r="BK9" s="136"/>
      <c r="BL9" s="136"/>
      <c r="BM9" s="137"/>
      <c r="BN9" s="156">
        <f t="shared" si="10"/>
        <v>125.582477754962</v>
      </c>
      <c r="BP9" s="492"/>
      <c r="BQ9" s="156">
        <f t="shared" si="11"/>
        <v>0</v>
      </c>
      <c r="BS9" s="134" t="str">
        <f>IF(COUNTIF(BS$6:BS8,B9)&gt;0,"",B9)&amp;""</f>
        <v/>
      </c>
      <c r="BT9" s="138">
        <f t="shared" si="12"/>
        <v>0</v>
      </c>
      <c r="BU9" s="132">
        <f t="shared" si="13"/>
        <v>1</v>
      </c>
      <c r="BV9" s="138">
        <f t="shared" si="14"/>
        <v>0</v>
      </c>
      <c r="BW9" s="132">
        <f t="shared" si="15"/>
        <v>1</v>
      </c>
      <c r="BX9" s="132">
        <v>1</v>
      </c>
      <c r="BY9" s="134" t="str">
        <f>IFERROR(INDEX(BS$7:BS$26,MATCH(BX9,IF(BX$7=0,BW$7:BW$26,BU$7:BU$26),0))&amp;"","")</f>
        <v/>
      </c>
      <c r="BZ9" s="146" t="str">
        <f>IF(BY10="","",IF(BY11="","和","、"))</f>
        <v/>
      </c>
    </row>
    <row r="10" ht="15" customHeight="1" spans="1:78">
      <c r="A10" s="123" t="str">
        <f>IF(B10="","",COUNT(A$6:A9)+1)</f>
        <v/>
      </c>
      <c r="B10" s="139"/>
      <c r="C10" s="140"/>
      <c r="D10" s="141"/>
      <c r="E10" s="142"/>
      <c r="F10" s="127" t="str">
        <f>IFERROR(VLOOKUP(E10,参数表!$H$2:$I$50,2,FALSE),"")</f>
        <v/>
      </c>
      <c r="G10" s="128" t="str">
        <f t="shared" si="4"/>
        <v/>
      </c>
      <c r="H10" s="128" t="str">
        <f t="shared" si="5"/>
        <v/>
      </c>
      <c r="I10" s="143"/>
      <c r="J10" s="143"/>
      <c r="K10" s="144"/>
      <c r="L10" s="129" t="str">
        <f t="shared" si="6"/>
        <v/>
      </c>
      <c r="M10" s="214" t="str">
        <f t="shared" si="0"/>
        <v/>
      </c>
      <c r="N10" s="129" t="str">
        <f t="shared" si="1"/>
        <v/>
      </c>
      <c r="O10" s="129" t="str">
        <f t="shared" si="7"/>
        <v/>
      </c>
      <c r="P10" s="491" t="str">
        <f t="shared" si="8"/>
        <v/>
      </c>
      <c r="Q10" s="145"/>
      <c r="BA10" s="78"/>
      <c r="BB10" s="132" t="s">
        <v>4625</v>
      </c>
      <c r="BC10" s="133"/>
      <c r="BD10" s="132" t="str">
        <f>IF(OR(B10="",BC10=""),"",COUNTIF(BC$7:BC10,"√"))</f>
        <v/>
      </c>
      <c r="BE10" s="134" t="str">
        <f t="shared" si="2"/>
        <v/>
      </c>
      <c r="BF10" s="135" t="str">
        <f t="shared" si="9"/>
        <v/>
      </c>
      <c r="BG10" s="135" t="str">
        <f t="shared" si="9"/>
        <v/>
      </c>
      <c r="BH10" s="136"/>
      <c r="BI10" s="137"/>
      <c r="BJ10" s="136"/>
      <c r="BK10" s="136"/>
      <c r="BL10" s="136"/>
      <c r="BM10" s="137"/>
      <c r="BN10" s="156">
        <f t="shared" si="10"/>
        <v>125.582477754962</v>
      </c>
      <c r="BP10" s="492"/>
      <c r="BQ10" s="156">
        <f t="shared" si="11"/>
        <v>0</v>
      </c>
      <c r="BS10" s="134" t="str">
        <f>IF(COUNTIF(BS$6:BS9,B10)&gt;0,"",B10)&amp;""</f>
        <v/>
      </c>
      <c r="BT10" s="138">
        <f t="shared" si="12"/>
        <v>0</v>
      </c>
      <c r="BU10" s="132">
        <f t="shared" si="13"/>
        <v>1</v>
      </c>
      <c r="BV10" s="138">
        <f t="shared" si="14"/>
        <v>0</v>
      </c>
      <c r="BW10" s="132">
        <f t="shared" si="15"/>
        <v>1</v>
      </c>
      <c r="BX10" s="132">
        <v>2</v>
      </c>
      <c r="BY10" s="134" t="str">
        <f t="shared" ref="BY10:BY13" si="16">IFERROR(INDEX(BS$7:BS$26,MATCH(BX10,IF(BX$7=0,BW$7:BW$26,BU$7:BU$26),0))&amp;"","")</f>
        <v/>
      </c>
      <c r="BZ10" s="146" t="str">
        <f t="shared" ref="BZ10:BZ11" si="17">IF(BY11="","",IF(BY12="","和","、"))</f>
        <v/>
      </c>
    </row>
    <row r="11" ht="15" customHeight="1" spans="1:78">
      <c r="A11" s="123" t="str">
        <f>IF(B11="","",COUNT(A$6:A10)+1)</f>
        <v/>
      </c>
      <c r="B11" s="139"/>
      <c r="C11" s="140"/>
      <c r="D11" s="141"/>
      <c r="E11" s="142"/>
      <c r="F11" s="127" t="str">
        <f>IFERROR(VLOOKUP(E11,参数表!$H$2:$I$50,2,FALSE),"")</f>
        <v/>
      </c>
      <c r="G11" s="128" t="str">
        <f t="shared" si="4"/>
        <v/>
      </c>
      <c r="H11" s="128" t="str">
        <f t="shared" si="5"/>
        <v/>
      </c>
      <c r="I11" s="143"/>
      <c r="J11" s="143"/>
      <c r="K11" s="144"/>
      <c r="L11" s="129" t="str">
        <f t="shared" si="6"/>
        <v/>
      </c>
      <c r="M11" s="214" t="str">
        <f t="shared" si="0"/>
        <v/>
      </c>
      <c r="N11" s="129" t="str">
        <f t="shared" si="1"/>
        <v/>
      </c>
      <c r="O11" s="129" t="str">
        <f t="shared" si="7"/>
        <v/>
      </c>
      <c r="P11" s="491" t="str">
        <f t="shared" si="8"/>
        <v/>
      </c>
      <c r="Q11" s="145"/>
      <c r="BA11" s="78"/>
      <c r="BB11" s="132" t="s">
        <v>4626</v>
      </c>
      <c r="BC11" s="133"/>
      <c r="BD11" s="132" t="str">
        <f>IF(OR(B11="",BC11=""),"",COUNTIF(BC$7:BC11,"√"))</f>
        <v/>
      </c>
      <c r="BE11" s="134" t="str">
        <f t="shared" si="2"/>
        <v/>
      </c>
      <c r="BF11" s="135" t="str">
        <f t="shared" si="9"/>
        <v/>
      </c>
      <c r="BG11" s="135" t="str">
        <f t="shared" si="9"/>
        <v/>
      </c>
      <c r="BH11" s="136"/>
      <c r="BI11" s="137"/>
      <c r="BJ11" s="136"/>
      <c r="BK11" s="136"/>
      <c r="BL11" s="136"/>
      <c r="BM11" s="137"/>
      <c r="BN11" s="156">
        <f t="shared" si="10"/>
        <v>125.582477754962</v>
      </c>
      <c r="BP11" s="492"/>
      <c r="BQ11" s="156">
        <f t="shared" si="11"/>
        <v>0</v>
      </c>
      <c r="BS11" s="134" t="str">
        <f>IF(COUNTIF(BS$6:BS10,B11)&gt;0,"",B11)&amp;""</f>
        <v/>
      </c>
      <c r="BT11" s="138">
        <f t="shared" si="12"/>
        <v>0</v>
      </c>
      <c r="BU11" s="132">
        <f t="shared" si="13"/>
        <v>1</v>
      </c>
      <c r="BV11" s="138">
        <f t="shared" si="14"/>
        <v>0</v>
      </c>
      <c r="BW11" s="132">
        <f t="shared" si="15"/>
        <v>1</v>
      </c>
      <c r="BX11" s="132">
        <v>3</v>
      </c>
      <c r="BY11" s="134" t="str">
        <f t="shared" si="16"/>
        <v/>
      </c>
      <c r="BZ11" s="146" t="str">
        <f t="shared" si="17"/>
        <v/>
      </c>
    </row>
    <row r="12" ht="15" customHeight="1" spans="1:78">
      <c r="A12" s="123" t="str">
        <f>IF(B12="","",COUNT(A$6:A11)+1)</f>
        <v/>
      </c>
      <c r="B12" s="139"/>
      <c r="C12" s="140"/>
      <c r="D12" s="141"/>
      <c r="E12" s="142"/>
      <c r="F12" s="127" t="str">
        <f>IFERROR(VLOOKUP(E12,参数表!$H$2:$I$50,2,FALSE),"")</f>
        <v/>
      </c>
      <c r="G12" s="128" t="str">
        <f t="shared" si="4"/>
        <v/>
      </c>
      <c r="H12" s="128" t="str">
        <f t="shared" si="5"/>
        <v/>
      </c>
      <c r="I12" s="143"/>
      <c r="J12" s="143"/>
      <c r="K12" s="144"/>
      <c r="L12" s="129" t="str">
        <f t="shared" si="6"/>
        <v/>
      </c>
      <c r="M12" s="214" t="str">
        <f t="shared" si="0"/>
        <v/>
      </c>
      <c r="N12" s="129" t="str">
        <f t="shared" si="1"/>
        <v/>
      </c>
      <c r="O12" s="129" t="str">
        <f t="shared" si="7"/>
        <v/>
      </c>
      <c r="P12" s="491" t="str">
        <f t="shared" si="8"/>
        <v/>
      </c>
      <c r="Q12" s="145"/>
      <c r="BA12" s="78"/>
      <c r="BB12" s="132" t="s">
        <v>4627</v>
      </c>
      <c r="BC12" s="133"/>
      <c r="BD12" s="132" t="str">
        <f>IF(OR(B12="",BC12=""),"",COUNTIF(BC$7:BC12,"√"))</f>
        <v/>
      </c>
      <c r="BE12" s="134" t="str">
        <f t="shared" si="2"/>
        <v/>
      </c>
      <c r="BF12" s="135" t="str">
        <f t="shared" si="9"/>
        <v/>
      </c>
      <c r="BG12" s="135" t="str">
        <f t="shared" si="9"/>
        <v/>
      </c>
      <c r="BH12" s="136"/>
      <c r="BI12" s="137"/>
      <c r="BJ12" s="136"/>
      <c r="BK12" s="136"/>
      <c r="BL12" s="136"/>
      <c r="BM12" s="137"/>
      <c r="BN12" s="156">
        <f t="shared" si="10"/>
        <v>125.582477754962</v>
      </c>
      <c r="BP12" s="492"/>
      <c r="BQ12" s="156">
        <f t="shared" si="11"/>
        <v>0</v>
      </c>
      <c r="BS12" s="134" t="str">
        <f>IF(COUNTIF(BS$6:BS11,B12)&gt;0,"",B12)&amp;""</f>
        <v/>
      </c>
      <c r="BT12" s="138">
        <f t="shared" si="12"/>
        <v>0</v>
      </c>
      <c r="BU12" s="132">
        <f t="shared" si="13"/>
        <v>1</v>
      </c>
      <c r="BV12" s="138">
        <f t="shared" si="14"/>
        <v>0</v>
      </c>
      <c r="BW12" s="132">
        <f t="shared" si="15"/>
        <v>1</v>
      </c>
      <c r="BX12" s="132">
        <v>4</v>
      </c>
      <c r="BY12" s="134" t="str">
        <f t="shared" si="16"/>
        <v/>
      </c>
      <c r="BZ12" s="146" t="str">
        <f>IF(BY13="","","和")</f>
        <v/>
      </c>
    </row>
    <row r="13" ht="15" customHeight="1" spans="1:78">
      <c r="A13" s="123" t="str">
        <f>IF(B13="","",COUNT(A$6:A12)+1)</f>
        <v/>
      </c>
      <c r="B13" s="139"/>
      <c r="C13" s="140"/>
      <c r="D13" s="141"/>
      <c r="E13" s="142"/>
      <c r="F13" s="127" t="str">
        <f>IFERROR(VLOOKUP(E13,参数表!$H$2:$I$50,2,FALSE),"")</f>
        <v/>
      </c>
      <c r="G13" s="128" t="str">
        <f t="shared" si="4"/>
        <v/>
      </c>
      <c r="H13" s="128" t="str">
        <f t="shared" si="5"/>
        <v/>
      </c>
      <c r="I13" s="143"/>
      <c r="J13" s="143"/>
      <c r="K13" s="144"/>
      <c r="L13" s="129" t="str">
        <f t="shared" si="6"/>
        <v/>
      </c>
      <c r="M13" s="214" t="str">
        <f t="shared" si="0"/>
        <v/>
      </c>
      <c r="N13" s="129" t="str">
        <f t="shared" si="1"/>
        <v/>
      </c>
      <c r="O13" s="129" t="str">
        <f t="shared" si="7"/>
        <v/>
      </c>
      <c r="P13" s="491" t="str">
        <f t="shared" si="8"/>
        <v/>
      </c>
      <c r="Q13" s="145"/>
      <c r="BA13" s="78"/>
      <c r="BB13" s="132" t="s">
        <v>4628</v>
      </c>
      <c r="BC13" s="133"/>
      <c r="BD13" s="132" t="str">
        <f>IF(OR(B13="",BC13=""),"",COUNTIF(BC$7:BC13,"√"))</f>
        <v/>
      </c>
      <c r="BE13" s="134" t="str">
        <f t="shared" si="2"/>
        <v/>
      </c>
      <c r="BF13" s="135" t="str">
        <f t="shared" si="9"/>
        <v/>
      </c>
      <c r="BG13" s="135" t="str">
        <f t="shared" si="9"/>
        <v/>
      </c>
      <c r="BH13" s="136"/>
      <c r="BI13" s="137"/>
      <c r="BJ13" s="136"/>
      <c r="BK13" s="136"/>
      <c r="BL13" s="136"/>
      <c r="BM13" s="137"/>
      <c r="BN13" s="156">
        <f t="shared" si="10"/>
        <v>125.582477754962</v>
      </c>
      <c r="BP13" s="492"/>
      <c r="BQ13" s="156">
        <f t="shared" si="11"/>
        <v>0</v>
      </c>
      <c r="BS13" s="134" t="str">
        <f>IF(COUNTIF(BS$6:BS12,B13)&gt;0,"",B13)&amp;""</f>
        <v/>
      </c>
      <c r="BT13" s="138">
        <f t="shared" si="12"/>
        <v>0</v>
      </c>
      <c r="BU13" s="132">
        <f t="shared" si="13"/>
        <v>1</v>
      </c>
      <c r="BV13" s="138">
        <f t="shared" si="14"/>
        <v>0</v>
      </c>
      <c r="BW13" s="132">
        <f t="shared" si="15"/>
        <v>1</v>
      </c>
      <c r="BX13" s="132">
        <v>5</v>
      </c>
      <c r="BY13" s="134" t="str">
        <f t="shared" si="16"/>
        <v/>
      </c>
      <c r="BZ13" s="146"/>
    </row>
    <row r="14" ht="15" customHeight="1" spans="1:78">
      <c r="A14" s="123" t="str">
        <f>IF(B14="","",COUNT(A$6:A13)+1)</f>
        <v/>
      </c>
      <c r="B14" s="139"/>
      <c r="C14" s="140"/>
      <c r="D14" s="141"/>
      <c r="E14" s="142"/>
      <c r="F14" s="127" t="str">
        <f>IFERROR(VLOOKUP(E14,参数表!$H$2:$I$50,2,FALSE),"")</f>
        <v/>
      </c>
      <c r="G14" s="128" t="str">
        <f t="shared" si="4"/>
        <v/>
      </c>
      <c r="H14" s="128" t="str">
        <f t="shared" si="5"/>
        <v/>
      </c>
      <c r="I14" s="143"/>
      <c r="J14" s="143"/>
      <c r="K14" s="144"/>
      <c r="L14" s="129" t="str">
        <f t="shared" si="6"/>
        <v/>
      </c>
      <c r="M14" s="214" t="str">
        <f t="shared" si="0"/>
        <v/>
      </c>
      <c r="N14" s="129" t="str">
        <f t="shared" si="1"/>
        <v/>
      </c>
      <c r="O14" s="129" t="str">
        <f t="shared" si="7"/>
        <v/>
      </c>
      <c r="P14" s="491" t="str">
        <f t="shared" si="8"/>
        <v/>
      </c>
      <c r="Q14" s="145"/>
      <c r="BA14" s="78"/>
      <c r="BB14" s="132" t="s">
        <v>4629</v>
      </c>
      <c r="BC14" s="133"/>
      <c r="BD14" s="132" t="str">
        <f>IF(OR(B14="",BC14=""),"",COUNTIF(BC$7:BC14,"√"))</f>
        <v/>
      </c>
      <c r="BE14" s="134" t="str">
        <f t="shared" si="2"/>
        <v/>
      </c>
      <c r="BF14" s="135" t="str">
        <f t="shared" si="9"/>
        <v/>
      </c>
      <c r="BG14" s="135" t="str">
        <f t="shared" si="9"/>
        <v/>
      </c>
      <c r="BH14" s="136"/>
      <c r="BI14" s="137"/>
      <c r="BJ14" s="136"/>
      <c r="BK14" s="136"/>
      <c r="BL14" s="136"/>
      <c r="BM14" s="137"/>
      <c r="BN14" s="156">
        <f t="shared" si="10"/>
        <v>125.582477754962</v>
      </c>
      <c r="BP14" s="492"/>
      <c r="BQ14" s="156">
        <f t="shared" si="11"/>
        <v>0</v>
      </c>
      <c r="BS14" s="134" t="str">
        <f>IF(COUNTIF(BS$6:BS13,B14)&gt;0,"",B14)&amp;""</f>
        <v/>
      </c>
      <c r="BT14" s="138">
        <f t="shared" si="12"/>
        <v>0</v>
      </c>
      <c r="BU14" s="132">
        <f t="shared" si="13"/>
        <v>1</v>
      </c>
      <c r="BV14" s="138">
        <f t="shared" si="14"/>
        <v>0</v>
      </c>
      <c r="BW14" s="132">
        <f t="shared" si="15"/>
        <v>1</v>
      </c>
      <c r="BX14" s="147" t="s">
        <v>1659</v>
      </c>
      <c r="BY14" s="132" t="str">
        <f>CONCATENATE(BY9,BZ9,BY10,BZ10,BY11,BZ11,BY12,BZ12,BY13)</f>
        <v/>
      </c>
      <c r="BZ14" s="132"/>
    </row>
    <row r="15" ht="15" customHeight="1" spans="1:78">
      <c r="A15" s="123" t="str">
        <f>IF(B15="","",COUNT(A$6:A14)+1)</f>
        <v/>
      </c>
      <c r="B15" s="139"/>
      <c r="C15" s="140"/>
      <c r="D15" s="141"/>
      <c r="E15" s="142"/>
      <c r="F15" s="127" t="str">
        <f>IFERROR(VLOOKUP(E15,参数表!$H$2:$I$50,2,FALSE),"")</f>
        <v/>
      </c>
      <c r="G15" s="128" t="str">
        <f t="shared" si="4"/>
        <v/>
      </c>
      <c r="H15" s="128" t="str">
        <f t="shared" si="5"/>
        <v/>
      </c>
      <c r="I15" s="143"/>
      <c r="J15" s="143"/>
      <c r="K15" s="144"/>
      <c r="L15" s="129" t="str">
        <f t="shared" si="6"/>
        <v/>
      </c>
      <c r="M15" s="214" t="str">
        <f t="shared" si="0"/>
        <v/>
      </c>
      <c r="N15" s="129" t="str">
        <f t="shared" si="1"/>
        <v/>
      </c>
      <c r="O15" s="129" t="str">
        <f t="shared" si="7"/>
        <v/>
      </c>
      <c r="P15" s="491" t="str">
        <f t="shared" si="8"/>
        <v/>
      </c>
      <c r="Q15" s="145"/>
      <c r="BA15" s="78"/>
      <c r="BB15" s="132" t="s">
        <v>4630</v>
      </c>
      <c r="BC15" s="133"/>
      <c r="BD15" s="132" t="str">
        <f>IF(OR(B15="",BC15=""),"",COUNTIF(BC$7:BC15,"√"))</f>
        <v/>
      </c>
      <c r="BE15" s="134" t="str">
        <f t="shared" si="2"/>
        <v/>
      </c>
      <c r="BF15" s="135" t="str">
        <f t="shared" si="9"/>
        <v/>
      </c>
      <c r="BG15" s="135" t="str">
        <f t="shared" si="9"/>
        <v/>
      </c>
      <c r="BH15" s="136"/>
      <c r="BI15" s="137"/>
      <c r="BJ15" s="136"/>
      <c r="BK15" s="136"/>
      <c r="BL15" s="136"/>
      <c r="BM15" s="137"/>
      <c r="BN15" s="156">
        <f t="shared" si="10"/>
        <v>125.582477754962</v>
      </c>
      <c r="BP15" s="492"/>
      <c r="BQ15" s="156">
        <f t="shared" si="11"/>
        <v>0</v>
      </c>
      <c r="BS15" s="134" t="str">
        <f>IF(COUNTIF(BS$6:BS14,B15)&gt;0,"",B15)&amp;""</f>
        <v/>
      </c>
      <c r="BT15" s="138">
        <f t="shared" si="12"/>
        <v>0</v>
      </c>
      <c r="BU15" s="132">
        <f t="shared" si="13"/>
        <v>1</v>
      </c>
      <c r="BV15" s="138">
        <f t="shared" si="14"/>
        <v>0</v>
      </c>
      <c r="BW15" s="132">
        <f t="shared" si="15"/>
        <v>1</v>
      </c>
      <c r="BX15" s="133"/>
      <c r="BY15" s="133"/>
    </row>
    <row r="16" ht="15" customHeight="1" spans="1:78">
      <c r="A16" s="123" t="str">
        <f>IF(B16="","",COUNT(A$6:A15)+1)</f>
        <v/>
      </c>
      <c r="B16" s="139"/>
      <c r="C16" s="140"/>
      <c r="D16" s="141"/>
      <c r="E16" s="142"/>
      <c r="F16" s="127" t="str">
        <f>IFERROR(VLOOKUP(E16,参数表!$H$2:$I$50,2,FALSE),"")</f>
        <v/>
      </c>
      <c r="G16" s="128" t="str">
        <f t="shared" si="4"/>
        <v/>
      </c>
      <c r="H16" s="128" t="str">
        <f t="shared" si="5"/>
        <v/>
      </c>
      <c r="I16" s="143"/>
      <c r="J16" s="143"/>
      <c r="K16" s="144"/>
      <c r="L16" s="129" t="str">
        <f t="shared" si="6"/>
        <v/>
      </c>
      <c r="M16" s="214" t="str">
        <f t="shared" si="0"/>
        <v/>
      </c>
      <c r="N16" s="129" t="str">
        <f t="shared" si="1"/>
        <v/>
      </c>
      <c r="O16" s="129" t="str">
        <f t="shared" si="7"/>
        <v/>
      </c>
      <c r="P16" s="491" t="str">
        <f t="shared" si="8"/>
        <v/>
      </c>
      <c r="Q16" s="145"/>
      <c r="BA16" s="78"/>
      <c r="BB16" s="132" t="s">
        <v>4631</v>
      </c>
      <c r="BC16" s="133"/>
      <c r="BD16" s="132" t="str">
        <f>IF(OR(B16="",BC16=""),"",COUNTIF(BC$7:BC16,"√"))</f>
        <v/>
      </c>
      <c r="BE16" s="134" t="str">
        <f t="shared" si="2"/>
        <v/>
      </c>
      <c r="BF16" s="135" t="str">
        <f t="shared" si="9"/>
        <v/>
      </c>
      <c r="BG16" s="135" t="str">
        <f t="shared" si="9"/>
        <v/>
      </c>
      <c r="BH16" s="136"/>
      <c r="BI16" s="137"/>
      <c r="BJ16" s="136"/>
      <c r="BK16" s="136"/>
      <c r="BL16" s="136"/>
      <c r="BM16" s="137"/>
      <c r="BN16" s="156">
        <f t="shared" si="10"/>
        <v>125.582477754962</v>
      </c>
      <c r="BP16" s="492"/>
      <c r="BQ16" s="156">
        <f t="shared" si="11"/>
        <v>0</v>
      </c>
      <c r="BS16" s="134" t="str">
        <f>IF(COUNTIF(BS$6:BS15,B16)&gt;0,"",B16)&amp;""</f>
        <v/>
      </c>
      <c r="BT16" s="138">
        <f t="shared" si="12"/>
        <v>0</v>
      </c>
      <c r="BU16" s="132">
        <f t="shared" si="13"/>
        <v>1</v>
      </c>
      <c r="BV16" s="138">
        <f t="shared" si="14"/>
        <v>0</v>
      </c>
      <c r="BW16" s="132">
        <f t="shared" si="15"/>
        <v>1</v>
      </c>
      <c r="BX16" s="133"/>
      <c r="BY16" s="148"/>
    </row>
    <row r="17" ht="15" customHeight="1" spans="1:78">
      <c r="A17" s="123" t="str">
        <f>IF(B17="","",COUNT(A$6:A16)+1)</f>
        <v/>
      </c>
      <c r="B17" s="139"/>
      <c r="C17" s="140"/>
      <c r="D17" s="141"/>
      <c r="E17" s="142"/>
      <c r="F17" s="127" t="str">
        <f>IFERROR(VLOOKUP(E17,参数表!$H$2:$I$50,2,FALSE),"")</f>
        <v/>
      </c>
      <c r="G17" s="128" t="str">
        <f t="shared" si="4"/>
        <v/>
      </c>
      <c r="H17" s="128" t="str">
        <f t="shared" si="5"/>
        <v/>
      </c>
      <c r="I17" s="143"/>
      <c r="J17" s="143"/>
      <c r="K17" s="144"/>
      <c r="L17" s="129" t="str">
        <f t="shared" si="6"/>
        <v/>
      </c>
      <c r="M17" s="214" t="str">
        <f t="shared" si="0"/>
        <v/>
      </c>
      <c r="N17" s="129" t="str">
        <f t="shared" si="1"/>
        <v/>
      </c>
      <c r="O17" s="129" t="str">
        <f t="shared" si="7"/>
        <v/>
      </c>
      <c r="P17" s="491" t="str">
        <f t="shared" si="8"/>
        <v/>
      </c>
      <c r="Q17" s="145"/>
      <c r="BA17" s="78"/>
      <c r="BB17" s="132" t="s">
        <v>4632</v>
      </c>
      <c r="BC17" s="133"/>
      <c r="BD17" s="132" t="str">
        <f>IF(OR(B17="",BC17=""),"",COUNTIF(BC$7:BC17,"√"))</f>
        <v/>
      </c>
      <c r="BE17" s="134" t="str">
        <f t="shared" si="2"/>
        <v/>
      </c>
      <c r="BF17" s="135" t="str">
        <f t="shared" si="9"/>
        <v/>
      </c>
      <c r="BG17" s="135" t="str">
        <f t="shared" si="9"/>
        <v/>
      </c>
      <c r="BH17" s="136"/>
      <c r="BI17" s="137"/>
      <c r="BJ17" s="136"/>
      <c r="BK17" s="136"/>
      <c r="BL17" s="136"/>
      <c r="BM17" s="137"/>
      <c r="BN17" s="156">
        <f t="shared" si="10"/>
        <v>125.582477754962</v>
      </c>
      <c r="BP17" s="492"/>
      <c r="BQ17" s="156">
        <f t="shared" si="11"/>
        <v>0</v>
      </c>
      <c r="BS17" s="134" t="str">
        <f>IF(COUNTIF(BS$6:BS16,B17)&gt;0,"",B17)&amp;""</f>
        <v/>
      </c>
      <c r="BT17" s="138">
        <f t="shared" si="12"/>
        <v>0</v>
      </c>
      <c r="BU17" s="132">
        <f t="shared" si="13"/>
        <v>1</v>
      </c>
      <c r="BV17" s="138">
        <f t="shared" si="14"/>
        <v>0</v>
      </c>
      <c r="BW17" s="132">
        <f t="shared" si="15"/>
        <v>1</v>
      </c>
      <c r="BX17" s="133"/>
      <c r="BY17" s="133"/>
    </row>
    <row r="18" ht="15" customHeight="1" spans="1:78">
      <c r="A18" s="123" t="str">
        <f>IF(B18="","",COUNT(A$6:A17)+1)</f>
        <v/>
      </c>
      <c r="B18" s="139"/>
      <c r="C18" s="140"/>
      <c r="D18" s="141"/>
      <c r="E18" s="142"/>
      <c r="F18" s="127" t="str">
        <f>IFERROR(VLOOKUP(E18,参数表!$H$2:$I$50,2,FALSE),"")</f>
        <v/>
      </c>
      <c r="G18" s="128" t="str">
        <f t="shared" si="4"/>
        <v/>
      </c>
      <c r="H18" s="128" t="str">
        <f t="shared" si="5"/>
        <v/>
      </c>
      <c r="I18" s="143"/>
      <c r="J18" s="143"/>
      <c r="K18" s="144"/>
      <c r="L18" s="129" t="str">
        <f t="shared" si="6"/>
        <v/>
      </c>
      <c r="M18" s="214" t="str">
        <f t="shared" si="0"/>
        <v/>
      </c>
      <c r="N18" s="129" t="str">
        <f t="shared" si="1"/>
        <v/>
      </c>
      <c r="O18" s="129" t="str">
        <f t="shared" si="7"/>
        <v/>
      </c>
      <c r="P18" s="491" t="str">
        <f t="shared" si="8"/>
        <v/>
      </c>
      <c r="Q18" s="145"/>
      <c r="BA18" s="78"/>
      <c r="BB18" s="132" t="s">
        <v>4633</v>
      </c>
      <c r="BC18" s="133"/>
      <c r="BD18" s="132" t="str">
        <f>IF(OR(B18="",BC18=""),"",COUNTIF(BC$7:BC18,"√"))</f>
        <v/>
      </c>
      <c r="BE18" s="134" t="str">
        <f t="shared" si="2"/>
        <v/>
      </c>
      <c r="BF18" s="135" t="str">
        <f t="shared" si="9"/>
        <v/>
      </c>
      <c r="BG18" s="135" t="str">
        <f t="shared" si="9"/>
        <v/>
      </c>
      <c r="BH18" s="136"/>
      <c r="BI18" s="137"/>
      <c r="BJ18" s="136"/>
      <c r="BK18" s="136"/>
      <c r="BL18" s="136"/>
      <c r="BM18" s="137"/>
      <c r="BN18" s="156">
        <f t="shared" si="10"/>
        <v>125.582477754962</v>
      </c>
      <c r="BP18" s="492"/>
      <c r="BQ18" s="156">
        <f t="shared" si="11"/>
        <v>0</v>
      </c>
      <c r="BS18" s="134" t="str">
        <f>IF(COUNTIF(BS$6:BS17,B18)&gt;0,"",B18)&amp;""</f>
        <v/>
      </c>
      <c r="BT18" s="138">
        <f t="shared" si="12"/>
        <v>0</v>
      </c>
      <c r="BU18" s="132">
        <f t="shared" si="13"/>
        <v>1</v>
      </c>
      <c r="BV18" s="138">
        <f t="shared" si="14"/>
        <v>0</v>
      </c>
      <c r="BW18" s="132">
        <f t="shared" si="15"/>
        <v>1</v>
      </c>
      <c r="BX18" s="133"/>
      <c r="BY18" s="133"/>
    </row>
    <row r="19" ht="15" customHeight="1" spans="1:78">
      <c r="A19" s="123" t="str">
        <f>IF(B19="","",COUNT(A$6:A18)+1)</f>
        <v/>
      </c>
      <c r="B19" s="139"/>
      <c r="C19" s="140"/>
      <c r="D19" s="141"/>
      <c r="E19" s="142"/>
      <c r="F19" s="127" t="str">
        <f>IFERROR(VLOOKUP(E19,参数表!$H$2:$I$50,2,FALSE),"")</f>
        <v/>
      </c>
      <c r="G19" s="128" t="str">
        <f t="shared" si="4"/>
        <v/>
      </c>
      <c r="H19" s="128" t="str">
        <f t="shared" si="5"/>
        <v/>
      </c>
      <c r="I19" s="143"/>
      <c r="J19" s="143"/>
      <c r="K19" s="144"/>
      <c r="L19" s="129" t="str">
        <f t="shared" si="6"/>
        <v/>
      </c>
      <c r="M19" s="214" t="str">
        <f t="shared" si="0"/>
        <v/>
      </c>
      <c r="N19" s="129" t="str">
        <f t="shared" si="1"/>
        <v/>
      </c>
      <c r="O19" s="129" t="str">
        <f t="shared" si="7"/>
        <v/>
      </c>
      <c r="P19" s="491" t="str">
        <f t="shared" si="8"/>
        <v/>
      </c>
      <c r="Q19" s="145"/>
      <c r="BA19" s="78"/>
      <c r="BB19" s="132" t="s">
        <v>4634</v>
      </c>
      <c r="BC19" s="133"/>
      <c r="BD19" s="132" t="str">
        <f>IF(OR(B19="",BC19=""),"",COUNTIF(BC$7:BC19,"√"))</f>
        <v/>
      </c>
      <c r="BE19" s="134" t="str">
        <f t="shared" si="2"/>
        <v/>
      </c>
      <c r="BF19" s="135" t="str">
        <f t="shared" si="9"/>
        <v/>
      </c>
      <c r="BG19" s="135" t="str">
        <f t="shared" si="9"/>
        <v/>
      </c>
      <c r="BH19" s="136"/>
      <c r="BI19" s="137"/>
      <c r="BJ19" s="136"/>
      <c r="BK19" s="136"/>
      <c r="BL19" s="136"/>
      <c r="BM19" s="137"/>
      <c r="BN19" s="156">
        <f t="shared" si="10"/>
        <v>125.582477754962</v>
      </c>
      <c r="BP19" s="492"/>
      <c r="BQ19" s="156">
        <f t="shared" si="11"/>
        <v>0</v>
      </c>
      <c r="BS19" s="134" t="str">
        <f>IF(COUNTIF(BS$6:BS18,B19)&gt;0,"",B19)&amp;""</f>
        <v/>
      </c>
      <c r="BT19" s="138">
        <f t="shared" si="12"/>
        <v>0</v>
      </c>
      <c r="BU19" s="132">
        <f t="shared" si="13"/>
        <v>1</v>
      </c>
      <c r="BV19" s="138">
        <f t="shared" si="14"/>
        <v>0</v>
      </c>
      <c r="BW19" s="132">
        <f t="shared" si="15"/>
        <v>1</v>
      </c>
      <c r="BX19" s="133"/>
      <c r="BY19" s="133"/>
    </row>
    <row r="20" ht="15" customHeight="1" spans="1:78">
      <c r="A20" s="123" t="str">
        <f>IF(B20="","",COUNT(A$6:A19)+1)</f>
        <v/>
      </c>
      <c r="B20" s="139"/>
      <c r="C20" s="140"/>
      <c r="D20" s="141"/>
      <c r="E20" s="142"/>
      <c r="F20" s="127" t="str">
        <f>IFERROR(VLOOKUP(E20,参数表!$H$2:$I$50,2,FALSE),"")</f>
        <v/>
      </c>
      <c r="G20" s="128" t="str">
        <f t="shared" si="4"/>
        <v/>
      </c>
      <c r="H20" s="128" t="str">
        <f t="shared" si="5"/>
        <v/>
      </c>
      <c r="I20" s="143"/>
      <c r="J20" s="143"/>
      <c r="K20" s="144"/>
      <c r="L20" s="129" t="str">
        <f t="shared" si="6"/>
        <v/>
      </c>
      <c r="M20" s="214" t="str">
        <f t="shared" si="0"/>
        <v/>
      </c>
      <c r="N20" s="129" t="str">
        <f t="shared" si="1"/>
        <v/>
      </c>
      <c r="O20" s="129" t="str">
        <f t="shared" si="7"/>
        <v/>
      </c>
      <c r="P20" s="491" t="str">
        <f t="shared" si="8"/>
        <v/>
      </c>
      <c r="Q20" s="145"/>
      <c r="BA20" s="78"/>
      <c r="BB20" s="132" t="s">
        <v>4635</v>
      </c>
      <c r="BC20" s="133"/>
      <c r="BD20" s="132" t="str">
        <f>IF(OR(B20="",BC20=""),"",COUNTIF(BC$7:BC20,"√"))</f>
        <v/>
      </c>
      <c r="BE20" s="134" t="str">
        <f t="shared" si="2"/>
        <v/>
      </c>
      <c r="BF20" s="135" t="str">
        <f t="shared" si="9"/>
        <v/>
      </c>
      <c r="BG20" s="135" t="str">
        <f t="shared" si="9"/>
        <v/>
      </c>
      <c r="BH20" s="136"/>
      <c r="BI20" s="137"/>
      <c r="BJ20" s="136"/>
      <c r="BK20" s="136"/>
      <c r="BL20" s="136"/>
      <c r="BM20" s="137"/>
      <c r="BN20" s="156">
        <f t="shared" si="10"/>
        <v>125.582477754962</v>
      </c>
      <c r="BP20" s="492"/>
      <c r="BQ20" s="156">
        <f t="shared" si="11"/>
        <v>0</v>
      </c>
      <c r="BS20" s="134" t="str">
        <f>IF(COUNTIF(BS$6:BS19,B20)&gt;0,"",B20)&amp;""</f>
        <v/>
      </c>
      <c r="BT20" s="138">
        <f t="shared" si="12"/>
        <v>0</v>
      </c>
      <c r="BU20" s="132">
        <f t="shared" si="13"/>
        <v>1</v>
      </c>
      <c r="BV20" s="138">
        <f t="shared" si="14"/>
        <v>0</v>
      </c>
      <c r="BW20" s="132">
        <f t="shared" si="15"/>
        <v>1</v>
      </c>
      <c r="BX20" s="133"/>
      <c r="BY20" s="133"/>
    </row>
    <row r="21" ht="15" customHeight="1" spans="1:78">
      <c r="A21" s="123" t="str">
        <f>IF(B21="","",COUNT(A$6:A20)+1)</f>
        <v/>
      </c>
      <c r="B21" s="139"/>
      <c r="C21" s="140"/>
      <c r="D21" s="141"/>
      <c r="E21" s="142"/>
      <c r="F21" s="127" t="str">
        <f>IFERROR(VLOOKUP(E21,参数表!$H$2:$I$50,2,FALSE),"")</f>
        <v/>
      </c>
      <c r="G21" s="128" t="str">
        <f t="shared" si="4"/>
        <v/>
      </c>
      <c r="H21" s="128" t="str">
        <f t="shared" si="5"/>
        <v/>
      </c>
      <c r="I21" s="143"/>
      <c r="J21" s="143"/>
      <c r="K21" s="144"/>
      <c r="L21" s="129" t="str">
        <f t="shared" si="6"/>
        <v/>
      </c>
      <c r="M21" s="214" t="str">
        <f t="shared" si="0"/>
        <v/>
      </c>
      <c r="N21" s="129" t="str">
        <f t="shared" si="1"/>
        <v/>
      </c>
      <c r="O21" s="129" t="str">
        <f t="shared" si="7"/>
        <v/>
      </c>
      <c r="P21" s="491" t="str">
        <f t="shared" si="8"/>
        <v/>
      </c>
      <c r="Q21" s="145"/>
      <c r="BA21" s="78"/>
      <c r="BB21" s="132" t="s">
        <v>4636</v>
      </c>
      <c r="BC21" s="133"/>
      <c r="BD21" s="132" t="str">
        <f>IF(OR(B21="",BC21=""),"",COUNTIF(BC$7:BC21,"√"))</f>
        <v/>
      </c>
      <c r="BE21" s="134" t="str">
        <f t="shared" si="2"/>
        <v/>
      </c>
      <c r="BF21" s="135" t="str">
        <f t="shared" si="9"/>
        <v/>
      </c>
      <c r="BG21" s="135" t="str">
        <f t="shared" si="9"/>
        <v/>
      </c>
      <c r="BH21" s="136"/>
      <c r="BI21" s="137"/>
      <c r="BJ21" s="136"/>
      <c r="BK21" s="136"/>
      <c r="BL21" s="136"/>
      <c r="BM21" s="137"/>
      <c r="BN21" s="156">
        <f t="shared" si="10"/>
        <v>125.582477754962</v>
      </c>
      <c r="BP21" s="492"/>
      <c r="BQ21" s="156">
        <f t="shared" si="11"/>
        <v>0</v>
      </c>
      <c r="BS21" s="134" t="str">
        <f>IF(COUNTIF(BS$6:BS20,B21)&gt;0,"",B21)&amp;""</f>
        <v/>
      </c>
      <c r="BT21" s="138">
        <f t="shared" si="12"/>
        <v>0</v>
      </c>
      <c r="BU21" s="132">
        <f t="shared" si="13"/>
        <v>1</v>
      </c>
      <c r="BV21" s="138">
        <f t="shared" si="14"/>
        <v>0</v>
      </c>
      <c r="BW21" s="132">
        <f t="shared" si="15"/>
        <v>1</v>
      </c>
      <c r="BX21" s="133"/>
      <c r="BY21" s="133"/>
    </row>
    <row r="22" ht="15" customHeight="1" spans="1:78">
      <c r="A22" s="123" t="str">
        <f>IF(B22="","",COUNT(A$6:A21)+1)</f>
        <v/>
      </c>
      <c r="B22" s="139"/>
      <c r="C22" s="140"/>
      <c r="D22" s="141"/>
      <c r="E22" s="142"/>
      <c r="F22" s="127" t="str">
        <f>IFERROR(VLOOKUP(E22,参数表!$H$2:$I$50,2,FALSE),"")</f>
        <v/>
      </c>
      <c r="G22" s="128" t="str">
        <f t="shared" si="4"/>
        <v/>
      </c>
      <c r="H22" s="128" t="str">
        <f t="shared" si="5"/>
        <v/>
      </c>
      <c r="I22" s="143"/>
      <c r="J22" s="143"/>
      <c r="K22" s="144"/>
      <c r="L22" s="129" t="str">
        <f t="shared" si="6"/>
        <v/>
      </c>
      <c r="M22" s="214" t="str">
        <f t="shared" si="0"/>
        <v/>
      </c>
      <c r="N22" s="129" t="str">
        <f t="shared" si="1"/>
        <v/>
      </c>
      <c r="O22" s="129" t="str">
        <f t="shared" si="7"/>
        <v/>
      </c>
      <c r="P22" s="491" t="str">
        <f t="shared" si="8"/>
        <v/>
      </c>
      <c r="Q22" s="145"/>
      <c r="BA22" s="78"/>
      <c r="BB22" s="132" t="s">
        <v>4637</v>
      </c>
      <c r="BC22" s="133"/>
      <c r="BD22" s="132" t="str">
        <f>IF(OR(B22="",BC22=""),"",COUNTIF(BC$7:BC22,"√"))</f>
        <v/>
      </c>
      <c r="BE22" s="134" t="str">
        <f t="shared" si="2"/>
        <v/>
      </c>
      <c r="BF22" s="135" t="str">
        <f t="shared" si="9"/>
        <v/>
      </c>
      <c r="BG22" s="135" t="str">
        <f t="shared" si="9"/>
        <v/>
      </c>
      <c r="BH22" s="136"/>
      <c r="BI22" s="137"/>
      <c r="BJ22" s="136"/>
      <c r="BK22" s="136"/>
      <c r="BL22" s="136"/>
      <c r="BM22" s="137"/>
      <c r="BN22" s="156">
        <f t="shared" si="10"/>
        <v>125.582477754962</v>
      </c>
      <c r="BP22" s="492"/>
      <c r="BQ22" s="156">
        <f t="shared" si="11"/>
        <v>0</v>
      </c>
      <c r="BS22" s="134" t="str">
        <f>IF(COUNTIF(BS$6:BS21,B22)&gt;0,"",B22)&amp;""</f>
        <v/>
      </c>
      <c r="BT22" s="138">
        <f t="shared" si="12"/>
        <v>0</v>
      </c>
      <c r="BU22" s="132">
        <f t="shared" si="13"/>
        <v>1</v>
      </c>
      <c r="BV22" s="138">
        <f t="shared" si="14"/>
        <v>0</v>
      </c>
      <c r="BW22" s="132">
        <f t="shared" si="15"/>
        <v>1</v>
      </c>
      <c r="BX22" s="133"/>
      <c r="BY22" s="133"/>
    </row>
    <row r="23" ht="15" customHeight="1" spans="1:78">
      <c r="A23" s="123" t="str">
        <f>IF(B23="","",COUNT(A$6:A22)+1)</f>
        <v/>
      </c>
      <c r="B23" s="139"/>
      <c r="C23" s="140"/>
      <c r="D23" s="141"/>
      <c r="E23" s="142"/>
      <c r="F23" s="127" t="str">
        <f>IFERROR(VLOOKUP(E23,参数表!$H$2:$I$50,2,FALSE),"")</f>
        <v/>
      </c>
      <c r="G23" s="128" t="str">
        <f t="shared" si="4"/>
        <v/>
      </c>
      <c r="H23" s="128" t="str">
        <f t="shared" si="5"/>
        <v/>
      </c>
      <c r="I23" s="143"/>
      <c r="J23" s="143"/>
      <c r="K23" s="144"/>
      <c r="L23" s="129" t="str">
        <f t="shared" si="6"/>
        <v/>
      </c>
      <c r="M23" s="214" t="str">
        <f t="shared" si="0"/>
        <v/>
      </c>
      <c r="N23" s="129" t="str">
        <f t="shared" si="1"/>
        <v/>
      </c>
      <c r="O23" s="129" t="str">
        <f t="shared" si="7"/>
        <v/>
      </c>
      <c r="P23" s="491" t="str">
        <f t="shared" si="8"/>
        <v/>
      </c>
      <c r="Q23" s="145"/>
      <c r="BA23" s="78"/>
      <c r="BB23" s="132" t="s">
        <v>4638</v>
      </c>
      <c r="BC23" s="133"/>
      <c r="BD23" s="132" t="str">
        <f>IF(OR(B23="",BC23=""),"",COUNTIF(BC$7:BC23,"√"))</f>
        <v/>
      </c>
      <c r="BE23" s="134" t="str">
        <f t="shared" si="2"/>
        <v/>
      </c>
      <c r="BF23" s="135" t="str">
        <f t="shared" si="9"/>
        <v/>
      </c>
      <c r="BG23" s="135" t="str">
        <f t="shared" si="9"/>
        <v/>
      </c>
      <c r="BH23" s="136"/>
      <c r="BI23" s="137"/>
      <c r="BJ23" s="136"/>
      <c r="BK23" s="136"/>
      <c r="BL23" s="136"/>
      <c r="BM23" s="137"/>
      <c r="BN23" s="156">
        <f t="shared" si="10"/>
        <v>125.582477754962</v>
      </c>
      <c r="BP23" s="492"/>
      <c r="BQ23" s="156">
        <f t="shared" si="11"/>
        <v>0</v>
      </c>
      <c r="BS23" s="134" t="str">
        <f>IF(COUNTIF(BS$6:BS22,B23)&gt;0,"",B23)&amp;""</f>
        <v/>
      </c>
      <c r="BT23" s="138">
        <f t="shared" si="12"/>
        <v>0</v>
      </c>
      <c r="BU23" s="132">
        <f t="shared" si="13"/>
        <v>1</v>
      </c>
      <c r="BV23" s="138">
        <f t="shared" si="14"/>
        <v>0</v>
      </c>
      <c r="BW23" s="132">
        <f t="shared" si="15"/>
        <v>1</v>
      </c>
      <c r="BX23" s="133"/>
      <c r="BY23" s="133"/>
    </row>
    <row r="24" ht="15" customHeight="1" spans="1:78">
      <c r="A24" s="123" t="str">
        <f>IF(B24="","",COUNT(A$6:A23)+1)</f>
        <v/>
      </c>
      <c r="B24" s="139"/>
      <c r="C24" s="140"/>
      <c r="D24" s="141"/>
      <c r="E24" s="142"/>
      <c r="F24" s="127" t="str">
        <f>IFERROR(VLOOKUP(E24,参数表!$H$2:$I$50,2,FALSE),"")</f>
        <v/>
      </c>
      <c r="G24" s="128" t="str">
        <f t="shared" si="4"/>
        <v/>
      </c>
      <c r="H24" s="128" t="str">
        <f t="shared" si="5"/>
        <v/>
      </c>
      <c r="I24" s="143"/>
      <c r="J24" s="143"/>
      <c r="K24" s="144"/>
      <c r="L24" s="129" t="str">
        <f t="shared" si="6"/>
        <v/>
      </c>
      <c r="M24" s="214" t="str">
        <f t="shared" si="0"/>
        <v/>
      </c>
      <c r="N24" s="129" t="str">
        <f t="shared" si="1"/>
        <v/>
      </c>
      <c r="O24" s="129" t="str">
        <f t="shared" si="7"/>
        <v/>
      </c>
      <c r="P24" s="491" t="str">
        <f t="shared" si="8"/>
        <v/>
      </c>
      <c r="Q24" s="145"/>
      <c r="BA24" s="78"/>
      <c r="BB24" s="132" t="s">
        <v>4639</v>
      </c>
      <c r="BC24" s="133"/>
      <c r="BD24" s="132" t="str">
        <f>IF(OR(B24="",BC24=""),"",COUNTIF(BC$7:BC24,"√"))</f>
        <v/>
      </c>
      <c r="BE24" s="134" t="str">
        <f t="shared" si="2"/>
        <v/>
      </c>
      <c r="BF24" s="135" t="str">
        <f t="shared" si="9"/>
        <v/>
      </c>
      <c r="BG24" s="135" t="str">
        <f t="shared" si="9"/>
        <v/>
      </c>
      <c r="BH24" s="136"/>
      <c r="BI24" s="137"/>
      <c r="BJ24" s="136"/>
      <c r="BK24" s="136"/>
      <c r="BL24" s="136"/>
      <c r="BM24" s="137"/>
      <c r="BN24" s="156">
        <f t="shared" si="10"/>
        <v>125.582477754962</v>
      </c>
      <c r="BP24" s="492"/>
      <c r="BQ24" s="156">
        <f t="shared" si="11"/>
        <v>0</v>
      </c>
      <c r="BS24" s="134" t="str">
        <f>IF(COUNTIF(BS$6:BS23,B24)&gt;0,"",B24)&amp;""</f>
        <v/>
      </c>
      <c r="BT24" s="138">
        <f t="shared" si="12"/>
        <v>0</v>
      </c>
      <c r="BU24" s="132">
        <f t="shared" si="13"/>
        <v>1</v>
      </c>
      <c r="BV24" s="138">
        <f t="shared" si="14"/>
        <v>0</v>
      </c>
      <c r="BW24" s="132">
        <f t="shared" si="15"/>
        <v>1</v>
      </c>
      <c r="BX24" s="133"/>
      <c r="BY24" s="133"/>
    </row>
    <row r="25" ht="15" customHeight="1" spans="1:78">
      <c r="A25" s="123" t="str">
        <f>IF(B25="","",COUNT(A$6:A24)+1)</f>
        <v/>
      </c>
      <c r="B25" s="139"/>
      <c r="C25" s="140"/>
      <c r="D25" s="141"/>
      <c r="E25" s="142"/>
      <c r="F25" s="127" t="str">
        <f>IFERROR(VLOOKUP(E25,参数表!$H$2:$I$50,2,FALSE),"")</f>
        <v/>
      </c>
      <c r="G25" s="128" t="str">
        <f t="shared" si="4"/>
        <v/>
      </c>
      <c r="H25" s="128" t="str">
        <f t="shared" si="5"/>
        <v/>
      </c>
      <c r="I25" s="143"/>
      <c r="J25" s="143"/>
      <c r="K25" s="144"/>
      <c r="L25" s="129" t="str">
        <f t="shared" si="6"/>
        <v/>
      </c>
      <c r="M25" s="214" t="str">
        <f t="shared" si="0"/>
        <v/>
      </c>
      <c r="N25" s="129" t="str">
        <f t="shared" si="1"/>
        <v/>
      </c>
      <c r="O25" s="129" t="str">
        <f t="shared" si="7"/>
        <v/>
      </c>
      <c r="P25" s="491" t="str">
        <f t="shared" si="8"/>
        <v/>
      </c>
      <c r="Q25" s="145"/>
      <c r="BA25" s="78"/>
      <c r="BB25" s="132" t="s">
        <v>4640</v>
      </c>
      <c r="BC25" s="133"/>
      <c r="BD25" s="132" t="str">
        <f>IF(OR(B25="",BC25=""),"",COUNTIF(BC$7:BC25,"√"))</f>
        <v/>
      </c>
      <c r="BE25" s="134" t="str">
        <f t="shared" si="2"/>
        <v/>
      </c>
      <c r="BF25" s="135" t="str">
        <f t="shared" si="9"/>
        <v/>
      </c>
      <c r="BG25" s="135" t="str">
        <f t="shared" si="9"/>
        <v/>
      </c>
      <c r="BH25" s="136"/>
      <c r="BI25" s="137"/>
      <c r="BJ25" s="136"/>
      <c r="BK25" s="136"/>
      <c r="BL25" s="136"/>
      <c r="BM25" s="137"/>
      <c r="BN25" s="156">
        <f t="shared" si="10"/>
        <v>125.582477754962</v>
      </c>
      <c r="BP25" s="492"/>
      <c r="BQ25" s="156">
        <f t="shared" si="11"/>
        <v>0</v>
      </c>
      <c r="BS25" s="134" t="str">
        <f>IF(COUNTIF(BS$6:BS24,B25)&gt;0,"",B25)&amp;""</f>
        <v/>
      </c>
      <c r="BT25" s="138">
        <f t="shared" si="12"/>
        <v>0</v>
      </c>
      <c r="BU25" s="132">
        <f t="shared" si="13"/>
        <v>1</v>
      </c>
      <c r="BV25" s="138">
        <f t="shared" si="14"/>
        <v>0</v>
      </c>
      <c r="BW25" s="132">
        <f t="shared" si="15"/>
        <v>1</v>
      </c>
      <c r="BX25" s="133"/>
      <c r="BY25" s="133"/>
    </row>
    <row r="26" ht="15" customHeight="1" spans="1:78">
      <c r="A26" s="123" t="str">
        <f>IF(B26="","",COUNT(A$6:A25)+1)</f>
        <v/>
      </c>
      <c r="B26" s="124"/>
      <c r="C26" s="125"/>
      <c r="D26" s="126"/>
      <c r="E26" s="127"/>
      <c r="F26" s="127" t="str">
        <f>IFERROR(VLOOKUP(E26,参数表!$H$2:$I$50,2,FALSE),"")</f>
        <v/>
      </c>
      <c r="G26" s="128" t="str">
        <f t="shared" si="4"/>
        <v/>
      </c>
      <c r="H26" s="128" t="str">
        <f t="shared" si="5"/>
        <v/>
      </c>
      <c r="I26" s="129"/>
      <c r="J26" s="129"/>
      <c r="K26" s="130"/>
      <c r="L26" s="129" t="str">
        <f t="shared" si="6"/>
        <v/>
      </c>
      <c r="M26" s="214" t="str">
        <f t="shared" si="0"/>
        <v/>
      </c>
      <c r="N26" s="129" t="str">
        <f t="shared" si="1"/>
        <v/>
      </c>
      <c r="O26" s="129" t="str">
        <f t="shared" si="7"/>
        <v/>
      </c>
      <c r="P26" s="491" t="str">
        <f t="shared" si="8"/>
        <v/>
      </c>
      <c r="Q26" s="131"/>
      <c r="BA26" s="78"/>
      <c r="BB26" s="132" t="s">
        <v>4641</v>
      </c>
      <c r="BC26" s="133"/>
      <c r="BD26" s="132" t="str">
        <f>IF(OR(B26="",BC26=""),"",COUNTIF(BC$7:BC26,"√"))</f>
        <v/>
      </c>
      <c r="BE26" s="134" t="str">
        <f t="shared" si="2"/>
        <v/>
      </c>
      <c r="BF26" s="135" t="str">
        <f t="shared" si="9"/>
        <v/>
      </c>
      <c r="BG26" s="135" t="str">
        <f t="shared" si="9"/>
        <v/>
      </c>
      <c r="BH26" s="136"/>
      <c r="BI26" s="137"/>
      <c r="BJ26" s="136"/>
      <c r="BK26" s="136"/>
      <c r="BL26" s="136"/>
      <c r="BM26" s="137"/>
      <c r="BN26" s="156">
        <f t="shared" si="10"/>
        <v>125.582477754962</v>
      </c>
      <c r="BP26" s="492"/>
      <c r="BQ26" s="156">
        <f t="shared" si="11"/>
        <v>0</v>
      </c>
      <c r="BS26" s="134" t="str">
        <f>IF(COUNTIF(BS$6:BS25,B26)&gt;0,"",B26)&amp;""</f>
        <v/>
      </c>
      <c r="BT26" s="138">
        <f t="shared" si="12"/>
        <v>0</v>
      </c>
      <c r="BU26" s="132">
        <f t="shared" si="13"/>
        <v>1</v>
      </c>
      <c r="BV26" s="138">
        <f t="shared" si="14"/>
        <v>0</v>
      </c>
      <c r="BW26" s="132">
        <f t="shared" si="15"/>
        <v>1</v>
      </c>
      <c r="BX26" s="133"/>
      <c r="BY26" s="133"/>
    </row>
    <row r="27" ht="15" customHeight="1" spans="1:78">
      <c r="A27" s="221" t="s">
        <v>1954</v>
      </c>
      <c r="B27" s="493"/>
      <c r="C27" s="493"/>
      <c r="D27" s="126"/>
      <c r="E27" s="354"/>
      <c r="F27" s="354"/>
      <c r="G27" s="354"/>
      <c r="H27" s="354"/>
      <c r="I27" s="152">
        <f>SUM(I7:I26)</f>
        <v>0</v>
      </c>
      <c r="J27" s="152">
        <f>SUM(J7:J26)</f>
        <v>0</v>
      </c>
      <c r="K27" s="153"/>
      <c r="L27" s="152">
        <f>SUM(L7:L26)</f>
        <v>0</v>
      </c>
      <c r="M27" s="222"/>
      <c r="N27" s="152">
        <f>SUM(N7:N26)</f>
        <v>0</v>
      </c>
      <c r="O27" s="152">
        <f t="shared" si="7"/>
        <v>0</v>
      </c>
      <c r="P27" s="354" t="str">
        <f t="shared" si="8"/>
        <v/>
      </c>
      <c r="Q27" s="131"/>
      <c r="BR27" s="111"/>
      <c r="BS27" s="119"/>
      <c r="BU27" s="77"/>
      <c r="BV27" s="77"/>
      <c r="BW27" s="119"/>
      <c r="BX27" s="119"/>
      <c r="BY27" s="119"/>
      <c r="BZ27" s="111"/>
    </row>
    <row r="28" ht="15" customHeight="1" spans="1:78">
      <c r="A28" s="124" t="s">
        <v>3434</v>
      </c>
      <c r="B28" s="124"/>
      <c r="C28" s="124"/>
      <c r="D28" s="126"/>
      <c r="E28" s="354"/>
      <c r="F28" s="354"/>
      <c r="G28" s="354"/>
      <c r="H28" s="354"/>
      <c r="I28" s="129"/>
      <c r="J28" s="129"/>
      <c r="K28" s="130"/>
      <c r="L28" s="129">
        <f>J28+K28</f>
        <v>0</v>
      </c>
      <c r="M28" s="214"/>
      <c r="N28" s="129"/>
      <c r="O28" s="129">
        <f t="shared" si="7"/>
        <v>0</v>
      </c>
      <c r="P28" s="491" t="str">
        <f t="shared" si="8"/>
        <v/>
      </c>
      <c r="Q28" s="131"/>
    </row>
    <row r="29" s="73" customFormat="1" ht="15" customHeight="1" spans="1:78">
      <c r="A29" s="221" t="s">
        <v>1957</v>
      </c>
      <c r="B29" s="221"/>
      <c r="C29" s="221"/>
      <c r="D29" s="149"/>
      <c r="E29" s="354"/>
      <c r="F29" s="354"/>
      <c r="G29" s="354"/>
      <c r="H29" s="354"/>
      <c r="I29" s="152">
        <f>I27-I28</f>
        <v>0</v>
      </c>
      <c r="J29" s="152">
        <f>J27-J28</f>
        <v>0</v>
      </c>
      <c r="K29" s="153"/>
      <c r="L29" s="152">
        <f>L27-L28</f>
        <v>0</v>
      </c>
      <c r="M29" s="222"/>
      <c r="N29" s="152">
        <f>N27-N28</f>
        <v>0</v>
      </c>
      <c r="O29" s="152">
        <f t="shared" si="7"/>
        <v>0</v>
      </c>
      <c r="P29" s="354" t="str">
        <f t="shared" si="8"/>
        <v/>
      </c>
      <c r="Q29" s="151"/>
      <c r="BH29" s="72"/>
      <c r="BJ29" s="72"/>
      <c r="BK29" s="72"/>
      <c r="BL29" s="72"/>
      <c r="BR29" s="77"/>
      <c r="BS29" s="78"/>
      <c r="BT29" s="77"/>
      <c r="BU29" s="78"/>
      <c r="BV29" s="78"/>
      <c r="BW29" s="78"/>
      <c r="BX29" s="78"/>
      <c r="BY29" s="78"/>
      <c r="BZ29" s="77"/>
    </row>
    <row r="30" customHeight="1" spans="1:78">
      <c r="A30" s="102" t="str">
        <f>参数表!F$6</f>
        <v>产权持有单位填表人：贾广东</v>
      </c>
      <c r="B30" s="154"/>
      <c r="C30" s="154"/>
      <c r="D30" s="286"/>
      <c r="E30" s="103"/>
      <c r="F30" s="103"/>
      <c r="G30" s="103"/>
      <c r="H30" s="103"/>
      <c r="I30" s="154"/>
      <c r="J30" s="154"/>
      <c r="K30" s="104"/>
      <c r="L30" s="103"/>
      <c r="M30" s="95"/>
      <c r="N30" s="156" t="str">
        <f>"评估人员："&amp;封面!$G$34</f>
        <v>评估人员：</v>
      </c>
      <c r="O30" s="103"/>
      <c r="P30" s="103"/>
      <c r="Q30" s="103"/>
    </row>
    <row r="31" customHeight="1" spans="1:78">
      <c r="A31" s="102" t="str">
        <f>参数表!F$7</f>
        <v>填表日期：2025年9月20日</v>
      </c>
      <c r="B31" s="154"/>
      <c r="C31" s="154"/>
      <c r="D31" s="286"/>
      <c r="E31" s="103"/>
      <c r="F31" s="103"/>
      <c r="G31" s="103"/>
      <c r="H31" s="103"/>
      <c r="I31" s="154"/>
      <c r="J31" s="154"/>
      <c r="K31" s="104"/>
      <c r="L31" s="103"/>
      <c r="M31" s="95"/>
      <c r="N31" s="103"/>
      <c r="O31" s="103"/>
      <c r="P31" s="103"/>
      <c r="Q31" s="103"/>
    </row>
    <row r="32" hidden="1" customHeight="1" outlineLevel="1" spans="1:78">
      <c r="A32" s="157"/>
      <c r="B32" s="154" t="s">
        <v>1673</v>
      </c>
      <c r="C32" s="158"/>
      <c r="D32" s="228"/>
      <c r="I32" s="159">
        <f>SUMIF($BA7:$BA26,$BA32,I7:I26)</f>
        <v>0</v>
      </c>
      <c r="J32" s="159">
        <f>SUMIF($BA7:$BA26,$BA32,J7:J26)</f>
        <v>0</v>
      </c>
      <c r="K32" s="202"/>
      <c r="L32" s="159">
        <f>SUMIF($BA7:$BA26,$BA32,L7:L26)</f>
        <v>0</v>
      </c>
      <c r="M32" s="176"/>
      <c r="N32" s="159">
        <f>SUMIF($BA7:$BA26,$BA32,N7:N26)</f>
        <v>0</v>
      </c>
      <c r="BA32" s="161" t="s">
        <v>1674</v>
      </c>
      <c r="BH32" s="95" t="s">
        <v>1675</v>
      </c>
      <c r="BJ32" s="95" t="s">
        <v>1675</v>
      </c>
      <c r="BK32" s="95" t="s">
        <v>1675</v>
      </c>
      <c r="BL32" s="95" t="s">
        <v>1675</v>
      </c>
    </row>
    <row r="33" hidden="1" customHeight="1" outlineLevel="1" spans="1:64">
      <c r="A33" s="157"/>
      <c r="B33" s="154" t="s">
        <v>1676</v>
      </c>
      <c r="C33" s="158"/>
      <c r="D33" s="228"/>
      <c r="I33" s="159">
        <f>I27-I32</f>
        <v>0</v>
      </c>
      <c r="J33" s="159">
        <f>J27-J32</f>
        <v>0</v>
      </c>
      <c r="K33" s="202"/>
      <c r="L33" s="159">
        <f>L27-L32</f>
        <v>0</v>
      </c>
      <c r="M33" s="176"/>
      <c r="N33" s="159">
        <f>N27-N32</f>
        <v>0</v>
      </c>
      <c r="BA33" s="161" t="s">
        <v>1677</v>
      </c>
      <c r="BH33" s="95" t="s">
        <v>1678</v>
      </c>
      <c r="BJ33" s="95" t="s">
        <v>1678</v>
      </c>
      <c r="BK33" s="95" t="s">
        <v>1678</v>
      </c>
      <c r="BL33" s="95" t="s">
        <v>1678</v>
      </c>
    </row>
    <row r="34" customHeight="1" collapsed="1" spans="1:64">
      <c r="A34" s="157"/>
      <c r="B34" s="158"/>
      <c r="C34" s="158"/>
      <c r="D34" s="228"/>
      <c r="I34" s="158"/>
      <c r="J34" s="158"/>
    </row>
    <row r="35" customHeight="1" spans="1:64">
      <c r="A35" s="157"/>
      <c r="B35" s="158"/>
      <c r="C35" s="158"/>
      <c r="D35" s="228"/>
      <c r="I35" s="158"/>
      <c r="J35" s="158"/>
    </row>
    <row r="36" customHeight="1" spans="1:64">
      <c r="A36" s="157"/>
      <c r="B36" s="158"/>
      <c r="C36" s="158"/>
      <c r="D36" s="228"/>
      <c r="I36" s="158"/>
      <c r="J36" s="158"/>
    </row>
    <row r="37" customHeight="1" spans="1:64">
      <c r="A37" s="157"/>
      <c r="B37" s="158"/>
      <c r="C37" s="158"/>
      <c r="D37" s="228"/>
      <c r="I37" s="158"/>
      <c r="J37" s="158"/>
    </row>
  </sheetData>
  <sheetProtection autoFilter="0"/>
  <mergeCells count="8">
    <mergeCell ref="A2:Q2"/>
    <mergeCell ref="A3:Q3"/>
    <mergeCell ref="BX7:BZ7"/>
    <mergeCell ref="BX8:BZ8"/>
    <mergeCell ref="BY14:BZ14"/>
    <mergeCell ref="A27:C27"/>
    <mergeCell ref="A28:C28"/>
    <mergeCell ref="A29:C29"/>
  </mergeCells>
  <conditionalFormatting sqref="BI7:BI26">
    <cfRule type="expression" dxfId="5" priority="9" stopIfTrue="1">
      <formula>AND(BH7="有",BI7="")</formula>
    </cfRule>
  </conditionalFormatting>
  <conditionalFormatting sqref="BF7:BG26">
    <cfRule type="containsText" dxfId="6" priority="1" stopIfTrue="1" operator="between" text="出错">
      <formula>NOT(ISERROR(SEARCH("出错",BF7)))</formula>
    </cfRule>
  </conditionalFormatting>
  <conditionalFormatting sqref="BH7:BH26 BJ7:BL26">
    <cfRule type="expression" dxfId="5" priority="7" stopIfTrue="1">
      <formula>AND($B7&lt;&gt;"",BH7="")</formula>
    </cfRule>
  </conditionalFormatting>
  <dataValidations count="5">
    <dataValidation type="list" allowBlank="1" showInputMessage="1" showErrorMessage="1" sqref="BO5">
      <formula1>"成本法,收益法,成本法、收益法"</formula1>
    </dataValidation>
    <dataValidation type="list" allowBlank="1" showInputMessage="1" showErrorMessage="1" sqref="E7:E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 type="list" allowBlank="1" showInputMessage="1" showErrorMessage="1" sqref="BH7:BH26 BJ7:BL26">
      <formula1>BH$32:BH$33</formula1>
    </dataValidation>
  </dataValidations>
  <hyperlinks>
    <hyperlink ref="A1" location="索引目录!E49" display="返回索引页"/>
    <hyperlink ref="B1" location="无形资产汇总!B15"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5">
    <tabColor rgb="FF00B0F0"/>
  </sheetPr>
  <dimension ref="B1:CK83"/>
  <sheetViews>
    <sheetView workbookViewId="0">
      <pane ySplit="5" topLeftCell="A6" activePane="bottomLeft" state="frozen"/>
      <selection/>
      <selection pane="bottomLeft" activeCell="E45" sqref="E45"/>
    </sheetView>
  </sheetViews>
  <sheetFormatPr defaultColWidth="9" defaultRowHeight="12"/>
  <cols>
    <col min="1" max="1" width="1.5" style="404" customWidth="1"/>
    <col min="2" max="2" width="4.5" style="404" customWidth="1"/>
    <col min="3" max="3" width="23.8" style="404" customWidth="1"/>
    <col min="4" max="5" width="5.3" style="404" customWidth="1"/>
    <col min="6" max="6" width="1.5" style="404" customWidth="1"/>
    <col min="7" max="7" width="37" style="404" customWidth="1"/>
    <col min="8" max="8" width="4.6" style="403" customWidth="1"/>
    <col min="9" max="9" width="7.3" style="404" customWidth="1"/>
    <col min="10" max="10" width="7.5" style="405" customWidth="1"/>
    <col min="11" max="11" width="9" style="406" customWidth="1"/>
    <col min="12" max="12" width="10.5" style="406" customWidth="1"/>
    <col min="13" max="13" width="6" style="407" customWidth="1"/>
    <col min="14" max="14" width="7.5" style="405" customWidth="1"/>
    <col min="15" max="15" width="9" style="406" customWidth="1"/>
    <col min="16" max="16" width="10.5" style="406" customWidth="1"/>
    <col min="17" max="17" width="7.5" style="405" customWidth="1"/>
    <col min="18" max="18" width="9" style="406" customWidth="1"/>
    <col min="19" max="19" width="10.5" style="406" customWidth="1"/>
    <col min="20" max="20" width="6" style="407" customWidth="1"/>
    <col min="21" max="21" width="7.5" style="405" customWidth="1"/>
    <col min="22" max="22" width="9" style="406" customWidth="1"/>
    <col min="23" max="23" width="10.5" style="406" customWidth="1"/>
    <col min="24" max="24" width="1.5" style="404" customWidth="1"/>
    <col min="25" max="25" width="4.5" style="404" customWidth="1"/>
    <col min="26" max="26" width="7.5" style="404" customWidth="1"/>
    <col min="27" max="27" width="16.7" style="404" customWidth="1"/>
    <col min="28" max="29" width="5.5" style="404" customWidth="1"/>
    <col min="30" max="33" width="5" style="404" customWidth="1"/>
    <col min="34" max="34" width="4.2" style="404" customWidth="1"/>
    <col min="35" max="35" width="6" style="404" customWidth="1"/>
    <col min="36" max="36" width="4.5" style="404" customWidth="1"/>
    <col min="37" max="37" width="1.5" style="404" customWidth="1"/>
    <col min="38" max="38" width="4.7" style="404" customWidth="1"/>
    <col min="39" max="39" width="15" style="404" customWidth="1"/>
    <col min="40" max="46" width="5.1" style="404" customWidth="1"/>
    <col min="47" max="47" width="9" style="404"/>
    <col min="48" max="48" width="1.6" style="404" customWidth="1"/>
    <col min="49" max="49" width="4.7" style="404" customWidth="1"/>
    <col min="50" max="50" width="11.3" style="404" customWidth="1"/>
    <col min="51" max="51" width="15" style="404" customWidth="1"/>
    <col min="52" max="52" width="4.7" style="404" customWidth="1"/>
    <col min="53" max="53" width="8" style="404" customWidth="1"/>
    <col min="54" max="54" width="6.3" style="404" customWidth="1"/>
    <col min="55" max="55" width="1.6" style="404" customWidth="1"/>
    <col min="56" max="56" width="9" style="404"/>
    <col min="57" max="71" width="10.6" style="404" customWidth="1"/>
    <col min="72" max="16384" width="9" style="404"/>
  </cols>
  <sheetData>
    <row r="1" spans="2:89">
      <c r="G1" s="404" t="s">
        <v>4642</v>
      </c>
      <c r="H1" s="408" t="s">
        <v>4643</v>
      </c>
    </row>
    <row r="2" spans="2:89">
      <c r="B2" s="409" t="s">
        <v>4644</v>
      </c>
      <c r="C2" s="409"/>
      <c r="D2" s="409"/>
      <c r="E2" s="409"/>
      <c r="G2" s="410" t="s">
        <v>4645</v>
      </c>
      <c r="H2" s="410" t="s">
        <v>4646</v>
      </c>
      <c r="I2" s="410"/>
      <c r="J2" s="411" t="s">
        <v>4647</v>
      </c>
      <c r="K2" s="411"/>
      <c r="L2" s="411"/>
      <c r="M2" s="411"/>
      <c r="N2" s="411"/>
      <c r="O2" s="411"/>
      <c r="P2" s="411"/>
      <c r="Q2" s="411" t="s">
        <v>4648</v>
      </c>
      <c r="R2" s="411"/>
      <c r="S2" s="411"/>
      <c r="T2" s="411"/>
      <c r="U2" s="411"/>
      <c r="V2" s="411"/>
      <c r="W2" s="411"/>
      <c r="Y2" s="412" t="s">
        <v>4649</v>
      </c>
      <c r="Z2" s="409"/>
      <c r="AA2" s="409"/>
      <c r="AB2" s="409"/>
      <c r="AC2" s="409"/>
      <c r="AD2" s="409"/>
      <c r="AE2" s="409"/>
      <c r="AF2" s="409"/>
      <c r="AG2" s="409"/>
      <c r="AH2" s="409"/>
      <c r="AI2" s="409"/>
      <c r="AJ2" s="409"/>
      <c r="BD2" s="404" t="s">
        <v>4650</v>
      </c>
      <c r="BE2" s="413">
        <v>5</v>
      </c>
      <c r="BF2" s="404" t="str">
        <f>参数表!A10</f>
        <v>当年剩余月份：</v>
      </c>
      <c r="BG2" s="403">
        <f>参数表!B10</f>
        <v>5</v>
      </c>
    </row>
    <row r="3" spans="2:89">
      <c r="B3" s="414" t="s">
        <v>1182</v>
      </c>
      <c r="C3" s="414" t="s">
        <v>4651</v>
      </c>
      <c r="D3" s="414" t="s">
        <v>4652</v>
      </c>
      <c r="E3" s="414"/>
      <c r="G3" s="414"/>
      <c r="H3" s="415" t="s">
        <v>4653</v>
      </c>
      <c r="I3" s="415" t="s">
        <v>4654</v>
      </c>
      <c r="J3" s="411" t="s">
        <v>4655</v>
      </c>
      <c r="K3" s="411"/>
      <c r="L3" s="411"/>
      <c r="M3" s="411" t="s">
        <v>4656</v>
      </c>
      <c r="N3" s="411"/>
      <c r="O3" s="411"/>
      <c r="P3" s="411"/>
      <c r="Q3" s="411" t="s">
        <v>4655</v>
      </c>
      <c r="R3" s="411"/>
      <c r="S3" s="411"/>
      <c r="T3" s="411" t="s">
        <v>4656</v>
      </c>
      <c r="U3" s="411"/>
      <c r="V3" s="411"/>
      <c r="W3" s="411"/>
      <c r="Y3" s="416" t="s">
        <v>4657</v>
      </c>
      <c r="Z3" s="416" t="s">
        <v>4658</v>
      </c>
      <c r="AA3" s="416"/>
      <c r="AB3" s="416" t="s">
        <v>4657</v>
      </c>
      <c r="AC3" s="417" t="s">
        <v>4659</v>
      </c>
      <c r="AD3" s="418"/>
      <c r="AE3" s="418"/>
      <c r="AF3" s="418"/>
      <c r="AG3" s="418"/>
      <c r="AH3" s="418"/>
      <c r="AI3" s="418"/>
      <c r="AJ3" s="419"/>
      <c r="AL3" s="420" t="s">
        <v>4660</v>
      </c>
      <c r="AM3" s="420"/>
      <c r="AN3" s="420"/>
      <c r="AO3" s="420"/>
      <c r="AP3" s="420"/>
      <c r="AQ3" s="420"/>
      <c r="AR3" s="420"/>
      <c r="AS3" s="420"/>
      <c r="AT3" s="420"/>
      <c r="AU3" s="421"/>
      <c r="AW3" s="422" t="s">
        <v>4661</v>
      </c>
      <c r="AX3" s="423"/>
      <c r="AY3" s="423"/>
      <c r="AZ3" s="423"/>
      <c r="BA3" s="423"/>
      <c r="BB3" s="423"/>
      <c r="BD3" s="404" t="s">
        <v>4662</v>
      </c>
      <c r="BE3" s="413" t="s">
        <v>1200</v>
      </c>
    </row>
    <row r="4" spans="2:89">
      <c r="B4" s="414"/>
      <c r="C4" s="414"/>
      <c r="D4" s="414" t="s">
        <v>4663</v>
      </c>
      <c r="E4" s="414" t="s">
        <v>4664</v>
      </c>
      <c r="G4" s="414"/>
      <c r="H4" s="424"/>
      <c r="I4" s="415"/>
      <c r="J4" s="425" t="s">
        <v>4653</v>
      </c>
      <c r="K4" s="426" t="s">
        <v>4665</v>
      </c>
      <c r="L4" s="426" t="s">
        <v>4666</v>
      </c>
      <c r="M4" s="427" t="s">
        <v>4667</v>
      </c>
      <c r="N4" s="425" t="s">
        <v>4653</v>
      </c>
      <c r="O4" s="426" t="s">
        <v>4665</v>
      </c>
      <c r="P4" s="426" t="s">
        <v>4666</v>
      </c>
      <c r="Q4" s="425" t="s">
        <v>4653</v>
      </c>
      <c r="R4" s="426" t="s">
        <v>4665</v>
      </c>
      <c r="S4" s="426" t="s">
        <v>4666</v>
      </c>
      <c r="T4" s="427" t="s">
        <v>4667</v>
      </c>
      <c r="U4" s="425" t="s">
        <v>4653</v>
      </c>
      <c r="V4" s="426" t="s">
        <v>4665</v>
      </c>
      <c r="W4" s="426" t="s">
        <v>4666</v>
      </c>
      <c r="Y4" s="416"/>
      <c r="Z4" s="416"/>
      <c r="AA4" s="416"/>
      <c r="AB4" s="416"/>
      <c r="AC4" s="416">
        <v>100</v>
      </c>
      <c r="AD4" s="416" t="s">
        <v>4668</v>
      </c>
      <c r="AE4" s="416" t="s">
        <v>4669</v>
      </c>
      <c r="AF4" s="416" t="s">
        <v>4670</v>
      </c>
      <c r="AG4" s="416" t="s">
        <v>4671</v>
      </c>
      <c r="AH4" s="416" t="s">
        <v>4672</v>
      </c>
      <c r="AI4" s="416" t="s">
        <v>4673</v>
      </c>
      <c r="AJ4" s="416" t="s">
        <v>4674</v>
      </c>
      <c r="AL4" s="428" t="s">
        <v>4675</v>
      </c>
      <c r="AM4" s="429" t="s">
        <v>4676</v>
      </c>
      <c r="AN4" s="429" t="s">
        <v>4677</v>
      </c>
      <c r="AO4" s="429"/>
      <c r="AP4" s="429"/>
      <c r="AQ4" s="429"/>
      <c r="AR4" s="429"/>
      <c r="AS4" s="429"/>
      <c r="AT4" s="429" t="s">
        <v>4678</v>
      </c>
      <c r="AU4" s="421"/>
      <c r="AW4" s="430" t="s">
        <v>1000</v>
      </c>
      <c r="AX4" s="416" t="s">
        <v>4679</v>
      </c>
      <c r="AY4" s="430" t="s">
        <v>4680</v>
      </c>
      <c r="AZ4" s="430" t="s">
        <v>4681</v>
      </c>
      <c r="BA4" s="430" t="s">
        <v>4682</v>
      </c>
      <c r="BB4" s="416" t="s">
        <v>4683</v>
      </c>
      <c r="BD4" s="403"/>
      <c r="BE4" s="431">
        <v>1</v>
      </c>
      <c r="BF4" s="431">
        <v>2</v>
      </c>
      <c r="BG4" s="431">
        <v>3</v>
      </c>
      <c r="BH4" s="431">
        <v>4</v>
      </c>
      <c r="BI4" s="431">
        <v>5</v>
      </c>
      <c r="BJ4" s="431">
        <v>6</v>
      </c>
      <c r="BK4" s="431">
        <v>7</v>
      </c>
      <c r="BL4" s="431">
        <v>8</v>
      </c>
      <c r="BM4" s="431">
        <v>9</v>
      </c>
      <c r="BN4" s="431">
        <v>10</v>
      </c>
      <c r="BO4" s="431">
        <v>11</v>
      </c>
      <c r="BP4" s="431">
        <v>12</v>
      </c>
      <c r="BQ4" s="431">
        <v>13</v>
      </c>
      <c r="BR4" s="431">
        <v>14</v>
      </c>
      <c r="BS4" s="431">
        <v>15</v>
      </c>
      <c r="CK4" s="403"/>
    </row>
    <row r="5" s="403" customFormat="1" spans="2:89">
      <c r="B5" s="414">
        <v>1</v>
      </c>
      <c r="C5" s="432" t="s">
        <v>4684</v>
      </c>
      <c r="D5" s="433">
        <v>0.0047</v>
      </c>
      <c r="E5" s="433">
        <v>0.0142</v>
      </c>
      <c r="G5" s="434" t="s">
        <v>4685</v>
      </c>
      <c r="H5" s="414">
        <v>5.2</v>
      </c>
      <c r="I5" s="435">
        <v>66</v>
      </c>
      <c r="J5" s="436">
        <v>7.4</v>
      </c>
      <c r="K5" s="433">
        <v>0.057</v>
      </c>
      <c r="L5" s="433">
        <v>0.04</v>
      </c>
      <c r="M5" s="435">
        <v>96.6</v>
      </c>
      <c r="N5" s="436">
        <v>10.9</v>
      </c>
      <c r="O5" s="433">
        <v>0.042</v>
      </c>
      <c r="P5" s="433">
        <v>0.03</v>
      </c>
      <c r="Q5" s="436">
        <v>8.1</v>
      </c>
      <c r="R5" s="433">
        <v>0.168</v>
      </c>
      <c r="S5" s="433">
        <v>0.1</v>
      </c>
      <c r="T5" s="435">
        <v>23.3</v>
      </c>
      <c r="U5" s="436">
        <v>12</v>
      </c>
      <c r="V5" s="433">
        <v>0.134</v>
      </c>
      <c r="W5" s="433">
        <v>0.1</v>
      </c>
      <c r="Y5" s="416">
        <v>0.3</v>
      </c>
      <c r="Z5" s="437" t="s">
        <v>4686</v>
      </c>
      <c r="AA5" s="438" t="s">
        <v>4687</v>
      </c>
      <c r="AB5" s="416">
        <v>0.4</v>
      </c>
      <c r="AC5" s="439"/>
      <c r="AD5" s="439"/>
      <c r="AE5" s="439"/>
      <c r="AF5" s="439"/>
      <c r="AG5" s="439"/>
      <c r="AH5" s="439"/>
      <c r="AI5" s="440">
        <f>SUM(AC5:AH5)*AB5</f>
        <v>0</v>
      </c>
      <c r="AJ5" s="441">
        <f>SUM(AI5:AI7)</f>
        <v>0</v>
      </c>
      <c r="AL5" s="428"/>
      <c r="AM5" s="429"/>
      <c r="AN5" s="429">
        <v>100</v>
      </c>
      <c r="AO5" s="429">
        <v>80</v>
      </c>
      <c r="AP5" s="429">
        <v>60</v>
      </c>
      <c r="AQ5" s="429">
        <v>40</v>
      </c>
      <c r="AR5" s="429">
        <v>20</v>
      </c>
      <c r="AS5" s="429">
        <v>0</v>
      </c>
      <c r="AT5" s="429"/>
      <c r="AU5" s="421"/>
      <c r="AW5" s="430" t="s">
        <v>4688</v>
      </c>
      <c r="AX5" s="442" t="s">
        <v>4689</v>
      </c>
      <c r="AY5" s="416" t="s">
        <v>4690</v>
      </c>
      <c r="AZ5" s="416"/>
      <c r="BA5" s="416"/>
      <c r="BB5" s="443">
        <v>0.0323</v>
      </c>
      <c r="BD5" s="414" t="s">
        <v>4691</v>
      </c>
      <c r="BE5" s="444" t="str">
        <f>参数表!L14</f>
        <v>2025年8-12月</v>
      </c>
      <c r="BF5" s="444" t="str">
        <f>LEFT(BE5,4)+1&amp;"年度"</f>
        <v>2026年度</v>
      </c>
      <c r="BG5" s="444" t="str">
        <f t="shared" ref="BG5:BS5" si="0">LEFT(BF5,4)+1&amp;"年度"</f>
        <v>2027年度</v>
      </c>
      <c r="BH5" s="444" t="str">
        <f t="shared" si="0"/>
        <v>2028年度</v>
      </c>
      <c r="BI5" s="444" t="str">
        <f t="shared" si="0"/>
        <v>2029年度</v>
      </c>
      <c r="BJ5" s="444" t="str">
        <f t="shared" si="0"/>
        <v>2030年度</v>
      </c>
      <c r="BK5" s="444" t="str">
        <f t="shared" si="0"/>
        <v>2031年度</v>
      </c>
      <c r="BL5" s="444" t="str">
        <f t="shared" si="0"/>
        <v>2032年度</v>
      </c>
      <c r="BM5" s="444" t="str">
        <f t="shared" si="0"/>
        <v>2033年度</v>
      </c>
      <c r="BN5" s="444" t="str">
        <f t="shared" si="0"/>
        <v>2034年度</v>
      </c>
      <c r="BO5" s="444" t="str">
        <f t="shared" si="0"/>
        <v>2035年度</v>
      </c>
      <c r="BP5" s="444" t="str">
        <f t="shared" si="0"/>
        <v>2036年度</v>
      </c>
      <c r="BQ5" s="444" t="str">
        <f t="shared" si="0"/>
        <v>2037年度</v>
      </c>
      <c r="BR5" s="444" t="str">
        <f t="shared" si="0"/>
        <v>2038年度</v>
      </c>
      <c r="BS5" s="444" t="str">
        <f t="shared" si="0"/>
        <v>2039年度</v>
      </c>
    </row>
    <row r="6" s="403" customFormat="1" spans="2:89">
      <c r="B6" s="414">
        <v>2</v>
      </c>
      <c r="C6" s="432" t="s">
        <v>4692</v>
      </c>
      <c r="D6" s="433">
        <v>0.006</v>
      </c>
      <c r="E6" s="433">
        <v>0.0179</v>
      </c>
      <c r="Y6" s="416"/>
      <c r="Z6" s="437"/>
      <c r="AA6" s="438" t="s">
        <v>4693</v>
      </c>
      <c r="AB6" s="416">
        <v>0.3</v>
      </c>
      <c r="AC6" s="439"/>
      <c r="AD6" s="439"/>
      <c r="AE6" s="439"/>
      <c r="AF6" s="439"/>
      <c r="AG6" s="439"/>
      <c r="AH6" s="439"/>
      <c r="AI6" s="440">
        <f t="shared" ref="AI6:AI15" si="1">SUM(AC6:AH6)*AB6</f>
        <v>0</v>
      </c>
      <c r="AJ6" s="445"/>
      <c r="AL6" s="446">
        <v>0.3</v>
      </c>
      <c r="AM6" s="447" t="s">
        <v>4694</v>
      </c>
      <c r="AN6" s="448"/>
      <c r="AO6" s="448"/>
      <c r="AP6" s="448"/>
      <c r="AQ6" s="448"/>
      <c r="AR6" s="448"/>
      <c r="AS6" s="448"/>
      <c r="AT6" s="449">
        <f>AL6*SUM(AN6:AS6)</f>
        <v>0</v>
      </c>
      <c r="AU6" s="421" t="s">
        <v>4695</v>
      </c>
      <c r="AW6" s="430" t="s">
        <v>4696</v>
      </c>
      <c r="AX6" s="442" t="s">
        <v>4697</v>
      </c>
      <c r="AY6" s="416"/>
      <c r="AZ6" s="416"/>
      <c r="BA6" s="416"/>
      <c r="BB6" s="450">
        <f>SUM(BB7:BB11)</f>
        <v>0</v>
      </c>
      <c r="BD6" s="451" t="str">
        <f>BE3</f>
        <v>收入</v>
      </c>
      <c r="BE6" s="452"/>
      <c r="BF6" s="453"/>
      <c r="BG6" s="453"/>
      <c r="BH6" s="453"/>
      <c r="BI6" s="453"/>
      <c r="BJ6" s="454"/>
      <c r="BK6" s="454"/>
      <c r="BL6" s="454"/>
      <c r="BM6" s="454"/>
      <c r="BN6" s="454"/>
      <c r="BO6" s="454"/>
      <c r="BP6" s="454"/>
      <c r="BQ6" s="454"/>
      <c r="BR6" s="454"/>
      <c r="BS6" s="454"/>
    </row>
    <row r="7" spans="2:89">
      <c r="B7" s="414">
        <v>3</v>
      </c>
      <c r="C7" s="432" t="s">
        <v>4698</v>
      </c>
      <c r="D7" s="433">
        <v>0.0051</v>
      </c>
      <c r="E7" s="433">
        <v>0.0152</v>
      </c>
      <c r="Y7" s="416"/>
      <c r="Z7" s="437"/>
      <c r="AA7" s="438" t="s">
        <v>4699</v>
      </c>
      <c r="AB7" s="416">
        <v>0.3</v>
      </c>
      <c r="AC7" s="439"/>
      <c r="AD7" s="439"/>
      <c r="AE7" s="439"/>
      <c r="AF7" s="439"/>
      <c r="AG7" s="439"/>
      <c r="AH7" s="439"/>
      <c r="AI7" s="440">
        <f t="shared" si="1"/>
        <v>0</v>
      </c>
      <c r="AJ7" s="455"/>
      <c r="AL7" s="446">
        <v>0.2</v>
      </c>
      <c r="AM7" s="447" t="s">
        <v>4700</v>
      </c>
      <c r="AN7" s="448"/>
      <c r="AO7" s="448"/>
      <c r="AP7" s="448"/>
      <c r="AQ7" s="448"/>
      <c r="AR7" s="448"/>
      <c r="AS7" s="448"/>
      <c r="AT7" s="449">
        <f>AL7*SUM(AN7:AS7)</f>
        <v>0</v>
      </c>
      <c r="AU7" s="421" t="s">
        <v>4701</v>
      </c>
      <c r="AW7" s="416">
        <v>1</v>
      </c>
      <c r="AX7" s="456" t="s">
        <v>4702</v>
      </c>
      <c r="AY7" s="430" t="s">
        <v>4703</v>
      </c>
      <c r="AZ7" s="430"/>
      <c r="BA7" s="430"/>
      <c r="BB7" s="457"/>
      <c r="BD7" s="451" t="str">
        <f>BD6&amp;"分成率"</f>
        <v>收入分成率</v>
      </c>
      <c r="BE7" s="458">
        <f>IF(BE3="收入",AB23,AB24)</f>
        <v>0.006</v>
      </c>
      <c r="BF7" s="454">
        <f>BE7*(1-BF8)</f>
        <v>0.0054</v>
      </c>
      <c r="BG7" s="454">
        <f t="shared" ref="BG7:BS7" si="2">BF7*(1-BG8)</f>
        <v>0.00486</v>
      </c>
      <c r="BH7" s="454">
        <f t="shared" si="2"/>
        <v>0.004374</v>
      </c>
      <c r="BI7" s="454">
        <f t="shared" si="2"/>
        <v>0.0039366</v>
      </c>
      <c r="BJ7" s="454">
        <f t="shared" si="2"/>
        <v>0.00354294</v>
      </c>
      <c r="BK7" s="454">
        <f t="shared" si="2"/>
        <v>0.003188646</v>
      </c>
      <c r="BL7" s="454">
        <f t="shared" si="2"/>
        <v>0.0028697814</v>
      </c>
      <c r="BM7" s="454">
        <f t="shared" si="2"/>
        <v>0.00258280326</v>
      </c>
      <c r="BN7" s="454">
        <f t="shared" si="2"/>
        <v>0.002324522934</v>
      </c>
      <c r="BO7" s="454">
        <f t="shared" si="2"/>
        <v>0.0020920706406</v>
      </c>
      <c r="BP7" s="454">
        <f t="shared" si="2"/>
        <v>0.00188286357654</v>
      </c>
      <c r="BQ7" s="454">
        <f t="shared" si="2"/>
        <v>0.001694577218886</v>
      </c>
      <c r="BR7" s="454">
        <f t="shared" si="2"/>
        <v>0.0015251194969974</v>
      </c>
      <c r="BS7" s="454">
        <f t="shared" si="2"/>
        <v>0.00137260754729766</v>
      </c>
    </row>
    <row r="8" spans="2:89">
      <c r="B8" s="414">
        <v>4</v>
      </c>
      <c r="C8" s="432" t="s">
        <v>4704</v>
      </c>
      <c r="D8" s="433">
        <v>0.0117</v>
      </c>
      <c r="E8" s="433">
        <v>0.035</v>
      </c>
      <c r="K8" s="405"/>
      <c r="L8" s="405"/>
      <c r="M8" s="405"/>
      <c r="O8" s="405"/>
      <c r="P8" s="405"/>
      <c r="R8" s="405"/>
      <c r="S8" s="405"/>
      <c r="T8" s="405"/>
      <c r="V8" s="405"/>
      <c r="W8" s="405"/>
      <c r="Y8" s="416">
        <v>0.5</v>
      </c>
      <c r="Z8" s="437" t="s">
        <v>4705</v>
      </c>
      <c r="AA8" s="438" t="s">
        <v>4706</v>
      </c>
      <c r="AB8" s="416">
        <v>0.1</v>
      </c>
      <c r="AC8" s="439"/>
      <c r="AD8" s="439"/>
      <c r="AE8" s="439"/>
      <c r="AF8" s="439"/>
      <c r="AG8" s="439"/>
      <c r="AH8" s="439"/>
      <c r="AI8" s="440">
        <f t="shared" si="1"/>
        <v>0</v>
      </c>
      <c r="AJ8" s="441">
        <f>SUM(AI8:AI14)</f>
        <v>0</v>
      </c>
      <c r="AL8" s="446">
        <v>0.3</v>
      </c>
      <c r="AM8" s="447" t="s">
        <v>4707</v>
      </c>
      <c r="AN8" s="448"/>
      <c r="AO8" s="448"/>
      <c r="AP8" s="448"/>
      <c r="AQ8" s="448"/>
      <c r="AR8" s="448"/>
      <c r="AS8" s="448"/>
      <c r="AT8" s="449">
        <f>AL8*SUM(AN8:AS8)</f>
        <v>0</v>
      </c>
      <c r="AU8" s="421" t="s">
        <v>4708</v>
      </c>
      <c r="AW8" s="416">
        <v>2</v>
      </c>
      <c r="AX8" s="459" t="s">
        <v>4709</v>
      </c>
      <c r="AY8" s="430" t="s">
        <v>4710</v>
      </c>
      <c r="AZ8" s="440">
        <f>AT10</f>
        <v>0</v>
      </c>
      <c r="BA8" s="460">
        <v>0.08</v>
      </c>
      <c r="BB8" s="450">
        <f>AZ8*BA8/100</f>
        <v>0</v>
      </c>
      <c r="BD8" s="451" t="s">
        <v>4711</v>
      </c>
      <c r="BE8" s="461"/>
      <c r="BF8" s="462">
        <v>0.1</v>
      </c>
      <c r="BG8" s="463">
        <f>BF8</f>
        <v>0.1</v>
      </c>
      <c r="BH8" s="463">
        <f t="shared" ref="BH8:BS8" si="3">BG8</f>
        <v>0.1</v>
      </c>
      <c r="BI8" s="463">
        <f t="shared" si="3"/>
        <v>0.1</v>
      </c>
      <c r="BJ8" s="454">
        <f t="shared" si="3"/>
        <v>0.1</v>
      </c>
      <c r="BK8" s="454">
        <f t="shared" si="3"/>
        <v>0.1</v>
      </c>
      <c r="BL8" s="454">
        <f t="shared" si="3"/>
        <v>0.1</v>
      </c>
      <c r="BM8" s="454">
        <f t="shared" si="3"/>
        <v>0.1</v>
      </c>
      <c r="BN8" s="454">
        <f t="shared" si="3"/>
        <v>0.1</v>
      </c>
      <c r="BO8" s="454">
        <f t="shared" si="3"/>
        <v>0.1</v>
      </c>
      <c r="BP8" s="454">
        <f t="shared" si="3"/>
        <v>0.1</v>
      </c>
      <c r="BQ8" s="454">
        <f t="shared" si="3"/>
        <v>0.1</v>
      </c>
      <c r="BR8" s="454">
        <f t="shared" si="3"/>
        <v>0.1</v>
      </c>
      <c r="BS8" s="454">
        <f t="shared" si="3"/>
        <v>0.1</v>
      </c>
    </row>
    <row r="9" spans="2:89">
      <c r="B9" s="414">
        <v>5</v>
      </c>
      <c r="C9" s="432" t="s">
        <v>4712</v>
      </c>
      <c r="D9" s="433">
        <v>0.0024</v>
      </c>
      <c r="E9" s="433">
        <v>0.0071</v>
      </c>
      <c r="G9" s="432" t="s">
        <v>4713</v>
      </c>
      <c r="H9" s="414">
        <v>1.8</v>
      </c>
      <c r="I9" s="435">
        <v>2.7</v>
      </c>
      <c r="K9" s="405"/>
      <c r="L9" s="405"/>
      <c r="M9" s="405"/>
      <c r="O9" s="405"/>
      <c r="P9" s="405"/>
      <c r="R9" s="405"/>
      <c r="S9" s="405"/>
      <c r="T9" s="405"/>
      <c r="V9" s="405"/>
      <c r="W9" s="405"/>
      <c r="Y9" s="416"/>
      <c r="Z9" s="437"/>
      <c r="AA9" s="438" t="s">
        <v>4714</v>
      </c>
      <c r="AB9" s="416">
        <v>0.2</v>
      </c>
      <c r="AC9" s="439"/>
      <c r="AD9" s="439"/>
      <c r="AE9" s="439"/>
      <c r="AF9" s="439"/>
      <c r="AG9" s="439"/>
      <c r="AH9" s="439"/>
      <c r="AI9" s="440">
        <f t="shared" si="1"/>
        <v>0</v>
      </c>
      <c r="AJ9" s="445"/>
      <c r="AL9" s="446">
        <v>0.2</v>
      </c>
      <c r="AM9" s="447" t="s">
        <v>4715</v>
      </c>
      <c r="AN9" s="448"/>
      <c r="AO9" s="448"/>
      <c r="AP9" s="448"/>
      <c r="AQ9" s="448"/>
      <c r="AR9" s="448"/>
      <c r="AS9" s="448"/>
      <c r="AT9" s="449">
        <f>AL9*SUM(AN9:AS9)</f>
        <v>0</v>
      </c>
      <c r="AU9" s="421" t="s">
        <v>4716</v>
      </c>
      <c r="AW9" s="416">
        <v>3</v>
      </c>
      <c r="AX9" s="459" t="s">
        <v>4717</v>
      </c>
      <c r="AY9" s="430" t="s">
        <v>4710</v>
      </c>
      <c r="AZ9" s="440">
        <f>AT18</f>
        <v>0</v>
      </c>
      <c r="BA9" s="460">
        <v>0.08</v>
      </c>
      <c r="BB9" s="450">
        <f t="shared" ref="BB9:BB11" si="4">AZ9*BA9/100</f>
        <v>0</v>
      </c>
      <c r="BD9" s="451" t="s">
        <v>4718</v>
      </c>
      <c r="BE9" s="464">
        <f>BE6*BE7</f>
        <v>0</v>
      </c>
      <c r="BF9" s="465">
        <f>BF6*BF7</f>
        <v>0</v>
      </c>
      <c r="BG9" s="465">
        <f t="shared" ref="BG9:BS9" si="5">BG6*BG7</f>
        <v>0</v>
      </c>
      <c r="BH9" s="465">
        <f t="shared" si="5"/>
        <v>0</v>
      </c>
      <c r="BI9" s="465">
        <f t="shared" si="5"/>
        <v>0</v>
      </c>
      <c r="BJ9" s="454">
        <f t="shared" si="5"/>
        <v>0</v>
      </c>
      <c r="BK9" s="454">
        <f t="shared" si="5"/>
        <v>0</v>
      </c>
      <c r="BL9" s="454">
        <f t="shared" si="5"/>
        <v>0</v>
      </c>
      <c r="BM9" s="454">
        <f t="shared" si="5"/>
        <v>0</v>
      </c>
      <c r="BN9" s="454">
        <f t="shared" si="5"/>
        <v>0</v>
      </c>
      <c r="BO9" s="454">
        <f t="shared" si="5"/>
        <v>0</v>
      </c>
      <c r="BP9" s="454">
        <f t="shared" si="5"/>
        <v>0</v>
      </c>
      <c r="BQ9" s="454">
        <f t="shared" si="5"/>
        <v>0</v>
      </c>
      <c r="BR9" s="454">
        <f t="shared" si="5"/>
        <v>0</v>
      </c>
      <c r="BS9" s="454">
        <f t="shared" si="5"/>
        <v>0</v>
      </c>
    </row>
    <row r="10" spans="2:89">
      <c r="B10" s="414">
        <v>6</v>
      </c>
      <c r="C10" s="432" t="s">
        <v>4719</v>
      </c>
      <c r="D10" s="433">
        <v>0.0099</v>
      </c>
      <c r="E10" s="433">
        <v>0.0298</v>
      </c>
      <c r="K10" s="405"/>
      <c r="L10" s="405"/>
      <c r="M10" s="405"/>
      <c r="O10" s="405"/>
      <c r="P10" s="405"/>
      <c r="R10" s="405"/>
      <c r="S10" s="405"/>
      <c r="T10" s="405"/>
      <c r="V10" s="405"/>
      <c r="W10" s="405"/>
      <c r="Y10" s="416"/>
      <c r="Z10" s="437"/>
      <c r="AA10" s="438" t="s">
        <v>4720</v>
      </c>
      <c r="AB10" s="416">
        <v>0.2</v>
      </c>
      <c r="AC10" s="439"/>
      <c r="AD10" s="439"/>
      <c r="AE10" s="439"/>
      <c r="AF10" s="439"/>
      <c r="AG10" s="439"/>
      <c r="AH10" s="439"/>
      <c r="AI10" s="440">
        <f t="shared" si="1"/>
        <v>0</v>
      </c>
      <c r="AJ10" s="445"/>
      <c r="AL10" s="466"/>
      <c r="AM10" s="429" t="s">
        <v>4678</v>
      </c>
      <c r="AN10" s="467"/>
      <c r="AO10" s="467"/>
      <c r="AP10" s="467"/>
      <c r="AQ10" s="467"/>
      <c r="AR10" s="467"/>
      <c r="AS10" s="467"/>
      <c r="AT10" s="449">
        <f>SUM(AT6:AT9)</f>
        <v>0</v>
      </c>
      <c r="AU10" s="421"/>
      <c r="AW10" s="416">
        <v>4</v>
      </c>
      <c r="AX10" s="459" t="s">
        <v>4721</v>
      </c>
      <c r="AY10" s="430" t="s">
        <v>4710</v>
      </c>
      <c r="AZ10" s="440">
        <f>AT33</f>
        <v>0</v>
      </c>
      <c r="BA10" s="460">
        <v>0.08</v>
      </c>
      <c r="BB10" s="450">
        <f t="shared" si="4"/>
        <v>0</v>
      </c>
      <c r="BD10" s="451" t="s">
        <v>1471</v>
      </c>
      <c r="BE10" s="468">
        <f>BB12</f>
        <v>0.0323</v>
      </c>
      <c r="BF10" s="454">
        <f>BE10</f>
        <v>0.0323</v>
      </c>
      <c r="BG10" s="454">
        <f t="shared" ref="BG10:BS10" si="6">BF10</f>
        <v>0.0323</v>
      </c>
      <c r="BH10" s="454">
        <f t="shared" si="6"/>
        <v>0.0323</v>
      </c>
      <c r="BI10" s="454">
        <f t="shared" si="6"/>
        <v>0.0323</v>
      </c>
      <c r="BJ10" s="454">
        <f t="shared" si="6"/>
        <v>0.0323</v>
      </c>
      <c r="BK10" s="454">
        <f t="shared" si="6"/>
        <v>0.0323</v>
      </c>
      <c r="BL10" s="454">
        <f t="shared" si="6"/>
        <v>0.0323</v>
      </c>
      <c r="BM10" s="454">
        <f t="shared" si="6"/>
        <v>0.0323</v>
      </c>
      <c r="BN10" s="454">
        <f t="shared" si="6"/>
        <v>0.0323</v>
      </c>
      <c r="BO10" s="454">
        <f t="shared" si="6"/>
        <v>0.0323</v>
      </c>
      <c r="BP10" s="454">
        <f t="shared" si="6"/>
        <v>0.0323</v>
      </c>
      <c r="BQ10" s="454">
        <f t="shared" si="6"/>
        <v>0.0323</v>
      </c>
      <c r="BR10" s="454">
        <f t="shared" si="6"/>
        <v>0.0323</v>
      </c>
      <c r="BS10" s="454">
        <f t="shared" si="6"/>
        <v>0.0323</v>
      </c>
    </row>
    <row r="11" spans="2:89">
      <c r="B11" s="414">
        <v>7</v>
      </c>
      <c r="C11" s="432" t="s">
        <v>4722</v>
      </c>
      <c r="D11" s="433">
        <v>0.004</v>
      </c>
      <c r="E11" s="433">
        <v>0.012</v>
      </c>
      <c r="K11" s="405"/>
      <c r="L11" s="405"/>
      <c r="M11" s="405"/>
      <c r="O11" s="405"/>
      <c r="P11" s="405"/>
      <c r="R11" s="405"/>
      <c r="S11" s="405"/>
      <c r="T11" s="405"/>
      <c r="V11" s="405"/>
      <c r="W11" s="405"/>
      <c r="Y11" s="416"/>
      <c r="Z11" s="437"/>
      <c r="AA11" s="438" t="s">
        <v>4723</v>
      </c>
      <c r="AB11" s="416">
        <v>0.1</v>
      </c>
      <c r="AC11" s="439"/>
      <c r="AD11" s="439"/>
      <c r="AE11" s="439"/>
      <c r="AF11" s="439"/>
      <c r="AG11" s="439"/>
      <c r="AH11" s="439"/>
      <c r="AI11" s="440">
        <f t="shared" si="1"/>
        <v>0</v>
      </c>
      <c r="AJ11" s="445"/>
      <c r="AL11" s="469"/>
      <c r="AM11" s="469"/>
      <c r="AN11" s="469"/>
      <c r="AO11" s="469"/>
      <c r="AP11" s="469"/>
      <c r="AQ11" s="469"/>
      <c r="AR11" s="469"/>
      <c r="AS11" s="469"/>
      <c r="AT11" s="469"/>
      <c r="AU11" s="421"/>
      <c r="AW11" s="416">
        <v>5</v>
      </c>
      <c r="AX11" s="459" t="s">
        <v>4724</v>
      </c>
      <c r="AY11" s="430" t="s">
        <v>4710</v>
      </c>
      <c r="AZ11" s="440">
        <f>AT41</f>
        <v>0</v>
      </c>
      <c r="BA11" s="460">
        <v>0.08</v>
      </c>
      <c r="BB11" s="450">
        <f t="shared" si="4"/>
        <v>0</v>
      </c>
      <c r="BD11" s="451" t="s">
        <v>4725</v>
      </c>
      <c r="BE11" s="470">
        <f>BG2/12/2</f>
        <v>0.208333333333333</v>
      </c>
      <c r="BF11" s="470">
        <f>BE11*2+0.5</f>
        <v>0.916666666666667</v>
      </c>
      <c r="BG11" s="470">
        <f>BF11+1</f>
        <v>1.91666666666667</v>
      </c>
      <c r="BH11" s="470">
        <f t="shared" ref="BH11:BS11" si="7">BG11+1</f>
        <v>2.91666666666667</v>
      </c>
      <c r="BI11" s="470">
        <f t="shared" si="7"/>
        <v>3.91666666666667</v>
      </c>
      <c r="BJ11" s="470">
        <f t="shared" si="7"/>
        <v>4.91666666666667</v>
      </c>
      <c r="BK11" s="470">
        <f t="shared" si="7"/>
        <v>5.91666666666667</v>
      </c>
      <c r="BL11" s="470">
        <f t="shared" si="7"/>
        <v>6.91666666666667</v>
      </c>
      <c r="BM11" s="470">
        <f t="shared" si="7"/>
        <v>7.91666666666667</v>
      </c>
      <c r="BN11" s="470">
        <f t="shared" si="7"/>
        <v>8.91666666666667</v>
      </c>
      <c r="BO11" s="470">
        <f t="shared" si="7"/>
        <v>9.91666666666667</v>
      </c>
      <c r="BP11" s="470">
        <f t="shared" si="7"/>
        <v>10.9166666666667</v>
      </c>
      <c r="BQ11" s="470">
        <f t="shared" si="7"/>
        <v>11.9166666666667</v>
      </c>
      <c r="BR11" s="470">
        <f t="shared" si="7"/>
        <v>12.9166666666667</v>
      </c>
      <c r="BS11" s="470">
        <f t="shared" si="7"/>
        <v>13.9166666666667</v>
      </c>
    </row>
    <row r="12" spans="2:89">
      <c r="B12" s="414">
        <v>8</v>
      </c>
      <c r="C12" s="432" t="s">
        <v>4726</v>
      </c>
      <c r="D12" s="433">
        <v>0.0045</v>
      </c>
      <c r="E12" s="433">
        <v>0.0134</v>
      </c>
      <c r="K12" s="405"/>
      <c r="L12" s="405"/>
      <c r="M12" s="405"/>
      <c r="O12" s="405"/>
      <c r="P12" s="405"/>
      <c r="R12" s="405"/>
      <c r="S12" s="405"/>
      <c r="T12" s="405"/>
      <c r="V12" s="405"/>
      <c r="W12" s="405"/>
      <c r="Y12" s="416"/>
      <c r="Z12" s="437"/>
      <c r="AA12" s="438" t="s">
        <v>4727</v>
      </c>
      <c r="AB12" s="416">
        <v>0.2</v>
      </c>
      <c r="AC12" s="439"/>
      <c r="AD12" s="439"/>
      <c r="AE12" s="439"/>
      <c r="AF12" s="439"/>
      <c r="AG12" s="439"/>
      <c r="AH12" s="439"/>
      <c r="AI12" s="440">
        <f t="shared" si="1"/>
        <v>0</v>
      </c>
      <c r="AJ12" s="445"/>
      <c r="AL12" s="420" t="s">
        <v>4728</v>
      </c>
      <c r="AM12" s="420"/>
      <c r="AN12" s="420"/>
      <c r="AO12" s="420"/>
      <c r="AP12" s="420"/>
      <c r="AQ12" s="420"/>
      <c r="AR12" s="420"/>
      <c r="AS12" s="420"/>
      <c r="AT12" s="420"/>
      <c r="AU12" s="421"/>
      <c r="AW12" s="430" t="s">
        <v>4729</v>
      </c>
      <c r="AX12" s="471" t="s">
        <v>4678</v>
      </c>
      <c r="AY12" s="471"/>
      <c r="AZ12" s="471"/>
      <c r="BA12" s="471"/>
      <c r="BB12" s="472">
        <f>BB5+BB6</f>
        <v>0.0323</v>
      </c>
      <c r="BD12" s="451" t="s">
        <v>4730</v>
      </c>
      <c r="BE12" s="473">
        <f>1/(1+BE10)^BE11</f>
        <v>0.993399106725446</v>
      </c>
      <c r="BF12" s="474">
        <f t="shared" ref="BF12:BS12" si="8">1/(1+BF10)^BF11</f>
        <v>0.971280269495719</v>
      </c>
      <c r="BG12" s="474">
        <f t="shared" si="8"/>
        <v>0.940889537436519</v>
      </c>
      <c r="BH12" s="474">
        <f t="shared" si="8"/>
        <v>0.911449711747088</v>
      </c>
      <c r="BI12" s="474">
        <f t="shared" si="8"/>
        <v>0.882931039181525</v>
      </c>
      <c r="BJ12" s="474">
        <f t="shared" si="8"/>
        <v>0.855304697453768</v>
      </c>
      <c r="BK12" s="474">
        <f t="shared" si="8"/>
        <v>0.828542766108465</v>
      </c>
      <c r="BL12" s="474">
        <f t="shared" si="8"/>
        <v>0.802618198303269</v>
      </c>
      <c r="BM12" s="474">
        <f t="shared" si="8"/>
        <v>0.777504793474057</v>
      </c>
      <c r="BN12" s="474">
        <f t="shared" si="8"/>
        <v>0.753177170855427</v>
      </c>
      <c r="BO12" s="474">
        <f t="shared" si="8"/>
        <v>0.729610743829727</v>
      </c>
      <c r="BP12" s="474">
        <f t="shared" si="8"/>
        <v>0.706781695078685</v>
      </c>
      <c r="BQ12" s="474">
        <f t="shared" si="8"/>
        <v>0.68466695251253</v>
      </c>
      <c r="BR12" s="474">
        <f t="shared" si="8"/>
        <v>0.663244165952272</v>
      </c>
      <c r="BS12" s="474">
        <f t="shared" si="8"/>
        <v>0.642491684541579</v>
      </c>
    </row>
    <row r="13" spans="2:89">
      <c r="B13" s="414">
        <v>9</v>
      </c>
      <c r="C13" s="432" t="s">
        <v>4731</v>
      </c>
      <c r="D13" s="433">
        <v>0.0064</v>
      </c>
      <c r="E13" s="433">
        <v>0.0192</v>
      </c>
      <c r="G13" s="432" t="s">
        <v>4732</v>
      </c>
      <c r="H13" s="414">
        <v>4.8</v>
      </c>
      <c r="I13" s="435">
        <v>13.2</v>
      </c>
      <c r="K13" s="405"/>
      <c r="L13" s="405"/>
      <c r="M13" s="405"/>
      <c r="O13" s="405"/>
      <c r="P13" s="405"/>
      <c r="R13" s="405"/>
      <c r="S13" s="405"/>
      <c r="T13" s="405"/>
      <c r="V13" s="405"/>
      <c r="W13" s="405"/>
      <c r="Y13" s="416"/>
      <c r="Z13" s="437"/>
      <c r="AA13" s="438" t="s">
        <v>4733</v>
      </c>
      <c r="AB13" s="416">
        <v>0.1</v>
      </c>
      <c r="AC13" s="439"/>
      <c r="AD13" s="439"/>
      <c r="AE13" s="439"/>
      <c r="AF13" s="439"/>
      <c r="AG13" s="439"/>
      <c r="AH13" s="439"/>
      <c r="AI13" s="440">
        <f t="shared" si="1"/>
        <v>0</v>
      </c>
      <c r="AJ13" s="445"/>
      <c r="AL13" s="471" t="s">
        <v>4734</v>
      </c>
      <c r="AM13" s="471" t="s">
        <v>4735</v>
      </c>
      <c r="AN13" s="471" t="s">
        <v>4736</v>
      </c>
      <c r="AO13" s="471"/>
      <c r="AP13" s="471"/>
      <c r="AQ13" s="471"/>
      <c r="AR13" s="471"/>
      <c r="AS13" s="471"/>
      <c r="AT13" s="471" t="s">
        <v>4737</v>
      </c>
      <c r="AU13" s="421"/>
      <c r="BD13" s="451" t="s">
        <v>4738</v>
      </c>
      <c r="BE13" s="464">
        <f>BE9*BE12</f>
        <v>0</v>
      </c>
      <c r="BF13" s="465">
        <f t="shared" ref="BF13:BS13" si="9">BF9*BF12</f>
        <v>0</v>
      </c>
      <c r="BG13" s="465">
        <f t="shared" si="9"/>
        <v>0</v>
      </c>
      <c r="BH13" s="465">
        <f t="shared" si="9"/>
        <v>0</v>
      </c>
      <c r="BI13" s="465">
        <f t="shared" si="9"/>
        <v>0</v>
      </c>
      <c r="BJ13" s="465">
        <f t="shared" si="9"/>
        <v>0</v>
      </c>
      <c r="BK13" s="465">
        <f t="shared" si="9"/>
        <v>0</v>
      </c>
      <c r="BL13" s="465">
        <f t="shared" si="9"/>
        <v>0</v>
      </c>
      <c r="BM13" s="465">
        <f t="shared" si="9"/>
        <v>0</v>
      </c>
      <c r="BN13" s="465">
        <f t="shared" si="9"/>
        <v>0</v>
      </c>
      <c r="BO13" s="465">
        <f t="shared" si="9"/>
        <v>0</v>
      </c>
      <c r="BP13" s="465">
        <f t="shared" si="9"/>
        <v>0</v>
      </c>
      <c r="BQ13" s="465">
        <f t="shared" si="9"/>
        <v>0</v>
      </c>
      <c r="BR13" s="465">
        <f t="shared" si="9"/>
        <v>0</v>
      </c>
      <c r="BS13" s="465">
        <f t="shared" si="9"/>
        <v>0</v>
      </c>
    </row>
    <row r="14" spans="2:89">
      <c r="B14" s="414">
        <v>10</v>
      </c>
      <c r="C14" s="432" t="s">
        <v>4739</v>
      </c>
      <c r="D14" s="433">
        <v>0.005</v>
      </c>
      <c r="E14" s="433">
        <v>0.015</v>
      </c>
      <c r="Y14" s="416"/>
      <c r="Z14" s="437"/>
      <c r="AA14" s="438" t="s">
        <v>4740</v>
      </c>
      <c r="AB14" s="416">
        <v>0.1</v>
      </c>
      <c r="AC14" s="439"/>
      <c r="AD14" s="439"/>
      <c r="AE14" s="439"/>
      <c r="AF14" s="439"/>
      <c r="AG14" s="439"/>
      <c r="AH14" s="439"/>
      <c r="AI14" s="440">
        <f t="shared" si="1"/>
        <v>0</v>
      </c>
      <c r="AJ14" s="455"/>
      <c r="AL14" s="471"/>
      <c r="AM14" s="471"/>
      <c r="AN14" s="471">
        <v>100</v>
      </c>
      <c r="AO14" s="471">
        <v>80</v>
      </c>
      <c r="AP14" s="471">
        <v>60</v>
      </c>
      <c r="AQ14" s="471">
        <v>40</v>
      </c>
      <c r="AR14" s="471">
        <v>20</v>
      </c>
      <c r="AS14" s="471">
        <v>0</v>
      </c>
      <c r="AT14" s="471"/>
      <c r="AU14" s="421"/>
      <c r="BD14" s="451" t="s">
        <v>4741</v>
      </c>
      <c r="BE14" s="464">
        <f>SUMIF(BE4:BS4,"&lt;="&amp;BE2,BE13:BS13)</f>
        <v>0</v>
      </c>
      <c r="BF14" s="475"/>
      <c r="BG14" s="475"/>
      <c r="BH14" s="475"/>
      <c r="BI14" s="475"/>
      <c r="BJ14" s="475"/>
      <c r="BK14" s="475"/>
      <c r="BL14" s="475"/>
      <c r="BM14" s="475"/>
      <c r="BN14" s="475"/>
      <c r="BO14" s="475"/>
      <c r="BP14" s="475"/>
      <c r="BQ14" s="475"/>
      <c r="BR14" s="475"/>
      <c r="BS14" s="475"/>
    </row>
    <row r="15" spans="2:89">
      <c r="B15" s="414">
        <v>11</v>
      </c>
      <c r="C15" s="432" t="s">
        <v>4742</v>
      </c>
      <c r="D15" s="433">
        <v>0.0051</v>
      </c>
      <c r="E15" s="433">
        <v>0.0154</v>
      </c>
      <c r="G15" s="432" t="s">
        <v>4743</v>
      </c>
      <c r="H15" s="414">
        <v>5.8</v>
      </c>
      <c r="I15" s="435">
        <v>97.2</v>
      </c>
      <c r="J15" s="436">
        <v>8.7</v>
      </c>
      <c r="K15" s="433">
        <v>0.068</v>
      </c>
      <c r="L15" s="433">
        <v>0.05</v>
      </c>
      <c r="M15" s="435">
        <v>103.2</v>
      </c>
      <c r="N15" s="436">
        <v>11.3</v>
      </c>
      <c r="O15" s="433">
        <v>0.038</v>
      </c>
      <c r="P15" s="433">
        <v>0.03</v>
      </c>
      <c r="Q15" s="436">
        <v>9.1</v>
      </c>
      <c r="R15" s="433">
        <v>0.181</v>
      </c>
      <c r="S15" s="433">
        <v>0.1</v>
      </c>
      <c r="T15" s="435">
        <v>29.1</v>
      </c>
      <c r="U15" s="436">
        <v>10.8</v>
      </c>
      <c r="V15" s="433">
        <v>0.174</v>
      </c>
      <c r="W15" s="433">
        <v>0.2</v>
      </c>
      <c r="Y15" s="416">
        <v>0.2</v>
      </c>
      <c r="Z15" s="459" t="s">
        <v>4744</v>
      </c>
      <c r="AA15" s="438" t="s">
        <v>4745</v>
      </c>
      <c r="AB15" s="476">
        <v>1</v>
      </c>
      <c r="AC15" s="439"/>
      <c r="AD15" s="439"/>
      <c r="AE15" s="439"/>
      <c r="AF15" s="439"/>
      <c r="AG15" s="439"/>
      <c r="AH15" s="439"/>
      <c r="AI15" s="440">
        <f t="shared" si="1"/>
        <v>0</v>
      </c>
      <c r="AJ15" s="440">
        <f>AI15</f>
        <v>0</v>
      </c>
      <c r="AL15" s="460">
        <v>0.4</v>
      </c>
      <c r="AM15" s="459" t="s">
        <v>4746</v>
      </c>
      <c r="AN15" s="439"/>
      <c r="AO15" s="439"/>
      <c r="AP15" s="439"/>
      <c r="AQ15" s="439"/>
      <c r="AR15" s="439"/>
      <c r="AS15" s="439"/>
      <c r="AT15" s="477">
        <f>SUM(AN15:AS15)*AL15</f>
        <v>0</v>
      </c>
      <c r="AU15" s="421" t="s">
        <v>4747</v>
      </c>
    </row>
    <row r="16" spans="2:89">
      <c r="B16" s="414">
        <v>12</v>
      </c>
      <c r="C16" s="432" t="s">
        <v>4748</v>
      </c>
      <c r="D16" s="433">
        <v>0.0099</v>
      </c>
      <c r="E16" s="433">
        <v>0.0297</v>
      </c>
      <c r="G16" s="434" t="s">
        <v>4749</v>
      </c>
      <c r="H16" s="414">
        <v>3.6</v>
      </c>
      <c r="I16" s="435">
        <v>104.7</v>
      </c>
      <c r="K16" s="405"/>
      <c r="L16" s="405"/>
      <c r="M16" s="405"/>
      <c r="O16" s="405"/>
      <c r="P16" s="405"/>
      <c r="R16" s="405"/>
      <c r="S16" s="405"/>
      <c r="T16" s="405"/>
      <c r="V16" s="405"/>
      <c r="W16" s="405"/>
      <c r="Y16" s="417" t="s">
        <v>4750</v>
      </c>
      <c r="Z16" s="418"/>
      <c r="AA16" s="418"/>
      <c r="AB16" s="419"/>
      <c r="AC16" s="416"/>
      <c r="AD16" s="416"/>
      <c r="AE16" s="416"/>
      <c r="AF16" s="416"/>
      <c r="AG16" s="416"/>
      <c r="AH16" s="416"/>
      <c r="AI16" s="478">
        <f>(Y5*AJ5+Y8*AJ8+AJ15*Y15)/100</f>
        <v>0</v>
      </c>
      <c r="AJ16" s="479"/>
      <c r="AL16" s="460">
        <v>0.3</v>
      </c>
      <c r="AM16" s="459" t="s">
        <v>4751</v>
      </c>
      <c r="AN16" s="439"/>
      <c r="AO16" s="439"/>
      <c r="AP16" s="439"/>
      <c r="AQ16" s="439"/>
      <c r="AR16" s="439"/>
      <c r="AS16" s="439"/>
      <c r="AT16" s="477">
        <f>SUM(AN16:AS16)*AL16</f>
        <v>0</v>
      </c>
      <c r="AU16" s="421" t="s">
        <v>4752</v>
      </c>
    </row>
    <row r="17" spans="2:47">
      <c r="B17" s="414">
        <v>13</v>
      </c>
      <c r="C17" s="432" t="s">
        <v>4753</v>
      </c>
      <c r="D17" s="433">
        <v>0.0099</v>
      </c>
      <c r="E17" s="433">
        <v>0.0297</v>
      </c>
      <c r="G17" s="432" t="s">
        <v>4754</v>
      </c>
      <c r="H17" s="414">
        <v>7.9</v>
      </c>
      <c r="I17" s="435">
        <v>242.5</v>
      </c>
      <c r="J17" s="436">
        <v>11.6</v>
      </c>
      <c r="K17" s="433">
        <v>0.078</v>
      </c>
      <c r="L17" s="433">
        <v>0.05</v>
      </c>
      <c r="M17" s="435">
        <v>485.4</v>
      </c>
      <c r="N17" s="436">
        <v>14.4</v>
      </c>
      <c r="O17" s="433">
        <v>0.059</v>
      </c>
      <c r="P17" s="433">
        <v>0.045</v>
      </c>
      <c r="Q17" s="436">
        <v>11.9</v>
      </c>
      <c r="R17" s="433">
        <v>0.217</v>
      </c>
      <c r="S17" s="433">
        <v>0.2</v>
      </c>
      <c r="T17" s="435">
        <v>57.9</v>
      </c>
      <c r="U17" s="436">
        <v>12.4</v>
      </c>
      <c r="V17" s="433">
        <v>0.2</v>
      </c>
      <c r="W17" s="433">
        <v>0.15</v>
      </c>
      <c r="AL17" s="460">
        <v>0.3</v>
      </c>
      <c r="AM17" s="459" t="s">
        <v>4755</v>
      </c>
      <c r="AN17" s="416" t="str">
        <f>IF(AND($AT26&lt;=AN14,$AT26&gt;AO14),$AT26,"")</f>
        <v/>
      </c>
      <c r="AO17" s="416" t="str">
        <f t="shared" ref="AO17:AR17" si="10">IF(AND($AT26&lt;=AO14,$AT26&gt;AP14),$AT26,"")</f>
        <v/>
      </c>
      <c r="AP17" s="416" t="str">
        <f t="shared" si="10"/>
        <v/>
      </c>
      <c r="AQ17" s="416" t="str">
        <f t="shared" si="10"/>
        <v/>
      </c>
      <c r="AR17" s="416" t="str">
        <f t="shared" si="10"/>
        <v/>
      </c>
      <c r="AS17" s="440">
        <f>IF($AT26&lt;=AS14,$AT26,"")</f>
        <v>0</v>
      </c>
      <c r="AT17" s="477">
        <f>SUM(AN17:AS17)*AL17</f>
        <v>0</v>
      </c>
      <c r="AU17" s="421" t="s">
        <v>4756</v>
      </c>
    </row>
    <row r="18" spans="2:47">
      <c r="B18" s="414">
        <v>14</v>
      </c>
      <c r="C18" s="432" t="s">
        <v>4757</v>
      </c>
      <c r="D18" s="433">
        <v>0.0047</v>
      </c>
      <c r="E18" s="433">
        <v>0.0142</v>
      </c>
      <c r="G18" s="432" t="s">
        <v>4758</v>
      </c>
      <c r="H18" s="414">
        <v>5</v>
      </c>
      <c r="I18" s="435">
        <v>15.8</v>
      </c>
      <c r="J18" s="436">
        <v>6.3</v>
      </c>
      <c r="K18" s="433">
        <v>0.045</v>
      </c>
      <c r="L18" s="433">
        <v>0.045</v>
      </c>
      <c r="M18" s="435">
        <v>0.4</v>
      </c>
      <c r="N18" s="436">
        <v>7.8</v>
      </c>
      <c r="O18" s="433">
        <v>0.037</v>
      </c>
      <c r="P18" s="433">
        <v>0.03</v>
      </c>
      <c r="R18" s="405"/>
      <c r="S18" s="405"/>
      <c r="T18" s="405"/>
      <c r="V18" s="405"/>
      <c r="W18" s="405"/>
      <c r="Z18" s="403"/>
      <c r="AA18" s="451" t="s">
        <v>4759</v>
      </c>
      <c r="AB18" s="480" t="s">
        <v>4760</v>
      </c>
      <c r="AL18" s="416"/>
      <c r="AM18" s="416" t="s">
        <v>4674</v>
      </c>
      <c r="AN18" s="416"/>
      <c r="AO18" s="416"/>
      <c r="AP18" s="416"/>
      <c r="AQ18" s="416"/>
      <c r="AR18" s="416"/>
      <c r="AS18" s="416"/>
      <c r="AT18" s="477">
        <f>SUM(AT15:AT17)</f>
        <v>0</v>
      </c>
      <c r="AU18" s="421"/>
    </row>
    <row r="19" spans="2:47">
      <c r="B19" s="414">
        <v>15</v>
      </c>
      <c r="C19" s="432" t="s">
        <v>4761</v>
      </c>
      <c r="D19" s="433">
        <v>0.0067</v>
      </c>
      <c r="E19" s="433">
        <v>0.0201</v>
      </c>
      <c r="AL19" s="421"/>
      <c r="AM19" s="421"/>
      <c r="AN19" s="421"/>
      <c r="AO19" s="421"/>
      <c r="AP19" s="421"/>
      <c r="AQ19" s="421"/>
      <c r="AR19" s="421"/>
      <c r="AS19" s="421"/>
      <c r="AT19" s="420"/>
      <c r="AU19" s="421"/>
    </row>
    <row r="20" spans="2:47">
      <c r="B20" s="414">
        <v>16</v>
      </c>
      <c r="C20" s="432" t="s">
        <v>4762</v>
      </c>
      <c r="D20" s="433">
        <v>0.0056</v>
      </c>
      <c r="E20" s="433">
        <v>0.0167</v>
      </c>
      <c r="G20" s="432" t="s">
        <v>4763</v>
      </c>
      <c r="H20" s="414">
        <v>5.4</v>
      </c>
      <c r="I20" s="435">
        <v>46.5</v>
      </c>
      <c r="J20" s="436">
        <v>6.6</v>
      </c>
      <c r="K20" s="433">
        <v>0.035</v>
      </c>
      <c r="L20" s="433">
        <v>0.02</v>
      </c>
      <c r="M20" s="435">
        <v>14.1</v>
      </c>
      <c r="N20" s="436">
        <v>8.3</v>
      </c>
      <c r="O20" s="433">
        <v>0.04</v>
      </c>
      <c r="P20" s="433">
        <v>0.05</v>
      </c>
      <c r="Q20" s="436">
        <v>5.3</v>
      </c>
      <c r="R20" s="433">
        <v>0.1</v>
      </c>
      <c r="S20" s="433">
        <v>0.05</v>
      </c>
      <c r="T20" s="405"/>
      <c r="V20" s="405"/>
      <c r="W20" s="405"/>
      <c r="Z20" s="414" t="s">
        <v>1182</v>
      </c>
      <c r="AA20" s="414" t="s">
        <v>4651</v>
      </c>
      <c r="AB20" s="414" t="s">
        <v>4652</v>
      </c>
      <c r="AC20" s="414"/>
      <c r="AL20" s="420" t="s">
        <v>4764</v>
      </c>
      <c r="AM20" s="420"/>
      <c r="AN20" s="420"/>
      <c r="AO20" s="420"/>
      <c r="AP20" s="420"/>
      <c r="AQ20" s="420"/>
      <c r="AR20" s="420"/>
      <c r="AS20" s="420"/>
      <c r="AT20" s="420"/>
      <c r="AU20" s="421"/>
    </row>
    <row r="21" spans="2:47">
      <c r="B21" s="414">
        <v>17</v>
      </c>
      <c r="C21" s="432" t="s">
        <v>4765</v>
      </c>
      <c r="D21" s="433">
        <v>0.0083</v>
      </c>
      <c r="E21" s="433">
        <v>0.0248</v>
      </c>
      <c r="G21" s="432" t="s">
        <v>4766</v>
      </c>
      <c r="H21" s="414">
        <v>5.5</v>
      </c>
      <c r="I21" s="435">
        <v>45.6</v>
      </c>
      <c r="J21" s="436">
        <v>6.6</v>
      </c>
      <c r="K21" s="433">
        <v>0.059</v>
      </c>
      <c r="L21" s="433">
        <v>0.03</v>
      </c>
      <c r="M21" s="435">
        <v>8.4</v>
      </c>
      <c r="N21" s="436">
        <v>10</v>
      </c>
      <c r="O21" s="433">
        <v>0.045</v>
      </c>
      <c r="P21" s="433">
        <v>0.04</v>
      </c>
      <c r="Q21" s="436">
        <v>7.6</v>
      </c>
      <c r="R21" s="433">
        <v>0.198</v>
      </c>
      <c r="S21" s="433">
        <v>0.2</v>
      </c>
      <c r="T21" s="405"/>
      <c r="V21" s="405"/>
      <c r="W21" s="405"/>
      <c r="Z21" s="414"/>
      <c r="AA21" s="414"/>
      <c r="AB21" s="414" t="s">
        <v>4663</v>
      </c>
      <c r="AC21" s="414" t="s">
        <v>4664</v>
      </c>
      <c r="AL21" s="471" t="s">
        <v>4734</v>
      </c>
      <c r="AM21" s="471" t="s">
        <v>4735</v>
      </c>
      <c r="AN21" s="471" t="s">
        <v>4736</v>
      </c>
      <c r="AO21" s="471"/>
      <c r="AP21" s="471"/>
      <c r="AQ21" s="471"/>
      <c r="AR21" s="471"/>
      <c r="AS21" s="471"/>
      <c r="AT21" s="471" t="s">
        <v>4737</v>
      </c>
      <c r="AU21" s="421"/>
    </row>
    <row r="22" spans="2:47">
      <c r="B22" s="414">
        <v>18</v>
      </c>
      <c r="C22" s="432" t="s">
        <v>4767</v>
      </c>
      <c r="D22" s="433">
        <v>0.0056</v>
      </c>
      <c r="E22" s="433">
        <v>0.0167</v>
      </c>
      <c r="Z22" s="414">
        <v>1</v>
      </c>
      <c r="AA22" s="480" t="s">
        <v>4692</v>
      </c>
      <c r="AB22" s="458">
        <f>IFERROR(VLOOKUP(AA22,C5:E59,2,FALSE),"")</f>
        <v>0.006</v>
      </c>
      <c r="AC22" s="458">
        <f>IFERROR(VLOOKUP(AA22,C5:E59,3,FALSE),"")</f>
        <v>0.0179</v>
      </c>
      <c r="AL22" s="471"/>
      <c r="AM22" s="471"/>
      <c r="AN22" s="471">
        <v>100</v>
      </c>
      <c r="AO22" s="471">
        <v>80</v>
      </c>
      <c r="AP22" s="471">
        <v>60</v>
      </c>
      <c r="AQ22" s="471">
        <v>40</v>
      </c>
      <c r="AR22" s="471">
        <v>20</v>
      </c>
      <c r="AS22" s="471">
        <v>0</v>
      </c>
      <c r="AT22" s="471"/>
      <c r="AU22" s="421"/>
    </row>
    <row r="23" spans="2:47">
      <c r="B23" s="414">
        <v>19</v>
      </c>
      <c r="C23" s="432" t="s">
        <v>4768</v>
      </c>
      <c r="D23" s="433">
        <v>0.0045</v>
      </c>
      <c r="E23" s="433">
        <v>0.0134</v>
      </c>
      <c r="Z23" s="414">
        <v>2</v>
      </c>
      <c r="AA23" s="451" t="s">
        <v>4652</v>
      </c>
      <c r="AB23" s="481">
        <f>AB22+(AC22-AB22)*AI16</f>
        <v>0.006</v>
      </c>
      <c r="AC23" s="481"/>
      <c r="AL23" s="460">
        <v>0.3</v>
      </c>
      <c r="AM23" s="482" t="s">
        <v>1260</v>
      </c>
      <c r="AN23" s="439"/>
      <c r="AO23" s="439"/>
      <c r="AP23" s="439"/>
      <c r="AQ23" s="439"/>
      <c r="AR23" s="439"/>
      <c r="AS23" s="439"/>
      <c r="AT23" s="477">
        <f>SUM(AN23:AS23)*AL23</f>
        <v>0</v>
      </c>
      <c r="AU23" s="421" t="s">
        <v>4769</v>
      </c>
    </row>
    <row r="24" spans="2:47">
      <c r="B24" s="414">
        <v>20</v>
      </c>
      <c r="C24" s="432" t="s">
        <v>4770</v>
      </c>
      <c r="D24" s="433">
        <v>0.0056</v>
      </c>
      <c r="E24" s="433">
        <v>0.0167</v>
      </c>
      <c r="G24" s="432" t="s">
        <v>4771</v>
      </c>
      <c r="H24" s="414">
        <v>5.7</v>
      </c>
      <c r="I24" s="435">
        <v>74.8</v>
      </c>
      <c r="J24" s="436">
        <v>6.9</v>
      </c>
      <c r="K24" s="433">
        <v>0.042</v>
      </c>
      <c r="L24" s="433">
        <v>0.03</v>
      </c>
      <c r="M24" s="435">
        <v>18.9</v>
      </c>
      <c r="N24" s="436">
        <v>9.9</v>
      </c>
      <c r="O24" s="433">
        <v>0.04</v>
      </c>
      <c r="P24" s="433">
        <v>0.05</v>
      </c>
      <c r="Q24" s="436">
        <v>9</v>
      </c>
      <c r="R24" s="433">
        <v>0.05</v>
      </c>
      <c r="S24" s="433">
        <v>0.05</v>
      </c>
      <c r="T24" s="405"/>
      <c r="V24" s="405"/>
      <c r="W24" s="405"/>
      <c r="Z24" s="414">
        <v>3</v>
      </c>
      <c r="AA24" s="451" t="s">
        <v>4772</v>
      </c>
      <c r="AB24" s="483"/>
      <c r="AC24" s="484"/>
      <c r="AL24" s="460">
        <v>0.4</v>
      </c>
      <c r="AM24" s="482" t="s">
        <v>1261</v>
      </c>
      <c r="AN24" s="439"/>
      <c r="AO24" s="439"/>
      <c r="AP24" s="439"/>
      <c r="AQ24" s="439"/>
      <c r="AR24" s="439"/>
      <c r="AS24" s="439"/>
      <c r="AT24" s="477">
        <f>SUM(AN24:AS24)*AL24</f>
        <v>0</v>
      </c>
      <c r="AU24" s="421" t="s">
        <v>4773</v>
      </c>
    </row>
    <row r="25" spans="2:47">
      <c r="B25" s="414">
        <v>21</v>
      </c>
      <c r="C25" s="432" t="s">
        <v>4774</v>
      </c>
      <c r="D25" s="433">
        <v>0.006</v>
      </c>
      <c r="E25" s="433">
        <v>0.018</v>
      </c>
      <c r="AL25" s="460">
        <v>0.3</v>
      </c>
      <c r="AM25" s="482" t="s">
        <v>1262</v>
      </c>
      <c r="AN25" s="439"/>
      <c r="AO25" s="439"/>
      <c r="AP25" s="439"/>
      <c r="AQ25" s="439"/>
      <c r="AR25" s="439"/>
      <c r="AS25" s="439"/>
      <c r="AT25" s="477">
        <f>SUM(AN25:AS25)*AL25</f>
        <v>0</v>
      </c>
      <c r="AU25" s="421" t="s">
        <v>4775</v>
      </c>
    </row>
    <row r="26" spans="2:47">
      <c r="B26" s="414">
        <v>22</v>
      </c>
      <c r="C26" s="432" t="s">
        <v>4776</v>
      </c>
      <c r="D26" s="433">
        <v>0.0037</v>
      </c>
      <c r="E26" s="433">
        <v>0.0112</v>
      </c>
      <c r="AE26" s="421"/>
      <c r="AL26" s="416"/>
      <c r="AM26" s="416" t="s">
        <v>4674</v>
      </c>
      <c r="AN26" s="416"/>
      <c r="AO26" s="416"/>
      <c r="AP26" s="416"/>
      <c r="AQ26" s="416"/>
      <c r="AR26" s="416"/>
      <c r="AS26" s="416"/>
      <c r="AT26" s="477">
        <f>SUM(AT23:AT25)</f>
        <v>0</v>
      </c>
      <c r="AU26" s="421"/>
    </row>
    <row r="27" spans="2:47">
      <c r="B27" s="414">
        <v>23</v>
      </c>
      <c r="C27" s="432" t="s">
        <v>4777</v>
      </c>
      <c r="D27" s="433">
        <v>0.0112</v>
      </c>
      <c r="E27" s="433">
        <v>0.0337</v>
      </c>
      <c r="AE27" s="421"/>
      <c r="AL27" s="421"/>
      <c r="AM27" s="421"/>
      <c r="AN27" s="421"/>
      <c r="AO27" s="421"/>
      <c r="AP27" s="421"/>
      <c r="AQ27" s="421"/>
      <c r="AR27" s="421"/>
      <c r="AS27" s="421"/>
      <c r="AT27" s="420"/>
      <c r="AU27" s="421"/>
    </row>
    <row r="28" spans="2:47">
      <c r="B28" s="414">
        <v>24</v>
      </c>
      <c r="C28" s="432" t="s">
        <v>4778</v>
      </c>
      <c r="D28" s="433">
        <v>0.0097</v>
      </c>
      <c r="E28" s="433">
        <v>0.029</v>
      </c>
      <c r="AE28" s="421"/>
      <c r="AL28" s="420" t="s">
        <v>4779</v>
      </c>
      <c r="AM28" s="420"/>
      <c r="AN28" s="420"/>
      <c r="AO28" s="420"/>
      <c r="AP28" s="420"/>
      <c r="AQ28" s="420"/>
      <c r="AR28" s="420"/>
      <c r="AS28" s="420"/>
      <c r="AT28" s="420"/>
      <c r="AU28" s="421"/>
    </row>
    <row r="29" spans="2:47">
      <c r="B29" s="414">
        <v>25</v>
      </c>
      <c r="C29" s="432" t="s">
        <v>4780</v>
      </c>
      <c r="D29" s="433">
        <v>0.0142</v>
      </c>
      <c r="E29" s="433">
        <v>0.0427</v>
      </c>
      <c r="AE29" s="421"/>
      <c r="AL29" s="471" t="s">
        <v>4734</v>
      </c>
      <c r="AM29" s="471" t="s">
        <v>4735</v>
      </c>
      <c r="AN29" s="471" t="s">
        <v>4736</v>
      </c>
      <c r="AO29" s="471"/>
      <c r="AP29" s="471"/>
      <c r="AQ29" s="471"/>
      <c r="AR29" s="471"/>
      <c r="AS29" s="471"/>
      <c r="AT29" s="471" t="s">
        <v>4737</v>
      </c>
      <c r="AU29" s="421"/>
    </row>
    <row r="30" spans="2:47">
      <c r="B30" s="414">
        <v>26</v>
      </c>
      <c r="C30" s="432" t="s">
        <v>4781</v>
      </c>
      <c r="D30" s="433">
        <v>0.0171</v>
      </c>
      <c r="E30" s="433">
        <v>0.0521</v>
      </c>
      <c r="AE30" s="421"/>
      <c r="AL30" s="471"/>
      <c r="AM30" s="471"/>
      <c r="AN30" s="471">
        <v>100</v>
      </c>
      <c r="AO30" s="471">
        <v>80</v>
      </c>
      <c r="AP30" s="471">
        <v>60</v>
      </c>
      <c r="AQ30" s="471">
        <v>40</v>
      </c>
      <c r="AR30" s="471">
        <v>20</v>
      </c>
      <c r="AS30" s="471">
        <v>0</v>
      </c>
      <c r="AT30" s="471"/>
      <c r="AU30" s="421"/>
    </row>
    <row r="31" spans="2:47">
      <c r="B31" s="414">
        <v>27</v>
      </c>
      <c r="C31" s="432" t="s">
        <v>4782</v>
      </c>
      <c r="D31" s="433">
        <v>0.0166</v>
      </c>
      <c r="E31" s="433">
        <v>0.0497</v>
      </c>
      <c r="K31" s="405"/>
      <c r="L31" s="405"/>
      <c r="M31" s="405"/>
      <c r="O31" s="405"/>
      <c r="P31" s="405"/>
      <c r="R31" s="405"/>
      <c r="S31" s="405"/>
      <c r="T31" s="405"/>
      <c r="V31" s="405"/>
      <c r="W31" s="405"/>
      <c r="AE31" s="421"/>
      <c r="AL31" s="460">
        <v>0.5</v>
      </c>
      <c r="AM31" s="482" t="s">
        <v>4783</v>
      </c>
      <c r="AN31" s="439"/>
      <c r="AO31" s="439"/>
      <c r="AP31" s="439"/>
      <c r="AQ31" s="439"/>
      <c r="AR31" s="439"/>
      <c r="AS31" s="439"/>
      <c r="AT31" s="477">
        <f>SUM(AN31:AS31)*AL31</f>
        <v>0</v>
      </c>
      <c r="AU31" s="421" t="s">
        <v>4784</v>
      </c>
    </row>
    <row r="32" spans="2:47">
      <c r="B32" s="414">
        <v>28</v>
      </c>
      <c r="C32" s="432" t="s">
        <v>4785</v>
      </c>
      <c r="D32" s="433">
        <v>0.0016</v>
      </c>
      <c r="E32" s="433">
        <v>0.0047</v>
      </c>
      <c r="G32" s="432" t="s">
        <v>4786</v>
      </c>
      <c r="H32" s="414">
        <v>4.5</v>
      </c>
      <c r="I32" s="435">
        <v>5.5</v>
      </c>
      <c r="K32" s="405"/>
      <c r="L32" s="405"/>
      <c r="M32" s="405"/>
      <c r="O32" s="405"/>
      <c r="P32" s="405"/>
      <c r="R32" s="405"/>
      <c r="S32" s="405"/>
      <c r="T32" s="405"/>
      <c r="V32" s="405"/>
      <c r="W32" s="405"/>
      <c r="AE32" s="421"/>
      <c r="AL32" s="460">
        <v>0.5</v>
      </c>
      <c r="AM32" s="482" t="s">
        <v>4787</v>
      </c>
      <c r="AN32" s="439"/>
      <c r="AO32" s="439"/>
      <c r="AP32" s="439"/>
      <c r="AQ32" s="439"/>
      <c r="AR32" s="439"/>
      <c r="AS32" s="439"/>
      <c r="AT32" s="477">
        <f>SUM(AN32:AS32)*AL32</f>
        <v>0</v>
      </c>
      <c r="AU32" s="421" t="s">
        <v>4788</v>
      </c>
    </row>
    <row r="33" spans="2:47">
      <c r="B33" s="414">
        <v>29</v>
      </c>
      <c r="C33" s="432" t="s">
        <v>4789</v>
      </c>
      <c r="D33" s="433">
        <v>0.0051</v>
      </c>
      <c r="E33" s="433">
        <v>0.0153</v>
      </c>
      <c r="G33" s="432" t="s">
        <v>4790</v>
      </c>
      <c r="H33" s="414">
        <v>4.8</v>
      </c>
      <c r="I33" s="435">
        <v>18.8</v>
      </c>
      <c r="K33" s="405"/>
      <c r="L33" s="405"/>
      <c r="M33" s="405"/>
      <c r="O33" s="405"/>
      <c r="P33" s="405"/>
      <c r="R33" s="405"/>
      <c r="S33" s="405"/>
      <c r="T33" s="405"/>
      <c r="V33" s="405"/>
      <c r="W33" s="405"/>
      <c r="AE33" s="421"/>
      <c r="AL33" s="416"/>
      <c r="AM33" s="416" t="s">
        <v>4674</v>
      </c>
      <c r="AN33" s="416"/>
      <c r="AO33" s="416"/>
      <c r="AP33" s="416"/>
      <c r="AQ33" s="416"/>
      <c r="AR33" s="416"/>
      <c r="AS33" s="416"/>
      <c r="AT33" s="477">
        <f>SUM(AT31:AT32)</f>
        <v>0</v>
      </c>
      <c r="AU33" s="421"/>
    </row>
    <row r="34" spans="2:47">
      <c r="B34" s="414">
        <v>30</v>
      </c>
      <c r="C34" s="432" t="s">
        <v>4791</v>
      </c>
      <c r="D34" s="433">
        <v>0.0049</v>
      </c>
      <c r="E34" s="433">
        <v>0.0058</v>
      </c>
      <c r="AE34" s="421"/>
      <c r="AL34" s="421"/>
      <c r="AM34" s="421"/>
      <c r="AN34" s="421"/>
      <c r="AO34" s="421"/>
      <c r="AP34" s="421"/>
      <c r="AQ34" s="421"/>
      <c r="AR34" s="421"/>
      <c r="AS34" s="421"/>
      <c r="AT34" s="420"/>
      <c r="AU34" s="421"/>
    </row>
    <row r="35" spans="2:47">
      <c r="B35" s="414">
        <v>31</v>
      </c>
      <c r="C35" s="432" t="s">
        <v>4792</v>
      </c>
      <c r="D35" s="433">
        <v>0.0028</v>
      </c>
      <c r="E35" s="433">
        <v>0.0084</v>
      </c>
      <c r="R35" s="405"/>
      <c r="S35" s="405"/>
      <c r="T35" s="405"/>
      <c r="V35" s="405"/>
      <c r="W35" s="405"/>
      <c r="AE35" s="421"/>
      <c r="AL35" s="420" t="s">
        <v>4793</v>
      </c>
      <c r="AM35" s="420"/>
      <c r="AN35" s="420"/>
      <c r="AO35" s="420"/>
      <c r="AP35" s="420"/>
      <c r="AQ35" s="420"/>
      <c r="AR35" s="420"/>
      <c r="AS35" s="420"/>
      <c r="AT35" s="420"/>
      <c r="AU35" s="421"/>
    </row>
    <row r="36" spans="2:47">
      <c r="B36" s="414">
        <v>32</v>
      </c>
      <c r="C36" s="432" t="s">
        <v>4794</v>
      </c>
      <c r="D36" s="433">
        <v>0.0026</v>
      </c>
      <c r="E36" s="433">
        <v>0.0079</v>
      </c>
      <c r="G36" s="432" t="s">
        <v>4795</v>
      </c>
      <c r="H36" s="414">
        <v>4.8</v>
      </c>
      <c r="I36" s="435">
        <v>5.3</v>
      </c>
      <c r="J36" s="436">
        <v>6.5</v>
      </c>
      <c r="K36" s="433">
        <v>0.045</v>
      </c>
      <c r="L36" s="433">
        <v>0.05</v>
      </c>
      <c r="M36" s="405"/>
      <c r="O36" s="405"/>
      <c r="P36" s="405"/>
      <c r="R36" s="405"/>
      <c r="S36" s="405"/>
      <c r="T36" s="405"/>
      <c r="V36" s="405"/>
      <c r="W36" s="405"/>
      <c r="Y36" s="421"/>
      <c r="Z36" s="421"/>
      <c r="AA36" s="421"/>
      <c r="AB36" s="421"/>
      <c r="AC36" s="421"/>
      <c r="AD36" s="421"/>
      <c r="AE36" s="421"/>
      <c r="AL36" s="471" t="s">
        <v>4734</v>
      </c>
      <c r="AM36" s="471" t="s">
        <v>4735</v>
      </c>
      <c r="AN36" s="471" t="s">
        <v>4736</v>
      </c>
      <c r="AO36" s="471"/>
      <c r="AP36" s="471"/>
      <c r="AQ36" s="471"/>
      <c r="AR36" s="471"/>
      <c r="AS36" s="471"/>
      <c r="AT36" s="471" t="s">
        <v>4737</v>
      </c>
      <c r="AU36" s="421"/>
    </row>
    <row r="37" spans="2:47">
      <c r="B37" s="414">
        <v>33</v>
      </c>
      <c r="C37" s="432" t="s">
        <v>4796</v>
      </c>
      <c r="D37" s="433">
        <v>0.0079</v>
      </c>
      <c r="E37" s="433">
        <v>0.0236</v>
      </c>
      <c r="G37" s="432" t="s">
        <v>4797</v>
      </c>
      <c r="H37" s="414">
        <v>5</v>
      </c>
      <c r="I37" s="435">
        <v>56.2</v>
      </c>
      <c r="J37" s="436">
        <v>7.6</v>
      </c>
      <c r="K37" s="433">
        <v>0.027</v>
      </c>
      <c r="L37" s="433">
        <v>0.015</v>
      </c>
      <c r="M37" s="435">
        <v>7.2</v>
      </c>
      <c r="N37" s="436">
        <v>10.9</v>
      </c>
      <c r="O37" s="433">
        <v>0.024</v>
      </c>
      <c r="P37" s="433">
        <v>0.015</v>
      </c>
      <c r="R37" s="405"/>
      <c r="S37" s="405"/>
      <c r="T37" s="405"/>
      <c r="V37" s="405"/>
      <c r="W37" s="405"/>
      <c r="Y37" s="421"/>
      <c r="Z37" s="421"/>
      <c r="AA37" s="421"/>
      <c r="AB37" s="421"/>
      <c r="AC37" s="421"/>
      <c r="AD37" s="421"/>
      <c r="AE37" s="421"/>
      <c r="AL37" s="471"/>
      <c r="AM37" s="471"/>
      <c r="AN37" s="471">
        <v>100</v>
      </c>
      <c r="AO37" s="471">
        <v>80</v>
      </c>
      <c r="AP37" s="471">
        <v>60</v>
      </c>
      <c r="AQ37" s="471">
        <v>40</v>
      </c>
      <c r="AR37" s="471">
        <v>20</v>
      </c>
      <c r="AS37" s="471">
        <v>0</v>
      </c>
      <c r="AT37" s="471"/>
      <c r="AU37" s="421"/>
    </row>
    <row r="38" spans="2:47">
      <c r="B38" s="414">
        <v>34</v>
      </c>
      <c r="C38" s="432" t="s">
        <v>4798</v>
      </c>
      <c r="D38" s="433">
        <v>0.0061</v>
      </c>
      <c r="E38" s="433">
        <v>0.0184</v>
      </c>
      <c r="R38" s="405"/>
      <c r="S38" s="405"/>
      <c r="T38" s="405"/>
      <c r="V38" s="405"/>
      <c r="W38" s="405"/>
      <c r="Y38" s="421"/>
      <c r="Z38" s="421"/>
      <c r="AA38" s="421"/>
      <c r="AB38" s="421"/>
      <c r="AC38" s="421"/>
      <c r="AD38" s="421"/>
      <c r="AE38" s="421"/>
      <c r="AL38" s="460">
        <v>0.4</v>
      </c>
      <c r="AM38" s="482" t="s">
        <v>4799</v>
      </c>
      <c r="AN38" s="439"/>
      <c r="AO38" s="439"/>
      <c r="AP38" s="439"/>
      <c r="AQ38" s="439"/>
      <c r="AR38" s="439"/>
      <c r="AS38" s="439"/>
      <c r="AT38" s="477">
        <f>SUM(AN38:AS38)*AL38</f>
        <v>0</v>
      </c>
      <c r="AU38" s="421" t="s">
        <v>4800</v>
      </c>
    </row>
    <row r="39" spans="2:47">
      <c r="B39" s="414">
        <v>35</v>
      </c>
      <c r="C39" s="432" t="s">
        <v>4801</v>
      </c>
      <c r="D39" s="433">
        <v>0.0065</v>
      </c>
      <c r="E39" s="433">
        <v>0.0194</v>
      </c>
      <c r="Y39" s="421"/>
      <c r="Z39" s="421"/>
      <c r="AA39" s="421"/>
      <c r="AB39" s="421"/>
      <c r="AC39" s="421"/>
      <c r="AD39" s="421"/>
      <c r="AE39" s="421"/>
      <c r="AL39" s="460">
        <v>0.3</v>
      </c>
      <c r="AM39" s="482" t="s">
        <v>4802</v>
      </c>
      <c r="AN39" s="439"/>
      <c r="AO39" s="439"/>
      <c r="AP39" s="439"/>
      <c r="AQ39" s="439"/>
      <c r="AR39" s="439"/>
      <c r="AS39" s="439"/>
      <c r="AT39" s="477">
        <f>SUM(AN39:AS39)*AL39</f>
        <v>0</v>
      </c>
      <c r="AU39" s="421" t="s">
        <v>4803</v>
      </c>
    </row>
    <row r="40" spans="2:47">
      <c r="B40" s="414">
        <v>36</v>
      </c>
      <c r="C40" s="432" t="s">
        <v>4804</v>
      </c>
      <c r="D40" s="433">
        <v>0.0079</v>
      </c>
      <c r="E40" s="433">
        <v>0.0238</v>
      </c>
      <c r="Y40" s="421"/>
      <c r="Z40" s="421"/>
      <c r="AA40" s="421"/>
      <c r="AB40" s="421"/>
      <c r="AC40" s="421"/>
      <c r="AD40" s="421"/>
      <c r="AE40" s="421"/>
      <c r="AL40" s="460">
        <v>0.3</v>
      </c>
      <c r="AM40" s="482" t="s">
        <v>4805</v>
      </c>
      <c r="AN40" s="439"/>
      <c r="AO40" s="439"/>
      <c r="AP40" s="439"/>
      <c r="AQ40" s="439"/>
      <c r="AR40" s="439"/>
      <c r="AS40" s="439"/>
      <c r="AT40" s="477">
        <f>SUM(AN40:AS40)*AL40</f>
        <v>0</v>
      </c>
      <c r="AU40" s="421" t="s">
        <v>4806</v>
      </c>
    </row>
    <row r="41" spans="2:47">
      <c r="B41" s="414">
        <v>37</v>
      </c>
      <c r="C41" s="432" t="s">
        <v>4807</v>
      </c>
      <c r="D41" s="433">
        <v>0.0077</v>
      </c>
      <c r="E41" s="433">
        <v>0.0232</v>
      </c>
      <c r="G41" s="432" t="s">
        <v>4808</v>
      </c>
      <c r="H41" s="414">
        <v>5.1</v>
      </c>
      <c r="I41" s="435">
        <v>48.6</v>
      </c>
      <c r="J41" s="436">
        <v>7.6</v>
      </c>
      <c r="K41" s="433">
        <v>0.054</v>
      </c>
      <c r="L41" s="433">
        <v>0.03</v>
      </c>
      <c r="M41" s="435">
        <v>14.2</v>
      </c>
      <c r="N41" s="436">
        <v>10.4</v>
      </c>
      <c r="O41" s="433">
        <v>0.036</v>
      </c>
      <c r="P41" s="433">
        <v>0.03</v>
      </c>
      <c r="Q41" s="436">
        <v>8.4</v>
      </c>
      <c r="R41" s="433">
        <v>0.138</v>
      </c>
      <c r="S41" s="433">
        <v>0.1</v>
      </c>
      <c r="T41" s="435">
        <v>3.9</v>
      </c>
      <c r="U41" s="436">
        <v>9.2</v>
      </c>
      <c r="V41" s="433">
        <v>0.16</v>
      </c>
      <c r="W41" s="433">
        <v>0.1</v>
      </c>
      <c r="Y41" s="421"/>
      <c r="Z41" s="421"/>
      <c r="AA41" s="421"/>
      <c r="AB41" s="421"/>
      <c r="AC41" s="421"/>
      <c r="AD41" s="421"/>
      <c r="AE41" s="421"/>
      <c r="AL41" s="416"/>
      <c r="AM41" s="416" t="s">
        <v>4674</v>
      </c>
      <c r="AN41" s="416"/>
      <c r="AO41" s="416"/>
      <c r="AP41" s="416"/>
      <c r="AQ41" s="416"/>
      <c r="AR41" s="416"/>
      <c r="AS41" s="416"/>
      <c r="AT41" s="477">
        <f>SUM(AT38:AT40)</f>
        <v>0</v>
      </c>
      <c r="AU41" s="421"/>
    </row>
    <row r="42" spans="2:47">
      <c r="B42" s="414">
        <v>38</v>
      </c>
      <c r="C42" s="432" t="s">
        <v>4809</v>
      </c>
      <c r="D42" s="433">
        <v>0.0083</v>
      </c>
      <c r="E42" s="433">
        <v>0.0249</v>
      </c>
      <c r="G42" s="432" t="s">
        <v>4810</v>
      </c>
      <c r="H42" s="414">
        <v>5.4</v>
      </c>
      <c r="I42" s="435">
        <v>38.9</v>
      </c>
      <c r="K42" s="405"/>
      <c r="L42" s="405"/>
      <c r="M42" s="405"/>
      <c r="O42" s="405"/>
      <c r="P42" s="405"/>
      <c r="R42" s="405"/>
      <c r="S42" s="405"/>
      <c r="T42" s="405"/>
      <c r="V42" s="405"/>
      <c r="W42" s="405"/>
      <c r="Y42" s="421"/>
      <c r="Z42" s="421"/>
      <c r="AA42" s="421"/>
      <c r="AB42" s="421"/>
      <c r="AC42" s="421"/>
      <c r="AD42" s="421"/>
      <c r="AE42" s="421"/>
    </row>
    <row r="43" spans="2:47">
      <c r="B43" s="414">
        <v>39</v>
      </c>
      <c r="C43" s="432" t="s">
        <v>4811</v>
      </c>
      <c r="D43" s="433">
        <v>0.0053</v>
      </c>
      <c r="E43" s="433">
        <v>0.0159</v>
      </c>
      <c r="G43" s="432" t="s">
        <v>4812</v>
      </c>
      <c r="H43" s="414">
        <v>4.6</v>
      </c>
      <c r="I43" s="435">
        <v>113.6</v>
      </c>
      <c r="J43" s="436">
        <v>6.3</v>
      </c>
      <c r="K43" s="433">
        <v>0.055</v>
      </c>
      <c r="L43" s="433">
        <v>0.04</v>
      </c>
      <c r="M43" s="435">
        <v>14.2</v>
      </c>
      <c r="N43" s="436">
        <v>10.3</v>
      </c>
      <c r="O43" s="433">
        <v>0.035</v>
      </c>
      <c r="P43" s="433">
        <v>0.03</v>
      </c>
      <c r="Q43" s="436">
        <v>6.3</v>
      </c>
      <c r="R43" s="433">
        <v>0.312</v>
      </c>
      <c r="S43" s="433">
        <v>0.25</v>
      </c>
      <c r="T43" s="405"/>
      <c r="V43" s="405"/>
      <c r="W43" s="405"/>
      <c r="Y43" s="421"/>
      <c r="Z43" s="421"/>
      <c r="AA43" s="421"/>
      <c r="AB43" s="421"/>
      <c r="AC43" s="421"/>
      <c r="AD43" s="421"/>
      <c r="AE43" s="421"/>
    </row>
    <row r="44" spans="2:47">
      <c r="B44" s="414">
        <v>40</v>
      </c>
      <c r="C44" s="432" t="s">
        <v>4813</v>
      </c>
      <c r="D44" s="433">
        <v>0.0044</v>
      </c>
      <c r="E44" s="433">
        <v>0.0132</v>
      </c>
      <c r="Y44" s="421"/>
      <c r="Z44" s="421"/>
      <c r="AA44" s="421"/>
      <c r="AB44" s="421"/>
      <c r="AC44" s="421"/>
      <c r="AD44" s="421"/>
      <c r="AE44" s="421"/>
    </row>
    <row r="45" spans="2:47">
      <c r="B45" s="414">
        <v>41</v>
      </c>
      <c r="C45" s="432" t="s">
        <v>4814</v>
      </c>
      <c r="D45" s="433">
        <v>0.004</v>
      </c>
      <c r="E45" s="433">
        <v>0.012</v>
      </c>
      <c r="G45" s="432" t="s">
        <v>4815</v>
      </c>
      <c r="H45" s="414">
        <v>5.1</v>
      </c>
      <c r="I45" s="435">
        <v>4.9</v>
      </c>
      <c r="J45" s="436">
        <v>9</v>
      </c>
      <c r="K45" s="433">
        <v>0.037</v>
      </c>
      <c r="L45" s="433">
        <v>0.037</v>
      </c>
      <c r="M45" s="405"/>
      <c r="O45" s="405"/>
      <c r="P45" s="405"/>
      <c r="R45" s="405"/>
      <c r="S45" s="405"/>
      <c r="T45" s="405"/>
      <c r="V45" s="405"/>
      <c r="W45" s="405"/>
      <c r="Y45" s="421"/>
      <c r="Z45" s="421"/>
      <c r="AA45" s="421"/>
      <c r="AB45" s="421"/>
      <c r="AC45" s="421"/>
      <c r="AD45" s="421"/>
      <c r="AE45" s="421"/>
    </row>
    <row r="46" spans="2:47">
      <c r="B46" s="414">
        <v>42</v>
      </c>
      <c r="C46" s="432" t="s">
        <v>4816</v>
      </c>
      <c r="D46" s="433">
        <v>0.0131</v>
      </c>
      <c r="E46" s="433">
        <v>0.0392</v>
      </c>
      <c r="M46" s="405"/>
      <c r="O46" s="405"/>
      <c r="P46" s="405"/>
      <c r="R46" s="405"/>
      <c r="S46" s="405"/>
      <c r="T46" s="405"/>
      <c r="V46" s="405"/>
      <c r="W46" s="405"/>
      <c r="Y46" s="421"/>
      <c r="Z46" s="421"/>
      <c r="AA46" s="421"/>
      <c r="AB46" s="421"/>
      <c r="AC46" s="421"/>
      <c r="AD46" s="421"/>
      <c r="AE46" s="421"/>
    </row>
    <row r="47" spans="2:47">
      <c r="M47" s="405"/>
      <c r="O47" s="405"/>
      <c r="P47" s="405"/>
      <c r="R47" s="405"/>
      <c r="S47" s="405"/>
      <c r="T47" s="405"/>
      <c r="V47" s="405"/>
      <c r="W47" s="405"/>
      <c r="Y47" s="421"/>
      <c r="Z47" s="421"/>
      <c r="AA47" s="421"/>
      <c r="AB47" s="421"/>
      <c r="AC47" s="421"/>
      <c r="AD47" s="421"/>
      <c r="AE47" s="421"/>
    </row>
    <row r="48" spans="2:47">
      <c r="B48" s="409" t="s">
        <v>4817</v>
      </c>
      <c r="C48" s="409"/>
      <c r="D48" s="409"/>
      <c r="E48" s="409"/>
      <c r="M48" s="405"/>
      <c r="O48" s="405"/>
      <c r="P48" s="405"/>
      <c r="R48" s="405"/>
      <c r="S48" s="405"/>
      <c r="T48" s="405"/>
      <c r="V48" s="405"/>
      <c r="W48" s="405"/>
      <c r="Y48" s="421"/>
      <c r="Z48" s="421"/>
      <c r="AA48" s="421"/>
      <c r="AB48" s="421"/>
      <c r="AC48" s="421"/>
      <c r="AD48" s="421"/>
      <c r="AE48" s="421"/>
    </row>
    <row r="49" spans="2:31">
      <c r="B49" s="414" t="s">
        <v>1182</v>
      </c>
      <c r="C49" s="414" t="s">
        <v>4651</v>
      </c>
      <c r="D49" s="414" t="s">
        <v>4652</v>
      </c>
      <c r="E49" s="414"/>
      <c r="Y49" s="421"/>
      <c r="Z49" s="421"/>
      <c r="AA49" s="421"/>
      <c r="AB49" s="421"/>
      <c r="AC49" s="421"/>
      <c r="AD49" s="421"/>
      <c r="AE49" s="421"/>
    </row>
    <row r="50" spans="2:31">
      <c r="B50" s="414"/>
      <c r="C50" s="414"/>
      <c r="D50" s="414" t="s">
        <v>4663</v>
      </c>
      <c r="E50" s="414" t="s">
        <v>4664</v>
      </c>
      <c r="Y50" s="421"/>
      <c r="Z50" s="421"/>
      <c r="AA50" s="421"/>
      <c r="AB50" s="421"/>
      <c r="AC50" s="421"/>
      <c r="AD50" s="421"/>
      <c r="AE50" s="421"/>
    </row>
    <row r="51" spans="2:31">
      <c r="B51" s="416">
        <v>1</v>
      </c>
      <c r="C51" s="442" t="s">
        <v>4818</v>
      </c>
      <c r="D51" s="485">
        <v>0.005</v>
      </c>
      <c r="E51" s="486">
        <v>0.02</v>
      </c>
      <c r="Y51" s="421"/>
      <c r="Z51" s="421"/>
      <c r="AA51" s="421"/>
      <c r="AB51" s="421"/>
      <c r="AC51" s="421"/>
      <c r="AD51" s="421"/>
      <c r="AE51" s="421"/>
    </row>
    <row r="52" spans="2:31">
      <c r="B52" s="416">
        <v>2</v>
      </c>
      <c r="C52" s="442" t="s">
        <v>4819</v>
      </c>
      <c r="D52" s="485">
        <v>0.01</v>
      </c>
      <c r="E52" s="486">
        <v>0.025</v>
      </c>
      <c r="Y52" s="421"/>
      <c r="Z52" s="421"/>
      <c r="AA52" s="421"/>
      <c r="AB52" s="421"/>
      <c r="AC52" s="421"/>
      <c r="AD52" s="421"/>
      <c r="AE52" s="421"/>
    </row>
    <row r="53" spans="2:31">
      <c r="B53" s="416">
        <v>3</v>
      </c>
      <c r="C53" s="442" t="s">
        <v>4820</v>
      </c>
      <c r="D53" s="485">
        <v>0.015</v>
      </c>
      <c r="E53" s="486">
        <v>0.03</v>
      </c>
      <c r="Y53" s="421"/>
      <c r="Z53" s="421"/>
      <c r="AA53" s="421"/>
      <c r="AB53" s="421"/>
      <c r="AC53" s="421"/>
      <c r="AD53" s="421"/>
      <c r="AE53" s="421"/>
    </row>
    <row r="54" spans="2:31">
      <c r="B54" s="416">
        <v>4</v>
      </c>
      <c r="C54" s="442" t="s">
        <v>4821</v>
      </c>
      <c r="D54" s="485">
        <v>0.02</v>
      </c>
      <c r="E54" s="486">
        <v>0.035</v>
      </c>
      <c r="Y54" s="421"/>
      <c r="Z54" s="421"/>
      <c r="AA54" s="421"/>
      <c r="AB54" s="421"/>
      <c r="AC54" s="421"/>
      <c r="AD54" s="421"/>
      <c r="AE54" s="421"/>
    </row>
    <row r="55" spans="2:31">
      <c r="B55" s="416">
        <v>5</v>
      </c>
      <c r="C55" s="442" t="s">
        <v>4822</v>
      </c>
      <c r="D55" s="485">
        <v>0.025</v>
      </c>
      <c r="E55" s="486">
        <v>0.04</v>
      </c>
      <c r="K55" s="405"/>
      <c r="L55" s="405"/>
      <c r="M55" s="405"/>
      <c r="O55" s="405"/>
      <c r="P55" s="405"/>
      <c r="R55" s="405"/>
      <c r="S55" s="405"/>
      <c r="T55" s="405"/>
      <c r="V55" s="405"/>
      <c r="W55" s="405"/>
      <c r="Y55" s="421"/>
      <c r="Z55" s="421"/>
      <c r="AA55" s="421"/>
      <c r="AB55" s="421"/>
      <c r="AC55" s="421"/>
      <c r="AD55" s="421"/>
      <c r="AE55" s="421"/>
    </row>
    <row r="56" spans="2:31">
      <c r="B56" s="416">
        <v>6</v>
      </c>
      <c r="C56" s="442" t="s">
        <v>4823</v>
      </c>
      <c r="D56" s="485">
        <v>0.03</v>
      </c>
      <c r="E56" s="486">
        <v>0.045</v>
      </c>
      <c r="K56" s="405"/>
      <c r="L56" s="405"/>
      <c r="M56" s="405"/>
      <c r="O56" s="405"/>
      <c r="P56" s="405"/>
      <c r="R56" s="405"/>
      <c r="S56" s="405"/>
      <c r="T56" s="405"/>
      <c r="V56" s="405"/>
      <c r="W56" s="405"/>
      <c r="Y56" s="421"/>
      <c r="Z56" s="421"/>
      <c r="AA56" s="421"/>
      <c r="AB56" s="421"/>
      <c r="AC56" s="421"/>
      <c r="AD56" s="421"/>
      <c r="AE56" s="421"/>
    </row>
    <row r="57" spans="2:31">
      <c r="B57" s="416">
        <v>7</v>
      </c>
      <c r="C57" s="442" t="s">
        <v>4824</v>
      </c>
      <c r="D57" s="485">
        <v>0.04</v>
      </c>
      <c r="E57" s="486">
        <v>0.055</v>
      </c>
      <c r="G57" s="432" t="s">
        <v>4825</v>
      </c>
      <c r="H57" s="414">
        <v>4.4</v>
      </c>
      <c r="I57" s="435">
        <v>42.2</v>
      </c>
      <c r="K57" s="405"/>
      <c r="L57" s="405"/>
      <c r="M57" s="405"/>
      <c r="O57" s="405"/>
      <c r="P57" s="405"/>
      <c r="R57" s="405"/>
      <c r="S57" s="405"/>
      <c r="T57" s="405"/>
      <c r="V57" s="405"/>
      <c r="W57" s="405"/>
      <c r="Y57" s="421"/>
      <c r="Z57" s="421"/>
      <c r="AA57" s="421"/>
      <c r="AB57" s="421"/>
      <c r="AC57" s="421"/>
      <c r="AD57" s="421"/>
      <c r="AE57" s="421"/>
    </row>
    <row r="58" spans="2:31">
      <c r="B58" s="416">
        <v>8</v>
      </c>
      <c r="C58" s="442" t="s">
        <v>4826</v>
      </c>
      <c r="D58" s="485">
        <v>0.045</v>
      </c>
      <c r="E58" s="486">
        <v>0.06</v>
      </c>
      <c r="G58" s="432" t="s">
        <v>4827</v>
      </c>
      <c r="H58" s="414">
        <v>5.2</v>
      </c>
      <c r="I58" s="435">
        <v>66.3</v>
      </c>
      <c r="K58" s="405"/>
      <c r="L58" s="405"/>
      <c r="M58" s="405"/>
      <c r="O58" s="405"/>
      <c r="P58" s="405"/>
      <c r="R58" s="405"/>
      <c r="S58" s="405"/>
      <c r="T58" s="405"/>
      <c r="V58" s="405"/>
      <c r="W58" s="405"/>
      <c r="Y58" s="421"/>
      <c r="Z58" s="421"/>
      <c r="AA58" s="421"/>
      <c r="AB58" s="421"/>
      <c r="AC58" s="421"/>
      <c r="AD58" s="421"/>
      <c r="AE58" s="421"/>
    </row>
    <row r="59" spans="2:31">
      <c r="B59" s="416">
        <v>9</v>
      </c>
      <c r="C59" s="442" t="s">
        <v>4828</v>
      </c>
      <c r="D59" s="485">
        <v>0.07</v>
      </c>
      <c r="E59" s="486">
        <v>0.1</v>
      </c>
      <c r="K59" s="405"/>
      <c r="L59" s="405"/>
      <c r="M59" s="405"/>
      <c r="O59" s="405"/>
      <c r="P59" s="405"/>
      <c r="R59" s="405"/>
      <c r="S59" s="405"/>
      <c r="T59" s="405"/>
      <c r="V59" s="405"/>
      <c r="W59" s="405"/>
      <c r="Y59" s="421"/>
      <c r="Z59" s="421"/>
      <c r="AA59" s="421"/>
      <c r="AB59" s="421"/>
      <c r="AC59" s="421"/>
      <c r="AD59" s="421"/>
      <c r="AE59" s="421"/>
    </row>
    <row r="60" spans="2:31">
      <c r="G60" s="432" t="s">
        <v>4829</v>
      </c>
      <c r="H60" s="414">
        <v>5.4</v>
      </c>
      <c r="I60" s="435">
        <v>56.3</v>
      </c>
      <c r="K60" s="405"/>
      <c r="L60" s="405"/>
      <c r="M60" s="405"/>
      <c r="O60" s="405"/>
      <c r="P60" s="405"/>
      <c r="R60" s="405"/>
      <c r="S60" s="405"/>
      <c r="T60" s="405"/>
      <c r="V60" s="405"/>
      <c r="W60" s="405"/>
      <c r="Y60" s="421"/>
      <c r="Z60" s="421"/>
      <c r="AA60" s="421"/>
      <c r="AB60" s="421"/>
      <c r="AC60" s="421"/>
      <c r="AD60" s="421"/>
      <c r="AE60" s="421"/>
    </row>
    <row r="61" spans="2:31">
      <c r="G61" s="432" t="s">
        <v>4830</v>
      </c>
      <c r="H61" s="414">
        <v>4.7</v>
      </c>
      <c r="I61" s="435">
        <v>21.7</v>
      </c>
      <c r="K61" s="405"/>
      <c r="L61" s="405"/>
      <c r="M61" s="405"/>
      <c r="O61" s="405"/>
      <c r="P61" s="405"/>
      <c r="R61" s="405"/>
      <c r="S61" s="405"/>
      <c r="T61" s="405"/>
      <c r="V61" s="405"/>
      <c r="W61" s="405"/>
      <c r="Y61" s="421"/>
      <c r="Z61" s="421"/>
      <c r="AA61" s="421"/>
      <c r="AB61" s="421"/>
      <c r="AC61" s="421"/>
      <c r="AD61" s="421"/>
      <c r="AE61" s="421"/>
    </row>
    <row r="62" spans="2:31">
      <c r="G62" s="432" t="s">
        <v>4831</v>
      </c>
      <c r="H62" s="414">
        <v>5.5</v>
      </c>
      <c r="I62" s="435">
        <v>64</v>
      </c>
      <c r="K62" s="405"/>
      <c r="L62" s="405"/>
      <c r="M62" s="405"/>
      <c r="O62" s="405"/>
      <c r="P62" s="405"/>
      <c r="R62" s="405"/>
      <c r="S62" s="405"/>
      <c r="T62" s="405"/>
      <c r="V62" s="405"/>
      <c r="W62" s="405"/>
    </row>
    <row r="63" spans="2:31">
      <c r="G63" s="432" t="s">
        <v>4832</v>
      </c>
      <c r="H63" s="414">
        <v>6.8</v>
      </c>
      <c r="I63" s="435">
        <v>66.7</v>
      </c>
      <c r="K63" s="405"/>
      <c r="L63" s="405"/>
      <c r="M63" s="405"/>
      <c r="O63" s="405"/>
      <c r="P63" s="405"/>
      <c r="R63" s="405"/>
      <c r="S63" s="405"/>
      <c r="T63" s="405"/>
      <c r="V63" s="405"/>
      <c r="W63" s="405"/>
    </row>
    <row r="64" spans="2:31">
      <c r="G64" s="434" t="s">
        <v>4833</v>
      </c>
      <c r="H64" s="414">
        <v>5</v>
      </c>
      <c r="I64" s="435">
        <v>97</v>
      </c>
      <c r="J64" s="436">
        <v>8.1</v>
      </c>
      <c r="K64" s="433">
        <v>0.055</v>
      </c>
      <c r="L64" s="433">
        <v>0.04</v>
      </c>
      <c r="M64" s="435">
        <v>204.8</v>
      </c>
      <c r="N64" s="436">
        <v>11</v>
      </c>
      <c r="O64" s="433">
        <v>0.05</v>
      </c>
      <c r="P64" s="433">
        <v>0.05</v>
      </c>
      <c r="Q64" s="436">
        <v>9.5</v>
      </c>
      <c r="R64" s="433">
        <v>0.118</v>
      </c>
      <c r="S64" s="433">
        <v>0.051</v>
      </c>
      <c r="T64" s="435">
        <v>354.2</v>
      </c>
      <c r="U64" s="436">
        <v>11.7</v>
      </c>
      <c r="V64" s="433">
        <v>0.175</v>
      </c>
      <c r="W64" s="433">
        <v>0.15</v>
      </c>
    </row>
    <row r="65" spans="7:23">
      <c r="G65" s="432" t="s">
        <v>4834</v>
      </c>
      <c r="H65" s="414">
        <v>5.1</v>
      </c>
      <c r="I65" s="435">
        <v>107</v>
      </c>
      <c r="J65" s="436">
        <v>8.2</v>
      </c>
      <c r="K65" s="433">
        <v>0.05</v>
      </c>
      <c r="L65" s="433">
        <v>0.04</v>
      </c>
      <c r="M65" s="435">
        <v>246</v>
      </c>
      <c r="N65" s="436">
        <v>10.3</v>
      </c>
      <c r="O65" s="433">
        <v>0.05</v>
      </c>
      <c r="P65" s="433">
        <v>0.05</v>
      </c>
      <c r="Q65" s="436">
        <v>9.6</v>
      </c>
      <c r="R65" s="433">
        <v>0.113</v>
      </c>
      <c r="S65" s="433">
        <v>0.05</v>
      </c>
      <c r="T65" s="435">
        <v>354.2</v>
      </c>
      <c r="U65" s="436">
        <v>11.7</v>
      </c>
      <c r="V65" s="433">
        <v>0.175</v>
      </c>
      <c r="W65" s="433">
        <v>0.15</v>
      </c>
    </row>
    <row r="66" spans="7:23">
      <c r="G66" s="432" t="s">
        <v>4835</v>
      </c>
      <c r="H66" s="414">
        <v>4.8</v>
      </c>
      <c r="I66" s="435">
        <v>26.6</v>
      </c>
      <c r="J66" s="436">
        <v>7.9</v>
      </c>
      <c r="K66" s="433">
        <v>0.065</v>
      </c>
      <c r="L66" s="433">
        <v>0.035</v>
      </c>
      <c r="M66" s="435">
        <v>11.9</v>
      </c>
      <c r="N66" s="436">
        <v>12.7</v>
      </c>
      <c r="O66" s="433">
        <v>0.073</v>
      </c>
      <c r="P66" s="433">
        <v>0.073</v>
      </c>
      <c r="R66" s="405"/>
      <c r="S66" s="405"/>
      <c r="T66" s="405"/>
      <c r="V66" s="405"/>
      <c r="W66" s="405"/>
    </row>
    <row r="67" spans="7:23">
      <c r="G67" s="432" t="s">
        <v>4836</v>
      </c>
      <c r="H67" s="414">
        <v>4.3</v>
      </c>
      <c r="I67" s="435">
        <v>51</v>
      </c>
      <c r="K67" s="405"/>
      <c r="L67" s="405"/>
      <c r="M67" s="405"/>
      <c r="O67" s="405"/>
      <c r="P67" s="405"/>
      <c r="R67" s="405"/>
      <c r="S67" s="405"/>
      <c r="T67" s="405"/>
      <c r="V67" s="405"/>
      <c r="W67" s="405"/>
    </row>
    <row r="68" spans="7:23">
      <c r="G68" s="434" t="s">
        <v>4837</v>
      </c>
      <c r="H68" s="414">
        <v>4.2</v>
      </c>
      <c r="I68" s="435">
        <v>34</v>
      </c>
      <c r="J68" s="436">
        <v>7.7</v>
      </c>
      <c r="K68" s="433">
        <v>0.06</v>
      </c>
      <c r="L68" s="433">
        <v>0.045</v>
      </c>
      <c r="M68" s="435">
        <v>6.6</v>
      </c>
      <c r="N68" s="436">
        <v>7.1</v>
      </c>
      <c r="O68" s="433">
        <v>0.052</v>
      </c>
      <c r="P68" s="433">
        <v>0.03</v>
      </c>
      <c r="Q68" s="436">
        <v>4.9</v>
      </c>
      <c r="R68" s="433">
        <v>0.193</v>
      </c>
      <c r="S68" s="433">
        <v>0.18</v>
      </c>
      <c r="T68" s="435">
        <v>3.9</v>
      </c>
      <c r="U68" s="436">
        <v>11.3</v>
      </c>
      <c r="V68" s="433">
        <v>0.035</v>
      </c>
      <c r="W68" s="433">
        <v>0.035</v>
      </c>
    </row>
    <row r="69" spans="7:23">
      <c r="G69" s="432" t="s">
        <v>4838</v>
      </c>
      <c r="H69" s="414">
        <v>4.2</v>
      </c>
      <c r="I69" s="435">
        <v>20.8</v>
      </c>
      <c r="J69" s="436">
        <v>6.1</v>
      </c>
      <c r="K69" s="433">
        <v>0.051</v>
      </c>
      <c r="L69" s="433">
        <v>0.04</v>
      </c>
      <c r="M69" s="405"/>
      <c r="O69" s="405"/>
      <c r="P69" s="405"/>
      <c r="R69" s="405"/>
      <c r="S69" s="405"/>
      <c r="T69" s="405"/>
      <c r="V69" s="405"/>
      <c r="W69" s="405"/>
    </row>
    <row r="70" spans="7:23">
      <c r="G70" s="432" t="s">
        <v>4839</v>
      </c>
      <c r="H70" s="414">
        <v>4.1</v>
      </c>
      <c r="I70" s="435">
        <v>41.7</v>
      </c>
      <c r="J70" s="436">
        <v>13.5</v>
      </c>
      <c r="K70" s="433">
        <v>0.065</v>
      </c>
      <c r="L70" s="433">
        <v>0.03</v>
      </c>
      <c r="M70" s="435">
        <v>10.3</v>
      </c>
      <c r="N70" s="436">
        <v>4</v>
      </c>
      <c r="O70" s="433">
        <v>0.053</v>
      </c>
      <c r="P70" s="433">
        <v>0.05</v>
      </c>
      <c r="Q70" s="436">
        <v>4.8</v>
      </c>
      <c r="R70" s="433">
        <v>0.2</v>
      </c>
      <c r="S70" s="433">
        <v>0.2</v>
      </c>
      <c r="T70" s="405"/>
      <c r="V70" s="405"/>
      <c r="W70" s="405"/>
    </row>
    <row r="71" spans="7:23">
      <c r="G71" s="432" t="s">
        <v>4840</v>
      </c>
      <c r="H71" s="414">
        <v>4.9</v>
      </c>
      <c r="I71" s="435">
        <v>67.8</v>
      </c>
      <c r="K71" s="405"/>
      <c r="L71" s="405"/>
      <c r="M71" s="405"/>
      <c r="O71" s="405"/>
      <c r="P71" s="405"/>
      <c r="R71" s="405"/>
      <c r="S71" s="405"/>
      <c r="T71" s="405"/>
      <c r="V71" s="405"/>
      <c r="W71" s="405"/>
    </row>
    <row r="72" spans="7:23">
      <c r="G72" s="432" t="s">
        <v>4841</v>
      </c>
      <c r="H72" s="414">
        <v>4.1</v>
      </c>
      <c r="I72" s="435">
        <v>60.3</v>
      </c>
      <c r="K72" s="405"/>
      <c r="L72" s="405"/>
      <c r="M72" s="405"/>
      <c r="O72" s="405"/>
      <c r="P72" s="405"/>
      <c r="R72" s="405"/>
      <c r="S72" s="405"/>
      <c r="T72" s="405"/>
      <c r="V72" s="405"/>
      <c r="W72" s="405"/>
    </row>
    <row r="73" spans="7:23">
      <c r="G73" s="434" t="s">
        <v>4842</v>
      </c>
      <c r="H73" s="414">
        <v>3.6</v>
      </c>
      <c r="I73" s="435">
        <v>42.3</v>
      </c>
      <c r="J73" s="436">
        <v>4.5</v>
      </c>
      <c r="K73" s="433">
        <v>0.044</v>
      </c>
      <c r="L73" s="433">
        <v>0.05</v>
      </c>
      <c r="M73" s="435">
        <v>11.7</v>
      </c>
      <c r="N73" s="436">
        <v>10</v>
      </c>
      <c r="O73" s="433">
        <v>0.12</v>
      </c>
      <c r="P73" s="433">
        <v>0.075</v>
      </c>
      <c r="R73" s="405"/>
      <c r="S73" s="405"/>
      <c r="T73" s="405"/>
      <c r="V73" s="405"/>
      <c r="W73" s="405"/>
    </row>
    <row r="74" spans="7:23">
      <c r="G74" s="432" t="s">
        <v>4843</v>
      </c>
      <c r="H74" s="414">
        <v>3.4</v>
      </c>
      <c r="I74" s="435">
        <v>44.5</v>
      </c>
      <c r="J74" s="436">
        <v>4.5</v>
      </c>
      <c r="K74" s="433">
        <v>0.044</v>
      </c>
      <c r="L74" s="433">
        <v>0.05</v>
      </c>
      <c r="M74" s="405"/>
      <c r="O74" s="405"/>
      <c r="P74" s="405"/>
      <c r="R74" s="405"/>
      <c r="S74" s="405"/>
      <c r="T74" s="405"/>
      <c r="V74" s="405"/>
      <c r="W74" s="405"/>
    </row>
    <row r="75" spans="7:23">
      <c r="G75" s="434" t="s">
        <v>4844</v>
      </c>
      <c r="H75" s="414">
        <v>5</v>
      </c>
      <c r="I75" s="435">
        <v>20.3</v>
      </c>
      <c r="J75" s="436">
        <v>3.5</v>
      </c>
      <c r="K75" s="433">
        <v>0.06</v>
      </c>
      <c r="L75" s="433">
        <v>0.06</v>
      </c>
      <c r="M75" s="435">
        <v>0.6</v>
      </c>
      <c r="N75" s="436">
        <v>8.3</v>
      </c>
      <c r="O75" s="433">
        <v>0.05</v>
      </c>
      <c r="P75" s="433">
        <v>0.05</v>
      </c>
      <c r="R75" s="405"/>
      <c r="S75" s="405"/>
      <c r="T75" s="405"/>
      <c r="V75" s="405"/>
      <c r="W75" s="405"/>
    </row>
    <row r="76" spans="7:23">
      <c r="G76" s="432" t="s">
        <v>4845</v>
      </c>
      <c r="H76" s="414">
        <v>5</v>
      </c>
      <c r="I76" s="435">
        <v>14</v>
      </c>
      <c r="J76" s="436">
        <v>3.5</v>
      </c>
      <c r="K76" s="433">
        <v>0.06</v>
      </c>
      <c r="L76" s="433">
        <v>0.06</v>
      </c>
      <c r="M76" s="435">
        <v>0.9</v>
      </c>
      <c r="N76" s="436">
        <v>10.6</v>
      </c>
      <c r="O76" s="433">
        <v>0.05</v>
      </c>
      <c r="P76" s="433">
        <v>0.05</v>
      </c>
      <c r="R76" s="405"/>
      <c r="S76" s="405"/>
      <c r="T76" s="405"/>
      <c r="V76" s="405"/>
      <c r="W76" s="405"/>
    </row>
    <row r="77" spans="7:23">
      <c r="G77" s="432" t="s">
        <v>4846</v>
      </c>
      <c r="H77" s="414">
        <v>4.9</v>
      </c>
      <c r="I77" s="435">
        <v>31.5</v>
      </c>
      <c r="K77" s="405"/>
      <c r="L77" s="405"/>
      <c r="M77" s="435">
        <v>0.4</v>
      </c>
      <c r="N77" s="436">
        <v>6</v>
      </c>
      <c r="O77" s="433">
        <v>0.05</v>
      </c>
      <c r="P77" s="433">
        <v>0.05</v>
      </c>
      <c r="R77" s="405"/>
      <c r="S77" s="405"/>
      <c r="T77" s="405"/>
      <c r="V77" s="405"/>
      <c r="W77" s="405"/>
    </row>
    <row r="78" spans="7:23">
      <c r="G78" s="434" t="s">
        <v>4847</v>
      </c>
      <c r="H78" s="414">
        <v>2.9</v>
      </c>
      <c r="I78" s="435">
        <v>14.8</v>
      </c>
      <c r="J78" s="436">
        <v>13.4</v>
      </c>
      <c r="K78" s="433">
        <v>0.03</v>
      </c>
      <c r="L78" s="433">
        <v>0.03</v>
      </c>
      <c r="M78" s="405"/>
      <c r="O78" s="405"/>
      <c r="P78" s="405"/>
      <c r="Q78" s="436">
        <v>15</v>
      </c>
      <c r="R78" s="433">
        <v>0.017</v>
      </c>
      <c r="S78" s="433">
        <v>0.017</v>
      </c>
      <c r="T78" s="405"/>
      <c r="V78" s="405"/>
      <c r="W78" s="405"/>
    </row>
    <row r="79" spans="7:23">
      <c r="G79" s="451" t="s">
        <v>4848</v>
      </c>
      <c r="H79" s="414">
        <v>3.1</v>
      </c>
      <c r="I79" s="451">
        <v>3.9</v>
      </c>
      <c r="K79" s="405"/>
      <c r="L79" s="405"/>
      <c r="M79" s="405"/>
      <c r="O79" s="405"/>
      <c r="P79" s="405"/>
      <c r="R79" s="405"/>
      <c r="S79" s="405"/>
      <c r="T79" s="405"/>
      <c r="V79" s="405"/>
      <c r="W79" s="405"/>
    </row>
    <row r="80" spans="7:23">
      <c r="G80" s="451" t="s">
        <v>4849</v>
      </c>
      <c r="H80" s="414">
        <v>2.8</v>
      </c>
      <c r="I80" s="451">
        <v>21.4</v>
      </c>
      <c r="J80" s="436">
        <v>13.4</v>
      </c>
      <c r="K80" s="433">
        <v>0.03</v>
      </c>
      <c r="L80" s="433">
        <v>0.03</v>
      </c>
      <c r="M80" s="405"/>
      <c r="O80" s="405"/>
      <c r="P80" s="405"/>
      <c r="R80" s="405"/>
      <c r="S80" s="405"/>
      <c r="T80" s="405"/>
      <c r="V80" s="405"/>
      <c r="W80" s="405"/>
    </row>
    <row r="81" spans="7:23">
      <c r="G81" s="487" t="s">
        <v>4850</v>
      </c>
      <c r="H81" s="414">
        <v>3.6</v>
      </c>
      <c r="I81" s="451">
        <v>6.5</v>
      </c>
      <c r="K81" s="405"/>
      <c r="L81" s="405"/>
      <c r="M81" s="405"/>
      <c r="O81" s="405"/>
      <c r="P81" s="405"/>
      <c r="R81" s="405"/>
      <c r="S81" s="405"/>
      <c r="T81" s="405"/>
      <c r="V81" s="405"/>
      <c r="W81" s="405"/>
    </row>
    <row r="82" spans="7:23">
      <c r="K82" s="405"/>
      <c r="L82" s="405"/>
      <c r="M82" s="405"/>
      <c r="O82" s="405"/>
      <c r="P82" s="405"/>
      <c r="R82" s="405"/>
      <c r="S82" s="405"/>
      <c r="T82" s="405"/>
      <c r="V82" s="405"/>
      <c r="W82" s="405"/>
    </row>
    <row r="83" spans="7:23">
      <c r="M83" s="405"/>
      <c r="O83" s="405"/>
      <c r="P83" s="405"/>
      <c r="R83" s="405"/>
      <c r="S83" s="405"/>
    </row>
  </sheetData>
  <sheetProtection autoFilter="0"/>
  <protectedRanges>
    <protectedRange sqref="AJ5:AJ6 AJ15:AJ16 AJ8:AJ13 AI5:AI16" name="区域1_1_1"/>
  </protectedRanges>
  <mergeCells count="62">
    <mergeCell ref="B2:E2"/>
    <mergeCell ref="H2:I2"/>
    <mergeCell ref="J2:P2"/>
    <mergeCell ref="Q2:W2"/>
    <mergeCell ref="Y2:AJ2"/>
    <mergeCell ref="D3:E3"/>
    <mergeCell ref="J3:L3"/>
    <mergeCell ref="M3:P3"/>
    <mergeCell ref="Q3:S3"/>
    <mergeCell ref="T3:W3"/>
    <mergeCell ref="AC3:AJ3"/>
    <mergeCell ref="AL3:AT3"/>
    <mergeCell ref="AW3:BB3"/>
    <mergeCell ref="AN4:AS4"/>
    <mergeCell ref="AL12:AT12"/>
    <mergeCell ref="AN13:AS13"/>
    <mergeCell ref="Y16:AB16"/>
    <mergeCell ref="AI16:AJ16"/>
    <mergeCell ref="AB20:AC20"/>
    <mergeCell ref="AL20:AT20"/>
    <mergeCell ref="AN21:AS21"/>
    <mergeCell ref="AB23:AC23"/>
    <mergeCell ref="AB24:AC24"/>
    <mergeCell ref="AL28:AT28"/>
    <mergeCell ref="AN29:AS29"/>
    <mergeCell ref="AL35:AT35"/>
    <mergeCell ref="AN36:AS36"/>
    <mergeCell ref="B48:E48"/>
    <mergeCell ref="D49:E49"/>
    <mergeCell ref="B3:B4"/>
    <mergeCell ref="B49:B50"/>
    <mergeCell ref="C3:C4"/>
    <mergeCell ref="C49:C50"/>
    <mergeCell ref="G2:G4"/>
    <mergeCell ref="H3:H4"/>
    <mergeCell ref="I3:I4"/>
    <mergeCell ref="Y3:Y4"/>
    <mergeCell ref="Y5:Y7"/>
    <mergeCell ref="Y8:Y14"/>
    <mergeCell ref="Z5:Z7"/>
    <mergeCell ref="Z8:Z14"/>
    <mergeCell ref="Z20:Z21"/>
    <mergeCell ref="AA20:AA21"/>
    <mergeCell ref="AB3:AB4"/>
    <mergeCell ref="AJ5:AJ7"/>
    <mergeCell ref="AJ8:AJ14"/>
    <mergeCell ref="AL4:AL5"/>
    <mergeCell ref="AL13:AL14"/>
    <mergeCell ref="AL21:AL22"/>
    <mergeCell ref="AL29:AL30"/>
    <mergeCell ref="AL36:AL37"/>
    <mergeCell ref="AM4:AM5"/>
    <mergeCell ref="AM13:AM14"/>
    <mergeCell ref="AM21:AM22"/>
    <mergeCell ref="AM29:AM30"/>
    <mergeCell ref="AM36:AM37"/>
    <mergeCell ref="AT4:AT5"/>
    <mergeCell ref="AT13:AT14"/>
    <mergeCell ref="AT21:AT22"/>
    <mergeCell ref="AT29:AT30"/>
    <mergeCell ref="AT36:AT37"/>
    <mergeCell ref="Z3:AA4"/>
  </mergeCells>
  <conditionalFormatting sqref="BE5:BS5">
    <cfRule type="expression" dxfId="7" priority="1">
      <formula>BE$4&lt;=$BE$2</formula>
    </cfRule>
  </conditionalFormatting>
  <conditionalFormatting sqref="BE11:BS11">
    <cfRule type="expression" dxfId="7" priority="3">
      <formula>BE$4&lt;=$BE$2</formula>
    </cfRule>
  </conditionalFormatting>
  <conditionalFormatting sqref="BF6:BS10 BF12:BS13">
    <cfRule type="expression" dxfId="7" priority="4">
      <formula>BF$4&lt;=$BE$2</formula>
    </cfRule>
  </conditionalFormatting>
  <dataValidations count="4">
    <dataValidation type="list" allowBlank="1" showInputMessage="1" showErrorMessage="1" sqref="BE2">
      <formula1>$BE$4:$BS$4</formula1>
    </dataValidation>
    <dataValidation type="list" allowBlank="1" showInputMessage="1" showErrorMessage="1" sqref="BE3">
      <formula1>"收入,利润"</formula1>
    </dataValidation>
    <dataValidation type="list" allowBlank="1" showInputMessage="1" showErrorMessage="1" sqref="AB18">
      <formula1>"明细,简易"</formula1>
    </dataValidation>
    <dataValidation type="list" allowBlank="1" showInputMessage="1" showErrorMessage="1" sqref="AA22">
      <formula1>IF($AB$18="明细",$C$5:$C$46,$C$51:$C$59)</formula1>
    </dataValidation>
  </dataValidations>
  <pageMargins left="0.7" right="0.7" top="0.75" bottom="0.75" header="0.3" footer="0.3"/>
  <pageSetup paperSize="9" orientation="portrait"/>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6">
    <tabColor rgb="FF00B0F0"/>
  </sheetPr>
  <dimension ref="B1:X77"/>
  <sheetViews>
    <sheetView topLeftCell="A2" workbookViewId="0">
      <selection activeCell="E45" sqref="E45"/>
    </sheetView>
  </sheetViews>
  <sheetFormatPr defaultColWidth="8.6" defaultRowHeight="12"/>
  <cols>
    <col min="1" max="1" width="1.6" style="358" customWidth="1"/>
    <col min="2" max="2" width="19.2" style="357" customWidth="1"/>
    <col min="3" max="9" width="9.6" style="359" customWidth="1"/>
    <col min="10" max="13" width="9.6" style="360" customWidth="1"/>
    <col min="14" max="14" width="1.6" style="358" customWidth="1"/>
    <col min="15" max="15" width="8.2" style="358" customWidth="1"/>
    <col min="16" max="16" width="8" style="358" customWidth="1"/>
    <col min="17" max="19" width="7.7" style="358" customWidth="1"/>
    <col min="20" max="20" width="1.6" style="358" customWidth="1"/>
    <col min="21" max="21" width="7" style="358" customWidth="1"/>
    <col min="22" max="22" width="13.8" style="358" customWidth="1"/>
    <col min="23" max="23" width="12.2" style="358" customWidth="1"/>
    <col min="24" max="24" width="11.3" style="358" customWidth="1"/>
    <col min="25" max="254" width="8.6" style="358"/>
    <col min="255" max="255" width="3.7" style="358" customWidth="1"/>
    <col min="256" max="256" width="18.2" style="358" customWidth="1"/>
    <col min="257" max="257" width="7.8" style="358" customWidth="1"/>
    <col min="258" max="258" width="7.6" style="358" customWidth="1"/>
    <col min="259" max="259" width="8.6" style="358" customWidth="1"/>
    <col min="260" max="261" width="9.3" style="358" customWidth="1"/>
    <col min="262" max="262" width="7.1" style="358" customWidth="1"/>
    <col min="263" max="263" width="10.2" style="358" customWidth="1"/>
    <col min="264" max="264" width="9.3" style="358" customWidth="1"/>
    <col min="265" max="267" width="10.6" style="358" customWidth="1"/>
    <col min="268" max="268" width="10.1" style="358" customWidth="1"/>
    <col min="269" max="269" width="8.6" style="358"/>
    <col min="270" max="270" width="9.3" style="358" customWidth="1"/>
    <col min="271" max="510" width="8.6" style="358"/>
    <col min="511" max="511" width="3.7" style="358" customWidth="1"/>
    <col min="512" max="512" width="18.2" style="358" customWidth="1"/>
    <col min="513" max="513" width="7.8" style="358" customWidth="1"/>
    <col min="514" max="514" width="7.6" style="358" customWidth="1"/>
    <col min="515" max="515" width="8.6" style="358" customWidth="1"/>
    <col min="516" max="517" width="9.3" style="358" customWidth="1"/>
    <col min="518" max="518" width="7.1" style="358" customWidth="1"/>
    <col min="519" max="519" width="10.2" style="358" customWidth="1"/>
    <col min="520" max="520" width="9.3" style="358" customWidth="1"/>
    <col min="521" max="523" width="10.6" style="358" customWidth="1"/>
    <col min="524" max="524" width="10.1" style="358" customWidth="1"/>
    <col min="525" max="525" width="8.6" style="358"/>
    <col min="526" max="526" width="9.3" style="358" customWidth="1"/>
    <col min="527" max="766" width="8.6" style="358"/>
    <col min="767" max="767" width="3.7" style="358" customWidth="1"/>
    <col min="768" max="768" width="18.2" style="358" customWidth="1"/>
    <col min="769" max="769" width="7.8" style="358" customWidth="1"/>
    <col min="770" max="770" width="7.6" style="358" customWidth="1"/>
    <col min="771" max="771" width="8.6" style="358" customWidth="1"/>
    <col min="772" max="773" width="9.3" style="358" customWidth="1"/>
    <col min="774" max="774" width="7.1" style="358" customWidth="1"/>
    <col min="775" max="775" width="10.2" style="358" customWidth="1"/>
    <col min="776" max="776" width="9.3" style="358" customWidth="1"/>
    <col min="777" max="779" width="10.6" style="358" customWidth="1"/>
    <col min="780" max="780" width="10.1" style="358" customWidth="1"/>
    <col min="781" max="781" width="8.6" style="358"/>
    <col min="782" max="782" width="9.3" style="358" customWidth="1"/>
    <col min="783" max="1022" width="8.6" style="358"/>
    <col min="1023" max="1023" width="3.7" style="358" customWidth="1"/>
    <col min="1024" max="1024" width="18.2" style="358" customWidth="1"/>
    <col min="1025" max="1025" width="7.8" style="358" customWidth="1"/>
    <col min="1026" max="1026" width="7.6" style="358" customWidth="1"/>
    <col min="1027" max="1027" width="8.6" style="358" customWidth="1"/>
    <col min="1028" max="1029" width="9.3" style="358" customWidth="1"/>
    <col min="1030" max="1030" width="7.1" style="358" customWidth="1"/>
    <col min="1031" max="1031" width="10.2" style="358" customWidth="1"/>
    <col min="1032" max="1032" width="9.3" style="358" customWidth="1"/>
    <col min="1033" max="1035" width="10.6" style="358" customWidth="1"/>
    <col min="1036" max="1036" width="10.1" style="358" customWidth="1"/>
    <col min="1037" max="1037" width="8.6" style="358"/>
    <col min="1038" max="1038" width="9.3" style="358" customWidth="1"/>
    <col min="1039" max="1278" width="8.6" style="358"/>
    <col min="1279" max="1279" width="3.7" style="358" customWidth="1"/>
    <col min="1280" max="1280" width="18.2" style="358" customWidth="1"/>
    <col min="1281" max="1281" width="7.8" style="358" customWidth="1"/>
    <col min="1282" max="1282" width="7.6" style="358" customWidth="1"/>
    <col min="1283" max="1283" width="8.6" style="358" customWidth="1"/>
    <col min="1284" max="1285" width="9.3" style="358" customWidth="1"/>
    <col min="1286" max="1286" width="7.1" style="358" customWidth="1"/>
    <col min="1287" max="1287" width="10.2" style="358" customWidth="1"/>
    <col min="1288" max="1288" width="9.3" style="358" customWidth="1"/>
    <col min="1289" max="1291" width="10.6" style="358" customWidth="1"/>
    <col min="1292" max="1292" width="10.1" style="358" customWidth="1"/>
    <col min="1293" max="1293" width="8.6" style="358"/>
    <col min="1294" max="1294" width="9.3" style="358" customWidth="1"/>
    <col min="1295" max="1534" width="8.6" style="358"/>
    <col min="1535" max="1535" width="3.7" style="358" customWidth="1"/>
    <col min="1536" max="1536" width="18.2" style="358" customWidth="1"/>
    <col min="1537" max="1537" width="7.8" style="358" customWidth="1"/>
    <col min="1538" max="1538" width="7.6" style="358" customWidth="1"/>
    <col min="1539" max="1539" width="8.6" style="358" customWidth="1"/>
    <col min="1540" max="1541" width="9.3" style="358" customWidth="1"/>
    <col min="1542" max="1542" width="7.1" style="358" customWidth="1"/>
    <col min="1543" max="1543" width="10.2" style="358" customWidth="1"/>
    <col min="1544" max="1544" width="9.3" style="358" customWidth="1"/>
    <col min="1545" max="1547" width="10.6" style="358" customWidth="1"/>
    <col min="1548" max="1548" width="10.1" style="358" customWidth="1"/>
    <col min="1549" max="1549" width="8.6" style="358"/>
    <col min="1550" max="1550" width="9.3" style="358" customWidth="1"/>
    <col min="1551" max="1790" width="8.6" style="358"/>
    <col min="1791" max="1791" width="3.7" style="358" customWidth="1"/>
    <col min="1792" max="1792" width="18.2" style="358" customWidth="1"/>
    <col min="1793" max="1793" width="7.8" style="358" customWidth="1"/>
    <col min="1794" max="1794" width="7.6" style="358" customWidth="1"/>
    <col min="1795" max="1795" width="8.6" style="358" customWidth="1"/>
    <col min="1796" max="1797" width="9.3" style="358" customWidth="1"/>
    <col min="1798" max="1798" width="7.1" style="358" customWidth="1"/>
    <col min="1799" max="1799" width="10.2" style="358" customWidth="1"/>
    <col min="1800" max="1800" width="9.3" style="358" customWidth="1"/>
    <col min="1801" max="1803" width="10.6" style="358" customWidth="1"/>
    <col min="1804" max="1804" width="10.1" style="358" customWidth="1"/>
    <col min="1805" max="1805" width="8.6" style="358"/>
    <col min="1806" max="1806" width="9.3" style="358" customWidth="1"/>
    <col min="1807" max="2046" width="8.6" style="358"/>
    <col min="2047" max="2047" width="3.7" style="358" customWidth="1"/>
    <col min="2048" max="2048" width="18.2" style="358" customWidth="1"/>
    <col min="2049" max="2049" width="7.8" style="358" customWidth="1"/>
    <col min="2050" max="2050" width="7.6" style="358" customWidth="1"/>
    <col min="2051" max="2051" width="8.6" style="358" customWidth="1"/>
    <col min="2052" max="2053" width="9.3" style="358" customWidth="1"/>
    <col min="2054" max="2054" width="7.1" style="358" customWidth="1"/>
    <col min="2055" max="2055" width="10.2" style="358" customWidth="1"/>
    <col min="2056" max="2056" width="9.3" style="358" customWidth="1"/>
    <col min="2057" max="2059" width="10.6" style="358" customWidth="1"/>
    <col min="2060" max="2060" width="10.1" style="358" customWidth="1"/>
    <col min="2061" max="2061" width="8.6" style="358"/>
    <col min="2062" max="2062" width="9.3" style="358" customWidth="1"/>
    <col min="2063" max="2302" width="8.6" style="358"/>
    <col min="2303" max="2303" width="3.7" style="358" customWidth="1"/>
    <col min="2304" max="2304" width="18.2" style="358" customWidth="1"/>
    <col min="2305" max="2305" width="7.8" style="358" customWidth="1"/>
    <col min="2306" max="2306" width="7.6" style="358" customWidth="1"/>
    <col min="2307" max="2307" width="8.6" style="358" customWidth="1"/>
    <col min="2308" max="2309" width="9.3" style="358" customWidth="1"/>
    <col min="2310" max="2310" width="7.1" style="358" customWidth="1"/>
    <col min="2311" max="2311" width="10.2" style="358" customWidth="1"/>
    <col min="2312" max="2312" width="9.3" style="358" customWidth="1"/>
    <col min="2313" max="2315" width="10.6" style="358" customWidth="1"/>
    <col min="2316" max="2316" width="10.1" style="358" customWidth="1"/>
    <col min="2317" max="2317" width="8.6" style="358"/>
    <col min="2318" max="2318" width="9.3" style="358" customWidth="1"/>
    <col min="2319" max="2558" width="8.6" style="358"/>
    <col min="2559" max="2559" width="3.7" style="358" customWidth="1"/>
    <col min="2560" max="2560" width="18.2" style="358" customWidth="1"/>
    <col min="2561" max="2561" width="7.8" style="358" customWidth="1"/>
    <col min="2562" max="2562" width="7.6" style="358" customWidth="1"/>
    <col min="2563" max="2563" width="8.6" style="358" customWidth="1"/>
    <col min="2564" max="2565" width="9.3" style="358" customWidth="1"/>
    <col min="2566" max="2566" width="7.1" style="358" customWidth="1"/>
    <col min="2567" max="2567" width="10.2" style="358" customWidth="1"/>
    <col min="2568" max="2568" width="9.3" style="358" customWidth="1"/>
    <col min="2569" max="2571" width="10.6" style="358" customWidth="1"/>
    <col min="2572" max="2572" width="10.1" style="358" customWidth="1"/>
    <col min="2573" max="2573" width="8.6" style="358"/>
    <col min="2574" max="2574" width="9.3" style="358" customWidth="1"/>
    <col min="2575" max="2814" width="8.6" style="358"/>
    <col min="2815" max="2815" width="3.7" style="358" customWidth="1"/>
    <col min="2816" max="2816" width="18.2" style="358" customWidth="1"/>
    <col min="2817" max="2817" width="7.8" style="358" customWidth="1"/>
    <col min="2818" max="2818" width="7.6" style="358" customWidth="1"/>
    <col min="2819" max="2819" width="8.6" style="358" customWidth="1"/>
    <col min="2820" max="2821" width="9.3" style="358" customWidth="1"/>
    <col min="2822" max="2822" width="7.1" style="358" customWidth="1"/>
    <col min="2823" max="2823" width="10.2" style="358" customWidth="1"/>
    <col min="2824" max="2824" width="9.3" style="358" customWidth="1"/>
    <col min="2825" max="2827" width="10.6" style="358" customWidth="1"/>
    <col min="2828" max="2828" width="10.1" style="358" customWidth="1"/>
    <col min="2829" max="2829" width="8.6" style="358"/>
    <col min="2830" max="2830" width="9.3" style="358" customWidth="1"/>
    <col min="2831" max="3070" width="8.6" style="358"/>
    <col min="3071" max="3071" width="3.7" style="358" customWidth="1"/>
    <col min="3072" max="3072" width="18.2" style="358" customWidth="1"/>
    <col min="3073" max="3073" width="7.8" style="358" customWidth="1"/>
    <col min="3074" max="3074" width="7.6" style="358" customWidth="1"/>
    <col min="3075" max="3075" width="8.6" style="358" customWidth="1"/>
    <col min="3076" max="3077" width="9.3" style="358" customWidth="1"/>
    <col min="3078" max="3078" width="7.1" style="358" customWidth="1"/>
    <col min="3079" max="3079" width="10.2" style="358" customWidth="1"/>
    <col min="3080" max="3080" width="9.3" style="358" customWidth="1"/>
    <col min="3081" max="3083" width="10.6" style="358" customWidth="1"/>
    <col min="3084" max="3084" width="10.1" style="358" customWidth="1"/>
    <col min="3085" max="3085" width="8.6" style="358"/>
    <col min="3086" max="3086" width="9.3" style="358" customWidth="1"/>
    <col min="3087" max="3326" width="8.6" style="358"/>
    <col min="3327" max="3327" width="3.7" style="358" customWidth="1"/>
    <col min="3328" max="3328" width="18.2" style="358" customWidth="1"/>
    <col min="3329" max="3329" width="7.8" style="358" customWidth="1"/>
    <col min="3330" max="3330" width="7.6" style="358" customWidth="1"/>
    <col min="3331" max="3331" width="8.6" style="358" customWidth="1"/>
    <col min="3332" max="3333" width="9.3" style="358" customWidth="1"/>
    <col min="3334" max="3334" width="7.1" style="358" customWidth="1"/>
    <col min="3335" max="3335" width="10.2" style="358" customWidth="1"/>
    <col min="3336" max="3336" width="9.3" style="358" customWidth="1"/>
    <col min="3337" max="3339" width="10.6" style="358" customWidth="1"/>
    <col min="3340" max="3340" width="10.1" style="358" customWidth="1"/>
    <col min="3341" max="3341" width="8.6" style="358"/>
    <col min="3342" max="3342" width="9.3" style="358" customWidth="1"/>
    <col min="3343" max="3582" width="8.6" style="358"/>
    <col min="3583" max="3583" width="3.7" style="358" customWidth="1"/>
    <col min="3584" max="3584" width="18.2" style="358" customWidth="1"/>
    <col min="3585" max="3585" width="7.8" style="358" customWidth="1"/>
    <col min="3586" max="3586" width="7.6" style="358" customWidth="1"/>
    <col min="3587" max="3587" width="8.6" style="358" customWidth="1"/>
    <col min="3588" max="3589" width="9.3" style="358" customWidth="1"/>
    <col min="3590" max="3590" width="7.1" style="358" customWidth="1"/>
    <col min="3591" max="3591" width="10.2" style="358" customWidth="1"/>
    <col min="3592" max="3592" width="9.3" style="358" customWidth="1"/>
    <col min="3593" max="3595" width="10.6" style="358" customWidth="1"/>
    <col min="3596" max="3596" width="10.1" style="358" customWidth="1"/>
    <col min="3597" max="3597" width="8.6" style="358"/>
    <col min="3598" max="3598" width="9.3" style="358" customWidth="1"/>
    <col min="3599" max="3838" width="8.6" style="358"/>
    <col min="3839" max="3839" width="3.7" style="358" customWidth="1"/>
    <col min="3840" max="3840" width="18.2" style="358" customWidth="1"/>
    <col min="3841" max="3841" width="7.8" style="358" customWidth="1"/>
    <col min="3842" max="3842" width="7.6" style="358" customWidth="1"/>
    <col min="3843" max="3843" width="8.6" style="358" customWidth="1"/>
    <col min="3844" max="3845" width="9.3" style="358" customWidth="1"/>
    <col min="3846" max="3846" width="7.1" style="358" customWidth="1"/>
    <col min="3847" max="3847" width="10.2" style="358" customWidth="1"/>
    <col min="3848" max="3848" width="9.3" style="358" customWidth="1"/>
    <col min="3849" max="3851" width="10.6" style="358" customWidth="1"/>
    <col min="3852" max="3852" width="10.1" style="358" customWidth="1"/>
    <col min="3853" max="3853" width="8.6" style="358"/>
    <col min="3854" max="3854" width="9.3" style="358" customWidth="1"/>
    <col min="3855" max="4094" width="8.6" style="358"/>
    <col min="4095" max="4095" width="3.7" style="358" customWidth="1"/>
    <col min="4096" max="4096" width="18.2" style="358" customWidth="1"/>
    <col min="4097" max="4097" width="7.8" style="358" customWidth="1"/>
    <col min="4098" max="4098" width="7.6" style="358" customWidth="1"/>
    <col min="4099" max="4099" width="8.6" style="358" customWidth="1"/>
    <col min="4100" max="4101" width="9.3" style="358" customWidth="1"/>
    <col min="4102" max="4102" width="7.1" style="358" customWidth="1"/>
    <col min="4103" max="4103" width="10.2" style="358" customWidth="1"/>
    <col min="4104" max="4104" width="9.3" style="358" customWidth="1"/>
    <col min="4105" max="4107" width="10.6" style="358" customWidth="1"/>
    <col min="4108" max="4108" width="10.1" style="358" customWidth="1"/>
    <col min="4109" max="4109" width="8.6" style="358"/>
    <col min="4110" max="4110" width="9.3" style="358" customWidth="1"/>
    <col min="4111" max="4350" width="8.6" style="358"/>
    <col min="4351" max="4351" width="3.7" style="358" customWidth="1"/>
    <col min="4352" max="4352" width="18.2" style="358" customWidth="1"/>
    <col min="4353" max="4353" width="7.8" style="358" customWidth="1"/>
    <col min="4354" max="4354" width="7.6" style="358" customWidth="1"/>
    <col min="4355" max="4355" width="8.6" style="358" customWidth="1"/>
    <col min="4356" max="4357" width="9.3" style="358" customWidth="1"/>
    <col min="4358" max="4358" width="7.1" style="358" customWidth="1"/>
    <col min="4359" max="4359" width="10.2" style="358" customWidth="1"/>
    <col min="4360" max="4360" width="9.3" style="358" customWidth="1"/>
    <col min="4361" max="4363" width="10.6" style="358" customWidth="1"/>
    <col min="4364" max="4364" width="10.1" style="358" customWidth="1"/>
    <col min="4365" max="4365" width="8.6" style="358"/>
    <col min="4366" max="4366" width="9.3" style="358" customWidth="1"/>
    <col min="4367" max="4606" width="8.6" style="358"/>
    <col min="4607" max="4607" width="3.7" style="358" customWidth="1"/>
    <col min="4608" max="4608" width="18.2" style="358" customWidth="1"/>
    <col min="4609" max="4609" width="7.8" style="358" customWidth="1"/>
    <col min="4610" max="4610" width="7.6" style="358" customWidth="1"/>
    <col min="4611" max="4611" width="8.6" style="358" customWidth="1"/>
    <col min="4612" max="4613" width="9.3" style="358" customWidth="1"/>
    <col min="4614" max="4614" width="7.1" style="358" customWidth="1"/>
    <col min="4615" max="4615" width="10.2" style="358" customWidth="1"/>
    <col min="4616" max="4616" width="9.3" style="358" customWidth="1"/>
    <col min="4617" max="4619" width="10.6" style="358" customWidth="1"/>
    <col min="4620" max="4620" width="10.1" style="358" customWidth="1"/>
    <col min="4621" max="4621" width="8.6" style="358"/>
    <col min="4622" max="4622" width="9.3" style="358" customWidth="1"/>
    <col min="4623" max="4862" width="8.6" style="358"/>
    <col min="4863" max="4863" width="3.7" style="358" customWidth="1"/>
    <col min="4864" max="4864" width="18.2" style="358" customWidth="1"/>
    <col min="4865" max="4865" width="7.8" style="358" customWidth="1"/>
    <col min="4866" max="4866" width="7.6" style="358" customWidth="1"/>
    <col min="4867" max="4867" width="8.6" style="358" customWidth="1"/>
    <col min="4868" max="4869" width="9.3" style="358" customWidth="1"/>
    <col min="4870" max="4870" width="7.1" style="358" customWidth="1"/>
    <col min="4871" max="4871" width="10.2" style="358" customWidth="1"/>
    <col min="4872" max="4872" width="9.3" style="358" customWidth="1"/>
    <col min="4873" max="4875" width="10.6" style="358" customWidth="1"/>
    <col min="4876" max="4876" width="10.1" style="358" customWidth="1"/>
    <col min="4877" max="4877" width="8.6" style="358"/>
    <col min="4878" max="4878" width="9.3" style="358" customWidth="1"/>
    <col min="4879" max="5118" width="8.6" style="358"/>
    <col min="5119" max="5119" width="3.7" style="358" customWidth="1"/>
    <col min="5120" max="5120" width="18.2" style="358" customWidth="1"/>
    <col min="5121" max="5121" width="7.8" style="358" customWidth="1"/>
    <col min="5122" max="5122" width="7.6" style="358" customWidth="1"/>
    <col min="5123" max="5123" width="8.6" style="358" customWidth="1"/>
    <col min="5124" max="5125" width="9.3" style="358" customWidth="1"/>
    <col min="5126" max="5126" width="7.1" style="358" customWidth="1"/>
    <col min="5127" max="5127" width="10.2" style="358" customWidth="1"/>
    <col min="5128" max="5128" width="9.3" style="358" customWidth="1"/>
    <col min="5129" max="5131" width="10.6" style="358" customWidth="1"/>
    <col min="5132" max="5132" width="10.1" style="358" customWidth="1"/>
    <col min="5133" max="5133" width="8.6" style="358"/>
    <col min="5134" max="5134" width="9.3" style="358" customWidth="1"/>
    <col min="5135" max="5374" width="8.6" style="358"/>
    <col min="5375" max="5375" width="3.7" style="358" customWidth="1"/>
    <col min="5376" max="5376" width="18.2" style="358" customWidth="1"/>
    <col min="5377" max="5377" width="7.8" style="358" customWidth="1"/>
    <col min="5378" max="5378" width="7.6" style="358" customWidth="1"/>
    <col min="5379" max="5379" width="8.6" style="358" customWidth="1"/>
    <col min="5380" max="5381" width="9.3" style="358" customWidth="1"/>
    <col min="5382" max="5382" width="7.1" style="358" customWidth="1"/>
    <col min="5383" max="5383" width="10.2" style="358" customWidth="1"/>
    <col min="5384" max="5384" width="9.3" style="358" customWidth="1"/>
    <col min="5385" max="5387" width="10.6" style="358" customWidth="1"/>
    <col min="5388" max="5388" width="10.1" style="358" customWidth="1"/>
    <col min="5389" max="5389" width="8.6" style="358"/>
    <col min="5390" max="5390" width="9.3" style="358" customWidth="1"/>
    <col min="5391" max="5630" width="8.6" style="358"/>
    <col min="5631" max="5631" width="3.7" style="358" customWidth="1"/>
    <col min="5632" max="5632" width="18.2" style="358" customWidth="1"/>
    <col min="5633" max="5633" width="7.8" style="358" customWidth="1"/>
    <col min="5634" max="5634" width="7.6" style="358" customWidth="1"/>
    <col min="5635" max="5635" width="8.6" style="358" customWidth="1"/>
    <col min="5636" max="5637" width="9.3" style="358" customWidth="1"/>
    <col min="5638" max="5638" width="7.1" style="358" customWidth="1"/>
    <col min="5639" max="5639" width="10.2" style="358" customWidth="1"/>
    <col min="5640" max="5640" width="9.3" style="358" customWidth="1"/>
    <col min="5641" max="5643" width="10.6" style="358" customWidth="1"/>
    <col min="5644" max="5644" width="10.1" style="358" customWidth="1"/>
    <col min="5645" max="5645" width="8.6" style="358"/>
    <col min="5646" max="5646" width="9.3" style="358" customWidth="1"/>
    <col min="5647" max="5886" width="8.6" style="358"/>
    <col min="5887" max="5887" width="3.7" style="358" customWidth="1"/>
    <col min="5888" max="5888" width="18.2" style="358" customWidth="1"/>
    <col min="5889" max="5889" width="7.8" style="358" customWidth="1"/>
    <col min="5890" max="5890" width="7.6" style="358" customWidth="1"/>
    <col min="5891" max="5891" width="8.6" style="358" customWidth="1"/>
    <col min="5892" max="5893" width="9.3" style="358" customWidth="1"/>
    <col min="5894" max="5894" width="7.1" style="358" customWidth="1"/>
    <col min="5895" max="5895" width="10.2" style="358" customWidth="1"/>
    <col min="5896" max="5896" width="9.3" style="358" customWidth="1"/>
    <col min="5897" max="5899" width="10.6" style="358" customWidth="1"/>
    <col min="5900" max="5900" width="10.1" style="358" customWidth="1"/>
    <col min="5901" max="5901" width="8.6" style="358"/>
    <col min="5902" max="5902" width="9.3" style="358" customWidth="1"/>
    <col min="5903" max="6142" width="8.6" style="358"/>
    <col min="6143" max="6143" width="3.7" style="358" customWidth="1"/>
    <col min="6144" max="6144" width="18.2" style="358" customWidth="1"/>
    <col min="6145" max="6145" width="7.8" style="358" customWidth="1"/>
    <col min="6146" max="6146" width="7.6" style="358" customWidth="1"/>
    <col min="6147" max="6147" width="8.6" style="358" customWidth="1"/>
    <col min="6148" max="6149" width="9.3" style="358" customWidth="1"/>
    <col min="6150" max="6150" width="7.1" style="358" customWidth="1"/>
    <col min="6151" max="6151" width="10.2" style="358" customWidth="1"/>
    <col min="6152" max="6152" width="9.3" style="358" customWidth="1"/>
    <col min="6153" max="6155" width="10.6" style="358" customWidth="1"/>
    <col min="6156" max="6156" width="10.1" style="358" customWidth="1"/>
    <col min="6157" max="6157" width="8.6" style="358"/>
    <col min="6158" max="6158" width="9.3" style="358" customWidth="1"/>
    <col min="6159" max="6398" width="8.6" style="358"/>
    <col min="6399" max="6399" width="3.7" style="358" customWidth="1"/>
    <col min="6400" max="6400" width="18.2" style="358" customWidth="1"/>
    <col min="6401" max="6401" width="7.8" style="358" customWidth="1"/>
    <col min="6402" max="6402" width="7.6" style="358" customWidth="1"/>
    <col min="6403" max="6403" width="8.6" style="358" customWidth="1"/>
    <col min="6404" max="6405" width="9.3" style="358" customWidth="1"/>
    <col min="6406" max="6406" width="7.1" style="358" customWidth="1"/>
    <col min="6407" max="6407" width="10.2" style="358" customWidth="1"/>
    <col min="6408" max="6408" width="9.3" style="358" customWidth="1"/>
    <col min="6409" max="6411" width="10.6" style="358" customWidth="1"/>
    <col min="6412" max="6412" width="10.1" style="358" customWidth="1"/>
    <col min="6413" max="6413" width="8.6" style="358"/>
    <col min="6414" max="6414" width="9.3" style="358" customWidth="1"/>
    <col min="6415" max="6654" width="8.6" style="358"/>
    <col min="6655" max="6655" width="3.7" style="358" customWidth="1"/>
    <col min="6656" max="6656" width="18.2" style="358" customWidth="1"/>
    <col min="6657" max="6657" width="7.8" style="358" customWidth="1"/>
    <col min="6658" max="6658" width="7.6" style="358" customWidth="1"/>
    <col min="6659" max="6659" width="8.6" style="358" customWidth="1"/>
    <col min="6660" max="6661" width="9.3" style="358" customWidth="1"/>
    <col min="6662" max="6662" width="7.1" style="358" customWidth="1"/>
    <col min="6663" max="6663" width="10.2" style="358" customWidth="1"/>
    <col min="6664" max="6664" width="9.3" style="358" customWidth="1"/>
    <col min="6665" max="6667" width="10.6" style="358" customWidth="1"/>
    <col min="6668" max="6668" width="10.1" style="358" customWidth="1"/>
    <col min="6669" max="6669" width="8.6" style="358"/>
    <col min="6670" max="6670" width="9.3" style="358" customWidth="1"/>
    <col min="6671" max="6910" width="8.6" style="358"/>
    <col min="6911" max="6911" width="3.7" style="358" customWidth="1"/>
    <col min="6912" max="6912" width="18.2" style="358" customWidth="1"/>
    <col min="6913" max="6913" width="7.8" style="358" customWidth="1"/>
    <col min="6914" max="6914" width="7.6" style="358" customWidth="1"/>
    <col min="6915" max="6915" width="8.6" style="358" customWidth="1"/>
    <col min="6916" max="6917" width="9.3" style="358" customWidth="1"/>
    <col min="6918" max="6918" width="7.1" style="358" customWidth="1"/>
    <col min="6919" max="6919" width="10.2" style="358" customWidth="1"/>
    <col min="6920" max="6920" width="9.3" style="358" customWidth="1"/>
    <col min="6921" max="6923" width="10.6" style="358" customWidth="1"/>
    <col min="6924" max="6924" width="10.1" style="358" customWidth="1"/>
    <col min="6925" max="6925" width="8.6" style="358"/>
    <col min="6926" max="6926" width="9.3" style="358" customWidth="1"/>
    <col min="6927" max="7166" width="8.6" style="358"/>
    <col min="7167" max="7167" width="3.7" style="358" customWidth="1"/>
    <col min="7168" max="7168" width="18.2" style="358" customWidth="1"/>
    <col min="7169" max="7169" width="7.8" style="358" customWidth="1"/>
    <col min="7170" max="7170" width="7.6" style="358" customWidth="1"/>
    <col min="7171" max="7171" width="8.6" style="358" customWidth="1"/>
    <col min="7172" max="7173" width="9.3" style="358" customWidth="1"/>
    <col min="7174" max="7174" width="7.1" style="358" customWidth="1"/>
    <col min="7175" max="7175" width="10.2" style="358" customWidth="1"/>
    <col min="7176" max="7176" width="9.3" style="358" customWidth="1"/>
    <col min="7177" max="7179" width="10.6" style="358" customWidth="1"/>
    <col min="7180" max="7180" width="10.1" style="358" customWidth="1"/>
    <col min="7181" max="7181" width="8.6" style="358"/>
    <col min="7182" max="7182" width="9.3" style="358" customWidth="1"/>
    <col min="7183" max="7422" width="8.6" style="358"/>
    <col min="7423" max="7423" width="3.7" style="358" customWidth="1"/>
    <col min="7424" max="7424" width="18.2" style="358" customWidth="1"/>
    <col min="7425" max="7425" width="7.8" style="358" customWidth="1"/>
    <col min="7426" max="7426" width="7.6" style="358" customWidth="1"/>
    <col min="7427" max="7427" width="8.6" style="358" customWidth="1"/>
    <col min="7428" max="7429" width="9.3" style="358" customWidth="1"/>
    <col min="7430" max="7430" width="7.1" style="358" customWidth="1"/>
    <col min="7431" max="7431" width="10.2" style="358" customWidth="1"/>
    <col min="7432" max="7432" width="9.3" style="358" customWidth="1"/>
    <col min="7433" max="7435" width="10.6" style="358" customWidth="1"/>
    <col min="7436" max="7436" width="10.1" style="358" customWidth="1"/>
    <col min="7437" max="7437" width="8.6" style="358"/>
    <col min="7438" max="7438" width="9.3" style="358" customWidth="1"/>
    <col min="7439" max="7678" width="8.6" style="358"/>
    <col min="7679" max="7679" width="3.7" style="358" customWidth="1"/>
    <col min="7680" max="7680" width="18.2" style="358" customWidth="1"/>
    <col min="7681" max="7681" width="7.8" style="358" customWidth="1"/>
    <col min="7682" max="7682" width="7.6" style="358" customWidth="1"/>
    <col min="7683" max="7683" width="8.6" style="358" customWidth="1"/>
    <col min="7684" max="7685" width="9.3" style="358" customWidth="1"/>
    <col min="7686" max="7686" width="7.1" style="358" customWidth="1"/>
    <col min="7687" max="7687" width="10.2" style="358" customWidth="1"/>
    <col min="7688" max="7688" width="9.3" style="358" customWidth="1"/>
    <col min="7689" max="7691" width="10.6" style="358" customWidth="1"/>
    <col min="7692" max="7692" width="10.1" style="358" customWidth="1"/>
    <col min="7693" max="7693" width="8.6" style="358"/>
    <col min="7694" max="7694" width="9.3" style="358" customWidth="1"/>
    <col min="7695" max="7934" width="8.6" style="358"/>
    <col min="7935" max="7935" width="3.7" style="358" customWidth="1"/>
    <col min="7936" max="7936" width="18.2" style="358" customWidth="1"/>
    <col min="7937" max="7937" width="7.8" style="358" customWidth="1"/>
    <col min="7938" max="7938" width="7.6" style="358" customWidth="1"/>
    <col min="7939" max="7939" width="8.6" style="358" customWidth="1"/>
    <col min="7940" max="7941" width="9.3" style="358" customWidth="1"/>
    <col min="7942" max="7942" width="7.1" style="358" customWidth="1"/>
    <col min="7943" max="7943" width="10.2" style="358" customWidth="1"/>
    <col min="7944" max="7944" width="9.3" style="358" customWidth="1"/>
    <col min="7945" max="7947" width="10.6" style="358" customWidth="1"/>
    <col min="7948" max="7948" width="10.1" style="358" customWidth="1"/>
    <col min="7949" max="7949" width="8.6" style="358"/>
    <col min="7950" max="7950" width="9.3" style="358" customWidth="1"/>
    <col min="7951" max="8190" width="8.6" style="358"/>
    <col min="8191" max="8191" width="3.7" style="358" customWidth="1"/>
    <col min="8192" max="8192" width="18.2" style="358" customWidth="1"/>
    <col min="8193" max="8193" width="7.8" style="358" customWidth="1"/>
    <col min="8194" max="8194" width="7.6" style="358" customWidth="1"/>
    <col min="8195" max="8195" width="8.6" style="358" customWidth="1"/>
    <col min="8196" max="8197" width="9.3" style="358" customWidth="1"/>
    <col min="8198" max="8198" width="7.1" style="358" customWidth="1"/>
    <col min="8199" max="8199" width="10.2" style="358" customWidth="1"/>
    <col min="8200" max="8200" width="9.3" style="358" customWidth="1"/>
    <col min="8201" max="8203" width="10.6" style="358" customWidth="1"/>
    <col min="8204" max="8204" width="10.1" style="358" customWidth="1"/>
    <col min="8205" max="8205" width="8.6" style="358"/>
    <col min="8206" max="8206" width="9.3" style="358" customWidth="1"/>
    <col min="8207" max="8446" width="8.6" style="358"/>
    <col min="8447" max="8447" width="3.7" style="358" customWidth="1"/>
    <col min="8448" max="8448" width="18.2" style="358" customWidth="1"/>
    <col min="8449" max="8449" width="7.8" style="358" customWidth="1"/>
    <col min="8450" max="8450" width="7.6" style="358" customWidth="1"/>
    <col min="8451" max="8451" width="8.6" style="358" customWidth="1"/>
    <col min="8452" max="8453" width="9.3" style="358" customWidth="1"/>
    <col min="8454" max="8454" width="7.1" style="358" customWidth="1"/>
    <col min="8455" max="8455" width="10.2" style="358" customWidth="1"/>
    <col min="8456" max="8456" width="9.3" style="358" customWidth="1"/>
    <col min="8457" max="8459" width="10.6" style="358" customWidth="1"/>
    <col min="8460" max="8460" width="10.1" style="358" customWidth="1"/>
    <col min="8461" max="8461" width="8.6" style="358"/>
    <col min="8462" max="8462" width="9.3" style="358" customWidth="1"/>
    <col min="8463" max="8702" width="8.6" style="358"/>
    <col min="8703" max="8703" width="3.7" style="358" customWidth="1"/>
    <col min="8704" max="8704" width="18.2" style="358" customWidth="1"/>
    <col min="8705" max="8705" width="7.8" style="358" customWidth="1"/>
    <col min="8706" max="8706" width="7.6" style="358" customWidth="1"/>
    <col min="8707" max="8707" width="8.6" style="358" customWidth="1"/>
    <col min="8708" max="8709" width="9.3" style="358" customWidth="1"/>
    <col min="8710" max="8710" width="7.1" style="358" customWidth="1"/>
    <col min="8711" max="8711" width="10.2" style="358" customWidth="1"/>
    <col min="8712" max="8712" width="9.3" style="358" customWidth="1"/>
    <col min="8713" max="8715" width="10.6" style="358" customWidth="1"/>
    <col min="8716" max="8716" width="10.1" style="358" customWidth="1"/>
    <col min="8717" max="8717" width="8.6" style="358"/>
    <col min="8718" max="8718" width="9.3" style="358" customWidth="1"/>
    <col min="8719" max="8958" width="8.6" style="358"/>
    <col min="8959" max="8959" width="3.7" style="358" customWidth="1"/>
    <col min="8960" max="8960" width="18.2" style="358" customWidth="1"/>
    <col min="8961" max="8961" width="7.8" style="358" customWidth="1"/>
    <col min="8962" max="8962" width="7.6" style="358" customWidth="1"/>
    <col min="8963" max="8963" width="8.6" style="358" customWidth="1"/>
    <col min="8964" max="8965" width="9.3" style="358" customWidth="1"/>
    <col min="8966" max="8966" width="7.1" style="358" customWidth="1"/>
    <col min="8967" max="8967" width="10.2" style="358" customWidth="1"/>
    <col min="8968" max="8968" width="9.3" style="358" customWidth="1"/>
    <col min="8969" max="8971" width="10.6" style="358" customWidth="1"/>
    <col min="8972" max="8972" width="10.1" style="358" customWidth="1"/>
    <col min="8973" max="8973" width="8.6" style="358"/>
    <col min="8974" max="8974" width="9.3" style="358" customWidth="1"/>
    <col min="8975" max="9214" width="8.6" style="358"/>
    <col min="9215" max="9215" width="3.7" style="358" customWidth="1"/>
    <col min="9216" max="9216" width="18.2" style="358" customWidth="1"/>
    <col min="9217" max="9217" width="7.8" style="358" customWidth="1"/>
    <col min="9218" max="9218" width="7.6" style="358" customWidth="1"/>
    <col min="9219" max="9219" width="8.6" style="358" customWidth="1"/>
    <col min="9220" max="9221" width="9.3" style="358" customWidth="1"/>
    <col min="9222" max="9222" width="7.1" style="358" customWidth="1"/>
    <col min="9223" max="9223" width="10.2" style="358" customWidth="1"/>
    <col min="9224" max="9224" width="9.3" style="358" customWidth="1"/>
    <col min="9225" max="9227" width="10.6" style="358" customWidth="1"/>
    <col min="9228" max="9228" width="10.1" style="358" customWidth="1"/>
    <col min="9229" max="9229" width="8.6" style="358"/>
    <col min="9230" max="9230" width="9.3" style="358" customWidth="1"/>
    <col min="9231" max="9470" width="8.6" style="358"/>
    <col min="9471" max="9471" width="3.7" style="358" customWidth="1"/>
    <col min="9472" max="9472" width="18.2" style="358" customWidth="1"/>
    <col min="9473" max="9473" width="7.8" style="358" customWidth="1"/>
    <col min="9474" max="9474" width="7.6" style="358" customWidth="1"/>
    <col min="9475" max="9475" width="8.6" style="358" customWidth="1"/>
    <col min="9476" max="9477" width="9.3" style="358" customWidth="1"/>
    <col min="9478" max="9478" width="7.1" style="358" customWidth="1"/>
    <col min="9479" max="9479" width="10.2" style="358" customWidth="1"/>
    <col min="9480" max="9480" width="9.3" style="358" customWidth="1"/>
    <col min="9481" max="9483" width="10.6" style="358" customWidth="1"/>
    <col min="9484" max="9484" width="10.1" style="358" customWidth="1"/>
    <col min="9485" max="9485" width="8.6" style="358"/>
    <col min="9486" max="9486" width="9.3" style="358" customWidth="1"/>
    <col min="9487" max="9726" width="8.6" style="358"/>
    <col min="9727" max="9727" width="3.7" style="358" customWidth="1"/>
    <col min="9728" max="9728" width="18.2" style="358" customWidth="1"/>
    <col min="9729" max="9729" width="7.8" style="358" customWidth="1"/>
    <col min="9730" max="9730" width="7.6" style="358" customWidth="1"/>
    <col min="9731" max="9731" width="8.6" style="358" customWidth="1"/>
    <col min="9732" max="9733" width="9.3" style="358" customWidth="1"/>
    <col min="9734" max="9734" width="7.1" style="358" customWidth="1"/>
    <col min="9735" max="9735" width="10.2" style="358" customWidth="1"/>
    <col min="9736" max="9736" width="9.3" style="358" customWidth="1"/>
    <col min="9737" max="9739" width="10.6" style="358" customWidth="1"/>
    <col min="9740" max="9740" width="10.1" style="358" customWidth="1"/>
    <col min="9741" max="9741" width="8.6" style="358"/>
    <col min="9742" max="9742" width="9.3" style="358" customWidth="1"/>
    <col min="9743" max="9982" width="8.6" style="358"/>
    <col min="9983" max="9983" width="3.7" style="358" customWidth="1"/>
    <col min="9984" max="9984" width="18.2" style="358" customWidth="1"/>
    <col min="9985" max="9985" width="7.8" style="358" customWidth="1"/>
    <col min="9986" max="9986" width="7.6" style="358" customWidth="1"/>
    <col min="9987" max="9987" width="8.6" style="358" customWidth="1"/>
    <col min="9988" max="9989" width="9.3" style="358" customWidth="1"/>
    <col min="9990" max="9990" width="7.1" style="358" customWidth="1"/>
    <col min="9991" max="9991" width="10.2" style="358" customWidth="1"/>
    <col min="9992" max="9992" width="9.3" style="358" customWidth="1"/>
    <col min="9993" max="9995" width="10.6" style="358" customWidth="1"/>
    <col min="9996" max="9996" width="10.1" style="358" customWidth="1"/>
    <col min="9997" max="9997" width="8.6" style="358"/>
    <col min="9998" max="9998" width="9.3" style="358" customWidth="1"/>
    <col min="9999" max="10238" width="8.6" style="358"/>
    <col min="10239" max="10239" width="3.7" style="358" customWidth="1"/>
    <col min="10240" max="10240" width="18.2" style="358" customWidth="1"/>
    <col min="10241" max="10241" width="7.8" style="358" customWidth="1"/>
    <col min="10242" max="10242" width="7.6" style="358" customWidth="1"/>
    <col min="10243" max="10243" width="8.6" style="358" customWidth="1"/>
    <col min="10244" max="10245" width="9.3" style="358" customWidth="1"/>
    <col min="10246" max="10246" width="7.1" style="358" customWidth="1"/>
    <col min="10247" max="10247" width="10.2" style="358" customWidth="1"/>
    <col min="10248" max="10248" width="9.3" style="358" customWidth="1"/>
    <col min="10249" max="10251" width="10.6" style="358" customWidth="1"/>
    <col min="10252" max="10252" width="10.1" style="358" customWidth="1"/>
    <col min="10253" max="10253" width="8.6" style="358"/>
    <col min="10254" max="10254" width="9.3" style="358" customWidth="1"/>
    <col min="10255" max="10494" width="8.6" style="358"/>
    <col min="10495" max="10495" width="3.7" style="358" customWidth="1"/>
    <col min="10496" max="10496" width="18.2" style="358" customWidth="1"/>
    <col min="10497" max="10497" width="7.8" style="358" customWidth="1"/>
    <col min="10498" max="10498" width="7.6" style="358" customWidth="1"/>
    <col min="10499" max="10499" width="8.6" style="358" customWidth="1"/>
    <col min="10500" max="10501" width="9.3" style="358" customWidth="1"/>
    <col min="10502" max="10502" width="7.1" style="358" customWidth="1"/>
    <col min="10503" max="10503" width="10.2" style="358" customWidth="1"/>
    <col min="10504" max="10504" width="9.3" style="358" customWidth="1"/>
    <col min="10505" max="10507" width="10.6" style="358" customWidth="1"/>
    <col min="10508" max="10508" width="10.1" style="358" customWidth="1"/>
    <col min="10509" max="10509" width="8.6" style="358"/>
    <col min="10510" max="10510" width="9.3" style="358" customWidth="1"/>
    <col min="10511" max="10750" width="8.6" style="358"/>
    <col min="10751" max="10751" width="3.7" style="358" customWidth="1"/>
    <col min="10752" max="10752" width="18.2" style="358" customWidth="1"/>
    <col min="10753" max="10753" width="7.8" style="358" customWidth="1"/>
    <col min="10754" max="10754" width="7.6" style="358" customWidth="1"/>
    <col min="10755" max="10755" width="8.6" style="358" customWidth="1"/>
    <col min="10756" max="10757" width="9.3" style="358" customWidth="1"/>
    <col min="10758" max="10758" width="7.1" style="358" customWidth="1"/>
    <col min="10759" max="10759" width="10.2" style="358" customWidth="1"/>
    <col min="10760" max="10760" width="9.3" style="358" customWidth="1"/>
    <col min="10761" max="10763" width="10.6" style="358" customWidth="1"/>
    <col min="10764" max="10764" width="10.1" style="358" customWidth="1"/>
    <col min="10765" max="10765" width="8.6" style="358"/>
    <col min="10766" max="10766" width="9.3" style="358" customWidth="1"/>
    <col min="10767" max="11006" width="8.6" style="358"/>
    <col min="11007" max="11007" width="3.7" style="358" customWidth="1"/>
    <col min="11008" max="11008" width="18.2" style="358" customWidth="1"/>
    <col min="11009" max="11009" width="7.8" style="358" customWidth="1"/>
    <col min="11010" max="11010" width="7.6" style="358" customWidth="1"/>
    <col min="11011" max="11011" width="8.6" style="358" customWidth="1"/>
    <col min="11012" max="11013" width="9.3" style="358" customWidth="1"/>
    <col min="11014" max="11014" width="7.1" style="358" customWidth="1"/>
    <col min="11015" max="11015" width="10.2" style="358" customWidth="1"/>
    <col min="11016" max="11016" width="9.3" style="358" customWidth="1"/>
    <col min="11017" max="11019" width="10.6" style="358" customWidth="1"/>
    <col min="11020" max="11020" width="10.1" style="358" customWidth="1"/>
    <col min="11021" max="11021" width="8.6" style="358"/>
    <col min="11022" max="11022" width="9.3" style="358" customWidth="1"/>
    <col min="11023" max="11262" width="8.6" style="358"/>
    <col min="11263" max="11263" width="3.7" style="358" customWidth="1"/>
    <col min="11264" max="11264" width="18.2" style="358" customWidth="1"/>
    <col min="11265" max="11265" width="7.8" style="358" customWidth="1"/>
    <col min="11266" max="11266" width="7.6" style="358" customWidth="1"/>
    <col min="11267" max="11267" width="8.6" style="358" customWidth="1"/>
    <col min="11268" max="11269" width="9.3" style="358" customWidth="1"/>
    <col min="11270" max="11270" width="7.1" style="358" customWidth="1"/>
    <col min="11271" max="11271" width="10.2" style="358" customWidth="1"/>
    <col min="11272" max="11272" width="9.3" style="358" customWidth="1"/>
    <col min="11273" max="11275" width="10.6" style="358" customWidth="1"/>
    <col min="11276" max="11276" width="10.1" style="358" customWidth="1"/>
    <col min="11277" max="11277" width="8.6" style="358"/>
    <col min="11278" max="11278" width="9.3" style="358" customWidth="1"/>
    <col min="11279" max="11518" width="8.6" style="358"/>
    <col min="11519" max="11519" width="3.7" style="358" customWidth="1"/>
    <col min="11520" max="11520" width="18.2" style="358" customWidth="1"/>
    <col min="11521" max="11521" width="7.8" style="358" customWidth="1"/>
    <col min="11522" max="11522" width="7.6" style="358" customWidth="1"/>
    <col min="11523" max="11523" width="8.6" style="358" customWidth="1"/>
    <col min="11524" max="11525" width="9.3" style="358" customWidth="1"/>
    <col min="11526" max="11526" width="7.1" style="358" customWidth="1"/>
    <col min="11527" max="11527" width="10.2" style="358" customWidth="1"/>
    <col min="11528" max="11528" width="9.3" style="358" customWidth="1"/>
    <col min="11529" max="11531" width="10.6" style="358" customWidth="1"/>
    <col min="11532" max="11532" width="10.1" style="358" customWidth="1"/>
    <col min="11533" max="11533" width="8.6" style="358"/>
    <col min="11534" max="11534" width="9.3" style="358" customWidth="1"/>
    <col min="11535" max="11774" width="8.6" style="358"/>
    <col min="11775" max="11775" width="3.7" style="358" customWidth="1"/>
    <col min="11776" max="11776" width="18.2" style="358" customWidth="1"/>
    <col min="11777" max="11777" width="7.8" style="358" customWidth="1"/>
    <col min="11778" max="11778" width="7.6" style="358" customWidth="1"/>
    <col min="11779" max="11779" width="8.6" style="358" customWidth="1"/>
    <col min="11780" max="11781" width="9.3" style="358" customWidth="1"/>
    <col min="11782" max="11782" width="7.1" style="358" customWidth="1"/>
    <col min="11783" max="11783" width="10.2" style="358" customWidth="1"/>
    <col min="11784" max="11784" width="9.3" style="358" customWidth="1"/>
    <col min="11785" max="11787" width="10.6" style="358" customWidth="1"/>
    <col min="11788" max="11788" width="10.1" style="358" customWidth="1"/>
    <col min="11789" max="11789" width="8.6" style="358"/>
    <col min="11790" max="11790" width="9.3" style="358" customWidth="1"/>
    <col min="11791" max="12030" width="8.6" style="358"/>
    <col min="12031" max="12031" width="3.7" style="358" customWidth="1"/>
    <col min="12032" max="12032" width="18.2" style="358" customWidth="1"/>
    <col min="12033" max="12033" width="7.8" style="358" customWidth="1"/>
    <col min="12034" max="12034" width="7.6" style="358" customWidth="1"/>
    <col min="12035" max="12035" width="8.6" style="358" customWidth="1"/>
    <col min="12036" max="12037" width="9.3" style="358" customWidth="1"/>
    <col min="12038" max="12038" width="7.1" style="358" customWidth="1"/>
    <col min="12039" max="12039" width="10.2" style="358" customWidth="1"/>
    <col min="12040" max="12040" width="9.3" style="358" customWidth="1"/>
    <col min="12041" max="12043" width="10.6" style="358" customWidth="1"/>
    <col min="12044" max="12044" width="10.1" style="358" customWidth="1"/>
    <col min="12045" max="12045" width="8.6" style="358"/>
    <col min="12046" max="12046" width="9.3" style="358" customWidth="1"/>
    <col min="12047" max="12286" width="8.6" style="358"/>
    <col min="12287" max="12287" width="3.7" style="358" customWidth="1"/>
    <col min="12288" max="12288" width="18.2" style="358" customWidth="1"/>
    <col min="12289" max="12289" width="7.8" style="358" customWidth="1"/>
    <col min="12290" max="12290" width="7.6" style="358" customWidth="1"/>
    <col min="12291" max="12291" width="8.6" style="358" customWidth="1"/>
    <col min="12292" max="12293" width="9.3" style="358" customWidth="1"/>
    <col min="12294" max="12294" width="7.1" style="358" customWidth="1"/>
    <col min="12295" max="12295" width="10.2" style="358" customWidth="1"/>
    <col min="12296" max="12296" width="9.3" style="358" customWidth="1"/>
    <col min="12297" max="12299" width="10.6" style="358" customWidth="1"/>
    <col min="12300" max="12300" width="10.1" style="358" customWidth="1"/>
    <col min="12301" max="12301" width="8.6" style="358"/>
    <col min="12302" max="12302" width="9.3" style="358" customWidth="1"/>
    <col min="12303" max="12542" width="8.6" style="358"/>
    <col min="12543" max="12543" width="3.7" style="358" customWidth="1"/>
    <col min="12544" max="12544" width="18.2" style="358" customWidth="1"/>
    <col min="12545" max="12545" width="7.8" style="358" customWidth="1"/>
    <col min="12546" max="12546" width="7.6" style="358" customWidth="1"/>
    <col min="12547" max="12547" width="8.6" style="358" customWidth="1"/>
    <col min="12548" max="12549" width="9.3" style="358" customWidth="1"/>
    <col min="12550" max="12550" width="7.1" style="358" customWidth="1"/>
    <col min="12551" max="12551" width="10.2" style="358" customWidth="1"/>
    <col min="12552" max="12552" width="9.3" style="358" customWidth="1"/>
    <col min="12553" max="12555" width="10.6" style="358" customWidth="1"/>
    <col min="12556" max="12556" width="10.1" style="358" customWidth="1"/>
    <col min="12557" max="12557" width="8.6" style="358"/>
    <col min="12558" max="12558" width="9.3" style="358" customWidth="1"/>
    <col min="12559" max="12798" width="8.6" style="358"/>
    <col min="12799" max="12799" width="3.7" style="358" customWidth="1"/>
    <col min="12800" max="12800" width="18.2" style="358" customWidth="1"/>
    <col min="12801" max="12801" width="7.8" style="358" customWidth="1"/>
    <col min="12802" max="12802" width="7.6" style="358" customWidth="1"/>
    <col min="12803" max="12803" width="8.6" style="358" customWidth="1"/>
    <col min="12804" max="12805" width="9.3" style="358" customWidth="1"/>
    <col min="12806" max="12806" width="7.1" style="358" customWidth="1"/>
    <col min="12807" max="12807" width="10.2" style="358" customWidth="1"/>
    <col min="12808" max="12808" width="9.3" style="358" customWidth="1"/>
    <col min="12809" max="12811" width="10.6" style="358" customWidth="1"/>
    <col min="12812" max="12812" width="10.1" style="358" customWidth="1"/>
    <col min="12813" max="12813" width="8.6" style="358"/>
    <col min="12814" max="12814" width="9.3" style="358" customWidth="1"/>
    <col min="12815" max="13054" width="8.6" style="358"/>
    <col min="13055" max="13055" width="3.7" style="358" customWidth="1"/>
    <col min="13056" max="13056" width="18.2" style="358" customWidth="1"/>
    <col min="13057" max="13057" width="7.8" style="358" customWidth="1"/>
    <col min="13058" max="13058" width="7.6" style="358" customWidth="1"/>
    <col min="13059" max="13059" width="8.6" style="358" customWidth="1"/>
    <col min="13060" max="13061" width="9.3" style="358" customWidth="1"/>
    <col min="13062" max="13062" width="7.1" style="358" customWidth="1"/>
    <col min="13063" max="13063" width="10.2" style="358" customWidth="1"/>
    <col min="13064" max="13064" width="9.3" style="358" customWidth="1"/>
    <col min="13065" max="13067" width="10.6" style="358" customWidth="1"/>
    <col min="13068" max="13068" width="10.1" style="358" customWidth="1"/>
    <col min="13069" max="13069" width="8.6" style="358"/>
    <col min="13070" max="13070" width="9.3" style="358" customWidth="1"/>
    <col min="13071" max="13310" width="8.6" style="358"/>
    <col min="13311" max="13311" width="3.7" style="358" customWidth="1"/>
    <col min="13312" max="13312" width="18.2" style="358" customWidth="1"/>
    <col min="13313" max="13313" width="7.8" style="358" customWidth="1"/>
    <col min="13314" max="13314" width="7.6" style="358" customWidth="1"/>
    <col min="13315" max="13315" width="8.6" style="358" customWidth="1"/>
    <col min="13316" max="13317" width="9.3" style="358" customWidth="1"/>
    <col min="13318" max="13318" width="7.1" style="358" customWidth="1"/>
    <col min="13319" max="13319" width="10.2" style="358" customWidth="1"/>
    <col min="13320" max="13320" width="9.3" style="358" customWidth="1"/>
    <col min="13321" max="13323" width="10.6" style="358" customWidth="1"/>
    <col min="13324" max="13324" width="10.1" style="358" customWidth="1"/>
    <col min="13325" max="13325" width="8.6" style="358"/>
    <col min="13326" max="13326" width="9.3" style="358" customWidth="1"/>
    <col min="13327" max="13566" width="8.6" style="358"/>
    <col min="13567" max="13567" width="3.7" style="358" customWidth="1"/>
    <col min="13568" max="13568" width="18.2" style="358" customWidth="1"/>
    <col min="13569" max="13569" width="7.8" style="358" customWidth="1"/>
    <col min="13570" max="13570" width="7.6" style="358" customWidth="1"/>
    <col min="13571" max="13571" width="8.6" style="358" customWidth="1"/>
    <col min="13572" max="13573" width="9.3" style="358" customWidth="1"/>
    <col min="13574" max="13574" width="7.1" style="358" customWidth="1"/>
    <col min="13575" max="13575" width="10.2" style="358" customWidth="1"/>
    <col min="13576" max="13576" width="9.3" style="358" customWidth="1"/>
    <col min="13577" max="13579" width="10.6" style="358" customWidth="1"/>
    <col min="13580" max="13580" width="10.1" style="358" customWidth="1"/>
    <col min="13581" max="13581" width="8.6" style="358"/>
    <col min="13582" max="13582" width="9.3" style="358" customWidth="1"/>
    <col min="13583" max="13822" width="8.6" style="358"/>
    <col min="13823" max="13823" width="3.7" style="358" customWidth="1"/>
    <col min="13824" max="13824" width="18.2" style="358" customWidth="1"/>
    <col min="13825" max="13825" width="7.8" style="358" customWidth="1"/>
    <col min="13826" max="13826" width="7.6" style="358" customWidth="1"/>
    <col min="13827" max="13827" width="8.6" style="358" customWidth="1"/>
    <col min="13828" max="13829" width="9.3" style="358" customWidth="1"/>
    <col min="13830" max="13830" width="7.1" style="358" customWidth="1"/>
    <col min="13831" max="13831" width="10.2" style="358" customWidth="1"/>
    <col min="13832" max="13832" width="9.3" style="358" customWidth="1"/>
    <col min="13833" max="13835" width="10.6" style="358" customWidth="1"/>
    <col min="13836" max="13836" width="10.1" style="358" customWidth="1"/>
    <col min="13837" max="13837" width="8.6" style="358"/>
    <col min="13838" max="13838" width="9.3" style="358" customWidth="1"/>
    <col min="13839" max="14078" width="8.6" style="358"/>
    <col min="14079" max="14079" width="3.7" style="358" customWidth="1"/>
    <col min="14080" max="14080" width="18.2" style="358" customWidth="1"/>
    <col min="14081" max="14081" width="7.8" style="358" customWidth="1"/>
    <col min="14082" max="14082" width="7.6" style="358" customWidth="1"/>
    <col min="14083" max="14083" width="8.6" style="358" customWidth="1"/>
    <col min="14084" max="14085" width="9.3" style="358" customWidth="1"/>
    <col min="14086" max="14086" width="7.1" style="358" customWidth="1"/>
    <col min="14087" max="14087" width="10.2" style="358" customWidth="1"/>
    <col min="14088" max="14088" width="9.3" style="358" customWidth="1"/>
    <col min="14089" max="14091" width="10.6" style="358" customWidth="1"/>
    <col min="14092" max="14092" width="10.1" style="358" customWidth="1"/>
    <col min="14093" max="14093" width="8.6" style="358"/>
    <col min="14094" max="14094" width="9.3" style="358" customWidth="1"/>
    <col min="14095" max="14334" width="8.6" style="358"/>
    <col min="14335" max="14335" width="3.7" style="358" customWidth="1"/>
    <col min="14336" max="14336" width="18.2" style="358" customWidth="1"/>
    <col min="14337" max="14337" width="7.8" style="358" customWidth="1"/>
    <col min="14338" max="14338" width="7.6" style="358" customWidth="1"/>
    <col min="14339" max="14339" width="8.6" style="358" customWidth="1"/>
    <col min="14340" max="14341" width="9.3" style="358" customWidth="1"/>
    <col min="14342" max="14342" width="7.1" style="358" customWidth="1"/>
    <col min="14343" max="14343" width="10.2" style="358" customWidth="1"/>
    <col min="14344" max="14344" width="9.3" style="358" customWidth="1"/>
    <col min="14345" max="14347" width="10.6" style="358" customWidth="1"/>
    <col min="14348" max="14348" width="10.1" style="358" customWidth="1"/>
    <col min="14349" max="14349" width="8.6" style="358"/>
    <col min="14350" max="14350" width="9.3" style="358" customWidth="1"/>
    <col min="14351" max="14590" width="8.6" style="358"/>
    <col min="14591" max="14591" width="3.7" style="358" customWidth="1"/>
    <col min="14592" max="14592" width="18.2" style="358" customWidth="1"/>
    <col min="14593" max="14593" width="7.8" style="358" customWidth="1"/>
    <col min="14594" max="14594" width="7.6" style="358" customWidth="1"/>
    <col min="14595" max="14595" width="8.6" style="358" customWidth="1"/>
    <col min="14596" max="14597" width="9.3" style="358" customWidth="1"/>
    <col min="14598" max="14598" width="7.1" style="358" customWidth="1"/>
    <col min="14599" max="14599" width="10.2" style="358" customWidth="1"/>
    <col min="14600" max="14600" width="9.3" style="358" customWidth="1"/>
    <col min="14601" max="14603" width="10.6" style="358" customWidth="1"/>
    <col min="14604" max="14604" width="10.1" style="358" customWidth="1"/>
    <col min="14605" max="14605" width="8.6" style="358"/>
    <col min="14606" max="14606" width="9.3" style="358" customWidth="1"/>
    <col min="14607" max="14846" width="8.6" style="358"/>
    <col min="14847" max="14847" width="3.7" style="358" customWidth="1"/>
    <col min="14848" max="14848" width="18.2" style="358" customWidth="1"/>
    <col min="14849" max="14849" width="7.8" style="358" customWidth="1"/>
    <col min="14850" max="14850" width="7.6" style="358" customWidth="1"/>
    <col min="14851" max="14851" width="8.6" style="358" customWidth="1"/>
    <col min="14852" max="14853" width="9.3" style="358" customWidth="1"/>
    <col min="14854" max="14854" width="7.1" style="358" customWidth="1"/>
    <col min="14855" max="14855" width="10.2" style="358" customWidth="1"/>
    <col min="14856" max="14856" width="9.3" style="358" customWidth="1"/>
    <col min="14857" max="14859" width="10.6" style="358" customWidth="1"/>
    <col min="14860" max="14860" width="10.1" style="358" customWidth="1"/>
    <col min="14861" max="14861" width="8.6" style="358"/>
    <col min="14862" max="14862" width="9.3" style="358" customWidth="1"/>
    <col min="14863" max="15102" width="8.6" style="358"/>
    <col min="15103" max="15103" width="3.7" style="358" customWidth="1"/>
    <col min="15104" max="15104" width="18.2" style="358" customWidth="1"/>
    <col min="15105" max="15105" width="7.8" style="358" customWidth="1"/>
    <col min="15106" max="15106" width="7.6" style="358" customWidth="1"/>
    <col min="15107" max="15107" width="8.6" style="358" customWidth="1"/>
    <col min="15108" max="15109" width="9.3" style="358" customWidth="1"/>
    <col min="15110" max="15110" width="7.1" style="358" customWidth="1"/>
    <col min="15111" max="15111" width="10.2" style="358" customWidth="1"/>
    <col min="15112" max="15112" width="9.3" style="358" customWidth="1"/>
    <col min="15113" max="15115" width="10.6" style="358" customWidth="1"/>
    <col min="15116" max="15116" width="10.1" style="358" customWidth="1"/>
    <col min="15117" max="15117" width="8.6" style="358"/>
    <col min="15118" max="15118" width="9.3" style="358" customWidth="1"/>
    <col min="15119" max="15358" width="8.6" style="358"/>
    <col min="15359" max="15359" width="3.7" style="358" customWidth="1"/>
    <col min="15360" max="15360" width="18.2" style="358" customWidth="1"/>
    <col min="15361" max="15361" width="7.8" style="358" customWidth="1"/>
    <col min="15362" max="15362" width="7.6" style="358" customWidth="1"/>
    <col min="15363" max="15363" width="8.6" style="358" customWidth="1"/>
    <col min="15364" max="15365" width="9.3" style="358" customWidth="1"/>
    <col min="15366" max="15366" width="7.1" style="358" customWidth="1"/>
    <col min="15367" max="15367" width="10.2" style="358" customWidth="1"/>
    <col min="15368" max="15368" width="9.3" style="358" customWidth="1"/>
    <col min="15369" max="15371" width="10.6" style="358" customWidth="1"/>
    <col min="15372" max="15372" width="10.1" style="358" customWidth="1"/>
    <col min="15373" max="15373" width="8.6" style="358"/>
    <col min="15374" max="15374" width="9.3" style="358" customWidth="1"/>
    <col min="15375" max="15614" width="8.6" style="358"/>
    <col min="15615" max="15615" width="3.7" style="358" customWidth="1"/>
    <col min="15616" max="15616" width="18.2" style="358" customWidth="1"/>
    <col min="15617" max="15617" width="7.8" style="358" customWidth="1"/>
    <col min="15618" max="15618" width="7.6" style="358" customWidth="1"/>
    <col min="15619" max="15619" width="8.6" style="358" customWidth="1"/>
    <col min="15620" max="15621" width="9.3" style="358" customWidth="1"/>
    <col min="15622" max="15622" width="7.1" style="358" customWidth="1"/>
    <col min="15623" max="15623" width="10.2" style="358" customWidth="1"/>
    <col min="15624" max="15624" width="9.3" style="358" customWidth="1"/>
    <col min="15625" max="15627" width="10.6" style="358" customWidth="1"/>
    <col min="15628" max="15628" width="10.1" style="358" customWidth="1"/>
    <col min="15629" max="15629" width="8.6" style="358"/>
    <col min="15630" max="15630" width="9.3" style="358" customWidth="1"/>
    <col min="15631" max="15870" width="8.6" style="358"/>
    <col min="15871" max="15871" width="3.7" style="358" customWidth="1"/>
    <col min="15872" max="15872" width="18.2" style="358" customWidth="1"/>
    <col min="15873" max="15873" width="7.8" style="358" customWidth="1"/>
    <col min="15874" max="15874" width="7.6" style="358" customWidth="1"/>
    <col min="15875" max="15875" width="8.6" style="358" customWidth="1"/>
    <col min="15876" max="15877" width="9.3" style="358" customWidth="1"/>
    <col min="15878" max="15878" width="7.1" style="358" customWidth="1"/>
    <col min="15879" max="15879" width="10.2" style="358" customWidth="1"/>
    <col min="15880" max="15880" width="9.3" style="358" customWidth="1"/>
    <col min="15881" max="15883" width="10.6" style="358" customWidth="1"/>
    <col min="15884" max="15884" width="10.1" style="358" customWidth="1"/>
    <col min="15885" max="15885" width="8.6" style="358"/>
    <col min="15886" max="15886" width="9.3" style="358" customWidth="1"/>
    <col min="15887" max="16126" width="8.6" style="358"/>
    <col min="16127" max="16127" width="3.7" style="358" customWidth="1"/>
    <col min="16128" max="16128" width="18.2" style="358" customWidth="1"/>
    <col min="16129" max="16129" width="7.8" style="358" customWidth="1"/>
    <col min="16130" max="16130" width="7.6" style="358" customWidth="1"/>
    <col min="16131" max="16131" width="8.6" style="358" customWidth="1"/>
    <col min="16132" max="16133" width="9.3" style="358" customWidth="1"/>
    <col min="16134" max="16134" width="7.1" style="358" customWidth="1"/>
    <col min="16135" max="16135" width="10.2" style="358" customWidth="1"/>
    <col min="16136" max="16136" width="9.3" style="358" customWidth="1"/>
    <col min="16137" max="16139" width="10.6" style="358" customWidth="1"/>
    <col min="16140" max="16140" width="10.1" style="358" customWidth="1"/>
    <col min="16141" max="16141" width="8.6" style="358"/>
    <col min="16142" max="16142" width="9.3" style="358" customWidth="1"/>
    <col min="16143" max="16384" width="8.6" style="358"/>
  </cols>
  <sheetData>
    <row r="1" hidden="1" spans="2:24">
      <c r="C1" s="359">
        <f>IF(C9&gt;0,1,0)</f>
        <v>0</v>
      </c>
      <c r="D1" s="359">
        <f>IF(D9&gt;0,1,IF(C1=1,1,0))</f>
        <v>0</v>
      </c>
      <c r="E1" s="359">
        <f t="shared" ref="E1:M1" si="0">IF(E9&gt;0,1,IF(D1=1,1,0))</f>
        <v>0</v>
      </c>
      <c r="F1" s="359">
        <f t="shared" si="0"/>
        <v>0</v>
      </c>
      <c r="G1" s="359">
        <f t="shared" si="0"/>
        <v>0</v>
      </c>
      <c r="H1" s="359">
        <f t="shared" si="0"/>
        <v>0</v>
      </c>
      <c r="I1" s="359">
        <f t="shared" si="0"/>
        <v>0</v>
      </c>
      <c r="J1" s="359">
        <f t="shared" si="0"/>
        <v>0</v>
      </c>
      <c r="K1" s="359">
        <f t="shared" si="0"/>
        <v>0</v>
      </c>
      <c r="L1" s="359">
        <f t="shared" si="0"/>
        <v>0</v>
      </c>
      <c r="M1" s="359">
        <f t="shared" si="0"/>
        <v>0</v>
      </c>
    </row>
    <row r="2" spans="2:24">
      <c r="M2" s="359">
        <f>SUM(C1:M1)</f>
        <v>0</v>
      </c>
      <c r="O2" s="361" t="s">
        <v>4851</v>
      </c>
      <c r="P2" s="361" t="s">
        <v>4852</v>
      </c>
      <c r="Q2" s="362" t="s">
        <v>4853</v>
      </c>
      <c r="R2" s="362"/>
      <c r="S2" s="362"/>
      <c r="U2" s="363" t="s">
        <v>4854</v>
      </c>
      <c r="V2" s="359">
        <f>'无形-收益法'!BG2</f>
        <v>5</v>
      </c>
    </row>
    <row r="3" s="357" customFormat="1" spans="2:24">
      <c r="B3" s="364" t="s">
        <v>4855</v>
      </c>
      <c r="C3" s="365" t="str">
        <f t="shared" ref="C3:L3" si="1">LEFT(D3,4)-1&amp;"年度"</f>
        <v>2015年度</v>
      </c>
      <c r="D3" s="365" t="str">
        <f t="shared" si="1"/>
        <v>2016年度</v>
      </c>
      <c r="E3" s="365" t="str">
        <f t="shared" si="1"/>
        <v>2017年度</v>
      </c>
      <c r="F3" s="365" t="str">
        <f t="shared" si="1"/>
        <v>2018年度</v>
      </c>
      <c r="G3" s="365" t="str">
        <f t="shared" si="1"/>
        <v>2019年度</v>
      </c>
      <c r="H3" s="365" t="str">
        <f t="shared" si="1"/>
        <v>2020年度</v>
      </c>
      <c r="I3" s="365" t="str">
        <f t="shared" si="1"/>
        <v>2021年度</v>
      </c>
      <c r="J3" s="365" t="str">
        <f t="shared" si="1"/>
        <v>2022年度</v>
      </c>
      <c r="K3" s="365" t="str">
        <f t="shared" si="1"/>
        <v>2023年度</v>
      </c>
      <c r="L3" s="365" t="str">
        <f t="shared" si="1"/>
        <v>2024年度</v>
      </c>
      <c r="M3" s="365" t="str">
        <f>参数表!F32</f>
        <v>2025年1-7月</v>
      </c>
      <c r="O3" s="361"/>
      <c r="P3" s="361"/>
      <c r="Q3" s="366" t="str">
        <f>LEFT(R3,4)-1&amp;"年度"</f>
        <v>2022年度</v>
      </c>
      <c r="R3" s="366" t="str">
        <f>LEFT(S3,4)-1&amp;"年度"</f>
        <v>2023年度</v>
      </c>
      <c r="S3" s="366" t="str">
        <f>IF(V2=12,LEFT(M3,4),LEFT(L3,4))&amp;"年度"</f>
        <v>2024年度</v>
      </c>
      <c r="T3" s="367"/>
      <c r="U3" s="368" t="s">
        <v>4856</v>
      </c>
      <c r="V3" s="368" t="s">
        <v>463</v>
      </c>
      <c r="W3" s="368" t="s">
        <v>4857</v>
      </c>
      <c r="X3" s="368" t="s">
        <v>4858</v>
      </c>
    </row>
    <row r="4" spans="2:24">
      <c r="B4" s="364" t="s">
        <v>4859</v>
      </c>
      <c r="C4" s="369"/>
      <c r="D4" s="370"/>
      <c r="E4" s="370"/>
      <c r="F4" s="370"/>
      <c r="G4" s="370"/>
      <c r="H4" s="370"/>
      <c r="I4" s="370"/>
      <c r="J4" s="370"/>
      <c r="K4" s="370"/>
      <c r="L4" s="370"/>
      <c r="M4" s="370"/>
      <c r="O4" s="371" t="s">
        <v>4860</v>
      </c>
      <c r="P4" s="371" t="s">
        <v>4861</v>
      </c>
      <c r="Q4" s="372">
        <v>10.5199</v>
      </c>
      <c r="R4" s="372">
        <v>9.6544</v>
      </c>
      <c r="S4" s="372">
        <v>7.0013</v>
      </c>
      <c r="T4" s="373"/>
      <c r="U4" s="364" t="s">
        <v>842</v>
      </c>
      <c r="V4" s="374" t="s">
        <v>4862</v>
      </c>
      <c r="W4" s="375"/>
      <c r="X4" s="376" t="e">
        <f ca="1">M55</f>
        <v>#DIV/0!</v>
      </c>
    </row>
    <row r="5" spans="2:24">
      <c r="B5" s="364" t="s">
        <v>4863</v>
      </c>
      <c r="C5" s="369"/>
      <c r="D5" s="370"/>
      <c r="E5" s="370"/>
      <c r="F5" s="370"/>
      <c r="G5" s="370"/>
      <c r="H5" s="370"/>
      <c r="I5" s="370"/>
      <c r="J5" s="370"/>
      <c r="K5" s="370"/>
      <c r="L5" s="370"/>
      <c r="M5" s="370"/>
      <c r="O5" s="371" t="s">
        <v>4864</v>
      </c>
      <c r="P5" s="371" t="s">
        <v>4865</v>
      </c>
      <c r="Q5" s="372">
        <v>11.4816</v>
      </c>
      <c r="R5" s="372">
        <v>0.2896</v>
      </c>
      <c r="S5" s="372">
        <v>5.7436</v>
      </c>
      <c r="T5" s="373"/>
      <c r="U5" s="364" t="s">
        <v>580</v>
      </c>
      <c r="V5" s="374" t="s">
        <v>4866</v>
      </c>
      <c r="W5" s="375"/>
      <c r="X5" s="377"/>
    </row>
    <row r="6" spans="2:24">
      <c r="B6" s="364" t="s">
        <v>4867</v>
      </c>
      <c r="C6" s="369"/>
      <c r="D6" s="370"/>
      <c r="E6" s="370"/>
      <c r="F6" s="370"/>
      <c r="G6" s="370"/>
      <c r="H6" s="370"/>
      <c r="I6" s="370"/>
      <c r="J6" s="370"/>
      <c r="K6" s="370"/>
      <c r="L6" s="370"/>
      <c r="M6" s="370"/>
      <c r="O6" s="371" t="s">
        <v>4868</v>
      </c>
      <c r="P6" s="371" t="s">
        <v>4869</v>
      </c>
      <c r="Q6" s="372">
        <v>5.9332</v>
      </c>
      <c r="R6" s="372">
        <v>7.2602</v>
      </c>
      <c r="S6" s="372">
        <v>7.6625</v>
      </c>
      <c r="T6" s="373"/>
      <c r="U6" s="364" t="s">
        <v>581</v>
      </c>
      <c r="V6" s="374" t="s">
        <v>4870</v>
      </c>
      <c r="W6" s="375"/>
      <c r="X6" s="378" t="str">
        <f>参数表!B5</f>
        <v>2025年7月31日</v>
      </c>
    </row>
    <row r="7" spans="2:24">
      <c r="B7" s="364" t="s">
        <v>4871</v>
      </c>
      <c r="C7" s="369"/>
      <c r="D7" s="370"/>
      <c r="E7" s="370"/>
      <c r="F7" s="370"/>
      <c r="G7" s="370"/>
      <c r="H7" s="370"/>
      <c r="I7" s="370"/>
      <c r="J7" s="370"/>
      <c r="K7" s="370"/>
      <c r="L7" s="370"/>
      <c r="M7" s="370"/>
      <c r="O7" s="371" t="s">
        <v>4872</v>
      </c>
      <c r="P7" s="371" t="s">
        <v>4873</v>
      </c>
      <c r="Q7" s="372">
        <v>1.6964</v>
      </c>
      <c r="R7" s="372">
        <v>2.4697</v>
      </c>
      <c r="S7" s="372">
        <v>2.8404</v>
      </c>
      <c r="T7" s="373"/>
      <c r="U7" s="364" t="s">
        <v>589</v>
      </c>
      <c r="V7" s="374" t="s">
        <v>4874</v>
      </c>
      <c r="W7" s="375" t="s">
        <v>4875</v>
      </c>
      <c r="X7" s="379">
        <f>(X6-X5)/365.25</f>
        <v>125.582477754962</v>
      </c>
    </row>
    <row r="8" spans="2:24">
      <c r="B8" s="364" t="s">
        <v>4876</v>
      </c>
      <c r="C8" s="369"/>
      <c r="D8" s="370"/>
      <c r="E8" s="370"/>
      <c r="F8" s="370"/>
      <c r="G8" s="370"/>
      <c r="H8" s="370"/>
      <c r="I8" s="370"/>
      <c r="J8" s="370"/>
      <c r="K8" s="370"/>
      <c r="L8" s="370"/>
      <c r="M8" s="370"/>
      <c r="O8" s="371" t="s">
        <v>4877</v>
      </c>
      <c r="P8" s="371" t="s">
        <v>4878</v>
      </c>
      <c r="Q8" s="372">
        <v>2.9417</v>
      </c>
      <c r="R8" s="372">
        <v>0.6425</v>
      </c>
      <c r="S8" s="372">
        <v>0.578</v>
      </c>
      <c r="T8" s="373"/>
      <c r="U8" s="364" t="s">
        <v>597</v>
      </c>
      <c r="V8" s="374" t="s">
        <v>4879</v>
      </c>
      <c r="W8" s="375"/>
      <c r="X8" s="380">
        <v>7.5</v>
      </c>
    </row>
    <row r="9" spans="2:24">
      <c r="B9" s="364" t="s">
        <v>4880</v>
      </c>
      <c r="C9" s="381">
        <f t="shared" ref="C9:M9" si="2">SUM(C4:C8)</f>
        <v>0</v>
      </c>
      <c r="D9" s="381">
        <f t="shared" si="2"/>
        <v>0</v>
      </c>
      <c r="E9" s="381">
        <f t="shared" si="2"/>
        <v>0</v>
      </c>
      <c r="F9" s="381">
        <f t="shared" si="2"/>
        <v>0</v>
      </c>
      <c r="G9" s="381">
        <f t="shared" si="2"/>
        <v>0</v>
      </c>
      <c r="H9" s="381">
        <f t="shared" si="2"/>
        <v>0</v>
      </c>
      <c r="I9" s="382">
        <f t="shared" si="2"/>
        <v>0</v>
      </c>
      <c r="J9" s="382">
        <f t="shared" si="2"/>
        <v>0</v>
      </c>
      <c r="K9" s="382">
        <f t="shared" si="2"/>
        <v>0</v>
      </c>
      <c r="L9" s="382">
        <f t="shared" si="2"/>
        <v>0</v>
      </c>
      <c r="M9" s="382">
        <f t="shared" si="2"/>
        <v>0</v>
      </c>
      <c r="O9" s="371" t="s">
        <v>4881</v>
      </c>
      <c r="P9" s="371" t="s">
        <v>4882</v>
      </c>
      <c r="Q9" s="372">
        <v>3.7144</v>
      </c>
      <c r="R9" s="372">
        <v>0.635</v>
      </c>
      <c r="S9" s="372">
        <v>2.7704</v>
      </c>
      <c r="T9" s="373"/>
      <c r="U9" s="364" t="s">
        <v>582</v>
      </c>
      <c r="V9" s="374" t="s">
        <v>4883</v>
      </c>
      <c r="W9" s="375" t="s">
        <v>4884</v>
      </c>
      <c r="X9" s="379">
        <f>ROUND(X7+X8,0)</f>
        <v>133</v>
      </c>
    </row>
    <row r="10" spans="2:24">
      <c r="I10" s="383"/>
      <c r="J10" s="383"/>
      <c r="K10" s="383"/>
      <c r="L10" s="383"/>
      <c r="M10" s="383"/>
      <c r="O10" s="371" t="s">
        <v>4885</v>
      </c>
      <c r="P10" s="371" t="s">
        <v>4886</v>
      </c>
      <c r="Q10" s="372">
        <v>8.0934</v>
      </c>
      <c r="R10" s="372">
        <v>6.3971</v>
      </c>
      <c r="S10" s="372">
        <v>6.3144</v>
      </c>
      <c r="T10" s="373"/>
      <c r="U10" s="364" t="s">
        <v>583</v>
      </c>
      <c r="V10" s="374" t="s">
        <v>4887</v>
      </c>
      <c r="W10" s="375" t="s">
        <v>4888</v>
      </c>
      <c r="X10" s="384">
        <f>ROUND(1-X7/(X7+X8),2)</f>
        <v>0.06</v>
      </c>
    </row>
    <row r="11" s="357" customFormat="1" spans="2:24">
      <c r="B11" s="364" t="s">
        <v>4889</v>
      </c>
      <c r="C11" s="365" t="str">
        <f t="shared" ref="C11:M11" si="3">C3</f>
        <v>2015年度</v>
      </c>
      <c r="D11" s="365" t="str">
        <f t="shared" si="3"/>
        <v>2016年度</v>
      </c>
      <c r="E11" s="365" t="str">
        <f t="shared" si="3"/>
        <v>2017年度</v>
      </c>
      <c r="F11" s="365" t="str">
        <f t="shared" si="3"/>
        <v>2018年度</v>
      </c>
      <c r="G11" s="365" t="str">
        <f t="shared" si="3"/>
        <v>2019年度</v>
      </c>
      <c r="H11" s="365" t="str">
        <f t="shared" si="3"/>
        <v>2020年度</v>
      </c>
      <c r="I11" s="365" t="str">
        <f t="shared" si="3"/>
        <v>2021年度</v>
      </c>
      <c r="J11" s="365" t="str">
        <f t="shared" si="3"/>
        <v>2022年度</v>
      </c>
      <c r="K11" s="365" t="str">
        <f t="shared" si="3"/>
        <v>2023年度</v>
      </c>
      <c r="L11" s="365" t="str">
        <f t="shared" si="3"/>
        <v>2024年度</v>
      </c>
      <c r="M11" s="365" t="str">
        <f t="shared" si="3"/>
        <v>2025年1-7月</v>
      </c>
      <c r="O11" s="371" t="s">
        <v>4890</v>
      </c>
      <c r="P11" s="371" t="s">
        <v>4891</v>
      </c>
      <c r="Q11" s="372">
        <v>2.6983</v>
      </c>
      <c r="R11" s="372">
        <v>1.9556</v>
      </c>
      <c r="S11" s="372">
        <v>7.0044</v>
      </c>
      <c r="T11" s="373"/>
      <c r="U11" s="364" t="s">
        <v>590</v>
      </c>
      <c r="V11" s="374" t="s">
        <v>4741</v>
      </c>
      <c r="W11" s="375" t="s">
        <v>4892</v>
      </c>
      <c r="X11" s="376" t="e">
        <f ca="1">ROUND(X4*X10,0)</f>
        <v>#DIV/0!</v>
      </c>
    </row>
    <row r="12" spans="2:24">
      <c r="B12" s="364" t="s">
        <v>4893</v>
      </c>
      <c r="C12" s="365"/>
      <c r="D12" s="385">
        <f ca="1">D18/C18*100</f>
        <v>105.511816507548</v>
      </c>
      <c r="E12" s="385">
        <f ca="1" t="shared" ref="E12:M12" si="4">E18/D18*100</f>
        <v>104.997947567476</v>
      </c>
      <c r="F12" s="385">
        <f ca="1" t="shared" si="4"/>
        <v>100.792303198868</v>
      </c>
      <c r="G12" s="385">
        <f ca="1" t="shared" si="4"/>
        <v>98.307527537333</v>
      </c>
      <c r="H12" s="385">
        <f ca="1" t="shared" si="4"/>
        <v>99.5759411573232</v>
      </c>
      <c r="I12" s="385">
        <f ca="1" t="shared" si="4"/>
        <v>110.310861374644</v>
      </c>
      <c r="J12" s="385">
        <f ca="1" t="shared" si="4"/>
        <v>99.2760026742046</v>
      </c>
      <c r="K12" s="385">
        <f ca="1" t="shared" si="4"/>
        <v>97.2277057701917</v>
      </c>
      <c r="L12" s="385">
        <f ca="1" t="shared" si="4"/>
        <v>97.7207075908992</v>
      </c>
      <c r="M12" s="385">
        <f ca="1" t="shared" si="4"/>
        <v>97.918313436429</v>
      </c>
      <c r="O12" s="371" t="s">
        <v>4894</v>
      </c>
      <c r="P12" s="371" t="s">
        <v>4895</v>
      </c>
      <c r="Q12" s="372">
        <v>1.3726</v>
      </c>
      <c r="R12" s="372">
        <v>1.2197</v>
      </c>
      <c r="S12" s="372">
        <v>2.5793</v>
      </c>
      <c r="T12" s="373"/>
      <c r="U12" s="357"/>
      <c r="V12" s="357"/>
      <c r="W12" s="357"/>
      <c r="X12" s="357"/>
    </row>
    <row r="13" spans="2:24">
      <c r="B13" s="364" t="s">
        <v>4896</v>
      </c>
      <c r="C13" s="365"/>
      <c r="D13" s="385">
        <f ca="1">D19/C19*100</f>
        <v>115.230429674966</v>
      </c>
      <c r="E13" s="385">
        <f ca="1" t="shared" ref="E13:M13" si="5">E19/D19*100</f>
        <v>97.7760818684827</v>
      </c>
      <c r="F13" s="385">
        <f ca="1" t="shared" si="5"/>
        <v>96.0720389794953</v>
      </c>
      <c r="G13" s="385">
        <f ca="1" t="shared" si="5"/>
        <v>100.20767473749</v>
      </c>
      <c r="H13" s="385">
        <f ca="1" t="shared" si="5"/>
        <v>99.7201556160183</v>
      </c>
      <c r="I13" s="385">
        <f ca="1" t="shared" si="5"/>
        <v>107.28645527151</v>
      </c>
      <c r="J13" s="385">
        <f ca="1" t="shared" si="5"/>
        <v>93.1184128018695</v>
      </c>
      <c r="K13" s="385">
        <f ca="1" t="shared" si="5"/>
        <v>0</v>
      </c>
      <c r="L13" s="385" t="e">
        <f ca="1" t="shared" si="5"/>
        <v>#DIV/0!</v>
      </c>
      <c r="M13" s="385" t="e">
        <f ca="1" t="shared" si="5"/>
        <v>#DIV/0!</v>
      </c>
      <c r="O13" s="371" t="s">
        <v>4897</v>
      </c>
      <c r="P13" s="371" t="s">
        <v>4898</v>
      </c>
      <c r="Q13" s="372">
        <v>0.3105</v>
      </c>
      <c r="R13" s="372">
        <v>0.5241</v>
      </c>
      <c r="S13" s="372">
        <v>1.4651</v>
      </c>
      <c r="T13" s="373"/>
    </row>
    <row r="14" spans="2:24">
      <c r="B14" s="386" t="s">
        <v>4899</v>
      </c>
      <c r="C14" s="365"/>
      <c r="D14" s="385">
        <f>D17/C17*100</f>
        <v>108.339483394834</v>
      </c>
      <c r="E14" s="385">
        <f t="shared" ref="E14:M14" si="6">E17/D17*100</f>
        <v>104.068615308397</v>
      </c>
      <c r="F14" s="385">
        <f t="shared" si="6"/>
        <v>111.19904790241</v>
      </c>
      <c r="G14" s="385">
        <f t="shared" si="6"/>
        <v>111.799646813293</v>
      </c>
      <c r="H14" s="385">
        <f t="shared" si="6"/>
        <v>110.913268236646</v>
      </c>
      <c r="I14" s="385">
        <f t="shared" si="6"/>
        <v>111.565682720525</v>
      </c>
      <c r="J14" s="385">
        <f t="shared" si="6"/>
        <v>109.639486306669</v>
      </c>
      <c r="K14" s="385">
        <f t="shared" si="6"/>
        <v>108.755527330887</v>
      </c>
      <c r="L14" s="385">
        <f t="shared" si="6"/>
        <v>109.869481060155</v>
      </c>
      <c r="M14" s="385">
        <f t="shared" si="6"/>
        <v>110</v>
      </c>
      <c r="O14" s="371" t="s">
        <v>4900</v>
      </c>
      <c r="P14" s="371" t="s">
        <v>4901</v>
      </c>
      <c r="Q14" s="372">
        <v>0.5372</v>
      </c>
      <c r="R14" s="372">
        <v>2.8733</v>
      </c>
      <c r="S14" s="372">
        <v>4.2648</v>
      </c>
      <c r="T14" s="373"/>
    </row>
    <row r="15" spans="2:24">
      <c r="O15" s="371" t="s">
        <v>4902</v>
      </c>
      <c r="P15" s="371" t="s">
        <v>4903</v>
      </c>
      <c r="Q15" s="372">
        <v>27.6192</v>
      </c>
      <c r="R15" s="372">
        <v>13.7992</v>
      </c>
      <c r="S15" s="372">
        <v>20.0181</v>
      </c>
      <c r="T15" s="373"/>
    </row>
    <row r="16" spans="2:24">
      <c r="B16" s="364" t="s">
        <v>4889</v>
      </c>
      <c r="C16" s="365" t="str">
        <f t="shared" ref="C16:L16" si="7">LEFT(C11,5)&amp;"12月31日"</f>
        <v>2015年12月31日</v>
      </c>
      <c r="D16" s="365" t="str">
        <f t="shared" si="7"/>
        <v>2016年12月31日</v>
      </c>
      <c r="E16" s="365" t="str">
        <f t="shared" si="7"/>
        <v>2017年12月31日</v>
      </c>
      <c r="F16" s="365" t="str">
        <f t="shared" si="7"/>
        <v>2018年12月31日</v>
      </c>
      <c r="G16" s="365" t="str">
        <f t="shared" si="7"/>
        <v>2019年12月31日</v>
      </c>
      <c r="H16" s="365" t="str">
        <f t="shared" si="7"/>
        <v>2020年12月31日</v>
      </c>
      <c r="I16" s="365" t="str">
        <f t="shared" si="7"/>
        <v>2021年12月31日</v>
      </c>
      <c r="J16" s="365" t="str">
        <f t="shared" si="7"/>
        <v>2022年12月31日</v>
      </c>
      <c r="K16" s="365" t="str">
        <f t="shared" si="7"/>
        <v>2023年12月31日</v>
      </c>
      <c r="L16" s="365" t="str">
        <f t="shared" si="7"/>
        <v>2024年12月31日</v>
      </c>
      <c r="M16" s="387" t="str">
        <f>X6</f>
        <v>2025年7月31日</v>
      </c>
      <c r="O16" s="371"/>
      <c r="P16" s="371"/>
      <c r="Q16" s="372"/>
      <c r="R16" s="372"/>
      <c r="S16" s="372"/>
    </row>
    <row r="17" spans="2:24">
      <c r="B17" s="386" t="s">
        <v>4904</v>
      </c>
      <c r="C17" s="388">
        <f>44715/12</f>
        <v>3726.25</v>
      </c>
      <c r="D17" s="388">
        <f>48444/12</f>
        <v>4037</v>
      </c>
      <c r="E17" s="389">
        <f>50415/12</f>
        <v>4201.25</v>
      </c>
      <c r="F17" s="389">
        <f>56061/12</f>
        <v>4671.75</v>
      </c>
      <c r="G17" s="389">
        <v>5223</v>
      </c>
      <c r="H17" s="389">
        <v>5793</v>
      </c>
      <c r="I17" s="389">
        <v>6463</v>
      </c>
      <c r="J17" s="389">
        <v>7086</v>
      </c>
      <c r="K17" s="389">
        <v>7706.41666666667</v>
      </c>
      <c r="L17" s="389">
        <v>8467</v>
      </c>
      <c r="M17" s="389">
        <f>L17*1.1</f>
        <v>9313.7</v>
      </c>
      <c r="O17" s="371"/>
      <c r="P17" s="371"/>
      <c r="Q17" s="372"/>
      <c r="R17" s="372"/>
      <c r="S17" s="372"/>
    </row>
    <row r="18" spans="2:24">
      <c r="B18" s="390" t="s">
        <v>4905</v>
      </c>
      <c r="C18" s="391">
        <f ca="1">LOOKUP(C16*1,INDIRECT("基础数据!$A4:$D"&amp;COUNTIF(基础数据!$A:$A,"&lt;="&amp;$X6)+5))</f>
        <v>3.19461216330103</v>
      </c>
      <c r="D18" s="391">
        <f ca="1">LOOKUP(D16*1,INDIRECT("基础数据!$A4:$D"&amp;COUNTIF(基础数据!$A:$A,"&lt;="&amp;$X6)+5))</f>
        <v>3.37069332386998</v>
      </c>
      <c r="E18" s="391">
        <f ca="1">LOOKUP(E16*1,INDIRECT("基础数据!$A4:$D"&amp;COUNTIF(基础数据!$A:$A,"&lt;="&amp;$X6)+5))</f>
        <v>3.53915880885741</v>
      </c>
      <c r="F18" s="391">
        <f ca="1">LOOKUP(F16*1,INDIRECT("基础数据!$A4:$D"&amp;COUNTIF(基础数据!$A:$A,"&lt;="&amp;$X6)+5))</f>
        <v>3.56719967731302</v>
      </c>
      <c r="G18" s="391">
        <f ca="1">LOOKUP(G16*1,INDIRECT("基础数据!$A4:$D"&amp;COUNTIF(基础数据!$A:$A,"&lt;="&amp;$X6)+5))</f>
        <v>3.50682580508615</v>
      </c>
      <c r="H18" s="391">
        <f ca="1">LOOKUP(H16*1,INDIRECT("基础数据!$A4:$D"&amp;COUNTIF(基础数据!$A:$A,"&lt;="&amp;$X6)+5))</f>
        <v>3.49195480016241</v>
      </c>
      <c r="I18" s="391">
        <f ca="1">LOOKUP(I16*1,INDIRECT("基础数据!$A4:$D"&amp;COUNTIF(基础数据!$A:$A,"&lt;="&amp;$X6)+5))</f>
        <v>3.85200541887239</v>
      </c>
      <c r="J18" s="391">
        <f ca="1">LOOKUP(J16*1,INDIRECT("基础数据!$A4:$D"&amp;COUNTIF(基础数据!$A:$A,"&lt;="&amp;$X6)+5))</f>
        <v>3.82411700265026</v>
      </c>
      <c r="K18" s="391">
        <f ca="1">LOOKUP(K16*1,INDIRECT("基础数据!$A4:$D"&amp;COUNTIF(基础数据!$A:$A,"&lt;="&amp;$X6)+5))</f>
        <v>3.71810122764467</v>
      </c>
      <c r="L18" s="391">
        <f ca="1">LOOKUP(L16*1,INDIRECT("基础数据!$A4:$D"&amp;COUNTIF(基础数据!$A:$A,"&lt;="&amp;$X6)+5))</f>
        <v>3.63335482860028</v>
      </c>
      <c r="M18" s="391">
        <f ca="1">LOOKUP(M16*1,INDIRECT("基础数据!$A4:$D"&amp;COUNTIF(基础数据!$A:$A,"&lt;="&amp;$X6)+5))</f>
        <v>3.55771976932645</v>
      </c>
      <c r="O18" s="371"/>
      <c r="P18" s="371"/>
      <c r="Q18" s="372"/>
      <c r="R18" s="372"/>
      <c r="S18" s="372"/>
    </row>
    <row r="19" spans="2:24">
      <c r="B19" s="390" t="s">
        <v>4906</v>
      </c>
      <c r="C19" s="391">
        <f ca="1">LOOKUP(C16*1,INDIRECT("基础数据!$A4:$h"&amp;COUNTIF(基础数据!$A:$A,"&lt;="&amp;$X6)+5))</f>
        <v>0.92688330098039</v>
      </c>
      <c r="D19" s="391">
        <f ca="1">LOOKUP(D16*1,INDIRECT("基础数据!$A4:$h"&amp;COUNTIF(基础数据!$A:$A,"&lt;="&amp;$X6)+5))</f>
        <v>1.06805161030521</v>
      </c>
      <c r="E19" s="391">
        <f ca="1">LOOKUP(E16*1,INDIRECT("基础数据!$A4:$h"&amp;COUNTIF(基础数据!$A:$A,"&lt;="&amp;$X6)+5))</f>
        <v>1.04429901688967</v>
      </c>
      <c r="F19" s="391">
        <f ca="1">LOOKUP(F16*1,INDIRECT("基础数据!$A4:$h"&amp;COUNTIF(基础数据!$A:$A,"&lt;="&amp;$X6)+5))</f>
        <v>1.00327935856873</v>
      </c>
      <c r="G19" s="391">
        <f ca="1">LOOKUP(G16*1,INDIRECT("基础数据!$A4:$h"&amp;COUNTIF(基础数据!$A:$A,"&lt;="&amp;$X6)+5))</f>
        <v>1.00536291634293</v>
      </c>
      <c r="H19" s="391">
        <f ca="1">LOOKUP(H16*1,INDIRECT("基础数据!$A4:$h"&amp;COUNTIF(基础数据!$A:$A,"&lt;="&amp;$X6)+5))</f>
        <v>1.00254946468291</v>
      </c>
      <c r="I19" s="391">
        <f ca="1">LOOKUP(I16*1,INDIRECT("基础数据!$A4:$h"&amp;COUNTIF(基础数据!$A:$A,"&lt;="&amp;$X6)+5))</f>
        <v>1.07559978300179</v>
      </c>
      <c r="J19" s="391">
        <f ca="1">LOOKUP(J16*1,INDIRECT("基础数据!$A4:$h"&amp;COUNTIF(基础数据!$A:$A,"&lt;="&amp;$X6)+5))</f>
        <v>1.00158144603162</v>
      </c>
      <c r="K19" s="391">
        <f ca="1">LOOKUP(K16*1,INDIRECT("基础数据!$A4:$h"&amp;COUNTIF(基础数据!$A:$A,"&lt;="&amp;$X6)+5))</f>
        <v>0</v>
      </c>
      <c r="L19" s="391">
        <f ca="1">LOOKUP(L16*1,INDIRECT("基础数据!$A4:$h"&amp;COUNTIF(基础数据!$A:$A,"&lt;="&amp;$X6)+5))</f>
        <v>0</v>
      </c>
      <c r="M19" s="391">
        <f ca="1">LOOKUP(M16*1,INDIRECT("基础数据!$A4:$h"&amp;COUNTIF(基础数据!$A:$A,"&lt;="&amp;$X6)+5))</f>
        <v>0</v>
      </c>
      <c r="O19" s="371"/>
      <c r="P19" s="371"/>
      <c r="Q19" s="372"/>
      <c r="R19" s="372"/>
      <c r="S19" s="372"/>
    </row>
    <row r="20" spans="2:24">
      <c r="O20" s="371"/>
      <c r="P20" s="371"/>
      <c r="Q20" s="372"/>
      <c r="R20" s="372"/>
      <c r="S20" s="372"/>
    </row>
    <row r="21" spans="2:24">
      <c r="B21" s="357" t="s">
        <v>4907</v>
      </c>
      <c r="C21" s="357"/>
      <c r="D21" s="357"/>
      <c r="E21" s="357"/>
      <c r="F21" s="357"/>
      <c r="G21" s="357"/>
      <c r="H21" s="357"/>
      <c r="I21" s="357"/>
      <c r="J21" s="357"/>
      <c r="K21" s="357"/>
      <c r="L21" s="357"/>
      <c r="M21" s="357"/>
      <c r="O21" s="371"/>
      <c r="P21" s="371"/>
      <c r="Q21" s="372"/>
      <c r="R21" s="372"/>
      <c r="S21" s="372"/>
    </row>
    <row r="22" spans="2:24">
      <c r="B22" s="364" t="s">
        <v>4855</v>
      </c>
      <c r="C22" s="365" t="str">
        <f t="shared" ref="C22:M22" si="8">C3</f>
        <v>2015年度</v>
      </c>
      <c r="D22" s="365" t="str">
        <f t="shared" si="8"/>
        <v>2016年度</v>
      </c>
      <c r="E22" s="365" t="str">
        <f t="shared" si="8"/>
        <v>2017年度</v>
      </c>
      <c r="F22" s="365" t="str">
        <f t="shared" si="8"/>
        <v>2018年度</v>
      </c>
      <c r="G22" s="365" t="str">
        <f t="shared" si="8"/>
        <v>2019年度</v>
      </c>
      <c r="H22" s="365" t="str">
        <f t="shared" si="8"/>
        <v>2020年度</v>
      </c>
      <c r="I22" s="365" t="str">
        <f t="shared" si="8"/>
        <v>2021年度</v>
      </c>
      <c r="J22" s="365" t="str">
        <f t="shared" si="8"/>
        <v>2022年度</v>
      </c>
      <c r="K22" s="365" t="str">
        <f t="shared" si="8"/>
        <v>2023年度</v>
      </c>
      <c r="L22" s="365" t="str">
        <f t="shared" si="8"/>
        <v>2024年度</v>
      </c>
      <c r="M22" s="365" t="str">
        <f t="shared" si="8"/>
        <v>2025年1-7月</v>
      </c>
      <c r="O22" s="371"/>
      <c r="P22" s="371"/>
      <c r="Q22" s="372"/>
      <c r="R22" s="372"/>
      <c r="S22" s="372"/>
    </row>
    <row r="23" s="357" customFormat="1" spans="2:24">
      <c r="B23" s="364" t="str">
        <f>B4</f>
        <v>设备购置费</v>
      </c>
      <c r="C23" s="365"/>
      <c r="D23" s="381">
        <f ca="1">D4*PRODUCT(E$12:$M$12)/100^COUNT(E$12:$M$12)</f>
        <v>0</v>
      </c>
      <c r="E23" s="381">
        <f ca="1">E4*PRODUCT(F$12:$M$12)/100^COUNT(F$12:$M$12)</f>
        <v>0</v>
      </c>
      <c r="F23" s="381">
        <f ca="1">F4*PRODUCT(G$12:$M$12)/100^COUNT(G$12:$M$12)</f>
        <v>0</v>
      </c>
      <c r="G23" s="381">
        <f ca="1">G4*PRODUCT(H$12:$M$12)/100^COUNT(H$12:$M$12)</f>
        <v>0</v>
      </c>
      <c r="H23" s="381">
        <f ca="1">H4*PRODUCT(I$12:$M$12)/100^COUNT(I$12:$M$12)</f>
        <v>0</v>
      </c>
      <c r="I23" s="381">
        <f ca="1">I4*PRODUCT(J$12:$M$12)/100^COUNT(J$12:$M$12)</f>
        <v>0</v>
      </c>
      <c r="J23" s="381">
        <f ca="1">J4*PRODUCT(K$12:$M$12)/100^COUNT(K$12:$M$12)</f>
        <v>0</v>
      </c>
      <c r="K23" s="381">
        <f ca="1">K4*PRODUCT(L$12:$M$12)/100^COUNT(L$12:$M$12)</f>
        <v>0</v>
      </c>
      <c r="L23" s="381">
        <f ca="1">L4*PRODUCT(M$12:$M$12)/100^COUNT(M$12:$M$12)</f>
        <v>0</v>
      </c>
      <c r="M23" s="381">
        <f>M4</f>
        <v>0</v>
      </c>
      <c r="O23" s="371"/>
      <c r="P23" s="371"/>
      <c r="Q23" s="372"/>
      <c r="R23" s="372"/>
      <c r="S23" s="372"/>
      <c r="U23" s="358"/>
      <c r="V23" s="358"/>
      <c r="W23" s="358"/>
      <c r="X23" s="358"/>
    </row>
    <row r="24" spans="2:24">
      <c r="B24" s="364" t="str">
        <f t="shared" ref="B24:B27" si="9">B5</f>
        <v>房屋水电费</v>
      </c>
      <c r="C24" s="365"/>
      <c r="D24" s="381" t="e">
        <f ca="1">D5*PRODUCT(E$13:$M$13)/100^COUNT(E$13:$M$13)</f>
        <v>#DIV/0!</v>
      </c>
      <c r="E24" s="381" t="e">
        <f ca="1">E5*PRODUCT(F$13:$M$13)/100^COUNT(F$13:$M$13)</f>
        <v>#DIV/0!</v>
      </c>
      <c r="F24" s="381" t="e">
        <f ca="1">F5*PRODUCT(G$13:$M$13)/100^COUNT(G$13:$M$13)</f>
        <v>#DIV/0!</v>
      </c>
      <c r="G24" s="381" t="e">
        <f ca="1">G5*PRODUCT(H$13:$M$13)/100^COUNT(H$13:$M$13)</f>
        <v>#DIV/0!</v>
      </c>
      <c r="H24" s="381" t="e">
        <f ca="1">H5*PRODUCT(I$13:$M$13)/100^COUNT(I$13:$M$13)</f>
        <v>#DIV/0!</v>
      </c>
      <c r="I24" s="381" t="e">
        <f ca="1">I5*PRODUCT(J$13:$M$13)/100^COUNT(J$13:$M$13)</f>
        <v>#DIV/0!</v>
      </c>
      <c r="J24" s="381" t="e">
        <f ca="1">J5*PRODUCT(K$13:$M$13)/100^COUNT(K$13:$M$13)</f>
        <v>#DIV/0!</v>
      </c>
      <c r="K24" s="381" t="e">
        <f ca="1">K5*PRODUCT(L$13:$M$13)/100^COUNT(L$13:$M$13)</f>
        <v>#DIV/0!</v>
      </c>
      <c r="L24" s="381" t="e">
        <f ca="1">L5*PRODUCT(M$13:$M$13)/100^COUNT(M$13:$M$13)</f>
        <v>#DIV/0!</v>
      </c>
      <c r="M24" s="381">
        <f>M5</f>
        <v>0</v>
      </c>
      <c r="O24" s="371"/>
      <c r="P24" s="371"/>
      <c r="Q24" s="372"/>
      <c r="R24" s="372"/>
      <c r="S24" s="372"/>
      <c r="U24" s="357"/>
      <c r="V24" s="357"/>
      <c r="W24" s="357"/>
      <c r="X24" s="357"/>
    </row>
    <row r="25" spans="2:24">
      <c r="B25" s="364" t="str">
        <f t="shared" si="9"/>
        <v>人员报酬</v>
      </c>
      <c r="C25" s="365"/>
      <c r="D25" s="381">
        <f>D6*PRODUCT(E$14:$M$14)/100^COUNT(E$14:$M$14)</f>
        <v>0</v>
      </c>
      <c r="E25" s="381">
        <f>E6*PRODUCT(F$14:$M$14)/100^COUNT(F$14:$M$14)</f>
        <v>0</v>
      </c>
      <c r="F25" s="381">
        <f>F6*PRODUCT(G$14:$M$14)/100^COUNT(G$14:$M$14)</f>
        <v>0</v>
      </c>
      <c r="G25" s="381">
        <f>G6*PRODUCT(H$14:$M$14)/100^COUNT(H$14:$M$14)</f>
        <v>0</v>
      </c>
      <c r="H25" s="381">
        <f>H6*PRODUCT(I$14:$M$14)/100^COUNT(I$14:$M$14)</f>
        <v>0</v>
      </c>
      <c r="I25" s="381">
        <f>I6*PRODUCT(J$14:$M$14)/100^COUNT(J$14:$M$14)</f>
        <v>0</v>
      </c>
      <c r="J25" s="381">
        <f>J6*PRODUCT(K$14:$M$14)/100^COUNT(K$14:$M$14)</f>
        <v>0</v>
      </c>
      <c r="K25" s="381">
        <f>K6*PRODUCT(L$14:$M$14)/100^COUNT(L$14:$M$14)</f>
        <v>0</v>
      </c>
      <c r="L25" s="381">
        <f>L6*PRODUCT(M$14:$M$14)/100^COUNT(M$14:$M$14)</f>
        <v>0</v>
      </c>
      <c r="M25" s="381">
        <f>M6</f>
        <v>0</v>
      </c>
      <c r="O25" s="371"/>
      <c r="P25" s="371"/>
      <c r="Q25" s="372"/>
      <c r="R25" s="372"/>
      <c r="S25" s="372"/>
    </row>
    <row r="26" spans="2:24">
      <c r="B26" s="364" t="str">
        <f t="shared" si="9"/>
        <v>材料购置</v>
      </c>
      <c r="C26" s="365"/>
      <c r="D26" s="381" t="e">
        <f ca="1">D7*PRODUCT(E$13:$M$13)/100^COUNT(E$13:$M$13)</f>
        <v>#DIV/0!</v>
      </c>
      <c r="E26" s="381" t="e">
        <f ca="1">E7*PRODUCT(F$13:$M$13)/100^COUNT(F$13:$M$13)</f>
        <v>#DIV/0!</v>
      </c>
      <c r="F26" s="381" t="e">
        <f ca="1">F7*PRODUCT(G$13:$M$13)/100^COUNT(G$13:$M$13)</f>
        <v>#DIV/0!</v>
      </c>
      <c r="G26" s="381" t="e">
        <f ca="1">G7*PRODUCT(H$13:$M$13)/100^COUNT(H$13:$M$13)</f>
        <v>#DIV/0!</v>
      </c>
      <c r="H26" s="381" t="e">
        <f ca="1">H7*PRODUCT(I$13:$M$13)/100^COUNT(I$13:$M$13)</f>
        <v>#DIV/0!</v>
      </c>
      <c r="I26" s="381" t="e">
        <f ca="1">I7*PRODUCT(J$13:$M$13)/100^COUNT(J$13:$M$13)</f>
        <v>#DIV/0!</v>
      </c>
      <c r="J26" s="381" t="e">
        <f ca="1">J7*PRODUCT(K$13:$M$13)/100^COUNT(K$13:$M$13)</f>
        <v>#DIV/0!</v>
      </c>
      <c r="K26" s="381" t="e">
        <f ca="1">K7*PRODUCT(L$13:$M$13)/100^COUNT(L$13:$M$13)</f>
        <v>#DIV/0!</v>
      </c>
      <c r="L26" s="381" t="e">
        <f ca="1">L7*PRODUCT(M$13:$M$13)/100^COUNT(M$13:$M$13)</f>
        <v>#DIV/0!</v>
      </c>
      <c r="M26" s="381">
        <f>M7</f>
        <v>0</v>
      </c>
      <c r="O26" s="371"/>
      <c r="P26" s="371"/>
      <c r="Q26" s="372"/>
      <c r="R26" s="372"/>
      <c r="S26" s="372"/>
    </row>
    <row r="27" spans="2:24">
      <c r="B27" s="364" t="str">
        <f t="shared" si="9"/>
        <v>其他费用</v>
      </c>
      <c r="C27" s="365"/>
      <c r="D27" s="381" t="e">
        <f ca="1">D8*PRODUCT(E$13:$M$13)/100^COUNT(E$13:$M$13)</f>
        <v>#DIV/0!</v>
      </c>
      <c r="E27" s="381" t="e">
        <f ca="1">E8*PRODUCT(F$13:$M$13)/100^COUNT(F$13:$M$13)</f>
        <v>#DIV/0!</v>
      </c>
      <c r="F27" s="381" t="e">
        <f ca="1">F8*PRODUCT(G$13:$M$13)/100^COUNT(G$13:$M$13)</f>
        <v>#DIV/0!</v>
      </c>
      <c r="G27" s="381" t="e">
        <f ca="1">G8*PRODUCT(H$13:$M$13)/100^COUNT(H$13:$M$13)</f>
        <v>#DIV/0!</v>
      </c>
      <c r="H27" s="381" t="e">
        <f ca="1">H8*PRODUCT(I$13:$M$13)/100^COUNT(I$13:$M$13)</f>
        <v>#DIV/0!</v>
      </c>
      <c r="I27" s="381" t="e">
        <f ca="1">I8*PRODUCT(J$13:$M$13)/100^COUNT(J$13:$M$13)</f>
        <v>#DIV/0!</v>
      </c>
      <c r="J27" s="381" t="e">
        <f ca="1">J8*PRODUCT(K$13:$M$13)/100^COUNT(K$13:$M$13)</f>
        <v>#DIV/0!</v>
      </c>
      <c r="K27" s="381" t="e">
        <f ca="1">K8*PRODUCT(L$13:$M$13)/100^COUNT(L$13:$M$13)</f>
        <v>#DIV/0!</v>
      </c>
      <c r="L27" s="381" t="e">
        <f ca="1">L8*PRODUCT(M$13:$M$13)/100^COUNT(M$13:$M$13)</f>
        <v>#DIV/0!</v>
      </c>
      <c r="M27" s="381">
        <f>M8</f>
        <v>0</v>
      </c>
      <c r="O27" s="371"/>
      <c r="P27" s="371"/>
      <c r="Q27" s="372"/>
      <c r="R27" s="372"/>
      <c r="S27" s="372"/>
    </row>
    <row r="28" spans="2:24">
      <c r="B28" s="364" t="s">
        <v>421</v>
      </c>
      <c r="C28" s="392">
        <f>SUM(C23:C27)</f>
        <v>0</v>
      </c>
      <c r="D28" s="392" t="e">
        <f ca="1">SUM(D23:D27)</f>
        <v>#DIV/0!</v>
      </c>
      <c r="E28" s="392" t="e">
        <f ca="1">SUM(E23:E27)</f>
        <v>#DIV/0!</v>
      </c>
      <c r="F28" s="392" t="e">
        <f ca="1" t="shared" ref="F28:M28" si="10">SUM(F23:F27)</f>
        <v>#DIV/0!</v>
      </c>
      <c r="G28" s="392" t="e">
        <f ca="1" t="shared" si="10"/>
        <v>#DIV/0!</v>
      </c>
      <c r="H28" s="392" t="e">
        <f ca="1" t="shared" si="10"/>
        <v>#DIV/0!</v>
      </c>
      <c r="I28" s="392" t="e">
        <f ca="1" t="shared" si="10"/>
        <v>#DIV/0!</v>
      </c>
      <c r="J28" s="392" t="e">
        <f ca="1" t="shared" si="10"/>
        <v>#DIV/0!</v>
      </c>
      <c r="K28" s="392" t="e">
        <f ca="1" t="shared" si="10"/>
        <v>#DIV/0!</v>
      </c>
      <c r="L28" s="392" t="e">
        <f ca="1" t="shared" si="10"/>
        <v>#DIV/0!</v>
      </c>
      <c r="M28" s="392">
        <f t="shared" si="10"/>
        <v>0</v>
      </c>
      <c r="O28" s="371"/>
      <c r="P28" s="371"/>
      <c r="Q28" s="372"/>
      <c r="R28" s="372"/>
      <c r="S28" s="372"/>
    </row>
    <row r="29" spans="2:24">
      <c r="O29" s="371"/>
      <c r="P29" s="371"/>
      <c r="Q29" s="372"/>
      <c r="R29" s="372"/>
      <c r="S29" s="372"/>
    </row>
    <row r="30" spans="2:24">
      <c r="B30" s="364" t="s">
        <v>4855</v>
      </c>
      <c r="C30" s="365" t="str">
        <f t="shared" ref="C30:M30" si="11">C22</f>
        <v>2015年度</v>
      </c>
      <c r="D30" s="365" t="str">
        <f t="shared" si="11"/>
        <v>2016年度</v>
      </c>
      <c r="E30" s="365" t="str">
        <f t="shared" si="11"/>
        <v>2017年度</v>
      </c>
      <c r="F30" s="365" t="str">
        <f t="shared" si="11"/>
        <v>2018年度</v>
      </c>
      <c r="G30" s="365" t="str">
        <f t="shared" si="11"/>
        <v>2019年度</v>
      </c>
      <c r="H30" s="365" t="str">
        <f t="shared" si="11"/>
        <v>2020年度</v>
      </c>
      <c r="I30" s="365" t="str">
        <f t="shared" si="11"/>
        <v>2021年度</v>
      </c>
      <c r="J30" s="365" t="str">
        <f t="shared" si="11"/>
        <v>2022年度</v>
      </c>
      <c r="K30" s="365" t="str">
        <f t="shared" si="11"/>
        <v>2023年度</v>
      </c>
      <c r="L30" s="365" t="str">
        <f t="shared" si="11"/>
        <v>2024年度</v>
      </c>
      <c r="M30" s="365" t="str">
        <f t="shared" si="11"/>
        <v>2025年1-7月</v>
      </c>
      <c r="O30" s="371"/>
      <c r="P30" s="371"/>
      <c r="Q30" s="372"/>
      <c r="R30" s="372"/>
      <c r="S30" s="372"/>
    </row>
    <row r="31" s="357" customFormat="1" spans="2:24">
      <c r="B31" s="364" t="s">
        <v>4908</v>
      </c>
      <c r="C31" s="365"/>
      <c r="D31" s="393">
        <f t="shared" ref="D31:L31" si="12">E31</f>
        <v>0.0536</v>
      </c>
      <c r="E31" s="393">
        <f t="shared" si="12"/>
        <v>0.0536</v>
      </c>
      <c r="F31" s="393">
        <f t="shared" si="12"/>
        <v>0.0536</v>
      </c>
      <c r="G31" s="393">
        <f t="shared" si="12"/>
        <v>0.0536</v>
      </c>
      <c r="H31" s="393">
        <f t="shared" si="12"/>
        <v>0.0536</v>
      </c>
      <c r="I31" s="393">
        <f t="shared" si="12"/>
        <v>0.0536</v>
      </c>
      <c r="J31" s="393">
        <f t="shared" si="12"/>
        <v>0.0536</v>
      </c>
      <c r="K31" s="393">
        <f t="shared" si="12"/>
        <v>0.0536</v>
      </c>
      <c r="L31" s="393">
        <f t="shared" si="12"/>
        <v>0.0536</v>
      </c>
      <c r="M31" s="393">
        <f>S35/100</f>
        <v>0.0536</v>
      </c>
      <c r="O31" s="371"/>
      <c r="P31" s="371"/>
      <c r="Q31" s="372"/>
      <c r="R31" s="372"/>
      <c r="S31" s="372"/>
      <c r="U31" s="358"/>
      <c r="V31" s="358"/>
      <c r="W31" s="358"/>
      <c r="X31" s="358"/>
    </row>
    <row r="32" spans="2:24">
      <c r="B32" s="364" t="s">
        <v>4909</v>
      </c>
      <c r="C32" s="365"/>
      <c r="D32" s="394">
        <f t="shared" ref="D32:M32" si="13">D31+1</f>
        <v>1.0536</v>
      </c>
      <c r="E32" s="394">
        <f t="shared" si="13"/>
        <v>1.0536</v>
      </c>
      <c r="F32" s="394">
        <f t="shared" si="13"/>
        <v>1.0536</v>
      </c>
      <c r="G32" s="394">
        <f t="shared" si="13"/>
        <v>1.0536</v>
      </c>
      <c r="H32" s="394">
        <f t="shared" si="13"/>
        <v>1.0536</v>
      </c>
      <c r="I32" s="394">
        <f t="shared" si="13"/>
        <v>1.0536</v>
      </c>
      <c r="J32" s="394">
        <f t="shared" si="13"/>
        <v>1.0536</v>
      </c>
      <c r="K32" s="394">
        <f t="shared" si="13"/>
        <v>1.0536</v>
      </c>
      <c r="L32" s="394">
        <f t="shared" si="13"/>
        <v>1.0536</v>
      </c>
      <c r="M32" s="394">
        <f t="shared" si="13"/>
        <v>1.0536</v>
      </c>
      <c r="O32" s="371"/>
      <c r="P32" s="371"/>
      <c r="Q32" s="372"/>
      <c r="R32" s="372"/>
      <c r="S32" s="372"/>
      <c r="U32" s="357"/>
      <c r="V32" s="357"/>
      <c r="W32" s="357"/>
      <c r="X32" s="357"/>
    </row>
    <row r="33" spans="2:19">
      <c r="O33" s="371"/>
      <c r="P33" s="371"/>
      <c r="Q33" s="372"/>
      <c r="R33" s="372"/>
      <c r="S33" s="372"/>
    </row>
    <row r="34" spans="2:19">
      <c r="B34" s="357" t="s">
        <v>4910</v>
      </c>
      <c r="C34" s="357"/>
      <c r="D34" s="357"/>
      <c r="E34" s="357"/>
      <c r="F34" s="357"/>
      <c r="G34" s="357"/>
      <c r="H34" s="357"/>
      <c r="I34" s="357"/>
      <c r="J34" s="357"/>
      <c r="K34" s="357"/>
      <c r="L34" s="357"/>
      <c r="M34" s="357"/>
      <c r="O34" s="395" t="s">
        <v>4911</v>
      </c>
      <c r="P34" s="395"/>
      <c r="Q34" s="396">
        <f>AVERAGE(Q4:Q33)</f>
        <v>6.40986666666667</v>
      </c>
      <c r="R34" s="396">
        <f>AVERAGE(R4:R33)</f>
        <v>3.9767</v>
      </c>
      <c r="S34" s="396">
        <f>AVERAGE(S4:S33)</f>
        <v>5.68685833333333</v>
      </c>
    </row>
    <row r="35" spans="2:19">
      <c r="B35" s="364" t="s">
        <v>4855</v>
      </c>
      <c r="C35" s="365" t="str">
        <f>C30</f>
        <v>2015年度</v>
      </c>
      <c r="D35" s="365" t="str">
        <f>D30</f>
        <v>2016年度</v>
      </c>
      <c r="E35" s="365" t="str">
        <f>E30</f>
        <v>2017年度</v>
      </c>
      <c r="F35" s="365" t="str">
        <f t="shared" ref="F35:M35" si="14">F30</f>
        <v>2018年度</v>
      </c>
      <c r="G35" s="365" t="str">
        <f t="shared" si="14"/>
        <v>2019年度</v>
      </c>
      <c r="H35" s="365" t="str">
        <f t="shared" si="14"/>
        <v>2020年度</v>
      </c>
      <c r="I35" s="365" t="str">
        <f t="shared" si="14"/>
        <v>2021年度</v>
      </c>
      <c r="J35" s="365" t="str">
        <f t="shared" si="14"/>
        <v>2022年度</v>
      </c>
      <c r="K35" s="365" t="str">
        <f t="shared" si="14"/>
        <v>2023年度</v>
      </c>
      <c r="L35" s="365" t="str">
        <f t="shared" si="14"/>
        <v>2024年度</v>
      </c>
      <c r="M35" s="365" t="str">
        <f t="shared" si="14"/>
        <v>2025年1-7月</v>
      </c>
      <c r="O35" s="397"/>
      <c r="P35" s="397"/>
      <c r="Q35" s="398"/>
      <c r="R35" s="398"/>
      <c r="S35" s="398">
        <f>ROUND(AVERAGE(Q34:S34),2)</f>
        <v>5.36</v>
      </c>
    </row>
    <row r="36" spans="2:19">
      <c r="B36" s="364" t="str">
        <f>B4</f>
        <v>设备购置费</v>
      </c>
      <c r="C36" s="365"/>
      <c r="D36" s="381">
        <f ca="1">D23*PRODUCT(E$32:$M$32)</f>
        <v>0</v>
      </c>
      <c r="E36" s="381">
        <f ca="1">E23*PRODUCT(F$32:$M$32)</f>
        <v>0</v>
      </c>
      <c r="F36" s="381">
        <f ca="1">F23*PRODUCT(G$32:$M$32)</f>
        <v>0</v>
      </c>
      <c r="G36" s="381">
        <f ca="1">G23*PRODUCT(H$32:$M$32)</f>
        <v>0</v>
      </c>
      <c r="H36" s="381">
        <f ca="1">H23*PRODUCT(I$32:$M$32)</f>
        <v>0</v>
      </c>
      <c r="I36" s="381">
        <f ca="1">I23*PRODUCT(J$32:$M$32)</f>
        <v>0</v>
      </c>
      <c r="J36" s="381">
        <f ca="1">J23*(1+J$31/2)*PRODUCT(K$32:$L$32)*(1+J$31/2)</f>
        <v>0</v>
      </c>
      <c r="K36" s="381">
        <f ca="1">K23*(1+K$31/2)*PRODUCT(L$32:$L$32)*(1+K$31/2)</f>
        <v>0</v>
      </c>
      <c r="L36" s="381">
        <f ca="1">L23*(1+L$31/2)*(1+L$31/2)</f>
        <v>0</v>
      </c>
      <c r="M36" s="381">
        <f>M23*PRODUCT($M$33:M$33)</f>
        <v>0</v>
      </c>
      <c r="O36" s="397"/>
      <c r="P36" s="397"/>
      <c r="Q36" s="398"/>
      <c r="R36" s="398"/>
      <c r="S36" s="398"/>
    </row>
    <row r="37" spans="2:19">
      <c r="B37" s="364" t="str">
        <f t="shared" ref="B37:B40" si="15">B5</f>
        <v>房屋水电费</v>
      </c>
      <c r="C37" s="365"/>
      <c r="D37" s="381" t="e">
        <f ca="1">D24*PRODUCT(E$32:$M$32)</f>
        <v>#DIV/0!</v>
      </c>
      <c r="E37" s="381" t="e">
        <f ca="1">E24*PRODUCT(F$32:$M$32)</f>
        <v>#DIV/0!</v>
      </c>
      <c r="F37" s="381" t="e">
        <f ca="1">F24*PRODUCT(G$32:$M$32)</f>
        <v>#DIV/0!</v>
      </c>
      <c r="G37" s="381" t="e">
        <f ca="1">G24*PRODUCT(H$32:$M$32)</f>
        <v>#DIV/0!</v>
      </c>
      <c r="H37" s="381" t="e">
        <f ca="1">H24*PRODUCT(I$32:$M$32)</f>
        <v>#DIV/0!</v>
      </c>
      <c r="I37" s="381" t="e">
        <f ca="1">I24*PRODUCT(J$32:$M$32)</f>
        <v>#DIV/0!</v>
      </c>
      <c r="J37" s="381" t="e">
        <f ca="1">J24*(1+J$31/2)*PRODUCT(K$32:$L$32)*(1+J$31/2)</f>
        <v>#DIV/0!</v>
      </c>
      <c r="K37" s="381" t="e">
        <f ca="1">K24*(1+K$31/2)*PRODUCT(L$32:$L$32)*(1+K$31/2)</f>
        <v>#DIV/0!</v>
      </c>
      <c r="L37" s="381" t="e">
        <f ca="1">L24*(1+L$31/2)*(1+L$31/2)</f>
        <v>#DIV/0!</v>
      </c>
      <c r="M37" s="381">
        <f>M24*PRODUCT($M$33:M$33)</f>
        <v>0</v>
      </c>
      <c r="O37" s="397"/>
      <c r="P37" s="397"/>
      <c r="Q37" s="398"/>
      <c r="R37" s="398"/>
      <c r="S37" s="398"/>
    </row>
    <row r="38" spans="2:19">
      <c r="B38" s="364" t="str">
        <f t="shared" si="15"/>
        <v>人员报酬</v>
      </c>
      <c r="C38" s="365"/>
      <c r="D38" s="381">
        <f>D25*PRODUCT(E$32:$M$32)</f>
        <v>0</v>
      </c>
      <c r="E38" s="381">
        <f>E25*PRODUCT(F$32:$M$32)</f>
        <v>0</v>
      </c>
      <c r="F38" s="381">
        <f>F25*PRODUCT(G$32:$M$32)</f>
        <v>0</v>
      </c>
      <c r="G38" s="381">
        <f>G25*PRODUCT(H$32:$M$32)</f>
        <v>0</v>
      </c>
      <c r="H38" s="381">
        <f>H25*PRODUCT(I$32:$M$32)</f>
        <v>0</v>
      </c>
      <c r="I38" s="381">
        <f>I25*PRODUCT(J$32:$M$32)</f>
        <v>0</v>
      </c>
      <c r="J38" s="381">
        <f>J25*(1+J$31/2)*PRODUCT(K$32:$L$32)*(1+J$31/2)</f>
        <v>0</v>
      </c>
      <c r="K38" s="381">
        <f>K25*(1+K$31/2)*PRODUCT(L$32:$L$32)*(1+K$31/2)</f>
        <v>0</v>
      </c>
      <c r="L38" s="381">
        <f>L25*(1+L$31/2)*(1+L$31/2)</f>
        <v>0</v>
      </c>
      <c r="M38" s="381">
        <f>M25*PRODUCT($M$33:M$33)</f>
        <v>0</v>
      </c>
      <c r="O38" s="397"/>
      <c r="P38" s="397"/>
      <c r="Q38" s="398"/>
      <c r="R38" s="398"/>
      <c r="S38" s="398"/>
    </row>
    <row r="39" spans="2:19">
      <c r="B39" s="364" t="str">
        <f t="shared" si="15"/>
        <v>材料购置</v>
      </c>
      <c r="C39" s="365"/>
      <c r="D39" s="381" t="e">
        <f ca="1">D26*PRODUCT(E$32:$M$32)</f>
        <v>#DIV/0!</v>
      </c>
      <c r="E39" s="381" t="e">
        <f ca="1">E26*PRODUCT(F$32:$M$32)</f>
        <v>#DIV/0!</v>
      </c>
      <c r="F39" s="381" t="e">
        <f ca="1">F26*PRODUCT(G$32:$M$32)</f>
        <v>#DIV/0!</v>
      </c>
      <c r="G39" s="381" t="e">
        <f ca="1">G26*PRODUCT(H$32:$M$32)</f>
        <v>#DIV/0!</v>
      </c>
      <c r="H39" s="381" t="e">
        <f ca="1">H26*PRODUCT(I$32:$M$32)</f>
        <v>#DIV/0!</v>
      </c>
      <c r="I39" s="381" t="e">
        <f ca="1">I26*PRODUCT(J$32:$M$32)</f>
        <v>#DIV/0!</v>
      </c>
      <c r="J39" s="381" t="e">
        <f ca="1">J26*(1+J$31/2)*PRODUCT(K$32:$L$32)*(1+J$31/2)</f>
        <v>#DIV/0!</v>
      </c>
      <c r="K39" s="381" t="e">
        <f ca="1">K26*(1+K$31/2)*PRODUCT(L$32:$L$32)*(1+K$31/2)</f>
        <v>#DIV/0!</v>
      </c>
      <c r="L39" s="381" t="e">
        <f ca="1">L26*(1+L$31/2)*(1+L$31/2)</f>
        <v>#DIV/0!</v>
      </c>
      <c r="M39" s="381">
        <f>M26*PRODUCT($M$33:M$33)</f>
        <v>0</v>
      </c>
      <c r="O39" s="397"/>
      <c r="P39" s="397"/>
      <c r="Q39" s="398"/>
      <c r="R39" s="398"/>
      <c r="S39" s="398"/>
    </row>
    <row r="40" spans="2:19">
      <c r="B40" s="364" t="str">
        <f t="shared" si="15"/>
        <v>其他费用</v>
      </c>
      <c r="C40" s="365"/>
      <c r="D40" s="381" t="e">
        <f ca="1">D27*PRODUCT(E$32:$M$32)</f>
        <v>#DIV/0!</v>
      </c>
      <c r="E40" s="381" t="e">
        <f ca="1">E27*PRODUCT(F$32:$M$32)</f>
        <v>#DIV/0!</v>
      </c>
      <c r="F40" s="381" t="e">
        <f ca="1">F27*PRODUCT(G$32:$M$32)</f>
        <v>#DIV/0!</v>
      </c>
      <c r="G40" s="381" t="e">
        <f ca="1">G27*PRODUCT(H$32:$M$32)</f>
        <v>#DIV/0!</v>
      </c>
      <c r="H40" s="381" t="e">
        <f ca="1">H27*PRODUCT(I$32:$M$32)</f>
        <v>#DIV/0!</v>
      </c>
      <c r="I40" s="381" t="e">
        <f ca="1">I27*PRODUCT(J$32:$M$32)</f>
        <v>#DIV/0!</v>
      </c>
      <c r="J40" s="381" t="e">
        <f ca="1">J27*(1+J$31/2)*PRODUCT(K$32:$L$32)*(1+J$31/2)</f>
        <v>#DIV/0!</v>
      </c>
      <c r="K40" s="381" t="e">
        <f ca="1">K27*(1+K$31/2)*PRODUCT(L$32:$L$32)*(1+K$31/2)</f>
        <v>#DIV/0!</v>
      </c>
      <c r="L40" s="381" t="e">
        <f ca="1">L27*(1+L$31/2)*(1+L$31/2)</f>
        <v>#DIV/0!</v>
      </c>
      <c r="M40" s="381">
        <f>M27*PRODUCT($M$33:M$33)</f>
        <v>0</v>
      </c>
    </row>
    <row r="41" spans="2:19">
      <c r="B41" s="364" t="s">
        <v>421</v>
      </c>
      <c r="C41" s="392">
        <f>SUM(C36:C40)</f>
        <v>0</v>
      </c>
      <c r="D41" s="392" t="e">
        <f ca="1">SUM(D36:D40)</f>
        <v>#DIV/0!</v>
      </c>
      <c r="E41" s="392" t="e">
        <f ca="1">SUM(E36:E40)</f>
        <v>#DIV/0!</v>
      </c>
      <c r="F41" s="392" t="e">
        <f ca="1" t="shared" ref="F41:M41" si="16">SUM(F36:F40)</f>
        <v>#DIV/0!</v>
      </c>
      <c r="G41" s="392" t="e">
        <f ca="1" t="shared" si="16"/>
        <v>#DIV/0!</v>
      </c>
      <c r="H41" s="392" t="e">
        <f ca="1" t="shared" si="16"/>
        <v>#DIV/0!</v>
      </c>
      <c r="I41" s="392" t="e">
        <f ca="1" t="shared" si="16"/>
        <v>#DIV/0!</v>
      </c>
      <c r="J41" s="392" t="e">
        <f ca="1" t="shared" si="16"/>
        <v>#DIV/0!</v>
      </c>
      <c r="K41" s="392" t="e">
        <f ca="1" t="shared" si="16"/>
        <v>#DIV/0!</v>
      </c>
      <c r="L41" s="392" t="e">
        <f ca="1" t="shared" si="16"/>
        <v>#DIV/0!</v>
      </c>
      <c r="M41" s="392">
        <f t="shared" si="16"/>
        <v>0</v>
      </c>
      <c r="O41" s="357"/>
      <c r="P41" s="357"/>
      <c r="Q41" s="357"/>
      <c r="R41" s="357"/>
      <c r="S41" s="357"/>
    </row>
    <row r="43" spans="2:19">
      <c r="B43" s="364" t="s">
        <v>4855</v>
      </c>
      <c r="C43" s="365" t="str">
        <f>C35</f>
        <v>2015年度</v>
      </c>
      <c r="D43" s="365" t="str">
        <f t="shared" ref="D43:M43" si="17">D35</f>
        <v>2016年度</v>
      </c>
      <c r="E43" s="365" t="str">
        <f t="shared" si="17"/>
        <v>2017年度</v>
      </c>
      <c r="F43" s="365" t="str">
        <f t="shared" si="17"/>
        <v>2018年度</v>
      </c>
      <c r="G43" s="365" t="str">
        <f t="shared" si="17"/>
        <v>2019年度</v>
      </c>
      <c r="H43" s="365" t="str">
        <f t="shared" si="17"/>
        <v>2020年度</v>
      </c>
      <c r="I43" s="365" t="str">
        <f t="shared" si="17"/>
        <v>2021年度</v>
      </c>
      <c r="J43" s="365" t="str">
        <f t="shared" si="17"/>
        <v>2022年度</v>
      </c>
      <c r="K43" s="365" t="str">
        <f t="shared" si="17"/>
        <v>2023年度</v>
      </c>
      <c r="L43" s="365" t="str">
        <f t="shared" si="17"/>
        <v>2024年度</v>
      </c>
      <c r="M43" s="365" t="str">
        <f t="shared" si="17"/>
        <v>2025年1-7月</v>
      </c>
    </row>
    <row r="44" spans="2:19">
      <c r="B44" s="364" t="s">
        <v>4912</v>
      </c>
      <c r="C44" s="399">
        <v>0.0475</v>
      </c>
      <c r="D44" s="393">
        <f>C44</f>
        <v>0.0475</v>
      </c>
      <c r="E44" s="393">
        <f t="shared" ref="E44:M44" si="18">D44</f>
        <v>0.0475</v>
      </c>
      <c r="F44" s="393">
        <f t="shared" si="18"/>
        <v>0.0475</v>
      </c>
      <c r="G44" s="393">
        <f t="shared" si="18"/>
        <v>0.0475</v>
      </c>
      <c r="H44" s="393">
        <f t="shared" si="18"/>
        <v>0.0475</v>
      </c>
      <c r="I44" s="393">
        <f t="shared" si="18"/>
        <v>0.0475</v>
      </c>
      <c r="J44" s="393">
        <f t="shared" si="18"/>
        <v>0.0475</v>
      </c>
      <c r="K44" s="393">
        <f t="shared" si="18"/>
        <v>0.0475</v>
      </c>
      <c r="L44" s="393">
        <f t="shared" si="18"/>
        <v>0.0475</v>
      </c>
      <c r="M44" s="393">
        <f t="shared" si="18"/>
        <v>0.0475</v>
      </c>
    </row>
    <row r="45" spans="2:19">
      <c r="B45" s="364" t="s">
        <v>4909</v>
      </c>
      <c r="C45" s="365"/>
      <c r="D45" s="394">
        <f t="shared" ref="D45:M45" si="19">D44+1</f>
        <v>1.0475</v>
      </c>
      <c r="E45" s="394">
        <f t="shared" si="19"/>
        <v>1.0475</v>
      </c>
      <c r="F45" s="394">
        <f t="shared" si="19"/>
        <v>1.0475</v>
      </c>
      <c r="G45" s="394">
        <f t="shared" si="19"/>
        <v>1.0475</v>
      </c>
      <c r="H45" s="394">
        <f t="shared" si="19"/>
        <v>1.0475</v>
      </c>
      <c r="I45" s="394">
        <f t="shared" si="19"/>
        <v>1.0475</v>
      </c>
      <c r="J45" s="394">
        <f t="shared" si="19"/>
        <v>1.0475</v>
      </c>
      <c r="K45" s="394">
        <f t="shared" si="19"/>
        <v>1.0475</v>
      </c>
      <c r="L45" s="394">
        <f t="shared" si="19"/>
        <v>1.0475</v>
      </c>
      <c r="M45" s="394">
        <f t="shared" si="19"/>
        <v>1.0475</v>
      </c>
    </row>
    <row r="47" spans="2:19">
      <c r="B47" s="357" t="s">
        <v>4913</v>
      </c>
      <c r="C47" s="357"/>
      <c r="D47" s="357"/>
      <c r="E47" s="357"/>
      <c r="F47" s="357"/>
      <c r="G47" s="357"/>
      <c r="H47" s="357"/>
      <c r="I47" s="357"/>
      <c r="J47" s="357"/>
      <c r="K47" s="357"/>
      <c r="L47" s="357"/>
      <c r="M47" s="357"/>
    </row>
    <row r="48" spans="2:19">
      <c r="B48" s="364" t="s">
        <v>4855</v>
      </c>
      <c r="C48" s="365" t="str">
        <f>C43</f>
        <v>2015年度</v>
      </c>
      <c r="D48" s="365" t="str">
        <f>D43</f>
        <v>2016年度</v>
      </c>
      <c r="E48" s="365" t="str">
        <f>E43</f>
        <v>2017年度</v>
      </c>
      <c r="F48" s="365" t="str">
        <f t="shared" ref="F48:M48" si="20">F43</f>
        <v>2018年度</v>
      </c>
      <c r="G48" s="365" t="str">
        <f t="shared" si="20"/>
        <v>2019年度</v>
      </c>
      <c r="H48" s="365" t="str">
        <f t="shared" si="20"/>
        <v>2020年度</v>
      </c>
      <c r="I48" s="365" t="str">
        <f t="shared" si="20"/>
        <v>2021年度</v>
      </c>
      <c r="J48" s="365" t="str">
        <f t="shared" si="20"/>
        <v>2022年度</v>
      </c>
      <c r="K48" s="365" t="str">
        <f t="shared" si="20"/>
        <v>2023年度</v>
      </c>
      <c r="L48" s="365" t="str">
        <f t="shared" si="20"/>
        <v>2024年度</v>
      </c>
      <c r="M48" s="365" t="str">
        <f t="shared" si="20"/>
        <v>2025年1-7月</v>
      </c>
    </row>
    <row r="49" spans="2:19">
      <c r="B49" s="364" t="str">
        <f>B4</f>
        <v>设备购置费</v>
      </c>
      <c r="C49" s="365"/>
      <c r="D49" s="381">
        <f ca="1">D36*PRODUCT(E$32:$M$32)</f>
        <v>0</v>
      </c>
      <c r="E49" s="381">
        <f ca="1">E36*PRODUCT(F$32:$M$32)</f>
        <v>0</v>
      </c>
      <c r="F49" s="381">
        <f ca="1">F36*PRODUCT(G$32:$M$32)</f>
        <v>0</v>
      </c>
      <c r="G49" s="381">
        <f ca="1">G36*PRODUCT(H$32:$M$32)</f>
        <v>0</v>
      </c>
      <c r="H49" s="381">
        <f ca="1">H36*PRODUCT(I$32:$M$32)</f>
        <v>0</v>
      </c>
      <c r="I49" s="381">
        <f ca="1">I36*PRODUCT(J$32:$M$32)</f>
        <v>0</v>
      </c>
      <c r="J49" s="381">
        <f ca="1">J36*(1+J$44*COUNT(K$44:$M$44))</f>
        <v>0</v>
      </c>
      <c r="K49" s="381">
        <f ca="1">K36*(1+K$44*COUNT(L$44:$M$44))</f>
        <v>0</v>
      </c>
      <c r="L49" s="381">
        <f ca="1">L36*(1+L$44*COUNT(M$44:$M$44))</f>
        <v>0</v>
      </c>
      <c r="M49" s="381">
        <f>M36*(1+M$44/2)</f>
        <v>0</v>
      </c>
      <c r="O49" s="357"/>
      <c r="P49" s="357"/>
      <c r="Q49" s="357"/>
      <c r="R49" s="357"/>
      <c r="S49" s="357"/>
    </row>
    <row r="50" spans="2:19">
      <c r="B50" s="364" t="str">
        <f t="shared" ref="B50:B53" si="21">B5</f>
        <v>房屋水电费</v>
      </c>
      <c r="C50" s="365"/>
      <c r="D50" s="381" t="e">
        <f ca="1">D37*PRODUCT(E$32:$M$32)</f>
        <v>#DIV/0!</v>
      </c>
      <c r="E50" s="381" t="e">
        <f ca="1">E37*PRODUCT(F$32:$M$32)</f>
        <v>#DIV/0!</v>
      </c>
      <c r="F50" s="381" t="e">
        <f ca="1">F37*PRODUCT(G$32:$M$32)</f>
        <v>#DIV/0!</v>
      </c>
      <c r="G50" s="381" t="e">
        <f ca="1">G37*PRODUCT(H$32:$M$32)</f>
        <v>#DIV/0!</v>
      </c>
      <c r="H50" s="381" t="e">
        <f ca="1">H37*PRODUCT(I$32:$M$32)</f>
        <v>#DIV/0!</v>
      </c>
      <c r="I50" s="381" t="e">
        <f ca="1">I37*PRODUCT(J$32:$M$32)</f>
        <v>#DIV/0!</v>
      </c>
      <c r="J50" s="381" t="e">
        <f ca="1">J37*(1+J$44*COUNT(K$44:$M$44))</f>
        <v>#DIV/0!</v>
      </c>
      <c r="K50" s="381" t="e">
        <f ca="1">K37*(1+K$44*COUNT(L$44:$M$44))</f>
        <v>#DIV/0!</v>
      </c>
      <c r="L50" s="381" t="e">
        <f ca="1">L37*(1+L$44*COUNT(M$44:$M$44))</f>
        <v>#DIV/0!</v>
      </c>
      <c r="M50" s="381">
        <f>M37*(1+M$44/2)</f>
        <v>0</v>
      </c>
    </row>
    <row r="51" spans="2:19">
      <c r="B51" s="364" t="str">
        <f t="shared" si="21"/>
        <v>人员报酬</v>
      </c>
      <c r="C51" s="365"/>
      <c r="D51" s="381">
        <f>D38*PRODUCT(E$32:$M$32)</f>
        <v>0</v>
      </c>
      <c r="E51" s="381">
        <f>E38*PRODUCT(F$32:$M$32)</f>
        <v>0</v>
      </c>
      <c r="F51" s="381">
        <f>F38*PRODUCT(G$32:$M$32)</f>
        <v>0</v>
      </c>
      <c r="G51" s="381">
        <f>G38*PRODUCT(H$32:$M$32)</f>
        <v>0</v>
      </c>
      <c r="H51" s="381">
        <f>H38*PRODUCT(I$32:$M$32)</f>
        <v>0</v>
      </c>
      <c r="I51" s="381">
        <f>I38*PRODUCT(J$32:$M$32)</f>
        <v>0</v>
      </c>
      <c r="J51" s="381">
        <f>J38*(1+J$44*COUNT(K$44:$M$44))</f>
        <v>0</v>
      </c>
      <c r="K51" s="381">
        <f>K38*(1+K$44*COUNT(L$44:$M$44))</f>
        <v>0</v>
      </c>
      <c r="L51" s="381">
        <f>L38*(1+L$44*COUNT(M$44:$M$44))</f>
        <v>0</v>
      </c>
      <c r="M51" s="381">
        <f>M38*(1+M$44/2)</f>
        <v>0</v>
      </c>
    </row>
    <row r="52" spans="2:19">
      <c r="B52" s="364" t="str">
        <f t="shared" si="21"/>
        <v>材料购置</v>
      </c>
      <c r="C52" s="365"/>
      <c r="D52" s="381" t="e">
        <f ca="1">D39*PRODUCT(E$32:$M$32)</f>
        <v>#DIV/0!</v>
      </c>
      <c r="E52" s="381" t="e">
        <f ca="1">E39*PRODUCT(F$32:$M$32)</f>
        <v>#DIV/0!</v>
      </c>
      <c r="F52" s="381" t="e">
        <f ca="1">F39*PRODUCT(G$32:$M$32)</f>
        <v>#DIV/0!</v>
      </c>
      <c r="G52" s="381" t="e">
        <f ca="1">G39*PRODUCT(H$32:$M$32)</f>
        <v>#DIV/0!</v>
      </c>
      <c r="H52" s="381" t="e">
        <f ca="1">H39*PRODUCT(I$32:$M$32)</f>
        <v>#DIV/0!</v>
      </c>
      <c r="I52" s="381" t="e">
        <f ca="1">I39*PRODUCT(J$32:$M$32)</f>
        <v>#DIV/0!</v>
      </c>
      <c r="J52" s="381" t="e">
        <f ca="1">J39*(1+J$44*COUNT(K$44:$M$44))</f>
        <v>#DIV/0!</v>
      </c>
      <c r="K52" s="381" t="e">
        <f ca="1">K39*(1+K$44*COUNT(L$44:$M$44))</f>
        <v>#DIV/0!</v>
      </c>
      <c r="L52" s="381" t="e">
        <f ca="1">L39*(1+L$44*COUNT(M$44:$M$44))</f>
        <v>#DIV/0!</v>
      </c>
      <c r="M52" s="381">
        <f>M39*(1+M$44/2)</f>
        <v>0</v>
      </c>
    </row>
    <row r="53" spans="2:19">
      <c r="B53" s="364" t="str">
        <f t="shared" si="21"/>
        <v>其他费用</v>
      </c>
      <c r="C53" s="365"/>
      <c r="D53" s="381" t="e">
        <f ca="1">D40*PRODUCT(E$32:$M$32)</f>
        <v>#DIV/0!</v>
      </c>
      <c r="E53" s="381" t="e">
        <f ca="1">E40*PRODUCT(F$32:$M$32)</f>
        <v>#DIV/0!</v>
      </c>
      <c r="F53" s="381" t="e">
        <f ca="1">F40*PRODUCT(G$32:$M$32)</f>
        <v>#DIV/0!</v>
      </c>
      <c r="G53" s="381" t="e">
        <f ca="1">G40*PRODUCT(H$32:$M$32)</f>
        <v>#DIV/0!</v>
      </c>
      <c r="H53" s="381" t="e">
        <f ca="1">H40*PRODUCT(I$32:$M$32)</f>
        <v>#DIV/0!</v>
      </c>
      <c r="I53" s="381" t="e">
        <f ca="1">I40*PRODUCT(J$32:$M$32)</f>
        <v>#DIV/0!</v>
      </c>
      <c r="J53" s="381" t="e">
        <f ca="1">J40*(1+J$44*COUNT(K$44:$M$44))</f>
        <v>#DIV/0!</v>
      </c>
      <c r="K53" s="381" t="e">
        <f ca="1">K40*(1+K$44*COUNT(L$44:$M$44))</f>
        <v>#DIV/0!</v>
      </c>
      <c r="L53" s="381" t="e">
        <f ca="1">L40*(1+L$44*COUNT(M$44:$M$44))</f>
        <v>#DIV/0!</v>
      </c>
      <c r="M53" s="381">
        <f>M40*(1+M$44/2)</f>
        <v>0</v>
      </c>
    </row>
    <row r="54" spans="2:19">
      <c r="B54" s="364" t="s">
        <v>421</v>
      </c>
      <c r="C54" s="392">
        <f>SUM(C49:C53)</f>
        <v>0</v>
      </c>
      <c r="D54" s="392" t="e">
        <f ca="1">SUM(D49:D53)</f>
        <v>#DIV/0!</v>
      </c>
      <c r="E54" s="392" t="e">
        <f ca="1">SUM(E49:E53)</f>
        <v>#DIV/0!</v>
      </c>
      <c r="F54" s="392" t="e">
        <f ca="1" t="shared" ref="F54:M54" si="22">SUM(F49:F53)</f>
        <v>#DIV/0!</v>
      </c>
      <c r="G54" s="392" t="e">
        <f ca="1" t="shared" si="22"/>
        <v>#DIV/0!</v>
      </c>
      <c r="H54" s="392" t="e">
        <f ca="1" t="shared" si="22"/>
        <v>#DIV/0!</v>
      </c>
      <c r="I54" s="392" t="e">
        <f ca="1" t="shared" si="22"/>
        <v>#DIV/0!</v>
      </c>
      <c r="J54" s="392" t="e">
        <f ca="1" t="shared" si="22"/>
        <v>#DIV/0!</v>
      </c>
      <c r="K54" s="392" t="e">
        <f ca="1" t="shared" si="22"/>
        <v>#DIV/0!</v>
      </c>
      <c r="L54" s="392" t="e">
        <f ca="1" t="shared" si="22"/>
        <v>#DIV/0!</v>
      </c>
      <c r="M54" s="392">
        <f t="shared" si="22"/>
        <v>0</v>
      </c>
    </row>
    <row r="55" spans="2:19">
      <c r="D55" s="400"/>
      <c r="E55" s="400"/>
      <c r="F55" s="400"/>
      <c r="G55" s="400"/>
      <c r="H55" s="400"/>
      <c r="I55" s="400"/>
      <c r="J55" s="400"/>
      <c r="K55" s="400"/>
      <c r="L55" s="400"/>
      <c r="M55" s="400" t="e">
        <f ca="1">SUM(C54:M54)</f>
        <v>#DIV/0!</v>
      </c>
    </row>
    <row r="57" spans="2:19">
      <c r="K57" s="401"/>
      <c r="L57" s="401"/>
      <c r="M57" s="401"/>
    </row>
    <row r="58" spans="2:19">
      <c r="K58" s="401"/>
      <c r="L58" s="401"/>
      <c r="M58" s="401"/>
    </row>
    <row r="59" spans="2:19">
      <c r="K59" s="401"/>
      <c r="L59" s="401"/>
      <c r="M59" s="401"/>
    </row>
    <row r="60" spans="2:19">
      <c r="K60" s="401"/>
      <c r="L60" s="401"/>
      <c r="M60" s="401"/>
      <c r="O60" s="402"/>
    </row>
    <row r="61" spans="2:19">
      <c r="K61" s="401"/>
      <c r="L61" s="401"/>
      <c r="M61" s="401"/>
      <c r="O61" s="402"/>
    </row>
    <row r="62" spans="2:19">
      <c r="K62" s="401"/>
      <c r="L62" s="401"/>
      <c r="M62" s="401"/>
      <c r="O62" s="402"/>
    </row>
    <row r="63" spans="2:19">
      <c r="J63" s="401"/>
      <c r="K63" s="401"/>
      <c r="L63" s="401"/>
      <c r="M63" s="401"/>
      <c r="O63" s="402"/>
    </row>
    <row r="64" spans="2:19">
      <c r="J64" s="401"/>
      <c r="K64" s="401"/>
      <c r="L64" s="401"/>
      <c r="M64" s="401"/>
      <c r="O64" s="402"/>
    </row>
    <row r="65" spans="15:15">
      <c r="O65" s="402"/>
    </row>
    <row r="66" spans="15:15">
      <c r="O66" s="402"/>
    </row>
    <row r="67" spans="15:15">
      <c r="O67" s="402"/>
    </row>
    <row r="68" spans="15:15">
      <c r="O68" s="402"/>
    </row>
    <row r="69" spans="15:15">
      <c r="O69" s="402"/>
    </row>
    <row r="70" spans="15:15">
      <c r="O70" s="402"/>
    </row>
    <row r="71" spans="15:15">
      <c r="O71" s="402"/>
    </row>
    <row r="72" spans="15:15">
      <c r="O72" s="402"/>
    </row>
    <row r="73" spans="15:15">
      <c r="O73" s="402"/>
    </row>
    <row r="74" spans="15:15">
      <c r="O74" s="402"/>
    </row>
    <row r="75" spans="15:15">
      <c r="O75" s="402"/>
    </row>
    <row r="76" spans="15:15">
      <c r="O76" s="402"/>
    </row>
    <row r="77" spans="15:15">
      <c r="O77" s="402"/>
    </row>
  </sheetData>
  <sheetProtection autoFilter="0"/>
  <mergeCells count="7">
    <mergeCell ref="Q2:S2"/>
    <mergeCell ref="B21:M21"/>
    <mergeCell ref="B34:M34"/>
    <mergeCell ref="O34:P34"/>
    <mergeCell ref="B47:M47"/>
    <mergeCell ref="O2:O3"/>
    <mergeCell ref="P2:P3"/>
  </mergeCells>
  <pageMargins left="0.7" right="0.7" top="0.75" bottom="0.75" header="0.3" footer="0.3"/>
  <pageSetup paperSize="9" orientation="portrait"/>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9"/>
  <dimension ref="A1:BW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0.1" style="75" customWidth="1"/>
    <col min="3" max="3" width="11.7" style="75" customWidth="1"/>
    <col min="4" max="5" width="4.6" style="75" customWidth="1" outlineLevel="1"/>
    <col min="6" max="6" width="6.1" style="75" customWidth="1" outlineLevel="1"/>
    <col min="7" max="7" width="18.6" style="75" customWidth="1" outlineLevel="1"/>
    <col min="8" max="8" width="18.6" style="76" customWidth="1" outlineLevel="1"/>
    <col min="9" max="10" width="18.6" style="75" customWidth="1"/>
    <col min="11" max="12" width="10.6" style="75" customWidth="1"/>
    <col min="13" max="13" width="16.7" style="75" customWidth="1"/>
    <col min="14"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4" width="4.7" style="165" customWidth="1"/>
    <col min="65" max="65" width="8.7" style="75" customWidth="1"/>
    <col min="66" max="66" width="6.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82"/>
      <c r="D1" s="82"/>
      <c r="E1" s="82"/>
      <c r="F1" s="82"/>
      <c r="G1" s="82"/>
      <c r="H1" s="205"/>
      <c r="I1" s="82"/>
      <c r="J1" s="82"/>
      <c r="K1" s="82"/>
      <c r="L1" s="82"/>
      <c r="M1" s="82"/>
      <c r="BA1" s="84" t="str">
        <f>参数表!BA1</f>
        <v>注意：补充特殊事项、作价等均从BA列开始填写</v>
      </c>
      <c r="BB1" s="85"/>
      <c r="BH1" s="82"/>
      <c r="BJ1" s="82"/>
      <c r="BK1" s="82"/>
      <c r="BL1" s="82"/>
      <c r="BO1" s="87"/>
      <c r="BP1" s="88"/>
      <c r="BQ1" s="87"/>
      <c r="BR1" s="88"/>
      <c r="BS1" s="88"/>
      <c r="BT1" s="88"/>
      <c r="BU1" s="88"/>
      <c r="BV1" s="88"/>
      <c r="BW1" s="87"/>
    </row>
    <row r="2" s="71" customFormat="1" ht="30" customHeight="1" spans="1:75">
      <c r="A2" s="89" t="s">
        <v>4914</v>
      </c>
      <c r="B2" s="89"/>
      <c r="C2" s="89"/>
      <c r="D2" s="89"/>
      <c r="E2" s="89"/>
      <c r="F2" s="89"/>
      <c r="G2" s="89"/>
      <c r="H2" s="89"/>
      <c r="I2" s="89"/>
      <c r="J2" s="89"/>
      <c r="K2" s="89"/>
      <c r="L2" s="89"/>
      <c r="M2" s="89"/>
      <c r="BA2" s="90" t="str">
        <f>参数表!BA2</f>
        <v>评估基准日：</v>
      </c>
      <c r="BB2" s="91" t="str">
        <f>参数表!$BB$2</f>
        <v>2025年7月31日</v>
      </c>
      <c r="BH2" s="171"/>
      <c r="BJ2" s="171"/>
      <c r="BK2" s="171"/>
      <c r="BL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5"/>
      <c r="K3" s="95"/>
      <c r="L3" s="95"/>
      <c r="M3" s="95"/>
      <c r="BA3" s="90" t="str">
        <f>参数表!BA3</f>
        <v>是否显示评估值：</v>
      </c>
      <c r="BB3" s="90" t="str">
        <f>参数表!$BB$3</f>
        <v>是</v>
      </c>
      <c r="BQ3" s="78"/>
    </row>
    <row r="4" ht="15" customHeight="1" spans="1:75">
      <c r="A4" s="96"/>
      <c r="B4" s="94"/>
      <c r="C4" s="94"/>
      <c r="D4" s="94"/>
      <c r="E4" s="94"/>
      <c r="F4" s="94"/>
      <c r="G4" s="94"/>
      <c r="H4" s="97"/>
      <c r="I4" s="94"/>
      <c r="J4" s="95"/>
      <c r="K4" s="95"/>
      <c r="L4" s="95"/>
      <c r="M4" s="98" t="str">
        <f>"表"&amp;$BA4</f>
        <v>表4-16</v>
      </c>
      <c r="O4" s="277"/>
      <c r="BA4" s="274" t="str">
        <f>非流动资总!A22</f>
        <v>4-16</v>
      </c>
      <c r="BB4" s="100">
        <f>MAX(COUNTA(A7:A26),COUNTA(B7:B26),COUNTA(G7:G26),COUNTA(I7:I26))</f>
        <v>20</v>
      </c>
      <c r="BC4" s="101">
        <f>ROW(A6)+1</f>
        <v>7</v>
      </c>
      <c r="BD4" s="77"/>
      <c r="BE4" s="77"/>
      <c r="BQ4" s="78"/>
    </row>
    <row r="5" ht="15" customHeight="1" spans="1:75">
      <c r="A5" s="102" t="str">
        <f>参数表!F3</f>
        <v>产权持有单位:中煤第五建设有限公司</v>
      </c>
      <c r="B5" s="103"/>
      <c r="C5" s="103"/>
      <c r="D5" s="103"/>
      <c r="E5" s="103"/>
      <c r="F5" s="103"/>
      <c r="G5" s="103"/>
      <c r="H5" s="104"/>
      <c r="I5" s="103"/>
      <c r="J5" s="103"/>
      <c r="K5" s="103"/>
      <c r="L5" s="103"/>
      <c r="M5" s="98" t="s">
        <v>236</v>
      </c>
      <c r="BA5" s="103"/>
      <c r="BB5" s="105" t="str">
        <f ca="1">判断表!C92</f>
        <v>中煤第五建设有限公司第三工程处拟处置实物资产项目\[0000-3基础法明细表.xlsx]开发支出</v>
      </c>
      <c r="BC5" s="106">
        <f>IFERROR(SUMIF(BC7:BC26,"√",I7:I26)/I27,0)</f>
        <v>0</v>
      </c>
      <c r="BD5" s="107"/>
      <c r="BE5" s="107"/>
      <c r="BF5" s="108">
        <f>分类汇总!I38</f>
        <v>0</v>
      </c>
      <c r="BG5" s="108">
        <f>分类汇总!K38</f>
        <v>0</v>
      </c>
      <c r="BH5" s="109"/>
      <c r="BI5" s="109"/>
      <c r="BJ5" s="109"/>
      <c r="BK5" s="109"/>
      <c r="BL5" s="109"/>
      <c r="BM5" s="110"/>
      <c r="BO5" s="111"/>
      <c r="BQ5" s="78"/>
      <c r="BV5" s="194"/>
      <c r="BW5" s="111"/>
    </row>
    <row r="6" s="349" customFormat="1" ht="25.2" customHeight="1" spans="1:75">
      <c r="A6" s="350" t="s">
        <v>305</v>
      </c>
      <c r="B6" s="118" t="s">
        <v>4915</v>
      </c>
      <c r="C6" s="118" t="s">
        <v>1961</v>
      </c>
      <c r="D6" s="114" t="s">
        <v>1631</v>
      </c>
      <c r="E6" s="115" t="s">
        <v>1632</v>
      </c>
      <c r="F6" s="116" t="s">
        <v>3793</v>
      </c>
      <c r="G6" s="118" t="s">
        <v>1549</v>
      </c>
      <c r="H6" s="352" t="s">
        <v>1634</v>
      </c>
      <c r="I6" s="118" t="s">
        <v>1523</v>
      </c>
      <c r="J6" s="118" t="s">
        <v>1550</v>
      </c>
      <c r="K6" s="118" t="s">
        <v>1525</v>
      </c>
      <c r="L6" s="118" t="s">
        <v>1551</v>
      </c>
      <c r="M6" s="118"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1644</v>
      </c>
      <c r="BN6" s="224" t="s">
        <v>1524</v>
      </c>
      <c r="BO6" s="119"/>
      <c r="BP6" s="120" t="s">
        <v>1645</v>
      </c>
      <c r="BQ6" s="121" t="s">
        <v>1646</v>
      </c>
      <c r="BR6" s="121" t="s">
        <v>1647</v>
      </c>
      <c r="BS6" s="121" t="s">
        <v>1648</v>
      </c>
      <c r="BT6" s="121" t="s">
        <v>1647</v>
      </c>
      <c r="BU6" s="121" t="s">
        <v>1647</v>
      </c>
      <c r="BV6" s="121" t="s">
        <v>1649</v>
      </c>
      <c r="BW6" s="122" t="s">
        <v>1650</v>
      </c>
    </row>
    <row r="7" ht="15" customHeight="1" spans="1:75">
      <c r="A7" s="123" t="str">
        <f>IF(B7="","",COUNT(A$6:A6)+1)</f>
        <v/>
      </c>
      <c r="B7" s="124"/>
      <c r="C7" s="125"/>
      <c r="D7" s="127"/>
      <c r="E7" s="127" t="str">
        <f>IFERROR(VLOOKUP(D7,参数表!$H$2:$I$50,2,FALSE),"")</f>
        <v/>
      </c>
      <c r="F7" s="128" t="str">
        <f>IFERROR(IF(OR(D7="人民币",D7=""),"",I7/E7),"")</f>
        <v/>
      </c>
      <c r="G7" s="129"/>
      <c r="H7" s="130"/>
      <c r="I7" s="129" t="str">
        <f>IF(B7="","",G7+H7)</f>
        <v/>
      </c>
      <c r="J7" s="129" t="str">
        <f t="shared" ref="J7:J26" si="0">IF(B7="","",IF(BB$3="是",BN7,""))</f>
        <v/>
      </c>
      <c r="K7" s="129" t="str">
        <f t="shared" ref="K7:K27" si="1">IFERROR(J7-I7,"")</f>
        <v/>
      </c>
      <c r="L7" s="129" t="str">
        <f t="shared" ref="L7:L27" si="2">IFERROR(K7/I7*100,"")</f>
        <v/>
      </c>
      <c r="M7" s="131"/>
      <c r="BA7" s="78"/>
      <c r="BB7" s="132" t="s">
        <v>4916</v>
      </c>
      <c r="BC7" s="133"/>
      <c r="BD7" s="132" t="str">
        <f>IF(OR(B7="",BC7=""),"",COUNTIF(BC$7:BC7,"√"))</f>
        <v/>
      </c>
      <c r="BE7" s="134" t="str">
        <f t="shared" ref="BE7:BE26" si="3">IF(BC7="","",BB7&amp;"︱"&amp;B7&amp;"︱"&amp;TEXT(G7,"#,##0.00"))</f>
        <v/>
      </c>
      <c r="BF7" s="135" t="str">
        <f>IF($B7="","",IF(BF$5=0,"OK","出错"))</f>
        <v/>
      </c>
      <c r="BG7" s="135" t="str">
        <f>IF($B7="","",IF(BG$5=0,"OK","出错"))</f>
        <v/>
      </c>
      <c r="BH7" s="136"/>
      <c r="BI7" s="137"/>
      <c r="BJ7" s="136"/>
      <c r="BK7" s="136"/>
      <c r="BL7" s="136"/>
      <c r="BM7" s="137"/>
      <c r="BP7" s="134" t="str">
        <f>IF(COUNTIF(BP$6:BP6,B7)&gt;0,"",B7)&amp;""</f>
        <v/>
      </c>
      <c r="BQ7" s="138">
        <f>SUMIF(B$7:B$26,BP7,I$7:I$26)</f>
        <v>0</v>
      </c>
      <c r="BR7" s="132">
        <f t="shared" ref="BR7" si="4">RANK(BQ7,BQ$7:BQ$26)</f>
        <v>1</v>
      </c>
      <c r="BS7" s="138">
        <f>SUMIF(B$7:B$26,BP7,J$7:J$26)</f>
        <v>0</v>
      </c>
      <c r="BT7" s="132">
        <f>RANK(BS7,BS$7:BS$26)</f>
        <v>1</v>
      </c>
      <c r="BU7" s="138">
        <f>SUM(BQ7:BQ26)</f>
        <v>0</v>
      </c>
      <c r="BV7" s="138"/>
      <c r="BW7" s="138"/>
    </row>
    <row r="8" ht="15" customHeight="1" spans="1:75">
      <c r="A8" s="123" t="str">
        <f>IF(B8="","",COUNT(A$6:A7)+1)</f>
        <v/>
      </c>
      <c r="B8" s="139"/>
      <c r="C8" s="140"/>
      <c r="D8" s="142"/>
      <c r="E8" s="127" t="str">
        <f>IFERROR(VLOOKUP(D8,参数表!$H$2:$I$50,2,FALSE),"")</f>
        <v/>
      </c>
      <c r="F8" s="128" t="str">
        <f>IFERROR(IF(OR(D8="人民币",D8=""),"",I8/E8),"")</f>
        <v/>
      </c>
      <c r="G8" s="143"/>
      <c r="H8" s="144"/>
      <c r="I8" s="129" t="str">
        <f t="shared" ref="I8:I26" si="5">IF(B8="","",G8+H8)</f>
        <v/>
      </c>
      <c r="J8" s="129" t="str">
        <f t="shared" si="0"/>
        <v/>
      </c>
      <c r="K8" s="129" t="str">
        <f t="shared" si="1"/>
        <v/>
      </c>
      <c r="L8" s="129" t="str">
        <f t="shared" si="2"/>
        <v/>
      </c>
      <c r="M8" s="145"/>
      <c r="BA8" s="78"/>
      <c r="BB8" s="132" t="s">
        <v>4917</v>
      </c>
      <c r="BC8" s="133"/>
      <c r="BD8" s="132" t="str">
        <f>IF(OR(B8="",BC8=""),"",COUNTIF(BC$7:BC8,"√"))</f>
        <v/>
      </c>
      <c r="BE8" s="134" t="str">
        <f t="shared" si="3"/>
        <v/>
      </c>
      <c r="BF8" s="135" t="str">
        <f t="shared" ref="BF8:BG26" si="6">IF($B8="","",IF(BF$5=0,"OK","出错"))</f>
        <v/>
      </c>
      <c r="BG8" s="135" t="str">
        <f t="shared" si="6"/>
        <v/>
      </c>
      <c r="BH8" s="136"/>
      <c r="BI8" s="137"/>
      <c r="BJ8" s="136"/>
      <c r="BK8" s="136"/>
      <c r="BL8" s="136"/>
      <c r="BM8" s="137"/>
      <c r="BP8" s="134" t="str">
        <f>IF(COUNTIF(BP$6:BP7,B8)&gt;0,"",B8)&amp;""</f>
        <v/>
      </c>
      <c r="BQ8" s="138">
        <f t="shared" ref="BQ8:BQ26" si="7">SUMIF(B$7:B$26,BP8,I$7:I$26)</f>
        <v>0</v>
      </c>
      <c r="BR8" s="132">
        <f t="shared" ref="BR8:BR26" si="8">RANK(BQ8,BQ$7:BQ$26)</f>
        <v>1</v>
      </c>
      <c r="BS8" s="138">
        <f t="shared" ref="BS8:BS26" si="9">SUMIF(B$7:B$26,BP8,J$7:J$26)</f>
        <v>0</v>
      </c>
      <c r="BT8" s="132">
        <f t="shared" ref="BT8:BT26" si="10">RANK(BS8,BS$7:BS$26)</f>
        <v>1</v>
      </c>
      <c r="BU8" s="138">
        <f>SUM(BS7:BS26)</f>
        <v>0</v>
      </c>
      <c r="BV8" s="138"/>
      <c r="BW8" s="138"/>
    </row>
    <row r="9" ht="15" customHeight="1" spans="1:75">
      <c r="A9" s="123" t="str">
        <f>IF(B9="","",COUNT(A$6:A8)+1)</f>
        <v/>
      </c>
      <c r="B9" s="139"/>
      <c r="C9" s="140"/>
      <c r="D9" s="142"/>
      <c r="E9" s="127" t="str">
        <f>IFERROR(VLOOKUP(D9,参数表!$H$2:$I$50,2,FALSE),"")</f>
        <v/>
      </c>
      <c r="F9" s="128" t="str">
        <f t="shared" ref="F9:F26" si="11">IFERROR(IF(OR(D9="人民币",D9=""),"",I9/E9),"")</f>
        <v/>
      </c>
      <c r="G9" s="143"/>
      <c r="H9" s="144"/>
      <c r="I9" s="129" t="str">
        <f t="shared" si="5"/>
        <v/>
      </c>
      <c r="J9" s="129" t="str">
        <f t="shared" si="0"/>
        <v/>
      </c>
      <c r="K9" s="129" t="str">
        <f t="shared" si="1"/>
        <v/>
      </c>
      <c r="L9" s="129" t="str">
        <f t="shared" si="2"/>
        <v/>
      </c>
      <c r="M9" s="145"/>
      <c r="BA9" s="78"/>
      <c r="BB9" s="132" t="s">
        <v>4918</v>
      </c>
      <c r="BC9" s="133"/>
      <c r="BD9" s="132" t="str">
        <f>IF(OR(B9="",BC9=""),"",COUNTIF(BC$7:BC9,"√"))</f>
        <v/>
      </c>
      <c r="BE9" s="134" t="str">
        <f t="shared" si="3"/>
        <v/>
      </c>
      <c r="BF9" s="135" t="str">
        <f t="shared" si="6"/>
        <v/>
      </c>
      <c r="BG9" s="135" t="str">
        <f t="shared" si="6"/>
        <v/>
      </c>
      <c r="BH9" s="136"/>
      <c r="BI9" s="137"/>
      <c r="BJ9" s="136"/>
      <c r="BK9" s="136"/>
      <c r="BL9" s="136"/>
      <c r="BM9" s="137"/>
      <c r="BP9" s="134" t="str">
        <f>IF(COUNTIF(BP$6:BP8,B9)&gt;0,"",B9)&amp;""</f>
        <v/>
      </c>
      <c r="BQ9" s="138">
        <f t="shared" si="7"/>
        <v>0</v>
      </c>
      <c r="BR9" s="132">
        <f t="shared" si="8"/>
        <v>1</v>
      </c>
      <c r="BS9" s="138">
        <f t="shared" si="9"/>
        <v>0</v>
      </c>
      <c r="BT9" s="132">
        <f t="shared" si="10"/>
        <v>1</v>
      </c>
      <c r="BU9" s="132">
        <v>1</v>
      </c>
      <c r="BV9" s="134" t="str">
        <f>IFERROR(INDEX(BP$7:BP$26,MATCH(BU9,IF(BU$7=0,BT$7:BT$26,BR$7:BR$26),0))&amp;"","")</f>
        <v/>
      </c>
      <c r="BW9" s="146" t="str">
        <f>IF(BV10="","",IF(BV11="","和","、"))</f>
        <v/>
      </c>
    </row>
    <row r="10" ht="15" customHeight="1" spans="1:75">
      <c r="A10" s="123" t="str">
        <f>IF(B10="","",COUNT(A$6:A9)+1)</f>
        <v/>
      </c>
      <c r="B10" s="139"/>
      <c r="C10" s="140"/>
      <c r="D10" s="142"/>
      <c r="E10" s="127" t="str">
        <f>IFERROR(VLOOKUP(D10,参数表!$H$2:$I$50,2,FALSE),"")</f>
        <v/>
      </c>
      <c r="F10" s="128" t="str">
        <f t="shared" si="11"/>
        <v/>
      </c>
      <c r="G10" s="143"/>
      <c r="H10" s="144"/>
      <c r="I10" s="129" t="str">
        <f t="shared" si="5"/>
        <v/>
      </c>
      <c r="J10" s="129" t="str">
        <f t="shared" si="0"/>
        <v/>
      </c>
      <c r="K10" s="129" t="str">
        <f t="shared" si="1"/>
        <v/>
      </c>
      <c r="L10" s="129" t="str">
        <f t="shared" si="2"/>
        <v/>
      </c>
      <c r="M10" s="145"/>
      <c r="BA10" s="78"/>
      <c r="BB10" s="132" t="s">
        <v>4919</v>
      </c>
      <c r="BC10" s="133"/>
      <c r="BD10" s="132" t="str">
        <f>IF(OR(B10="",BC10=""),"",COUNTIF(BC$7:BC10,"√"))</f>
        <v/>
      </c>
      <c r="BE10" s="134" t="str">
        <f t="shared" si="3"/>
        <v/>
      </c>
      <c r="BF10" s="135" t="str">
        <f t="shared" si="6"/>
        <v/>
      </c>
      <c r="BG10" s="135" t="str">
        <f t="shared" si="6"/>
        <v/>
      </c>
      <c r="BH10" s="136"/>
      <c r="BI10" s="137"/>
      <c r="BJ10" s="136"/>
      <c r="BK10" s="136"/>
      <c r="BL10" s="136"/>
      <c r="BM10" s="137"/>
      <c r="BP10" s="134" t="str">
        <f>IF(COUNTIF(BP$6:BP9,B10)&gt;0,"",B10)&amp;""</f>
        <v/>
      </c>
      <c r="BQ10" s="138">
        <f t="shared" si="7"/>
        <v>0</v>
      </c>
      <c r="BR10" s="132">
        <f t="shared" si="8"/>
        <v>1</v>
      </c>
      <c r="BS10" s="138">
        <f t="shared" si="9"/>
        <v>0</v>
      </c>
      <c r="BT10" s="132">
        <f t="shared" si="10"/>
        <v>1</v>
      </c>
      <c r="BU10" s="132">
        <v>2</v>
      </c>
      <c r="BV10" s="134" t="str">
        <f t="shared" ref="BV10:BV13" si="12">IFERROR(INDEX(BP$7:BP$26,MATCH(BU10,IF(BU$7=0,BT$7:BT$26,BR$7:BR$26),0))&amp;"","")</f>
        <v/>
      </c>
      <c r="BW10" s="146" t="str">
        <f t="shared" ref="BW10:BW11" si="13">IF(BV11="","",IF(BV12="","和","、"))</f>
        <v/>
      </c>
    </row>
    <row r="11" ht="15" customHeight="1" spans="1:75">
      <c r="A11" s="123" t="str">
        <f>IF(B11="","",COUNT(A$6:A10)+1)</f>
        <v/>
      </c>
      <c r="B11" s="139"/>
      <c r="C11" s="140"/>
      <c r="D11" s="142"/>
      <c r="E11" s="127" t="str">
        <f>IFERROR(VLOOKUP(D11,参数表!$H$2:$I$50,2,FALSE),"")</f>
        <v/>
      </c>
      <c r="F11" s="128" t="str">
        <f t="shared" si="11"/>
        <v/>
      </c>
      <c r="G11" s="143"/>
      <c r="H11" s="144"/>
      <c r="I11" s="129" t="str">
        <f t="shared" si="5"/>
        <v/>
      </c>
      <c r="J11" s="129" t="str">
        <f t="shared" si="0"/>
        <v/>
      </c>
      <c r="K11" s="129" t="str">
        <f t="shared" si="1"/>
        <v/>
      </c>
      <c r="L11" s="129" t="str">
        <f t="shared" si="2"/>
        <v/>
      </c>
      <c r="M11" s="145"/>
      <c r="BA11" s="78"/>
      <c r="BB11" s="132" t="s">
        <v>4920</v>
      </c>
      <c r="BC11" s="133"/>
      <c r="BD11" s="132" t="str">
        <f>IF(OR(B11="",BC11=""),"",COUNTIF(BC$7:BC11,"√"))</f>
        <v/>
      </c>
      <c r="BE11" s="134" t="str">
        <f t="shared" si="3"/>
        <v/>
      </c>
      <c r="BF11" s="135" t="str">
        <f t="shared" si="6"/>
        <v/>
      </c>
      <c r="BG11" s="135" t="str">
        <f t="shared" si="6"/>
        <v/>
      </c>
      <c r="BH11" s="136"/>
      <c r="BI11" s="137"/>
      <c r="BJ11" s="136"/>
      <c r="BK11" s="136"/>
      <c r="BL11" s="136"/>
      <c r="BM11" s="137"/>
      <c r="BP11" s="134" t="str">
        <f>IF(COUNTIF(BP$6:BP10,B11)&gt;0,"",B11)&amp;""</f>
        <v/>
      </c>
      <c r="BQ11" s="138">
        <f t="shared" si="7"/>
        <v>0</v>
      </c>
      <c r="BR11" s="132">
        <f t="shared" si="8"/>
        <v>1</v>
      </c>
      <c r="BS11" s="138">
        <f t="shared" si="9"/>
        <v>0</v>
      </c>
      <c r="BT11" s="132">
        <f t="shared" si="10"/>
        <v>1</v>
      </c>
      <c r="BU11" s="132">
        <v>3</v>
      </c>
      <c r="BV11" s="134" t="str">
        <f t="shared" si="12"/>
        <v/>
      </c>
      <c r="BW11" s="146" t="str">
        <f t="shared" si="13"/>
        <v/>
      </c>
    </row>
    <row r="12" ht="15" customHeight="1" spans="1:75">
      <c r="A12" s="123" t="str">
        <f>IF(B12="","",COUNT(A$6:A11)+1)</f>
        <v/>
      </c>
      <c r="B12" s="139"/>
      <c r="C12" s="140"/>
      <c r="D12" s="142"/>
      <c r="E12" s="127" t="str">
        <f>IFERROR(VLOOKUP(D12,参数表!$H$2:$I$50,2,FALSE),"")</f>
        <v/>
      </c>
      <c r="F12" s="128" t="str">
        <f t="shared" si="11"/>
        <v/>
      </c>
      <c r="G12" s="143"/>
      <c r="H12" s="144"/>
      <c r="I12" s="129" t="str">
        <f t="shared" si="5"/>
        <v/>
      </c>
      <c r="J12" s="129" t="str">
        <f t="shared" si="0"/>
        <v/>
      </c>
      <c r="K12" s="129" t="str">
        <f t="shared" si="1"/>
        <v/>
      </c>
      <c r="L12" s="129" t="str">
        <f t="shared" si="2"/>
        <v/>
      </c>
      <c r="M12" s="145"/>
      <c r="BA12" s="78"/>
      <c r="BB12" s="132" t="s">
        <v>4921</v>
      </c>
      <c r="BC12" s="133"/>
      <c r="BD12" s="132" t="str">
        <f>IF(OR(B12="",BC12=""),"",COUNTIF(BC$7:BC12,"√"))</f>
        <v/>
      </c>
      <c r="BE12" s="134" t="str">
        <f t="shared" si="3"/>
        <v/>
      </c>
      <c r="BF12" s="135" t="str">
        <f t="shared" si="6"/>
        <v/>
      </c>
      <c r="BG12" s="135" t="str">
        <f t="shared" si="6"/>
        <v/>
      </c>
      <c r="BH12" s="136"/>
      <c r="BI12" s="137"/>
      <c r="BJ12" s="136"/>
      <c r="BK12" s="136"/>
      <c r="BL12" s="136"/>
      <c r="BM12" s="137"/>
      <c r="BP12" s="134" t="str">
        <f>IF(COUNTIF(BP$6:BP11,B12)&gt;0,"",B12)&amp;""</f>
        <v/>
      </c>
      <c r="BQ12" s="138">
        <f t="shared" si="7"/>
        <v>0</v>
      </c>
      <c r="BR12" s="132">
        <f t="shared" si="8"/>
        <v>1</v>
      </c>
      <c r="BS12" s="138">
        <f t="shared" si="9"/>
        <v>0</v>
      </c>
      <c r="BT12" s="132">
        <f t="shared" si="10"/>
        <v>1</v>
      </c>
      <c r="BU12" s="132">
        <v>4</v>
      </c>
      <c r="BV12" s="134" t="str">
        <f t="shared" si="12"/>
        <v/>
      </c>
      <c r="BW12" s="146" t="str">
        <f>IF(BV13="","","和")</f>
        <v/>
      </c>
    </row>
    <row r="13" ht="15" customHeight="1" spans="1:75">
      <c r="A13" s="123" t="str">
        <f>IF(B13="","",COUNT(A$6:A12)+1)</f>
        <v/>
      </c>
      <c r="B13" s="139"/>
      <c r="C13" s="140"/>
      <c r="D13" s="142"/>
      <c r="E13" s="127" t="str">
        <f>IFERROR(VLOOKUP(D13,参数表!$H$2:$I$50,2,FALSE),"")</f>
        <v/>
      </c>
      <c r="F13" s="128" t="str">
        <f t="shared" si="11"/>
        <v/>
      </c>
      <c r="G13" s="143"/>
      <c r="H13" s="144"/>
      <c r="I13" s="129" t="str">
        <f t="shared" si="5"/>
        <v/>
      </c>
      <c r="J13" s="129" t="str">
        <f t="shared" si="0"/>
        <v/>
      </c>
      <c r="K13" s="129" t="str">
        <f t="shared" si="1"/>
        <v/>
      </c>
      <c r="L13" s="129" t="str">
        <f t="shared" si="2"/>
        <v/>
      </c>
      <c r="M13" s="145"/>
      <c r="BA13" s="78"/>
      <c r="BB13" s="132" t="s">
        <v>4922</v>
      </c>
      <c r="BC13" s="133"/>
      <c r="BD13" s="132" t="str">
        <f>IF(OR(B13="",BC13=""),"",COUNTIF(BC$7:BC13,"√"))</f>
        <v/>
      </c>
      <c r="BE13" s="134" t="str">
        <f t="shared" si="3"/>
        <v/>
      </c>
      <c r="BF13" s="135" t="str">
        <f t="shared" si="6"/>
        <v/>
      </c>
      <c r="BG13" s="135" t="str">
        <f t="shared" si="6"/>
        <v/>
      </c>
      <c r="BH13" s="136"/>
      <c r="BI13" s="137"/>
      <c r="BJ13" s="136"/>
      <c r="BK13" s="136"/>
      <c r="BL13" s="136"/>
      <c r="BM13" s="137"/>
      <c r="BP13" s="134" t="str">
        <f>IF(COUNTIF(BP$6:BP12,B13)&gt;0,"",B13)&amp;""</f>
        <v/>
      </c>
      <c r="BQ13" s="138">
        <f t="shared" si="7"/>
        <v>0</v>
      </c>
      <c r="BR13" s="132">
        <f t="shared" si="8"/>
        <v>1</v>
      </c>
      <c r="BS13" s="138">
        <f t="shared" si="9"/>
        <v>0</v>
      </c>
      <c r="BT13" s="132">
        <f t="shared" si="10"/>
        <v>1</v>
      </c>
      <c r="BU13" s="132">
        <v>5</v>
      </c>
      <c r="BV13" s="134" t="str">
        <f t="shared" si="12"/>
        <v/>
      </c>
      <c r="BW13" s="146"/>
    </row>
    <row r="14" ht="15" customHeight="1" spans="1:75">
      <c r="A14" s="123" t="str">
        <f>IF(B14="","",COUNT(A$6:A13)+1)</f>
        <v/>
      </c>
      <c r="B14" s="139"/>
      <c r="C14" s="140"/>
      <c r="D14" s="142"/>
      <c r="E14" s="127" t="str">
        <f>IFERROR(VLOOKUP(D14,参数表!$H$2:$I$50,2,FALSE),"")</f>
        <v/>
      </c>
      <c r="F14" s="128" t="str">
        <f t="shared" si="11"/>
        <v/>
      </c>
      <c r="G14" s="143"/>
      <c r="H14" s="144"/>
      <c r="I14" s="129" t="str">
        <f t="shared" si="5"/>
        <v/>
      </c>
      <c r="J14" s="129" t="str">
        <f t="shared" si="0"/>
        <v/>
      </c>
      <c r="K14" s="129" t="str">
        <f t="shared" si="1"/>
        <v/>
      </c>
      <c r="L14" s="129" t="str">
        <f t="shared" si="2"/>
        <v/>
      </c>
      <c r="M14" s="145"/>
      <c r="BA14" s="78"/>
      <c r="BB14" s="132" t="s">
        <v>4923</v>
      </c>
      <c r="BC14" s="133"/>
      <c r="BD14" s="132" t="str">
        <f>IF(OR(B14="",BC14=""),"",COUNTIF(BC$7:BC14,"√"))</f>
        <v/>
      </c>
      <c r="BE14" s="134" t="str">
        <f t="shared" si="3"/>
        <v/>
      </c>
      <c r="BF14" s="135" t="str">
        <f t="shared" si="6"/>
        <v/>
      </c>
      <c r="BG14" s="135" t="str">
        <f t="shared" si="6"/>
        <v/>
      </c>
      <c r="BH14" s="136"/>
      <c r="BI14" s="137"/>
      <c r="BJ14" s="136"/>
      <c r="BK14" s="136"/>
      <c r="BL14" s="136"/>
      <c r="BM14" s="137"/>
      <c r="BP14" s="134" t="str">
        <f>IF(COUNTIF(BP$6:BP13,B14)&gt;0,"",B14)&amp;""</f>
        <v/>
      </c>
      <c r="BQ14" s="138">
        <f t="shared" si="7"/>
        <v>0</v>
      </c>
      <c r="BR14" s="132">
        <f t="shared" si="8"/>
        <v>1</v>
      </c>
      <c r="BS14" s="138">
        <f t="shared" si="9"/>
        <v>0</v>
      </c>
      <c r="BT14" s="132">
        <f t="shared" si="10"/>
        <v>1</v>
      </c>
      <c r="BU14" s="147" t="s">
        <v>1659</v>
      </c>
      <c r="BV14" s="132" t="str">
        <f>CONCATENATE(BV9,BW9,BV10,BW10,BV11,BW11,BV12,BW12,BV13)</f>
        <v/>
      </c>
      <c r="BW14" s="132"/>
    </row>
    <row r="15" ht="15" customHeight="1" spans="1:75">
      <c r="A15" s="123" t="str">
        <f>IF(B15="","",COUNT(A$6:A14)+1)</f>
        <v/>
      </c>
      <c r="B15" s="139"/>
      <c r="C15" s="140"/>
      <c r="D15" s="142"/>
      <c r="E15" s="127" t="str">
        <f>IFERROR(VLOOKUP(D15,参数表!$H$2:$I$50,2,FALSE),"")</f>
        <v/>
      </c>
      <c r="F15" s="128" t="str">
        <f t="shared" si="11"/>
        <v/>
      </c>
      <c r="G15" s="143"/>
      <c r="H15" s="144"/>
      <c r="I15" s="129" t="str">
        <f t="shared" si="5"/>
        <v/>
      </c>
      <c r="J15" s="129" t="str">
        <f t="shared" si="0"/>
        <v/>
      </c>
      <c r="K15" s="129" t="str">
        <f t="shared" si="1"/>
        <v/>
      </c>
      <c r="L15" s="129" t="str">
        <f t="shared" si="2"/>
        <v/>
      </c>
      <c r="M15" s="145"/>
      <c r="BA15" s="78"/>
      <c r="BB15" s="132" t="s">
        <v>4924</v>
      </c>
      <c r="BC15" s="133"/>
      <c r="BD15" s="132" t="str">
        <f>IF(OR(B15="",BC15=""),"",COUNTIF(BC$7:BC15,"√"))</f>
        <v/>
      </c>
      <c r="BE15" s="134" t="str">
        <f t="shared" si="3"/>
        <v/>
      </c>
      <c r="BF15" s="135" t="str">
        <f t="shared" si="6"/>
        <v/>
      </c>
      <c r="BG15" s="135" t="str">
        <f t="shared" si="6"/>
        <v/>
      </c>
      <c r="BH15" s="136"/>
      <c r="BI15" s="137"/>
      <c r="BJ15" s="136"/>
      <c r="BK15" s="136"/>
      <c r="BL15" s="136"/>
      <c r="BM15" s="137"/>
      <c r="BP15" s="134" t="str">
        <f>IF(COUNTIF(BP$6:BP14,B15)&gt;0,"",B15)&amp;""</f>
        <v/>
      </c>
      <c r="BQ15" s="138">
        <f t="shared" si="7"/>
        <v>0</v>
      </c>
      <c r="BR15" s="132">
        <f t="shared" si="8"/>
        <v>1</v>
      </c>
      <c r="BS15" s="138">
        <f t="shared" si="9"/>
        <v>0</v>
      </c>
      <c r="BT15" s="132">
        <f t="shared" si="10"/>
        <v>1</v>
      </c>
      <c r="BU15" s="133"/>
      <c r="BV15" s="133"/>
    </row>
    <row r="16" ht="15" customHeight="1" spans="1:75">
      <c r="A16" s="123" t="str">
        <f>IF(B16="","",COUNT(A$6:A15)+1)</f>
        <v/>
      </c>
      <c r="B16" s="139"/>
      <c r="C16" s="140"/>
      <c r="D16" s="142"/>
      <c r="E16" s="127" t="str">
        <f>IFERROR(VLOOKUP(D16,参数表!$H$2:$I$50,2,FALSE),"")</f>
        <v/>
      </c>
      <c r="F16" s="128" t="str">
        <f t="shared" si="11"/>
        <v/>
      </c>
      <c r="G16" s="143"/>
      <c r="H16" s="144"/>
      <c r="I16" s="129" t="str">
        <f t="shared" si="5"/>
        <v/>
      </c>
      <c r="J16" s="129" t="str">
        <f t="shared" si="0"/>
        <v/>
      </c>
      <c r="K16" s="129" t="str">
        <f t="shared" si="1"/>
        <v/>
      </c>
      <c r="L16" s="129" t="str">
        <f t="shared" si="2"/>
        <v/>
      </c>
      <c r="M16" s="145"/>
      <c r="BA16" s="78"/>
      <c r="BB16" s="132" t="s">
        <v>4925</v>
      </c>
      <c r="BC16" s="133"/>
      <c r="BD16" s="132" t="str">
        <f>IF(OR(B16="",BC16=""),"",COUNTIF(BC$7:BC16,"√"))</f>
        <v/>
      </c>
      <c r="BE16" s="134" t="str">
        <f t="shared" si="3"/>
        <v/>
      </c>
      <c r="BF16" s="135" t="str">
        <f t="shared" si="6"/>
        <v/>
      </c>
      <c r="BG16" s="135" t="str">
        <f t="shared" si="6"/>
        <v/>
      </c>
      <c r="BH16" s="136"/>
      <c r="BI16" s="137"/>
      <c r="BJ16" s="136"/>
      <c r="BK16" s="136"/>
      <c r="BL16" s="136"/>
      <c r="BM16" s="137"/>
      <c r="BP16" s="134" t="str">
        <f>IF(COUNTIF(BP$6:BP15,B16)&gt;0,"",B16)&amp;""</f>
        <v/>
      </c>
      <c r="BQ16" s="138">
        <f t="shared" si="7"/>
        <v>0</v>
      </c>
      <c r="BR16" s="132">
        <f t="shared" si="8"/>
        <v>1</v>
      </c>
      <c r="BS16" s="138">
        <f t="shared" si="9"/>
        <v>0</v>
      </c>
      <c r="BT16" s="132">
        <f t="shared" si="10"/>
        <v>1</v>
      </c>
      <c r="BU16" s="133"/>
      <c r="BV16" s="148"/>
    </row>
    <row r="17" ht="15" customHeight="1" spans="1:75">
      <c r="A17" s="123" t="str">
        <f>IF(B17="","",COUNT(A$6:A16)+1)</f>
        <v/>
      </c>
      <c r="B17" s="139"/>
      <c r="C17" s="140"/>
      <c r="D17" s="142"/>
      <c r="E17" s="127" t="str">
        <f>IFERROR(VLOOKUP(D17,参数表!$H$2:$I$50,2,FALSE),"")</f>
        <v/>
      </c>
      <c r="F17" s="128" t="str">
        <f t="shared" si="11"/>
        <v/>
      </c>
      <c r="G17" s="143"/>
      <c r="H17" s="144"/>
      <c r="I17" s="129" t="str">
        <f t="shared" si="5"/>
        <v/>
      </c>
      <c r="J17" s="129" t="str">
        <f t="shared" si="0"/>
        <v/>
      </c>
      <c r="K17" s="129" t="str">
        <f t="shared" si="1"/>
        <v/>
      </c>
      <c r="L17" s="129" t="str">
        <f t="shared" si="2"/>
        <v/>
      </c>
      <c r="M17" s="145"/>
      <c r="BA17" s="78"/>
      <c r="BB17" s="132" t="s">
        <v>4926</v>
      </c>
      <c r="BC17" s="133"/>
      <c r="BD17" s="132" t="str">
        <f>IF(OR(B17="",BC17=""),"",COUNTIF(BC$7:BC17,"√"))</f>
        <v/>
      </c>
      <c r="BE17" s="134" t="str">
        <f t="shared" si="3"/>
        <v/>
      </c>
      <c r="BF17" s="135" t="str">
        <f t="shared" si="6"/>
        <v/>
      </c>
      <c r="BG17" s="135" t="str">
        <f t="shared" si="6"/>
        <v/>
      </c>
      <c r="BH17" s="136"/>
      <c r="BI17" s="137"/>
      <c r="BJ17" s="136"/>
      <c r="BK17" s="136"/>
      <c r="BL17" s="136"/>
      <c r="BM17" s="137"/>
      <c r="BP17" s="134" t="str">
        <f>IF(COUNTIF(BP$6:BP16,B17)&gt;0,"",B17)&amp;""</f>
        <v/>
      </c>
      <c r="BQ17" s="138">
        <f t="shared" si="7"/>
        <v>0</v>
      </c>
      <c r="BR17" s="132">
        <f t="shared" si="8"/>
        <v>1</v>
      </c>
      <c r="BS17" s="138">
        <f t="shared" si="9"/>
        <v>0</v>
      </c>
      <c r="BT17" s="132">
        <f t="shared" si="10"/>
        <v>1</v>
      </c>
      <c r="BU17" s="133"/>
      <c r="BV17" s="133"/>
    </row>
    <row r="18" ht="15" customHeight="1" spans="1:75">
      <c r="A18" s="123" t="str">
        <f>IF(B18="","",COUNT(A$6:A17)+1)</f>
        <v/>
      </c>
      <c r="B18" s="139"/>
      <c r="C18" s="140"/>
      <c r="D18" s="142"/>
      <c r="E18" s="127" t="str">
        <f>IFERROR(VLOOKUP(D18,参数表!$H$2:$I$50,2,FALSE),"")</f>
        <v/>
      </c>
      <c r="F18" s="128" t="str">
        <f t="shared" si="11"/>
        <v/>
      </c>
      <c r="G18" s="143"/>
      <c r="H18" s="144"/>
      <c r="I18" s="129" t="str">
        <f t="shared" si="5"/>
        <v/>
      </c>
      <c r="J18" s="129" t="str">
        <f t="shared" si="0"/>
        <v/>
      </c>
      <c r="K18" s="129" t="str">
        <f t="shared" si="1"/>
        <v/>
      </c>
      <c r="L18" s="129" t="str">
        <f t="shared" si="2"/>
        <v/>
      </c>
      <c r="M18" s="145"/>
      <c r="BA18" s="78"/>
      <c r="BB18" s="132" t="s">
        <v>4927</v>
      </c>
      <c r="BC18" s="133"/>
      <c r="BD18" s="132" t="str">
        <f>IF(OR(B18="",BC18=""),"",COUNTIF(BC$7:BC18,"√"))</f>
        <v/>
      </c>
      <c r="BE18" s="134" t="str">
        <f t="shared" si="3"/>
        <v/>
      </c>
      <c r="BF18" s="135" t="str">
        <f t="shared" si="6"/>
        <v/>
      </c>
      <c r="BG18" s="135" t="str">
        <f t="shared" si="6"/>
        <v/>
      </c>
      <c r="BH18" s="136"/>
      <c r="BI18" s="137"/>
      <c r="BJ18" s="136"/>
      <c r="BK18" s="136"/>
      <c r="BL18" s="136"/>
      <c r="BM18" s="137"/>
      <c r="BP18" s="134" t="str">
        <f>IF(COUNTIF(BP$6:BP17,B18)&gt;0,"",B18)&amp;""</f>
        <v/>
      </c>
      <c r="BQ18" s="138">
        <f t="shared" si="7"/>
        <v>0</v>
      </c>
      <c r="BR18" s="132">
        <f t="shared" si="8"/>
        <v>1</v>
      </c>
      <c r="BS18" s="138">
        <f t="shared" si="9"/>
        <v>0</v>
      </c>
      <c r="BT18" s="132">
        <f t="shared" si="10"/>
        <v>1</v>
      </c>
      <c r="BU18" s="133"/>
      <c r="BV18" s="133"/>
    </row>
    <row r="19" ht="15" customHeight="1" spans="1:75">
      <c r="A19" s="123" t="str">
        <f>IF(B19="","",COUNT(A$6:A18)+1)</f>
        <v/>
      </c>
      <c r="B19" s="139"/>
      <c r="C19" s="140"/>
      <c r="D19" s="142"/>
      <c r="E19" s="127" t="str">
        <f>IFERROR(VLOOKUP(D19,参数表!$H$2:$I$50,2,FALSE),"")</f>
        <v/>
      </c>
      <c r="F19" s="128" t="str">
        <f t="shared" si="11"/>
        <v/>
      </c>
      <c r="G19" s="143"/>
      <c r="H19" s="144"/>
      <c r="I19" s="129" t="str">
        <f t="shared" si="5"/>
        <v/>
      </c>
      <c r="J19" s="129" t="str">
        <f t="shared" si="0"/>
        <v/>
      </c>
      <c r="K19" s="129" t="str">
        <f t="shared" si="1"/>
        <v/>
      </c>
      <c r="L19" s="129" t="str">
        <f t="shared" si="2"/>
        <v/>
      </c>
      <c r="M19" s="145"/>
      <c r="BA19" s="78"/>
      <c r="BB19" s="132" t="s">
        <v>4928</v>
      </c>
      <c r="BC19" s="133"/>
      <c r="BD19" s="132" t="str">
        <f>IF(OR(B19="",BC19=""),"",COUNTIF(BC$7:BC19,"√"))</f>
        <v/>
      </c>
      <c r="BE19" s="134" t="str">
        <f t="shared" si="3"/>
        <v/>
      </c>
      <c r="BF19" s="135" t="str">
        <f t="shared" si="6"/>
        <v/>
      </c>
      <c r="BG19" s="135" t="str">
        <f t="shared" si="6"/>
        <v/>
      </c>
      <c r="BH19" s="136"/>
      <c r="BI19" s="137"/>
      <c r="BJ19" s="136"/>
      <c r="BK19" s="136"/>
      <c r="BL19" s="136"/>
      <c r="BM19" s="137"/>
      <c r="BP19" s="134" t="str">
        <f>IF(COUNTIF(BP$6:BP18,B19)&gt;0,"",B19)&amp;""</f>
        <v/>
      </c>
      <c r="BQ19" s="138">
        <f t="shared" si="7"/>
        <v>0</v>
      </c>
      <c r="BR19" s="132">
        <f t="shared" si="8"/>
        <v>1</v>
      </c>
      <c r="BS19" s="138">
        <f t="shared" si="9"/>
        <v>0</v>
      </c>
      <c r="BT19" s="132">
        <f t="shared" si="10"/>
        <v>1</v>
      </c>
      <c r="BU19" s="133"/>
      <c r="BV19" s="133"/>
    </row>
    <row r="20" ht="15" customHeight="1" spans="1:75">
      <c r="A20" s="123" t="str">
        <f>IF(B20="","",COUNT(A$6:A19)+1)</f>
        <v/>
      </c>
      <c r="B20" s="139"/>
      <c r="C20" s="140"/>
      <c r="D20" s="142"/>
      <c r="E20" s="127" t="str">
        <f>IFERROR(VLOOKUP(D20,参数表!$H$2:$I$50,2,FALSE),"")</f>
        <v/>
      </c>
      <c r="F20" s="128" t="str">
        <f t="shared" si="11"/>
        <v/>
      </c>
      <c r="G20" s="143"/>
      <c r="H20" s="144"/>
      <c r="I20" s="129" t="str">
        <f t="shared" si="5"/>
        <v/>
      </c>
      <c r="J20" s="129" t="str">
        <f t="shared" si="0"/>
        <v/>
      </c>
      <c r="K20" s="129" t="str">
        <f t="shared" si="1"/>
        <v/>
      </c>
      <c r="L20" s="129" t="str">
        <f t="shared" si="2"/>
        <v/>
      </c>
      <c r="M20" s="145"/>
      <c r="BA20" s="78"/>
      <c r="BB20" s="132" t="s">
        <v>4929</v>
      </c>
      <c r="BC20" s="133"/>
      <c r="BD20" s="132" t="str">
        <f>IF(OR(B20="",BC20=""),"",COUNTIF(BC$7:BC20,"√"))</f>
        <v/>
      </c>
      <c r="BE20" s="134" t="str">
        <f t="shared" si="3"/>
        <v/>
      </c>
      <c r="BF20" s="135" t="str">
        <f t="shared" si="6"/>
        <v/>
      </c>
      <c r="BG20" s="135" t="str">
        <f t="shared" si="6"/>
        <v/>
      </c>
      <c r="BH20" s="136"/>
      <c r="BI20" s="137"/>
      <c r="BJ20" s="136"/>
      <c r="BK20" s="136"/>
      <c r="BL20" s="136"/>
      <c r="BM20" s="137"/>
      <c r="BP20" s="134" t="str">
        <f>IF(COUNTIF(BP$6:BP19,B20)&gt;0,"",B20)&amp;""</f>
        <v/>
      </c>
      <c r="BQ20" s="138">
        <f t="shared" si="7"/>
        <v>0</v>
      </c>
      <c r="BR20" s="132">
        <f t="shared" si="8"/>
        <v>1</v>
      </c>
      <c r="BS20" s="138">
        <f t="shared" si="9"/>
        <v>0</v>
      </c>
      <c r="BT20" s="132">
        <f t="shared" si="10"/>
        <v>1</v>
      </c>
      <c r="BU20" s="133"/>
      <c r="BV20" s="133"/>
    </row>
    <row r="21" ht="15" customHeight="1" spans="1:75">
      <c r="A21" s="123" t="str">
        <f>IF(B21="","",COUNT(A$6:A20)+1)</f>
        <v/>
      </c>
      <c r="B21" s="139"/>
      <c r="C21" s="140"/>
      <c r="D21" s="142"/>
      <c r="E21" s="127" t="str">
        <f>IFERROR(VLOOKUP(D21,参数表!$H$2:$I$50,2,FALSE),"")</f>
        <v/>
      </c>
      <c r="F21" s="128" t="str">
        <f t="shared" si="11"/>
        <v/>
      </c>
      <c r="G21" s="143"/>
      <c r="H21" s="144"/>
      <c r="I21" s="129" t="str">
        <f t="shared" si="5"/>
        <v/>
      </c>
      <c r="J21" s="129" t="str">
        <f t="shared" si="0"/>
        <v/>
      </c>
      <c r="K21" s="129" t="str">
        <f t="shared" si="1"/>
        <v/>
      </c>
      <c r="L21" s="129" t="str">
        <f t="shared" si="2"/>
        <v/>
      </c>
      <c r="M21" s="145"/>
      <c r="BA21" s="78"/>
      <c r="BB21" s="132" t="s">
        <v>4930</v>
      </c>
      <c r="BC21" s="133"/>
      <c r="BD21" s="132" t="str">
        <f>IF(OR(B21="",BC21=""),"",COUNTIF(BC$7:BC21,"√"))</f>
        <v/>
      </c>
      <c r="BE21" s="134" t="str">
        <f t="shared" si="3"/>
        <v/>
      </c>
      <c r="BF21" s="135" t="str">
        <f t="shared" si="6"/>
        <v/>
      </c>
      <c r="BG21" s="135" t="str">
        <f t="shared" si="6"/>
        <v/>
      </c>
      <c r="BH21" s="136"/>
      <c r="BI21" s="137"/>
      <c r="BJ21" s="136"/>
      <c r="BK21" s="136"/>
      <c r="BL21" s="136"/>
      <c r="BM21" s="137"/>
      <c r="BP21" s="134" t="str">
        <f>IF(COUNTIF(BP$6:BP20,B21)&gt;0,"",B21)&amp;""</f>
        <v/>
      </c>
      <c r="BQ21" s="138">
        <f t="shared" si="7"/>
        <v>0</v>
      </c>
      <c r="BR21" s="132">
        <f t="shared" si="8"/>
        <v>1</v>
      </c>
      <c r="BS21" s="138">
        <f t="shared" si="9"/>
        <v>0</v>
      </c>
      <c r="BT21" s="132">
        <f t="shared" si="10"/>
        <v>1</v>
      </c>
      <c r="BU21" s="133"/>
      <c r="BV21" s="133"/>
    </row>
    <row r="22" ht="15" customHeight="1" spans="1:75">
      <c r="A22" s="123" t="str">
        <f>IF(B22="","",COUNT(A$6:A21)+1)</f>
        <v/>
      </c>
      <c r="B22" s="139"/>
      <c r="C22" s="140"/>
      <c r="D22" s="142"/>
      <c r="E22" s="127" t="str">
        <f>IFERROR(VLOOKUP(D22,参数表!$H$2:$I$50,2,FALSE),"")</f>
        <v/>
      </c>
      <c r="F22" s="128" t="str">
        <f t="shared" si="11"/>
        <v/>
      </c>
      <c r="G22" s="143"/>
      <c r="H22" s="144"/>
      <c r="I22" s="129" t="str">
        <f t="shared" si="5"/>
        <v/>
      </c>
      <c r="J22" s="129" t="str">
        <f t="shared" si="0"/>
        <v/>
      </c>
      <c r="K22" s="129" t="str">
        <f t="shared" si="1"/>
        <v/>
      </c>
      <c r="L22" s="129" t="str">
        <f t="shared" si="2"/>
        <v/>
      </c>
      <c r="M22" s="145"/>
      <c r="BA22" s="78"/>
      <c r="BB22" s="132" t="s">
        <v>4931</v>
      </c>
      <c r="BC22" s="133"/>
      <c r="BD22" s="132" t="str">
        <f>IF(OR(B22="",BC22=""),"",COUNTIF(BC$7:BC22,"√"))</f>
        <v/>
      </c>
      <c r="BE22" s="134" t="str">
        <f t="shared" si="3"/>
        <v/>
      </c>
      <c r="BF22" s="135" t="str">
        <f t="shared" si="6"/>
        <v/>
      </c>
      <c r="BG22" s="135" t="str">
        <f t="shared" si="6"/>
        <v/>
      </c>
      <c r="BH22" s="136"/>
      <c r="BI22" s="137"/>
      <c r="BJ22" s="136"/>
      <c r="BK22" s="136"/>
      <c r="BL22" s="136"/>
      <c r="BM22" s="137"/>
      <c r="BP22" s="134" t="str">
        <f>IF(COUNTIF(BP$6:BP21,B22)&gt;0,"",B22)&amp;""</f>
        <v/>
      </c>
      <c r="BQ22" s="138">
        <f t="shared" si="7"/>
        <v>0</v>
      </c>
      <c r="BR22" s="132">
        <f t="shared" si="8"/>
        <v>1</v>
      </c>
      <c r="BS22" s="138">
        <f t="shared" si="9"/>
        <v>0</v>
      </c>
      <c r="BT22" s="132">
        <f t="shared" si="10"/>
        <v>1</v>
      </c>
      <c r="BU22" s="133"/>
      <c r="BV22" s="133"/>
    </row>
    <row r="23" ht="15" customHeight="1" spans="1:75">
      <c r="A23" s="123" t="str">
        <f>IF(B23="","",COUNT(A$6:A22)+1)</f>
        <v/>
      </c>
      <c r="B23" s="139"/>
      <c r="C23" s="140"/>
      <c r="D23" s="142"/>
      <c r="E23" s="127" t="str">
        <f>IFERROR(VLOOKUP(D23,参数表!$H$2:$I$50,2,FALSE),"")</f>
        <v/>
      </c>
      <c r="F23" s="128" t="str">
        <f t="shared" si="11"/>
        <v/>
      </c>
      <c r="G23" s="143"/>
      <c r="H23" s="144"/>
      <c r="I23" s="129" t="str">
        <f t="shared" si="5"/>
        <v/>
      </c>
      <c r="J23" s="129" t="str">
        <f t="shared" si="0"/>
        <v/>
      </c>
      <c r="K23" s="129" t="str">
        <f t="shared" si="1"/>
        <v/>
      </c>
      <c r="L23" s="129" t="str">
        <f t="shared" si="2"/>
        <v/>
      </c>
      <c r="M23" s="145"/>
      <c r="BA23" s="78"/>
      <c r="BB23" s="132" t="s">
        <v>4932</v>
      </c>
      <c r="BC23" s="133"/>
      <c r="BD23" s="132" t="str">
        <f>IF(OR(B23="",BC23=""),"",COUNTIF(BC$7:BC23,"√"))</f>
        <v/>
      </c>
      <c r="BE23" s="134" t="str">
        <f t="shared" si="3"/>
        <v/>
      </c>
      <c r="BF23" s="135" t="str">
        <f t="shared" si="6"/>
        <v/>
      </c>
      <c r="BG23" s="135" t="str">
        <f t="shared" si="6"/>
        <v/>
      </c>
      <c r="BH23" s="136"/>
      <c r="BI23" s="137"/>
      <c r="BJ23" s="136"/>
      <c r="BK23" s="136"/>
      <c r="BL23" s="136"/>
      <c r="BM23" s="137"/>
      <c r="BP23" s="134" t="str">
        <f>IF(COUNTIF(BP$6:BP22,B23)&gt;0,"",B23)&amp;""</f>
        <v/>
      </c>
      <c r="BQ23" s="138">
        <f t="shared" si="7"/>
        <v>0</v>
      </c>
      <c r="BR23" s="132">
        <f t="shared" si="8"/>
        <v>1</v>
      </c>
      <c r="BS23" s="138">
        <f t="shared" si="9"/>
        <v>0</v>
      </c>
      <c r="BT23" s="132">
        <f t="shared" si="10"/>
        <v>1</v>
      </c>
      <c r="BU23" s="133"/>
      <c r="BV23" s="133"/>
    </row>
    <row r="24" ht="15" customHeight="1" spans="1:75">
      <c r="A24" s="123" t="str">
        <f>IF(B24="","",COUNT(A$6:A23)+1)</f>
        <v/>
      </c>
      <c r="B24" s="139"/>
      <c r="C24" s="140"/>
      <c r="D24" s="142"/>
      <c r="E24" s="127" t="str">
        <f>IFERROR(VLOOKUP(D24,参数表!$H$2:$I$50,2,FALSE),"")</f>
        <v/>
      </c>
      <c r="F24" s="128" t="str">
        <f t="shared" si="11"/>
        <v/>
      </c>
      <c r="G24" s="143"/>
      <c r="H24" s="144"/>
      <c r="I24" s="129" t="str">
        <f t="shared" si="5"/>
        <v/>
      </c>
      <c r="J24" s="129" t="str">
        <f t="shared" si="0"/>
        <v/>
      </c>
      <c r="K24" s="129" t="str">
        <f t="shared" si="1"/>
        <v/>
      </c>
      <c r="L24" s="129" t="str">
        <f t="shared" si="2"/>
        <v/>
      </c>
      <c r="M24" s="145"/>
      <c r="BA24" s="78"/>
      <c r="BB24" s="132" t="s">
        <v>4933</v>
      </c>
      <c r="BC24" s="133"/>
      <c r="BD24" s="132" t="str">
        <f>IF(OR(B24="",BC24=""),"",COUNTIF(BC$7:BC24,"√"))</f>
        <v/>
      </c>
      <c r="BE24" s="134" t="str">
        <f t="shared" si="3"/>
        <v/>
      </c>
      <c r="BF24" s="135" t="str">
        <f t="shared" si="6"/>
        <v/>
      </c>
      <c r="BG24" s="135" t="str">
        <f t="shared" si="6"/>
        <v/>
      </c>
      <c r="BH24" s="136"/>
      <c r="BI24" s="137"/>
      <c r="BJ24" s="136"/>
      <c r="BK24" s="136"/>
      <c r="BL24" s="136"/>
      <c r="BM24" s="137"/>
      <c r="BP24" s="134" t="str">
        <f>IF(COUNTIF(BP$6:BP23,B24)&gt;0,"",B24)&amp;""</f>
        <v/>
      </c>
      <c r="BQ24" s="138">
        <f t="shared" si="7"/>
        <v>0</v>
      </c>
      <c r="BR24" s="132">
        <f t="shared" si="8"/>
        <v>1</v>
      </c>
      <c r="BS24" s="138">
        <f t="shared" si="9"/>
        <v>0</v>
      </c>
      <c r="BT24" s="132">
        <f t="shared" si="10"/>
        <v>1</v>
      </c>
      <c r="BU24" s="133"/>
      <c r="BV24" s="133"/>
    </row>
    <row r="25" ht="15" customHeight="1" spans="1:75">
      <c r="A25" s="123" t="str">
        <f>IF(B25="","",COUNT(A$6:A24)+1)</f>
        <v/>
      </c>
      <c r="B25" s="139"/>
      <c r="C25" s="140"/>
      <c r="D25" s="142"/>
      <c r="E25" s="127" t="str">
        <f>IFERROR(VLOOKUP(D25,参数表!$H$2:$I$50,2,FALSE),"")</f>
        <v/>
      </c>
      <c r="F25" s="128" t="str">
        <f t="shared" si="11"/>
        <v/>
      </c>
      <c r="G25" s="143"/>
      <c r="H25" s="144"/>
      <c r="I25" s="129" t="str">
        <f t="shared" si="5"/>
        <v/>
      </c>
      <c r="J25" s="129" t="str">
        <f t="shared" si="0"/>
        <v/>
      </c>
      <c r="K25" s="129" t="str">
        <f t="shared" si="1"/>
        <v/>
      </c>
      <c r="L25" s="129" t="str">
        <f t="shared" si="2"/>
        <v/>
      </c>
      <c r="M25" s="145"/>
      <c r="BA25" s="78"/>
      <c r="BB25" s="132" t="s">
        <v>4934</v>
      </c>
      <c r="BC25" s="133"/>
      <c r="BD25" s="132" t="str">
        <f>IF(OR(B25="",BC25=""),"",COUNTIF(BC$7:BC25,"√"))</f>
        <v/>
      </c>
      <c r="BE25" s="134" t="str">
        <f t="shared" si="3"/>
        <v/>
      </c>
      <c r="BF25" s="135" t="str">
        <f t="shared" si="6"/>
        <v/>
      </c>
      <c r="BG25" s="135" t="str">
        <f t="shared" si="6"/>
        <v/>
      </c>
      <c r="BH25" s="136"/>
      <c r="BI25" s="137"/>
      <c r="BJ25" s="136"/>
      <c r="BK25" s="136"/>
      <c r="BL25" s="136"/>
      <c r="BM25" s="137"/>
      <c r="BP25" s="134" t="str">
        <f>IF(COUNTIF(BP$6:BP24,B25)&gt;0,"",B25)&amp;""</f>
        <v/>
      </c>
      <c r="BQ25" s="138">
        <f t="shared" si="7"/>
        <v>0</v>
      </c>
      <c r="BR25" s="132">
        <f t="shared" si="8"/>
        <v>1</v>
      </c>
      <c r="BS25" s="138">
        <f t="shared" si="9"/>
        <v>0</v>
      </c>
      <c r="BT25" s="132">
        <f t="shared" si="10"/>
        <v>1</v>
      </c>
      <c r="BU25" s="133"/>
      <c r="BV25" s="133"/>
    </row>
    <row r="26" ht="15" customHeight="1" spans="1:75">
      <c r="A26" s="123" t="str">
        <f>IF(B26="","",COUNT(A$6:A25)+1)</f>
        <v/>
      </c>
      <c r="B26" s="124"/>
      <c r="C26" s="125"/>
      <c r="D26" s="127"/>
      <c r="E26" s="127" t="str">
        <f>IFERROR(VLOOKUP(D26,参数表!$H$2:$I$50,2,FALSE),"")</f>
        <v/>
      </c>
      <c r="F26" s="128" t="str">
        <f t="shared" si="11"/>
        <v/>
      </c>
      <c r="G26" s="129"/>
      <c r="H26" s="130"/>
      <c r="I26" s="129" t="str">
        <f t="shared" si="5"/>
        <v/>
      </c>
      <c r="J26" s="129" t="str">
        <f t="shared" si="0"/>
        <v/>
      </c>
      <c r="K26" s="129" t="str">
        <f t="shared" si="1"/>
        <v/>
      </c>
      <c r="L26" s="129" t="str">
        <f t="shared" si="2"/>
        <v/>
      </c>
      <c r="M26" s="131"/>
      <c r="BA26" s="78"/>
      <c r="BB26" s="132" t="s">
        <v>4935</v>
      </c>
      <c r="BC26" s="133"/>
      <c r="BD26" s="132" t="str">
        <f>IF(OR(B26="",BC26=""),"",COUNTIF(BC$7:BC26,"√"))</f>
        <v/>
      </c>
      <c r="BE26" s="134" t="str">
        <f t="shared" si="3"/>
        <v/>
      </c>
      <c r="BF26" s="135" t="str">
        <f t="shared" si="6"/>
        <v/>
      </c>
      <c r="BG26" s="135" t="str">
        <f t="shared" si="6"/>
        <v/>
      </c>
      <c r="BH26" s="136"/>
      <c r="BI26" s="137"/>
      <c r="BJ26" s="136"/>
      <c r="BK26" s="136"/>
      <c r="BL26" s="136"/>
      <c r="BM26" s="137"/>
      <c r="BP26" s="134" t="str">
        <f>IF(COUNTIF(BP$6:BP25,B26)&gt;0,"",B26)&amp;""</f>
        <v/>
      </c>
      <c r="BQ26" s="138">
        <f t="shared" si="7"/>
        <v>0</v>
      </c>
      <c r="BR26" s="132">
        <f t="shared" si="8"/>
        <v>1</v>
      </c>
      <c r="BS26" s="138">
        <f t="shared" si="9"/>
        <v>0</v>
      </c>
      <c r="BT26" s="132">
        <f t="shared" si="10"/>
        <v>1</v>
      </c>
      <c r="BU26" s="133"/>
      <c r="BV26" s="133"/>
    </row>
    <row r="27" s="73" customFormat="1" ht="15" customHeight="1" spans="1:75">
      <c r="A27" s="149" t="s">
        <v>1672</v>
      </c>
      <c r="B27" s="149"/>
      <c r="C27" s="356"/>
      <c r="D27" s="151"/>
      <c r="E27" s="151"/>
      <c r="F27" s="151"/>
      <c r="G27" s="152">
        <f>SUM(G7:G26)</f>
        <v>0</v>
      </c>
      <c r="H27" s="153"/>
      <c r="I27" s="152">
        <f>SUM(I7:I26)</f>
        <v>0</v>
      </c>
      <c r="J27" s="152">
        <f>SUM(J7:J26)</f>
        <v>0</v>
      </c>
      <c r="K27" s="152">
        <f t="shared" si="1"/>
        <v>0</v>
      </c>
      <c r="L27" s="152" t="str">
        <f t="shared" si="2"/>
        <v/>
      </c>
      <c r="M27" s="151"/>
      <c r="BF27" s="75"/>
      <c r="BG27" s="75"/>
      <c r="BH27" s="165"/>
      <c r="BI27" s="75"/>
      <c r="BJ27" s="165"/>
      <c r="BK27" s="165"/>
      <c r="BL27" s="165"/>
      <c r="BM27" s="75"/>
      <c r="BO27" s="111"/>
      <c r="BP27" s="119"/>
      <c r="BQ27" s="77"/>
      <c r="BR27" s="77"/>
      <c r="BS27" s="77"/>
      <c r="BT27" s="119"/>
      <c r="BU27" s="119"/>
      <c r="BV27" s="119"/>
      <c r="BW27" s="111"/>
    </row>
    <row r="28" customHeight="1" spans="1:75">
      <c r="A28" s="102" t="str">
        <f>参数表!F$6</f>
        <v>产权持有单位填表人：贾广东</v>
      </c>
      <c r="B28" s="154"/>
      <c r="C28" s="154"/>
      <c r="D28" s="154"/>
      <c r="E28" s="154"/>
      <c r="F28" s="154"/>
      <c r="G28" s="154"/>
      <c r="H28" s="155"/>
      <c r="I28" s="154"/>
      <c r="J28" s="103" t="str">
        <f>"评估人员："&amp;封面!$G$36</f>
        <v>评估人员：</v>
      </c>
      <c r="K28" s="103"/>
      <c r="L28" s="103"/>
      <c r="M28" s="103"/>
    </row>
    <row r="29" customHeight="1" spans="1:75">
      <c r="A29" s="102" t="str">
        <f>参数表!F$7</f>
        <v>填表日期：2025年9月20日</v>
      </c>
      <c r="B29" s="154"/>
      <c r="C29" s="154"/>
      <c r="D29" s="154"/>
      <c r="E29" s="154"/>
      <c r="F29" s="154"/>
      <c r="G29" s="154"/>
      <c r="H29" s="155"/>
      <c r="I29" s="154"/>
      <c r="J29" s="103"/>
      <c r="K29" s="103"/>
      <c r="L29" s="103"/>
      <c r="M29" s="103"/>
    </row>
    <row r="30" hidden="1" customHeight="1" outlineLevel="1" spans="1:75">
      <c r="A30" s="157"/>
      <c r="B30" s="154" t="s">
        <v>1673</v>
      </c>
      <c r="C30" s="158"/>
      <c r="D30" s="158"/>
      <c r="E30" s="158"/>
      <c r="F30" s="158"/>
      <c r="G30" s="159">
        <f>SUMIF($BA7:$BA26,$BA30,G7:G26)</f>
        <v>0</v>
      </c>
      <c r="H30" s="160"/>
      <c r="I30" s="159">
        <f>SUMIF($BA7:$BA26,$BA30,I7:I26)</f>
        <v>0</v>
      </c>
      <c r="J30" s="159">
        <f>SUMIF($BA7:$BA26,$BA30,J7:J26)</f>
        <v>0</v>
      </c>
      <c r="BA30" s="161" t="s">
        <v>1674</v>
      </c>
      <c r="BH30" s="95" t="s">
        <v>1675</v>
      </c>
      <c r="BJ30" s="95" t="s">
        <v>1675</v>
      </c>
      <c r="BK30" s="95" t="s">
        <v>1675</v>
      </c>
      <c r="BL30" s="95" t="s">
        <v>1675</v>
      </c>
    </row>
    <row r="31" hidden="1" customHeight="1" outlineLevel="1" spans="1:75">
      <c r="A31" s="157"/>
      <c r="B31" s="154" t="s">
        <v>1676</v>
      </c>
      <c r="C31" s="158"/>
      <c r="D31" s="158"/>
      <c r="E31" s="158"/>
      <c r="F31" s="158"/>
      <c r="G31" s="159">
        <f>G27-G30</f>
        <v>0</v>
      </c>
      <c r="H31" s="160"/>
      <c r="I31" s="159">
        <f>I27-I30</f>
        <v>0</v>
      </c>
      <c r="J31" s="159">
        <f>J27-J30</f>
        <v>0</v>
      </c>
      <c r="BA31" s="161" t="s">
        <v>1677</v>
      </c>
      <c r="BH31" s="95" t="s">
        <v>1678</v>
      </c>
      <c r="BJ31" s="95" t="s">
        <v>1678</v>
      </c>
      <c r="BK31" s="95" t="s">
        <v>1678</v>
      </c>
      <c r="BL31" s="95" t="s">
        <v>1678</v>
      </c>
    </row>
    <row r="32" customHeight="1" collapsed="1" spans="1:75">
      <c r="A32" s="157"/>
      <c r="B32" s="158"/>
      <c r="C32" s="158"/>
      <c r="D32" s="158"/>
      <c r="E32" s="158"/>
      <c r="F32" s="158"/>
      <c r="G32" s="158"/>
      <c r="H32" s="164"/>
      <c r="I32" s="158"/>
    </row>
    <row r="33" customHeight="1" spans="1:9">
      <c r="A33" s="157"/>
      <c r="B33" s="158"/>
      <c r="C33" s="158"/>
      <c r="D33" s="158"/>
      <c r="E33" s="158"/>
      <c r="F33" s="158"/>
      <c r="G33" s="158"/>
      <c r="H33" s="164"/>
      <c r="I33" s="158"/>
    </row>
    <row r="34" customHeight="1" spans="1:9">
      <c r="A34" s="157"/>
      <c r="B34" s="158"/>
      <c r="C34" s="158"/>
      <c r="D34" s="158"/>
      <c r="E34" s="158"/>
      <c r="F34" s="158"/>
      <c r="G34" s="158"/>
      <c r="H34" s="164"/>
      <c r="I34" s="158"/>
    </row>
    <row r="35" customHeight="1" spans="1:9">
      <c r="A35" s="157"/>
      <c r="B35" s="158"/>
      <c r="C35" s="158"/>
      <c r="D35" s="158"/>
      <c r="E35" s="158"/>
      <c r="F35" s="158"/>
      <c r="G35" s="158"/>
      <c r="H35" s="164"/>
      <c r="I35" s="158"/>
    </row>
    <row r="36" customHeight="1" spans="1:9">
      <c r="A36" s="157"/>
      <c r="B36" s="158"/>
      <c r="C36" s="158"/>
      <c r="D36" s="158"/>
      <c r="E36" s="158"/>
      <c r="F36" s="158"/>
      <c r="G36" s="158"/>
      <c r="H36" s="164"/>
      <c r="I36" s="158"/>
    </row>
    <row r="37" customHeight="1" spans="1:9">
      <c r="D37" s="158"/>
      <c r="E37" s="158"/>
      <c r="F37" s="158"/>
    </row>
  </sheetData>
  <sheetProtection autoFilter="0"/>
  <mergeCells count="6">
    <mergeCell ref="A2:M2"/>
    <mergeCell ref="A3:M3"/>
    <mergeCell ref="BU7:BW7"/>
    <mergeCell ref="BU8:BW8"/>
    <mergeCell ref="BV14:BW14"/>
    <mergeCell ref="A27:B27"/>
  </mergeCells>
  <conditionalFormatting sqref="BH7:BH26">
    <cfRule type="expression" dxfId="5" priority="8" stopIfTrue="1">
      <formula>AND($B7&lt;&gt;"",BH7="")</formula>
    </cfRule>
  </conditionalFormatting>
  <conditionalFormatting sqref="BI7:BI26">
    <cfRule type="expression" dxfId="5" priority="10" stopIfTrue="1">
      <formula>AND(BH7="有",BI7="")</formula>
    </cfRule>
  </conditionalFormatting>
  <conditionalFormatting sqref="BF7:BG26">
    <cfRule type="containsText" dxfId="6" priority="1" stopIfTrue="1" operator="between" text="出错">
      <formula>NOT(ISERROR(SEARCH("出错",BF7)))</formula>
    </cfRule>
  </conditionalFormatting>
  <conditionalFormatting sqref="BJ7:BL26">
    <cfRule type="expression" dxfId="5" priority="3" stopIfTrue="1">
      <formula>AND($B7&lt;&gt;"",BJ7="")</formula>
    </cfRule>
  </conditionalFormatting>
  <dataValidations count="4">
    <dataValidation type="list" allowBlank="1" showInputMessage="1" showErrorMessage="1" sqref="D7:D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L26">
      <formula1>BH$30:BH$31</formula1>
    </dataValidation>
  </dataValidations>
  <hyperlinks>
    <hyperlink ref="A1" location="索引目录!D50" display="返回索引页"/>
    <hyperlink ref="B1" location="非流动资产评估汇总!B41"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0"/>
  <dimension ref="A1:BW38"/>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26.7" style="75" customWidth="1"/>
    <col min="3" max="3" width="12" style="75" customWidth="1"/>
    <col min="4" max="5" width="4.6" style="75" customWidth="1" outlineLevel="1"/>
    <col min="6" max="6" width="6.1" style="75" customWidth="1" outlineLevel="1"/>
    <col min="7" max="7" width="18.6" style="75" customWidth="1" outlineLevel="1"/>
    <col min="8" max="8" width="18.6" style="76" customWidth="1" outlineLevel="1"/>
    <col min="9" max="10" width="18.6" style="75" customWidth="1"/>
    <col min="11" max="12" width="12.6" style="75" customWidth="1"/>
    <col min="13" max="13" width="16" style="75" customWidth="1"/>
    <col min="14"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4" width="4.7" style="165" customWidth="1"/>
    <col min="65" max="66" width="9" style="75"/>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82"/>
      <c r="D1" s="82"/>
      <c r="E1" s="82"/>
      <c r="F1" s="82"/>
      <c r="G1" s="82"/>
      <c r="H1" s="205"/>
      <c r="I1" s="82"/>
      <c r="J1" s="82"/>
      <c r="K1" s="82"/>
      <c r="L1" s="82"/>
      <c r="M1" s="82"/>
      <c r="BA1" s="84" t="str">
        <f>参数表!BA1</f>
        <v>注意：补充特殊事项、作价等均从BA列开始填写</v>
      </c>
      <c r="BB1" s="85"/>
      <c r="BH1" s="82"/>
      <c r="BJ1" s="82"/>
      <c r="BK1" s="82"/>
      <c r="BL1" s="82"/>
      <c r="BO1" s="87"/>
      <c r="BP1" s="88"/>
      <c r="BQ1" s="87"/>
      <c r="BR1" s="88"/>
      <c r="BS1" s="88"/>
      <c r="BT1" s="88"/>
      <c r="BU1" s="88"/>
      <c r="BV1" s="88"/>
      <c r="BW1" s="87"/>
    </row>
    <row r="2" s="71" customFormat="1" ht="30" customHeight="1" spans="1:75">
      <c r="A2" s="89" t="s">
        <v>4936</v>
      </c>
      <c r="B2" s="89"/>
      <c r="C2" s="89"/>
      <c r="D2" s="89"/>
      <c r="E2" s="89"/>
      <c r="F2" s="89"/>
      <c r="G2" s="89"/>
      <c r="H2" s="89"/>
      <c r="I2" s="89"/>
      <c r="J2" s="89"/>
      <c r="K2" s="89"/>
      <c r="L2" s="89"/>
      <c r="M2" s="89"/>
      <c r="BA2" s="90" t="str">
        <f>参数表!BA2</f>
        <v>评估基准日：</v>
      </c>
      <c r="BB2" s="91" t="str">
        <f>参数表!$BB$2</f>
        <v>2025年7月31日</v>
      </c>
      <c r="BH2" s="171"/>
      <c r="BJ2" s="171"/>
      <c r="BK2" s="171"/>
      <c r="BL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5"/>
      <c r="K3" s="95"/>
      <c r="L3" s="95"/>
      <c r="M3" s="95"/>
      <c r="BA3" s="90" t="str">
        <f>参数表!BA3</f>
        <v>是否显示评估值：</v>
      </c>
      <c r="BB3" s="90" t="str">
        <f>参数表!$BB$3</f>
        <v>是</v>
      </c>
      <c r="BQ3" s="78"/>
    </row>
    <row r="4" ht="15" customHeight="1" spans="1:75">
      <c r="A4" s="96"/>
      <c r="B4" s="94"/>
      <c r="C4" s="94"/>
      <c r="D4" s="94"/>
      <c r="E4" s="94"/>
      <c r="F4" s="94"/>
      <c r="G4" s="94"/>
      <c r="H4" s="97"/>
      <c r="I4" s="94"/>
      <c r="J4" s="95"/>
      <c r="K4" s="95"/>
      <c r="L4" s="95"/>
      <c r="M4" s="98" t="str">
        <f>"表"&amp;$BA4</f>
        <v>表4-17</v>
      </c>
      <c r="O4" s="277"/>
      <c r="BA4" s="274" t="str">
        <f>非流动资总!A23</f>
        <v>4-17</v>
      </c>
      <c r="BB4" s="100">
        <f>MAX(COUNTA(A7:A26),COUNTA(B7:B26),COUNTA(G7:G26),COUNTA(I7:I26))</f>
        <v>20</v>
      </c>
      <c r="BC4" s="101">
        <f>ROW(A6)+1</f>
        <v>7</v>
      </c>
      <c r="BD4" s="77"/>
      <c r="BE4" s="77"/>
      <c r="BQ4" s="78"/>
    </row>
    <row r="5" ht="15" customHeight="1" spans="1:75">
      <c r="A5" s="102" t="str">
        <f>参数表!F3</f>
        <v>产权持有单位:中煤第五建设有限公司</v>
      </c>
      <c r="B5" s="103"/>
      <c r="C5" s="103"/>
      <c r="D5" s="103"/>
      <c r="E5" s="103"/>
      <c r="F5" s="103"/>
      <c r="G5" s="103"/>
      <c r="H5" s="104"/>
      <c r="I5" s="103"/>
      <c r="J5" s="103"/>
      <c r="K5" s="103"/>
      <c r="L5" s="103"/>
      <c r="M5" s="98" t="s">
        <v>236</v>
      </c>
      <c r="BA5" s="103"/>
      <c r="BB5" s="105" t="str">
        <f ca="1">判断表!C93</f>
        <v>中煤第五建设有限公司第三工程处拟处置实物资产项目\[0000-3基础法明细表.xlsx]商誉</v>
      </c>
      <c r="BC5" s="106">
        <f>IFERROR(SUMIF(BC7:BC26,"√",I7:I26)/I27,0)</f>
        <v>0</v>
      </c>
      <c r="BD5" s="107"/>
      <c r="BE5" s="107"/>
      <c r="BF5" s="108">
        <f>分类汇总!I39</f>
        <v>0</v>
      </c>
      <c r="BG5" s="108">
        <f>分类汇总!K39</f>
        <v>0</v>
      </c>
      <c r="BH5" s="109"/>
      <c r="BI5" s="109"/>
      <c r="BJ5" s="109"/>
      <c r="BK5" s="109"/>
      <c r="BL5" s="109"/>
      <c r="BM5" s="110"/>
      <c r="BO5" s="111"/>
      <c r="BQ5" s="78"/>
      <c r="BV5" s="194"/>
      <c r="BW5" s="111"/>
    </row>
    <row r="6" s="349" customFormat="1" ht="25.2" customHeight="1" spans="1:75">
      <c r="A6" s="350" t="s">
        <v>305</v>
      </c>
      <c r="B6" s="118" t="s">
        <v>4915</v>
      </c>
      <c r="C6" s="113" t="s">
        <v>3774</v>
      </c>
      <c r="D6" s="114" t="s">
        <v>1631</v>
      </c>
      <c r="E6" s="115" t="s">
        <v>1632</v>
      </c>
      <c r="F6" s="116" t="s">
        <v>3793</v>
      </c>
      <c r="G6" s="118" t="s">
        <v>1549</v>
      </c>
      <c r="H6" s="352" t="s">
        <v>1634</v>
      </c>
      <c r="I6" s="118" t="s">
        <v>1523</v>
      </c>
      <c r="J6" s="118" t="s">
        <v>1550</v>
      </c>
      <c r="K6" s="118" t="s">
        <v>1525</v>
      </c>
      <c r="L6" s="118" t="s">
        <v>1551</v>
      </c>
      <c r="M6" s="118"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1644</v>
      </c>
      <c r="BN6" s="224" t="s">
        <v>1524</v>
      </c>
      <c r="BO6" s="119"/>
      <c r="BP6" s="120" t="s">
        <v>1645</v>
      </c>
      <c r="BQ6" s="121" t="s">
        <v>1646</v>
      </c>
      <c r="BR6" s="121" t="s">
        <v>1647</v>
      </c>
      <c r="BS6" s="121" t="s">
        <v>1648</v>
      </c>
      <c r="BT6" s="121" t="s">
        <v>1647</v>
      </c>
      <c r="BU6" s="121" t="s">
        <v>1647</v>
      </c>
      <c r="BV6" s="121" t="s">
        <v>1649</v>
      </c>
      <c r="BW6" s="122" t="s">
        <v>1650</v>
      </c>
    </row>
    <row r="7" ht="15" customHeight="1" spans="1:75">
      <c r="A7" s="123" t="str">
        <f>IF(B7="","",COUNT(A$6:A6)+1)</f>
        <v/>
      </c>
      <c r="B7" s="124"/>
      <c r="C7" s="125"/>
      <c r="D7" s="127"/>
      <c r="E7" s="127" t="str">
        <f>IFERROR(VLOOKUP(D7,参数表!$H$2:$I$50,2,FALSE),"")</f>
        <v/>
      </c>
      <c r="F7" s="128" t="str">
        <f>IFERROR(IF(OR(D7="人民币",D7=""),"",I7/E7),"")</f>
        <v/>
      </c>
      <c r="G7" s="129"/>
      <c r="H7" s="130"/>
      <c r="I7" s="129" t="str">
        <f>IF(B7="","",G7+H7)</f>
        <v/>
      </c>
      <c r="J7" s="129" t="str">
        <f t="shared" ref="J7:J26" si="0">IF(B7="","",IF($BB$3="是",BN7,""))</f>
        <v/>
      </c>
      <c r="K7" s="129" t="str">
        <f t="shared" ref="K7:K29" si="1">IFERROR(J7-I7,"")</f>
        <v/>
      </c>
      <c r="L7" s="129" t="str">
        <f t="shared" ref="L7:L29" si="2">IFERROR(K7/I7*100,"")</f>
        <v/>
      </c>
      <c r="M7" s="131"/>
      <c r="BA7" s="78"/>
      <c r="BB7" s="132" t="s">
        <v>4937</v>
      </c>
      <c r="BC7" s="133"/>
      <c r="BD7" s="132" t="str">
        <f>IF(OR(B7="",BC7=""),"",COUNTIF(BC$7:BC7,"√"))</f>
        <v/>
      </c>
      <c r="BE7" s="134" t="str">
        <f t="shared" ref="BE7:BE26" si="3">IF(BC7="","",BB7&amp;"︱"&amp;B7&amp;"︱"&amp;TEXT(G7,"#,##0.00"))</f>
        <v/>
      </c>
      <c r="BF7" s="135" t="str">
        <f>IF($B7="","",IF(BF$5=0,"OK","出错"))</f>
        <v/>
      </c>
      <c r="BG7" s="135" t="str">
        <f>IF($B7="","",IF(BG$5=0,"OK","出错"))</f>
        <v/>
      </c>
      <c r="BH7" s="136"/>
      <c r="BI7" s="137"/>
      <c r="BJ7" s="136"/>
      <c r="BK7" s="136"/>
      <c r="BL7" s="136"/>
      <c r="BM7" s="137"/>
      <c r="BP7" s="134" t="str">
        <f>IF(COUNTIF(BP$6:BP6,B7)&gt;0,"",B7)&amp;""</f>
        <v/>
      </c>
      <c r="BQ7" s="138">
        <f>SUMIF(B$7:B$26,BP7,I$7:I$26)</f>
        <v>0</v>
      </c>
      <c r="BR7" s="132">
        <f t="shared" ref="BR7" si="4">RANK(BQ7,BQ$7:BQ$26)</f>
        <v>1</v>
      </c>
      <c r="BS7" s="138">
        <f>SUMIF(B$7:B$26,BP7,J$7:J$26)</f>
        <v>0</v>
      </c>
      <c r="BT7" s="132">
        <f>RANK(BS7,BS$7:BS$26)</f>
        <v>1</v>
      </c>
      <c r="BU7" s="138">
        <f>SUM(BQ7:BQ26)</f>
        <v>0</v>
      </c>
      <c r="BV7" s="138"/>
      <c r="BW7" s="138"/>
    </row>
    <row r="8" ht="15" customHeight="1" spans="1:75">
      <c r="A8" s="123" t="str">
        <f>IF(B8="","",COUNT(A$6:A7)+1)</f>
        <v/>
      </c>
      <c r="B8" s="139"/>
      <c r="C8" s="140"/>
      <c r="D8" s="142"/>
      <c r="E8" s="127" t="str">
        <f>IFERROR(VLOOKUP(D8,参数表!$H$2:$I$50,2,FALSE),"")</f>
        <v/>
      </c>
      <c r="F8" s="128" t="str">
        <f>IFERROR(IF(OR(D8="人民币",D8=""),"",I8/E8),"")</f>
        <v/>
      </c>
      <c r="G8" s="143"/>
      <c r="H8" s="144"/>
      <c r="I8" s="129" t="str">
        <f t="shared" ref="I8:I26" si="5">IF(B8="","",G8+H8)</f>
        <v/>
      </c>
      <c r="J8" s="129" t="str">
        <f t="shared" si="0"/>
        <v/>
      </c>
      <c r="K8" s="129" t="str">
        <f t="shared" si="1"/>
        <v/>
      </c>
      <c r="L8" s="129" t="str">
        <f t="shared" si="2"/>
        <v/>
      </c>
      <c r="M8" s="145"/>
      <c r="BA8" s="78"/>
      <c r="BB8" s="132" t="s">
        <v>4938</v>
      </c>
      <c r="BC8" s="133"/>
      <c r="BD8" s="132" t="str">
        <f>IF(OR(B8="",BC8=""),"",COUNTIF(BC$7:BC8,"√"))</f>
        <v/>
      </c>
      <c r="BE8" s="134" t="str">
        <f t="shared" si="3"/>
        <v/>
      </c>
      <c r="BF8" s="135" t="str">
        <f t="shared" ref="BF8:BG26" si="6">IF($B8="","",IF(BF$5=0,"OK","出错"))</f>
        <v/>
      </c>
      <c r="BG8" s="135" t="str">
        <f t="shared" si="6"/>
        <v/>
      </c>
      <c r="BH8" s="136"/>
      <c r="BI8" s="137"/>
      <c r="BJ8" s="136"/>
      <c r="BK8" s="136"/>
      <c r="BL8" s="136"/>
      <c r="BM8" s="137"/>
      <c r="BP8" s="134" t="str">
        <f>IF(COUNTIF(BP$6:BP7,B8)&gt;0,"",B8)&amp;""</f>
        <v/>
      </c>
      <c r="BQ8" s="138">
        <f t="shared" ref="BQ8:BQ26" si="7">SUMIF(B$7:B$26,BP8,I$7:I$26)</f>
        <v>0</v>
      </c>
      <c r="BR8" s="132">
        <f t="shared" ref="BR8:BR26" si="8">RANK(BQ8,BQ$7:BQ$26)</f>
        <v>1</v>
      </c>
      <c r="BS8" s="138">
        <f t="shared" ref="BS8:BS26" si="9">SUMIF(B$7:B$26,BP8,J$7:J$26)</f>
        <v>0</v>
      </c>
      <c r="BT8" s="132">
        <f t="shared" ref="BT8:BT26" si="10">RANK(BS8,BS$7:BS$26)</f>
        <v>1</v>
      </c>
      <c r="BU8" s="138">
        <f>SUM(BS7:BS26)</f>
        <v>0</v>
      </c>
      <c r="BV8" s="138"/>
      <c r="BW8" s="138"/>
    </row>
    <row r="9" ht="15" customHeight="1" spans="1:75">
      <c r="A9" s="123" t="str">
        <f>IF(B9="","",COUNT(A$6:A8)+1)</f>
        <v/>
      </c>
      <c r="B9" s="139"/>
      <c r="C9" s="140"/>
      <c r="D9" s="142"/>
      <c r="E9" s="127" t="str">
        <f>IFERROR(VLOOKUP(D9,参数表!$H$2:$I$50,2,FALSE),"")</f>
        <v/>
      </c>
      <c r="F9" s="128" t="str">
        <f t="shared" ref="F9:F26" si="11">IFERROR(IF(OR(D9="人民币",D9=""),"",I9/E9),"")</f>
        <v/>
      </c>
      <c r="G9" s="143"/>
      <c r="H9" s="144"/>
      <c r="I9" s="129" t="str">
        <f t="shared" si="5"/>
        <v/>
      </c>
      <c r="J9" s="129" t="str">
        <f t="shared" si="0"/>
        <v/>
      </c>
      <c r="K9" s="129" t="str">
        <f t="shared" si="1"/>
        <v/>
      </c>
      <c r="L9" s="129" t="str">
        <f t="shared" si="2"/>
        <v/>
      </c>
      <c r="M9" s="145"/>
      <c r="BA9" s="78"/>
      <c r="BB9" s="132" t="s">
        <v>4939</v>
      </c>
      <c r="BC9" s="133"/>
      <c r="BD9" s="132" t="str">
        <f>IF(OR(B9="",BC9=""),"",COUNTIF(BC$7:BC9,"√"))</f>
        <v/>
      </c>
      <c r="BE9" s="134" t="str">
        <f t="shared" si="3"/>
        <v/>
      </c>
      <c r="BF9" s="135" t="str">
        <f t="shared" si="6"/>
        <v/>
      </c>
      <c r="BG9" s="135" t="str">
        <f t="shared" si="6"/>
        <v/>
      </c>
      <c r="BH9" s="136"/>
      <c r="BI9" s="137"/>
      <c r="BJ9" s="136"/>
      <c r="BK9" s="136"/>
      <c r="BL9" s="136"/>
      <c r="BM9" s="137"/>
      <c r="BP9" s="134" t="str">
        <f>IF(COUNTIF(BP$6:BP8,B9)&gt;0,"",B9)&amp;""</f>
        <v/>
      </c>
      <c r="BQ9" s="138">
        <f t="shared" si="7"/>
        <v>0</v>
      </c>
      <c r="BR9" s="132">
        <f t="shared" si="8"/>
        <v>1</v>
      </c>
      <c r="BS9" s="138">
        <f t="shared" si="9"/>
        <v>0</v>
      </c>
      <c r="BT9" s="132">
        <f t="shared" si="10"/>
        <v>1</v>
      </c>
      <c r="BU9" s="132">
        <v>1</v>
      </c>
      <c r="BV9" s="134" t="str">
        <f>IFERROR(INDEX(BP$7:BP$26,MATCH(BU9,IF(BU$7=0,BT$7:BT$26,BR$7:BR$26),0))&amp;"","")</f>
        <v/>
      </c>
      <c r="BW9" s="146" t="str">
        <f>IF(BV10="","",IF(BV11="","和","、"))</f>
        <v/>
      </c>
    </row>
    <row r="10" ht="15" customHeight="1" spans="1:75">
      <c r="A10" s="123" t="str">
        <f>IF(B10="","",COUNT(A$6:A9)+1)</f>
        <v/>
      </c>
      <c r="B10" s="139"/>
      <c r="C10" s="140"/>
      <c r="D10" s="142"/>
      <c r="E10" s="127" t="str">
        <f>IFERROR(VLOOKUP(D10,参数表!$H$2:$I$50,2,FALSE),"")</f>
        <v/>
      </c>
      <c r="F10" s="128" t="str">
        <f t="shared" si="11"/>
        <v/>
      </c>
      <c r="G10" s="143"/>
      <c r="H10" s="144"/>
      <c r="I10" s="129" t="str">
        <f t="shared" si="5"/>
        <v/>
      </c>
      <c r="J10" s="129" t="str">
        <f t="shared" si="0"/>
        <v/>
      </c>
      <c r="K10" s="129" t="str">
        <f t="shared" si="1"/>
        <v/>
      </c>
      <c r="L10" s="129" t="str">
        <f t="shared" si="2"/>
        <v/>
      </c>
      <c r="M10" s="145"/>
      <c r="BA10" s="78"/>
      <c r="BB10" s="132" t="s">
        <v>4940</v>
      </c>
      <c r="BC10" s="133"/>
      <c r="BD10" s="132" t="str">
        <f>IF(OR(B10="",BC10=""),"",COUNTIF(BC$7:BC10,"√"))</f>
        <v/>
      </c>
      <c r="BE10" s="134" t="str">
        <f t="shared" si="3"/>
        <v/>
      </c>
      <c r="BF10" s="135" t="str">
        <f t="shared" si="6"/>
        <v/>
      </c>
      <c r="BG10" s="135" t="str">
        <f t="shared" si="6"/>
        <v/>
      </c>
      <c r="BH10" s="136"/>
      <c r="BI10" s="137"/>
      <c r="BJ10" s="136"/>
      <c r="BK10" s="136"/>
      <c r="BL10" s="136"/>
      <c r="BM10" s="137"/>
      <c r="BP10" s="134" t="str">
        <f>IF(COUNTIF(BP$6:BP9,B10)&gt;0,"",B10)&amp;""</f>
        <v/>
      </c>
      <c r="BQ10" s="138">
        <f t="shared" si="7"/>
        <v>0</v>
      </c>
      <c r="BR10" s="132">
        <f t="shared" si="8"/>
        <v>1</v>
      </c>
      <c r="BS10" s="138">
        <f t="shared" si="9"/>
        <v>0</v>
      </c>
      <c r="BT10" s="132">
        <f t="shared" si="10"/>
        <v>1</v>
      </c>
      <c r="BU10" s="132">
        <v>2</v>
      </c>
      <c r="BV10" s="134" t="str">
        <f t="shared" ref="BV10:BV13" si="12">IFERROR(INDEX(BP$7:BP$26,MATCH(BU10,IF(BU$7=0,BT$7:BT$26,BR$7:BR$26),0))&amp;"","")</f>
        <v/>
      </c>
      <c r="BW10" s="146" t="str">
        <f t="shared" ref="BW10:BW11" si="13">IF(BV11="","",IF(BV12="","和","、"))</f>
        <v/>
      </c>
    </row>
    <row r="11" ht="15" customHeight="1" spans="1:75">
      <c r="A11" s="123" t="str">
        <f>IF(B11="","",COUNT(A$6:A10)+1)</f>
        <v/>
      </c>
      <c r="B11" s="139"/>
      <c r="C11" s="140"/>
      <c r="D11" s="142"/>
      <c r="E11" s="127" t="str">
        <f>IFERROR(VLOOKUP(D11,参数表!$H$2:$I$50,2,FALSE),"")</f>
        <v/>
      </c>
      <c r="F11" s="128" t="str">
        <f t="shared" si="11"/>
        <v/>
      </c>
      <c r="G11" s="143"/>
      <c r="H11" s="144"/>
      <c r="I11" s="129" t="str">
        <f t="shared" si="5"/>
        <v/>
      </c>
      <c r="J11" s="129" t="str">
        <f t="shared" si="0"/>
        <v/>
      </c>
      <c r="K11" s="129" t="str">
        <f t="shared" si="1"/>
        <v/>
      </c>
      <c r="L11" s="129" t="str">
        <f t="shared" si="2"/>
        <v/>
      </c>
      <c r="M11" s="145"/>
      <c r="BA11" s="78"/>
      <c r="BB11" s="132" t="s">
        <v>4941</v>
      </c>
      <c r="BC11" s="133"/>
      <c r="BD11" s="132" t="str">
        <f>IF(OR(B11="",BC11=""),"",COUNTIF(BC$7:BC11,"√"))</f>
        <v/>
      </c>
      <c r="BE11" s="134" t="str">
        <f t="shared" si="3"/>
        <v/>
      </c>
      <c r="BF11" s="135" t="str">
        <f t="shared" si="6"/>
        <v/>
      </c>
      <c r="BG11" s="135" t="str">
        <f t="shared" si="6"/>
        <v/>
      </c>
      <c r="BH11" s="136"/>
      <c r="BI11" s="137"/>
      <c r="BJ11" s="136"/>
      <c r="BK11" s="136"/>
      <c r="BL11" s="136"/>
      <c r="BM11" s="137"/>
      <c r="BP11" s="134" t="str">
        <f>IF(COUNTIF(BP$6:BP10,B11)&gt;0,"",B11)&amp;""</f>
        <v/>
      </c>
      <c r="BQ11" s="138">
        <f t="shared" si="7"/>
        <v>0</v>
      </c>
      <c r="BR11" s="132">
        <f t="shared" si="8"/>
        <v>1</v>
      </c>
      <c r="BS11" s="138">
        <f t="shared" si="9"/>
        <v>0</v>
      </c>
      <c r="BT11" s="132">
        <f t="shared" si="10"/>
        <v>1</v>
      </c>
      <c r="BU11" s="132">
        <v>3</v>
      </c>
      <c r="BV11" s="134" t="str">
        <f t="shared" si="12"/>
        <v/>
      </c>
      <c r="BW11" s="146" t="str">
        <f t="shared" si="13"/>
        <v/>
      </c>
    </row>
    <row r="12" ht="15" customHeight="1" spans="1:75">
      <c r="A12" s="123" t="str">
        <f>IF(B12="","",COUNT(A$6:A11)+1)</f>
        <v/>
      </c>
      <c r="B12" s="139"/>
      <c r="C12" s="140"/>
      <c r="D12" s="142"/>
      <c r="E12" s="127" t="str">
        <f>IFERROR(VLOOKUP(D12,参数表!$H$2:$I$50,2,FALSE),"")</f>
        <v/>
      </c>
      <c r="F12" s="128" t="str">
        <f t="shared" si="11"/>
        <v/>
      </c>
      <c r="G12" s="143"/>
      <c r="H12" s="144"/>
      <c r="I12" s="129" t="str">
        <f t="shared" si="5"/>
        <v/>
      </c>
      <c r="J12" s="129" t="str">
        <f t="shared" si="0"/>
        <v/>
      </c>
      <c r="K12" s="129" t="str">
        <f t="shared" si="1"/>
        <v/>
      </c>
      <c r="L12" s="129" t="str">
        <f t="shared" si="2"/>
        <v/>
      </c>
      <c r="M12" s="145"/>
      <c r="BA12" s="78"/>
      <c r="BB12" s="132" t="s">
        <v>4942</v>
      </c>
      <c r="BC12" s="133"/>
      <c r="BD12" s="132" t="str">
        <f>IF(OR(B12="",BC12=""),"",COUNTIF(BC$7:BC12,"√"))</f>
        <v/>
      </c>
      <c r="BE12" s="134" t="str">
        <f t="shared" si="3"/>
        <v/>
      </c>
      <c r="BF12" s="135" t="str">
        <f t="shared" si="6"/>
        <v/>
      </c>
      <c r="BG12" s="135" t="str">
        <f t="shared" si="6"/>
        <v/>
      </c>
      <c r="BH12" s="136"/>
      <c r="BI12" s="137"/>
      <c r="BJ12" s="136"/>
      <c r="BK12" s="136"/>
      <c r="BL12" s="136"/>
      <c r="BM12" s="137"/>
      <c r="BP12" s="134" t="str">
        <f>IF(COUNTIF(BP$6:BP11,B12)&gt;0,"",B12)&amp;""</f>
        <v/>
      </c>
      <c r="BQ12" s="138">
        <f t="shared" si="7"/>
        <v>0</v>
      </c>
      <c r="BR12" s="132">
        <f t="shared" si="8"/>
        <v>1</v>
      </c>
      <c r="BS12" s="138">
        <f t="shared" si="9"/>
        <v>0</v>
      </c>
      <c r="BT12" s="132">
        <f t="shared" si="10"/>
        <v>1</v>
      </c>
      <c r="BU12" s="132">
        <v>4</v>
      </c>
      <c r="BV12" s="134" t="str">
        <f t="shared" si="12"/>
        <v/>
      </c>
      <c r="BW12" s="146" t="str">
        <f>IF(BV13="","","和")</f>
        <v/>
      </c>
    </row>
    <row r="13" ht="15" customHeight="1" spans="1:75">
      <c r="A13" s="123" t="str">
        <f>IF(B13="","",COUNT(A$6:A12)+1)</f>
        <v/>
      </c>
      <c r="B13" s="139"/>
      <c r="C13" s="140"/>
      <c r="D13" s="142"/>
      <c r="E13" s="127" t="str">
        <f>IFERROR(VLOOKUP(D13,参数表!$H$2:$I$50,2,FALSE),"")</f>
        <v/>
      </c>
      <c r="F13" s="128" t="str">
        <f t="shared" si="11"/>
        <v/>
      </c>
      <c r="G13" s="143"/>
      <c r="H13" s="144"/>
      <c r="I13" s="129" t="str">
        <f t="shared" si="5"/>
        <v/>
      </c>
      <c r="J13" s="129" t="str">
        <f t="shared" si="0"/>
        <v/>
      </c>
      <c r="K13" s="129" t="str">
        <f t="shared" si="1"/>
        <v/>
      </c>
      <c r="L13" s="129" t="str">
        <f t="shared" si="2"/>
        <v/>
      </c>
      <c r="M13" s="145"/>
      <c r="BA13" s="78"/>
      <c r="BB13" s="132" t="s">
        <v>4943</v>
      </c>
      <c r="BC13" s="133"/>
      <c r="BD13" s="132" t="str">
        <f>IF(OR(B13="",BC13=""),"",COUNTIF(BC$7:BC13,"√"))</f>
        <v/>
      </c>
      <c r="BE13" s="134" t="str">
        <f t="shared" si="3"/>
        <v/>
      </c>
      <c r="BF13" s="135" t="str">
        <f t="shared" si="6"/>
        <v/>
      </c>
      <c r="BG13" s="135" t="str">
        <f t="shared" si="6"/>
        <v/>
      </c>
      <c r="BH13" s="136"/>
      <c r="BI13" s="137"/>
      <c r="BJ13" s="136"/>
      <c r="BK13" s="136"/>
      <c r="BL13" s="136"/>
      <c r="BM13" s="137"/>
      <c r="BP13" s="134" t="str">
        <f>IF(COUNTIF(BP$6:BP12,B13)&gt;0,"",B13)&amp;""</f>
        <v/>
      </c>
      <c r="BQ13" s="138">
        <f t="shared" si="7"/>
        <v>0</v>
      </c>
      <c r="BR13" s="132">
        <f t="shared" si="8"/>
        <v>1</v>
      </c>
      <c r="BS13" s="138">
        <f t="shared" si="9"/>
        <v>0</v>
      </c>
      <c r="BT13" s="132">
        <f t="shared" si="10"/>
        <v>1</v>
      </c>
      <c r="BU13" s="132">
        <v>5</v>
      </c>
      <c r="BV13" s="134" t="str">
        <f t="shared" si="12"/>
        <v/>
      </c>
      <c r="BW13" s="146"/>
    </row>
    <row r="14" ht="15" customHeight="1" spans="1:75">
      <c r="A14" s="123" t="str">
        <f>IF(B14="","",COUNT(A$6:A13)+1)</f>
        <v/>
      </c>
      <c r="B14" s="139"/>
      <c r="C14" s="140"/>
      <c r="D14" s="142"/>
      <c r="E14" s="127" t="str">
        <f>IFERROR(VLOOKUP(D14,参数表!$H$2:$I$50,2,FALSE),"")</f>
        <v/>
      </c>
      <c r="F14" s="128" t="str">
        <f t="shared" si="11"/>
        <v/>
      </c>
      <c r="G14" s="143"/>
      <c r="H14" s="144"/>
      <c r="I14" s="129" t="str">
        <f t="shared" si="5"/>
        <v/>
      </c>
      <c r="J14" s="129" t="str">
        <f t="shared" si="0"/>
        <v/>
      </c>
      <c r="K14" s="129" t="str">
        <f t="shared" si="1"/>
        <v/>
      </c>
      <c r="L14" s="129" t="str">
        <f t="shared" si="2"/>
        <v/>
      </c>
      <c r="M14" s="145"/>
      <c r="BA14" s="78"/>
      <c r="BB14" s="132" t="s">
        <v>4944</v>
      </c>
      <c r="BC14" s="133"/>
      <c r="BD14" s="132" t="str">
        <f>IF(OR(B14="",BC14=""),"",COUNTIF(BC$7:BC14,"√"))</f>
        <v/>
      </c>
      <c r="BE14" s="134" t="str">
        <f t="shared" si="3"/>
        <v/>
      </c>
      <c r="BF14" s="135" t="str">
        <f t="shared" si="6"/>
        <v/>
      </c>
      <c r="BG14" s="135" t="str">
        <f t="shared" si="6"/>
        <v/>
      </c>
      <c r="BH14" s="136"/>
      <c r="BI14" s="137"/>
      <c r="BJ14" s="136"/>
      <c r="BK14" s="136"/>
      <c r="BL14" s="136"/>
      <c r="BM14" s="137"/>
      <c r="BP14" s="134" t="str">
        <f>IF(COUNTIF(BP$6:BP13,B14)&gt;0,"",B14)&amp;""</f>
        <v/>
      </c>
      <c r="BQ14" s="138">
        <f t="shared" si="7"/>
        <v>0</v>
      </c>
      <c r="BR14" s="132">
        <f t="shared" si="8"/>
        <v>1</v>
      </c>
      <c r="BS14" s="138">
        <f t="shared" si="9"/>
        <v>0</v>
      </c>
      <c r="BT14" s="132">
        <f t="shared" si="10"/>
        <v>1</v>
      </c>
      <c r="BU14" s="147" t="s">
        <v>1659</v>
      </c>
      <c r="BV14" s="132" t="str">
        <f>CONCATENATE(BV9,BW9,BV10,BW10,BV11,BW11,BV12,BW12,BV13)</f>
        <v/>
      </c>
      <c r="BW14" s="132"/>
    </row>
    <row r="15" ht="15" customHeight="1" spans="1:75">
      <c r="A15" s="123" t="str">
        <f>IF(B15="","",COUNT(A$6:A14)+1)</f>
        <v/>
      </c>
      <c r="B15" s="139"/>
      <c r="C15" s="140"/>
      <c r="D15" s="142"/>
      <c r="E15" s="127" t="str">
        <f>IFERROR(VLOOKUP(D15,参数表!$H$2:$I$50,2,FALSE),"")</f>
        <v/>
      </c>
      <c r="F15" s="128" t="str">
        <f t="shared" si="11"/>
        <v/>
      </c>
      <c r="G15" s="143"/>
      <c r="H15" s="144"/>
      <c r="I15" s="129" t="str">
        <f t="shared" si="5"/>
        <v/>
      </c>
      <c r="J15" s="129" t="str">
        <f t="shared" si="0"/>
        <v/>
      </c>
      <c r="K15" s="129" t="str">
        <f t="shared" si="1"/>
        <v/>
      </c>
      <c r="L15" s="129" t="str">
        <f t="shared" si="2"/>
        <v/>
      </c>
      <c r="M15" s="145"/>
      <c r="BA15" s="78"/>
      <c r="BB15" s="132" t="s">
        <v>4945</v>
      </c>
      <c r="BC15" s="133"/>
      <c r="BD15" s="132" t="str">
        <f>IF(OR(B15="",BC15=""),"",COUNTIF(BC$7:BC15,"√"))</f>
        <v/>
      </c>
      <c r="BE15" s="134" t="str">
        <f t="shared" si="3"/>
        <v/>
      </c>
      <c r="BF15" s="135" t="str">
        <f t="shared" si="6"/>
        <v/>
      </c>
      <c r="BG15" s="135" t="str">
        <f t="shared" si="6"/>
        <v/>
      </c>
      <c r="BH15" s="136"/>
      <c r="BI15" s="137"/>
      <c r="BJ15" s="136"/>
      <c r="BK15" s="136"/>
      <c r="BL15" s="136"/>
      <c r="BM15" s="137"/>
      <c r="BP15" s="134" t="str">
        <f>IF(COUNTIF(BP$6:BP14,B15)&gt;0,"",B15)&amp;""</f>
        <v/>
      </c>
      <c r="BQ15" s="138">
        <f t="shared" si="7"/>
        <v>0</v>
      </c>
      <c r="BR15" s="132">
        <f t="shared" si="8"/>
        <v>1</v>
      </c>
      <c r="BS15" s="138">
        <f t="shared" si="9"/>
        <v>0</v>
      </c>
      <c r="BT15" s="132">
        <f t="shared" si="10"/>
        <v>1</v>
      </c>
      <c r="BU15" s="133"/>
      <c r="BV15" s="133"/>
    </row>
    <row r="16" ht="15" customHeight="1" spans="1:75">
      <c r="A16" s="123" t="str">
        <f>IF(B16="","",COUNT(A$6:A15)+1)</f>
        <v/>
      </c>
      <c r="B16" s="139"/>
      <c r="C16" s="140"/>
      <c r="D16" s="142"/>
      <c r="E16" s="127" t="str">
        <f>IFERROR(VLOOKUP(D16,参数表!$H$2:$I$50,2,FALSE),"")</f>
        <v/>
      </c>
      <c r="F16" s="128" t="str">
        <f t="shared" si="11"/>
        <v/>
      </c>
      <c r="G16" s="143"/>
      <c r="H16" s="144"/>
      <c r="I16" s="129" t="str">
        <f t="shared" si="5"/>
        <v/>
      </c>
      <c r="J16" s="129" t="str">
        <f t="shared" si="0"/>
        <v/>
      </c>
      <c r="K16" s="129" t="str">
        <f t="shared" si="1"/>
        <v/>
      </c>
      <c r="L16" s="129" t="str">
        <f t="shared" si="2"/>
        <v/>
      </c>
      <c r="M16" s="145"/>
      <c r="BA16" s="78"/>
      <c r="BB16" s="132" t="s">
        <v>4946</v>
      </c>
      <c r="BC16" s="133"/>
      <c r="BD16" s="132" t="str">
        <f>IF(OR(B16="",BC16=""),"",COUNTIF(BC$7:BC16,"√"))</f>
        <v/>
      </c>
      <c r="BE16" s="134" t="str">
        <f t="shared" si="3"/>
        <v/>
      </c>
      <c r="BF16" s="135" t="str">
        <f t="shared" si="6"/>
        <v/>
      </c>
      <c r="BG16" s="135" t="str">
        <f t="shared" si="6"/>
        <v/>
      </c>
      <c r="BH16" s="136"/>
      <c r="BI16" s="137"/>
      <c r="BJ16" s="136"/>
      <c r="BK16" s="136"/>
      <c r="BL16" s="136"/>
      <c r="BM16" s="137"/>
      <c r="BP16" s="134" t="str">
        <f>IF(COUNTIF(BP$6:BP15,B16)&gt;0,"",B16)&amp;""</f>
        <v/>
      </c>
      <c r="BQ16" s="138">
        <f t="shared" si="7"/>
        <v>0</v>
      </c>
      <c r="BR16" s="132">
        <f t="shared" si="8"/>
        <v>1</v>
      </c>
      <c r="BS16" s="138">
        <f t="shared" si="9"/>
        <v>0</v>
      </c>
      <c r="BT16" s="132">
        <f t="shared" si="10"/>
        <v>1</v>
      </c>
      <c r="BU16" s="133"/>
      <c r="BV16" s="148"/>
    </row>
    <row r="17" ht="15" customHeight="1" spans="1:75">
      <c r="A17" s="123" t="str">
        <f>IF(B17="","",COUNT(A$6:A16)+1)</f>
        <v/>
      </c>
      <c r="B17" s="139"/>
      <c r="C17" s="140"/>
      <c r="D17" s="142"/>
      <c r="E17" s="127" t="str">
        <f>IFERROR(VLOOKUP(D17,参数表!$H$2:$I$50,2,FALSE),"")</f>
        <v/>
      </c>
      <c r="F17" s="128" t="str">
        <f t="shared" si="11"/>
        <v/>
      </c>
      <c r="G17" s="143"/>
      <c r="H17" s="144"/>
      <c r="I17" s="129" t="str">
        <f t="shared" si="5"/>
        <v/>
      </c>
      <c r="J17" s="129" t="str">
        <f t="shared" si="0"/>
        <v/>
      </c>
      <c r="K17" s="129" t="str">
        <f t="shared" si="1"/>
        <v/>
      </c>
      <c r="L17" s="129" t="str">
        <f t="shared" si="2"/>
        <v/>
      </c>
      <c r="M17" s="145"/>
      <c r="BA17" s="78"/>
      <c r="BB17" s="132" t="s">
        <v>4947</v>
      </c>
      <c r="BC17" s="133"/>
      <c r="BD17" s="132" t="str">
        <f>IF(OR(B17="",BC17=""),"",COUNTIF(BC$7:BC17,"√"))</f>
        <v/>
      </c>
      <c r="BE17" s="134" t="str">
        <f t="shared" si="3"/>
        <v/>
      </c>
      <c r="BF17" s="135" t="str">
        <f t="shared" si="6"/>
        <v/>
      </c>
      <c r="BG17" s="135" t="str">
        <f t="shared" si="6"/>
        <v/>
      </c>
      <c r="BH17" s="136"/>
      <c r="BI17" s="137"/>
      <c r="BJ17" s="136"/>
      <c r="BK17" s="136"/>
      <c r="BL17" s="136"/>
      <c r="BM17" s="137"/>
      <c r="BP17" s="134" t="str">
        <f>IF(COUNTIF(BP$6:BP16,B17)&gt;0,"",B17)&amp;""</f>
        <v/>
      </c>
      <c r="BQ17" s="138">
        <f t="shared" si="7"/>
        <v>0</v>
      </c>
      <c r="BR17" s="132">
        <f t="shared" si="8"/>
        <v>1</v>
      </c>
      <c r="BS17" s="138">
        <f t="shared" si="9"/>
        <v>0</v>
      </c>
      <c r="BT17" s="132">
        <f t="shared" si="10"/>
        <v>1</v>
      </c>
      <c r="BU17" s="133"/>
      <c r="BV17" s="133"/>
    </row>
    <row r="18" ht="15" customHeight="1" spans="1:75">
      <c r="A18" s="123" t="str">
        <f>IF(B18="","",COUNT(A$6:A17)+1)</f>
        <v/>
      </c>
      <c r="B18" s="139"/>
      <c r="C18" s="140"/>
      <c r="D18" s="142"/>
      <c r="E18" s="127" t="str">
        <f>IFERROR(VLOOKUP(D18,参数表!$H$2:$I$50,2,FALSE),"")</f>
        <v/>
      </c>
      <c r="F18" s="128" t="str">
        <f t="shared" si="11"/>
        <v/>
      </c>
      <c r="G18" s="143"/>
      <c r="H18" s="144"/>
      <c r="I18" s="129" t="str">
        <f t="shared" si="5"/>
        <v/>
      </c>
      <c r="J18" s="129" t="str">
        <f t="shared" si="0"/>
        <v/>
      </c>
      <c r="K18" s="129" t="str">
        <f t="shared" si="1"/>
        <v/>
      </c>
      <c r="L18" s="129" t="str">
        <f t="shared" si="2"/>
        <v/>
      </c>
      <c r="M18" s="145"/>
      <c r="BA18" s="78"/>
      <c r="BB18" s="132" t="s">
        <v>4948</v>
      </c>
      <c r="BC18" s="133"/>
      <c r="BD18" s="132" t="str">
        <f>IF(OR(B18="",BC18=""),"",COUNTIF(BC$7:BC18,"√"))</f>
        <v/>
      </c>
      <c r="BE18" s="134" t="str">
        <f t="shared" si="3"/>
        <v/>
      </c>
      <c r="BF18" s="135" t="str">
        <f t="shared" si="6"/>
        <v/>
      </c>
      <c r="BG18" s="135" t="str">
        <f t="shared" si="6"/>
        <v/>
      </c>
      <c r="BH18" s="136"/>
      <c r="BI18" s="137"/>
      <c r="BJ18" s="136"/>
      <c r="BK18" s="136"/>
      <c r="BL18" s="136"/>
      <c r="BM18" s="137"/>
      <c r="BP18" s="134" t="str">
        <f>IF(COUNTIF(BP$6:BP17,B18)&gt;0,"",B18)&amp;""</f>
        <v/>
      </c>
      <c r="BQ18" s="138">
        <f t="shared" si="7"/>
        <v>0</v>
      </c>
      <c r="BR18" s="132">
        <f t="shared" si="8"/>
        <v>1</v>
      </c>
      <c r="BS18" s="138">
        <f t="shared" si="9"/>
        <v>0</v>
      </c>
      <c r="BT18" s="132">
        <f t="shared" si="10"/>
        <v>1</v>
      </c>
      <c r="BU18" s="133"/>
      <c r="BV18" s="133"/>
    </row>
    <row r="19" ht="15" customHeight="1" spans="1:75">
      <c r="A19" s="123" t="str">
        <f>IF(B19="","",COUNT(A$6:A18)+1)</f>
        <v/>
      </c>
      <c r="B19" s="139"/>
      <c r="C19" s="140"/>
      <c r="D19" s="142"/>
      <c r="E19" s="127" t="str">
        <f>IFERROR(VLOOKUP(D19,参数表!$H$2:$I$50,2,FALSE),"")</f>
        <v/>
      </c>
      <c r="F19" s="128" t="str">
        <f t="shared" si="11"/>
        <v/>
      </c>
      <c r="G19" s="143"/>
      <c r="H19" s="144"/>
      <c r="I19" s="129" t="str">
        <f t="shared" si="5"/>
        <v/>
      </c>
      <c r="J19" s="129" t="str">
        <f t="shared" si="0"/>
        <v/>
      </c>
      <c r="K19" s="129" t="str">
        <f t="shared" si="1"/>
        <v/>
      </c>
      <c r="L19" s="129" t="str">
        <f t="shared" si="2"/>
        <v/>
      </c>
      <c r="M19" s="145"/>
      <c r="BA19" s="78"/>
      <c r="BB19" s="132" t="s">
        <v>4949</v>
      </c>
      <c r="BC19" s="133"/>
      <c r="BD19" s="132" t="str">
        <f>IF(OR(B19="",BC19=""),"",COUNTIF(BC$7:BC19,"√"))</f>
        <v/>
      </c>
      <c r="BE19" s="134" t="str">
        <f t="shared" si="3"/>
        <v/>
      </c>
      <c r="BF19" s="135" t="str">
        <f t="shared" si="6"/>
        <v/>
      </c>
      <c r="BG19" s="135" t="str">
        <f t="shared" si="6"/>
        <v/>
      </c>
      <c r="BH19" s="136"/>
      <c r="BI19" s="137"/>
      <c r="BJ19" s="136"/>
      <c r="BK19" s="136"/>
      <c r="BL19" s="136"/>
      <c r="BM19" s="137"/>
      <c r="BP19" s="134" t="str">
        <f>IF(COUNTIF(BP$6:BP18,B19)&gt;0,"",B19)&amp;""</f>
        <v/>
      </c>
      <c r="BQ19" s="138">
        <f t="shared" si="7"/>
        <v>0</v>
      </c>
      <c r="BR19" s="132">
        <f t="shared" si="8"/>
        <v>1</v>
      </c>
      <c r="BS19" s="138">
        <f t="shared" si="9"/>
        <v>0</v>
      </c>
      <c r="BT19" s="132">
        <f t="shared" si="10"/>
        <v>1</v>
      </c>
      <c r="BU19" s="133"/>
      <c r="BV19" s="133"/>
    </row>
    <row r="20" ht="15" customHeight="1" spans="1:75">
      <c r="A20" s="123" t="str">
        <f>IF(B20="","",COUNT(A$6:A19)+1)</f>
        <v/>
      </c>
      <c r="B20" s="139"/>
      <c r="C20" s="140"/>
      <c r="D20" s="142"/>
      <c r="E20" s="127" t="str">
        <f>IFERROR(VLOOKUP(D20,参数表!$H$2:$I$50,2,FALSE),"")</f>
        <v/>
      </c>
      <c r="F20" s="128" t="str">
        <f t="shared" si="11"/>
        <v/>
      </c>
      <c r="G20" s="143"/>
      <c r="H20" s="144"/>
      <c r="I20" s="129" t="str">
        <f t="shared" si="5"/>
        <v/>
      </c>
      <c r="J20" s="129" t="str">
        <f t="shared" si="0"/>
        <v/>
      </c>
      <c r="K20" s="129" t="str">
        <f t="shared" si="1"/>
        <v/>
      </c>
      <c r="L20" s="129" t="str">
        <f t="shared" si="2"/>
        <v/>
      </c>
      <c r="M20" s="145"/>
      <c r="BA20" s="78"/>
      <c r="BB20" s="132" t="s">
        <v>4950</v>
      </c>
      <c r="BC20" s="133"/>
      <c r="BD20" s="132" t="str">
        <f>IF(OR(B20="",BC20=""),"",COUNTIF(BC$7:BC20,"√"))</f>
        <v/>
      </c>
      <c r="BE20" s="134" t="str">
        <f t="shared" si="3"/>
        <v/>
      </c>
      <c r="BF20" s="135" t="str">
        <f t="shared" si="6"/>
        <v/>
      </c>
      <c r="BG20" s="135" t="str">
        <f t="shared" si="6"/>
        <v/>
      </c>
      <c r="BH20" s="136"/>
      <c r="BI20" s="137"/>
      <c r="BJ20" s="136"/>
      <c r="BK20" s="136"/>
      <c r="BL20" s="136"/>
      <c r="BM20" s="137"/>
      <c r="BP20" s="134" t="str">
        <f>IF(COUNTIF(BP$6:BP19,B20)&gt;0,"",B20)&amp;""</f>
        <v/>
      </c>
      <c r="BQ20" s="138">
        <f t="shared" si="7"/>
        <v>0</v>
      </c>
      <c r="BR20" s="132">
        <f t="shared" si="8"/>
        <v>1</v>
      </c>
      <c r="BS20" s="138">
        <f t="shared" si="9"/>
        <v>0</v>
      </c>
      <c r="BT20" s="132">
        <f t="shared" si="10"/>
        <v>1</v>
      </c>
      <c r="BU20" s="133"/>
      <c r="BV20" s="133"/>
    </row>
    <row r="21" ht="15" customHeight="1" spans="1:75">
      <c r="A21" s="123" t="str">
        <f>IF(B21="","",COUNT(A$6:A20)+1)</f>
        <v/>
      </c>
      <c r="B21" s="139"/>
      <c r="C21" s="140"/>
      <c r="D21" s="142"/>
      <c r="E21" s="127" t="str">
        <f>IFERROR(VLOOKUP(D21,参数表!$H$2:$I$50,2,FALSE),"")</f>
        <v/>
      </c>
      <c r="F21" s="128" t="str">
        <f t="shared" si="11"/>
        <v/>
      </c>
      <c r="G21" s="143"/>
      <c r="H21" s="144"/>
      <c r="I21" s="129" t="str">
        <f t="shared" si="5"/>
        <v/>
      </c>
      <c r="J21" s="129" t="str">
        <f t="shared" si="0"/>
        <v/>
      </c>
      <c r="K21" s="129" t="str">
        <f t="shared" si="1"/>
        <v/>
      </c>
      <c r="L21" s="129" t="str">
        <f t="shared" si="2"/>
        <v/>
      </c>
      <c r="M21" s="145"/>
      <c r="BA21" s="78"/>
      <c r="BB21" s="132" t="s">
        <v>4951</v>
      </c>
      <c r="BC21" s="133"/>
      <c r="BD21" s="132" t="str">
        <f>IF(OR(B21="",BC21=""),"",COUNTIF(BC$7:BC21,"√"))</f>
        <v/>
      </c>
      <c r="BE21" s="134" t="str">
        <f t="shared" si="3"/>
        <v/>
      </c>
      <c r="BF21" s="135" t="str">
        <f t="shared" si="6"/>
        <v/>
      </c>
      <c r="BG21" s="135" t="str">
        <f t="shared" si="6"/>
        <v/>
      </c>
      <c r="BH21" s="136"/>
      <c r="BI21" s="137"/>
      <c r="BJ21" s="136"/>
      <c r="BK21" s="136"/>
      <c r="BL21" s="136"/>
      <c r="BM21" s="137"/>
      <c r="BP21" s="134" t="str">
        <f>IF(COUNTIF(BP$6:BP20,B21)&gt;0,"",B21)&amp;""</f>
        <v/>
      </c>
      <c r="BQ21" s="138">
        <f t="shared" si="7"/>
        <v>0</v>
      </c>
      <c r="BR21" s="132">
        <f t="shared" si="8"/>
        <v>1</v>
      </c>
      <c r="BS21" s="138">
        <f t="shared" si="9"/>
        <v>0</v>
      </c>
      <c r="BT21" s="132">
        <f t="shared" si="10"/>
        <v>1</v>
      </c>
      <c r="BU21" s="133"/>
      <c r="BV21" s="133"/>
    </row>
    <row r="22" ht="15" customHeight="1" spans="1:75">
      <c r="A22" s="123" t="str">
        <f>IF(B22="","",COUNT(A$6:A21)+1)</f>
        <v/>
      </c>
      <c r="B22" s="139"/>
      <c r="C22" s="140"/>
      <c r="D22" s="142"/>
      <c r="E22" s="127" t="str">
        <f>IFERROR(VLOOKUP(D22,参数表!$H$2:$I$50,2,FALSE),"")</f>
        <v/>
      </c>
      <c r="F22" s="128" t="str">
        <f t="shared" si="11"/>
        <v/>
      </c>
      <c r="G22" s="143"/>
      <c r="H22" s="144"/>
      <c r="I22" s="129" t="str">
        <f t="shared" si="5"/>
        <v/>
      </c>
      <c r="J22" s="129" t="str">
        <f t="shared" si="0"/>
        <v/>
      </c>
      <c r="K22" s="129" t="str">
        <f t="shared" si="1"/>
        <v/>
      </c>
      <c r="L22" s="129" t="str">
        <f t="shared" si="2"/>
        <v/>
      </c>
      <c r="M22" s="145"/>
      <c r="BA22" s="78"/>
      <c r="BB22" s="132" t="s">
        <v>4952</v>
      </c>
      <c r="BC22" s="133"/>
      <c r="BD22" s="132" t="str">
        <f>IF(OR(B22="",BC22=""),"",COUNTIF(BC$7:BC22,"√"))</f>
        <v/>
      </c>
      <c r="BE22" s="134" t="str">
        <f t="shared" si="3"/>
        <v/>
      </c>
      <c r="BF22" s="135" t="str">
        <f t="shared" si="6"/>
        <v/>
      </c>
      <c r="BG22" s="135" t="str">
        <f t="shared" si="6"/>
        <v/>
      </c>
      <c r="BH22" s="136"/>
      <c r="BI22" s="137"/>
      <c r="BJ22" s="136"/>
      <c r="BK22" s="136"/>
      <c r="BL22" s="136"/>
      <c r="BM22" s="137"/>
      <c r="BP22" s="134" t="str">
        <f>IF(COUNTIF(BP$6:BP21,B22)&gt;0,"",B22)&amp;""</f>
        <v/>
      </c>
      <c r="BQ22" s="138">
        <f t="shared" si="7"/>
        <v>0</v>
      </c>
      <c r="BR22" s="132">
        <f t="shared" si="8"/>
        <v>1</v>
      </c>
      <c r="BS22" s="138">
        <f t="shared" si="9"/>
        <v>0</v>
      </c>
      <c r="BT22" s="132">
        <f t="shared" si="10"/>
        <v>1</v>
      </c>
      <c r="BU22" s="133"/>
      <c r="BV22" s="133"/>
    </row>
    <row r="23" ht="15" customHeight="1" spans="1:75">
      <c r="A23" s="123" t="str">
        <f>IF(B23="","",COUNT(A$6:A22)+1)</f>
        <v/>
      </c>
      <c r="B23" s="139"/>
      <c r="C23" s="140"/>
      <c r="D23" s="142"/>
      <c r="E23" s="127" t="str">
        <f>IFERROR(VLOOKUP(D23,参数表!$H$2:$I$50,2,FALSE),"")</f>
        <v/>
      </c>
      <c r="F23" s="128" t="str">
        <f t="shared" si="11"/>
        <v/>
      </c>
      <c r="G23" s="143"/>
      <c r="H23" s="144"/>
      <c r="I23" s="129" t="str">
        <f t="shared" si="5"/>
        <v/>
      </c>
      <c r="J23" s="129" t="str">
        <f t="shared" si="0"/>
        <v/>
      </c>
      <c r="K23" s="129" t="str">
        <f t="shared" si="1"/>
        <v/>
      </c>
      <c r="L23" s="129" t="str">
        <f t="shared" si="2"/>
        <v/>
      </c>
      <c r="M23" s="145"/>
      <c r="BA23" s="78"/>
      <c r="BB23" s="132" t="s">
        <v>4953</v>
      </c>
      <c r="BC23" s="133"/>
      <c r="BD23" s="132" t="str">
        <f>IF(OR(B23="",BC23=""),"",COUNTIF(BC$7:BC23,"√"))</f>
        <v/>
      </c>
      <c r="BE23" s="134" t="str">
        <f t="shared" si="3"/>
        <v/>
      </c>
      <c r="BF23" s="135" t="str">
        <f t="shared" si="6"/>
        <v/>
      </c>
      <c r="BG23" s="135" t="str">
        <f t="shared" si="6"/>
        <v/>
      </c>
      <c r="BH23" s="136"/>
      <c r="BI23" s="137"/>
      <c r="BJ23" s="136"/>
      <c r="BK23" s="136"/>
      <c r="BL23" s="136"/>
      <c r="BM23" s="137"/>
      <c r="BP23" s="134" t="str">
        <f>IF(COUNTIF(BP$6:BP22,B23)&gt;0,"",B23)&amp;""</f>
        <v/>
      </c>
      <c r="BQ23" s="138">
        <f t="shared" si="7"/>
        <v>0</v>
      </c>
      <c r="BR23" s="132">
        <f t="shared" si="8"/>
        <v>1</v>
      </c>
      <c r="BS23" s="138">
        <f t="shared" si="9"/>
        <v>0</v>
      </c>
      <c r="BT23" s="132">
        <f t="shared" si="10"/>
        <v>1</v>
      </c>
      <c r="BU23" s="133"/>
      <c r="BV23" s="133"/>
    </row>
    <row r="24" ht="15" customHeight="1" spans="1:75">
      <c r="A24" s="123" t="str">
        <f>IF(B24="","",COUNT(A$6:A23)+1)</f>
        <v/>
      </c>
      <c r="B24" s="139"/>
      <c r="C24" s="140"/>
      <c r="D24" s="142"/>
      <c r="E24" s="127" t="str">
        <f>IFERROR(VLOOKUP(D24,参数表!$H$2:$I$50,2,FALSE),"")</f>
        <v/>
      </c>
      <c r="F24" s="128" t="str">
        <f t="shared" si="11"/>
        <v/>
      </c>
      <c r="G24" s="143"/>
      <c r="H24" s="144"/>
      <c r="I24" s="129" t="str">
        <f t="shared" si="5"/>
        <v/>
      </c>
      <c r="J24" s="129" t="str">
        <f t="shared" si="0"/>
        <v/>
      </c>
      <c r="K24" s="129" t="str">
        <f t="shared" si="1"/>
        <v/>
      </c>
      <c r="L24" s="129" t="str">
        <f t="shared" si="2"/>
        <v/>
      </c>
      <c r="M24" s="145"/>
      <c r="BA24" s="78"/>
      <c r="BB24" s="132" t="s">
        <v>4954</v>
      </c>
      <c r="BC24" s="133"/>
      <c r="BD24" s="132" t="str">
        <f>IF(OR(B24="",BC24=""),"",COUNTIF(BC$7:BC24,"√"))</f>
        <v/>
      </c>
      <c r="BE24" s="134" t="str">
        <f t="shared" si="3"/>
        <v/>
      </c>
      <c r="BF24" s="135" t="str">
        <f t="shared" si="6"/>
        <v/>
      </c>
      <c r="BG24" s="135" t="str">
        <f t="shared" si="6"/>
        <v/>
      </c>
      <c r="BH24" s="136"/>
      <c r="BI24" s="137"/>
      <c r="BJ24" s="136"/>
      <c r="BK24" s="136"/>
      <c r="BL24" s="136"/>
      <c r="BM24" s="137"/>
      <c r="BP24" s="134" t="str">
        <f>IF(COUNTIF(BP$6:BP23,B24)&gt;0,"",B24)&amp;""</f>
        <v/>
      </c>
      <c r="BQ24" s="138">
        <f t="shared" si="7"/>
        <v>0</v>
      </c>
      <c r="BR24" s="132">
        <f t="shared" si="8"/>
        <v>1</v>
      </c>
      <c r="BS24" s="138">
        <f t="shared" si="9"/>
        <v>0</v>
      </c>
      <c r="BT24" s="132">
        <f t="shared" si="10"/>
        <v>1</v>
      </c>
      <c r="BU24" s="133"/>
      <c r="BV24" s="133"/>
    </row>
    <row r="25" ht="15" customHeight="1" spans="1:75">
      <c r="A25" s="123" t="str">
        <f>IF(B25="","",COUNT(A$6:A24)+1)</f>
        <v/>
      </c>
      <c r="B25" s="139"/>
      <c r="C25" s="140"/>
      <c r="D25" s="142"/>
      <c r="E25" s="127" t="str">
        <f>IFERROR(VLOOKUP(D25,参数表!$H$2:$I$50,2,FALSE),"")</f>
        <v/>
      </c>
      <c r="F25" s="128" t="str">
        <f t="shared" si="11"/>
        <v/>
      </c>
      <c r="G25" s="143"/>
      <c r="H25" s="144"/>
      <c r="I25" s="129" t="str">
        <f t="shared" si="5"/>
        <v/>
      </c>
      <c r="J25" s="129" t="str">
        <f t="shared" si="0"/>
        <v/>
      </c>
      <c r="K25" s="129" t="str">
        <f t="shared" si="1"/>
        <v/>
      </c>
      <c r="L25" s="129" t="str">
        <f t="shared" si="2"/>
        <v/>
      </c>
      <c r="M25" s="145"/>
      <c r="BA25" s="78"/>
      <c r="BB25" s="132" t="s">
        <v>4955</v>
      </c>
      <c r="BC25" s="133"/>
      <c r="BD25" s="132" t="str">
        <f>IF(OR(B25="",BC25=""),"",COUNTIF(BC$7:BC25,"√"))</f>
        <v/>
      </c>
      <c r="BE25" s="134" t="str">
        <f t="shared" si="3"/>
        <v/>
      </c>
      <c r="BF25" s="135" t="str">
        <f t="shared" si="6"/>
        <v/>
      </c>
      <c r="BG25" s="135" t="str">
        <f t="shared" si="6"/>
        <v/>
      </c>
      <c r="BH25" s="136"/>
      <c r="BI25" s="137"/>
      <c r="BJ25" s="136"/>
      <c r="BK25" s="136"/>
      <c r="BL25" s="136"/>
      <c r="BM25" s="137"/>
      <c r="BP25" s="134" t="str">
        <f>IF(COUNTIF(BP$6:BP24,B25)&gt;0,"",B25)&amp;""</f>
        <v/>
      </c>
      <c r="BQ25" s="138">
        <f t="shared" si="7"/>
        <v>0</v>
      </c>
      <c r="BR25" s="132">
        <f t="shared" si="8"/>
        <v>1</v>
      </c>
      <c r="BS25" s="138">
        <f t="shared" si="9"/>
        <v>0</v>
      </c>
      <c r="BT25" s="132">
        <f t="shared" si="10"/>
        <v>1</v>
      </c>
      <c r="BU25" s="133"/>
      <c r="BV25" s="133"/>
    </row>
    <row r="26" ht="15" customHeight="1" spans="1:75">
      <c r="A26" s="123" t="str">
        <f>IF(B26="","",COUNT(A$6:A25)+1)</f>
        <v/>
      </c>
      <c r="B26" s="124"/>
      <c r="C26" s="125"/>
      <c r="D26" s="127"/>
      <c r="E26" s="127" t="str">
        <f>IFERROR(VLOOKUP(D26,参数表!$H$2:$I$50,2,FALSE),"")</f>
        <v/>
      </c>
      <c r="F26" s="128" t="str">
        <f t="shared" si="11"/>
        <v/>
      </c>
      <c r="G26" s="129"/>
      <c r="H26" s="130"/>
      <c r="I26" s="129" t="str">
        <f t="shared" si="5"/>
        <v/>
      </c>
      <c r="J26" s="129" t="str">
        <f t="shared" si="0"/>
        <v/>
      </c>
      <c r="K26" s="129" t="str">
        <f t="shared" si="1"/>
        <v/>
      </c>
      <c r="L26" s="129" t="str">
        <f t="shared" si="2"/>
        <v/>
      </c>
      <c r="M26" s="131"/>
      <c r="BA26" s="78"/>
      <c r="BB26" s="132" t="s">
        <v>4956</v>
      </c>
      <c r="BC26" s="133"/>
      <c r="BD26" s="132" t="str">
        <f>IF(OR(B26="",BC26=""),"",COUNTIF(BC$7:BC26,"√"))</f>
        <v/>
      </c>
      <c r="BE26" s="134" t="str">
        <f t="shared" si="3"/>
        <v/>
      </c>
      <c r="BF26" s="135" t="str">
        <f t="shared" si="6"/>
        <v/>
      </c>
      <c r="BG26" s="135" t="str">
        <f t="shared" si="6"/>
        <v/>
      </c>
      <c r="BH26" s="136"/>
      <c r="BI26" s="137"/>
      <c r="BJ26" s="136"/>
      <c r="BK26" s="136"/>
      <c r="BL26" s="136"/>
      <c r="BM26" s="137"/>
      <c r="BP26" s="134" t="str">
        <f>IF(COUNTIF(BP$6:BP25,B26)&gt;0,"",B26)&amp;""</f>
        <v/>
      </c>
      <c r="BQ26" s="138">
        <f t="shared" si="7"/>
        <v>0</v>
      </c>
      <c r="BR26" s="132">
        <f t="shared" si="8"/>
        <v>1</v>
      </c>
      <c r="BS26" s="138">
        <f t="shared" si="9"/>
        <v>0</v>
      </c>
      <c r="BT26" s="132">
        <f t="shared" si="10"/>
        <v>1</v>
      </c>
      <c r="BU26" s="133"/>
      <c r="BV26" s="133"/>
    </row>
    <row r="27" s="73" customFormat="1" ht="15" customHeight="1" spans="1:75">
      <c r="A27" s="221" t="s">
        <v>1954</v>
      </c>
      <c r="B27" s="221"/>
      <c r="C27" s="356"/>
      <c r="D27" s="151"/>
      <c r="E27" s="151"/>
      <c r="F27" s="151"/>
      <c r="G27" s="152">
        <f>SUM(G7:G26)</f>
        <v>0</v>
      </c>
      <c r="H27" s="153"/>
      <c r="I27" s="152">
        <f>SUM(I7:I26)</f>
        <v>0</v>
      </c>
      <c r="J27" s="152">
        <f>SUM(J7:J26)</f>
        <v>0</v>
      </c>
      <c r="K27" s="152">
        <f t="shared" si="1"/>
        <v>0</v>
      </c>
      <c r="L27" s="152" t="str">
        <f t="shared" si="2"/>
        <v/>
      </c>
      <c r="M27" s="151"/>
      <c r="BF27" s="75"/>
      <c r="BG27" s="75"/>
      <c r="BH27" s="165"/>
      <c r="BI27" s="75"/>
      <c r="BJ27" s="165"/>
      <c r="BK27" s="165"/>
      <c r="BL27" s="165"/>
      <c r="BM27" s="75"/>
      <c r="BO27" s="111"/>
      <c r="BP27" s="119"/>
      <c r="BQ27" s="77"/>
      <c r="BR27" s="77"/>
      <c r="BS27" s="77"/>
      <c r="BT27" s="119"/>
      <c r="BU27" s="119"/>
      <c r="BV27" s="119"/>
      <c r="BW27" s="111"/>
    </row>
    <row r="28" ht="15" customHeight="1" spans="1:75">
      <c r="A28" s="124" t="s">
        <v>3434</v>
      </c>
      <c r="B28" s="124"/>
      <c r="C28" s="125"/>
      <c r="D28" s="125"/>
      <c r="E28" s="125"/>
      <c r="F28" s="125"/>
      <c r="G28" s="129"/>
      <c r="H28" s="130"/>
      <c r="I28" s="129">
        <f>G28+H28</f>
        <v>0</v>
      </c>
      <c r="J28" s="129">
        <v>0</v>
      </c>
      <c r="K28" s="129">
        <f t="shared" si="1"/>
        <v>0</v>
      </c>
      <c r="L28" s="129" t="str">
        <f t="shared" si="2"/>
        <v/>
      </c>
      <c r="M28" s="131"/>
    </row>
    <row r="29" s="73" customFormat="1" ht="15" customHeight="1" spans="1:75">
      <c r="A29" s="221" t="s">
        <v>1957</v>
      </c>
      <c r="B29" s="221"/>
      <c r="C29" s="356"/>
      <c r="D29" s="356"/>
      <c r="E29" s="356"/>
      <c r="F29" s="356"/>
      <c r="G29" s="152">
        <f>G27-G28</f>
        <v>0</v>
      </c>
      <c r="H29" s="153"/>
      <c r="I29" s="152">
        <f>I27-I28</f>
        <v>0</v>
      </c>
      <c r="J29" s="152">
        <f>J27-J28</f>
        <v>0</v>
      </c>
      <c r="K29" s="152">
        <f t="shared" si="1"/>
        <v>0</v>
      </c>
      <c r="L29" s="152" t="str">
        <f t="shared" si="2"/>
        <v/>
      </c>
      <c r="M29" s="151"/>
      <c r="BB29" s="75"/>
      <c r="BC29" s="75"/>
      <c r="BD29" s="75"/>
      <c r="BE29" s="75"/>
      <c r="BF29" s="75"/>
      <c r="BG29" s="75"/>
      <c r="BH29" s="165"/>
      <c r="BI29" s="75"/>
      <c r="BJ29" s="72"/>
      <c r="BK29" s="72"/>
      <c r="BL29" s="72"/>
      <c r="BO29" s="77"/>
      <c r="BP29" s="78"/>
      <c r="BQ29" s="77"/>
      <c r="BR29" s="78"/>
      <c r="BS29" s="78"/>
      <c r="BT29" s="78"/>
      <c r="BU29" s="78"/>
      <c r="BV29" s="78"/>
      <c r="BW29" s="77"/>
    </row>
    <row r="30" customHeight="1" spans="1:75">
      <c r="A30" s="102" t="str">
        <f>参数表!F$6</f>
        <v>产权持有单位填表人：贾广东</v>
      </c>
      <c r="B30" s="154"/>
      <c r="C30" s="154"/>
      <c r="D30" s="154"/>
      <c r="E30" s="154"/>
      <c r="F30" s="154"/>
      <c r="G30" s="154"/>
      <c r="H30" s="155"/>
      <c r="I30" s="154"/>
      <c r="J30" s="103" t="str">
        <f>"评估人员："&amp;封面!$G$36</f>
        <v>评估人员：</v>
      </c>
      <c r="K30" s="103"/>
      <c r="L30" s="103"/>
      <c r="M30" s="103"/>
    </row>
    <row r="31" customHeight="1" spans="1:75">
      <c r="A31" s="102" t="str">
        <f>参数表!F$7</f>
        <v>填表日期：2025年9月20日</v>
      </c>
      <c r="B31" s="154"/>
      <c r="C31" s="154"/>
      <c r="D31" s="154"/>
      <c r="E31" s="154"/>
      <c r="F31" s="154"/>
      <c r="G31" s="154"/>
      <c r="H31" s="155"/>
      <c r="I31" s="154"/>
      <c r="J31" s="103"/>
      <c r="K31" s="103"/>
      <c r="L31" s="103"/>
      <c r="M31" s="103"/>
    </row>
    <row r="32" hidden="1" customHeight="1" outlineLevel="1" spans="1:75">
      <c r="A32" s="157"/>
      <c r="B32" s="154" t="s">
        <v>1673</v>
      </c>
      <c r="C32" s="158"/>
      <c r="D32" s="158"/>
      <c r="E32" s="158"/>
      <c r="F32" s="158"/>
      <c r="G32" s="159">
        <f>SUMIF($BA7:$BA26,$BA32,G7:G26)</f>
        <v>0</v>
      </c>
      <c r="H32" s="160"/>
      <c r="I32" s="159">
        <f>SUMIF($BA7:$BA26,$BA32,I7:I26)</f>
        <v>0</v>
      </c>
      <c r="J32" s="159">
        <f>SUMIF($BA7:$BA26,$BA32,J7:J26)</f>
        <v>0</v>
      </c>
      <c r="BA32" s="161" t="s">
        <v>1674</v>
      </c>
      <c r="BH32" s="95" t="s">
        <v>1675</v>
      </c>
      <c r="BJ32" s="95" t="s">
        <v>1675</v>
      </c>
      <c r="BK32" s="95" t="s">
        <v>1675</v>
      </c>
      <c r="BL32" s="95" t="s">
        <v>1675</v>
      </c>
    </row>
    <row r="33" hidden="1" customHeight="1" outlineLevel="1" spans="1:64">
      <c r="A33" s="157"/>
      <c r="B33" s="154" t="s">
        <v>1676</v>
      </c>
      <c r="C33" s="158"/>
      <c r="D33" s="158"/>
      <c r="E33" s="158"/>
      <c r="F33" s="158"/>
      <c r="G33" s="159">
        <f>G27-G32</f>
        <v>0</v>
      </c>
      <c r="H33" s="160"/>
      <c r="I33" s="159">
        <f>I27-I32</f>
        <v>0</v>
      </c>
      <c r="J33" s="159">
        <f>J27-J32</f>
        <v>0</v>
      </c>
      <c r="BA33" s="161" t="s">
        <v>1677</v>
      </c>
      <c r="BH33" s="95" t="s">
        <v>1678</v>
      </c>
      <c r="BJ33" s="95" t="s">
        <v>1678</v>
      </c>
      <c r="BK33" s="95" t="s">
        <v>1678</v>
      </c>
      <c r="BL33" s="95" t="s">
        <v>1678</v>
      </c>
    </row>
    <row r="34" customHeight="1" collapsed="1" spans="1:64">
      <c r="A34" s="157"/>
      <c r="B34" s="158"/>
      <c r="C34" s="158"/>
      <c r="D34" s="158"/>
      <c r="E34" s="158"/>
      <c r="F34" s="158"/>
      <c r="G34" s="158"/>
      <c r="H34" s="164"/>
      <c r="I34" s="158"/>
    </row>
    <row r="35" customHeight="1" spans="1:64">
      <c r="A35" s="157"/>
      <c r="B35" s="158"/>
      <c r="C35" s="158"/>
      <c r="D35" s="158"/>
      <c r="E35" s="158"/>
      <c r="F35" s="158"/>
      <c r="G35" s="158"/>
      <c r="H35" s="164"/>
      <c r="I35" s="158"/>
    </row>
    <row r="36" customHeight="1" spans="1:64">
      <c r="A36" s="157"/>
      <c r="B36" s="158"/>
      <c r="C36" s="158"/>
      <c r="D36" s="158"/>
      <c r="E36" s="158"/>
      <c r="F36" s="158"/>
      <c r="G36" s="158"/>
      <c r="H36" s="164"/>
      <c r="I36" s="158"/>
    </row>
    <row r="37" customHeight="1" spans="1:64">
      <c r="A37" s="157"/>
      <c r="B37" s="158"/>
      <c r="C37" s="158"/>
      <c r="D37" s="158"/>
      <c r="E37" s="158"/>
      <c r="F37" s="158"/>
      <c r="G37" s="158"/>
      <c r="H37" s="164"/>
      <c r="I37" s="158"/>
    </row>
    <row r="38" customHeight="1" spans="1:64">
      <c r="A38" s="157"/>
      <c r="B38" s="158"/>
      <c r="C38" s="158"/>
      <c r="G38" s="158"/>
      <c r="H38" s="164"/>
      <c r="I38" s="158"/>
    </row>
  </sheetData>
  <sheetProtection autoFilter="0"/>
  <mergeCells count="8">
    <mergeCell ref="A2:M2"/>
    <mergeCell ref="A3:M3"/>
    <mergeCell ref="BU7:BW7"/>
    <mergeCell ref="BU8:BW8"/>
    <mergeCell ref="BV14:BW14"/>
    <mergeCell ref="A27:B27"/>
    <mergeCell ref="A28:B28"/>
    <mergeCell ref="A29:B29"/>
  </mergeCells>
  <conditionalFormatting sqref="BH7:BH26">
    <cfRule type="expression" dxfId="5" priority="6" stopIfTrue="1">
      <formula>AND($B7&lt;&gt;"",BH7="")</formula>
    </cfRule>
  </conditionalFormatting>
  <conditionalFormatting sqref="BI7:BI26">
    <cfRule type="expression" dxfId="5" priority="13" stopIfTrue="1">
      <formula>AND(BH7="有",BI7="")</formula>
    </cfRule>
  </conditionalFormatting>
  <conditionalFormatting sqref="BF7:BG26">
    <cfRule type="containsText" dxfId="6" priority="1" stopIfTrue="1" operator="between" text="出错">
      <formula>NOT(ISERROR(SEARCH("出错",BF7)))</formula>
    </cfRule>
  </conditionalFormatting>
  <conditionalFormatting sqref="BJ7:BL26">
    <cfRule type="expression" dxfId="5" priority="3" stopIfTrue="1">
      <formula>AND($B7&lt;&gt;"",BJ7="")</formula>
    </cfRule>
  </conditionalFormatting>
  <dataValidations count="4">
    <dataValidation type="list" allowBlank="1" showInputMessage="1" showErrorMessage="1" sqref="D7:D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 type="list" allowBlank="1" showInputMessage="1" showErrorMessage="1" sqref="BH7:BH26 BJ7:BL26">
      <formula1>BH$32:BH$33</formula1>
    </dataValidation>
  </dataValidations>
  <hyperlinks>
    <hyperlink ref="A1" location="索引目录!D51" display="返回索引页"/>
    <hyperlink ref="B1" location="非流动资产评估汇总!B42"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1"/>
  <dimension ref="A1:BX36"/>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24.1" style="75" customWidth="1"/>
    <col min="3" max="3" width="7.7" style="75" customWidth="1"/>
    <col min="4" max="5" width="4.6" style="75" customWidth="1" outlineLevel="1"/>
    <col min="6" max="7" width="6.1" style="75" customWidth="1" outlineLevel="1"/>
    <col min="8" max="8" width="14.6" style="75" customWidth="1"/>
    <col min="9" max="9" width="6.6" style="75" customWidth="1"/>
    <col min="10" max="10" width="14.6" style="75" customWidth="1" outlineLevel="1"/>
    <col min="11" max="11" width="14.6" style="76" customWidth="1" outlineLevel="1"/>
    <col min="12" max="12" width="14.6" style="75" customWidth="1"/>
    <col min="13" max="13" width="6.6" style="75" customWidth="1"/>
    <col min="14" max="14" width="14.6" style="75" customWidth="1"/>
    <col min="15" max="16" width="8.6" style="75" customWidth="1"/>
    <col min="17" max="17" width="10" style="75" customWidth="1"/>
    <col min="18" max="52" width="9" style="75" hidden="1" customWidth="1" outlineLevel="1"/>
    <col min="53" max="53" width="14.7" style="75" customWidth="1" collapsed="1"/>
    <col min="54" max="54" width="6.7" style="75" customWidth="1"/>
    <col min="55" max="56" width="4.7" style="75" customWidth="1"/>
    <col min="57" max="57" width="11.5" style="75" customWidth="1"/>
    <col min="58" max="59" width="10" style="75" customWidth="1"/>
    <col min="60" max="60" width="4.7" style="165" customWidth="1"/>
    <col min="61" max="61" width="11.5" style="75" customWidth="1"/>
    <col min="62" max="64" width="4.7" style="165" customWidth="1"/>
    <col min="65" max="65" width="8.7" style="75" customWidth="1"/>
    <col min="66" max="66" width="10.7" style="75" customWidth="1"/>
    <col min="67" max="67" width="9.8" style="75" customWidth="1"/>
    <col min="68" max="68" width="1.6" style="77" customWidth="1"/>
    <col min="69" max="69" width="10.6" style="78" customWidth="1"/>
    <col min="70" max="70" width="10.6" style="77" customWidth="1"/>
    <col min="71" max="71" width="4.6" style="78" customWidth="1"/>
    <col min="72" max="72" width="10.6" style="78" customWidth="1"/>
    <col min="73" max="74" width="4.6" style="78" customWidth="1"/>
    <col min="75" max="75" width="10.6" style="78" customWidth="1"/>
    <col min="76" max="76" width="5" style="77" customWidth="1"/>
    <col min="77" max="16384" width="9" style="75"/>
  </cols>
  <sheetData>
    <row r="1" s="86" customFormat="1" ht="13.8" spans="1:76">
      <c r="A1" s="203" t="s">
        <v>1591</v>
      </c>
      <c r="B1" s="204" t="s">
        <v>1592</v>
      </c>
      <c r="C1" s="82"/>
      <c r="D1" s="82"/>
      <c r="E1" s="82"/>
      <c r="F1" s="82"/>
      <c r="G1" s="82"/>
      <c r="H1" s="82"/>
      <c r="I1" s="82"/>
      <c r="J1" s="82"/>
      <c r="K1" s="205"/>
      <c r="L1" s="82"/>
      <c r="M1" s="82"/>
      <c r="N1" s="82"/>
      <c r="O1" s="82"/>
      <c r="P1" s="82"/>
      <c r="Q1" s="82"/>
      <c r="BA1" s="84" t="str">
        <f>参数表!BA1</f>
        <v>注意：补充特殊事项、作价等均从BA列开始填写</v>
      </c>
      <c r="BB1" s="85"/>
      <c r="BC1" s="85"/>
      <c r="BH1" s="82"/>
      <c r="BJ1" s="82"/>
      <c r="BK1" s="82"/>
      <c r="BL1" s="82"/>
      <c r="BP1" s="87"/>
      <c r="BQ1" s="88"/>
      <c r="BR1" s="87"/>
      <c r="BS1" s="88"/>
      <c r="BT1" s="88"/>
      <c r="BU1" s="88"/>
      <c r="BV1" s="88"/>
      <c r="BW1" s="88"/>
      <c r="BX1" s="87"/>
    </row>
    <row r="2" s="71" customFormat="1" ht="30" customHeight="1" spans="1:76">
      <c r="A2" s="89" t="s">
        <v>4957</v>
      </c>
      <c r="B2" s="89"/>
      <c r="C2" s="89"/>
      <c r="D2" s="89"/>
      <c r="E2" s="89"/>
      <c r="F2" s="89"/>
      <c r="G2" s="89"/>
      <c r="H2" s="89"/>
      <c r="I2" s="89"/>
      <c r="J2" s="89"/>
      <c r="K2" s="89"/>
      <c r="L2" s="89"/>
      <c r="M2" s="89"/>
      <c r="N2" s="89"/>
      <c r="O2" s="89"/>
      <c r="P2" s="89"/>
      <c r="Q2" s="89"/>
      <c r="BA2" s="90" t="str">
        <f>参数表!BA2</f>
        <v>评估基准日：</v>
      </c>
      <c r="BB2" s="91" t="str">
        <f>参数表!BB2</f>
        <v>2025年7月31日</v>
      </c>
      <c r="BC2" s="182"/>
      <c r="BH2" s="171"/>
      <c r="BJ2" s="171"/>
      <c r="BK2" s="171"/>
      <c r="BL2" s="171"/>
      <c r="BP2" s="92"/>
      <c r="BQ2" s="93"/>
      <c r="BR2" s="92"/>
      <c r="BS2" s="93"/>
      <c r="BT2" s="93"/>
      <c r="BU2" s="93"/>
      <c r="BV2" s="93"/>
      <c r="BW2" s="93"/>
      <c r="BX2" s="92"/>
    </row>
    <row r="3" ht="15" customHeight="1" spans="1:76">
      <c r="A3" s="94" t="str">
        <f>参数表!F5</f>
        <v>评估基准日：2025年7月31日</v>
      </c>
      <c r="B3" s="94"/>
      <c r="C3" s="94"/>
      <c r="D3" s="94"/>
      <c r="E3" s="94"/>
      <c r="F3" s="94"/>
      <c r="G3" s="94"/>
      <c r="H3" s="94"/>
      <c r="I3" s="94"/>
      <c r="J3" s="94"/>
      <c r="K3" s="94"/>
      <c r="L3" s="94"/>
      <c r="M3" s="95"/>
      <c r="N3" s="95"/>
      <c r="O3" s="95"/>
      <c r="P3" s="95"/>
      <c r="Q3" s="95"/>
      <c r="BA3" s="90" t="str">
        <f>参数表!BA3</f>
        <v>是否显示评估值：</v>
      </c>
      <c r="BB3" s="90" t="str">
        <f>参数表!BB3</f>
        <v>是</v>
      </c>
      <c r="BC3" s="85"/>
      <c r="BR3" s="78"/>
    </row>
    <row r="4" ht="15" customHeight="1" spans="1:76">
      <c r="A4" s="96"/>
      <c r="B4" s="94"/>
      <c r="C4" s="94"/>
      <c r="D4" s="95"/>
      <c r="E4" s="95"/>
      <c r="F4" s="95"/>
      <c r="G4" s="95"/>
      <c r="H4" s="94"/>
      <c r="I4" s="94"/>
      <c r="J4" s="94"/>
      <c r="K4" s="97"/>
      <c r="L4" s="94"/>
      <c r="M4" s="95"/>
      <c r="N4" s="95"/>
      <c r="O4" s="95"/>
      <c r="P4" s="98"/>
      <c r="Q4" s="98" t="str">
        <f>"表"&amp;$BA4</f>
        <v>表4-18</v>
      </c>
      <c r="BA4" s="274" t="str">
        <f>非流动资总!A24</f>
        <v>4-18</v>
      </c>
      <c r="BB4" s="100">
        <f>MAX(COUNTA(A7:A26),COUNTA(B7:B26),COUNTA(H7:H26),COUNTA(J7:J26))</f>
        <v>20</v>
      </c>
      <c r="BC4" s="101">
        <f>ROW(A6)+1</f>
        <v>7</v>
      </c>
      <c r="BD4" s="77"/>
      <c r="BE4" s="77"/>
      <c r="BR4" s="78"/>
    </row>
    <row r="5" ht="15" customHeight="1" spans="1:76">
      <c r="A5" s="102" t="str">
        <f>参数表!F3</f>
        <v>产权持有单位:中煤第五建设有限公司</v>
      </c>
      <c r="B5" s="103"/>
      <c r="C5" s="103"/>
      <c r="D5" s="95"/>
      <c r="E5" s="95"/>
      <c r="F5" s="95"/>
      <c r="G5" s="95"/>
      <c r="H5" s="103"/>
      <c r="I5" s="103"/>
      <c r="J5" s="103"/>
      <c r="K5" s="104"/>
      <c r="L5" s="103"/>
      <c r="M5" s="103"/>
      <c r="N5" s="103"/>
      <c r="O5" s="103"/>
      <c r="P5" s="103"/>
      <c r="Q5" s="98" t="s">
        <v>236</v>
      </c>
      <c r="BA5" s="103"/>
      <c r="BB5" s="105" t="str">
        <f ca="1">判断表!C94</f>
        <v>中煤第五建设有限公司第三工程处拟处置实物资产项目\[0000-3基础法明细表.xlsx]长期待摊</v>
      </c>
      <c r="BC5" s="106">
        <f>IFERROR(SUMIF(BC7:BC26,"√",L7:L26)/L27,0)</f>
        <v>0</v>
      </c>
      <c r="BD5" s="107"/>
      <c r="BE5" s="107"/>
      <c r="BF5" s="108">
        <f>分类汇总!I40</f>
        <v>0</v>
      </c>
      <c r="BG5" s="108">
        <f>分类汇总!K40</f>
        <v>0</v>
      </c>
      <c r="BH5" s="109"/>
      <c r="BI5" s="109"/>
      <c r="BJ5" s="109"/>
      <c r="BK5" s="109"/>
      <c r="BL5" s="109"/>
      <c r="BM5" s="110"/>
      <c r="BP5" s="111"/>
      <c r="BR5" s="78"/>
      <c r="BW5" s="194"/>
      <c r="BX5" s="111"/>
    </row>
    <row r="6" s="349" customFormat="1" ht="24.75" customHeight="1" spans="1:76">
      <c r="A6" s="350" t="s">
        <v>305</v>
      </c>
      <c r="B6" s="118" t="s">
        <v>4958</v>
      </c>
      <c r="C6" s="118" t="s">
        <v>3637</v>
      </c>
      <c r="D6" s="114" t="s">
        <v>1631</v>
      </c>
      <c r="E6" s="115" t="s">
        <v>1632</v>
      </c>
      <c r="F6" s="116" t="s">
        <v>3638</v>
      </c>
      <c r="G6" s="116" t="s">
        <v>3793</v>
      </c>
      <c r="H6" s="118" t="s">
        <v>4959</v>
      </c>
      <c r="I6" s="351" t="s">
        <v>4960</v>
      </c>
      <c r="J6" s="118" t="s">
        <v>1549</v>
      </c>
      <c r="K6" s="352" t="s">
        <v>1634</v>
      </c>
      <c r="L6" s="118" t="s">
        <v>1523</v>
      </c>
      <c r="M6" s="351" t="s">
        <v>4961</v>
      </c>
      <c r="N6" s="118" t="s">
        <v>1550</v>
      </c>
      <c r="O6" s="118" t="s">
        <v>1525</v>
      </c>
      <c r="P6" s="118" t="s">
        <v>1551</v>
      </c>
      <c r="Q6" s="118"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1644</v>
      </c>
      <c r="BN6" s="173" t="s">
        <v>4962</v>
      </c>
      <c r="BO6" s="224" t="s">
        <v>4963</v>
      </c>
      <c r="BP6" s="119"/>
      <c r="BQ6" s="120" t="s">
        <v>1645</v>
      </c>
      <c r="BR6" s="121" t="s">
        <v>1646</v>
      </c>
      <c r="BS6" s="121" t="s">
        <v>1647</v>
      </c>
      <c r="BT6" s="121" t="s">
        <v>1648</v>
      </c>
      <c r="BU6" s="121" t="s">
        <v>1647</v>
      </c>
      <c r="BV6" s="121" t="s">
        <v>1647</v>
      </c>
      <c r="BW6" s="121" t="s">
        <v>1649</v>
      </c>
      <c r="BX6" s="122" t="s">
        <v>1650</v>
      </c>
    </row>
    <row r="7" ht="15" customHeight="1" spans="1:76">
      <c r="A7" s="123" t="str">
        <f>IF(B7="","",COUNT(A$6:A6)+1)</f>
        <v/>
      </c>
      <c r="B7" s="124"/>
      <c r="C7" s="125"/>
      <c r="D7" s="127"/>
      <c r="E7" s="127" t="str">
        <f>IFERROR(VLOOKUP(D7,参数表!$H$2:$I$50,2,FALSE),"")</f>
        <v/>
      </c>
      <c r="F7" s="128" t="str">
        <f>IFERROR(IF(OR(D7="人民币",D7=""),"",H7/E7),"")</f>
        <v/>
      </c>
      <c r="G7" s="128" t="str">
        <f>IFERROR(IF(OR(D7="人民币",D7=""),"",L7/E7),"")</f>
        <v/>
      </c>
      <c r="H7" s="129"/>
      <c r="I7" s="126"/>
      <c r="J7" s="129"/>
      <c r="K7" s="130"/>
      <c r="L7" s="129" t="str">
        <f>IF(B7="","",J7+K7)</f>
        <v/>
      </c>
      <c r="M7" s="214" t="str">
        <f>IF(B7="","",IFERROR(MAX(I7-BN7,0),0))</f>
        <v/>
      </c>
      <c r="N7" s="353" t="str">
        <f t="shared" ref="N7:N26" si="0">IF(B7="","",IF($BB$3="是",IF(BO7="是",0,L7),0))</f>
        <v/>
      </c>
      <c r="O7" s="129" t="str">
        <f>IFERROR(N7-L7,"")</f>
        <v/>
      </c>
      <c r="P7" s="129" t="str">
        <f>IFERROR(O7/L7*100,"")</f>
        <v/>
      </c>
      <c r="Q7" s="174"/>
      <c r="BA7" s="78"/>
      <c r="BB7" s="132" t="s">
        <v>4964</v>
      </c>
      <c r="BC7" s="133"/>
      <c r="BD7" s="132" t="str">
        <f>IF(OR(B7="",BC7=""),"",COUNTIF(BC$7:BC7,"√"))</f>
        <v/>
      </c>
      <c r="BE7" s="134" t="str">
        <f t="shared" ref="BE7:BE26" si="1">IF(BC7="","",BB7&amp;"︱"&amp;B7&amp;"︱"&amp;TEXT(J7,"#,##0.00"))</f>
        <v/>
      </c>
      <c r="BF7" s="135" t="str">
        <f>IF($B7="","",IF(BF$5=0,"OK","出错"))</f>
        <v/>
      </c>
      <c r="BG7" s="135" t="str">
        <f>IF($B7="","",IF(BG$5=0,"OK","出错"))</f>
        <v/>
      </c>
      <c r="BH7" s="136"/>
      <c r="BI7" s="137"/>
      <c r="BJ7" s="136"/>
      <c r="BK7" s="136"/>
      <c r="BL7" s="136"/>
      <c r="BM7" s="137"/>
      <c r="BN7" s="187">
        <f>(BB$2-C7)/365.25</f>
        <v>125.582477754962</v>
      </c>
      <c r="BO7" s="165" t="s">
        <v>1677</v>
      </c>
      <c r="BQ7" s="134" t="str">
        <f>IF(COUNTIF(BQ$6:BQ6,B7)&gt;0,"",B7)&amp;""</f>
        <v/>
      </c>
      <c r="BR7" s="138">
        <f>SUMIF(B$7:B$26,BQ7,H$7:H$26)</f>
        <v>0</v>
      </c>
      <c r="BS7" s="132">
        <f t="shared" ref="BS7" si="2">RANK(BR7,BR$7:BR$26)</f>
        <v>1</v>
      </c>
      <c r="BT7" s="138">
        <f>SUMIF(B$7:B$26,BQ7,N$7:N$26)</f>
        <v>0</v>
      </c>
      <c r="BU7" s="132">
        <f>RANK(BT7,BT$7:BT$26)</f>
        <v>1</v>
      </c>
      <c r="BV7" s="138">
        <f>SUM(BR7:BR26)</f>
        <v>0</v>
      </c>
      <c r="BW7" s="138"/>
      <c r="BX7" s="138"/>
    </row>
    <row r="8" ht="15" customHeight="1" spans="1:76">
      <c r="A8" s="123" t="str">
        <f>IF(B8="","",COUNT(A$6:A7)+1)</f>
        <v/>
      </c>
      <c r="B8" s="139"/>
      <c r="C8" s="140"/>
      <c r="D8" s="142"/>
      <c r="E8" s="127" t="str">
        <f>IFERROR(VLOOKUP(D8,参数表!$H$2:$I$50,2,FALSE),"")</f>
        <v/>
      </c>
      <c r="F8" s="128" t="str">
        <f t="shared" ref="F8:F26" si="3">IFERROR(IF(OR(D8="人民币",D8=""),"",H8/E8),"")</f>
        <v/>
      </c>
      <c r="G8" s="128" t="str">
        <f t="shared" ref="G8:G26" si="4">IFERROR(IF(OR(D8="人民币",D8=""),"",L8/E8),"")</f>
        <v/>
      </c>
      <c r="H8" s="143"/>
      <c r="I8" s="141"/>
      <c r="J8" s="143"/>
      <c r="K8" s="144"/>
      <c r="L8" s="129" t="str">
        <f t="shared" ref="L8:L26" si="5">IF(B8="","",J8+K8)</f>
        <v/>
      </c>
      <c r="M8" s="214" t="str">
        <f t="shared" ref="M8:M26" si="6">IF(B8="","",IFERROR(MAX(I8-BN8,0),0))</f>
        <v/>
      </c>
      <c r="N8" s="353" t="str">
        <f t="shared" si="0"/>
        <v/>
      </c>
      <c r="O8" s="129" t="str">
        <f t="shared" ref="O8:O27" si="7">IFERROR(N8-L8,"")</f>
        <v/>
      </c>
      <c r="P8" s="129" t="str">
        <f t="shared" ref="P8:P27" si="8">IFERROR(O8/L8*100,"")</f>
        <v/>
      </c>
      <c r="Q8" s="178"/>
      <c r="BA8" s="78"/>
      <c r="BB8" s="132" t="s">
        <v>4965</v>
      </c>
      <c r="BC8" s="133"/>
      <c r="BD8" s="132" t="str">
        <f>IF(OR(B8="",BC8=""),"",COUNTIF(BC$7:BC8,"√"))</f>
        <v/>
      </c>
      <c r="BE8" s="134" t="str">
        <f t="shared" si="1"/>
        <v/>
      </c>
      <c r="BF8" s="135" t="str">
        <f t="shared" ref="BF8:BG26" si="9">IF($B8="","",IF(BF$5=0,"OK","出错"))</f>
        <v/>
      </c>
      <c r="BG8" s="135" t="str">
        <f t="shared" si="9"/>
        <v/>
      </c>
      <c r="BH8" s="136"/>
      <c r="BI8" s="137"/>
      <c r="BJ8" s="136"/>
      <c r="BK8" s="136"/>
      <c r="BL8" s="136"/>
      <c r="BM8" s="137"/>
      <c r="BN8" s="187">
        <f t="shared" ref="BN8:BN26" si="10">(BB$2-C8)/365.25</f>
        <v>125.582477754962</v>
      </c>
      <c r="BO8" s="165" t="s">
        <v>1677</v>
      </c>
      <c r="BQ8" s="134" t="str">
        <f>IF(COUNTIF(BQ$6:BQ7,B8)&gt;0,"",B8)&amp;""</f>
        <v/>
      </c>
      <c r="BR8" s="138">
        <f t="shared" ref="BR8:BR26" si="11">SUMIF(B$7:B$26,BQ8,H$7:H$26)</f>
        <v>0</v>
      </c>
      <c r="BS8" s="132">
        <f t="shared" ref="BS8:BS26" si="12">RANK(BR8,BR$7:BR$26)</f>
        <v>1</v>
      </c>
      <c r="BT8" s="138">
        <f t="shared" ref="BT8:BT26" si="13">SUMIF(B$7:B$26,BQ8,N$7:N$26)</f>
        <v>0</v>
      </c>
      <c r="BU8" s="132">
        <f t="shared" ref="BU8:BU26" si="14">RANK(BT8,BT$7:BT$26)</f>
        <v>1</v>
      </c>
      <c r="BV8" s="138">
        <f>SUM(BT7:BT26)</f>
        <v>0</v>
      </c>
      <c r="BW8" s="138"/>
      <c r="BX8" s="138"/>
    </row>
    <row r="9" ht="15" customHeight="1" spans="1:76">
      <c r="A9" s="123" t="str">
        <f>IF(B9="","",COUNT(A$6:A8)+1)</f>
        <v/>
      </c>
      <c r="B9" s="139"/>
      <c r="C9" s="140"/>
      <c r="D9" s="142"/>
      <c r="E9" s="127" t="str">
        <f>IFERROR(VLOOKUP(D9,参数表!$H$2:$I$50,2,FALSE),"")</f>
        <v/>
      </c>
      <c r="F9" s="128" t="str">
        <f t="shared" si="3"/>
        <v/>
      </c>
      <c r="G9" s="128" t="str">
        <f t="shared" si="4"/>
        <v/>
      </c>
      <c r="H9" s="143"/>
      <c r="I9" s="141"/>
      <c r="J9" s="143"/>
      <c r="K9" s="144"/>
      <c r="L9" s="129" t="str">
        <f t="shared" si="5"/>
        <v/>
      </c>
      <c r="M9" s="214" t="str">
        <f t="shared" si="6"/>
        <v/>
      </c>
      <c r="N9" s="353" t="str">
        <f t="shared" si="0"/>
        <v/>
      </c>
      <c r="O9" s="129" t="str">
        <f t="shared" si="7"/>
        <v/>
      </c>
      <c r="P9" s="129" t="str">
        <f t="shared" si="8"/>
        <v/>
      </c>
      <c r="Q9" s="178"/>
      <c r="BA9" s="78"/>
      <c r="BB9" s="132" t="s">
        <v>4966</v>
      </c>
      <c r="BC9" s="133"/>
      <c r="BD9" s="132" t="str">
        <f>IF(OR(B9="",BC9=""),"",COUNTIF(BC$7:BC9,"√"))</f>
        <v/>
      </c>
      <c r="BE9" s="134" t="str">
        <f t="shared" si="1"/>
        <v/>
      </c>
      <c r="BF9" s="135" t="str">
        <f t="shared" si="9"/>
        <v/>
      </c>
      <c r="BG9" s="135" t="str">
        <f t="shared" si="9"/>
        <v/>
      </c>
      <c r="BH9" s="136"/>
      <c r="BI9" s="137"/>
      <c r="BJ9" s="136"/>
      <c r="BK9" s="136"/>
      <c r="BL9" s="136"/>
      <c r="BM9" s="137"/>
      <c r="BN9" s="187">
        <f t="shared" si="10"/>
        <v>125.582477754962</v>
      </c>
      <c r="BO9" s="165" t="s">
        <v>1677</v>
      </c>
      <c r="BQ9" s="134" t="str">
        <f>IF(COUNTIF(BQ$6:BQ8,B9)&gt;0,"",B9)&amp;""</f>
        <v/>
      </c>
      <c r="BR9" s="138">
        <f t="shared" si="11"/>
        <v>0</v>
      </c>
      <c r="BS9" s="132">
        <f t="shared" si="12"/>
        <v>1</v>
      </c>
      <c r="BT9" s="138">
        <f t="shared" si="13"/>
        <v>0</v>
      </c>
      <c r="BU9" s="132">
        <f t="shared" si="14"/>
        <v>1</v>
      </c>
      <c r="BV9" s="132">
        <v>1</v>
      </c>
      <c r="BW9" s="134" t="str">
        <f>IFERROR(INDEX(BQ$7:BQ$26,MATCH(BV9,IF(BV$7=0,BU$7:BU$26,BS$7:BS$26),0))&amp;"","")</f>
        <v/>
      </c>
      <c r="BX9" s="146" t="str">
        <f>IF(BW10="","",IF(BW11="","和","、"))</f>
        <v/>
      </c>
    </row>
    <row r="10" ht="15" customHeight="1" spans="1:76">
      <c r="A10" s="123" t="str">
        <f>IF(B10="","",COUNT(A$6:A9)+1)</f>
        <v/>
      </c>
      <c r="B10" s="139"/>
      <c r="C10" s="140"/>
      <c r="D10" s="142"/>
      <c r="E10" s="127" t="str">
        <f>IFERROR(VLOOKUP(D10,参数表!$H$2:$I$50,2,FALSE),"")</f>
        <v/>
      </c>
      <c r="F10" s="128" t="str">
        <f t="shared" si="3"/>
        <v/>
      </c>
      <c r="G10" s="128" t="str">
        <f t="shared" si="4"/>
        <v/>
      </c>
      <c r="H10" s="143"/>
      <c r="I10" s="141"/>
      <c r="J10" s="143"/>
      <c r="K10" s="144"/>
      <c r="L10" s="129" t="str">
        <f t="shared" si="5"/>
        <v/>
      </c>
      <c r="M10" s="214" t="str">
        <f t="shared" si="6"/>
        <v/>
      </c>
      <c r="N10" s="353" t="str">
        <f t="shared" si="0"/>
        <v/>
      </c>
      <c r="O10" s="129" t="str">
        <f t="shared" si="7"/>
        <v/>
      </c>
      <c r="P10" s="129" t="str">
        <f t="shared" si="8"/>
        <v/>
      </c>
      <c r="Q10" s="178"/>
      <c r="BA10" s="78"/>
      <c r="BB10" s="132" t="s">
        <v>4967</v>
      </c>
      <c r="BC10" s="133"/>
      <c r="BD10" s="132" t="str">
        <f>IF(OR(B10="",BC10=""),"",COUNTIF(BC$7:BC10,"√"))</f>
        <v/>
      </c>
      <c r="BE10" s="134" t="str">
        <f t="shared" si="1"/>
        <v/>
      </c>
      <c r="BF10" s="135" t="str">
        <f t="shared" si="9"/>
        <v/>
      </c>
      <c r="BG10" s="135" t="str">
        <f t="shared" si="9"/>
        <v/>
      </c>
      <c r="BH10" s="136"/>
      <c r="BI10" s="137"/>
      <c r="BJ10" s="136"/>
      <c r="BK10" s="136"/>
      <c r="BL10" s="136"/>
      <c r="BM10" s="137"/>
      <c r="BN10" s="187">
        <f t="shared" si="10"/>
        <v>125.582477754962</v>
      </c>
      <c r="BO10" s="165" t="s">
        <v>1677</v>
      </c>
      <c r="BQ10" s="134" t="str">
        <f>IF(COUNTIF(BQ$6:BQ9,B10)&gt;0,"",B10)&amp;""</f>
        <v/>
      </c>
      <c r="BR10" s="138">
        <f t="shared" si="11"/>
        <v>0</v>
      </c>
      <c r="BS10" s="132">
        <f t="shared" si="12"/>
        <v>1</v>
      </c>
      <c r="BT10" s="138">
        <f t="shared" si="13"/>
        <v>0</v>
      </c>
      <c r="BU10" s="132">
        <f t="shared" si="14"/>
        <v>1</v>
      </c>
      <c r="BV10" s="132">
        <v>2</v>
      </c>
      <c r="BW10" s="134" t="str">
        <f t="shared" ref="BW10:BW13" si="15">IFERROR(INDEX(BQ$7:BQ$26,MATCH(BV10,IF(BV$7=0,BU$7:BU$26,BS$7:BS$26),0))&amp;"","")</f>
        <v/>
      </c>
      <c r="BX10" s="146" t="str">
        <f t="shared" ref="BX10:BX11" si="16">IF(BW11="","",IF(BW12="","和","、"))</f>
        <v/>
      </c>
    </row>
    <row r="11" ht="15" customHeight="1" spans="1:76">
      <c r="A11" s="123" t="str">
        <f>IF(B11="","",COUNT(A$6:A10)+1)</f>
        <v/>
      </c>
      <c r="B11" s="139"/>
      <c r="C11" s="140"/>
      <c r="D11" s="142"/>
      <c r="E11" s="127" t="str">
        <f>IFERROR(VLOOKUP(D11,参数表!$H$2:$I$50,2,FALSE),"")</f>
        <v/>
      </c>
      <c r="F11" s="128" t="str">
        <f t="shared" si="3"/>
        <v/>
      </c>
      <c r="G11" s="128" t="str">
        <f t="shared" si="4"/>
        <v/>
      </c>
      <c r="H11" s="143"/>
      <c r="I11" s="141"/>
      <c r="J11" s="143"/>
      <c r="K11" s="144"/>
      <c r="L11" s="129" t="str">
        <f t="shared" si="5"/>
        <v/>
      </c>
      <c r="M11" s="214" t="str">
        <f t="shared" si="6"/>
        <v/>
      </c>
      <c r="N11" s="353" t="str">
        <f t="shared" si="0"/>
        <v/>
      </c>
      <c r="O11" s="129" t="str">
        <f t="shared" si="7"/>
        <v/>
      </c>
      <c r="P11" s="129" t="str">
        <f t="shared" si="8"/>
        <v/>
      </c>
      <c r="Q11" s="178"/>
      <c r="BA11" s="78"/>
      <c r="BB11" s="132" t="s">
        <v>4968</v>
      </c>
      <c r="BC11" s="133"/>
      <c r="BD11" s="132" t="str">
        <f>IF(OR(B11="",BC11=""),"",COUNTIF(BC$7:BC11,"√"))</f>
        <v/>
      </c>
      <c r="BE11" s="134" t="str">
        <f t="shared" si="1"/>
        <v/>
      </c>
      <c r="BF11" s="135" t="str">
        <f t="shared" si="9"/>
        <v/>
      </c>
      <c r="BG11" s="135" t="str">
        <f t="shared" si="9"/>
        <v/>
      </c>
      <c r="BH11" s="136"/>
      <c r="BI11" s="137"/>
      <c r="BJ11" s="136"/>
      <c r="BK11" s="136"/>
      <c r="BL11" s="136"/>
      <c r="BM11" s="137"/>
      <c r="BN11" s="187">
        <f t="shared" si="10"/>
        <v>125.582477754962</v>
      </c>
      <c r="BO11" s="165" t="s">
        <v>1677</v>
      </c>
      <c r="BQ11" s="134" t="str">
        <f>IF(COUNTIF(BQ$6:BQ10,B11)&gt;0,"",B11)&amp;""</f>
        <v/>
      </c>
      <c r="BR11" s="138">
        <f t="shared" si="11"/>
        <v>0</v>
      </c>
      <c r="BS11" s="132">
        <f t="shared" si="12"/>
        <v>1</v>
      </c>
      <c r="BT11" s="138">
        <f t="shared" si="13"/>
        <v>0</v>
      </c>
      <c r="BU11" s="132">
        <f t="shared" si="14"/>
        <v>1</v>
      </c>
      <c r="BV11" s="132">
        <v>3</v>
      </c>
      <c r="BW11" s="134" t="str">
        <f t="shared" si="15"/>
        <v/>
      </c>
      <c r="BX11" s="146" t="str">
        <f t="shared" si="16"/>
        <v/>
      </c>
    </row>
    <row r="12" ht="15" customHeight="1" spans="1:76">
      <c r="A12" s="123" t="str">
        <f>IF(B12="","",COUNT(A$6:A11)+1)</f>
        <v/>
      </c>
      <c r="B12" s="139"/>
      <c r="C12" s="140"/>
      <c r="D12" s="142"/>
      <c r="E12" s="127" t="str">
        <f>IFERROR(VLOOKUP(D12,参数表!$H$2:$I$50,2,FALSE),"")</f>
        <v/>
      </c>
      <c r="F12" s="128" t="str">
        <f t="shared" si="3"/>
        <v/>
      </c>
      <c r="G12" s="128" t="str">
        <f t="shared" si="4"/>
        <v/>
      </c>
      <c r="H12" s="143"/>
      <c r="I12" s="141"/>
      <c r="J12" s="143"/>
      <c r="K12" s="144"/>
      <c r="L12" s="129" t="str">
        <f t="shared" si="5"/>
        <v/>
      </c>
      <c r="M12" s="214" t="str">
        <f t="shared" si="6"/>
        <v/>
      </c>
      <c r="N12" s="353" t="str">
        <f t="shared" si="0"/>
        <v/>
      </c>
      <c r="O12" s="129" t="str">
        <f t="shared" si="7"/>
        <v/>
      </c>
      <c r="P12" s="129" t="str">
        <f t="shared" si="8"/>
        <v/>
      </c>
      <c r="Q12" s="178"/>
      <c r="BA12" s="78"/>
      <c r="BB12" s="132" t="s">
        <v>4969</v>
      </c>
      <c r="BC12" s="133"/>
      <c r="BD12" s="132" t="str">
        <f>IF(OR(B12="",BC12=""),"",COUNTIF(BC$7:BC12,"√"))</f>
        <v/>
      </c>
      <c r="BE12" s="134" t="str">
        <f t="shared" si="1"/>
        <v/>
      </c>
      <c r="BF12" s="135" t="str">
        <f t="shared" si="9"/>
        <v/>
      </c>
      <c r="BG12" s="135" t="str">
        <f t="shared" si="9"/>
        <v/>
      </c>
      <c r="BH12" s="136"/>
      <c r="BI12" s="137"/>
      <c r="BJ12" s="136"/>
      <c r="BK12" s="136"/>
      <c r="BL12" s="136"/>
      <c r="BM12" s="137"/>
      <c r="BN12" s="187">
        <f t="shared" si="10"/>
        <v>125.582477754962</v>
      </c>
      <c r="BO12" s="165" t="s">
        <v>1677</v>
      </c>
      <c r="BQ12" s="134" t="str">
        <f>IF(COUNTIF(BQ$6:BQ11,B12)&gt;0,"",B12)&amp;""</f>
        <v/>
      </c>
      <c r="BR12" s="138">
        <f t="shared" si="11"/>
        <v>0</v>
      </c>
      <c r="BS12" s="132">
        <f t="shared" si="12"/>
        <v>1</v>
      </c>
      <c r="BT12" s="138">
        <f t="shared" si="13"/>
        <v>0</v>
      </c>
      <c r="BU12" s="132">
        <f t="shared" si="14"/>
        <v>1</v>
      </c>
      <c r="BV12" s="132">
        <v>4</v>
      </c>
      <c r="BW12" s="134" t="str">
        <f t="shared" si="15"/>
        <v/>
      </c>
      <c r="BX12" s="146" t="str">
        <f>IF(BW13="","","和")</f>
        <v/>
      </c>
    </row>
    <row r="13" ht="15" customHeight="1" spans="1:76">
      <c r="A13" s="123" t="str">
        <f>IF(B13="","",COUNT(A$6:A12)+1)</f>
        <v/>
      </c>
      <c r="B13" s="139"/>
      <c r="C13" s="140"/>
      <c r="D13" s="142"/>
      <c r="E13" s="127" t="str">
        <f>IFERROR(VLOOKUP(D13,参数表!$H$2:$I$50,2,FALSE),"")</f>
        <v/>
      </c>
      <c r="F13" s="128" t="str">
        <f t="shared" si="3"/>
        <v/>
      </c>
      <c r="G13" s="128" t="str">
        <f t="shared" si="4"/>
        <v/>
      </c>
      <c r="H13" s="143"/>
      <c r="I13" s="141"/>
      <c r="J13" s="143"/>
      <c r="K13" s="144"/>
      <c r="L13" s="129" t="str">
        <f t="shared" si="5"/>
        <v/>
      </c>
      <c r="M13" s="214" t="str">
        <f t="shared" si="6"/>
        <v/>
      </c>
      <c r="N13" s="353" t="str">
        <f t="shared" si="0"/>
        <v/>
      </c>
      <c r="O13" s="129" t="str">
        <f t="shared" si="7"/>
        <v/>
      </c>
      <c r="P13" s="129" t="str">
        <f t="shared" si="8"/>
        <v/>
      </c>
      <c r="Q13" s="178"/>
      <c r="BA13" s="78"/>
      <c r="BB13" s="132" t="s">
        <v>4970</v>
      </c>
      <c r="BC13" s="133"/>
      <c r="BD13" s="132" t="str">
        <f>IF(OR(B13="",BC13=""),"",COUNTIF(BC$7:BC13,"√"))</f>
        <v/>
      </c>
      <c r="BE13" s="134" t="str">
        <f t="shared" si="1"/>
        <v/>
      </c>
      <c r="BF13" s="135" t="str">
        <f t="shared" si="9"/>
        <v/>
      </c>
      <c r="BG13" s="135" t="str">
        <f t="shared" si="9"/>
        <v/>
      </c>
      <c r="BH13" s="136"/>
      <c r="BI13" s="137"/>
      <c r="BJ13" s="136"/>
      <c r="BK13" s="136"/>
      <c r="BL13" s="136"/>
      <c r="BM13" s="137"/>
      <c r="BN13" s="187">
        <f t="shared" si="10"/>
        <v>125.582477754962</v>
      </c>
      <c r="BO13" s="165" t="s">
        <v>1677</v>
      </c>
      <c r="BQ13" s="134" t="str">
        <f>IF(COUNTIF(BQ$6:BQ12,B13)&gt;0,"",B13)&amp;""</f>
        <v/>
      </c>
      <c r="BR13" s="138">
        <f t="shared" si="11"/>
        <v>0</v>
      </c>
      <c r="BS13" s="132">
        <f t="shared" si="12"/>
        <v>1</v>
      </c>
      <c r="BT13" s="138">
        <f t="shared" si="13"/>
        <v>0</v>
      </c>
      <c r="BU13" s="132">
        <f t="shared" si="14"/>
        <v>1</v>
      </c>
      <c r="BV13" s="132">
        <v>5</v>
      </c>
      <c r="BW13" s="134" t="str">
        <f t="shared" si="15"/>
        <v/>
      </c>
      <c r="BX13" s="146"/>
    </row>
    <row r="14" ht="15" customHeight="1" spans="1:76">
      <c r="A14" s="123" t="str">
        <f>IF(B14="","",COUNT(A$6:A13)+1)</f>
        <v/>
      </c>
      <c r="B14" s="139"/>
      <c r="C14" s="140"/>
      <c r="D14" s="142"/>
      <c r="E14" s="127" t="str">
        <f>IFERROR(VLOOKUP(D14,参数表!$H$2:$I$50,2,FALSE),"")</f>
        <v/>
      </c>
      <c r="F14" s="128" t="str">
        <f t="shared" si="3"/>
        <v/>
      </c>
      <c r="G14" s="128" t="str">
        <f t="shared" si="4"/>
        <v/>
      </c>
      <c r="H14" s="143"/>
      <c r="I14" s="141"/>
      <c r="J14" s="143"/>
      <c r="K14" s="144"/>
      <c r="L14" s="129" t="str">
        <f t="shared" si="5"/>
        <v/>
      </c>
      <c r="M14" s="214" t="str">
        <f t="shared" si="6"/>
        <v/>
      </c>
      <c r="N14" s="353" t="str">
        <f t="shared" si="0"/>
        <v/>
      </c>
      <c r="O14" s="129" t="str">
        <f t="shared" si="7"/>
        <v/>
      </c>
      <c r="P14" s="129" t="str">
        <f t="shared" si="8"/>
        <v/>
      </c>
      <c r="Q14" s="178"/>
      <c r="BA14" s="78"/>
      <c r="BB14" s="132" t="s">
        <v>4971</v>
      </c>
      <c r="BC14" s="133"/>
      <c r="BD14" s="132" t="str">
        <f>IF(OR(B14="",BC14=""),"",COUNTIF(BC$7:BC14,"√"))</f>
        <v/>
      </c>
      <c r="BE14" s="134" t="str">
        <f t="shared" si="1"/>
        <v/>
      </c>
      <c r="BF14" s="135" t="str">
        <f t="shared" si="9"/>
        <v/>
      </c>
      <c r="BG14" s="135" t="str">
        <f t="shared" si="9"/>
        <v/>
      </c>
      <c r="BH14" s="136"/>
      <c r="BI14" s="137"/>
      <c r="BJ14" s="136"/>
      <c r="BK14" s="136"/>
      <c r="BL14" s="136"/>
      <c r="BM14" s="137"/>
      <c r="BN14" s="187">
        <f t="shared" si="10"/>
        <v>125.582477754962</v>
      </c>
      <c r="BO14" s="165" t="s">
        <v>1677</v>
      </c>
      <c r="BQ14" s="134" t="str">
        <f>IF(COUNTIF(BQ$6:BQ13,B14)&gt;0,"",B14)&amp;""</f>
        <v/>
      </c>
      <c r="BR14" s="138">
        <f t="shared" si="11"/>
        <v>0</v>
      </c>
      <c r="BS14" s="132">
        <f t="shared" si="12"/>
        <v>1</v>
      </c>
      <c r="BT14" s="138">
        <f t="shared" si="13"/>
        <v>0</v>
      </c>
      <c r="BU14" s="132">
        <f t="shared" si="14"/>
        <v>1</v>
      </c>
      <c r="BV14" s="147" t="s">
        <v>1659</v>
      </c>
      <c r="BW14" s="132" t="str">
        <f>CONCATENATE(BW9,BX9,BW10,BX10,BW11,BX11,BW12,BX12,BW13)</f>
        <v/>
      </c>
      <c r="BX14" s="132"/>
    </row>
    <row r="15" ht="15" customHeight="1" spans="1:76">
      <c r="A15" s="123" t="str">
        <f>IF(B15="","",COUNT(A$6:A14)+1)</f>
        <v/>
      </c>
      <c r="B15" s="139"/>
      <c r="C15" s="140"/>
      <c r="D15" s="142"/>
      <c r="E15" s="127" t="str">
        <f>IFERROR(VLOOKUP(D15,参数表!$H$2:$I$50,2,FALSE),"")</f>
        <v/>
      </c>
      <c r="F15" s="128" t="str">
        <f t="shared" si="3"/>
        <v/>
      </c>
      <c r="G15" s="128" t="str">
        <f t="shared" si="4"/>
        <v/>
      </c>
      <c r="H15" s="143"/>
      <c r="I15" s="141"/>
      <c r="J15" s="143"/>
      <c r="K15" s="144"/>
      <c r="L15" s="129" t="str">
        <f t="shared" si="5"/>
        <v/>
      </c>
      <c r="M15" s="214" t="str">
        <f t="shared" si="6"/>
        <v/>
      </c>
      <c r="N15" s="353" t="str">
        <f t="shared" si="0"/>
        <v/>
      </c>
      <c r="O15" s="129" t="str">
        <f t="shared" si="7"/>
        <v/>
      </c>
      <c r="P15" s="129" t="str">
        <f t="shared" si="8"/>
        <v/>
      </c>
      <c r="Q15" s="178"/>
      <c r="BA15" s="78"/>
      <c r="BB15" s="132" t="s">
        <v>4972</v>
      </c>
      <c r="BC15" s="133"/>
      <c r="BD15" s="132" t="str">
        <f>IF(OR(B15="",BC15=""),"",COUNTIF(BC$7:BC15,"√"))</f>
        <v/>
      </c>
      <c r="BE15" s="134" t="str">
        <f t="shared" si="1"/>
        <v/>
      </c>
      <c r="BF15" s="135" t="str">
        <f t="shared" si="9"/>
        <v/>
      </c>
      <c r="BG15" s="135" t="str">
        <f t="shared" si="9"/>
        <v/>
      </c>
      <c r="BH15" s="136"/>
      <c r="BI15" s="137"/>
      <c r="BJ15" s="136"/>
      <c r="BK15" s="136"/>
      <c r="BL15" s="136"/>
      <c r="BM15" s="137"/>
      <c r="BN15" s="187">
        <f t="shared" si="10"/>
        <v>125.582477754962</v>
      </c>
      <c r="BO15" s="165" t="s">
        <v>1677</v>
      </c>
      <c r="BQ15" s="134" t="str">
        <f>IF(COUNTIF(BQ$6:BQ14,B15)&gt;0,"",B15)&amp;""</f>
        <v/>
      </c>
      <c r="BR15" s="138">
        <f t="shared" si="11"/>
        <v>0</v>
      </c>
      <c r="BS15" s="132">
        <f t="shared" si="12"/>
        <v>1</v>
      </c>
      <c r="BT15" s="138">
        <f t="shared" si="13"/>
        <v>0</v>
      </c>
      <c r="BU15" s="132">
        <f t="shared" si="14"/>
        <v>1</v>
      </c>
      <c r="BV15" s="133"/>
      <c r="BW15" s="133"/>
    </row>
    <row r="16" ht="15" customHeight="1" spans="1:76">
      <c r="A16" s="123" t="str">
        <f>IF(B16="","",COUNT(A$6:A15)+1)</f>
        <v/>
      </c>
      <c r="B16" s="139"/>
      <c r="C16" s="140"/>
      <c r="D16" s="142"/>
      <c r="E16" s="127" t="str">
        <f>IFERROR(VLOOKUP(D16,参数表!$H$2:$I$50,2,FALSE),"")</f>
        <v/>
      </c>
      <c r="F16" s="128" t="str">
        <f t="shared" si="3"/>
        <v/>
      </c>
      <c r="G16" s="128" t="str">
        <f t="shared" si="4"/>
        <v/>
      </c>
      <c r="H16" s="143"/>
      <c r="I16" s="141"/>
      <c r="J16" s="143"/>
      <c r="K16" s="144"/>
      <c r="L16" s="129" t="str">
        <f t="shared" si="5"/>
        <v/>
      </c>
      <c r="M16" s="214" t="str">
        <f t="shared" si="6"/>
        <v/>
      </c>
      <c r="N16" s="353" t="str">
        <f t="shared" si="0"/>
        <v/>
      </c>
      <c r="O16" s="129" t="str">
        <f t="shared" si="7"/>
        <v/>
      </c>
      <c r="P16" s="129" t="str">
        <f t="shared" si="8"/>
        <v/>
      </c>
      <c r="Q16" s="178"/>
      <c r="BA16" s="78"/>
      <c r="BB16" s="132" t="s">
        <v>4973</v>
      </c>
      <c r="BC16" s="133"/>
      <c r="BD16" s="132" t="str">
        <f>IF(OR(B16="",BC16=""),"",COUNTIF(BC$7:BC16,"√"))</f>
        <v/>
      </c>
      <c r="BE16" s="134" t="str">
        <f t="shared" si="1"/>
        <v/>
      </c>
      <c r="BF16" s="135" t="str">
        <f t="shared" si="9"/>
        <v/>
      </c>
      <c r="BG16" s="135" t="str">
        <f t="shared" si="9"/>
        <v/>
      </c>
      <c r="BH16" s="136"/>
      <c r="BI16" s="137"/>
      <c r="BJ16" s="136"/>
      <c r="BK16" s="136"/>
      <c r="BL16" s="136"/>
      <c r="BM16" s="137"/>
      <c r="BN16" s="187">
        <f t="shared" si="10"/>
        <v>125.582477754962</v>
      </c>
      <c r="BO16" s="165" t="s">
        <v>1677</v>
      </c>
      <c r="BQ16" s="134" t="str">
        <f>IF(COUNTIF(BQ$6:BQ15,B16)&gt;0,"",B16)&amp;""</f>
        <v/>
      </c>
      <c r="BR16" s="138">
        <f t="shared" si="11"/>
        <v>0</v>
      </c>
      <c r="BS16" s="132">
        <f t="shared" si="12"/>
        <v>1</v>
      </c>
      <c r="BT16" s="138">
        <f t="shared" si="13"/>
        <v>0</v>
      </c>
      <c r="BU16" s="132">
        <f t="shared" si="14"/>
        <v>1</v>
      </c>
      <c r="BV16" s="133"/>
      <c r="BW16" s="148"/>
    </row>
    <row r="17" ht="15" customHeight="1" spans="1:76">
      <c r="A17" s="123" t="str">
        <f>IF(B17="","",COUNT(A$6:A16)+1)</f>
        <v/>
      </c>
      <c r="B17" s="139"/>
      <c r="C17" s="140"/>
      <c r="D17" s="142"/>
      <c r="E17" s="127" t="str">
        <f>IFERROR(VLOOKUP(D17,参数表!$H$2:$I$50,2,FALSE),"")</f>
        <v/>
      </c>
      <c r="F17" s="128" t="str">
        <f t="shared" si="3"/>
        <v/>
      </c>
      <c r="G17" s="128" t="str">
        <f t="shared" si="4"/>
        <v/>
      </c>
      <c r="H17" s="143"/>
      <c r="I17" s="141"/>
      <c r="J17" s="143"/>
      <c r="K17" s="144"/>
      <c r="L17" s="129" t="str">
        <f t="shared" si="5"/>
        <v/>
      </c>
      <c r="M17" s="214" t="str">
        <f t="shared" si="6"/>
        <v/>
      </c>
      <c r="N17" s="353" t="str">
        <f t="shared" si="0"/>
        <v/>
      </c>
      <c r="O17" s="129" t="str">
        <f t="shared" si="7"/>
        <v/>
      </c>
      <c r="P17" s="129" t="str">
        <f t="shared" si="8"/>
        <v/>
      </c>
      <c r="Q17" s="178"/>
      <c r="BA17" s="78"/>
      <c r="BB17" s="132" t="s">
        <v>4974</v>
      </c>
      <c r="BC17" s="133"/>
      <c r="BD17" s="132" t="str">
        <f>IF(OR(B17="",BC17=""),"",COUNTIF(BC$7:BC17,"√"))</f>
        <v/>
      </c>
      <c r="BE17" s="134" t="str">
        <f t="shared" si="1"/>
        <v/>
      </c>
      <c r="BF17" s="135" t="str">
        <f t="shared" si="9"/>
        <v/>
      </c>
      <c r="BG17" s="135" t="str">
        <f t="shared" si="9"/>
        <v/>
      </c>
      <c r="BH17" s="136"/>
      <c r="BI17" s="137"/>
      <c r="BJ17" s="136"/>
      <c r="BK17" s="136"/>
      <c r="BL17" s="136"/>
      <c r="BM17" s="137"/>
      <c r="BN17" s="187">
        <f t="shared" si="10"/>
        <v>125.582477754962</v>
      </c>
      <c r="BO17" s="165" t="s">
        <v>1677</v>
      </c>
      <c r="BQ17" s="134" t="str">
        <f>IF(COUNTIF(BQ$6:BQ16,B17)&gt;0,"",B17)&amp;""</f>
        <v/>
      </c>
      <c r="BR17" s="138">
        <f t="shared" si="11"/>
        <v>0</v>
      </c>
      <c r="BS17" s="132">
        <f t="shared" si="12"/>
        <v>1</v>
      </c>
      <c r="BT17" s="138">
        <f t="shared" si="13"/>
        <v>0</v>
      </c>
      <c r="BU17" s="132">
        <f t="shared" si="14"/>
        <v>1</v>
      </c>
      <c r="BV17" s="133"/>
      <c r="BW17" s="133"/>
    </row>
    <row r="18" ht="15" customHeight="1" spans="1:76">
      <c r="A18" s="123" t="str">
        <f>IF(B18="","",COUNT(A$6:A17)+1)</f>
        <v/>
      </c>
      <c r="B18" s="139"/>
      <c r="C18" s="140"/>
      <c r="D18" s="142"/>
      <c r="E18" s="127" t="str">
        <f>IFERROR(VLOOKUP(D18,参数表!$H$2:$I$50,2,FALSE),"")</f>
        <v/>
      </c>
      <c r="F18" s="128" t="str">
        <f t="shared" si="3"/>
        <v/>
      </c>
      <c r="G18" s="128" t="str">
        <f t="shared" si="4"/>
        <v/>
      </c>
      <c r="H18" s="143"/>
      <c r="I18" s="141"/>
      <c r="J18" s="143"/>
      <c r="K18" s="144"/>
      <c r="L18" s="129" t="str">
        <f t="shared" si="5"/>
        <v/>
      </c>
      <c r="M18" s="214" t="str">
        <f t="shared" si="6"/>
        <v/>
      </c>
      <c r="N18" s="353" t="str">
        <f t="shared" si="0"/>
        <v/>
      </c>
      <c r="O18" s="129" t="str">
        <f t="shared" si="7"/>
        <v/>
      </c>
      <c r="P18" s="129" t="str">
        <f t="shared" si="8"/>
        <v/>
      </c>
      <c r="Q18" s="178"/>
      <c r="BA18" s="78"/>
      <c r="BB18" s="132" t="s">
        <v>4975</v>
      </c>
      <c r="BC18" s="133"/>
      <c r="BD18" s="132" t="str">
        <f>IF(OR(B18="",BC18=""),"",COUNTIF(BC$7:BC18,"√"))</f>
        <v/>
      </c>
      <c r="BE18" s="134" t="str">
        <f t="shared" si="1"/>
        <v/>
      </c>
      <c r="BF18" s="135" t="str">
        <f t="shared" si="9"/>
        <v/>
      </c>
      <c r="BG18" s="135" t="str">
        <f t="shared" si="9"/>
        <v/>
      </c>
      <c r="BH18" s="136"/>
      <c r="BI18" s="137"/>
      <c r="BJ18" s="136"/>
      <c r="BK18" s="136"/>
      <c r="BL18" s="136"/>
      <c r="BM18" s="137"/>
      <c r="BN18" s="187">
        <f t="shared" si="10"/>
        <v>125.582477754962</v>
      </c>
      <c r="BO18" s="165" t="s">
        <v>1677</v>
      </c>
      <c r="BQ18" s="134" t="str">
        <f>IF(COUNTIF(BQ$6:BQ17,B18)&gt;0,"",B18)&amp;""</f>
        <v/>
      </c>
      <c r="BR18" s="138">
        <f t="shared" si="11"/>
        <v>0</v>
      </c>
      <c r="BS18" s="132">
        <f t="shared" si="12"/>
        <v>1</v>
      </c>
      <c r="BT18" s="138">
        <f t="shared" si="13"/>
        <v>0</v>
      </c>
      <c r="BU18" s="132">
        <f t="shared" si="14"/>
        <v>1</v>
      </c>
      <c r="BV18" s="133"/>
      <c r="BW18" s="133"/>
    </row>
    <row r="19" ht="15" customHeight="1" spans="1:76">
      <c r="A19" s="123" t="str">
        <f>IF(B19="","",COUNT(A$6:A18)+1)</f>
        <v/>
      </c>
      <c r="B19" s="139"/>
      <c r="C19" s="140"/>
      <c r="D19" s="142"/>
      <c r="E19" s="127" t="str">
        <f>IFERROR(VLOOKUP(D19,参数表!$H$2:$I$50,2,FALSE),"")</f>
        <v/>
      </c>
      <c r="F19" s="128" t="str">
        <f t="shared" si="3"/>
        <v/>
      </c>
      <c r="G19" s="128" t="str">
        <f t="shared" si="4"/>
        <v/>
      </c>
      <c r="H19" s="143"/>
      <c r="I19" s="141"/>
      <c r="J19" s="143"/>
      <c r="K19" s="144"/>
      <c r="L19" s="129" t="str">
        <f t="shared" si="5"/>
        <v/>
      </c>
      <c r="M19" s="214" t="str">
        <f t="shared" si="6"/>
        <v/>
      </c>
      <c r="N19" s="353" t="str">
        <f t="shared" si="0"/>
        <v/>
      </c>
      <c r="O19" s="129" t="str">
        <f t="shared" si="7"/>
        <v/>
      </c>
      <c r="P19" s="129" t="str">
        <f t="shared" si="8"/>
        <v/>
      </c>
      <c r="Q19" s="178"/>
      <c r="BA19" s="78"/>
      <c r="BB19" s="132" t="s">
        <v>4976</v>
      </c>
      <c r="BC19" s="133"/>
      <c r="BD19" s="132" t="str">
        <f>IF(OR(B19="",BC19=""),"",COUNTIF(BC$7:BC19,"√"))</f>
        <v/>
      </c>
      <c r="BE19" s="134" t="str">
        <f t="shared" si="1"/>
        <v/>
      </c>
      <c r="BF19" s="135" t="str">
        <f t="shared" si="9"/>
        <v/>
      </c>
      <c r="BG19" s="135" t="str">
        <f t="shared" si="9"/>
        <v/>
      </c>
      <c r="BH19" s="136"/>
      <c r="BI19" s="137"/>
      <c r="BJ19" s="136"/>
      <c r="BK19" s="136"/>
      <c r="BL19" s="136"/>
      <c r="BM19" s="137"/>
      <c r="BN19" s="187">
        <f t="shared" si="10"/>
        <v>125.582477754962</v>
      </c>
      <c r="BO19" s="165" t="s">
        <v>1677</v>
      </c>
      <c r="BQ19" s="134" t="str">
        <f>IF(COUNTIF(BQ$6:BQ18,B19)&gt;0,"",B19)&amp;""</f>
        <v/>
      </c>
      <c r="BR19" s="138">
        <f t="shared" si="11"/>
        <v>0</v>
      </c>
      <c r="BS19" s="132">
        <f t="shared" si="12"/>
        <v>1</v>
      </c>
      <c r="BT19" s="138">
        <f t="shared" si="13"/>
        <v>0</v>
      </c>
      <c r="BU19" s="132">
        <f t="shared" si="14"/>
        <v>1</v>
      </c>
      <c r="BV19" s="133"/>
      <c r="BW19" s="133"/>
    </row>
    <row r="20" ht="15" customHeight="1" spans="1:76">
      <c r="A20" s="123" t="str">
        <f>IF(B20="","",COUNT(A$6:A19)+1)</f>
        <v/>
      </c>
      <c r="B20" s="139"/>
      <c r="C20" s="140"/>
      <c r="D20" s="142"/>
      <c r="E20" s="127" t="str">
        <f>IFERROR(VLOOKUP(D20,参数表!$H$2:$I$50,2,FALSE),"")</f>
        <v/>
      </c>
      <c r="F20" s="128" t="str">
        <f t="shared" si="3"/>
        <v/>
      </c>
      <c r="G20" s="128" t="str">
        <f t="shared" si="4"/>
        <v/>
      </c>
      <c r="H20" s="143"/>
      <c r="I20" s="141"/>
      <c r="J20" s="143"/>
      <c r="K20" s="144"/>
      <c r="L20" s="129" t="str">
        <f t="shared" si="5"/>
        <v/>
      </c>
      <c r="M20" s="214" t="str">
        <f t="shared" si="6"/>
        <v/>
      </c>
      <c r="N20" s="353" t="str">
        <f t="shared" si="0"/>
        <v/>
      </c>
      <c r="O20" s="129" t="str">
        <f t="shared" si="7"/>
        <v/>
      </c>
      <c r="P20" s="129" t="str">
        <f t="shared" si="8"/>
        <v/>
      </c>
      <c r="Q20" s="178"/>
      <c r="BA20" s="78"/>
      <c r="BB20" s="132" t="s">
        <v>4977</v>
      </c>
      <c r="BC20" s="133"/>
      <c r="BD20" s="132" t="str">
        <f>IF(OR(B20="",BC20=""),"",COUNTIF(BC$7:BC20,"√"))</f>
        <v/>
      </c>
      <c r="BE20" s="134" t="str">
        <f t="shared" si="1"/>
        <v/>
      </c>
      <c r="BF20" s="135" t="str">
        <f t="shared" si="9"/>
        <v/>
      </c>
      <c r="BG20" s="135" t="str">
        <f t="shared" si="9"/>
        <v/>
      </c>
      <c r="BH20" s="136"/>
      <c r="BI20" s="137"/>
      <c r="BJ20" s="136"/>
      <c r="BK20" s="136"/>
      <c r="BL20" s="136"/>
      <c r="BM20" s="137"/>
      <c r="BN20" s="187">
        <f t="shared" si="10"/>
        <v>125.582477754962</v>
      </c>
      <c r="BO20" s="165" t="s">
        <v>1677</v>
      </c>
      <c r="BQ20" s="134" t="str">
        <f>IF(COUNTIF(BQ$6:BQ19,B20)&gt;0,"",B20)&amp;""</f>
        <v/>
      </c>
      <c r="BR20" s="138">
        <f t="shared" si="11"/>
        <v>0</v>
      </c>
      <c r="BS20" s="132">
        <f t="shared" si="12"/>
        <v>1</v>
      </c>
      <c r="BT20" s="138">
        <f t="shared" si="13"/>
        <v>0</v>
      </c>
      <c r="BU20" s="132">
        <f t="shared" si="14"/>
        <v>1</v>
      </c>
      <c r="BV20" s="133"/>
      <c r="BW20" s="133"/>
    </row>
    <row r="21" ht="15" customHeight="1" spans="1:76">
      <c r="A21" s="123" t="str">
        <f>IF(B21="","",COUNT(A$6:A20)+1)</f>
        <v/>
      </c>
      <c r="B21" s="139"/>
      <c r="C21" s="140"/>
      <c r="D21" s="142"/>
      <c r="E21" s="127" t="str">
        <f>IFERROR(VLOOKUP(D21,参数表!$H$2:$I$50,2,FALSE),"")</f>
        <v/>
      </c>
      <c r="F21" s="128" t="str">
        <f t="shared" si="3"/>
        <v/>
      </c>
      <c r="G21" s="128" t="str">
        <f t="shared" si="4"/>
        <v/>
      </c>
      <c r="H21" s="143"/>
      <c r="I21" s="141"/>
      <c r="J21" s="143"/>
      <c r="K21" s="144"/>
      <c r="L21" s="129" t="str">
        <f t="shared" si="5"/>
        <v/>
      </c>
      <c r="M21" s="214" t="str">
        <f t="shared" si="6"/>
        <v/>
      </c>
      <c r="N21" s="353" t="str">
        <f t="shared" si="0"/>
        <v/>
      </c>
      <c r="O21" s="129" t="str">
        <f t="shared" si="7"/>
        <v/>
      </c>
      <c r="P21" s="129" t="str">
        <f t="shared" si="8"/>
        <v/>
      </c>
      <c r="Q21" s="178"/>
      <c r="BA21" s="78"/>
      <c r="BB21" s="132" t="s">
        <v>4978</v>
      </c>
      <c r="BC21" s="133"/>
      <c r="BD21" s="132" t="str">
        <f>IF(OR(B21="",BC21=""),"",COUNTIF(BC$7:BC21,"√"))</f>
        <v/>
      </c>
      <c r="BE21" s="134" t="str">
        <f t="shared" si="1"/>
        <v/>
      </c>
      <c r="BF21" s="135" t="str">
        <f t="shared" si="9"/>
        <v/>
      </c>
      <c r="BG21" s="135" t="str">
        <f t="shared" si="9"/>
        <v/>
      </c>
      <c r="BH21" s="136"/>
      <c r="BI21" s="137"/>
      <c r="BJ21" s="136"/>
      <c r="BK21" s="136"/>
      <c r="BL21" s="136"/>
      <c r="BM21" s="137"/>
      <c r="BN21" s="187">
        <f t="shared" si="10"/>
        <v>125.582477754962</v>
      </c>
      <c r="BO21" s="165" t="s">
        <v>1677</v>
      </c>
      <c r="BQ21" s="134" t="str">
        <f>IF(COUNTIF(BQ$6:BQ20,B21)&gt;0,"",B21)&amp;""</f>
        <v/>
      </c>
      <c r="BR21" s="138">
        <f t="shared" si="11"/>
        <v>0</v>
      </c>
      <c r="BS21" s="132">
        <f t="shared" si="12"/>
        <v>1</v>
      </c>
      <c r="BT21" s="138">
        <f t="shared" si="13"/>
        <v>0</v>
      </c>
      <c r="BU21" s="132">
        <f t="shared" si="14"/>
        <v>1</v>
      </c>
      <c r="BV21" s="133"/>
      <c r="BW21" s="133"/>
    </row>
    <row r="22" ht="15" customHeight="1" spans="1:76">
      <c r="A22" s="123" t="str">
        <f>IF(B22="","",COUNT(A$6:A21)+1)</f>
        <v/>
      </c>
      <c r="B22" s="139"/>
      <c r="C22" s="140"/>
      <c r="D22" s="142"/>
      <c r="E22" s="127" t="str">
        <f>IFERROR(VLOOKUP(D22,参数表!$H$2:$I$50,2,FALSE),"")</f>
        <v/>
      </c>
      <c r="F22" s="128" t="str">
        <f t="shared" si="3"/>
        <v/>
      </c>
      <c r="G22" s="128" t="str">
        <f t="shared" si="4"/>
        <v/>
      </c>
      <c r="H22" s="143"/>
      <c r="I22" s="141"/>
      <c r="J22" s="143"/>
      <c r="K22" s="144"/>
      <c r="L22" s="129" t="str">
        <f t="shared" si="5"/>
        <v/>
      </c>
      <c r="M22" s="214" t="str">
        <f t="shared" si="6"/>
        <v/>
      </c>
      <c r="N22" s="353" t="str">
        <f t="shared" si="0"/>
        <v/>
      </c>
      <c r="O22" s="129" t="str">
        <f t="shared" si="7"/>
        <v/>
      </c>
      <c r="P22" s="129" t="str">
        <f t="shared" si="8"/>
        <v/>
      </c>
      <c r="Q22" s="178"/>
      <c r="BA22" s="78"/>
      <c r="BB22" s="132" t="s">
        <v>4979</v>
      </c>
      <c r="BC22" s="133"/>
      <c r="BD22" s="132" t="str">
        <f>IF(OR(B22="",BC22=""),"",COUNTIF(BC$7:BC22,"√"))</f>
        <v/>
      </c>
      <c r="BE22" s="134" t="str">
        <f t="shared" si="1"/>
        <v/>
      </c>
      <c r="BF22" s="135" t="str">
        <f t="shared" si="9"/>
        <v/>
      </c>
      <c r="BG22" s="135" t="str">
        <f t="shared" si="9"/>
        <v/>
      </c>
      <c r="BH22" s="136"/>
      <c r="BI22" s="137"/>
      <c r="BJ22" s="136"/>
      <c r="BK22" s="136"/>
      <c r="BL22" s="136"/>
      <c r="BM22" s="137"/>
      <c r="BN22" s="187">
        <f t="shared" si="10"/>
        <v>125.582477754962</v>
      </c>
      <c r="BO22" s="165" t="s">
        <v>1677</v>
      </c>
      <c r="BQ22" s="134" t="str">
        <f>IF(COUNTIF(BQ$6:BQ21,B22)&gt;0,"",B22)&amp;""</f>
        <v/>
      </c>
      <c r="BR22" s="138">
        <f t="shared" si="11"/>
        <v>0</v>
      </c>
      <c r="BS22" s="132">
        <f t="shared" si="12"/>
        <v>1</v>
      </c>
      <c r="BT22" s="138">
        <f t="shared" si="13"/>
        <v>0</v>
      </c>
      <c r="BU22" s="132">
        <f t="shared" si="14"/>
        <v>1</v>
      </c>
      <c r="BV22" s="133"/>
      <c r="BW22" s="133"/>
    </row>
    <row r="23" ht="15" customHeight="1" spans="1:76">
      <c r="A23" s="123" t="str">
        <f>IF(B23="","",COUNT(A$6:A22)+1)</f>
        <v/>
      </c>
      <c r="B23" s="139"/>
      <c r="C23" s="140"/>
      <c r="D23" s="142"/>
      <c r="E23" s="127" t="str">
        <f>IFERROR(VLOOKUP(D23,参数表!$H$2:$I$50,2,FALSE),"")</f>
        <v/>
      </c>
      <c r="F23" s="128" t="str">
        <f t="shared" si="3"/>
        <v/>
      </c>
      <c r="G23" s="128" t="str">
        <f t="shared" si="4"/>
        <v/>
      </c>
      <c r="H23" s="143"/>
      <c r="I23" s="141"/>
      <c r="J23" s="143"/>
      <c r="K23" s="144"/>
      <c r="L23" s="129" t="str">
        <f t="shared" si="5"/>
        <v/>
      </c>
      <c r="M23" s="214" t="str">
        <f t="shared" si="6"/>
        <v/>
      </c>
      <c r="N23" s="353" t="str">
        <f t="shared" si="0"/>
        <v/>
      </c>
      <c r="O23" s="129" t="str">
        <f t="shared" si="7"/>
        <v/>
      </c>
      <c r="P23" s="129" t="str">
        <f t="shared" si="8"/>
        <v/>
      </c>
      <c r="Q23" s="178"/>
      <c r="BA23" s="78"/>
      <c r="BB23" s="132" t="s">
        <v>4980</v>
      </c>
      <c r="BC23" s="133"/>
      <c r="BD23" s="132" t="str">
        <f>IF(OR(B23="",BC23=""),"",COUNTIF(BC$7:BC23,"√"))</f>
        <v/>
      </c>
      <c r="BE23" s="134" t="str">
        <f t="shared" si="1"/>
        <v/>
      </c>
      <c r="BF23" s="135" t="str">
        <f t="shared" si="9"/>
        <v/>
      </c>
      <c r="BG23" s="135" t="str">
        <f t="shared" si="9"/>
        <v/>
      </c>
      <c r="BH23" s="136"/>
      <c r="BI23" s="137"/>
      <c r="BJ23" s="136"/>
      <c r="BK23" s="136"/>
      <c r="BL23" s="136"/>
      <c r="BM23" s="137"/>
      <c r="BN23" s="187">
        <f t="shared" si="10"/>
        <v>125.582477754962</v>
      </c>
      <c r="BO23" s="165" t="s">
        <v>1677</v>
      </c>
      <c r="BQ23" s="134" t="str">
        <f>IF(COUNTIF(BQ$6:BQ22,B23)&gt;0,"",B23)&amp;""</f>
        <v/>
      </c>
      <c r="BR23" s="138">
        <f t="shared" si="11"/>
        <v>0</v>
      </c>
      <c r="BS23" s="132">
        <f t="shared" si="12"/>
        <v>1</v>
      </c>
      <c r="BT23" s="138">
        <f t="shared" si="13"/>
        <v>0</v>
      </c>
      <c r="BU23" s="132">
        <f t="shared" si="14"/>
        <v>1</v>
      </c>
      <c r="BV23" s="133"/>
      <c r="BW23" s="133"/>
    </row>
    <row r="24" ht="15" customHeight="1" spans="1:76">
      <c r="A24" s="123" t="str">
        <f>IF(B24="","",COUNT(A$6:A23)+1)</f>
        <v/>
      </c>
      <c r="B24" s="139"/>
      <c r="C24" s="140"/>
      <c r="D24" s="142"/>
      <c r="E24" s="127" t="str">
        <f>IFERROR(VLOOKUP(D24,参数表!$H$2:$I$50,2,FALSE),"")</f>
        <v/>
      </c>
      <c r="F24" s="128" t="str">
        <f t="shared" si="3"/>
        <v/>
      </c>
      <c r="G24" s="128" t="str">
        <f t="shared" si="4"/>
        <v/>
      </c>
      <c r="H24" s="143"/>
      <c r="I24" s="141"/>
      <c r="J24" s="143"/>
      <c r="K24" s="144"/>
      <c r="L24" s="129" t="str">
        <f t="shared" si="5"/>
        <v/>
      </c>
      <c r="M24" s="214" t="str">
        <f t="shared" si="6"/>
        <v/>
      </c>
      <c r="N24" s="353" t="str">
        <f t="shared" si="0"/>
        <v/>
      </c>
      <c r="O24" s="129" t="str">
        <f t="shared" si="7"/>
        <v/>
      </c>
      <c r="P24" s="129" t="str">
        <f t="shared" si="8"/>
        <v/>
      </c>
      <c r="Q24" s="178"/>
      <c r="BA24" s="78"/>
      <c r="BB24" s="132" t="s">
        <v>4981</v>
      </c>
      <c r="BC24" s="133"/>
      <c r="BD24" s="132" t="str">
        <f>IF(OR(B24="",BC24=""),"",COUNTIF(BC$7:BC24,"√"))</f>
        <v/>
      </c>
      <c r="BE24" s="134" t="str">
        <f t="shared" si="1"/>
        <v/>
      </c>
      <c r="BF24" s="135" t="str">
        <f t="shared" si="9"/>
        <v/>
      </c>
      <c r="BG24" s="135" t="str">
        <f t="shared" si="9"/>
        <v/>
      </c>
      <c r="BH24" s="136"/>
      <c r="BI24" s="137"/>
      <c r="BJ24" s="136"/>
      <c r="BK24" s="136"/>
      <c r="BL24" s="136"/>
      <c r="BM24" s="137"/>
      <c r="BN24" s="187">
        <f t="shared" si="10"/>
        <v>125.582477754962</v>
      </c>
      <c r="BO24" s="165" t="s">
        <v>1677</v>
      </c>
      <c r="BQ24" s="134" t="str">
        <f>IF(COUNTIF(BQ$6:BQ23,B24)&gt;0,"",B24)&amp;""</f>
        <v/>
      </c>
      <c r="BR24" s="138">
        <f t="shared" si="11"/>
        <v>0</v>
      </c>
      <c r="BS24" s="132">
        <f t="shared" si="12"/>
        <v>1</v>
      </c>
      <c r="BT24" s="138">
        <f t="shared" si="13"/>
        <v>0</v>
      </c>
      <c r="BU24" s="132">
        <f t="shared" si="14"/>
        <v>1</v>
      </c>
      <c r="BV24" s="133"/>
      <c r="BW24" s="133"/>
    </row>
    <row r="25" ht="15" customHeight="1" spans="1:76">
      <c r="A25" s="123" t="str">
        <f>IF(B25="","",COUNT(A$6:A24)+1)</f>
        <v/>
      </c>
      <c r="B25" s="139"/>
      <c r="C25" s="140"/>
      <c r="D25" s="142"/>
      <c r="E25" s="127" t="str">
        <f>IFERROR(VLOOKUP(D25,参数表!$H$2:$I$50,2,FALSE),"")</f>
        <v/>
      </c>
      <c r="F25" s="128" t="str">
        <f t="shared" si="3"/>
        <v/>
      </c>
      <c r="G25" s="128" t="str">
        <f t="shared" si="4"/>
        <v/>
      </c>
      <c r="H25" s="143"/>
      <c r="I25" s="141"/>
      <c r="J25" s="143"/>
      <c r="K25" s="144"/>
      <c r="L25" s="129" t="str">
        <f t="shared" si="5"/>
        <v/>
      </c>
      <c r="M25" s="214" t="str">
        <f t="shared" si="6"/>
        <v/>
      </c>
      <c r="N25" s="353" t="str">
        <f t="shared" si="0"/>
        <v/>
      </c>
      <c r="O25" s="129" t="str">
        <f t="shared" si="7"/>
        <v/>
      </c>
      <c r="P25" s="129" t="str">
        <f t="shared" si="8"/>
        <v/>
      </c>
      <c r="Q25" s="178"/>
      <c r="BA25" s="78"/>
      <c r="BB25" s="132" t="s">
        <v>4982</v>
      </c>
      <c r="BC25" s="133"/>
      <c r="BD25" s="132" t="str">
        <f>IF(OR(B25="",BC25=""),"",COUNTIF(BC$7:BC25,"√"))</f>
        <v/>
      </c>
      <c r="BE25" s="134" t="str">
        <f t="shared" si="1"/>
        <v/>
      </c>
      <c r="BF25" s="135" t="str">
        <f t="shared" si="9"/>
        <v/>
      </c>
      <c r="BG25" s="135" t="str">
        <f t="shared" si="9"/>
        <v/>
      </c>
      <c r="BH25" s="136"/>
      <c r="BI25" s="137"/>
      <c r="BJ25" s="136"/>
      <c r="BK25" s="136"/>
      <c r="BL25" s="136"/>
      <c r="BM25" s="137"/>
      <c r="BN25" s="187">
        <f t="shared" si="10"/>
        <v>125.582477754962</v>
      </c>
      <c r="BO25" s="165" t="s">
        <v>1677</v>
      </c>
      <c r="BQ25" s="134" t="str">
        <f>IF(COUNTIF(BQ$6:BQ24,B25)&gt;0,"",B25)&amp;""</f>
        <v/>
      </c>
      <c r="BR25" s="138">
        <f t="shared" si="11"/>
        <v>0</v>
      </c>
      <c r="BS25" s="132">
        <f t="shared" si="12"/>
        <v>1</v>
      </c>
      <c r="BT25" s="138">
        <f t="shared" si="13"/>
        <v>0</v>
      </c>
      <c r="BU25" s="132">
        <f t="shared" si="14"/>
        <v>1</v>
      </c>
      <c r="BV25" s="133"/>
      <c r="BW25" s="133"/>
    </row>
    <row r="26" ht="15" customHeight="1" spans="1:76">
      <c r="A26" s="123" t="str">
        <f>IF(B26="","",COUNT(A$6:A25)+1)</f>
        <v/>
      </c>
      <c r="B26" s="124"/>
      <c r="C26" s="125"/>
      <c r="D26" s="127"/>
      <c r="E26" s="127" t="str">
        <f>IFERROR(VLOOKUP(D26,参数表!$H$2:$I$50,2,FALSE),"")</f>
        <v/>
      </c>
      <c r="F26" s="128" t="str">
        <f t="shared" si="3"/>
        <v/>
      </c>
      <c r="G26" s="128" t="str">
        <f t="shared" si="4"/>
        <v/>
      </c>
      <c r="H26" s="129"/>
      <c r="I26" s="126"/>
      <c r="J26" s="129"/>
      <c r="K26" s="130"/>
      <c r="L26" s="129" t="str">
        <f t="shared" si="5"/>
        <v/>
      </c>
      <c r="M26" s="214" t="str">
        <f t="shared" si="6"/>
        <v/>
      </c>
      <c r="N26" s="353" t="str">
        <f t="shared" si="0"/>
        <v/>
      </c>
      <c r="O26" s="129" t="str">
        <f t="shared" si="7"/>
        <v/>
      </c>
      <c r="P26" s="129" t="str">
        <f t="shared" si="8"/>
        <v/>
      </c>
      <c r="Q26" s="174"/>
      <c r="BA26" s="78"/>
      <c r="BB26" s="132" t="s">
        <v>4983</v>
      </c>
      <c r="BC26" s="133"/>
      <c r="BD26" s="132" t="str">
        <f>IF(OR(B26="",BC26=""),"",COUNTIF(BC$7:BC26,"√"))</f>
        <v/>
      </c>
      <c r="BE26" s="134" t="str">
        <f t="shared" si="1"/>
        <v/>
      </c>
      <c r="BF26" s="135" t="str">
        <f t="shared" si="9"/>
        <v/>
      </c>
      <c r="BG26" s="135" t="str">
        <f t="shared" si="9"/>
        <v/>
      </c>
      <c r="BH26" s="136"/>
      <c r="BI26" s="137"/>
      <c r="BJ26" s="136"/>
      <c r="BK26" s="136"/>
      <c r="BL26" s="136"/>
      <c r="BM26" s="137"/>
      <c r="BN26" s="187">
        <f t="shared" si="10"/>
        <v>125.582477754962</v>
      </c>
      <c r="BO26" s="165" t="s">
        <v>1677</v>
      </c>
      <c r="BQ26" s="134" t="str">
        <f>IF(COUNTIF(BQ$6:BQ25,B26)&gt;0,"",B26)&amp;""</f>
        <v/>
      </c>
      <c r="BR26" s="138">
        <f t="shared" si="11"/>
        <v>0</v>
      </c>
      <c r="BS26" s="132">
        <f t="shared" si="12"/>
        <v>1</v>
      </c>
      <c r="BT26" s="138">
        <f t="shared" si="13"/>
        <v>0</v>
      </c>
      <c r="BU26" s="132">
        <f t="shared" si="14"/>
        <v>1</v>
      </c>
      <c r="BV26" s="133"/>
      <c r="BW26" s="133"/>
    </row>
    <row r="27" s="73" customFormat="1" ht="15" customHeight="1" spans="1:76">
      <c r="A27" s="149" t="s">
        <v>4984</v>
      </c>
      <c r="B27" s="149"/>
      <c r="C27" s="150"/>
      <c r="D27" s="354"/>
      <c r="E27" s="354"/>
      <c r="F27" s="354"/>
      <c r="G27" s="354"/>
      <c r="H27" s="152">
        <f>SUM(H7:H26)</f>
        <v>0</v>
      </c>
      <c r="I27" s="149"/>
      <c r="J27" s="152">
        <f>SUM(J7:J26)</f>
        <v>0</v>
      </c>
      <c r="K27" s="153"/>
      <c r="L27" s="152">
        <f>SUM(L7:L26)</f>
        <v>0</v>
      </c>
      <c r="M27" s="222"/>
      <c r="N27" s="152">
        <f>SUM(N7:N26)</f>
        <v>0</v>
      </c>
      <c r="O27" s="152">
        <f t="shared" si="7"/>
        <v>0</v>
      </c>
      <c r="P27" s="152" t="str">
        <f t="shared" si="8"/>
        <v/>
      </c>
      <c r="Q27" s="180"/>
      <c r="BF27" s="75"/>
      <c r="BG27" s="75"/>
      <c r="BH27" s="165"/>
      <c r="BI27" s="75"/>
      <c r="BJ27" s="165"/>
      <c r="BK27" s="165"/>
      <c r="BL27" s="165"/>
      <c r="BM27" s="75"/>
      <c r="BP27" s="111"/>
      <c r="BQ27" s="119"/>
      <c r="BR27" s="77"/>
      <c r="BS27" s="77"/>
      <c r="BT27" s="77"/>
      <c r="BU27" s="119"/>
      <c r="BV27" s="119"/>
      <c r="BW27" s="119"/>
      <c r="BX27" s="111"/>
    </row>
    <row r="28" customHeight="1" spans="1:76">
      <c r="A28" s="102" t="str">
        <f>参数表!F$6</f>
        <v>产权持有单位填表人：贾广东</v>
      </c>
      <c r="B28" s="154"/>
      <c r="C28" s="154"/>
      <c r="D28" s="154"/>
      <c r="E28" s="154"/>
      <c r="F28" s="154"/>
      <c r="G28" s="154"/>
      <c r="H28" s="154"/>
      <c r="I28" s="154"/>
      <c r="J28" s="154"/>
      <c r="K28" s="104"/>
      <c r="L28" s="103"/>
      <c r="M28" s="103"/>
      <c r="N28" s="103" t="str">
        <f>"评估人员："&amp;封面!$G$36</f>
        <v>评估人员：</v>
      </c>
      <c r="O28" s="103"/>
      <c r="P28" s="103"/>
      <c r="Q28" s="103"/>
    </row>
    <row r="29" customHeight="1" spans="1:76">
      <c r="A29" s="102" t="str">
        <f>参数表!F$7</f>
        <v>填表日期：2025年9月20日</v>
      </c>
      <c r="B29" s="154"/>
      <c r="C29" s="154"/>
      <c r="D29" s="154"/>
      <c r="E29" s="154"/>
      <c r="F29" s="154"/>
      <c r="G29" s="154"/>
      <c r="H29" s="154"/>
      <c r="I29" s="154"/>
      <c r="J29" s="154"/>
      <c r="K29" s="104"/>
      <c r="L29" s="103"/>
      <c r="M29" s="103"/>
      <c r="N29" s="103"/>
      <c r="O29" s="103"/>
      <c r="P29" s="103"/>
      <c r="Q29" s="103"/>
    </row>
    <row r="30" hidden="1" customHeight="1" outlineLevel="1" spans="1:76">
      <c r="A30" s="157"/>
      <c r="B30" s="154" t="s">
        <v>1673</v>
      </c>
      <c r="C30" s="158"/>
      <c r="D30" s="103"/>
      <c r="E30" s="103"/>
      <c r="F30" s="103"/>
      <c r="G30" s="103"/>
      <c r="H30" s="159">
        <f>SUMIF($BA7:$BA26,$BA30,H7:H26)</f>
        <v>0</v>
      </c>
      <c r="I30" s="355"/>
      <c r="J30" s="159">
        <f>SUMIF($BA7:$BA26,$BA30,J7:J26)</f>
        <v>0</v>
      </c>
      <c r="K30" s="202"/>
      <c r="L30" s="159">
        <f>SUMIF($BA7:$BA26,$BA30,L7:L26)</f>
        <v>0</v>
      </c>
      <c r="M30" s="176"/>
      <c r="N30" s="159">
        <f>SUMIF($BA7:$BA26,$BA30,N7:N26)</f>
        <v>0</v>
      </c>
      <c r="BA30" s="161" t="s">
        <v>1674</v>
      </c>
      <c r="BH30" s="95" t="s">
        <v>1675</v>
      </c>
      <c r="BJ30" s="95" t="s">
        <v>1675</v>
      </c>
      <c r="BK30" s="95" t="s">
        <v>1675</v>
      </c>
      <c r="BL30" s="95" t="s">
        <v>1675</v>
      </c>
    </row>
    <row r="31" hidden="1" customHeight="1" outlineLevel="1" spans="1:76">
      <c r="A31" s="157"/>
      <c r="B31" s="154" t="s">
        <v>1676</v>
      </c>
      <c r="C31" s="158"/>
      <c r="D31" s="103"/>
      <c r="E31" s="103"/>
      <c r="F31" s="103"/>
      <c r="G31" s="103"/>
      <c r="H31" s="159">
        <f>H27-H30</f>
        <v>0</v>
      </c>
      <c r="I31" s="355"/>
      <c r="J31" s="159">
        <f>J27-J30</f>
        <v>0</v>
      </c>
      <c r="K31" s="202"/>
      <c r="L31" s="159">
        <f>L27-L30</f>
        <v>0</v>
      </c>
      <c r="M31" s="176"/>
      <c r="N31" s="159">
        <f>N27-N30</f>
        <v>0</v>
      </c>
      <c r="BA31" s="161" t="s">
        <v>1677</v>
      </c>
      <c r="BH31" s="95" t="s">
        <v>1678</v>
      </c>
      <c r="BJ31" s="95" t="s">
        <v>1678</v>
      </c>
      <c r="BK31" s="95" t="s">
        <v>1678</v>
      </c>
      <c r="BL31" s="95" t="s">
        <v>1678</v>
      </c>
    </row>
    <row r="32" customHeight="1" collapsed="1" spans="1:76">
      <c r="A32" s="157"/>
      <c r="B32" s="158"/>
      <c r="C32" s="158"/>
      <c r="H32" s="158"/>
      <c r="I32" s="158"/>
      <c r="J32" s="158"/>
    </row>
    <row r="33" customHeight="1" spans="1:10">
      <c r="A33" s="157"/>
      <c r="B33" s="158"/>
      <c r="C33" s="158"/>
      <c r="H33" s="158"/>
      <c r="I33" s="158"/>
      <c r="J33" s="158"/>
    </row>
    <row r="34" customHeight="1" spans="1:10">
      <c r="A34" s="157"/>
      <c r="B34" s="158"/>
      <c r="C34" s="158"/>
      <c r="H34" s="158"/>
      <c r="I34" s="158"/>
      <c r="J34" s="158"/>
    </row>
    <row r="35" customHeight="1" spans="1:10">
      <c r="A35" s="157"/>
      <c r="B35" s="158"/>
      <c r="C35" s="158"/>
      <c r="H35" s="158"/>
      <c r="I35" s="158"/>
      <c r="J35" s="158"/>
    </row>
    <row r="36" customHeight="1" spans="1:10">
      <c r="A36" s="157"/>
      <c r="B36" s="158"/>
      <c r="C36" s="158"/>
      <c r="H36" s="158"/>
      <c r="I36" s="158"/>
      <c r="J36" s="158"/>
    </row>
  </sheetData>
  <sheetProtection autoFilter="0"/>
  <mergeCells count="6">
    <mergeCell ref="A2:Q2"/>
    <mergeCell ref="A3:Q3"/>
    <mergeCell ref="BV7:BX7"/>
    <mergeCell ref="BV8:BX8"/>
    <mergeCell ref="BW14:BX14"/>
    <mergeCell ref="A27:B27"/>
  </mergeCells>
  <conditionalFormatting sqref="BH7:BH26">
    <cfRule type="expression" dxfId="5" priority="10" stopIfTrue="1">
      <formula>AND($B7&lt;&gt;"",BH7="")</formula>
    </cfRule>
  </conditionalFormatting>
  <conditionalFormatting sqref="BI7:BI26">
    <cfRule type="expression" dxfId="5" priority="8" stopIfTrue="1">
      <formula>AND(BH7="有",BI7="")</formula>
    </cfRule>
  </conditionalFormatting>
  <conditionalFormatting sqref="BF7:BG26">
    <cfRule type="containsText" dxfId="6" priority="1" stopIfTrue="1" operator="between" text="出错">
      <formula>NOT(ISERROR(SEARCH("出错",BF7)))</formula>
    </cfRule>
  </conditionalFormatting>
  <conditionalFormatting sqref="BJ7:BL26">
    <cfRule type="expression" dxfId="5" priority="4" stopIfTrue="1">
      <formula>AND($B7&lt;&gt;"",BJ7="")</formula>
    </cfRule>
  </conditionalFormatting>
  <dataValidations count="4">
    <dataValidation type="list" allowBlank="1" showInputMessage="1" showErrorMessage="1" sqref="D7:D26">
      <formula1>OFFSET(参数表!$H$2:$H$50,,,COUNTA(参数表!$H$2:$H$50))</formula1>
    </dataValidation>
    <dataValidation type="list" allowBlank="1" showInputMessage="1" showErrorMessage="1" sqref="BA7:BA26 BA30:BA31 BO7:BO26">
      <formula1>"是,否"</formula1>
    </dataValidation>
    <dataValidation type="list" allowBlank="1" showInputMessage="1" showErrorMessage="1" sqref="BC7:BC26">
      <formula1>"  ,√"</formula1>
    </dataValidation>
    <dataValidation type="list" allowBlank="1" showInputMessage="1" showErrorMessage="1" sqref="BH7:BH26 BJ7:BL26">
      <formula1>BH$30:BH$31</formula1>
    </dataValidation>
  </dataValidations>
  <hyperlinks>
    <hyperlink ref="A1" location="索引目录!D52" display="返回索引页"/>
    <hyperlink ref="B1" location="非流动资产评估汇总!B45"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2"/>
  <dimension ref="A1:CA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2.1" style="75" customWidth="1"/>
    <col min="3" max="3" width="14.6" style="75" customWidth="1"/>
    <col min="4" max="5" width="4.6" style="75" customWidth="1" outlineLevel="1"/>
    <col min="6" max="6" width="6.1" style="75" customWidth="1" outlineLevel="1"/>
    <col min="7" max="7" width="20.6" style="75" customWidth="1" outlineLevel="1"/>
    <col min="8" max="8" width="20.6" style="76" customWidth="1" outlineLevel="1"/>
    <col min="9" max="10" width="20.6" style="75" customWidth="1"/>
    <col min="11" max="12" width="8.6" style="75" customWidth="1"/>
    <col min="13" max="13" width="11.8" style="75" customWidth="1"/>
    <col min="14"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4" width="4.7" style="165" customWidth="1"/>
    <col min="65" max="65" width="8.7" style="75" customWidth="1"/>
    <col min="66" max="66" width="1.6" style="75" customWidth="1"/>
    <col min="67" max="67" width="10.6" style="75" customWidth="1"/>
    <col min="68" max="68" width="11.6" style="75" customWidth="1"/>
    <col min="69" max="69" width="10.6" style="75" customWidth="1"/>
    <col min="70" max="70" width="11.6" style="75" customWidth="1"/>
    <col min="71" max="71" width="1.6" style="77" customWidth="1"/>
    <col min="72" max="72" width="10.6" style="78" customWidth="1"/>
    <col min="73" max="73" width="10.6" style="77" customWidth="1"/>
    <col min="74" max="74" width="4.6" style="78" customWidth="1"/>
    <col min="75" max="75" width="10.6" style="78" customWidth="1"/>
    <col min="76" max="77" width="4.6" style="78" customWidth="1"/>
    <col min="78" max="78" width="10.6" style="78" customWidth="1"/>
    <col min="79" max="79" width="5" style="77" customWidth="1"/>
    <col min="80" max="16384" width="9" style="75"/>
  </cols>
  <sheetData>
    <row r="1" s="86" customFormat="1" ht="13.8" spans="1:79">
      <c r="A1" s="203" t="s">
        <v>1591</v>
      </c>
      <c r="B1" s="204" t="s">
        <v>1592</v>
      </c>
      <c r="C1" s="82"/>
      <c r="D1" s="82"/>
      <c r="E1" s="82"/>
      <c r="F1" s="82"/>
      <c r="G1" s="82"/>
      <c r="H1" s="205"/>
      <c r="I1" s="82"/>
      <c r="J1" s="82"/>
      <c r="K1" s="82"/>
      <c r="L1" s="82"/>
      <c r="M1" s="82"/>
      <c r="BA1" s="84" t="str">
        <f>参数表!BA1</f>
        <v>注意：补充特殊事项、作价等均从BA列开始填写</v>
      </c>
      <c r="BB1" s="85"/>
      <c r="BH1" s="82"/>
      <c r="BJ1" s="82"/>
      <c r="BK1" s="82"/>
      <c r="BL1" s="82"/>
      <c r="BS1" s="87"/>
      <c r="BT1" s="88"/>
      <c r="BU1" s="87"/>
      <c r="BV1" s="88"/>
      <c r="BW1" s="88"/>
      <c r="BX1" s="88"/>
      <c r="BY1" s="88"/>
      <c r="BZ1" s="88"/>
      <c r="CA1" s="87"/>
    </row>
    <row r="2" s="71" customFormat="1" ht="30" customHeight="1" spans="1:79">
      <c r="A2" s="89" t="s">
        <v>4985</v>
      </c>
      <c r="B2" s="170"/>
      <c r="C2" s="170"/>
      <c r="D2" s="170"/>
      <c r="E2" s="170"/>
      <c r="F2" s="170"/>
      <c r="G2" s="170"/>
      <c r="H2" s="170"/>
      <c r="I2" s="170"/>
      <c r="J2" s="170"/>
      <c r="K2" s="170"/>
      <c r="L2" s="170"/>
      <c r="M2" s="170"/>
      <c r="BA2" s="90" t="str">
        <f>参数表!BA2</f>
        <v>评估基准日：</v>
      </c>
      <c r="BB2" s="91" t="str">
        <f>参数表!$BB$2</f>
        <v>2025年7月31日</v>
      </c>
      <c r="BH2" s="171"/>
      <c r="BJ2" s="171"/>
      <c r="BK2" s="171"/>
      <c r="BL2" s="171"/>
      <c r="BS2" s="92"/>
      <c r="BT2" s="93"/>
      <c r="BU2" s="92"/>
      <c r="BV2" s="93"/>
      <c r="BW2" s="93"/>
      <c r="BX2" s="93"/>
      <c r="BY2" s="93"/>
      <c r="BZ2" s="93"/>
      <c r="CA2" s="92"/>
    </row>
    <row r="3" ht="15" customHeight="1" spans="1:79">
      <c r="A3" s="94" t="str">
        <f>参数表!F5</f>
        <v>评估基准日：2025年7月31日</v>
      </c>
      <c r="B3" s="94"/>
      <c r="C3" s="94"/>
      <c r="D3" s="94"/>
      <c r="E3" s="94"/>
      <c r="F3" s="94"/>
      <c r="G3" s="94"/>
      <c r="H3" s="94"/>
      <c r="I3" s="94"/>
      <c r="J3" s="94"/>
      <c r="K3" s="94"/>
      <c r="L3" s="94"/>
      <c r="M3" s="94"/>
      <c r="BA3" s="90" t="str">
        <f>参数表!BA3</f>
        <v>是否显示评估值：</v>
      </c>
      <c r="BB3" s="90" t="str">
        <f>参数表!$BB$3</f>
        <v>是</v>
      </c>
      <c r="BU3" s="78"/>
    </row>
    <row r="4" ht="15" customHeight="1" spans="1:79">
      <c r="A4" s="96"/>
      <c r="B4" s="94"/>
      <c r="C4" s="94"/>
      <c r="D4" s="94"/>
      <c r="E4" s="94"/>
      <c r="F4" s="94"/>
      <c r="G4" s="94"/>
      <c r="H4" s="97"/>
      <c r="I4" s="94"/>
      <c r="J4" s="94"/>
      <c r="K4" s="94"/>
      <c r="L4" s="94"/>
      <c r="M4" s="98" t="str">
        <f>"表"&amp;$BA4</f>
        <v>表4-19</v>
      </c>
      <c r="Q4" s="277"/>
      <c r="BA4" s="274" t="str">
        <f>非流动资总!A25</f>
        <v>4-19</v>
      </c>
      <c r="BB4" s="100">
        <f>MAX(COUNTA(A7:A26),COUNTA(B7:B26),COUNTA(G7:G26),COUNTA(I7:I26))</f>
        <v>20</v>
      </c>
      <c r="BC4" s="101">
        <f>ROW(A6)+1</f>
        <v>7</v>
      </c>
      <c r="BD4" s="77"/>
      <c r="BE4" s="77"/>
      <c r="BU4" s="78"/>
    </row>
    <row r="5" ht="15" customHeight="1" spans="1:79">
      <c r="A5" s="102" t="str">
        <f>参数表!F3</f>
        <v>产权持有单位:中煤第五建设有限公司</v>
      </c>
      <c r="B5" s="103"/>
      <c r="C5" s="103"/>
      <c r="D5" s="103"/>
      <c r="E5" s="103"/>
      <c r="F5" s="103"/>
      <c r="G5" s="103"/>
      <c r="H5" s="104"/>
      <c r="I5" s="103"/>
      <c r="J5" s="103"/>
      <c r="K5" s="103"/>
      <c r="L5" s="103"/>
      <c r="M5" s="98" t="s">
        <v>236</v>
      </c>
      <c r="BA5" s="103"/>
      <c r="BB5" s="105" t="str">
        <f ca="1">判断表!C95</f>
        <v>中煤第五建设有限公司第三工程处拟处置实物资产项目\[0000-3基础法明细表.xlsx]递延资</v>
      </c>
      <c r="BC5" s="106">
        <f>IFERROR(SUMIF(BC7:BC26,"√",I7:I26)/I27,0)</f>
        <v>0</v>
      </c>
      <c r="BD5" s="107"/>
      <c r="BE5" s="107"/>
      <c r="BF5" s="108">
        <f>分类汇总!I41</f>
        <v>0</v>
      </c>
      <c r="BG5" s="108">
        <f>分类汇总!K41</f>
        <v>0</v>
      </c>
      <c r="BH5" s="109"/>
      <c r="BI5" s="109"/>
      <c r="BJ5" s="109"/>
      <c r="BK5" s="109"/>
      <c r="BL5" s="109"/>
      <c r="BM5" s="110"/>
      <c r="BS5" s="111"/>
      <c r="BU5" s="78"/>
      <c r="CA5" s="111"/>
    </row>
    <row r="6" s="72" customFormat="1" ht="25.2" customHeight="1" spans="1:79">
      <c r="A6" s="112" t="s">
        <v>305</v>
      </c>
      <c r="B6" s="113" t="s">
        <v>4915</v>
      </c>
      <c r="C6" s="113" t="s">
        <v>1961</v>
      </c>
      <c r="D6" s="114" t="s">
        <v>1631</v>
      </c>
      <c r="E6" s="115" t="s">
        <v>1632</v>
      </c>
      <c r="F6" s="116" t="s">
        <v>3793</v>
      </c>
      <c r="G6" s="113" t="s">
        <v>1549</v>
      </c>
      <c r="H6" s="117" t="s">
        <v>1634</v>
      </c>
      <c r="I6" s="118" t="s">
        <v>1523</v>
      </c>
      <c r="J6" s="113" t="s">
        <v>1550</v>
      </c>
      <c r="K6" s="118" t="s">
        <v>1525</v>
      </c>
      <c r="L6" s="118" t="s">
        <v>1551</v>
      </c>
      <c r="M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1644</v>
      </c>
      <c r="BO6" s="348" t="s">
        <v>872</v>
      </c>
      <c r="BP6" s="208" t="s">
        <v>4986</v>
      </c>
      <c r="BQ6" s="348" t="s">
        <v>872</v>
      </c>
      <c r="BR6" s="208" t="s">
        <v>4987</v>
      </c>
      <c r="BS6" s="119"/>
      <c r="BT6" s="120" t="s">
        <v>1645</v>
      </c>
      <c r="BU6" s="121" t="s">
        <v>1646</v>
      </c>
      <c r="BV6" s="121" t="s">
        <v>1647</v>
      </c>
      <c r="BW6" s="121" t="s">
        <v>1648</v>
      </c>
      <c r="BX6" s="121" t="s">
        <v>1647</v>
      </c>
      <c r="BY6" s="121" t="s">
        <v>1647</v>
      </c>
      <c r="BZ6" s="121" t="s">
        <v>1649</v>
      </c>
      <c r="CA6" s="122" t="s">
        <v>1650</v>
      </c>
    </row>
    <row r="7" ht="15" customHeight="1" spans="1:79">
      <c r="A7" s="123" t="str">
        <f>IF(B7="","",COUNT(A$6:A6)+1)</f>
        <v/>
      </c>
      <c r="B7" s="124"/>
      <c r="C7" s="125"/>
      <c r="D7" s="127"/>
      <c r="E7" s="127" t="str">
        <f>IFERROR(VLOOKUP(D7,参数表!$H$2:$I$50,2,FALSE),"")</f>
        <v/>
      </c>
      <c r="F7" s="128" t="str">
        <f>IFERROR(IF(OR(D7="人民币",D7=""),"",I7/E7),"")</f>
        <v/>
      </c>
      <c r="G7" s="174"/>
      <c r="H7" s="175"/>
      <c r="I7" s="174" t="str">
        <f>IF(B7="","",G7+H7)</f>
        <v/>
      </c>
      <c r="J7" s="129" t="str">
        <f t="shared" ref="J7:J26" si="0">IF(B7="","",IF($BB$3="是",I7,""))</f>
        <v/>
      </c>
      <c r="K7" s="129" t="str">
        <f t="shared" ref="K7:K27" si="1">IFERROR(J7-I7,"")</f>
        <v/>
      </c>
      <c r="L7" s="129" t="str">
        <f t="shared" ref="L7:L27" si="2">IFERROR(K7/I7*100,"")</f>
        <v/>
      </c>
      <c r="M7" s="131"/>
      <c r="BA7" s="78"/>
      <c r="BB7" s="132" t="s">
        <v>4988</v>
      </c>
      <c r="BC7" s="133"/>
      <c r="BD7" s="132" t="str">
        <f>IF(OR(B7="",BC7=""),"",COUNTIF(BC$7:BC7,"√"))</f>
        <v/>
      </c>
      <c r="BE7" s="134" t="str">
        <f t="shared" ref="BE7:BE26" si="3">IF(BC7="","",BB7&amp;"︱"&amp;B7&amp;"︱"&amp;TEXT(G7,"#,##0.00"))</f>
        <v/>
      </c>
      <c r="BF7" s="135" t="str">
        <f>IF($B7="","",IF(BF$5=0,"OK","出错"))</f>
        <v/>
      </c>
      <c r="BG7" s="135" t="str">
        <f>IF($B7="","",IF(BG$5=0,"OK","出错"))</f>
        <v/>
      </c>
      <c r="BH7" s="136"/>
      <c r="BI7" s="137"/>
      <c r="BJ7" s="136"/>
      <c r="BK7" s="136"/>
      <c r="BL7" s="136"/>
      <c r="BM7" s="137"/>
      <c r="BO7" s="131" t="str">
        <f ca="1">判断表!C19</f>
        <v>中煤第五建设有限公司第三工程处拟处置实物资产项目\[0000-3基础法明细表.xlsx]应收票据</v>
      </c>
      <c r="BP7" s="174">
        <f ca="1">SUMIF(判断表!C:C,BO7,判断表!G:G)</f>
        <v>0</v>
      </c>
      <c r="BQ7" s="131" t="str">
        <f ca="1">判断表!C57</f>
        <v>中煤第五建设有限公司第三工程处拟处置实物资产项目\[0000-3基础法明细表.xlsx]股权投资</v>
      </c>
      <c r="BR7" s="174">
        <f ca="1">SUMIF(判断表!C:C,BQ7,判断表!G:G)</f>
        <v>0</v>
      </c>
      <c r="BT7" s="134" t="str">
        <f>IF(COUNTIF(BT$6:BT6,B7)&gt;0,"",B7)&amp;""</f>
        <v/>
      </c>
      <c r="BU7" s="138">
        <f>SUMIF(B$7:B$26,BT7,I$7:I$26)</f>
        <v>0</v>
      </c>
      <c r="BV7" s="132">
        <f t="shared" ref="BV7" si="4">RANK(BU7,BU$7:BU$26)</f>
        <v>1</v>
      </c>
      <c r="BW7" s="138">
        <f>SUMIF(B$7:B$26,BT7,J$7:J$26)</f>
        <v>0</v>
      </c>
      <c r="BX7" s="132">
        <f>RANK(BW7,BW$7:BW$26)</f>
        <v>1</v>
      </c>
      <c r="BY7" s="138">
        <f>SUM(BU7:BU26)</f>
        <v>0</v>
      </c>
      <c r="BZ7" s="138"/>
      <c r="CA7" s="138"/>
    </row>
    <row r="8" ht="15" customHeight="1" spans="1:79">
      <c r="A8" s="123" t="str">
        <f>IF(B8="","",COUNT(A$6:A7)+1)</f>
        <v/>
      </c>
      <c r="B8" s="139"/>
      <c r="C8" s="140"/>
      <c r="D8" s="142"/>
      <c r="E8" s="127" t="str">
        <f>IFERROR(VLOOKUP(D8,参数表!$H$2:$I$50,2,FALSE),"")</f>
        <v/>
      </c>
      <c r="F8" s="128" t="str">
        <f t="shared" ref="F8:F26" si="5">IFERROR(IF(OR(D8="人民币",D8=""),"",I8/E8),"")</f>
        <v/>
      </c>
      <c r="G8" s="178"/>
      <c r="H8" s="179"/>
      <c r="I8" s="174" t="str">
        <f t="shared" ref="I8:I26" si="6">IF(B8="","",G8+H8)</f>
        <v/>
      </c>
      <c r="J8" s="129" t="str">
        <f t="shared" si="0"/>
        <v/>
      </c>
      <c r="K8" s="129" t="str">
        <f t="shared" si="1"/>
        <v/>
      </c>
      <c r="L8" s="129" t="str">
        <f t="shared" si="2"/>
        <v/>
      </c>
      <c r="M8" s="145"/>
      <c r="BA8" s="78"/>
      <c r="BB8" s="132" t="s">
        <v>4989</v>
      </c>
      <c r="BC8" s="133"/>
      <c r="BD8" s="132" t="str">
        <f>IF(OR(B8="",BC8=""),"",COUNTIF(BC$7:BC8,"√"))</f>
        <v/>
      </c>
      <c r="BE8" s="134" t="str">
        <f t="shared" si="3"/>
        <v/>
      </c>
      <c r="BF8" s="135" t="str">
        <f t="shared" ref="BF8:BG26" si="7">IF($B8="","",IF(BF$5=0,"OK","出错"))</f>
        <v/>
      </c>
      <c r="BG8" s="135" t="str">
        <f t="shared" si="7"/>
        <v/>
      </c>
      <c r="BH8" s="136"/>
      <c r="BI8" s="137"/>
      <c r="BJ8" s="136"/>
      <c r="BK8" s="136"/>
      <c r="BL8" s="136"/>
      <c r="BM8" s="137"/>
      <c r="BO8" s="131" t="str">
        <f ca="1">判断表!C20</f>
        <v>中煤第五建设有限公司第三工程处拟处置实物资产项目\[0000-3基础法明细表.xlsx]应收账款</v>
      </c>
      <c r="BP8" s="174">
        <f ca="1">SUMIF(判断表!C:C,BO8,判断表!G:G)</f>
        <v>0</v>
      </c>
      <c r="BQ8" s="131" t="str">
        <f ca="1">判断表!C58</f>
        <v>中煤第五建设有限公司第三工程处拟处置实物资产项目\[0000-3基础法明细表.xlsx]其他权益工具</v>
      </c>
      <c r="BR8" s="174">
        <f ca="1">SUMIF(判断表!C:C,BQ8,判断表!G:G)</f>
        <v>0</v>
      </c>
      <c r="BT8" s="134" t="str">
        <f>IF(COUNTIF(BT$6:BT7,B8)&gt;0,"",B8)&amp;""</f>
        <v/>
      </c>
      <c r="BU8" s="138">
        <f t="shared" ref="BU8:BU26" si="8">SUMIF(B$7:B$26,BT8,I$7:I$26)</f>
        <v>0</v>
      </c>
      <c r="BV8" s="132">
        <f t="shared" ref="BV8:BV26" si="9">RANK(BU8,BU$7:BU$26)</f>
        <v>1</v>
      </c>
      <c r="BW8" s="138">
        <f t="shared" ref="BW8:BW26" si="10">SUMIF(B$7:B$26,BT8,J$7:J$26)</f>
        <v>0</v>
      </c>
      <c r="BX8" s="132">
        <f t="shared" ref="BX8:BX26" si="11">RANK(BW8,BW$7:BW$26)</f>
        <v>1</v>
      </c>
      <c r="BY8" s="138">
        <f>SUM(BW7:BW26)</f>
        <v>0</v>
      </c>
      <c r="BZ8" s="138"/>
      <c r="CA8" s="138"/>
    </row>
    <row r="9" ht="15" customHeight="1" spans="1:79">
      <c r="A9" s="123" t="str">
        <f>IF(B9="","",COUNT(A$6:A8)+1)</f>
        <v/>
      </c>
      <c r="B9" s="139"/>
      <c r="C9" s="140"/>
      <c r="D9" s="142"/>
      <c r="E9" s="127" t="str">
        <f>IFERROR(VLOOKUP(D9,参数表!$H$2:$I$50,2,FALSE),"")</f>
        <v/>
      </c>
      <c r="F9" s="128" t="str">
        <f t="shared" si="5"/>
        <v/>
      </c>
      <c r="G9" s="178"/>
      <c r="H9" s="179"/>
      <c r="I9" s="174" t="str">
        <f t="shared" si="6"/>
        <v/>
      </c>
      <c r="J9" s="129" t="str">
        <f t="shared" si="0"/>
        <v/>
      </c>
      <c r="K9" s="129" t="str">
        <f t="shared" si="1"/>
        <v/>
      </c>
      <c r="L9" s="129" t="str">
        <f t="shared" si="2"/>
        <v/>
      </c>
      <c r="M9" s="145"/>
      <c r="BA9" s="78"/>
      <c r="BB9" s="132" t="s">
        <v>4990</v>
      </c>
      <c r="BC9" s="133"/>
      <c r="BD9" s="132" t="str">
        <f>IF(OR(B9="",BC9=""),"",COUNTIF(BC$7:BC9,"√"))</f>
        <v/>
      </c>
      <c r="BE9" s="134" t="str">
        <f t="shared" si="3"/>
        <v/>
      </c>
      <c r="BF9" s="135" t="str">
        <f t="shared" si="7"/>
        <v/>
      </c>
      <c r="BG9" s="135" t="str">
        <f t="shared" si="7"/>
        <v/>
      </c>
      <c r="BH9" s="136"/>
      <c r="BI9" s="137"/>
      <c r="BJ9" s="136"/>
      <c r="BK9" s="136"/>
      <c r="BL9" s="136"/>
      <c r="BM9" s="137"/>
      <c r="BO9" s="131" t="str">
        <f ca="1">判断表!C22</f>
        <v>中煤第五建设有限公司第三工程处拟处置实物资产项目\[0000-3基础法明细表.xlsx]融资-应收票据</v>
      </c>
      <c r="BP9" s="174">
        <f ca="1">SUMIF(判断表!C:C,BO9,判断表!G:G)</f>
        <v>0</v>
      </c>
      <c r="BQ9" s="131" t="str">
        <f ca="1">判断表!C59</f>
        <v>中煤第五建设有限公司第三工程处拟处置实物资产项目\[0000-3基础法明细表.xlsx]其他金资</v>
      </c>
      <c r="BR9" s="174">
        <f ca="1">SUMIF(判断表!C:C,BQ9,判断表!G:G)</f>
        <v>0</v>
      </c>
      <c r="BT9" s="134" t="str">
        <f>IF(COUNTIF(BT$6:BT8,B9)&gt;0,"",B9)&amp;""</f>
        <v/>
      </c>
      <c r="BU9" s="138">
        <f t="shared" si="8"/>
        <v>0</v>
      </c>
      <c r="BV9" s="132">
        <f t="shared" si="9"/>
        <v>1</v>
      </c>
      <c r="BW9" s="138">
        <f t="shared" si="10"/>
        <v>0</v>
      </c>
      <c r="BX9" s="132">
        <f t="shared" si="11"/>
        <v>1</v>
      </c>
      <c r="BY9" s="132">
        <v>1</v>
      </c>
      <c r="BZ9" s="134" t="str">
        <f>IFERROR(INDEX(BT$7:BT$26,MATCH(BY9,IF(BY$7=0,BX$7:BX$26,BV$7:BV$26),0))&amp;"","")</f>
        <v/>
      </c>
      <c r="CA9" s="146" t="str">
        <f>IF(BZ10="","",IF(BZ11="","和","、"))</f>
        <v/>
      </c>
    </row>
    <row r="10" ht="15" customHeight="1" spans="1:79">
      <c r="A10" s="123" t="str">
        <f>IF(B10="","",COUNT(A$6:A9)+1)</f>
        <v/>
      </c>
      <c r="B10" s="139"/>
      <c r="C10" s="140"/>
      <c r="D10" s="142"/>
      <c r="E10" s="127" t="str">
        <f>IFERROR(VLOOKUP(D10,参数表!$H$2:$I$50,2,FALSE),"")</f>
        <v/>
      </c>
      <c r="F10" s="128" t="str">
        <f t="shared" si="5"/>
        <v/>
      </c>
      <c r="G10" s="178"/>
      <c r="H10" s="179"/>
      <c r="I10" s="174" t="str">
        <f t="shared" si="6"/>
        <v/>
      </c>
      <c r="J10" s="129" t="str">
        <f t="shared" si="0"/>
        <v/>
      </c>
      <c r="K10" s="129" t="str">
        <f t="shared" si="1"/>
        <v/>
      </c>
      <c r="L10" s="129" t="str">
        <f t="shared" si="2"/>
        <v/>
      </c>
      <c r="M10" s="145"/>
      <c r="BA10" s="78"/>
      <c r="BB10" s="132" t="s">
        <v>4991</v>
      </c>
      <c r="BC10" s="133"/>
      <c r="BD10" s="132" t="str">
        <f>IF(OR(B10="",BC10=""),"",COUNTIF(BC$7:BC10,"√"))</f>
        <v/>
      </c>
      <c r="BE10" s="134" t="str">
        <f t="shared" si="3"/>
        <v/>
      </c>
      <c r="BF10" s="135" t="str">
        <f t="shared" si="7"/>
        <v/>
      </c>
      <c r="BG10" s="135" t="str">
        <f t="shared" si="7"/>
        <v/>
      </c>
      <c r="BH10" s="136"/>
      <c r="BI10" s="137"/>
      <c r="BJ10" s="136"/>
      <c r="BK10" s="136"/>
      <c r="BL10" s="136"/>
      <c r="BM10" s="137"/>
      <c r="BO10" s="131" t="str">
        <f ca="1">判断表!C23</f>
        <v>中煤第五建设有限公司第三工程处拟处置实物资产项目\[0000-3基础法明细表.xlsx]融资-应收账款</v>
      </c>
      <c r="BP10" s="174">
        <f ca="1">SUMIF(判断表!C:C,BO10,判断表!G:G)</f>
        <v>0</v>
      </c>
      <c r="BQ10" s="131" t="str">
        <f ca="1">判断表!C60</f>
        <v>中煤第五建设有限公司第三工程处拟处置实物资产项目\[0000-3基础法明细表.xlsx]投资性房产总</v>
      </c>
      <c r="BR10" s="174">
        <f ca="1">SUMIF(判断表!C:C,BQ10,判断表!G:G)</f>
        <v>0</v>
      </c>
      <c r="BT10" s="134" t="str">
        <f>IF(COUNTIF(BT$6:BT9,B10)&gt;0,"",B10)&amp;""</f>
        <v/>
      </c>
      <c r="BU10" s="138">
        <f t="shared" si="8"/>
        <v>0</v>
      </c>
      <c r="BV10" s="132">
        <f t="shared" si="9"/>
        <v>1</v>
      </c>
      <c r="BW10" s="138">
        <f t="shared" si="10"/>
        <v>0</v>
      </c>
      <c r="BX10" s="132">
        <f t="shared" si="11"/>
        <v>1</v>
      </c>
      <c r="BY10" s="132">
        <v>2</v>
      </c>
      <c r="BZ10" s="134" t="str">
        <f t="shared" ref="BZ10:BZ13" si="12">IFERROR(INDEX(BT$7:BT$26,MATCH(BY10,IF(BY$7=0,BX$7:BX$26,BV$7:BV$26),0))&amp;"","")</f>
        <v/>
      </c>
      <c r="CA10" s="146" t="str">
        <f t="shared" ref="CA10:CA11" si="13">IF(BZ11="","",IF(BZ12="","和","、"))</f>
        <v/>
      </c>
    </row>
    <row r="11" ht="15" customHeight="1" spans="1:79">
      <c r="A11" s="123" t="str">
        <f>IF(B11="","",COUNT(A$6:A10)+1)</f>
        <v/>
      </c>
      <c r="B11" s="139"/>
      <c r="C11" s="140"/>
      <c r="D11" s="142"/>
      <c r="E11" s="127" t="str">
        <f>IFERROR(VLOOKUP(D11,参数表!$H$2:$I$50,2,FALSE),"")</f>
        <v/>
      </c>
      <c r="F11" s="128" t="str">
        <f t="shared" si="5"/>
        <v/>
      </c>
      <c r="G11" s="178"/>
      <c r="H11" s="179"/>
      <c r="I11" s="174" t="str">
        <f t="shared" si="6"/>
        <v/>
      </c>
      <c r="J11" s="129" t="str">
        <f t="shared" si="0"/>
        <v/>
      </c>
      <c r="K11" s="129" t="str">
        <f t="shared" si="1"/>
        <v/>
      </c>
      <c r="L11" s="129" t="str">
        <f t="shared" si="2"/>
        <v/>
      </c>
      <c r="M11" s="145"/>
      <c r="BA11" s="78"/>
      <c r="BB11" s="132" t="s">
        <v>4992</v>
      </c>
      <c r="BC11" s="133"/>
      <c r="BD11" s="132" t="str">
        <f>IF(OR(B11="",BC11=""),"",COUNTIF(BC$7:BC11,"√"))</f>
        <v/>
      </c>
      <c r="BE11" s="134" t="str">
        <f t="shared" si="3"/>
        <v/>
      </c>
      <c r="BF11" s="135" t="str">
        <f t="shared" si="7"/>
        <v/>
      </c>
      <c r="BG11" s="135" t="str">
        <f t="shared" si="7"/>
        <v/>
      </c>
      <c r="BH11" s="136"/>
      <c r="BI11" s="137"/>
      <c r="BJ11" s="136"/>
      <c r="BK11" s="136"/>
      <c r="BL11" s="136"/>
      <c r="BM11" s="137"/>
      <c r="BO11" s="131" t="str">
        <f ca="1">判断表!C24</f>
        <v>中煤第五建设有限公司第三工程处拟处置实物资产项目\[0000-3基础法明细表.xlsx]预付账款</v>
      </c>
      <c r="BP11" s="174">
        <f ca="1">SUMIF(判断表!C:C,BO11,判断表!G:G)</f>
        <v>0</v>
      </c>
      <c r="BQ11" s="131" t="str">
        <f ca="1">判断表!C65</f>
        <v>中煤第五建设有限公司第三工程处拟处置实物资产项目\[0000-3基础法明细表.xlsx]固定资产总</v>
      </c>
      <c r="BR11" s="174">
        <f ca="1">SUMIF(判断表!C:C,BQ11,判断表!G:G)</f>
        <v>0</v>
      </c>
      <c r="BT11" s="134" t="str">
        <f>IF(COUNTIF(BT$6:BT10,B11)&gt;0,"",B11)&amp;""</f>
        <v/>
      </c>
      <c r="BU11" s="138">
        <f t="shared" si="8"/>
        <v>0</v>
      </c>
      <c r="BV11" s="132">
        <f t="shared" si="9"/>
        <v>1</v>
      </c>
      <c r="BW11" s="138">
        <f t="shared" si="10"/>
        <v>0</v>
      </c>
      <c r="BX11" s="132">
        <f t="shared" si="11"/>
        <v>1</v>
      </c>
      <c r="BY11" s="132">
        <v>3</v>
      </c>
      <c r="BZ11" s="134" t="str">
        <f t="shared" si="12"/>
        <v/>
      </c>
      <c r="CA11" s="146" t="str">
        <f t="shared" si="13"/>
        <v/>
      </c>
    </row>
    <row r="12" ht="15" customHeight="1" spans="1:79">
      <c r="A12" s="123" t="str">
        <f>IF(B12="","",COUNT(A$6:A11)+1)</f>
        <v/>
      </c>
      <c r="B12" s="139"/>
      <c r="C12" s="140"/>
      <c r="D12" s="142"/>
      <c r="E12" s="127" t="str">
        <f>IFERROR(VLOOKUP(D12,参数表!$H$2:$I$50,2,FALSE),"")</f>
        <v/>
      </c>
      <c r="F12" s="128" t="str">
        <f t="shared" si="5"/>
        <v/>
      </c>
      <c r="G12" s="178"/>
      <c r="H12" s="179"/>
      <c r="I12" s="174" t="str">
        <f t="shared" si="6"/>
        <v/>
      </c>
      <c r="J12" s="129" t="str">
        <f t="shared" si="0"/>
        <v/>
      </c>
      <c r="K12" s="129" t="str">
        <f t="shared" si="1"/>
        <v/>
      </c>
      <c r="L12" s="129" t="str">
        <f t="shared" si="2"/>
        <v/>
      </c>
      <c r="M12" s="145"/>
      <c r="BA12" s="78"/>
      <c r="BB12" s="132" t="s">
        <v>4993</v>
      </c>
      <c r="BC12" s="133"/>
      <c r="BD12" s="132" t="str">
        <f>IF(OR(B12="",BC12=""),"",COUNTIF(BC$7:BC12,"√"))</f>
        <v/>
      </c>
      <c r="BE12" s="134" t="str">
        <f t="shared" si="3"/>
        <v/>
      </c>
      <c r="BF12" s="135" t="str">
        <f t="shared" si="7"/>
        <v/>
      </c>
      <c r="BG12" s="135" t="str">
        <f t="shared" si="7"/>
        <v/>
      </c>
      <c r="BH12" s="136"/>
      <c r="BI12" s="137"/>
      <c r="BJ12" s="136"/>
      <c r="BK12" s="136"/>
      <c r="BL12" s="136"/>
      <c r="BM12" s="137"/>
      <c r="BO12" s="131" t="str">
        <f ca="1">判断表!C28</f>
        <v>中煤第五建设有限公司第三工程处拟处置实物资产项目\[0000-3基础法明细表.xlsx]其他应收-其他</v>
      </c>
      <c r="BP12" s="174">
        <f ca="1">SUMIF(判断表!C:C,BO12,判断表!G:G)</f>
        <v>0</v>
      </c>
      <c r="BQ12" s="131" t="str">
        <f ca="1">判断表!C76</f>
        <v>中煤第五建设有限公司第三工程处拟处置实物资产项目\[0000-3基础法明细表.xlsx]在建总</v>
      </c>
      <c r="BR12" s="174">
        <f ca="1">SUMIF(判断表!C:C,BQ12,判断表!G:G)</f>
        <v>0</v>
      </c>
      <c r="BT12" s="134" t="str">
        <f>IF(COUNTIF(BT$6:BT11,B12)&gt;0,"",B12)&amp;""</f>
        <v/>
      </c>
      <c r="BU12" s="138">
        <f t="shared" si="8"/>
        <v>0</v>
      </c>
      <c r="BV12" s="132">
        <f t="shared" si="9"/>
        <v>1</v>
      </c>
      <c r="BW12" s="138">
        <f t="shared" si="10"/>
        <v>0</v>
      </c>
      <c r="BX12" s="132">
        <f t="shared" si="11"/>
        <v>1</v>
      </c>
      <c r="BY12" s="132">
        <v>4</v>
      </c>
      <c r="BZ12" s="134" t="str">
        <f t="shared" si="12"/>
        <v/>
      </c>
      <c r="CA12" s="146" t="str">
        <f>IF(BZ13="","","和")</f>
        <v/>
      </c>
    </row>
    <row r="13" ht="15" customHeight="1" spans="1:79">
      <c r="A13" s="123" t="str">
        <f>IF(B13="","",COUNT(A$6:A12)+1)</f>
        <v/>
      </c>
      <c r="B13" s="139"/>
      <c r="C13" s="140"/>
      <c r="D13" s="142"/>
      <c r="E13" s="127" t="str">
        <f>IFERROR(VLOOKUP(D13,参数表!$H$2:$I$50,2,FALSE),"")</f>
        <v/>
      </c>
      <c r="F13" s="128" t="str">
        <f t="shared" si="5"/>
        <v/>
      </c>
      <c r="G13" s="178"/>
      <c r="H13" s="179"/>
      <c r="I13" s="174" t="str">
        <f t="shared" si="6"/>
        <v/>
      </c>
      <c r="J13" s="129" t="str">
        <f t="shared" si="0"/>
        <v/>
      </c>
      <c r="K13" s="129" t="str">
        <f t="shared" si="1"/>
        <v/>
      </c>
      <c r="L13" s="129" t="str">
        <f t="shared" si="2"/>
        <v/>
      </c>
      <c r="M13" s="145"/>
      <c r="BA13" s="78"/>
      <c r="BB13" s="132" t="s">
        <v>4994</v>
      </c>
      <c r="BC13" s="133"/>
      <c r="BD13" s="132" t="str">
        <f>IF(OR(B13="",BC13=""),"",COUNTIF(BC$7:BC13,"√"))</f>
        <v/>
      </c>
      <c r="BE13" s="134" t="str">
        <f t="shared" si="3"/>
        <v/>
      </c>
      <c r="BF13" s="135" t="str">
        <f t="shared" si="7"/>
        <v/>
      </c>
      <c r="BG13" s="135" t="str">
        <f t="shared" si="7"/>
        <v/>
      </c>
      <c r="BH13" s="136"/>
      <c r="BI13" s="137"/>
      <c r="BJ13" s="136"/>
      <c r="BK13" s="136"/>
      <c r="BL13" s="136"/>
      <c r="BM13" s="137"/>
      <c r="BO13" s="131" t="str">
        <f ca="1">判断表!C29</f>
        <v>中煤第五建设有限公司第三工程处拟处置实物资产项目\[0000-3基础法明细表.xlsx]存货总</v>
      </c>
      <c r="BP13" s="174">
        <f ca="1">SUMIF(判断表!C:C,BO13,判断表!G:G)</f>
        <v>0</v>
      </c>
      <c r="BQ13" s="131" t="str">
        <f ca="1">判断表!C83</f>
        <v>中煤第五建设有限公司第三工程处拟处置实物资产项目\[0000-3基础法明细表.xlsx]生物资</v>
      </c>
      <c r="BR13" s="174">
        <f ca="1">SUMIF(判断表!C:C,BQ13,判断表!G:G)</f>
        <v>0</v>
      </c>
      <c r="BT13" s="134" t="str">
        <f>IF(COUNTIF(BT$6:BT12,B13)&gt;0,"",B13)&amp;""</f>
        <v/>
      </c>
      <c r="BU13" s="138">
        <f t="shared" si="8"/>
        <v>0</v>
      </c>
      <c r="BV13" s="132">
        <f t="shared" si="9"/>
        <v>1</v>
      </c>
      <c r="BW13" s="138">
        <f t="shared" si="10"/>
        <v>0</v>
      </c>
      <c r="BX13" s="132">
        <f t="shared" si="11"/>
        <v>1</v>
      </c>
      <c r="BY13" s="132">
        <v>5</v>
      </c>
      <c r="BZ13" s="134" t="str">
        <f t="shared" si="12"/>
        <v/>
      </c>
      <c r="CA13" s="146"/>
    </row>
    <row r="14" ht="15" customHeight="1" spans="1:79">
      <c r="A14" s="123" t="str">
        <f>IF(B14="","",COUNT(A$6:A13)+1)</f>
        <v/>
      </c>
      <c r="B14" s="139"/>
      <c r="C14" s="140"/>
      <c r="D14" s="142"/>
      <c r="E14" s="127" t="str">
        <f>IFERROR(VLOOKUP(D14,参数表!$H$2:$I$50,2,FALSE),"")</f>
        <v/>
      </c>
      <c r="F14" s="128" t="str">
        <f t="shared" si="5"/>
        <v/>
      </c>
      <c r="G14" s="178"/>
      <c r="H14" s="179"/>
      <c r="I14" s="174" t="str">
        <f t="shared" si="6"/>
        <v/>
      </c>
      <c r="J14" s="129" t="str">
        <f t="shared" si="0"/>
        <v/>
      </c>
      <c r="K14" s="129" t="str">
        <f t="shared" si="1"/>
        <v/>
      </c>
      <c r="L14" s="129" t="str">
        <f t="shared" si="2"/>
        <v/>
      </c>
      <c r="M14" s="145"/>
      <c r="BA14" s="78"/>
      <c r="BB14" s="132" t="s">
        <v>4995</v>
      </c>
      <c r="BC14" s="133"/>
      <c r="BD14" s="132" t="str">
        <f>IF(OR(B14="",BC14=""),"",COUNTIF(BC$7:BC14,"√"))</f>
        <v/>
      </c>
      <c r="BE14" s="134" t="str">
        <f t="shared" si="3"/>
        <v/>
      </c>
      <c r="BF14" s="135" t="str">
        <f t="shared" si="7"/>
        <v/>
      </c>
      <c r="BG14" s="135" t="str">
        <f t="shared" si="7"/>
        <v/>
      </c>
      <c r="BH14" s="136"/>
      <c r="BI14" s="137"/>
      <c r="BJ14" s="136"/>
      <c r="BK14" s="136"/>
      <c r="BL14" s="136"/>
      <c r="BM14" s="137"/>
      <c r="BO14" s="131" t="str">
        <f ca="1">判断表!C43</f>
        <v>中煤第五建设有限公司第三工程处拟处置实物资产项目\[0000-3基础法明细表.xlsx]合同资-未完施工</v>
      </c>
      <c r="BP14" s="174">
        <f ca="1">SUMIF(判断表!C:C,BO14,判断表!G:G)</f>
        <v>0</v>
      </c>
      <c r="BQ14" s="131" t="str">
        <f ca="1">判断表!C84</f>
        <v>中煤第五建设有限公司第三工程处拟处置实物资产项目\[0000-3基础法明细表.xlsx]油气资</v>
      </c>
      <c r="BR14" s="174">
        <f ca="1">SUMIF(判断表!C:C,BQ14,判断表!G:G)</f>
        <v>0</v>
      </c>
      <c r="BT14" s="134" t="str">
        <f>IF(COUNTIF(BT$6:BT13,B14)&gt;0,"",B14)&amp;""</f>
        <v/>
      </c>
      <c r="BU14" s="138">
        <f t="shared" si="8"/>
        <v>0</v>
      </c>
      <c r="BV14" s="132">
        <f t="shared" si="9"/>
        <v>1</v>
      </c>
      <c r="BW14" s="138">
        <f t="shared" si="10"/>
        <v>0</v>
      </c>
      <c r="BX14" s="132">
        <f t="shared" si="11"/>
        <v>1</v>
      </c>
      <c r="BY14" s="147" t="s">
        <v>1659</v>
      </c>
      <c r="BZ14" s="132" t="str">
        <f>CONCATENATE(BZ9,CA9,BZ10,CA10,BZ11,CA11,BZ12,CA12,BZ13)</f>
        <v/>
      </c>
      <c r="CA14" s="132"/>
    </row>
    <row r="15" ht="15" customHeight="1" spans="1:79">
      <c r="A15" s="123" t="str">
        <f>IF(B15="","",COUNT(A$6:A14)+1)</f>
        <v/>
      </c>
      <c r="B15" s="139"/>
      <c r="C15" s="140"/>
      <c r="D15" s="142"/>
      <c r="E15" s="127" t="str">
        <f>IFERROR(VLOOKUP(D15,参数表!$H$2:$I$50,2,FALSE),"")</f>
        <v/>
      </c>
      <c r="F15" s="128" t="str">
        <f t="shared" si="5"/>
        <v/>
      </c>
      <c r="G15" s="178"/>
      <c r="H15" s="179"/>
      <c r="I15" s="174" t="str">
        <f t="shared" si="6"/>
        <v/>
      </c>
      <c r="J15" s="129" t="str">
        <f t="shared" si="0"/>
        <v/>
      </c>
      <c r="K15" s="129" t="str">
        <f t="shared" si="1"/>
        <v/>
      </c>
      <c r="L15" s="129" t="str">
        <f t="shared" si="2"/>
        <v/>
      </c>
      <c r="M15" s="145"/>
      <c r="BA15" s="78"/>
      <c r="BB15" s="132" t="s">
        <v>4996</v>
      </c>
      <c r="BC15" s="133"/>
      <c r="BD15" s="132" t="str">
        <f>IF(OR(B15="",BC15=""),"",COUNTIF(BC$7:BC15,"√"))</f>
        <v/>
      </c>
      <c r="BE15" s="134" t="str">
        <f t="shared" si="3"/>
        <v/>
      </c>
      <c r="BF15" s="135" t="str">
        <f t="shared" si="7"/>
        <v/>
      </c>
      <c r="BG15" s="135" t="str">
        <f t="shared" si="7"/>
        <v/>
      </c>
      <c r="BH15" s="136"/>
      <c r="BI15" s="137"/>
      <c r="BJ15" s="136"/>
      <c r="BK15" s="136"/>
      <c r="BL15" s="136"/>
      <c r="BM15" s="137"/>
      <c r="BO15" s="131" t="str">
        <f ca="1">判断表!C49</f>
        <v>中煤第五建设有限公司第三工程处拟处置实物资产项目\[0000-3基础法明细表.xlsx]可供出售总</v>
      </c>
      <c r="BP15" s="174">
        <f ca="1">SUMIF(判断表!C:C,BO15,判断表!G:G)</f>
        <v>0</v>
      </c>
      <c r="BQ15" s="131" t="str">
        <f ca="1">判断表!C85</f>
        <v>中煤第五建设有限公司第三工程处拟处置实物资产项目\[0000-3基础法明细表.xlsx]使用权资</v>
      </c>
      <c r="BR15" s="174">
        <f ca="1">SUMIF(判断表!C:C,BQ15,判断表!G:G)</f>
        <v>0</v>
      </c>
      <c r="BT15" s="134" t="str">
        <f>IF(COUNTIF(BT$6:BT14,B15)&gt;0,"",B15)&amp;""</f>
        <v/>
      </c>
      <c r="BU15" s="138">
        <f t="shared" si="8"/>
        <v>0</v>
      </c>
      <c r="BV15" s="132">
        <f t="shared" si="9"/>
        <v>1</v>
      </c>
      <c r="BW15" s="138">
        <f t="shared" si="10"/>
        <v>0</v>
      </c>
      <c r="BX15" s="132">
        <f t="shared" si="11"/>
        <v>1</v>
      </c>
      <c r="BY15" s="133"/>
      <c r="BZ15" s="133"/>
    </row>
    <row r="16" ht="15" customHeight="1" spans="1:79">
      <c r="A16" s="123" t="str">
        <f>IF(B16="","",COUNT(A$6:A15)+1)</f>
        <v/>
      </c>
      <c r="B16" s="139"/>
      <c r="C16" s="140"/>
      <c r="D16" s="142"/>
      <c r="E16" s="127" t="str">
        <f>IFERROR(VLOOKUP(D16,参数表!$H$2:$I$50,2,FALSE),"")</f>
        <v/>
      </c>
      <c r="F16" s="128" t="str">
        <f t="shared" si="5"/>
        <v/>
      </c>
      <c r="G16" s="178"/>
      <c r="H16" s="179"/>
      <c r="I16" s="174" t="str">
        <f t="shared" si="6"/>
        <v/>
      </c>
      <c r="J16" s="129" t="str">
        <f t="shared" si="0"/>
        <v/>
      </c>
      <c r="K16" s="129" t="str">
        <f t="shared" si="1"/>
        <v/>
      </c>
      <c r="L16" s="129" t="str">
        <f t="shared" si="2"/>
        <v/>
      </c>
      <c r="M16" s="145"/>
      <c r="BA16" s="78"/>
      <c r="BB16" s="132" t="s">
        <v>4997</v>
      </c>
      <c r="BC16" s="133"/>
      <c r="BD16" s="132" t="str">
        <f>IF(OR(B16="",BC16=""),"",COUNTIF(BC$7:BC16,"√"))</f>
        <v/>
      </c>
      <c r="BE16" s="134" t="str">
        <f t="shared" si="3"/>
        <v/>
      </c>
      <c r="BF16" s="135" t="str">
        <f t="shared" si="7"/>
        <v/>
      </c>
      <c r="BG16" s="135" t="str">
        <f t="shared" si="7"/>
        <v/>
      </c>
      <c r="BH16" s="136"/>
      <c r="BI16" s="137"/>
      <c r="BJ16" s="136"/>
      <c r="BK16" s="136"/>
      <c r="BL16" s="136"/>
      <c r="BM16" s="137"/>
      <c r="BO16" s="131" t="str">
        <f ca="1">判断表!C53</f>
        <v>中煤第五建设有限公司第三工程处拟处置实物资产项目\[0000-3基础法明细表.xlsx]持有到期</v>
      </c>
      <c r="BP16" s="174">
        <f ca="1">SUMIF(判断表!C:C,BO16,判断表!G:G)</f>
        <v>0</v>
      </c>
      <c r="BQ16" s="131" t="str">
        <f ca="1">判断表!C86</f>
        <v>中煤第五建设有限公司第三工程处拟处置实物资产项目\[0000-3基础法明细表.xlsx]无形资总</v>
      </c>
      <c r="BR16" s="174">
        <f ca="1">SUMIF(判断表!C:C,BQ16,判断表!G:G)</f>
        <v>0</v>
      </c>
      <c r="BT16" s="134" t="str">
        <f>IF(COUNTIF(BT$6:BT15,B16)&gt;0,"",B16)&amp;""</f>
        <v/>
      </c>
      <c r="BU16" s="138">
        <f t="shared" si="8"/>
        <v>0</v>
      </c>
      <c r="BV16" s="132">
        <f t="shared" si="9"/>
        <v>1</v>
      </c>
      <c r="BW16" s="138">
        <f t="shared" si="10"/>
        <v>0</v>
      </c>
      <c r="BX16" s="132">
        <f t="shared" si="11"/>
        <v>1</v>
      </c>
      <c r="BY16" s="133"/>
      <c r="BZ16" s="148"/>
    </row>
    <row r="17" ht="15" customHeight="1" spans="1:79">
      <c r="A17" s="123" t="str">
        <f>IF(B17="","",COUNT(A$6:A16)+1)</f>
        <v/>
      </c>
      <c r="B17" s="139"/>
      <c r="C17" s="140"/>
      <c r="D17" s="142"/>
      <c r="E17" s="127" t="str">
        <f>IFERROR(VLOOKUP(D17,参数表!$H$2:$I$50,2,FALSE),"")</f>
        <v/>
      </c>
      <c r="F17" s="128" t="str">
        <f t="shared" si="5"/>
        <v/>
      </c>
      <c r="G17" s="178"/>
      <c r="H17" s="179"/>
      <c r="I17" s="174" t="str">
        <f t="shared" si="6"/>
        <v/>
      </c>
      <c r="J17" s="129" t="str">
        <f t="shared" si="0"/>
        <v/>
      </c>
      <c r="K17" s="129" t="str">
        <f t="shared" si="1"/>
        <v/>
      </c>
      <c r="L17" s="129" t="str">
        <f t="shared" si="2"/>
        <v/>
      </c>
      <c r="M17" s="145"/>
      <c r="BA17" s="78"/>
      <c r="BB17" s="132" t="s">
        <v>4998</v>
      </c>
      <c r="BC17" s="133"/>
      <c r="BD17" s="132" t="str">
        <f>IF(OR(B17="",BC17=""),"",COUNTIF(BC$7:BC17,"√"))</f>
        <v/>
      </c>
      <c r="BE17" s="134" t="str">
        <f t="shared" si="3"/>
        <v/>
      </c>
      <c r="BF17" s="135" t="str">
        <f t="shared" si="7"/>
        <v/>
      </c>
      <c r="BG17" s="135" t="str">
        <f t="shared" si="7"/>
        <v/>
      </c>
      <c r="BH17" s="136"/>
      <c r="BI17" s="137"/>
      <c r="BJ17" s="136"/>
      <c r="BK17" s="136"/>
      <c r="BL17" s="136"/>
      <c r="BM17" s="137"/>
      <c r="BO17" s="131" t="str">
        <f ca="1">判断表!C54</f>
        <v>中煤第五建设有限公司第三工程处拟处置实物资产项目\[0000-3基础法明细表.xlsx]债权投资</v>
      </c>
      <c r="BP17" s="174">
        <f ca="1">SUMIF(判断表!C:C,BO17,判断表!G:G)</f>
        <v>0</v>
      </c>
      <c r="BQ17" s="131" t="str">
        <f ca="1">判断表!C92</f>
        <v>中煤第五建设有限公司第三工程处拟处置实物资产项目\[0000-3基础法明细表.xlsx]开发支出</v>
      </c>
      <c r="BR17" s="174">
        <f ca="1">SUMIF(判断表!C:C,BQ17,判断表!G:G)</f>
        <v>0</v>
      </c>
      <c r="BT17" s="134" t="str">
        <f>IF(COUNTIF(BT$6:BT16,B17)&gt;0,"",B17)&amp;""</f>
        <v/>
      </c>
      <c r="BU17" s="138">
        <f t="shared" si="8"/>
        <v>0</v>
      </c>
      <c r="BV17" s="132">
        <f t="shared" si="9"/>
        <v>1</v>
      </c>
      <c r="BW17" s="138">
        <f t="shared" si="10"/>
        <v>0</v>
      </c>
      <c r="BX17" s="132">
        <f t="shared" si="11"/>
        <v>1</v>
      </c>
      <c r="BY17" s="133"/>
      <c r="BZ17" s="133"/>
    </row>
    <row r="18" ht="15" customHeight="1" spans="1:79">
      <c r="A18" s="123" t="str">
        <f>IF(B18="","",COUNT(A$6:A17)+1)</f>
        <v/>
      </c>
      <c r="B18" s="139"/>
      <c r="C18" s="140"/>
      <c r="D18" s="142"/>
      <c r="E18" s="127" t="str">
        <f>IFERROR(VLOOKUP(D18,参数表!$H$2:$I$50,2,FALSE),"")</f>
        <v/>
      </c>
      <c r="F18" s="128" t="str">
        <f t="shared" si="5"/>
        <v/>
      </c>
      <c r="G18" s="178"/>
      <c r="H18" s="179"/>
      <c r="I18" s="174" t="str">
        <f t="shared" si="6"/>
        <v/>
      </c>
      <c r="J18" s="129" t="str">
        <f t="shared" si="0"/>
        <v/>
      </c>
      <c r="K18" s="129" t="str">
        <f t="shared" si="1"/>
        <v/>
      </c>
      <c r="L18" s="129" t="str">
        <f t="shared" si="2"/>
        <v/>
      </c>
      <c r="M18" s="145"/>
      <c r="BA18" s="78"/>
      <c r="BB18" s="132" t="s">
        <v>4999</v>
      </c>
      <c r="BC18" s="133"/>
      <c r="BD18" s="132" t="str">
        <f>IF(OR(B18="",BC18=""),"",COUNTIF(BC$7:BC18,"√"))</f>
        <v/>
      </c>
      <c r="BE18" s="134" t="str">
        <f t="shared" si="3"/>
        <v/>
      </c>
      <c r="BF18" s="135" t="str">
        <f t="shared" si="7"/>
        <v/>
      </c>
      <c r="BG18" s="135" t="str">
        <f t="shared" si="7"/>
        <v/>
      </c>
      <c r="BH18" s="136"/>
      <c r="BI18" s="137"/>
      <c r="BJ18" s="136"/>
      <c r="BK18" s="136"/>
      <c r="BL18" s="136"/>
      <c r="BM18" s="137"/>
      <c r="BO18" s="131" t="str">
        <f ca="1">判断表!C55</f>
        <v>中煤第五建设有限公司第三工程处拟处置实物资产项目\[0000-3基础法明细表.xlsx]其他债权</v>
      </c>
      <c r="BP18" s="174">
        <f ca="1">SUMIF(判断表!C:C,BO18,判断表!G:G)</f>
        <v>0</v>
      </c>
      <c r="BQ18" s="131" t="str">
        <f ca="1">判断表!C93</f>
        <v>中煤第五建设有限公司第三工程处拟处置实物资产项目\[0000-3基础法明细表.xlsx]商誉</v>
      </c>
      <c r="BR18" s="174">
        <f ca="1">SUMIF(判断表!C:C,BQ18,判断表!G:G)</f>
        <v>0</v>
      </c>
      <c r="BT18" s="134" t="str">
        <f>IF(COUNTIF(BT$6:BT17,B18)&gt;0,"",B18)&amp;""</f>
        <v/>
      </c>
      <c r="BU18" s="138">
        <f t="shared" si="8"/>
        <v>0</v>
      </c>
      <c r="BV18" s="132">
        <f t="shared" si="9"/>
        <v>1</v>
      </c>
      <c r="BW18" s="138">
        <f t="shared" si="10"/>
        <v>0</v>
      </c>
      <c r="BX18" s="132">
        <f t="shared" si="11"/>
        <v>1</v>
      </c>
      <c r="BY18" s="133"/>
      <c r="BZ18" s="133"/>
    </row>
    <row r="19" ht="15" customHeight="1" spans="1:79">
      <c r="A19" s="123" t="str">
        <f>IF(B19="","",COUNT(A$6:A18)+1)</f>
        <v/>
      </c>
      <c r="B19" s="139"/>
      <c r="C19" s="140"/>
      <c r="D19" s="142"/>
      <c r="E19" s="127" t="str">
        <f>IFERROR(VLOOKUP(D19,参数表!$H$2:$I$50,2,FALSE),"")</f>
        <v/>
      </c>
      <c r="F19" s="128" t="str">
        <f t="shared" si="5"/>
        <v/>
      </c>
      <c r="G19" s="178"/>
      <c r="H19" s="179"/>
      <c r="I19" s="174" t="str">
        <f t="shared" si="6"/>
        <v/>
      </c>
      <c r="J19" s="129" t="str">
        <f t="shared" si="0"/>
        <v/>
      </c>
      <c r="K19" s="129" t="str">
        <f t="shared" si="1"/>
        <v/>
      </c>
      <c r="L19" s="129" t="str">
        <f t="shared" si="2"/>
        <v/>
      </c>
      <c r="M19" s="145"/>
      <c r="BA19" s="78"/>
      <c r="BB19" s="132" t="s">
        <v>5000</v>
      </c>
      <c r="BC19" s="133"/>
      <c r="BD19" s="132" t="str">
        <f>IF(OR(B19="",BC19=""),"",COUNTIF(BC$7:BC19,"√"))</f>
        <v/>
      </c>
      <c r="BE19" s="134" t="str">
        <f t="shared" si="3"/>
        <v/>
      </c>
      <c r="BF19" s="135" t="str">
        <f t="shared" si="7"/>
        <v/>
      </c>
      <c r="BG19" s="135" t="str">
        <f t="shared" si="7"/>
        <v/>
      </c>
      <c r="BH19" s="136"/>
      <c r="BI19" s="137"/>
      <c r="BJ19" s="136"/>
      <c r="BK19" s="136"/>
      <c r="BL19" s="136"/>
      <c r="BM19" s="137"/>
      <c r="BO19" s="131" t="str">
        <f ca="1">判断表!C56</f>
        <v>中煤第五建设有限公司第三工程处拟处置实物资产项目\[0000-3基础法明细表.xlsx]长期应收</v>
      </c>
      <c r="BP19" s="174">
        <f ca="1">SUMIF(判断表!C:C,BO19,判断表!G:G)</f>
        <v>0</v>
      </c>
      <c r="BQ19" s="131"/>
      <c r="BR19" s="131"/>
      <c r="BT19" s="134" t="str">
        <f>IF(COUNTIF(BT$6:BT18,B19)&gt;0,"",B19)&amp;""</f>
        <v/>
      </c>
      <c r="BU19" s="138">
        <f t="shared" si="8"/>
        <v>0</v>
      </c>
      <c r="BV19" s="132">
        <f t="shared" si="9"/>
        <v>1</v>
      </c>
      <c r="BW19" s="138">
        <f t="shared" si="10"/>
        <v>0</v>
      </c>
      <c r="BX19" s="132">
        <f t="shared" si="11"/>
        <v>1</v>
      </c>
      <c r="BY19" s="133"/>
      <c r="BZ19" s="133"/>
    </row>
    <row r="20" ht="15" customHeight="1" spans="1:79">
      <c r="A20" s="123" t="str">
        <f>IF(B20="","",COUNT(A$6:A19)+1)</f>
        <v/>
      </c>
      <c r="B20" s="139"/>
      <c r="C20" s="140"/>
      <c r="D20" s="142"/>
      <c r="E20" s="127" t="str">
        <f>IFERROR(VLOOKUP(D20,参数表!$H$2:$I$50,2,FALSE),"")</f>
        <v/>
      </c>
      <c r="F20" s="128" t="str">
        <f t="shared" si="5"/>
        <v/>
      </c>
      <c r="G20" s="178"/>
      <c r="H20" s="179"/>
      <c r="I20" s="174" t="str">
        <f t="shared" si="6"/>
        <v/>
      </c>
      <c r="J20" s="129" t="str">
        <f t="shared" si="0"/>
        <v/>
      </c>
      <c r="K20" s="129" t="str">
        <f t="shared" si="1"/>
        <v/>
      </c>
      <c r="L20" s="129" t="str">
        <f t="shared" si="2"/>
        <v/>
      </c>
      <c r="M20" s="145"/>
      <c r="BA20" s="78"/>
      <c r="BB20" s="132" t="s">
        <v>5001</v>
      </c>
      <c r="BC20" s="133"/>
      <c r="BD20" s="132" t="str">
        <f>IF(OR(B20="",BC20=""),"",COUNTIF(BC$7:BC20,"√"))</f>
        <v/>
      </c>
      <c r="BE20" s="134" t="str">
        <f t="shared" si="3"/>
        <v/>
      </c>
      <c r="BF20" s="135" t="str">
        <f t="shared" si="7"/>
        <v/>
      </c>
      <c r="BG20" s="135" t="str">
        <f t="shared" si="7"/>
        <v/>
      </c>
      <c r="BH20" s="136"/>
      <c r="BI20" s="137"/>
      <c r="BJ20" s="136"/>
      <c r="BK20" s="136"/>
      <c r="BL20" s="136"/>
      <c r="BM20" s="137"/>
      <c r="BO20" s="131"/>
      <c r="BP20" s="131"/>
      <c r="BQ20" s="131"/>
      <c r="BR20" s="131"/>
      <c r="BT20" s="134" t="str">
        <f>IF(COUNTIF(BT$6:BT19,B20)&gt;0,"",B20)&amp;""</f>
        <v/>
      </c>
      <c r="BU20" s="138">
        <f t="shared" si="8"/>
        <v>0</v>
      </c>
      <c r="BV20" s="132">
        <f t="shared" si="9"/>
        <v>1</v>
      </c>
      <c r="BW20" s="138">
        <f t="shared" si="10"/>
        <v>0</v>
      </c>
      <c r="BX20" s="132">
        <f t="shared" si="11"/>
        <v>1</v>
      </c>
      <c r="BY20" s="133"/>
      <c r="BZ20" s="133"/>
    </row>
    <row r="21" ht="15" customHeight="1" spans="1:79">
      <c r="A21" s="123" t="str">
        <f>IF(B21="","",COUNT(A$6:A20)+1)</f>
        <v/>
      </c>
      <c r="B21" s="139"/>
      <c r="C21" s="140"/>
      <c r="D21" s="142"/>
      <c r="E21" s="127" t="str">
        <f>IFERROR(VLOOKUP(D21,参数表!$H$2:$I$50,2,FALSE),"")</f>
        <v/>
      </c>
      <c r="F21" s="128" t="str">
        <f t="shared" si="5"/>
        <v/>
      </c>
      <c r="G21" s="178"/>
      <c r="H21" s="179"/>
      <c r="I21" s="174" t="str">
        <f t="shared" si="6"/>
        <v/>
      </c>
      <c r="J21" s="129" t="str">
        <f t="shared" si="0"/>
        <v/>
      </c>
      <c r="K21" s="129" t="str">
        <f t="shared" si="1"/>
        <v/>
      </c>
      <c r="L21" s="129" t="str">
        <f t="shared" si="2"/>
        <v/>
      </c>
      <c r="M21" s="145"/>
      <c r="BA21" s="78"/>
      <c r="BB21" s="132" t="s">
        <v>5002</v>
      </c>
      <c r="BC21" s="133"/>
      <c r="BD21" s="132" t="str">
        <f>IF(OR(B21="",BC21=""),"",COUNTIF(BC$7:BC21,"√"))</f>
        <v/>
      </c>
      <c r="BE21" s="134" t="str">
        <f t="shared" si="3"/>
        <v/>
      </c>
      <c r="BF21" s="135" t="str">
        <f t="shared" si="7"/>
        <v/>
      </c>
      <c r="BG21" s="135" t="str">
        <f t="shared" si="7"/>
        <v/>
      </c>
      <c r="BH21" s="136"/>
      <c r="BI21" s="137"/>
      <c r="BJ21" s="136"/>
      <c r="BK21" s="136"/>
      <c r="BL21" s="136"/>
      <c r="BM21" s="137"/>
      <c r="BO21" s="131"/>
      <c r="BP21" s="131"/>
      <c r="BQ21" s="131"/>
      <c r="BR21" s="131"/>
      <c r="BT21" s="134" t="str">
        <f>IF(COUNTIF(BT$6:BT20,B21)&gt;0,"",B21)&amp;""</f>
        <v/>
      </c>
      <c r="BU21" s="138">
        <f t="shared" si="8"/>
        <v>0</v>
      </c>
      <c r="BV21" s="132">
        <f t="shared" si="9"/>
        <v>1</v>
      </c>
      <c r="BW21" s="138">
        <f t="shared" si="10"/>
        <v>0</v>
      </c>
      <c r="BX21" s="132">
        <f t="shared" si="11"/>
        <v>1</v>
      </c>
      <c r="BY21" s="133"/>
      <c r="BZ21" s="133"/>
    </row>
    <row r="22" ht="15" customHeight="1" spans="1:79">
      <c r="A22" s="123" t="str">
        <f>IF(B22="","",COUNT(A$6:A21)+1)</f>
        <v/>
      </c>
      <c r="B22" s="139"/>
      <c r="C22" s="140"/>
      <c r="D22" s="142"/>
      <c r="E22" s="127" t="str">
        <f>IFERROR(VLOOKUP(D22,参数表!$H$2:$I$50,2,FALSE),"")</f>
        <v/>
      </c>
      <c r="F22" s="128" t="str">
        <f t="shared" si="5"/>
        <v/>
      </c>
      <c r="G22" s="178"/>
      <c r="H22" s="179"/>
      <c r="I22" s="174" t="str">
        <f t="shared" si="6"/>
        <v/>
      </c>
      <c r="J22" s="129" t="str">
        <f t="shared" si="0"/>
        <v/>
      </c>
      <c r="K22" s="129" t="str">
        <f t="shared" si="1"/>
        <v/>
      </c>
      <c r="L22" s="129" t="str">
        <f t="shared" si="2"/>
        <v/>
      </c>
      <c r="M22" s="145"/>
      <c r="BA22" s="78"/>
      <c r="BB22" s="132" t="s">
        <v>5003</v>
      </c>
      <c r="BC22" s="133"/>
      <c r="BD22" s="132" t="str">
        <f>IF(OR(B22="",BC22=""),"",COUNTIF(BC$7:BC22,"√"))</f>
        <v/>
      </c>
      <c r="BE22" s="134" t="str">
        <f t="shared" si="3"/>
        <v/>
      </c>
      <c r="BF22" s="135" t="str">
        <f t="shared" si="7"/>
        <v/>
      </c>
      <c r="BG22" s="135" t="str">
        <f t="shared" si="7"/>
        <v/>
      </c>
      <c r="BH22" s="136"/>
      <c r="BI22" s="137"/>
      <c r="BJ22" s="136"/>
      <c r="BK22" s="136"/>
      <c r="BL22" s="136"/>
      <c r="BM22" s="137"/>
      <c r="BO22" s="131"/>
      <c r="BP22" s="131"/>
      <c r="BQ22" s="131"/>
      <c r="BR22" s="131"/>
      <c r="BT22" s="134" t="str">
        <f>IF(COUNTIF(BT$6:BT21,B22)&gt;0,"",B22)&amp;""</f>
        <v/>
      </c>
      <c r="BU22" s="138">
        <f t="shared" si="8"/>
        <v>0</v>
      </c>
      <c r="BV22" s="132">
        <f t="shared" si="9"/>
        <v>1</v>
      </c>
      <c r="BW22" s="138">
        <f t="shared" si="10"/>
        <v>0</v>
      </c>
      <c r="BX22" s="132">
        <f t="shared" si="11"/>
        <v>1</v>
      </c>
      <c r="BY22" s="133"/>
      <c r="BZ22" s="133"/>
    </row>
    <row r="23" ht="15" customHeight="1" spans="1:79">
      <c r="A23" s="123" t="str">
        <f>IF(B23="","",COUNT(A$6:A22)+1)</f>
        <v/>
      </c>
      <c r="B23" s="139"/>
      <c r="C23" s="140"/>
      <c r="D23" s="142"/>
      <c r="E23" s="127" t="str">
        <f>IFERROR(VLOOKUP(D23,参数表!$H$2:$I$50,2,FALSE),"")</f>
        <v/>
      </c>
      <c r="F23" s="128" t="str">
        <f t="shared" si="5"/>
        <v/>
      </c>
      <c r="G23" s="178"/>
      <c r="H23" s="179"/>
      <c r="I23" s="174" t="str">
        <f t="shared" si="6"/>
        <v/>
      </c>
      <c r="J23" s="129" t="str">
        <f t="shared" si="0"/>
        <v/>
      </c>
      <c r="K23" s="129" t="str">
        <f t="shared" si="1"/>
        <v/>
      </c>
      <c r="L23" s="129" t="str">
        <f t="shared" si="2"/>
        <v/>
      </c>
      <c r="M23" s="145"/>
      <c r="BA23" s="78"/>
      <c r="BB23" s="132" t="s">
        <v>5004</v>
      </c>
      <c r="BC23" s="133"/>
      <c r="BD23" s="132" t="str">
        <f>IF(OR(B23="",BC23=""),"",COUNTIF(BC$7:BC23,"√"))</f>
        <v/>
      </c>
      <c r="BE23" s="134" t="str">
        <f t="shared" si="3"/>
        <v/>
      </c>
      <c r="BF23" s="135" t="str">
        <f t="shared" si="7"/>
        <v/>
      </c>
      <c r="BG23" s="135" t="str">
        <f t="shared" si="7"/>
        <v/>
      </c>
      <c r="BH23" s="136"/>
      <c r="BI23" s="137"/>
      <c r="BJ23" s="136"/>
      <c r="BK23" s="136"/>
      <c r="BL23" s="136"/>
      <c r="BM23" s="137"/>
      <c r="BO23" s="131"/>
      <c r="BP23" s="131"/>
      <c r="BQ23" s="131"/>
      <c r="BR23" s="131"/>
      <c r="BT23" s="134" t="str">
        <f>IF(COUNTIF(BT$6:BT22,B23)&gt;0,"",B23)&amp;""</f>
        <v/>
      </c>
      <c r="BU23" s="138">
        <f t="shared" si="8"/>
        <v>0</v>
      </c>
      <c r="BV23" s="132">
        <f t="shared" si="9"/>
        <v>1</v>
      </c>
      <c r="BW23" s="138">
        <f t="shared" si="10"/>
        <v>0</v>
      </c>
      <c r="BX23" s="132">
        <f t="shared" si="11"/>
        <v>1</v>
      </c>
      <c r="BY23" s="133"/>
      <c r="BZ23" s="133"/>
    </row>
    <row r="24" ht="15" customHeight="1" spans="1:79">
      <c r="A24" s="123" t="str">
        <f>IF(B24="","",COUNT(A$6:A23)+1)</f>
        <v/>
      </c>
      <c r="B24" s="139"/>
      <c r="C24" s="140"/>
      <c r="D24" s="142"/>
      <c r="E24" s="127" t="str">
        <f>IFERROR(VLOOKUP(D24,参数表!$H$2:$I$50,2,FALSE),"")</f>
        <v/>
      </c>
      <c r="F24" s="128" t="str">
        <f t="shared" si="5"/>
        <v/>
      </c>
      <c r="G24" s="178"/>
      <c r="H24" s="179"/>
      <c r="I24" s="174" t="str">
        <f t="shared" si="6"/>
        <v/>
      </c>
      <c r="J24" s="129" t="str">
        <f t="shared" si="0"/>
        <v/>
      </c>
      <c r="K24" s="129" t="str">
        <f t="shared" si="1"/>
        <v/>
      </c>
      <c r="L24" s="129" t="str">
        <f t="shared" si="2"/>
        <v/>
      </c>
      <c r="M24" s="145"/>
      <c r="BA24" s="78"/>
      <c r="BB24" s="132" t="s">
        <v>5005</v>
      </c>
      <c r="BC24" s="133"/>
      <c r="BD24" s="132" t="str">
        <f>IF(OR(B24="",BC24=""),"",COUNTIF(BC$7:BC24,"√"))</f>
        <v/>
      </c>
      <c r="BE24" s="134" t="str">
        <f t="shared" si="3"/>
        <v/>
      </c>
      <c r="BF24" s="135" t="str">
        <f t="shared" si="7"/>
        <v/>
      </c>
      <c r="BG24" s="135" t="str">
        <f t="shared" si="7"/>
        <v/>
      </c>
      <c r="BH24" s="136"/>
      <c r="BI24" s="137"/>
      <c r="BJ24" s="136"/>
      <c r="BK24" s="136"/>
      <c r="BL24" s="136"/>
      <c r="BM24" s="137"/>
      <c r="BO24" s="131"/>
      <c r="BP24" s="131"/>
      <c r="BQ24" s="131"/>
      <c r="BR24" s="131"/>
      <c r="BT24" s="134" t="str">
        <f>IF(COUNTIF(BT$6:BT23,B24)&gt;0,"",B24)&amp;""</f>
        <v/>
      </c>
      <c r="BU24" s="138">
        <f t="shared" si="8"/>
        <v>0</v>
      </c>
      <c r="BV24" s="132">
        <f t="shared" si="9"/>
        <v>1</v>
      </c>
      <c r="BW24" s="138">
        <f t="shared" si="10"/>
        <v>0</v>
      </c>
      <c r="BX24" s="132">
        <f t="shared" si="11"/>
        <v>1</v>
      </c>
      <c r="BY24" s="133"/>
      <c r="BZ24" s="133"/>
    </row>
    <row r="25" ht="15" customHeight="1" spans="1:79">
      <c r="A25" s="123" t="str">
        <f>IF(B25="","",COUNT(A$6:A24)+1)</f>
        <v/>
      </c>
      <c r="B25" s="139"/>
      <c r="C25" s="140"/>
      <c r="D25" s="142"/>
      <c r="E25" s="127" t="str">
        <f>IFERROR(VLOOKUP(D25,参数表!$H$2:$I$50,2,FALSE),"")</f>
        <v/>
      </c>
      <c r="F25" s="128" t="str">
        <f t="shared" si="5"/>
        <v/>
      </c>
      <c r="G25" s="178"/>
      <c r="H25" s="179"/>
      <c r="I25" s="174" t="str">
        <f t="shared" si="6"/>
        <v/>
      </c>
      <c r="J25" s="129" t="str">
        <f t="shared" si="0"/>
        <v/>
      </c>
      <c r="K25" s="129" t="str">
        <f t="shared" si="1"/>
        <v/>
      </c>
      <c r="L25" s="129" t="str">
        <f t="shared" si="2"/>
        <v/>
      </c>
      <c r="M25" s="145"/>
      <c r="BA25" s="78"/>
      <c r="BB25" s="132" t="s">
        <v>5006</v>
      </c>
      <c r="BC25" s="133"/>
      <c r="BD25" s="132" t="str">
        <f>IF(OR(B25="",BC25=""),"",COUNTIF(BC$7:BC25,"√"))</f>
        <v/>
      </c>
      <c r="BE25" s="134" t="str">
        <f t="shared" si="3"/>
        <v/>
      </c>
      <c r="BF25" s="135" t="str">
        <f t="shared" si="7"/>
        <v/>
      </c>
      <c r="BG25" s="135" t="str">
        <f t="shared" si="7"/>
        <v/>
      </c>
      <c r="BH25" s="136"/>
      <c r="BI25" s="137"/>
      <c r="BJ25" s="136"/>
      <c r="BK25" s="136"/>
      <c r="BL25" s="136"/>
      <c r="BM25" s="137"/>
      <c r="BO25" s="131"/>
      <c r="BP25" s="131"/>
      <c r="BQ25" s="131"/>
      <c r="BR25" s="131"/>
      <c r="BT25" s="134" t="str">
        <f>IF(COUNTIF(BT$6:BT24,B25)&gt;0,"",B25)&amp;""</f>
        <v/>
      </c>
      <c r="BU25" s="138">
        <f t="shared" si="8"/>
        <v>0</v>
      </c>
      <c r="BV25" s="132">
        <f t="shared" si="9"/>
        <v>1</v>
      </c>
      <c r="BW25" s="138">
        <f t="shared" si="10"/>
        <v>0</v>
      </c>
      <c r="BX25" s="132">
        <f t="shared" si="11"/>
        <v>1</v>
      </c>
      <c r="BY25" s="133"/>
      <c r="BZ25" s="133"/>
    </row>
    <row r="26" ht="15" customHeight="1" spans="1:79">
      <c r="A26" s="123" t="str">
        <f>IF(B26="","",COUNT(A$6:A25)+1)</f>
        <v/>
      </c>
      <c r="B26" s="124"/>
      <c r="C26" s="125"/>
      <c r="D26" s="127"/>
      <c r="E26" s="127" t="str">
        <f>IFERROR(VLOOKUP(D26,参数表!$H$2:$I$50,2,FALSE),"")</f>
        <v/>
      </c>
      <c r="F26" s="128" t="str">
        <f t="shared" si="5"/>
        <v/>
      </c>
      <c r="G26" s="174"/>
      <c r="H26" s="175"/>
      <c r="I26" s="174" t="str">
        <f t="shared" si="6"/>
        <v/>
      </c>
      <c r="J26" s="129" t="str">
        <f t="shared" si="0"/>
        <v/>
      </c>
      <c r="K26" s="129" t="str">
        <f t="shared" si="1"/>
        <v/>
      </c>
      <c r="L26" s="129" t="str">
        <f t="shared" si="2"/>
        <v/>
      </c>
      <c r="M26" s="131"/>
      <c r="BA26" s="78"/>
      <c r="BB26" s="132" t="s">
        <v>5007</v>
      </c>
      <c r="BC26" s="133"/>
      <c r="BD26" s="132" t="str">
        <f>IF(OR(B26="",BC26=""),"",COUNTIF(BC$7:BC26,"√"))</f>
        <v/>
      </c>
      <c r="BE26" s="134" t="str">
        <f t="shared" si="3"/>
        <v/>
      </c>
      <c r="BF26" s="135" t="str">
        <f t="shared" si="7"/>
        <v/>
      </c>
      <c r="BG26" s="135" t="str">
        <f t="shared" si="7"/>
        <v/>
      </c>
      <c r="BH26" s="136"/>
      <c r="BI26" s="137"/>
      <c r="BJ26" s="136"/>
      <c r="BK26" s="136"/>
      <c r="BL26" s="136"/>
      <c r="BM26" s="137"/>
      <c r="BO26" s="131"/>
      <c r="BP26" s="131"/>
      <c r="BQ26" s="131"/>
      <c r="BR26" s="131"/>
      <c r="BT26" s="134" t="str">
        <f>IF(COUNTIF(BT$6:BT25,B26)&gt;0,"",B26)&amp;""</f>
        <v/>
      </c>
      <c r="BU26" s="138">
        <f t="shared" si="8"/>
        <v>0</v>
      </c>
      <c r="BV26" s="132">
        <f t="shared" si="9"/>
        <v>1</v>
      </c>
      <c r="BW26" s="138">
        <f t="shared" si="10"/>
        <v>0</v>
      </c>
      <c r="BX26" s="132">
        <f t="shared" si="11"/>
        <v>1</v>
      </c>
      <c r="BY26" s="133"/>
      <c r="BZ26" s="133"/>
    </row>
    <row r="27" s="73" customFormat="1" ht="15" customHeight="1" spans="1:79">
      <c r="A27" s="149" t="s">
        <v>4984</v>
      </c>
      <c r="B27" s="149"/>
      <c r="C27" s="150"/>
      <c r="D27" s="151"/>
      <c r="E27" s="151"/>
      <c r="F27" s="151"/>
      <c r="G27" s="180">
        <f>SUM(G7:G26)</f>
        <v>0</v>
      </c>
      <c r="H27" s="181"/>
      <c r="I27" s="180">
        <f>SUM(I7:I26)</f>
        <v>0</v>
      </c>
      <c r="J27" s="180">
        <f>SUM(J7:J26)</f>
        <v>0</v>
      </c>
      <c r="K27" s="152">
        <f t="shared" si="1"/>
        <v>0</v>
      </c>
      <c r="L27" s="152" t="str">
        <f t="shared" si="2"/>
        <v/>
      </c>
      <c r="M27" s="151"/>
      <c r="BF27" s="75"/>
      <c r="BG27" s="75"/>
      <c r="BH27" s="165"/>
      <c r="BI27" s="75"/>
      <c r="BJ27" s="165"/>
      <c r="BK27" s="165"/>
      <c r="BL27" s="165"/>
      <c r="BM27" s="75"/>
      <c r="BO27" s="151"/>
      <c r="BP27" s="180">
        <f ca="1">SUM(BP7:BP26)</f>
        <v>0</v>
      </c>
      <c r="BQ27" s="151"/>
      <c r="BR27" s="180">
        <f ca="1">SUM(BR7:BR26)</f>
        <v>0</v>
      </c>
      <c r="BS27" s="111"/>
      <c r="BT27" s="119"/>
      <c r="BU27" s="77"/>
      <c r="BV27" s="77"/>
      <c r="BW27" s="77"/>
      <c r="BX27" s="119"/>
      <c r="BY27" s="119"/>
      <c r="BZ27" s="119"/>
      <c r="CA27" s="111"/>
    </row>
    <row r="28" customHeight="1" spans="1:79">
      <c r="A28" s="102" t="str">
        <f>参数表!F$6</f>
        <v>产权持有单位填表人：贾广东</v>
      </c>
      <c r="B28" s="154"/>
      <c r="C28" s="154"/>
      <c r="D28" s="154"/>
      <c r="E28" s="154"/>
      <c r="F28" s="154"/>
      <c r="G28" s="154"/>
      <c r="H28" s="155"/>
      <c r="I28" s="154"/>
      <c r="J28" s="103" t="str">
        <f>"评估人员："&amp;封面!$G$36</f>
        <v>评估人员：</v>
      </c>
      <c r="K28" s="103"/>
      <c r="L28" s="103"/>
      <c r="M28" s="103"/>
    </row>
    <row r="29" customHeight="1" spans="1:79">
      <c r="A29" s="102" t="str">
        <f>参数表!F$7</f>
        <v>填表日期：2025年9月20日</v>
      </c>
      <c r="B29" s="154"/>
      <c r="C29" s="154"/>
      <c r="D29" s="154"/>
      <c r="E29" s="154"/>
      <c r="F29" s="154"/>
      <c r="G29" s="154"/>
      <c r="H29" s="155"/>
      <c r="I29" s="154"/>
      <c r="J29" s="103"/>
      <c r="K29" s="103"/>
      <c r="L29" s="103"/>
      <c r="M29" s="103"/>
    </row>
    <row r="30" hidden="1" customHeight="1" outlineLevel="1" spans="1:79">
      <c r="A30" s="157"/>
      <c r="B30" s="154" t="s">
        <v>1673</v>
      </c>
      <c r="C30" s="158"/>
      <c r="D30" s="158"/>
      <c r="E30" s="158"/>
      <c r="F30" s="158"/>
      <c r="G30" s="159">
        <f>SUMIF($BA7:$BA26,$BA30,G7:G26)</f>
        <v>0</v>
      </c>
      <c r="H30" s="160"/>
      <c r="I30" s="159">
        <f>SUMIF($BA7:$BA26,$BA30,I7:I26)</f>
        <v>0</v>
      </c>
      <c r="J30" s="159">
        <f>SUMIF($BA7:$BA26,$BA30,J7:J26)</f>
        <v>0</v>
      </c>
      <c r="BA30" s="161" t="s">
        <v>1674</v>
      </c>
      <c r="BH30" s="95" t="s">
        <v>1675</v>
      </c>
      <c r="BJ30" s="95" t="s">
        <v>1675</v>
      </c>
      <c r="BK30" s="95" t="s">
        <v>1675</v>
      </c>
      <c r="BL30" s="95" t="s">
        <v>1675</v>
      </c>
    </row>
    <row r="31" hidden="1" customHeight="1" outlineLevel="1" spans="1:79">
      <c r="A31" s="157"/>
      <c r="B31" s="154" t="s">
        <v>1676</v>
      </c>
      <c r="C31" s="158"/>
      <c r="D31" s="158"/>
      <c r="E31" s="158"/>
      <c r="F31" s="158"/>
      <c r="G31" s="159">
        <f>G27-G30</f>
        <v>0</v>
      </c>
      <c r="H31" s="160"/>
      <c r="I31" s="159">
        <f>I27-I30</f>
        <v>0</v>
      </c>
      <c r="J31" s="159">
        <f>J27-J30</f>
        <v>0</v>
      </c>
      <c r="BA31" s="161" t="s">
        <v>1677</v>
      </c>
      <c r="BH31" s="95" t="s">
        <v>1678</v>
      </c>
      <c r="BJ31" s="95" t="s">
        <v>1678</v>
      </c>
      <c r="BK31" s="95" t="s">
        <v>1678</v>
      </c>
      <c r="BL31" s="95" t="s">
        <v>1678</v>
      </c>
    </row>
    <row r="32" customHeight="1" collapsed="1" spans="1:79">
      <c r="A32" s="157"/>
      <c r="B32" s="158"/>
      <c r="C32" s="158"/>
      <c r="D32" s="158"/>
      <c r="E32" s="158"/>
      <c r="F32" s="158"/>
      <c r="G32" s="158"/>
      <c r="H32" s="164"/>
      <c r="I32" s="158"/>
    </row>
    <row r="33" customHeight="1" spans="1:9">
      <c r="A33" s="157"/>
      <c r="B33" s="158"/>
      <c r="C33" s="158"/>
      <c r="D33" s="158"/>
      <c r="E33" s="158"/>
      <c r="F33" s="158"/>
      <c r="G33" s="158"/>
      <c r="H33" s="164"/>
      <c r="I33" s="158"/>
    </row>
    <row r="34" customHeight="1" spans="1:9">
      <c r="A34" s="157"/>
      <c r="B34" s="158"/>
      <c r="C34" s="158"/>
      <c r="D34" s="158"/>
      <c r="E34" s="158"/>
      <c r="F34" s="158"/>
      <c r="G34" s="158"/>
      <c r="H34" s="164"/>
      <c r="I34" s="158"/>
    </row>
    <row r="35" customHeight="1" spans="1:9">
      <c r="A35" s="157"/>
      <c r="B35" s="158"/>
      <c r="C35" s="158"/>
      <c r="D35" s="158"/>
      <c r="E35" s="158"/>
      <c r="F35" s="158"/>
      <c r="G35" s="158"/>
      <c r="H35" s="164"/>
      <c r="I35" s="158"/>
    </row>
    <row r="36" customHeight="1" spans="1:9">
      <c r="A36" s="157"/>
      <c r="B36" s="158"/>
      <c r="C36" s="158"/>
      <c r="D36" s="158"/>
      <c r="E36" s="158"/>
      <c r="F36" s="158"/>
      <c r="G36" s="158"/>
      <c r="H36" s="164"/>
      <c r="I36" s="158"/>
    </row>
    <row r="37" customHeight="1" spans="1:9">
      <c r="D37" s="158"/>
      <c r="E37" s="158"/>
      <c r="F37" s="158"/>
    </row>
  </sheetData>
  <sheetProtection autoFilter="0"/>
  <mergeCells count="6">
    <mergeCell ref="A2:M2"/>
    <mergeCell ref="A3:M3"/>
    <mergeCell ref="BY7:CA7"/>
    <mergeCell ref="BY8:CA8"/>
    <mergeCell ref="BZ14:CA14"/>
    <mergeCell ref="A27:B27"/>
  </mergeCells>
  <conditionalFormatting sqref="BI7:BI26">
    <cfRule type="expression" dxfId="5" priority="65538" stopIfTrue="1">
      <formula>AND(BH7="有",BI7="")</formula>
    </cfRule>
  </conditionalFormatting>
  <conditionalFormatting sqref="BF7:BG26">
    <cfRule type="containsText" dxfId="6" priority="1" stopIfTrue="1" operator="between" text="出错">
      <formula>NOT(ISERROR(SEARCH("出错",BF7)))</formula>
    </cfRule>
  </conditionalFormatting>
  <conditionalFormatting sqref="BH7:BH26 BJ7:BL26">
    <cfRule type="expression" dxfId="5" priority="7" stopIfTrue="1">
      <formula>AND($B7&lt;&gt;"",BH7="")</formula>
    </cfRule>
  </conditionalFormatting>
  <dataValidations count="4">
    <dataValidation type="list" allowBlank="1" showInputMessage="1" showErrorMessage="1" sqref="D7:D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L26">
      <formula1>BH$30:BH$31</formula1>
    </dataValidation>
  </dataValidations>
  <hyperlinks>
    <hyperlink ref="A1" location="索引目录!D53" display="返回索引页"/>
    <hyperlink ref="B1" location="非流动资产评估汇总!B46"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3"/>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29.2" style="75" customWidth="1"/>
    <col min="3" max="3" width="10.7" style="75" customWidth="1"/>
    <col min="4" max="5" width="4.6" style="75" customWidth="1" outlineLevel="1"/>
    <col min="6" max="6" width="6.1" style="75" customWidth="1" outlineLevel="1"/>
    <col min="7" max="7" width="15.6" style="75" customWidth="1" outlineLevel="1"/>
    <col min="8" max="8" width="15.6" style="76" customWidth="1" outlineLevel="1"/>
    <col min="9" max="10" width="15.6" style="75" customWidth="1"/>
    <col min="11" max="12" width="9.6" style="75" customWidth="1"/>
    <col min="13" max="13" width="18.6" style="75" customWidth="1"/>
    <col min="14"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5" width="4.7" style="165" customWidth="1"/>
    <col min="66" max="66" width="10.3" style="75" customWidth="1"/>
    <col min="67" max="67" width="4.7" style="16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86" customFormat="1" ht="13.8" spans="1:77">
      <c r="A1" s="203" t="s">
        <v>1591</v>
      </c>
      <c r="B1" s="204" t="s">
        <v>1592</v>
      </c>
      <c r="C1" s="82"/>
      <c r="D1" s="82"/>
      <c r="E1" s="82"/>
      <c r="F1" s="82"/>
      <c r="G1" s="82"/>
      <c r="H1" s="205"/>
      <c r="I1" s="82"/>
      <c r="J1" s="82"/>
      <c r="K1" s="82"/>
      <c r="L1" s="82"/>
      <c r="M1" s="82"/>
      <c r="BA1" s="84" t="str">
        <f>参数表!BA1</f>
        <v>注意：补充特殊事项、作价等均从BA列开始填写</v>
      </c>
      <c r="BB1" s="85"/>
      <c r="BH1" s="82"/>
      <c r="BJ1" s="82"/>
      <c r="BK1" s="82"/>
      <c r="BL1" s="82"/>
      <c r="BM1" s="82"/>
      <c r="BO1" s="82"/>
      <c r="BQ1" s="87"/>
      <c r="BR1" s="88"/>
      <c r="BS1" s="87"/>
      <c r="BT1" s="88"/>
      <c r="BU1" s="88"/>
      <c r="BV1" s="88"/>
      <c r="BW1" s="88"/>
      <c r="BX1" s="88"/>
      <c r="BY1" s="87"/>
    </row>
    <row r="2" s="71" customFormat="1" ht="30" customHeight="1" spans="1:77">
      <c r="A2" s="89" t="s">
        <v>5008</v>
      </c>
      <c r="B2" s="89"/>
      <c r="C2" s="89"/>
      <c r="D2" s="89"/>
      <c r="E2" s="89"/>
      <c r="F2" s="89"/>
      <c r="G2" s="89"/>
      <c r="H2" s="89"/>
      <c r="I2" s="89"/>
      <c r="J2" s="89"/>
      <c r="K2" s="89"/>
      <c r="L2" s="89"/>
      <c r="M2" s="89"/>
      <c r="BA2" s="90" t="str">
        <f>参数表!BA2</f>
        <v>评估基准日：</v>
      </c>
      <c r="BB2" s="91" t="str">
        <f>参数表!$BB$2</f>
        <v>2025年7月31日</v>
      </c>
      <c r="BH2" s="171"/>
      <c r="BJ2" s="171"/>
      <c r="BK2" s="171"/>
      <c r="BL2" s="171"/>
      <c r="BM2" s="171"/>
      <c r="BO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4"/>
      <c r="M3" s="95"/>
      <c r="BA3" s="90" t="str">
        <f>参数表!BA3</f>
        <v>是否显示评估值：</v>
      </c>
      <c r="BB3" s="90" t="str">
        <f>参数表!$BB$3</f>
        <v>是</v>
      </c>
      <c r="BS3" s="78"/>
    </row>
    <row r="4" ht="15" customHeight="1" spans="1:77">
      <c r="A4" s="96"/>
      <c r="B4" s="94"/>
      <c r="C4" s="94"/>
      <c r="D4" s="94"/>
      <c r="E4" s="94"/>
      <c r="F4" s="94"/>
      <c r="G4" s="94"/>
      <c r="H4" s="97"/>
      <c r="I4" s="94"/>
      <c r="J4" s="94"/>
      <c r="K4" s="94"/>
      <c r="L4" s="94"/>
      <c r="M4" s="98" t="str">
        <f>"表"&amp;$BA4</f>
        <v>表4-20</v>
      </c>
      <c r="O4" s="277"/>
      <c r="BA4" s="274" t="str">
        <f>非流动资总!A26</f>
        <v>4-20</v>
      </c>
      <c r="BB4" s="100">
        <f>MAX(COUNTA(A7:A26),COUNTA(B7:B26),COUNTA(G7:G26),COUNTA(I7:I26))</f>
        <v>20</v>
      </c>
      <c r="BC4" s="101">
        <f>ROW(A6)+1</f>
        <v>7</v>
      </c>
      <c r="BD4" s="77"/>
      <c r="BE4" s="77"/>
      <c r="BS4" s="78"/>
    </row>
    <row r="5" ht="15" customHeight="1" spans="1:77">
      <c r="A5" s="102" t="str">
        <f>参数表!F3</f>
        <v>产权持有单位:中煤第五建设有限公司</v>
      </c>
      <c r="B5" s="103"/>
      <c r="C5" s="103"/>
      <c r="D5" s="103"/>
      <c r="E5" s="103"/>
      <c r="F5" s="103"/>
      <c r="G5" s="103"/>
      <c r="H5" s="104"/>
      <c r="I5" s="103"/>
      <c r="J5" s="103"/>
      <c r="K5" s="103"/>
      <c r="L5" s="103"/>
      <c r="M5" s="98" t="s">
        <v>236</v>
      </c>
      <c r="BA5" s="103"/>
      <c r="BB5" s="105" t="str">
        <f ca="1">判断表!C96</f>
        <v>中煤第五建设有限公司第三工程处拟处置实物资产项目\[0000-3基础法明细表.xlsx]其他非资</v>
      </c>
      <c r="BC5" s="106">
        <f>IFERROR(SUMIF(BC7:BC26,"√",I7:I26)/I27,0)</f>
        <v>0</v>
      </c>
      <c r="BD5" s="107"/>
      <c r="BE5" s="107"/>
      <c r="BF5" s="108">
        <f>分类汇总!I42</f>
        <v>0</v>
      </c>
      <c r="BG5" s="108">
        <f>分类汇总!K42</f>
        <v>0</v>
      </c>
      <c r="BH5" s="109"/>
      <c r="BI5" s="109"/>
      <c r="BJ5" s="109"/>
      <c r="BK5" s="109"/>
      <c r="BL5" s="109"/>
      <c r="BM5" s="109"/>
      <c r="BN5" s="110"/>
      <c r="BO5" s="109"/>
      <c r="BP5" s="110"/>
      <c r="BQ5" s="111"/>
      <c r="BS5" s="78"/>
      <c r="BY5" s="111"/>
    </row>
    <row r="6" s="72" customFormat="1" ht="25.2" customHeight="1" spans="1:77">
      <c r="A6" s="112" t="s">
        <v>305</v>
      </c>
      <c r="B6" s="113" t="s">
        <v>4915</v>
      </c>
      <c r="C6" s="113" t="s">
        <v>3774</v>
      </c>
      <c r="D6" s="114" t="s">
        <v>1631</v>
      </c>
      <c r="E6" s="115" t="s">
        <v>1632</v>
      </c>
      <c r="F6" s="116" t="s">
        <v>3793</v>
      </c>
      <c r="G6" s="113" t="s">
        <v>1549</v>
      </c>
      <c r="H6" s="117" t="s">
        <v>1634</v>
      </c>
      <c r="I6" s="118" t="s">
        <v>1523</v>
      </c>
      <c r="J6" s="113" t="s">
        <v>1550</v>
      </c>
      <c r="K6" s="113" t="s">
        <v>1525</v>
      </c>
      <c r="L6" s="113" t="s">
        <v>1551</v>
      </c>
      <c r="M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1641</v>
      </c>
      <c r="BN6" s="118" t="s">
        <v>2209</v>
      </c>
      <c r="BO6" s="118" t="s">
        <v>3697</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7"/>
      <c r="E7" s="127" t="str">
        <f>IFERROR(VLOOKUP(D7,参数表!$H$2:$I$50,2,FALSE),"")</f>
        <v/>
      </c>
      <c r="F7" s="128" t="str">
        <f>IFERROR(IF(OR(D7="人民币",D7=""),"",I7/E7),"")</f>
        <v/>
      </c>
      <c r="G7" s="129"/>
      <c r="H7" s="130"/>
      <c r="I7" s="129" t="str">
        <f>IF(B7="","",G7+H7)</f>
        <v/>
      </c>
      <c r="J7" s="129" t="str">
        <f t="shared" ref="J7:J26" si="0">IF(B7="","",IF($BB$3="是",I7,""))</f>
        <v/>
      </c>
      <c r="K7" s="129" t="str">
        <f>IFERROR(J7-I7,"")</f>
        <v/>
      </c>
      <c r="L7" s="129" t="str">
        <f>IFERROR(K7/I7*100,"")</f>
        <v/>
      </c>
      <c r="M7" s="131"/>
      <c r="BA7" s="78"/>
      <c r="BB7" s="132" t="s">
        <v>5009</v>
      </c>
      <c r="BC7" s="133"/>
      <c r="BD7" s="132" t="str">
        <f>IF(OR(B7="",BC7=""),"",COUNTIF(BC$7:BC7,"√"))</f>
        <v/>
      </c>
      <c r="BE7" s="134" t="str">
        <f t="shared" ref="BE7:BE26" si="1">IF(BC7="","",BB7&amp;"︱"&amp;B7&amp;"︱"&amp;TEXT(G7,"#,##0.00"))</f>
        <v/>
      </c>
      <c r="BF7" s="135" t="str">
        <f>IF($B7="","",IF(BF$5=0,"OK","出错"))</f>
        <v/>
      </c>
      <c r="BG7" s="135" t="str">
        <f>IF($B7="","",IF(BG$5=0,"OK","出错"))</f>
        <v/>
      </c>
      <c r="BH7" s="136"/>
      <c r="BI7" s="137"/>
      <c r="BJ7" s="136"/>
      <c r="BK7" s="136"/>
      <c r="BL7" s="136"/>
      <c r="BM7" s="136"/>
      <c r="BN7" s="137"/>
      <c r="BO7" s="136"/>
      <c r="BP7" s="137"/>
      <c r="BR7" s="134" t="str">
        <f>IF(COUNTIF(BR$6:BR6,B7)&gt;0,"",B7)&amp;""</f>
        <v/>
      </c>
      <c r="BS7" s="138">
        <f>SUMIF(B$7:B$26,BR7,I$7:I$26)</f>
        <v>0</v>
      </c>
      <c r="BT7" s="132">
        <f t="shared" ref="BT7" si="2">RANK(BS7,BS$7:BS$26)</f>
        <v>1</v>
      </c>
      <c r="BU7" s="138">
        <f>SUMIF(B$7:B$26,BR7,J$7:J$26)</f>
        <v>0</v>
      </c>
      <c r="BV7" s="132">
        <f>RANK(BU7,BU$7:BU$26)</f>
        <v>1</v>
      </c>
      <c r="BW7" s="138">
        <f>SUM(BS7:BS26)</f>
        <v>0</v>
      </c>
      <c r="BX7" s="138"/>
      <c r="BY7" s="138"/>
    </row>
    <row r="8" ht="15" customHeight="1" spans="1:77">
      <c r="A8" s="123" t="str">
        <f>IF(B8="","",COUNT(A$6:A7)+1)</f>
        <v/>
      </c>
      <c r="B8" s="139"/>
      <c r="C8" s="140"/>
      <c r="D8" s="142"/>
      <c r="E8" s="127" t="str">
        <f>IFERROR(VLOOKUP(D8,参数表!$H$2:$I$50,2,FALSE),"")</f>
        <v/>
      </c>
      <c r="F8" s="128" t="str">
        <f t="shared" ref="F8:F26" si="3">IFERROR(IF(OR(D8="人民币",D8=""),"",I8/E8),"")</f>
        <v/>
      </c>
      <c r="G8" s="143"/>
      <c r="H8" s="144"/>
      <c r="I8" s="129" t="str">
        <f t="shared" ref="I8:I26" si="4">IF(B8="","",G8+H8)</f>
        <v/>
      </c>
      <c r="J8" s="129" t="str">
        <f t="shared" si="0"/>
        <v/>
      </c>
      <c r="K8" s="129" t="str">
        <f t="shared" ref="K8:K27" si="5">IFERROR(J8-I8,"")</f>
        <v/>
      </c>
      <c r="L8" s="129" t="str">
        <f t="shared" ref="L8:L27" si="6">IFERROR(K8/I8*100,"")</f>
        <v/>
      </c>
      <c r="M8" s="145"/>
      <c r="BA8" s="78"/>
      <c r="BB8" s="132" t="s">
        <v>5010</v>
      </c>
      <c r="BC8" s="133"/>
      <c r="BD8" s="132" t="str">
        <f>IF(OR(B8="",BC8=""),"",COUNTIF(BC$7:BC8,"√"))</f>
        <v/>
      </c>
      <c r="BE8" s="134" t="str">
        <f t="shared" si="1"/>
        <v/>
      </c>
      <c r="BF8" s="135" t="str">
        <f t="shared" ref="BF8:BG26" si="7">IF($B8="","",IF(BF$5=0,"OK","出错"))</f>
        <v/>
      </c>
      <c r="BG8" s="135" t="str">
        <f t="shared" si="7"/>
        <v/>
      </c>
      <c r="BH8" s="136"/>
      <c r="BI8" s="137"/>
      <c r="BJ8" s="136"/>
      <c r="BK8" s="136"/>
      <c r="BL8" s="136"/>
      <c r="BM8" s="136"/>
      <c r="BN8" s="137"/>
      <c r="BO8" s="136"/>
      <c r="BP8" s="137"/>
      <c r="BR8" s="134" t="str">
        <f>IF(COUNTIF(BR$6:BR7,B8)&gt;0,"",B8)&amp;""</f>
        <v/>
      </c>
      <c r="BS8" s="138">
        <f t="shared" ref="BS8:BS26" si="8">SUMIF(B$7:B$26,BR8,I$7:I$26)</f>
        <v>0</v>
      </c>
      <c r="BT8" s="132">
        <f t="shared" ref="BT8:BT26" si="9">RANK(BS8,BS$7:BS$26)</f>
        <v>1</v>
      </c>
      <c r="BU8" s="138">
        <f t="shared" ref="BU8:BU26" si="10">SUMIF(B$7:B$26,BR8,J$7:J$26)</f>
        <v>0</v>
      </c>
      <c r="BV8" s="132">
        <f t="shared" ref="BV8:BV26" si="11">RANK(BU8,BU$7:BU$26)</f>
        <v>1</v>
      </c>
      <c r="BW8" s="138">
        <f>SUM(BU7:BU26)</f>
        <v>0</v>
      </c>
      <c r="BX8" s="138"/>
      <c r="BY8" s="138"/>
    </row>
    <row r="9" ht="15" customHeight="1" spans="1:77">
      <c r="A9" s="123" t="str">
        <f>IF(B9="","",COUNT(A$6:A8)+1)</f>
        <v/>
      </c>
      <c r="B9" s="139"/>
      <c r="C9" s="140"/>
      <c r="D9" s="142"/>
      <c r="E9" s="127" t="str">
        <f>IFERROR(VLOOKUP(D9,参数表!$H$2:$I$50,2,FALSE),"")</f>
        <v/>
      </c>
      <c r="F9" s="128" t="str">
        <f t="shared" si="3"/>
        <v/>
      </c>
      <c r="G9" s="143"/>
      <c r="H9" s="144"/>
      <c r="I9" s="129" t="str">
        <f t="shared" si="4"/>
        <v/>
      </c>
      <c r="J9" s="129" t="str">
        <f t="shared" si="0"/>
        <v/>
      </c>
      <c r="K9" s="129" t="str">
        <f t="shared" si="5"/>
        <v/>
      </c>
      <c r="L9" s="129" t="str">
        <f t="shared" si="6"/>
        <v/>
      </c>
      <c r="M9" s="145"/>
      <c r="BA9" s="78"/>
      <c r="BB9" s="132" t="s">
        <v>5011</v>
      </c>
      <c r="BC9" s="133"/>
      <c r="BD9" s="132" t="str">
        <f>IF(OR(B9="",BC9=""),"",COUNTIF(BC$7:BC9,"√"))</f>
        <v/>
      </c>
      <c r="BE9" s="134" t="str">
        <f t="shared" si="1"/>
        <v/>
      </c>
      <c r="BF9" s="135" t="str">
        <f t="shared" si="7"/>
        <v/>
      </c>
      <c r="BG9" s="135" t="str">
        <f t="shared" si="7"/>
        <v/>
      </c>
      <c r="BH9" s="136"/>
      <c r="BI9" s="137"/>
      <c r="BJ9" s="136"/>
      <c r="BK9" s="136"/>
      <c r="BL9" s="136"/>
      <c r="BM9" s="136"/>
      <c r="BN9" s="137"/>
      <c r="BO9" s="136"/>
      <c r="BP9" s="137"/>
      <c r="BR9" s="134" t="str">
        <f>IF(COUNTIF(BR$6:BR8,B9)&gt;0,"",B9)&amp;""</f>
        <v/>
      </c>
      <c r="BS9" s="138">
        <f t="shared" si="8"/>
        <v>0</v>
      </c>
      <c r="BT9" s="132">
        <f t="shared" si="9"/>
        <v>1</v>
      </c>
      <c r="BU9" s="138">
        <f t="shared" si="10"/>
        <v>0</v>
      </c>
      <c r="BV9" s="132">
        <f t="shared" si="11"/>
        <v>1</v>
      </c>
      <c r="BW9" s="132">
        <v>1</v>
      </c>
      <c r="BX9" s="134" t="str">
        <f>IFERROR(INDEX(BR$7:BR$26,MATCH(BW9,IF(BW$7=0,BV$7:BV$26,BT$7:BT$26),0))&amp;"","")</f>
        <v/>
      </c>
      <c r="BY9" s="146" t="str">
        <f>IF(BX10="","",IF(BX11="","和","、"))</f>
        <v/>
      </c>
    </row>
    <row r="10" ht="15" customHeight="1" spans="1:77">
      <c r="A10" s="123" t="str">
        <f>IF(B10="","",COUNT(A$6:A9)+1)</f>
        <v/>
      </c>
      <c r="B10" s="139"/>
      <c r="C10" s="140"/>
      <c r="D10" s="142"/>
      <c r="E10" s="127" t="str">
        <f>IFERROR(VLOOKUP(D10,参数表!$H$2:$I$50,2,FALSE),"")</f>
        <v/>
      </c>
      <c r="F10" s="128" t="str">
        <f t="shared" si="3"/>
        <v/>
      </c>
      <c r="G10" s="143"/>
      <c r="H10" s="144"/>
      <c r="I10" s="129" t="str">
        <f t="shared" si="4"/>
        <v/>
      </c>
      <c r="J10" s="129" t="str">
        <f t="shared" si="0"/>
        <v/>
      </c>
      <c r="K10" s="129" t="str">
        <f t="shared" si="5"/>
        <v/>
      </c>
      <c r="L10" s="129" t="str">
        <f t="shared" si="6"/>
        <v/>
      </c>
      <c r="M10" s="145"/>
      <c r="BA10" s="78"/>
      <c r="BB10" s="132" t="s">
        <v>5012</v>
      </c>
      <c r="BC10" s="133"/>
      <c r="BD10" s="132" t="str">
        <f>IF(OR(B10="",BC10=""),"",COUNTIF(BC$7:BC10,"√"))</f>
        <v/>
      </c>
      <c r="BE10" s="134" t="str">
        <f t="shared" si="1"/>
        <v/>
      </c>
      <c r="BF10" s="135" t="str">
        <f t="shared" si="7"/>
        <v/>
      </c>
      <c r="BG10" s="135" t="str">
        <f t="shared" si="7"/>
        <v/>
      </c>
      <c r="BH10" s="136"/>
      <c r="BI10" s="137"/>
      <c r="BJ10" s="136"/>
      <c r="BK10" s="136"/>
      <c r="BL10" s="136"/>
      <c r="BM10" s="136"/>
      <c r="BN10" s="137"/>
      <c r="BO10" s="136"/>
      <c r="BP10" s="137"/>
      <c r="BR10" s="134" t="str">
        <f>IF(COUNTIF(BR$6:BR9,B10)&gt;0,"",B10)&amp;""</f>
        <v/>
      </c>
      <c r="BS10" s="138">
        <f t="shared" si="8"/>
        <v>0</v>
      </c>
      <c r="BT10" s="132">
        <f t="shared" si="9"/>
        <v>1</v>
      </c>
      <c r="BU10" s="138">
        <f t="shared" si="10"/>
        <v>0</v>
      </c>
      <c r="BV10" s="132">
        <f t="shared" si="11"/>
        <v>1</v>
      </c>
      <c r="BW10" s="132">
        <v>2</v>
      </c>
      <c r="BX10" s="134" t="str">
        <f t="shared" ref="BX10:BX13" si="12">IFERROR(INDEX(BR$7:BR$26,MATCH(BW10,IF(BW$7=0,BV$7:BV$26,BT$7:BT$26),0))&amp;"","")</f>
        <v/>
      </c>
      <c r="BY10" s="146" t="str">
        <f t="shared" ref="BY10:BY11" si="13">IF(BX11="","",IF(BX12="","和","、"))</f>
        <v/>
      </c>
    </row>
    <row r="11" ht="15" customHeight="1" spans="1:77">
      <c r="A11" s="123" t="str">
        <f>IF(B11="","",COUNT(A$6:A10)+1)</f>
        <v/>
      </c>
      <c r="B11" s="139"/>
      <c r="C11" s="140"/>
      <c r="D11" s="142"/>
      <c r="E11" s="127" t="str">
        <f>IFERROR(VLOOKUP(D11,参数表!$H$2:$I$50,2,FALSE),"")</f>
        <v/>
      </c>
      <c r="F11" s="128" t="str">
        <f t="shared" si="3"/>
        <v/>
      </c>
      <c r="G11" s="143"/>
      <c r="H11" s="144"/>
      <c r="I11" s="129" t="str">
        <f t="shared" si="4"/>
        <v/>
      </c>
      <c r="J11" s="129" t="str">
        <f t="shared" si="0"/>
        <v/>
      </c>
      <c r="K11" s="129" t="str">
        <f t="shared" si="5"/>
        <v/>
      </c>
      <c r="L11" s="129" t="str">
        <f t="shared" si="6"/>
        <v/>
      </c>
      <c r="M11" s="145"/>
      <c r="BA11" s="78"/>
      <c r="BB11" s="132" t="s">
        <v>5013</v>
      </c>
      <c r="BC11" s="133"/>
      <c r="BD11" s="132" t="str">
        <f>IF(OR(B11="",BC11=""),"",COUNTIF(BC$7:BC11,"√"))</f>
        <v/>
      </c>
      <c r="BE11" s="134" t="str">
        <f t="shared" si="1"/>
        <v/>
      </c>
      <c r="BF11" s="135" t="str">
        <f t="shared" si="7"/>
        <v/>
      </c>
      <c r="BG11" s="135" t="str">
        <f t="shared" si="7"/>
        <v/>
      </c>
      <c r="BH11" s="136"/>
      <c r="BI11" s="137"/>
      <c r="BJ11" s="136"/>
      <c r="BK11" s="136"/>
      <c r="BL11" s="136"/>
      <c r="BM11" s="136"/>
      <c r="BN11" s="137"/>
      <c r="BO11" s="136"/>
      <c r="BP11" s="137"/>
      <c r="BR11" s="134" t="str">
        <f>IF(COUNTIF(BR$6:BR10,B11)&gt;0,"",B11)&amp;""</f>
        <v/>
      </c>
      <c r="BS11" s="138">
        <f t="shared" si="8"/>
        <v>0</v>
      </c>
      <c r="BT11" s="132">
        <f t="shared" si="9"/>
        <v>1</v>
      </c>
      <c r="BU11" s="138">
        <f t="shared" si="10"/>
        <v>0</v>
      </c>
      <c r="BV11" s="132">
        <f t="shared" si="11"/>
        <v>1</v>
      </c>
      <c r="BW11" s="132">
        <v>3</v>
      </c>
      <c r="BX11" s="134" t="str">
        <f t="shared" si="12"/>
        <v/>
      </c>
      <c r="BY11" s="146" t="str">
        <f t="shared" si="13"/>
        <v/>
      </c>
    </row>
    <row r="12" ht="15" customHeight="1" spans="1:77">
      <c r="A12" s="123" t="str">
        <f>IF(B12="","",COUNT(A$6:A11)+1)</f>
        <v/>
      </c>
      <c r="B12" s="139"/>
      <c r="C12" s="140"/>
      <c r="D12" s="142"/>
      <c r="E12" s="127" t="str">
        <f>IFERROR(VLOOKUP(D12,参数表!$H$2:$I$50,2,FALSE),"")</f>
        <v/>
      </c>
      <c r="F12" s="128" t="str">
        <f t="shared" si="3"/>
        <v/>
      </c>
      <c r="G12" s="143"/>
      <c r="H12" s="144"/>
      <c r="I12" s="129" t="str">
        <f t="shared" si="4"/>
        <v/>
      </c>
      <c r="J12" s="129" t="str">
        <f t="shared" si="0"/>
        <v/>
      </c>
      <c r="K12" s="129" t="str">
        <f t="shared" si="5"/>
        <v/>
      </c>
      <c r="L12" s="129" t="str">
        <f t="shared" si="6"/>
        <v/>
      </c>
      <c r="M12" s="145"/>
      <c r="BA12" s="78"/>
      <c r="BB12" s="132" t="s">
        <v>5014</v>
      </c>
      <c r="BC12" s="133"/>
      <c r="BD12" s="132" t="str">
        <f>IF(OR(B12="",BC12=""),"",COUNTIF(BC$7:BC12,"√"))</f>
        <v/>
      </c>
      <c r="BE12" s="134" t="str">
        <f t="shared" si="1"/>
        <v/>
      </c>
      <c r="BF12" s="135" t="str">
        <f t="shared" si="7"/>
        <v/>
      </c>
      <c r="BG12" s="135" t="str">
        <f t="shared" si="7"/>
        <v/>
      </c>
      <c r="BH12" s="136"/>
      <c r="BI12" s="137"/>
      <c r="BJ12" s="136"/>
      <c r="BK12" s="136"/>
      <c r="BL12" s="136"/>
      <c r="BM12" s="136"/>
      <c r="BN12" s="137"/>
      <c r="BO12" s="136"/>
      <c r="BP12" s="137"/>
      <c r="BR12" s="134" t="str">
        <f>IF(COUNTIF(BR$6:BR11,B12)&gt;0,"",B12)&amp;""</f>
        <v/>
      </c>
      <c r="BS12" s="138">
        <f t="shared" si="8"/>
        <v>0</v>
      </c>
      <c r="BT12" s="132">
        <f t="shared" si="9"/>
        <v>1</v>
      </c>
      <c r="BU12" s="138">
        <f t="shared" si="10"/>
        <v>0</v>
      </c>
      <c r="BV12" s="132">
        <f t="shared" si="11"/>
        <v>1</v>
      </c>
      <c r="BW12" s="132">
        <v>4</v>
      </c>
      <c r="BX12" s="134" t="str">
        <f t="shared" si="12"/>
        <v/>
      </c>
      <c r="BY12" s="146" t="str">
        <f>IF(BX13="","","和")</f>
        <v/>
      </c>
    </row>
    <row r="13" ht="15" customHeight="1" spans="1:77">
      <c r="A13" s="123" t="str">
        <f>IF(B13="","",COUNT(A$6:A12)+1)</f>
        <v/>
      </c>
      <c r="B13" s="139"/>
      <c r="C13" s="140"/>
      <c r="D13" s="142"/>
      <c r="E13" s="127" t="str">
        <f>IFERROR(VLOOKUP(D13,参数表!$H$2:$I$50,2,FALSE),"")</f>
        <v/>
      </c>
      <c r="F13" s="128" t="str">
        <f t="shared" si="3"/>
        <v/>
      </c>
      <c r="G13" s="143"/>
      <c r="H13" s="144"/>
      <c r="I13" s="129" t="str">
        <f t="shared" si="4"/>
        <v/>
      </c>
      <c r="J13" s="129" t="str">
        <f t="shared" si="0"/>
        <v/>
      </c>
      <c r="K13" s="129" t="str">
        <f t="shared" si="5"/>
        <v/>
      </c>
      <c r="L13" s="129" t="str">
        <f t="shared" si="6"/>
        <v/>
      </c>
      <c r="M13" s="145"/>
      <c r="BA13" s="78"/>
      <c r="BB13" s="132" t="s">
        <v>5015</v>
      </c>
      <c r="BC13" s="133"/>
      <c r="BD13" s="132" t="str">
        <f>IF(OR(B13="",BC13=""),"",COUNTIF(BC$7:BC13,"√"))</f>
        <v/>
      </c>
      <c r="BE13" s="134" t="str">
        <f t="shared" si="1"/>
        <v/>
      </c>
      <c r="BF13" s="135" t="str">
        <f t="shared" si="7"/>
        <v/>
      </c>
      <c r="BG13" s="135" t="str">
        <f t="shared" si="7"/>
        <v/>
      </c>
      <c r="BH13" s="136"/>
      <c r="BI13" s="137"/>
      <c r="BJ13" s="136"/>
      <c r="BK13" s="136"/>
      <c r="BL13" s="136"/>
      <c r="BM13" s="136"/>
      <c r="BN13" s="137"/>
      <c r="BO13" s="136"/>
      <c r="BP13" s="137"/>
      <c r="BR13" s="134" t="str">
        <f>IF(COUNTIF(BR$6:BR12,B13)&gt;0,"",B13)&amp;""</f>
        <v/>
      </c>
      <c r="BS13" s="138">
        <f t="shared" si="8"/>
        <v>0</v>
      </c>
      <c r="BT13" s="132">
        <f t="shared" si="9"/>
        <v>1</v>
      </c>
      <c r="BU13" s="138">
        <f t="shared" si="10"/>
        <v>0</v>
      </c>
      <c r="BV13" s="132">
        <f t="shared" si="11"/>
        <v>1</v>
      </c>
      <c r="BW13" s="132">
        <v>5</v>
      </c>
      <c r="BX13" s="134" t="str">
        <f t="shared" si="12"/>
        <v/>
      </c>
      <c r="BY13" s="146"/>
    </row>
    <row r="14" ht="15" customHeight="1" spans="1:77">
      <c r="A14" s="123" t="str">
        <f>IF(B14="","",COUNT(A$6:A13)+1)</f>
        <v/>
      </c>
      <c r="B14" s="139"/>
      <c r="C14" s="140"/>
      <c r="D14" s="142"/>
      <c r="E14" s="127" t="str">
        <f>IFERROR(VLOOKUP(D14,参数表!$H$2:$I$50,2,FALSE),"")</f>
        <v/>
      </c>
      <c r="F14" s="128" t="str">
        <f t="shared" si="3"/>
        <v/>
      </c>
      <c r="G14" s="143"/>
      <c r="H14" s="144"/>
      <c r="I14" s="129" t="str">
        <f t="shared" si="4"/>
        <v/>
      </c>
      <c r="J14" s="129" t="str">
        <f t="shared" si="0"/>
        <v/>
      </c>
      <c r="K14" s="129" t="str">
        <f t="shared" si="5"/>
        <v/>
      </c>
      <c r="L14" s="129" t="str">
        <f t="shared" si="6"/>
        <v/>
      </c>
      <c r="M14" s="145"/>
      <c r="BA14" s="78"/>
      <c r="BB14" s="132" t="s">
        <v>5016</v>
      </c>
      <c r="BC14" s="133"/>
      <c r="BD14" s="132" t="str">
        <f>IF(OR(B14="",BC14=""),"",COUNTIF(BC$7:BC14,"√"))</f>
        <v/>
      </c>
      <c r="BE14" s="134" t="str">
        <f t="shared" si="1"/>
        <v/>
      </c>
      <c r="BF14" s="135" t="str">
        <f t="shared" si="7"/>
        <v/>
      </c>
      <c r="BG14" s="135" t="str">
        <f t="shared" si="7"/>
        <v/>
      </c>
      <c r="BH14" s="136"/>
      <c r="BI14" s="137"/>
      <c r="BJ14" s="136"/>
      <c r="BK14" s="136"/>
      <c r="BL14" s="136"/>
      <c r="BM14" s="136"/>
      <c r="BN14" s="137"/>
      <c r="BO14" s="136"/>
      <c r="BP14" s="137"/>
      <c r="BR14" s="134" t="str">
        <f>IF(COUNTIF(BR$6:BR13,B14)&gt;0,"",B14)&amp;""</f>
        <v/>
      </c>
      <c r="BS14" s="138">
        <f t="shared" si="8"/>
        <v>0</v>
      </c>
      <c r="BT14" s="132">
        <f t="shared" si="9"/>
        <v>1</v>
      </c>
      <c r="BU14" s="138">
        <f t="shared" si="10"/>
        <v>0</v>
      </c>
      <c r="BV14" s="132">
        <f t="shared" si="11"/>
        <v>1</v>
      </c>
      <c r="BW14" s="147" t="s">
        <v>1659</v>
      </c>
      <c r="BX14" s="132" t="str">
        <f>CONCATENATE(BX9,BY9,BX10,BY10,BX11,BY11,BX12,BY12,BX13)</f>
        <v/>
      </c>
      <c r="BY14" s="132"/>
    </row>
    <row r="15" ht="15" customHeight="1" spans="1:77">
      <c r="A15" s="123" t="str">
        <f>IF(B15="","",COUNT(A$6:A14)+1)</f>
        <v/>
      </c>
      <c r="B15" s="139"/>
      <c r="C15" s="140"/>
      <c r="D15" s="142"/>
      <c r="E15" s="127" t="str">
        <f>IFERROR(VLOOKUP(D15,参数表!$H$2:$I$50,2,FALSE),"")</f>
        <v/>
      </c>
      <c r="F15" s="128" t="str">
        <f t="shared" si="3"/>
        <v/>
      </c>
      <c r="G15" s="143"/>
      <c r="H15" s="144"/>
      <c r="I15" s="129" t="str">
        <f t="shared" si="4"/>
        <v/>
      </c>
      <c r="J15" s="129" t="str">
        <f t="shared" si="0"/>
        <v/>
      </c>
      <c r="K15" s="129" t="str">
        <f t="shared" si="5"/>
        <v/>
      </c>
      <c r="L15" s="129" t="str">
        <f t="shared" si="6"/>
        <v/>
      </c>
      <c r="M15" s="145"/>
      <c r="BA15" s="78"/>
      <c r="BB15" s="132" t="s">
        <v>5017</v>
      </c>
      <c r="BC15" s="133"/>
      <c r="BD15" s="132" t="str">
        <f>IF(OR(B15="",BC15=""),"",COUNTIF(BC$7:BC15,"√"))</f>
        <v/>
      </c>
      <c r="BE15" s="134" t="str">
        <f t="shared" si="1"/>
        <v/>
      </c>
      <c r="BF15" s="135" t="str">
        <f t="shared" si="7"/>
        <v/>
      </c>
      <c r="BG15" s="135" t="str">
        <f t="shared" si="7"/>
        <v/>
      </c>
      <c r="BH15" s="136"/>
      <c r="BI15" s="137"/>
      <c r="BJ15" s="136"/>
      <c r="BK15" s="136"/>
      <c r="BL15" s="136"/>
      <c r="BM15" s="136"/>
      <c r="BN15" s="137"/>
      <c r="BO15" s="136"/>
      <c r="BP15" s="137"/>
      <c r="BR15" s="134" t="str">
        <f>IF(COUNTIF(BR$6:BR14,B15)&gt;0,"",B15)&amp;""</f>
        <v/>
      </c>
      <c r="BS15" s="138">
        <f t="shared" si="8"/>
        <v>0</v>
      </c>
      <c r="BT15" s="132">
        <f t="shared" si="9"/>
        <v>1</v>
      </c>
      <c r="BU15" s="138">
        <f t="shared" si="10"/>
        <v>0</v>
      </c>
      <c r="BV15" s="132">
        <f t="shared" si="11"/>
        <v>1</v>
      </c>
      <c r="BW15" s="133"/>
      <c r="BX15" s="133"/>
    </row>
    <row r="16" ht="15" customHeight="1" spans="1:77">
      <c r="A16" s="123" t="str">
        <f>IF(B16="","",COUNT(A$6:A15)+1)</f>
        <v/>
      </c>
      <c r="B16" s="139"/>
      <c r="C16" s="140"/>
      <c r="D16" s="142"/>
      <c r="E16" s="127" t="str">
        <f>IFERROR(VLOOKUP(D16,参数表!$H$2:$I$50,2,FALSE),"")</f>
        <v/>
      </c>
      <c r="F16" s="128" t="str">
        <f t="shared" si="3"/>
        <v/>
      </c>
      <c r="G16" s="143"/>
      <c r="H16" s="144"/>
      <c r="I16" s="129" t="str">
        <f t="shared" si="4"/>
        <v/>
      </c>
      <c r="J16" s="129" t="str">
        <f t="shared" si="0"/>
        <v/>
      </c>
      <c r="K16" s="129" t="str">
        <f t="shared" si="5"/>
        <v/>
      </c>
      <c r="L16" s="129" t="str">
        <f t="shared" si="6"/>
        <v/>
      </c>
      <c r="M16" s="145"/>
      <c r="BA16" s="78"/>
      <c r="BB16" s="132" t="s">
        <v>5018</v>
      </c>
      <c r="BC16" s="133"/>
      <c r="BD16" s="132" t="str">
        <f>IF(OR(B16="",BC16=""),"",COUNTIF(BC$7:BC16,"√"))</f>
        <v/>
      </c>
      <c r="BE16" s="134" t="str">
        <f t="shared" si="1"/>
        <v/>
      </c>
      <c r="BF16" s="135" t="str">
        <f t="shared" si="7"/>
        <v/>
      </c>
      <c r="BG16" s="135" t="str">
        <f t="shared" si="7"/>
        <v/>
      </c>
      <c r="BH16" s="136"/>
      <c r="BI16" s="137"/>
      <c r="BJ16" s="136"/>
      <c r="BK16" s="136"/>
      <c r="BL16" s="136"/>
      <c r="BM16" s="136"/>
      <c r="BN16" s="137"/>
      <c r="BO16" s="136"/>
      <c r="BP16" s="137"/>
      <c r="BR16" s="134" t="str">
        <f>IF(COUNTIF(BR$6:BR15,B16)&gt;0,"",B16)&amp;""</f>
        <v/>
      </c>
      <c r="BS16" s="138">
        <f t="shared" si="8"/>
        <v>0</v>
      </c>
      <c r="BT16" s="132">
        <f t="shared" si="9"/>
        <v>1</v>
      </c>
      <c r="BU16" s="138">
        <f t="shared" si="10"/>
        <v>0</v>
      </c>
      <c r="BV16" s="132">
        <f t="shared" si="11"/>
        <v>1</v>
      </c>
      <c r="BW16" s="133"/>
      <c r="BX16" s="148"/>
    </row>
    <row r="17" ht="15" customHeight="1" spans="1:77">
      <c r="A17" s="123" t="str">
        <f>IF(B17="","",COUNT(A$6:A16)+1)</f>
        <v/>
      </c>
      <c r="B17" s="139"/>
      <c r="C17" s="140"/>
      <c r="D17" s="142"/>
      <c r="E17" s="127" t="str">
        <f>IFERROR(VLOOKUP(D17,参数表!$H$2:$I$50,2,FALSE),"")</f>
        <v/>
      </c>
      <c r="F17" s="128" t="str">
        <f t="shared" si="3"/>
        <v/>
      </c>
      <c r="G17" s="143"/>
      <c r="H17" s="144"/>
      <c r="I17" s="129" t="str">
        <f t="shared" si="4"/>
        <v/>
      </c>
      <c r="J17" s="129" t="str">
        <f t="shared" si="0"/>
        <v/>
      </c>
      <c r="K17" s="129" t="str">
        <f t="shared" si="5"/>
        <v/>
      </c>
      <c r="L17" s="129" t="str">
        <f t="shared" si="6"/>
        <v/>
      </c>
      <c r="M17" s="145"/>
      <c r="BA17" s="78"/>
      <c r="BB17" s="132" t="s">
        <v>5019</v>
      </c>
      <c r="BC17" s="133"/>
      <c r="BD17" s="132" t="str">
        <f>IF(OR(B17="",BC17=""),"",COUNTIF(BC$7:BC17,"√"))</f>
        <v/>
      </c>
      <c r="BE17" s="134" t="str">
        <f t="shared" si="1"/>
        <v/>
      </c>
      <c r="BF17" s="135" t="str">
        <f t="shared" si="7"/>
        <v/>
      </c>
      <c r="BG17" s="135" t="str">
        <f t="shared" si="7"/>
        <v/>
      </c>
      <c r="BH17" s="136"/>
      <c r="BI17" s="137"/>
      <c r="BJ17" s="136"/>
      <c r="BK17" s="136"/>
      <c r="BL17" s="136"/>
      <c r="BM17" s="136"/>
      <c r="BN17" s="137"/>
      <c r="BO17" s="136"/>
      <c r="BP17" s="137"/>
      <c r="BR17" s="134" t="str">
        <f>IF(COUNTIF(BR$6:BR16,B17)&gt;0,"",B17)&amp;""</f>
        <v/>
      </c>
      <c r="BS17" s="138">
        <f t="shared" si="8"/>
        <v>0</v>
      </c>
      <c r="BT17" s="132">
        <f t="shared" si="9"/>
        <v>1</v>
      </c>
      <c r="BU17" s="138">
        <f t="shared" si="10"/>
        <v>0</v>
      </c>
      <c r="BV17" s="132">
        <f t="shared" si="11"/>
        <v>1</v>
      </c>
      <c r="BW17" s="133"/>
      <c r="BX17" s="133"/>
    </row>
    <row r="18" ht="15" customHeight="1" spans="1:77">
      <c r="A18" s="123" t="str">
        <f>IF(B18="","",COUNT(A$6:A17)+1)</f>
        <v/>
      </c>
      <c r="B18" s="139"/>
      <c r="C18" s="140"/>
      <c r="D18" s="142"/>
      <c r="E18" s="127" t="str">
        <f>IFERROR(VLOOKUP(D18,参数表!$H$2:$I$50,2,FALSE),"")</f>
        <v/>
      </c>
      <c r="F18" s="128" t="str">
        <f t="shared" si="3"/>
        <v/>
      </c>
      <c r="G18" s="143"/>
      <c r="H18" s="144"/>
      <c r="I18" s="129" t="str">
        <f t="shared" si="4"/>
        <v/>
      </c>
      <c r="J18" s="129" t="str">
        <f t="shared" si="0"/>
        <v/>
      </c>
      <c r="K18" s="129" t="str">
        <f t="shared" si="5"/>
        <v/>
      </c>
      <c r="L18" s="129" t="str">
        <f t="shared" si="6"/>
        <v/>
      </c>
      <c r="M18" s="145"/>
      <c r="BA18" s="78"/>
      <c r="BB18" s="132" t="s">
        <v>5020</v>
      </c>
      <c r="BC18" s="133"/>
      <c r="BD18" s="132" t="str">
        <f>IF(OR(B18="",BC18=""),"",COUNTIF(BC$7:BC18,"√"))</f>
        <v/>
      </c>
      <c r="BE18" s="134" t="str">
        <f t="shared" si="1"/>
        <v/>
      </c>
      <c r="BF18" s="135" t="str">
        <f t="shared" si="7"/>
        <v/>
      </c>
      <c r="BG18" s="135" t="str">
        <f t="shared" si="7"/>
        <v/>
      </c>
      <c r="BH18" s="136"/>
      <c r="BI18" s="137"/>
      <c r="BJ18" s="136"/>
      <c r="BK18" s="136"/>
      <c r="BL18" s="136"/>
      <c r="BM18" s="136"/>
      <c r="BN18" s="137"/>
      <c r="BO18" s="136"/>
      <c r="BP18" s="137"/>
      <c r="BR18" s="134" t="str">
        <f>IF(COUNTIF(BR$6:BR17,B18)&gt;0,"",B18)&amp;""</f>
        <v/>
      </c>
      <c r="BS18" s="138">
        <f t="shared" si="8"/>
        <v>0</v>
      </c>
      <c r="BT18" s="132">
        <f t="shared" si="9"/>
        <v>1</v>
      </c>
      <c r="BU18" s="138">
        <f t="shared" si="10"/>
        <v>0</v>
      </c>
      <c r="BV18" s="132">
        <f t="shared" si="11"/>
        <v>1</v>
      </c>
      <c r="BW18" s="133"/>
      <c r="BX18" s="133"/>
    </row>
    <row r="19" ht="15" customHeight="1" spans="1:77">
      <c r="A19" s="123" t="str">
        <f>IF(B19="","",COUNT(A$6:A18)+1)</f>
        <v/>
      </c>
      <c r="B19" s="139"/>
      <c r="C19" s="140"/>
      <c r="D19" s="142"/>
      <c r="E19" s="127" t="str">
        <f>IFERROR(VLOOKUP(D19,参数表!$H$2:$I$50,2,FALSE),"")</f>
        <v/>
      </c>
      <c r="F19" s="128" t="str">
        <f t="shared" si="3"/>
        <v/>
      </c>
      <c r="G19" s="143"/>
      <c r="H19" s="144"/>
      <c r="I19" s="129" t="str">
        <f t="shared" si="4"/>
        <v/>
      </c>
      <c r="J19" s="129" t="str">
        <f t="shared" si="0"/>
        <v/>
      </c>
      <c r="K19" s="129" t="str">
        <f t="shared" si="5"/>
        <v/>
      </c>
      <c r="L19" s="129" t="str">
        <f t="shared" si="6"/>
        <v/>
      </c>
      <c r="M19" s="145"/>
      <c r="BA19" s="78"/>
      <c r="BB19" s="132" t="s">
        <v>5021</v>
      </c>
      <c r="BC19" s="133"/>
      <c r="BD19" s="132" t="str">
        <f>IF(OR(B19="",BC19=""),"",COUNTIF(BC$7:BC19,"√"))</f>
        <v/>
      </c>
      <c r="BE19" s="134" t="str">
        <f t="shared" si="1"/>
        <v/>
      </c>
      <c r="BF19" s="135" t="str">
        <f t="shared" si="7"/>
        <v/>
      </c>
      <c r="BG19" s="135" t="str">
        <f t="shared" si="7"/>
        <v/>
      </c>
      <c r="BH19" s="136"/>
      <c r="BI19" s="137"/>
      <c r="BJ19" s="136"/>
      <c r="BK19" s="136"/>
      <c r="BL19" s="136"/>
      <c r="BM19" s="136"/>
      <c r="BN19" s="137"/>
      <c r="BO19" s="136"/>
      <c r="BP19" s="137"/>
      <c r="BR19" s="134" t="str">
        <f>IF(COUNTIF(BR$6:BR18,B19)&gt;0,"",B19)&amp;""</f>
        <v/>
      </c>
      <c r="BS19" s="138">
        <f t="shared" si="8"/>
        <v>0</v>
      </c>
      <c r="BT19" s="132">
        <f t="shared" si="9"/>
        <v>1</v>
      </c>
      <c r="BU19" s="138">
        <f t="shared" si="10"/>
        <v>0</v>
      </c>
      <c r="BV19" s="132">
        <f t="shared" si="11"/>
        <v>1</v>
      </c>
      <c r="BW19" s="133"/>
      <c r="BX19" s="133"/>
    </row>
    <row r="20" ht="15" customHeight="1" spans="1:77">
      <c r="A20" s="123" t="str">
        <f>IF(B20="","",COUNT(A$6:A19)+1)</f>
        <v/>
      </c>
      <c r="B20" s="139"/>
      <c r="C20" s="140"/>
      <c r="D20" s="142"/>
      <c r="E20" s="127" t="str">
        <f>IFERROR(VLOOKUP(D20,参数表!$H$2:$I$50,2,FALSE),"")</f>
        <v/>
      </c>
      <c r="F20" s="128" t="str">
        <f t="shared" si="3"/>
        <v/>
      </c>
      <c r="G20" s="143"/>
      <c r="H20" s="144"/>
      <c r="I20" s="129" t="str">
        <f t="shared" si="4"/>
        <v/>
      </c>
      <c r="J20" s="129" t="str">
        <f t="shared" si="0"/>
        <v/>
      </c>
      <c r="K20" s="129" t="str">
        <f t="shared" si="5"/>
        <v/>
      </c>
      <c r="L20" s="129" t="str">
        <f t="shared" si="6"/>
        <v/>
      </c>
      <c r="M20" s="145"/>
      <c r="BA20" s="78"/>
      <c r="BB20" s="132" t="s">
        <v>5022</v>
      </c>
      <c r="BC20" s="133"/>
      <c r="BD20" s="132" t="str">
        <f>IF(OR(B20="",BC20=""),"",COUNTIF(BC$7:BC20,"√"))</f>
        <v/>
      </c>
      <c r="BE20" s="134" t="str">
        <f t="shared" si="1"/>
        <v/>
      </c>
      <c r="BF20" s="135" t="str">
        <f t="shared" si="7"/>
        <v/>
      </c>
      <c r="BG20" s="135" t="str">
        <f t="shared" si="7"/>
        <v/>
      </c>
      <c r="BH20" s="136"/>
      <c r="BI20" s="137"/>
      <c r="BJ20" s="136"/>
      <c r="BK20" s="136"/>
      <c r="BL20" s="136"/>
      <c r="BM20" s="136"/>
      <c r="BN20" s="137"/>
      <c r="BO20" s="136"/>
      <c r="BP20" s="137"/>
      <c r="BR20" s="134" t="str">
        <f>IF(COUNTIF(BR$6:BR19,B20)&gt;0,"",B20)&amp;""</f>
        <v/>
      </c>
      <c r="BS20" s="138">
        <f t="shared" si="8"/>
        <v>0</v>
      </c>
      <c r="BT20" s="132">
        <f t="shared" si="9"/>
        <v>1</v>
      </c>
      <c r="BU20" s="138">
        <f t="shared" si="10"/>
        <v>0</v>
      </c>
      <c r="BV20" s="132">
        <f t="shared" si="11"/>
        <v>1</v>
      </c>
      <c r="BW20" s="133"/>
      <c r="BX20" s="133"/>
    </row>
    <row r="21" ht="15" customHeight="1" spans="1:77">
      <c r="A21" s="123" t="str">
        <f>IF(B21="","",COUNT(A$6:A20)+1)</f>
        <v/>
      </c>
      <c r="B21" s="139"/>
      <c r="C21" s="140"/>
      <c r="D21" s="142"/>
      <c r="E21" s="127" t="str">
        <f>IFERROR(VLOOKUP(D21,参数表!$H$2:$I$50,2,FALSE),"")</f>
        <v/>
      </c>
      <c r="F21" s="128" t="str">
        <f t="shared" si="3"/>
        <v/>
      </c>
      <c r="G21" s="143"/>
      <c r="H21" s="144"/>
      <c r="I21" s="129" t="str">
        <f t="shared" si="4"/>
        <v/>
      </c>
      <c r="J21" s="129" t="str">
        <f t="shared" si="0"/>
        <v/>
      </c>
      <c r="K21" s="129" t="str">
        <f t="shared" si="5"/>
        <v/>
      </c>
      <c r="L21" s="129" t="str">
        <f t="shared" si="6"/>
        <v/>
      </c>
      <c r="M21" s="145"/>
      <c r="BA21" s="78"/>
      <c r="BB21" s="132" t="s">
        <v>5023</v>
      </c>
      <c r="BC21" s="133"/>
      <c r="BD21" s="132" t="str">
        <f>IF(OR(B21="",BC21=""),"",COUNTIF(BC$7:BC21,"√"))</f>
        <v/>
      </c>
      <c r="BE21" s="134" t="str">
        <f t="shared" si="1"/>
        <v/>
      </c>
      <c r="BF21" s="135" t="str">
        <f t="shared" si="7"/>
        <v/>
      </c>
      <c r="BG21" s="135" t="str">
        <f t="shared" si="7"/>
        <v/>
      </c>
      <c r="BH21" s="136"/>
      <c r="BI21" s="137"/>
      <c r="BJ21" s="136"/>
      <c r="BK21" s="136"/>
      <c r="BL21" s="136"/>
      <c r="BM21" s="136"/>
      <c r="BN21" s="137"/>
      <c r="BO21" s="136"/>
      <c r="BP21" s="137"/>
      <c r="BR21" s="134" t="str">
        <f>IF(COUNTIF(BR$6:BR20,B21)&gt;0,"",B21)&amp;""</f>
        <v/>
      </c>
      <c r="BS21" s="138">
        <f t="shared" si="8"/>
        <v>0</v>
      </c>
      <c r="BT21" s="132">
        <f t="shared" si="9"/>
        <v>1</v>
      </c>
      <c r="BU21" s="138">
        <f t="shared" si="10"/>
        <v>0</v>
      </c>
      <c r="BV21" s="132">
        <f t="shared" si="11"/>
        <v>1</v>
      </c>
      <c r="BW21" s="133"/>
      <c r="BX21" s="133"/>
    </row>
    <row r="22" ht="15" customHeight="1" spans="1:77">
      <c r="A22" s="123" t="str">
        <f>IF(B22="","",COUNT(A$6:A21)+1)</f>
        <v/>
      </c>
      <c r="B22" s="139"/>
      <c r="C22" s="140"/>
      <c r="D22" s="142"/>
      <c r="E22" s="127" t="str">
        <f>IFERROR(VLOOKUP(D22,参数表!$H$2:$I$50,2,FALSE),"")</f>
        <v/>
      </c>
      <c r="F22" s="128" t="str">
        <f t="shared" si="3"/>
        <v/>
      </c>
      <c r="G22" s="143"/>
      <c r="H22" s="144"/>
      <c r="I22" s="129" t="str">
        <f t="shared" si="4"/>
        <v/>
      </c>
      <c r="J22" s="129" t="str">
        <f t="shared" si="0"/>
        <v/>
      </c>
      <c r="K22" s="129" t="str">
        <f t="shared" si="5"/>
        <v/>
      </c>
      <c r="L22" s="129" t="str">
        <f t="shared" si="6"/>
        <v/>
      </c>
      <c r="M22" s="145"/>
      <c r="BA22" s="78"/>
      <c r="BB22" s="132" t="s">
        <v>5024</v>
      </c>
      <c r="BC22" s="133"/>
      <c r="BD22" s="132" t="str">
        <f>IF(OR(B22="",BC22=""),"",COUNTIF(BC$7:BC22,"√"))</f>
        <v/>
      </c>
      <c r="BE22" s="134" t="str">
        <f t="shared" si="1"/>
        <v/>
      </c>
      <c r="BF22" s="135" t="str">
        <f t="shared" si="7"/>
        <v/>
      </c>
      <c r="BG22" s="135" t="str">
        <f t="shared" si="7"/>
        <v/>
      </c>
      <c r="BH22" s="136"/>
      <c r="BI22" s="137"/>
      <c r="BJ22" s="136"/>
      <c r="BK22" s="136"/>
      <c r="BL22" s="136"/>
      <c r="BM22" s="136"/>
      <c r="BN22" s="137"/>
      <c r="BO22" s="136"/>
      <c r="BP22" s="137"/>
      <c r="BR22" s="134" t="str">
        <f>IF(COUNTIF(BR$6:BR21,B22)&gt;0,"",B22)&amp;""</f>
        <v/>
      </c>
      <c r="BS22" s="138">
        <f t="shared" si="8"/>
        <v>0</v>
      </c>
      <c r="BT22" s="132">
        <f t="shared" si="9"/>
        <v>1</v>
      </c>
      <c r="BU22" s="138">
        <f t="shared" si="10"/>
        <v>0</v>
      </c>
      <c r="BV22" s="132">
        <f t="shared" si="11"/>
        <v>1</v>
      </c>
      <c r="BW22" s="133"/>
      <c r="BX22" s="133"/>
    </row>
    <row r="23" ht="15" customHeight="1" spans="1:77">
      <c r="A23" s="123" t="str">
        <f>IF(B23="","",COUNT(A$6:A22)+1)</f>
        <v/>
      </c>
      <c r="B23" s="139"/>
      <c r="C23" s="140"/>
      <c r="D23" s="142"/>
      <c r="E23" s="127" t="str">
        <f>IFERROR(VLOOKUP(D23,参数表!$H$2:$I$50,2,FALSE),"")</f>
        <v/>
      </c>
      <c r="F23" s="128" t="str">
        <f t="shared" si="3"/>
        <v/>
      </c>
      <c r="G23" s="143"/>
      <c r="H23" s="144"/>
      <c r="I23" s="129" t="str">
        <f t="shared" si="4"/>
        <v/>
      </c>
      <c r="J23" s="129" t="str">
        <f t="shared" si="0"/>
        <v/>
      </c>
      <c r="K23" s="129" t="str">
        <f t="shared" si="5"/>
        <v/>
      </c>
      <c r="L23" s="129" t="str">
        <f t="shared" si="6"/>
        <v/>
      </c>
      <c r="M23" s="145"/>
      <c r="BA23" s="78"/>
      <c r="BB23" s="132" t="s">
        <v>5025</v>
      </c>
      <c r="BC23" s="133"/>
      <c r="BD23" s="132" t="str">
        <f>IF(OR(B23="",BC23=""),"",COUNTIF(BC$7:BC23,"√"))</f>
        <v/>
      </c>
      <c r="BE23" s="134" t="str">
        <f t="shared" si="1"/>
        <v/>
      </c>
      <c r="BF23" s="135" t="str">
        <f t="shared" si="7"/>
        <v/>
      </c>
      <c r="BG23" s="135" t="str">
        <f t="shared" si="7"/>
        <v/>
      </c>
      <c r="BH23" s="136"/>
      <c r="BI23" s="137"/>
      <c r="BJ23" s="136"/>
      <c r="BK23" s="136"/>
      <c r="BL23" s="136"/>
      <c r="BM23" s="136"/>
      <c r="BN23" s="137"/>
      <c r="BO23" s="136"/>
      <c r="BP23" s="137"/>
      <c r="BR23" s="134" t="str">
        <f>IF(COUNTIF(BR$6:BR22,B23)&gt;0,"",B23)&amp;""</f>
        <v/>
      </c>
      <c r="BS23" s="138">
        <f t="shared" si="8"/>
        <v>0</v>
      </c>
      <c r="BT23" s="132">
        <f t="shared" si="9"/>
        <v>1</v>
      </c>
      <c r="BU23" s="138">
        <f t="shared" si="10"/>
        <v>0</v>
      </c>
      <c r="BV23" s="132">
        <f t="shared" si="11"/>
        <v>1</v>
      </c>
      <c r="BW23" s="133"/>
      <c r="BX23" s="133"/>
    </row>
    <row r="24" ht="15" customHeight="1" spans="1:77">
      <c r="A24" s="123" t="str">
        <f>IF(B24="","",COUNT(A$6:A23)+1)</f>
        <v/>
      </c>
      <c r="B24" s="139"/>
      <c r="C24" s="140"/>
      <c r="D24" s="142"/>
      <c r="E24" s="127" t="str">
        <f>IFERROR(VLOOKUP(D24,参数表!$H$2:$I$50,2,FALSE),"")</f>
        <v/>
      </c>
      <c r="F24" s="128" t="str">
        <f t="shared" si="3"/>
        <v/>
      </c>
      <c r="G24" s="143"/>
      <c r="H24" s="144"/>
      <c r="I24" s="129" t="str">
        <f t="shared" si="4"/>
        <v/>
      </c>
      <c r="J24" s="129" t="str">
        <f t="shared" si="0"/>
        <v/>
      </c>
      <c r="K24" s="129" t="str">
        <f t="shared" si="5"/>
        <v/>
      </c>
      <c r="L24" s="129" t="str">
        <f t="shared" si="6"/>
        <v/>
      </c>
      <c r="M24" s="145"/>
      <c r="BA24" s="78"/>
      <c r="BB24" s="132" t="s">
        <v>5026</v>
      </c>
      <c r="BC24" s="133"/>
      <c r="BD24" s="132" t="str">
        <f>IF(OR(B24="",BC24=""),"",COUNTIF(BC$7:BC24,"√"))</f>
        <v/>
      </c>
      <c r="BE24" s="134" t="str">
        <f t="shared" si="1"/>
        <v/>
      </c>
      <c r="BF24" s="135" t="str">
        <f t="shared" si="7"/>
        <v/>
      </c>
      <c r="BG24" s="135" t="str">
        <f t="shared" si="7"/>
        <v/>
      </c>
      <c r="BH24" s="136"/>
      <c r="BI24" s="137"/>
      <c r="BJ24" s="136"/>
      <c r="BK24" s="136"/>
      <c r="BL24" s="136"/>
      <c r="BM24" s="136"/>
      <c r="BN24" s="137"/>
      <c r="BO24" s="136"/>
      <c r="BP24" s="137"/>
      <c r="BR24" s="134" t="str">
        <f>IF(COUNTIF(BR$6:BR23,B24)&gt;0,"",B24)&amp;""</f>
        <v/>
      </c>
      <c r="BS24" s="138">
        <f t="shared" si="8"/>
        <v>0</v>
      </c>
      <c r="BT24" s="132">
        <f t="shared" si="9"/>
        <v>1</v>
      </c>
      <c r="BU24" s="138">
        <f t="shared" si="10"/>
        <v>0</v>
      </c>
      <c r="BV24" s="132">
        <f t="shared" si="11"/>
        <v>1</v>
      </c>
      <c r="BW24" s="133"/>
      <c r="BX24" s="133"/>
    </row>
    <row r="25" ht="15" customHeight="1" spans="1:77">
      <c r="A25" s="123" t="str">
        <f>IF(B25="","",COUNT(A$6:A24)+1)</f>
        <v/>
      </c>
      <c r="B25" s="139"/>
      <c r="C25" s="140"/>
      <c r="D25" s="142"/>
      <c r="E25" s="127" t="str">
        <f>IFERROR(VLOOKUP(D25,参数表!$H$2:$I$50,2,FALSE),"")</f>
        <v/>
      </c>
      <c r="F25" s="128" t="str">
        <f t="shared" si="3"/>
        <v/>
      </c>
      <c r="G25" s="143"/>
      <c r="H25" s="144"/>
      <c r="I25" s="129" t="str">
        <f t="shared" si="4"/>
        <v/>
      </c>
      <c r="J25" s="129" t="str">
        <f t="shared" si="0"/>
        <v/>
      </c>
      <c r="K25" s="129" t="str">
        <f t="shared" si="5"/>
        <v/>
      </c>
      <c r="L25" s="129" t="str">
        <f t="shared" si="6"/>
        <v/>
      </c>
      <c r="M25" s="145"/>
      <c r="BA25" s="78"/>
      <c r="BB25" s="132" t="s">
        <v>5027</v>
      </c>
      <c r="BC25" s="133"/>
      <c r="BD25" s="132" t="str">
        <f>IF(OR(B25="",BC25=""),"",COUNTIF(BC$7:BC25,"√"))</f>
        <v/>
      </c>
      <c r="BE25" s="134" t="str">
        <f t="shared" si="1"/>
        <v/>
      </c>
      <c r="BF25" s="135" t="str">
        <f t="shared" si="7"/>
        <v/>
      </c>
      <c r="BG25" s="135" t="str">
        <f t="shared" si="7"/>
        <v/>
      </c>
      <c r="BH25" s="136"/>
      <c r="BI25" s="137"/>
      <c r="BJ25" s="136"/>
      <c r="BK25" s="136"/>
      <c r="BL25" s="136"/>
      <c r="BM25" s="136"/>
      <c r="BN25" s="137"/>
      <c r="BO25" s="136"/>
      <c r="BP25" s="137"/>
      <c r="BR25" s="134" t="str">
        <f>IF(COUNTIF(BR$6:BR24,B25)&gt;0,"",B25)&amp;""</f>
        <v/>
      </c>
      <c r="BS25" s="138">
        <f t="shared" si="8"/>
        <v>0</v>
      </c>
      <c r="BT25" s="132">
        <f t="shared" si="9"/>
        <v>1</v>
      </c>
      <c r="BU25" s="138">
        <f t="shared" si="10"/>
        <v>0</v>
      </c>
      <c r="BV25" s="132">
        <f t="shared" si="11"/>
        <v>1</v>
      </c>
      <c r="BW25" s="133"/>
      <c r="BX25" s="133"/>
    </row>
    <row r="26" ht="15" customHeight="1" spans="1:77">
      <c r="A26" s="123" t="str">
        <f>IF(B26="","",COUNT(A$6:A25)+1)</f>
        <v/>
      </c>
      <c r="B26" s="124"/>
      <c r="C26" s="125"/>
      <c r="D26" s="127"/>
      <c r="E26" s="127" t="str">
        <f>IFERROR(VLOOKUP(D26,参数表!$H$2:$I$50,2,FALSE),"")</f>
        <v/>
      </c>
      <c r="F26" s="128" t="str">
        <f t="shared" si="3"/>
        <v/>
      </c>
      <c r="G26" s="129"/>
      <c r="H26" s="130"/>
      <c r="I26" s="129" t="str">
        <f t="shared" si="4"/>
        <v/>
      </c>
      <c r="J26" s="129" t="str">
        <f t="shared" si="0"/>
        <v/>
      </c>
      <c r="K26" s="129" t="str">
        <f t="shared" si="5"/>
        <v/>
      </c>
      <c r="L26" s="129" t="str">
        <f t="shared" si="6"/>
        <v/>
      </c>
      <c r="M26" s="131"/>
      <c r="BA26" s="78"/>
      <c r="BB26" s="132" t="s">
        <v>5028</v>
      </c>
      <c r="BC26" s="133"/>
      <c r="BD26" s="132" t="str">
        <f>IF(OR(B26="",BC26=""),"",COUNTIF(BC$7:BC26,"√"))</f>
        <v/>
      </c>
      <c r="BE26" s="134" t="str">
        <f t="shared" si="1"/>
        <v/>
      </c>
      <c r="BF26" s="135" t="str">
        <f t="shared" si="7"/>
        <v/>
      </c>
      <c r="BG26" s="135" t="str">
        <f t="shared" si="7"/>
        <v/>
      </c>
      <c r="BH26" s="136"/>
      <c r="BI26" s="137"/>
      <c r="BJ26" s="136"/>
      <c r="BK26" s="136"/>
      <c r="BL26" s="136"/>
      <c r="BM26" s="136"/>
      <c r="BN26" s="137"/>
      <c r="BO26" s="136"/>
      <c r="BP26" s="137"/>
      <c r="BR26" s="134" t="str">
        <f>IF(COUNTIF(BR$6:BR25,B26)&gt;0,"",B26)&amp;""</f>
        <v/>
      </c>
      <c r="BS26" s="138">
        <f t="shared" si="8"/>
        <v>0</v>
      </c>
      <c r="BT26" s="132">
        <f t="shared" si="9"/>
        <v>1</v>
      </c>
      <c r="BU26" s="138">
        <f t="shared" si="10"/>
        <v>0</v>
      </c>
      <c r="BV26" s="132">
        <f t="shared" si="11"/>
        <v>1</v>
      </c>
      <c r="BW26" s="133"/>
      <c r="BX26" s="133"/>
    </row>
    <row r="27" s="73" customFormat="1" ht="15" customHeight="1" spans="1:77">
      <c r="A27" s="149" t="s">
        <v>4984</v>
      </c>
      <c r="B27" s="149"/>
      <c r="C27" s="150"/>
      <c r="D27" s="151"/>
      <c r="E27" s="151"/>
      <c r="F27" s="151"/>
      <c r="G27" s="152">
        <f>SUM(G7:G26)</f>
        <v>0</v>
      </c>
      <c r="H27" s="153"/>
      <c r="I27" s="152">
        <f>SUM(I7:I26)</f>
        <v>0</v>
      </c>
      <c r="J27" s="152">
        <f>SUM(J7:J26)</f>
        <v>0</v>
      </c>
      <c r="K27" s="152">
        <f t="shared" si="5"/>
        <v>0</v>
      </c>
      <c r="L27" s="152" t="str">
        <f t="shared" si="6"/>
        <v/>
      </c>
      <c r="M27" s="151"/>
      <c r="BB27" s="75"/>
      <c r="BC27" s="75"/>
      <c r="BD27" s="75"/>
      <c r="BE27" s="75"/>
      <c r="BF27" s="75"/>
      <c r="BG27" s="75"/>
      <c r="BH27" s="165"/>
      <c r="BI27" s="75"/>
      <c r="BJ27" s="165"/>
      <c r="BK27" s="165"/>
      <c r="BL27" s="165"/>
      <c r="BM27" s="72"/>
      <c r="BO27" s="72"/>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5"/>
      <c r="I28" s="154"/>
      <c r="J28" s="103" t="str">
        <f>"评估人员："&amp;封面!$G$36</f>
        <v>评估人员：</v>
      </c>
      <c r="K28" s="103"/>
      <c r="L28" s="103"/>
      <c r="M28" s="103"/>
    </row>
    <row r="29" customHeight="1" spans="1:77">
      <c r="A29" s="102" t="str">
        <f>参数表!F$7</f>
        <v>填表日期：2025年9月20日</v>
      </c>
      <c r="B29" s="154"/>
      <c r="C29" s="154"/>
      <c r="D29" s="154"/>
      <c r="E29" s="154"/>
      <c r="F29" s="154"/>
      <c r="G29" s="154"/>
      <c r="H29" s="155"/>
      <c r="I29" s="154"/>
      <c r="J29" s="103"/>
      <c r="K29" s="103"/>
      <c r="L29" s="103"/>
      <c r="M29" s="103"/>
    </row>
    <row r="30" hidden="1" customHeight="1" outlineLevel="1" spans="1:77">
      <c r="A30" s="157"/>
      <c r="B30" s="154" t="s">
        <v>1673</v>
      </c>
      <c r="C30" s="158"/>
      <c r="D30" s="158"/>
      <c r="E30" s="158"/>
      <c r="F30" s="158"/>
      <c r="G30" s="159">
        <f>SUMIF($BA7:$BA26,$BA30,G7:G26)</f>
        <v>0</v>
      </c>
      <c r="H30" s="160"/>
      <c r="I30" s="159">
        <f>SUMIF($BA7:$BA26,$BA30,I7:I26)</f>
        <v>0</v>
      </c>
      <c r="J30" s="159">
        <f>SUMIF($BA7:$BA26,$BA30,J7:J26)</f>
        <v>0</v>
      </c>
      <c r="BA30" s="161" t="s">
        <v>1674</v>
      </c>
      <c r="BH30" s="95" t="s">
        <v>1675</v>
      </c>
      <c r="BJ30" s="95" t="s">
        <v>1675</v>
      </c>
      <c r="BK30" s="95" t="s">
        <v>1675</v>
      </c>
      <c r="BL30" s="95" t="s">
        <v>1675</v>
      </c>
      <c r="BM30" s="95" t="s">
        <v>1675</v>
      </c>
      <c r="BO30" s="95" t="s">
        <v>1675</v>
      </c>
    </row>
    <row r="31" hidden="1" customHeight="1" outlineLevel="1" spans="1:77">
      <c r="A31" s="157"/>
      <c r="B31" s="154" t="s">
        <v>1676</v>
      </c>
      <c r="C31" s="158"/>
      <c r="D31" s="158"/>
      <c r="E31" s="158"/>
      <c r="F31" s="158"/>
      <c r="G31" s="159">
        <f>G27-G30</f>
        <v>0</v>
      </c>
      <c r="H31" s="160"/>
      <c r="I31" s="159">
        <f>I27-I30</f>
        <v>0</v>
      </c>
      <c r="J31" s="159">
        <f>J27-J30</f>
        <v>0</v>
      </c>
      <c r="BA31" s="161" t="s">
        <v>1677</v>
      </c>
      <c r="BH31" s="95" t="s">
        <v>1678</v>
      </c>
      <c r="BJ31" s="95" t="s">
        <v>1678</v>
      </c>
      <c r="BK31" s="95" t="s">
        <v>1678</v>
      </c>
      <c r="BL31" s="95" t="s">
        <v>1678</v>
      </c>
      <c r="BM31" s="95" t="s">
        <v>1678</v>
      </c>
      <c r="BO31" s="95" t="s">
        <v>1678</v>
      </c>
    </row>
    <row r="32" customHeight="1" collapsed="1" spans="1:77">
      <c r="A32" s="157"/>
      <c r="B32" s="158"/>
      <c r="C32" s="158"/>
      <c r="D32" s="158"/>
      <c r="E32" s="158"/>
      <c r="F32" s="158"/>
      <c r="G32" s="158"/>
      <c r="H32" s="164"/>
      <c r="I32" s="158"/>
    </row>
    <row r="33" customHeight="1" spans="1:9">
      <c r="A33" s="157"/>
      <c r="B33" s="158"/>
      <c r="C33" s="158"/>
      <c r="D33" s="158"/>
      <c r="E33" s="158"/>
      <c r="F33" s="158"/>
      <c r="G33" s="158"/>
      <c r="H33" s="164"/>
      <c r="I33" s="158"/>
    </row>
    <row r="34" customHeight="1" spans="1:9">
      <c r="A34" s="157"/>
      <c r="B34" s="158"/>
      <c r="C34" s="158"/>
      <c r="D34" s="158"/>
      <c r="E34" s="158"/>
      <c r="F34" s="158"/>
      <c r="G34" s="158"/>
      <c r="H34" s="164"/>
      <c r="I34" s="158"/>
    </row>
    <row r="35" customHeight="1" spans="1:9">
      <c r="A35" s="157"/>
      <c r="B35" s="158"/>
      <c r="C35" s="158"/>
      <c r="D35" s="158"/>
      <c r="E35" s="158"/>
      <c r="F35" s="158"/>
      <c r="G35" s="158"/>
      <c r="H35" s="164"/>
      <c r="I35" s="158"/>
    </row>
    <row r="36" customHeight="1" spans="1:9">
      <c r="A36" s="157"/>
      <c r="B36" s="158"/>
      <c r="C36" s="158"/>
      <c r="D36" s="158"/>
      <c r="E36" s="158"/>
      <c r="F36" s="158"/>
      <c r="G36" s="158"/>
      <c r="H36" s="164"/>
      <c r="I36" s="158"/>
    </row>
    <row r="37" customHeight="1" spans="1:9">
      <c r="D37" s="158"/>
      <c r="E37" s="158"/>
      <c r="F37" s="158"/>
    </row>
  </sheetData>
  <sheetProtection autoFilter="0"/>
  <mergeCells count="6">
    <mergeCell ref="A2:M2"/>
    <mergeCell ref="A3:M3"/>
    <mergeCell ref="BW7:BY7"/>
    <mergeCell ref="BW8:BY8"/>
    <mergeCell ref="BX14:BY14"/>
    <mergeCell ref="A27:B27"/>
  </mergeCells>
  <conditionalFormatting sqref="BI7:BI26">
    <cfRule type="expression" dxfId="5" priority="65539" stopIfTrue="1">
      <formula>AND(BH7="有",BI7="")</formula>
    </cfRule>
  </conditionalFormatting>
  <conditionalFormatting sqref="BN7:BN26">
    <cfRule type="expression" dxfId="5" priority="7" stopIfTrue="1">
      <formula>AND(BM7="无",BN7="")</formula>
    </cfRule>
  </conditionalFormatting>
  <conditionalFormatting sqref="BF7:BG26">
    <cfRule type="containsText" dxfId="6" priority="1" stopIfTrue="1" operator="between" text="出错">
      <formula>NOT(ISERROR(SEARCH("出错",BF7)))</formula>
    </cfRule>
  </conditionalFormatting>
  <conditionalFormatting sqref="BH7:BH26 BJ7:BM26 BO7:BO26">
    <cfRule type="expression" dxfId="5" priority="8" stopIfTrue="1">
      <formula>AND($B7&lt;&gt;"",BH7="")</formula>
    </cfRule>
  </conditionalFormatting>
  <dataValidations count="4">
    <dataValidation type="list" allowBlank="1" showInputMessage="1" showErrorMessage="1" sqref="D7:D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O7:BO26 BJ7:BM26">
      <formula1>BH$30:BH$31</formula1>
    </dataValidation>
  </dataValidations>
  <hyperlinks>
    <hyperlink ref="A1" location="索引目录!D54" display="返回索引页"/>
    <hyperlink ref="B1" location="非流动资产评估汇总!B47"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00B0F0"/>
    <pageSetUpPr fitToPage="1"/>
  </sheetPr>
  <dimension ref="A1:O190"/>
  <sheetViews>
    <sheetView workbookViewId="0">
      <pane xSplit="2" ySplit="6" topLeftCell="C7" activePane="bottomRight" state="frozen"/>
      <selection/>
      <selection pane="topRight"/>
      <selection pane="bottomLeft"/>
      <selection pane="bottomRight" activeCell="E45" sqref="E45"/>
    </sheetView>
  </sheetViews>
  <sheetFormatPr defaultColWidth="9" defaultRowHeight="15.6"/>
  <cols>
    <col min="1" max="1" width="30.6" style="1694" customWidth="1"/>
    <col min="2" max="8" width="15.6" style="1694" customWidth="1"/>
    <col min="9" max="9" width="1.6" style="1694" customWidth="1"/>
    <col min="10" max="11" width="10.6" style="1694" customWidth="1"/>
    <col min="12" max="12" width="1.6" style="1694" customWidth="1"/>
    <col min="13" max="13" width="5" style="1694" customWidth="1"/>
    <col min="14" max="14" width="13.1" style="1694" customWidth="1"/>
    <col min="15" max="16384" width="9" style="1694"/>
  </cols>
  <sheetData>
    <row r="1" s="1690" customFormat="1" ht="22.2" customHeight="1" spans="1:15">
      <c r="A1" s="1695" t="s">
        <v>414</v>
      </c>
      <c r="B1" s="1695"/>
      <c r="C1" s="1695"/>
      <c r="D1" s="1695"/>
      <c r="E1" s="1695"/>
      <c r="F1" s="1695"/>
      <c r="G1" s="1695"/>
    </row>
    <row r="2" s="1691" customFormat="1" ht="15" customHeight="1" spans="1:15">
      <c r="A2" s="1696" t="str">
        <f>参数表!F5</f>
        <v>评估基准日：2025年7月31日</v>
      </c>
      <c r="B2" s="1696"/>
      <c r="C2" s="1696"/>
      <c r="D2" s="1696"/>
      <c r="E2" s="1696"/>
      <c r="F2" s="1696"/>
      <c r="G2" s="1696"/>
      <c r="H2" s="1697"/>
      <c r="I2" s="1697"/>
      <c r="J2" s="1697"/>
      <c r="K2" s="1697"/>
      <c r="L2" s="1697"/>
      <c r="M2" s="1697"/>
      <c r="N2" s="1697"/>
      <c r="O2" s="1697"/>
    </row>
    <row r="3" s="1692" customFormat="1" ht="15" customHeight="1" spans="1:15">
      <c r="A3" s="1698" t="str">
        <f>参数表!F3</f>
        <v>产权持有单位:中煤第五建设有限公司</v>
      </c>
      <c r="B3" s="1698"/>
      <c r="C3" s="1698"/>
      <c r="D3" s="1699"/>
      <c r="E3" s="1699"/>
      <c r="F3" s="1700" t="s">
        <v>332</v>
      </c>
      <c r="G3" s="26" t="s">
        <v>415</v>
      </c>
      <c r="H3" s="1699"/>
      <c r="I3" s="1699"/>
      <c r="J3" s="1699"/>
      <c r="K3" s="1699"/>
      <c r="L3" s="1699"/>
      <c r="M3" s="1699"/>
      <c r="N3" s="1699"/>
      <c r="O3" s="1699"/>
    </row>
    <row r="4" s="1692" customFormat="1" ht="15" customHeight="1" spans="1:15">
      <c r="A4" s="1701" t="s">
        <v>334</v>
      </c>
      <c r="B4" s="1702" t="s">
        <v>336</v>
      </c>
      <c r="C4" s="1703"/>
      <c r="D4" s="1703"/>
      <c r="E4" s="1703"/>
      <c r="F4" s="1703"/>
      <c r="G4" s="1704"/>
      <c r="H4" s="1705" t="s">
        <v>416</v>
      </c>
      <c r="I4" s="1699"/>
      <c r="J4" s="1706">
        <f>'产成品（商品）'!BP5</f>
        <v>3</v>
      </c>
      <c r="K4" s="1707"/>
      <c r="L4" s="1699"/>
      <c r="M4" s="1708" t="s">
        <v>417</v>
      </c>
      <c r="N4" s="1708" t="s">
        <v>418</v>
      </c>
      <c r="O4" s="1708" t="s">
        <v>419</v>
      </c>
    </row>
    <row r="5" s="1692" customFormat="1" ht="13.2" spans="1:15">
      <c r="A5" s="1701"/>
      <c r="B5" s="1705" t="str">
        <f>参数表!L9</f>
        <v>2020年度</v>
      </c>
      <c r="C5" s="1705" t="str">
        <f>参数表!M9</f>
        <v>2021年度</v>
      </c>
      <c r="D5" s="1705" t="str">
        <f>参数表!N9</f>
        <v>2022年度</v>
      </c>
      <c r="E5" s="1705" t="str">
        <f>参数表!O9</f>
        <v>2023年度</v>
      </c>
      <c r="F5" s="1705" t="str">
        <f>参数表!P9</f>
        <v>2024年度</v>
      </c>
      <c r="G5" s="1705" t="str">
        <f>参数表!Q9</f>
        <v>2025年1-7月</v>
      </c>
      <c r="H5" s="1705" t="s">
        <v>420</v>
      </c>
      <c r="I5" s="1699"/>
      <c r="J5" s="1709" t="s">
        <v>421</v>
      </c>
      <c r="K5" s="1710" t="s">
        <v>422</v>
      </c>
      <c r="L5" s="1699"/>
      <c r="M5" s="1506">
        <f>IF(N5="","",SUBTOTAL(3,N$5:N5))</f>
        <v>1</v>
      </c>
      <c r="N5" s="1505" t="s">
        <v>423</v>
      </c>
      <c r="O5" s="1711">
        <v>0.25</v>
      </c>
    </row>
    <row r="6" s="1693" customFormat="1" ht="15" customHeight="1" spans="1:15">
      <c r="A6" s="1712" t="s">
        <v>424</v>
      </c>
      <c r="B6" s="1713"/>
      <c r="C6" s="1713"/>
      <c r="D6" s="1713"/>
      <c r="E6" s="1713"/>
      <c r="F6" s="1713"/>
      <c r="G6" s="1713"/>
      <c r="H6" s="1713"/>
      <c r="I6" s="1714"/>
      <c r="J6" s="1715">
        <f>SUMIF(B$30:G$30,"&lt;="&amp;J$4,B6:G6)</f>
        <v>0</v>
      </c>
      <c r="K6" s="1716">
        <f>IFERROR(J6/J$6,0)</f>
        <v>0</v>
      </c>
      <c r="L6" s="1714"/>
      <c r="M6" s="1506">
        <f>IF(N6="","",SUBTOTAL(3,N$5:N6))</f>
        <v>2</v>
      </c>
      <c r="N6" s="1505" t="s">
        <v>425</v>
      </c>
      <c r="O6" s="1711">
        <v>0.13</v>
      </c>
    </row>
    <row r="7" s="1691" customFormat="1" ht="15" customHeight="1" spans="1:15">
      <c r="A7" s="1717" t="s">
        <v>426</v>
      </c>
      <c r="B7" s="1718"/>
      <c r="C7" s="1718"/>
      <c r="D7" s="1718"/>
      <c r="E7" s="1718"/>
      <c r="F7" s="1718"/>
      <c r="G7" s="1718"/>
      <c r="H7" s="1718"/>
      <c r="I7" s="1697"/>
      <c r="J7" s="1719">
        <f>SUMIF(B$30:G$30,"&lt;="&amp;J$4,B7:G7)</f>
        <v>0</v>
      </c>
      <c r="K7" s="1720">
        <f t="shared" ref="K7:K26" si="0">IFERROR(J7/J$6,0)</f>
        <v>0</v>
      </c>
      <c r="L7" s="1697"/>
      <c r="M7" s="1506">
        <f>IF(N7="","",SUBTOTAL(3,N$5:N7))</f>
        <v>3</v>
      </c>
      <c r="N7" s="1505" t="s">
        <v>427</v>
      </c>
      <c r="O7" s="1711">
        <v>0.04</v>
      </c>
    </row>
    <row r="8" s="1691" customFormat="1" ht="15" customHeight="1" spans="1:15">
      <c r="A8" s="1721" t="s">
        <v>428</v>
      </c>
      <c r="B8" s="1718"/>
      <c r="C8" s="1718"/>
      <c r="D8" s="1718"/>
      <c r="E8" s="1718"/>
      <c r="F8" s="1718"/>
      <c r="G8" s="1718"/>
      <c r="H8" s="1718"/>
      <c r="I8" s="1697"/>
      <c r="J8" s="1719">
        <f>SUMIF(B$30:G$30,"&lt;="&amp;J$4,B8:G8)-J9</f>
        <v>0</v>
      </c>
      <c r="K8" s="1720">
        <f t="shared" si="0"/>
        <v>0</v>
      </c>
      <c r="L8" s="1697"/>
      <c r="M8" s="1506">
        <f>IF(N8="","",SUBTOTAL(3,N$5:N8))</f>
        <v>4</v>
      </c>
      <c r="N8" s="1505" t="s">
        <v>429</v>
      </c>
      <c r="O8" s="1711">
        <v>0.07</v>
      </c>
    </row>
    <row r="9" s="1691" customFormat="1" ht="15" customHeight="1" spans="1:15">
      <c r="A9" s="1722" t="s">
        <v>430</v>
      </c>
      <c r="B9" s="1718"/>
      <c r="C9" s="1718"/>
      <c r="D9" s="1718"/>
      <c r="E9" s="1718"/>
      <c r="F9" s="1718"/>
      <c r="G9" s="1718"/>
      <c r="H9" s="1718"/>
      <c r="I9" s="1697"/>
      <c r="J9" s="1719">
        <f t="shared" ref="J9:J13" si="1">SUMIF(B$30:G$30,"&lt;="&amp;J$4,B9:G9)</f>
        <v>0</v>
      </c>
      <c r="K9" s="1720">
        <f t="shared" ref="K9:K13" si="2">IFERROR(J9/J$6,0)</f>
        <v>0</v>
      </c>
      <c r="L9" s="1697"/>
      <c r="M9" s="1506">
        <f>IF(N9="","",SUBTOTAL(3,N$5:N9))</f>
        <v>5</v>
      </c>
      <c r="N9" s="1505" t="s">
        <v>431</v>
      </c>
      <c r="O9" s="1723">
        <v>0.03</v>
      </c>
    </row>
    <row r="10" s="1691" customFormat="1" ht="15" customHeight="1" spans="1:15">
      <c r="A10" s="1721" t="s">
        <v>432</v>
      </c>
      <c r="B10" s="1718"/>
      <c r="C10" s="1718"/>
      <c r="D10" s="1718"/>
      <c r="E10" s="1718"/>
      <c r="F10" s="1718"/>
      <c r="G10" s="1718"/>
      <c r="H10" s="1718"/>
      <c r="I10" s="1697"/>
      <c r="J10" s="1719">
        <f t="shared" si="1"/>
        <v>0</v>
      </c>
      <c r="K10" s="1720">
        <f t="shared" si="2"/>
        <v>0</v>
      </c>
      <c r="L10" s="1697"/>
      <c r="M10" s="1506">
        <f>IF(N10="","",SUBTOTAL(3,N$5:N10))</f>
        <v>6</v>
      </c>
      <c r="N10" s="1505" t="s">
        <v>433</v>
      </c>
      <c r="O10" s="1723">
        <v>0.02</v>
      </c>
    </row>
    <row r="11" s="1691" customFormat="1" ht="15" customHeight="1" spans="1:15">
      <c r="A11" s="1721" t="s">
        <v>434</v>
      </c>
      <c r="B11" s="1718"/>
      <c r="C11" s="1718"/>
      <c r="D11" s="1718"/>
      <c r="E11" s="1718"/>
      <c r="F11" s="1718"/>
      <c r="G11" s="1718"/>
      <c r="H11" s="1718"/>
      <c r="I11" s="1697"/>
      <c r="J11" s="1719">
        <f t="shared" si="1"/>
        <v>0</v>
      </c>
      <c r="K11" s="1720">
        <f t="shared" si="2"/>
        <v>0</v>
      </c>
      <c r="L11" s="1697"/>
      <c r="M11" s="1506">
        <f>IF(N11="","",SUBTOTAL(3,N$5:N11))</f>
        <v>7</v>
      </c>
      <c r="N11" s="1505" t="s">
        <v>435</v>
      </c>
      <c r="O11" s="1711">
        <v>0.0003</v>
      </c>
    </row>
    <row r="12" s="1691" customFormat="1" ht="15" customHeight="1" spans="1:15">
      <c r="A12" s="1721" t="s">
        <v>436</v>
      </c>
      <c r="B12" s="1718"/>
      <c r="C12" s="1718"/>
      <c r="D12" s="1718"/>
      <c r="E12" s="1718"/>
      <c r="F12" s="1718"/>
      <c r="G12" s="1718"/>
      <c r="H12" s="1718"/>
      <c r="I12" s="1697"/>
      <c r="J12" s="1719">
        <f t="shared" si="1"/>
        <v>0</v>
      </c>
      <c r="K12" s="1720">
        <f t="shared" si="2"/>
        <v>0</v>
      </c>
      <c r="L12" s="1697"/>
      <c r="M12" s="1506">
        <f>IF(N12="","",SUBTOTAL(3,N$5:N12))</f>
        <v>8</v>
      </c>
      <c r="N12" s="1724" t="s">
        <v>437</v>
      </c>
      <c r="O12" s="1725">
        <v>0.012</v>
      </c>
    </row>
    <row r="13" s="1691" customFormat="1" ht="15" customHeight="1" spans="1:15">
      <c r="A13" s="1721" t="s">
        <v>438</v>
      </c>
      <c r="B13" s="1718"/>
      <c r="C13" s="1718"/>
      <c r="D13" s="1718"/>
      <c r="E13" s="1718"/>
      <c r="F13" s="1718"/>
      <c r="G13" s="1718"/>
      <c r="H13" s="1718"/>
      <c r="I13" s="1697"/>
      <c r="J13" s="1719">
        <f t="shared" si="1"/>
        <v>0</v>
      </c>
      <c r="K13" s="1720">
        <f t="shared" si="2"/>
        <v>0</v>
      </c>
      <c r="L13" s="1697"/>
      <c r="M13" s="1506">
        <f>IF(N13="","",SUBTOTAL(3,N$5:N13))</f>
        <v>9</v>
      </c>
      <c r="N13" s="1724" t="s">
        <v>439</v>
      </c>
      <c r="O13" s="1726">
        <v>3</v>
      </c>
    </row>
    <row r="14" s="1691" customFormat="1" ht="15" customHeight="1" spans="1:15">
      <c r="A14" s="1727" t="s">
        <v>440</v>
      </c>
      <c r="B14" s="1718"/>
      <c r="C14" s="1718"/>
      <c r="D14" s="1718"/>
      <c r="E14" s="1718"/>
      <c r="F14" s="1718"/>
      <c r="G14" s="1718"/>
      <c r="H14" s="1718"/>
      <c r="I14" s="1697"/>
      <c r="J14" s="1719">
        <f t="shared" ref="J14:J26" si="3">SUMIF(B$30:G$30,"&lt;="&amp;J$4,B14:G14)</f>
        <v>0</v>
      </c>
      <c r="K14" s="1720">
        <f t="shared" si="0"/>
        <v>0</v>
      </c>
      <c r="L14" s="1697"/>
      <c r="M14" s="1506">
        <f>IF(N14="","",SUBTOTAL(3,N$5:N14))</f>
        <v>10</v>
      </c>
      <c r="N14" s="1505" t="s">
        <v>441</v>
      </c>
      <c r="O14" s="1728">
        <v>0.01</v>
      </c>
    </row>
    <row r="15" s="1691" customFormat="1" ht="15" customHeight="1" spans="1:15">
      <c r="A15" s="1721" t="s">
        <v>442</v>
      </c>
      <c r="B15" s="1718"/>
      <c r="C15" s="1718"/>
      <c r="D15" s="1718"/>
      <c r="E15" s="1718"/>
      <c r="F15" s="1718"/>
      <c r="G15" s="1718"/>
      <c r="H15" s="1718"/>
      <c r="I15" s="1697"/>
      <c r="J15" s="1719">
        <f t="shared" si="3"/>
        <v>0</v>
      </c>
      <c r="K15" s="1720">
        <f t="shared" si="0"/>
        <v>0</v>
      </c>
      <c r="L15" s="1697"/>
      <c r="M15" s="1506">
        <f>IF(N15="","",SUBTOTAL(3,N$5:N15))</f>
        <v>11</v>
      </c>
      <c r="N15" s="1505" t="s">
        <v>443</v>
      </c>
      <c r="O15" s="1725">
        <v>0.001</v>
      </c>
    </row>
    <row r="16" s="1691" customFormat="1" ht="15" customHeight="1" spans="1:15">
      <c r="A16" s="1721" t="s">
        <v>444</v>
      </c>
      <c r="B16" s="1718"/>
      <c r="C16" s="1718"/>
      <c r="D16" s="1718"/>
      <c r="E16" s="1718"/>
      <c r="F16" s="1718"/>
      <c r="G16" s="1718"/>
      <c r="H16" s="1718"/>
      <c r="I16" s="1697"/>
      <c r="J16" s="1719">
        <f t="shared" si="3"/>
        <v>0</v>
      </c>
      <c r="K16" s="1720">
        <f t="shared" si="0"/>
        <v>0</v>
      </c>
      <c r="L16" s="1697"/>
      <c r="M16" s="1506">
        <f>IF(N16="","",SUBTOTAL(3,N$5:N16))</f>
        <v>12</v>
      </c>
      <c r="N16" s="1729" t="s">
        <v>445</v>
      </c>
      <c r="O16" s="1728">
        <v>0.03</v>
      </c>
    </row>
    <row r="17" s="1691" customFormat="1" ht="15" customHeight="1" spans="1:15">
      <c r="A17" s="1721" t="s">
        <v>446</v>
      </c>
      <c r="B17" s="1718"/>
      <c r="C17" s="1718"/>
      <c r="D17" s="1718"/>
      <c r="E17" s="1718"/>
      <c r="F17" s="1718"/>
      <c r="G17" s="1718"/>
      <c r="H17" s="1718"/>
      <c r="I17" s="1697"/>
      <c r="J17" s="1719">
        <f t="shared" si="3"/>
        <v>0</v>
      </c>
      <c r="K17" s="1720">
        <f t="shared" si="0"/>
        <v>0</v>
      </c>
      <c r="L17" s="1697"/>
      <c r="M17" s="1506">
        <f>IF(N17="","",SUBTOTAL(3,N$5:N17))</f>
        <v>13</v>
      </c>
      <c r="N17" s="1505" t="s">
        <v>447</v>
      </c>
      <c r="O17" s="1728">
        <v>0.05</v>
      </c>
    </row>
    <row r="18" s="1691" customFormat="1" ht="15" customHeight="1" spans="1:15">
      <c r="A18" s="1721" t="s">
        <v>448</v>
      </c>
      <c r="B18" s="1730"/>
      <c r="C18" s="1730"/>
      <c r="D18" s="1730"/>
      <c r="E18" s="1730"/>
      <c r="F18" s="1730"/>
      <c r="G18" s="1730"/>
      <c r="H18" s="1730"/>
      <c r="I18" s="1697"/>
      <c r="J18" s="1719">
        <f t="shared" si="3"/>
        <v>0</v>
      </c>
      <c r="K18" s="1720">
        <f t="shared" si="0"/>
        <v>0</v>
      </c>
      <c r="L18" s="1697"/>
      <c r="M18" s="1506">
        <f>IF(N18="","",SUBTOTAL(3,N$5:N18))</f>
        <v>14</v>
      </c>
      <c r="N18" s="1729" t="s">
        <v>449</v>
      </c>
      <c r="O18" s="1731" t="s">
        <v>450</v>
      </c>
    </row>
    <row r="19" s="1691" customFormat="1" ht="15" customHeight="1" spans="1:15">
      <c r="A19" s="1721" t="s">
        <v>451</v>
      </c>
      <c r="B19" s="1730"/>
      <c r="C19" s="1730"/>
      <c r="D19" s="1730"/>
      <c r="E19" s="1730"/>
      <c r="F19" s="1730"/>
      <c r="G19" s="1730"/>
      <c r="H19" s="1730"/>
      <c r="I19" s="1697"/>
      <c r="J19" s="1719">
        <f t="shared" si="3"/>
        <v>0</v>
      </c>
      <c r="K19" s="1720">
        <f t="shared" si="0"/>
        <v>0</v>
      </c>
      <c r="L19" s="1697"/>
      <c r="M19" s="1506">
        <f>IF(N19="","",SUBTOTAL(3,N$5:N19))</f>
        <v>15</v>
      </c>
      <c r="N19" s="1732" t="s">
        <v>452</v>
      </c>
      <c r="O19" s="1732"/>
    </row>
    <row r="20" s="1693" customFormat="1" ht="15" customHeight="1" spans="1:15">
      <c r="A20" s="1721" t="s">
        <v>453</v>
      </c>
      <c r="B20" s="1730"/>
      <c r="C20" s="1730"/>
      <c r="D20" s="1730"/>
      <c r="E20" s="1730"/>
      <c r="F20" s="1730"/>
      <c r="G20" s="1730"/>
      <c r="H20" s="1730"/>
      <c r="I20" s="1697"/>
      <c r="J20" s="1719">
        <f t="shared" si="3"/>
        <v>0</v>
      </c>
      <c r="K20" s="1720">
        <f t="shared" si="0"/>
        <v>0</v>
      </c>
      <c r="L20" s="1714"/>
      <c r="M20" s="1506">
        <f>IF(N20="","",SUBTOTAL(3,N$5:N20))</f>
        <v>16</v>
      </c>
      <c r="N20" s="1732" t="s">
        <v>452</v>
      </c>
      <c r="O20" s="1732"/>
    </row>
    <row r="21" s="1691" customFormat="1" ht="15" customHeight="1" spans="1:15">
      <c r="A21" s="1733" t="s">
        <v>454</v>
      </c>
      <c r="B21" s="1734">
        <f>SUM(B6,B14:B20)-SUM(B7:B8,B10:B13)</f>
        <v>0</v>
      </c>
      <c r="C21" s="1734">
        <f t="shared" ref="C21:H21" si="4">SUM(C6,C14:C20)-SUM(C7:C8,C10:C13)</f>
        <v>0</v>
      </c>
      <c r="D21" s="1734">
        <f t="shared" si="4"/>
        <v>0</v>
      </c>
      <c r="E21" s="1734">
        <f t="shared" si="4"/>
        <v>0</v>
      </c>
      <c r="F21" s="1734">
        <f t="shared" si="4"/>
        <v>0</v>
      </c>
      <c r="G21" s="1734">
        <f t="shared" si="4"/>
        <v>0</v>
      </c>
      <c r="H21" s="1734">
        <f t="shared" si="4"/>
        <v>0</v>
      </c>
      <c r="I21" s="1714"/>
      <c r="J21" s="1715">
        <f t="shared" si="3"/>
        <v>0</v>
      </c>
      <c r="K21" s="1716">
        <f t="shared" si="0"/>
        <v>0</v>
      </c>
      <c r="L21" s="1697"/>
      <c r="M21" s="1506">
        <f>IF(N21="","",SUBTOTAL(3,N$5:N21))</f>
        <v>17</v>
      </c>
      <c r="N21" s="1732" t="s">
        <v>452</v>
      </c>
      <c r="O21" s="1732"/>
    </row>
    <row r="22" s="1691" customFormat="1" ht="15" customHeight="1" spans="1:15">
      <c r="A22" s="1717" t="s">
        <v>455</v>
      </c>
      <c r="B22" s="1730"/>
      <c r="C22" s="1730"/>
      <c r="D22" s="1730"/>
      <c r="E22" s="1730"/>
      <c r="F22" s="1730"/>
      <c r="G22" s="1730"/>
      <c r="H22" s="1730"/>
      <c r="I22" s="1697"/>
      <c r="J22" s="1719">
        <f t="shared" si="3"/>
        <v>0</v>
      </c>
      <c r="K22" s="1720">
        <f t="shared" si="0"/>
        <v>0</v>
      </c>
      <c r="L22" s="1697"/>
      <c r="M22" s="1506">
        <f>IF(N22="","",SUBTOTAL(3,N$5:N22))</f>
        <v>18</v>
      </c>
      <c r="N22" s="1732" t="s">
        <v>452</v>
      </c>
      <c r="O22" s="1732"/>
    </row>
    <row r="23" s="1693" customFormat="1" ht="15" customHeight="1" spans="1:15">
      <c r="A23" s="1717" t="s">
        <v>456</v>
      </c>
      <c r="B23" s="1735"/>
      <c r="C23" s="1735"/>
      <c r="D23" s="1735"/>
      <c r="E23" s="1735"/>
      <c r="F23" s="1735"/>
      <c r="G23" s="1735"/>
      <c r="H23" s="1735"/>
      <c r="I23" s="1697"/>
      <c r="J23" s="1719">
        <f t="shared" si="3"/>
        <v>0</v>
      </c>
      <c r="K23" s="1720">
        <f t="shared" si="0"/>
        <v>0</v>
      </c>
      <c r="L23" s="1714"/>
      <c r="M23" s="1506">
        <f>IF(N23="","",SUBTOTAL(3,N$5:N23))</f>
        <v>19</v>
      </c>
      <c r="N23" s="1732" t="s">
        <v>452</v>
      </c>
      <c r="O23" s="1732"/>
    </row>
    <row r="24" s="1691" customFormat="1" ht="15" customHeight="1" spans="1:15">
      <c r="A24" s="1733" t="s">
        <v>457</v>
      </c>
      <c r="B24" s="1734">
        <f t="shared" ref="B24:G24" si="5">SUM(B21:B22,-B23)</f>
        <v>0</v>
      </c>
      <c r="C24" s="1734">
        <f t="shared" si="5"/>
        <v>0</v>
      </c>
      <c r="D24" s="1734">
        <f t="shared" si="5"/>
        <v>0</v>
      </c>
      <c r="E24" s="1734">
        <f t="shared" si="5"/>
        <v>0</v>
      </c>
      <c r="F24" s="1734">
        <f t="shared" si="5"/>
        <v>0</v>
      </c>
      <c r="G24" s="1734">
        <f t="shared" si="5"/>
        <v>0</v>
      </c>
      <c r="H24" s="1734">
        <f t="shared" ref="H24" si="6">SUM(H21:H22,-H23)</f>
        <v>0</v>
      </c>
      <c r="I24" s="1714"/>
      <c r="J24" s="1715">
        <f t="shared" si="3"/>
        <v>0</v>
      </c>
      <c r="K24" s="1716">
        <f t="shared" si="0"/>
        <v>0</v>
      </c>
      <c r="L24" s="1697"/>
      <c r="M24" s="1506" t="str">
        <f>IF(N24="","",SUBTOTAL(3,N$5:N24))</f>
        <v/>
      </c>
      <c r="N24" s="1732"/>
      <c r="O24" s="1732"/>
    </row>
    <row r="25" s="1693" customFormat="1" ht="15" customHeight="1" spans="1:15">
      <c r="A25" s="1717" t="s">
        <v>458</v>
      </c>
      <c r="B25" s="1730"/>
      <c r="C25" s="1730"/>
      <c r="D25" s="1730"/>
      <c r="E25" s="1730"/>
      <c r="F25" s="1730"/>
      <c r="G25" s="1730"/>
      <c r="H25" s="1730"/>
      <c r="I25" s="1697"/>
      <c r="J25" s="1719">
        <f t="shared" si="3"/>
        <v>0</v>
      </c>
      <c r="K25" s="1720">
        <f t="shared" si="0"/>
        <v>0</v>
      </c>
      <c r="L25" s="1714"/>
      <c r="M25" s="1506" t="str">
        <f>IF(N25="","",SUBTOTAL(3,N$5:N25))</f>
        <v/>
      </c>
      <c r="N25" s="1732"/>
      <c r="O25" s="1732"/>
    </row>
    <row r="26" s="1691" customFormat="1" ht="15" customHeight="1" outlineLevel="1" spans="1:15">
      <c r="A26" s="1733" t="s">
        <v>459</v>
      </c>
      <c r="B26" s="1734">
        <f t="shared" ref="B26:G26" si="7">SUM(B24,-B25)</f>
        <v>0</v>
      </c>
      <c r="C26" s="1734">
        <f t="shared" si="7"/>
        <v>0</v>
      </c>
      <c r="D26" s="1734">
        <f t="shared" si="7"/>
        <v>0</v>
      </c>
      <c r="E26" s="1734">
        <f t="shared" si="7"/>
        <v>0</v>
      </c>
      <c r="F26" s="1734">
        <f t="shared" si="7"/>
        <v>0</v>
      </c>
      <c r="G26" s="1734">
        <f t="shared" si="7"/>
        <v>0</v>
      </c>
      <c r="H26" s="1734">
        <f t="shared" ref="H26" si="8">SUM(H24,-H25)</f>
        <v>0</v>
      </c>
      <c r="I26" s="1714"/>
      <c r="J26" s="1715">
        <f t="shared" si="3"/>
        <v>0</v>
      </c>
      <c r="K26" s="1716">
        <f t="shared" si="0"/>
        <v>0</v>
      </c>
      <c r="L26" s="1697"/>
      <c r="M26" s="1697"/>
      <c r="N26" s="1697"/>
      <c r="O26" s="1697"/>
    </row>
    <row r="27" s="1691" customFormat="1" ht="15" customHeight="1" outlineLevel="1" spans="1:15">
      <c r="A27" s="1717" t="s">
        <v>460</v>
      </c>
      <c r="B27" s="1736"/>
      <c r="C27" s="1736"/>
      <c r="D27" s="1736"/>
      <c r="E27" s="1736"/>
      <c r="F27" s="1737"/>
      <c r="G27" s="1737"/>
      <c r="H27" s="1737"/>
      <c r="I27" s="1697"/>
      <c r="J27" s="1697"/>
      <c r="K27" s="1697"/>
      <c r="L27" s="1697"/>
      <c r="M27" s="1697"/>
      <c r="N27" s="1697"/>
      <c r="O27" s="1697"/>
    </row>
    <row r="28" s="1691" customFormat="1" ht="15" customHeight="1" spans="1:15">
      <c r="A28" s="1717" t="s">
        <v>461</v>
      </c>
      <c r="B28" s="1736"/>
      <c r="C28" s="1736"/>
      <c r="D28" s="1736"/>
      <c r="E28" s="1736"/>
      <c r="F28" s="1737"/>
      <c r="G28" s="1737"/>
      <c r="H28" s="1737"/>
      <c r="I28" s="1697"/>
      <c r="J28" s="1697"/>
      <c r="K28" s="1697"/>
      <c r="L28" s="1697"/>
      <c r="M28" s="1697"/>
      <c r="N28" s="1697"/>
      <c r="O28" s="1697"/>
    </row>
    <row r="29" s="1691" customFormat="1" ht="15" hidden="1" customHeight="1" outlineLevel="1" spans="1:15">
      <c r="A29" s="1738" t="str">
        <f>参数表!F6</f>
        <v>产权持有单位填表人：贾广东</v>
      </c>
      <c r="B29" s="1738"/>
      <c r="C29" s="1738"/>
      <c r="D29" s="1738"/>
      <c r="E29" s="1738"/>
      <c r="F29" s="1739"/>
      <c r="G29" s="1740" t="str">
        <f>参数表!F7</f>
        <v>填表日期：2025年9月20日</v>
      </c>
      <c r="H29" s="1697"/>
      <c r="I29" s="1697"/>
      <c r="J29" s="1697"/>
      <c r="K29" s="1697"/>
      <c r="L29" s="1697"/>
      <c r="M29" s="1697"/>
      <c r="N29" s="1697"/>
      <c r="O29" s="1697"/>
    </row>
    <row r="30" s="1691" customFormat="1" ht="13.2" collapsed="1" spans="1:15">
      <c r="A30" s="1741" t="s">
        <v>462</v>
      </c>
      <c r="B30" s="1699">
        <v>6</v>
      </c>
      <c r="C30" s="1699">
        <v>5</v>
      </c>
      <c r="D30" s="1699">
        <v>4</v>
      </c>
      <c r="E30" s="1699">
        <v>3</v>
      </c>
      <c r="F30" s="1699">
        <v>2</v>
      </c>
      <c r="G30" s="1699">
        <v>1</v>
      </c>
      <c r="H30" s="1697"/>
      <c r="I30" s="1697"/>
      <c r="J30" s="1697"/>
      <c r="K30" s="1697"/>
      <c r="L30" s="1697"/>
      <c r="M30" s="1697"/>
      <c r="N30" s="1697"/>
      <c r="O30" s="1697"/>
    </row>
    <row r="31" s="1691" customFormat="1" ht="13.2" spans="1:15">
      <c r="A31" s="1697"/>
      <c r="B31" s="1697"/>
      <c r="C31" s="1697"/>
      <c r="D31" s="1697"/>
      <c r="E31" s="1697"/>
      <c r="F31" s="1697"/>
      <c r="G31" s="1697"/>
      <c r="H31" s="1697"/>
      <c r="I31" s="1697"/>
      <c r="J31" s="1697"/>
      <c r="K31" s="1697"/>
      <c r="L31" s="1697"/>
      <c r="M31" s="1697"/>
      <c r="N31" s="1697"/>
      <c r="O31" s="1697"/>
    </row>
    <row r="32" s="1691" customFormat="1" ht="13.2" spans="1:15">
      <c r="A32" s="1742" t="s">
        <v>463</v>
      </c>
      <c r="B32" s="1742" t="str">
        <f t="shared" ref="B32:G32" si="9">B5</f>
        <v>2020年度</v>
      </c>
      <c r="C32" s="1742" t="str">
        <f t="shared" si="9"/>
        <v>2021年度</v>
      </c>
      <c r="D32" s="1742" t="str">
        <f t="shared" si="9"/>
        <v>2022年度</v>
      </c>
      <c r="E32" s="1742" t="str">
        <f t="shared" si="9"/>
        <v>2023年度</v>
      </c>
      <c r="F32" s="1742" t="str">
        <f t="shared" si="9"/>
        <v>2024年度</v>
      </c>
      <c r="G32" s="1742" t="str">
        <f t="shared" si="9"/>
        <v>2025年1-7月</v>
      </c>
      <c r="H32" s="1697"/>
      <c r="I32" s="1697"/>
      <c r="J32" s="1697"/>
      <c r="K32" s="1697"/>
      <c r="L32" s="1697"/>
      <c r="M32" s="1697"/>
      <c r="N32" s="1697"/>
      <c r="O32" s="1697"/>
    </row>
    <row r="33" s="1691" customFormat="1" ht="13.2" spans="1:15">
      <c r="A33" s="1742" t="s">
        <v>464</v>
      </c>
      <c r="B33" s="1743"/>
      <c r="C33" s="1743"/>
      <c r="D33" s="1743"/>
      <c r="E33" s="1743"/>
      <c r="F33" s="1743"/>
      <c r="G33" s="1744" t="str">
        <f>参数表!D4</f>
        <v>XXX会计师事务所</v>
      </c>
      <c r="H33" s="1697"/>
      <c r="I33" s="1697"/>
      <c r="J33" s="1697"/>
      <c r="K33" s="1697"/>
      <c r="L33" s="1697"/>
      <c r="M33" s="1697"/>
      <c r="N33" s="1697"/>
      <c r="O33" s="1697"/>
    </row>
    <row r="34" s="1691" customFormat="1" ht="13.2" spans="1:15">
      <c r="A34" s="1742" t="s">
        <v>465</v>
      </c>
      <c r="B34" s="1743"/>
      <c r="C34" s="1743"/>
      <c r="D34" s="1743"/>
      <c r="E34" s="1743"/>
      <c r="F34" s="1743"/>
      <c r="G34" s="1744" t="str">
        <f>参数表!E4</f>
        <v>XXXX[2018]XXX号</v>
      </c>
      <c r="H34" s="1697"/>
      <c r="I34" s="1697"/>
      <c r="J34" s="1697"/>
      <c r="K34" s="1697"/>
      <c r="L34" s="1697"/>
      <c r="M34" s="1697"/>
      <c r="N34" s="1697"/>
      <c r="O34" s="1697"/>
    </row>
    <row r="35" s="1691" customFormat="1" ht="13.2" spans="1:15">
      <c r="A35" s="1742" t="s">
        <v>466</v>
      </c>
      <c r="B35" s="1744" t="s">
        <v>145</v>
      </c>
      <c r="C35" s="1744" t="s">
        <v>145</v>
      </c>
      <c r="D35" s="1744" t="s">
        <v>145</v>
      </c>
      <c r="E35" s="1744" t="s">
        <v>145</v>
      </c>
      <c r="F35" s="1744" t="s">
        <v>145</v>
      </c>
      <c r="G35" s="1744" t="str">
        <f>参数表!F4</f>
        <v>标准无保留意见</v>
      </c>
      <c r="H35" s="1697"/>
      <c r="I35" s="1697"/>
      <c r="J35" s="1697"/>
      <c r="K35" s="1697"/>
    </row>
    <row r="36" s="1691" customFormat="1" ht="13.2"/>
    <row r="37" s="1691" customFormat="1" ht="13.2"/>
    <row r="38" s="1691" customFormat="1" ht="13.2"/>
    <row r="39" s="1691" customFormat="1" ht="13.2"/>
    <row r="40" s="1691" customFormat="1" ht="13.2"/>
    <row r="41" s="1691" customFormat="1" ht="13.2"/>
    <row r="42" s="1691" customFormat="1" ht="13.2"/>
    <row r="43" s="1691" customFormat="1" ht="13.2"/>
    <row r="44" s="1691" customFormat="1" ht="13.2"/>
    <row r="45" s="1691" customFormat="1" ht="13.2"/>
    <row r="46" s="1691" customFormat="1" ht="13.2"/>
    <row r="47" s="1691" customFormat="1" ht="13.2"/>
    <row r="48" s="1691" customFormat="1" ht="13.2"/>
    <row r="49" s="1691" customFormat="1" ht="13.2"/>
    <row r="50" s="1691" customFormat="1" ht="13.2"/>
    <row r="51" s="1691" customFormat="1" ht="13.2"/>
    <row r="52" s="1691" customFormat="1" ht="13.2"/>
    <row r="53" s="1691" customFormat="1" ht="13.2"/>
    <row r="54" s="1691" customFormat="1" ht="13.2"/>
    <row r="55" s="1691" customFormat="1" ht="13.2"/>
    <row r="56" s="1691" customFormat="1" ht="13.2"/>
    <row r="57" s="1691" customFormat="1" ht="13.2"/>
    <row r="58" s="1691" customFormat="1" ht="13.2"/>
    <row r="59" s="1691" customFormat="1" ht="13.2"/>
    <row r="60" s="1691" customFormat="1" ht="13.2"/>
    <row r="61" s="1691" customFormat="1" ht="13.2"/>
    <row r="62" s="1691" customFormat="1" ht="13.2"/>
    <row r="63" s="1691" customFormat="1" ht="13.2"/>
    <row r="64" s="1691" customFormat="1" ht="13.2"/>
    <row r="65" s="1691" customFormat="1" ht="13.2"/>
    <row r="66" s="1691" customFormat="1" ht="13.2"/>
    <row r="67" s="1691" customFormat="1" ht="13.2"/>
    <row r="68" s="1691" customFormat="1" ht="13.2"/>
    <row r="69" s="1691" customFormat="1" ht="13.2"/>
    <row r="70" s="1691" customFormat="1" ht="13.2"/>
    <row r="71" s="1691" customFormat="1" ht="13.2"/>
    <row r="72" s="1691" customFormat="1" ht="13.2"/>
    <row r="73" s="1691" customFormat="1" ht="13.2"/>
    <row r="74" s="1691" customFormat="1" ht="13.2"/>
    <row r="75" s="1691" customFormat="1" ht="13.2"/>
    <row r="76" s="1691" customFormat="1" ht="13.2"/>
    <row r="77" s="1691" customFormat="1" ht="13.2"/>
    <row r="78" s="1691" customFormat="1" ht="13.2"/>
    <row r="79" s="1691" customFormat="1" ht="13.2"/>
    <row r="80" s="1691" customFormat="1" ht="13.2"/>
    <row r="81" s="1691" customFormat="1" ht="13.2"/>
    <row r="82" s="1691" customFormat="1" ht="13.2"/>
    <row r="83" s="1691" customFormat="1" ht="13.2"/>
    <row r="84" s="1691" customFormat="1" ht="13.2"/>
    <row r="85" s="1691" customFormat="1" ht="13.2"/>
    <row r="86" s="1691" customFormat="1" ht="13.2"/>
    <row r="87" s="1691" customFormat="1" ht="13.2"/>
    <row r="88" s="1691" customFormat="1" ht="13.2"/>
    <row r="89" s="1691" customFormat="1" ht="13.2"/>
    <row r="90" s="1691" customFormat="1" ht="13.2"/>
    <row r="91" s="1691" customFormat="1" ht="13.2"/>
    <row r="92" s="1691" customFormat="1" ht="13.2"/>
    <row r="93" s="1691" customFormat="1" ht="13.2"/>
    <row r="94" s="1691" customFormat="1" ht="13.2"/>
    <row r="95" s="1691" customFormat="1" ht="13.2"/>
    <row r="96" s="1691" customFormat="1" ht="13.2"/>
    <row r="97" s="1691" customFormat="1" ht="13.2"/>
    <row r="98" s="1691" customFormat="1" ht="13.2"/>
    <row r="99" s="1691" customFormat="1" ht="13.2"/>
    <row r="100" s="1691" customFormat="1" ht="13.2"/>
    <row r="101" s="1691" customFormat="1" ht="13.2"/>
    <row r="102" s="1691" customFormat="1" ht="13.2"/>
    <row r="103" s="1691" customFormat="1" ht="13.2"/>
    <row r="104" s="1691" customFormat="1" ht="13.2"/>
    <row r="105" s="1691" customFormat="1" ht="13.2"/>
    <row r="106" s="1691" customFormat="1" ht="13.2"/>
    <row r="107" s="1691" customFormat="1" ht="13.2"/>
    <row r="108" s="1691" customFormat="1" ht="13.2"/>
    <row r="109" s="1691" customFormat="1" ht="13.2"/>
    <row r="110" s="1691" customFormat="1" ht="13.2"/>
    <row r="111" s="1691" customFormat="1" ht="13.2"/>
    <row r="112" s="1691" customFormat="1" ht="13.2"/>
    <row r="113" s="1691" customFormat="1" ht="13.2"/>
    <row r="114" s="1691" customFormat="1" ht="13.2"/>
    <row r="115" s="1691" customFormat="1" ht="13.2"/>
    <row r="116" s="1691" customFormat="1" ht="13.2"/>
    <row r="117" s="1691" customFormat="1" ht="13.2"/>
    <row r="118" s="1691" customFormat="1" ht="13.2"/>
    <row r="119" s="1691" customFormat="1" ht="13.2"/>
    <row r="120" s="1691" customFormat="1" ht="13.2"/>
    <row r="121" s="1691" customFormat="1" ht="13.2"/>
    <row r="122" s="1691" customFormat="1" ht="13.2"/>
    <row r="123" s="1691" customFormat="1" ht="13.2"/>
    <row r="124" s="1691" customFormat="1" ht="13.2"/>
    <row r="125" s="1691" customFormat="1" ht="13.2"/>
    <row r="126" s="1691" customFormat="1" ht="13.2"/>
    <row r="127" s="1691" customFormat="1" ht="13.2"/>
    <row r="128" s="1691" customFormat="1" ht="13.2"/>
    <row r="129" s="1691" customFormat="1" ht="13.2"/>
    <row r="130" s="1691" customFormat="1" ht="13.2"/>
    <row r="131" s="1691" customFormat="1" ht="13.2"/>
    <row r="132" s="1691" customFormat="1" ht="13.2"/>
    <row r="133" s="1691" customFormat="1" ht="13.2"/>
    <row r="134" s="1691" customFormat="1" ht="13.2"/>
    <row r="135" s="1691" customFormat="1" ht="13.2"/>
    <row r="136" s="1691" customFormat="1" ht="13.2"/>
    <row r="137" s="1691" customFormat="1" ht="13.2"/>
    <row r="138" s="1691" customFormat="1" ht="13.2"/>
    <row r="139" s="1691" customFormat="1" ht="13.2"/>
    <row r="140" s="1691" customFormat="1" ht="13.2"/>
    <row r="141" s="1691" customFormat="1" ht="13.2"/>
    <row r="142" s="1691" customFormat="1" ht="13.2"/>
    <row r="143" s="1691" customFormat="1" ht="13.2"/>
    <row r="144" s="1691" customFormat="1" ht="13.2"/>
    <row r="145" s="1691" customFormat="1" ht="13.2"/>
    <row r="146" s="1691" customFormat="1" ht="13.2"/>
    <row r="147" s="1691" customFormat="1" ht="13.2"/>
    <row r="148" s="1691" customFormat="1" ht="13.2"/>
    <row r="149" s="1691" customFormat="1" ht="13.2"/>
    <row r="150" s="1691" customFormat="1" ht="13.2"/>
    <row r="151" s="1691" customFormat="1" ht="13.2"/>
    <row r="152" s="1691" customFormat="1" ht="13.2"/>
    <row r="153" s="1691" customFormat="1" ht="13.2"/>
    <row r="154" s="1691" customFormat="1" ht="13.2"/>
    <row r="155" s="1691" customFormat="1" ht="13.2"/>
    <row r="156" s="1691" customFormat="1" ht="13.2"/>
    <row r="157" s="1691" customFormat="1" ht="13.2"/>
    <row r="158" s="1691" customFormat="1" ht="13.2"/>
    <row r="159" s="1691" customFormat="1" ht="13.2"/>
    <row r="160" s="1691" customFormat="1" ht="13.2"/>
    <row r="161" s="1691" customFormat="1" ht="13.2"/>
    <row r="162" s="1691" customFormat="1" ht="13.2"/>
    <row r="163" s="1691" customFormat="1" ht="13.2"/>
    <row r="164" s="1691" customFormat="1" ht="13.2"/>
    <row r="165" s="1691" customFormat="1" ht="13.2"/>
    <row r="166" s="1691" customFormat="1" ht="13.2"/>
    <row r="167" s="1691" customFormat="1" ht="13.2"/>
    <row r="168" s="1691" customFormat="1" ht="13.2"/>
    <row r="169" s="1691" customFormat="1" ht="13.2"/>
    <row r="170" s="1691" customFormat="1" ht="13.2"/>
    <row r="171" s="1691" customFormat="1" ht="13.2"/>
    <row r="172" s="1691" customFormat="1" ht="13.2"/>
    <row r="173" s="1691" customFormat="1" ht="13.2"/>
    <row r="174" s="1691" customFormat="1" ht="13.2"/>
    <row r="175" s="1691" customFormat="1" ht="13.2"/>
    <row r="176" s="1691" customFormat="1" ht="13.2"/>
    <row r="177" s="1691" customFormat="1" ht="13.2"/>
    <row r="178" s="1691" customFormat="1" ht="13.2"/>
    <row r="179" s="1691" customFormat="1" ht="13.2"/>
    <row r="180" s="1691" customFormat="1" ht="13.2"/>
    <row r="181" s="1691" customFormat="1" ht="13.2"/>
    <row r="182" s="1691" customFormat="1" ht="13.2"/>
    <row r="183" s="1691" customFormat="1" ht="13.2"/>
    <row r="184" s="1691" customFormat="1" ht="13.2"/>
    <row r="185" s="1691" customFormat="1" ht="13.2"/>
    <row r="186" s="1691" customFormat="1" ht="13.2"/>
    <row r="187" s="1691" customFormat="1" ht="13.2"/>
    <row r="188" s="1691" customFormat="1" ht="13.2"/>
    <row r="189" s="1691" customFormat="1" ht="13.2"/>
    <row r="190" spans="1:11">
      <c r="A190" s="1691"/>
      <c r="B190" s="1691"/>
      <c r="C190" s="1691"/>
      <c r="D190" s="1691"/>
      <c r="E190" s="1691"/>
      <c r="F190" s="1691"/>
      <c r="G190" s="1691"/>
      <c r="H190" s="1691"/>
      <c r="I190" s="1691"/>
      <c r="J190" s="1691"/>
      <c r="K190" s="1691"/>
    </row>
  </sheetData>
  <sheetProtection autoFilter="0"/>
  <mergeCells count="4">
    <mergeCell ref="A1:G1"/>
    <mergeCell ref="A2:G2"/>
    <mergeCell ref="B4:G4"/>
    <mergeCell ref="A4:A5"/>
  </mergeCells>
  <printOptions horizontalCentered="1"/>
  <pageMargins left="0.196850393700787" right="0.196850393700787" top="0.984251968503937" bottom="0.590551181102362" header="0.826771653543307" footer="0.47244094488189"/>
  <pageSetup paperSize="9" orientation="landscape" blackAndWhite="1"/>
  <headerFooter alignWithMargins="0"/>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4">
    <tabColor rgb="FFFF0000"/>
  </sheetPr>
  <dimension ref="A1:CE40"/>
  <sheetViews>
    <sheetView zoomScale="90" zoomScaleNormal="90" workbookViewId="0">
      <pane xSplit="2" ySplit="7" topLeftCell="D8" activePane="bottomRight" state="frozen"/>
      <selection/>
      <selection pane="topRight"/>
      <selection pane="bottomLeft"/>
      <selection pane="bottomRight" activeCell="E45" sqref="E45"/>
    </sheetView>
  </sheetViews>
  <sheetFormatPr defaultColWidth="9" defaultRowHeight="15.75" customHeight="1"/>
  <cols>
    <col min="1" max="1" width="10.7" style="75" customWidth="1"/>
    <col min="2" max="2" width="34.7" style="75" customWidth="1"/>
    <col min="3" max="3" width="20.6" style="75" hidden="1" customWidth="1" outlineLevel="1"/>
    <col min="4" max="4" width="20.6" style="75" customWidth="1" collapsed="1"/>
    <col min="5" max="7" width="20.6" style="75" customWidth="1"/>
    <col min="8" max="8" width="5.2" style="75" hidden="1" customWidth="1" outlineLevel="1"/>
    <col min="9" max="52" width="9" style="75" hidden="1" customWidth="1" outlineLevel="1"/>
    <col min="53" max="53" width="10.6" style="227" customWidth="1" collapsed="1"/>
    <col min="54" max="60" width="10.6" style="227" customWidth="1"/>
    <col min="61" max="61" width="1.6" style="227" customWidth="1"/>
    <col min="62"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80" t="s">
        <v>1591</v>
      </c>
      <c r="B1" s="80" t="s">
        <v>1592</v>
      </c>
      <c r="C1" s="81"/>
      <c r="D1" s="81"/>
      <c r="E1" s="81"/>
      <c r="F1" s="81"/>
      <c r="G1" s="81"/>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233" t="s">
        <v>5029</v>
      </c>
      <c r="B2" s="233"/>
      <c r="C2" s="233"/>
      <c r="D2" s="233"/>
      <c r="E2" s="233"/>
      <c r="F2" s="233"/>
      <c r="G2" s="233"/>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5" customHeight="1" spans="1:83">
      <c r="A3" s="238" t="str">
        <f>参数表!F5</f>
        <v>评估基准日：2025年7月31日</v>
      </c>
      <c r="B3" s="238"/>
      <c r="C3" s="238"/>
      <c r="D3" s="238"/>
      <c r="E3" s="238"/>
      <c r="F3" s="238"/>
      <c r="G3" s="238"/>
      <c r="BA3" s="230" t="str">
        <f>参数表!BA3</f>
        <v>是否显示评估值：</v>
      </c>
      <c r="BB3" s="230" t="str">
        <f>参数表!BB3</f>
        <v>是</v>
      </c>
    </row>
    <row r="4" ht="15" customHeight="1" spans="1:83">
      <c r="A4" s="238"/>
      <c r="B4" s="238"/>
      <c r="C4" s="238"/>
      <c r="D4" s="238"/>
      <c r="E4" s="238"/>
      <c r="F4" s="238"/>
      <c r="G4" s="338" t="str">
        <f>"表"&amp;A28</f>
        <v>表5</v>
      </c>
      <c r="BA4" s="240" t="s">
        <v>1595</v>
      </c>
      <c r="BB4" s="241"/>
      <c r="BC4" s="241"/>
      <c r="BD4" s="241"/>
      <c r="BE4" s="241"/>
      <c r="BF4" s="241"/>
      <c r="BG4" s="241"/>
      <c r="BH4" s="241"/>
      <c r="BI4" s="242"/>
      <c r="BJ4" s="241" t="s">
        <v>1545</v>
      </c>
      <c r="BK4" s="241"/>
      <c r="BL4" s="241"/>
      <c r="BM4" s="241"/>
      <c r="BN4" s="241"/>
      <c r="BO4" s="241"/>
      <c r="BP4" s="241"/>
      <c r="BQ4" s="241"/>
      <c r="BS4" s="228" t="str">
        <f>LEFT(A2,LEN(A2)-5)</f>
        <v>流动负债</v>
      </c>
    </row>
    <row r="5" ht="15" customHeight="1" spans="1:83">
      <c r="A5" s="243" t="str">
        <f>参数表!F3</f>
        <v>产权持有单位:中煤第五建设有限公司</v>
      </c>
      <c r="G5" s="244" t="s">
        <v>236</v>
      </c>
      <c r="H5" s="165">
        <v>11</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流动负债为：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3837</v>
      </c>
      <c r="G6" s="249" t="s">
        <v>1551</v>
      </c>
      <c r="H6" s="251" t="s">
        <v>1603</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255" t="str">
        <f>A$28&amp;"-"&amp;SUBTOTAL(103,B$7:B7)</f>
        <v>5-1</v>
      </c>
      <c r="B7" s="145" t="s">
        <v>5030</v>
      </c>
      <c r="C7" s="143">
        <f>短期借款!J27</f>
        <v>0</v>
      </c>
      <c r="D7" s="143">
        <f>短期借款!L27</f>
        <v>0</v>
      </c>
      <c r="E7" s="143">
        <f>短期借款!M27</f>
        <v>0</v>
      </c>
      <c r="F7" s="143">
        <f>E7-D7</f>
        <v>0</v>
      </c>
      <c r="G7" s="143" t="str">
        <f>IF(D7=0,"",F7/D7*100)</f>
        <v/>
      </c>
      <c r="H7" s="165" t="str">
        <f>VLOOKUP(B7,分类汇总!B$7:L$69,H$5,FALSE)</f>
        <v>共</v>
      </c>
      <c r="BA7" s="256">
        <f>BB7</f>
        <v>0</v>
      </c>
      <c r="BB7" s="256">
        <f>BD7+BC7</f>
        <v>0</v>
      </c>
      <c r="BC7" s="256">
        <f t="shared" ref="BC7:BC20" si="0">0</f>
        <v>0</v>
      </c>
      <c r="BD7" s="256">
        <f>D7</f>
        <v>0</v>
      </c>
      <c r="BE7" s="256">
        <f>BF7</f>
        <v>0</v>
      </c>
      <c r="BF7" s="256">
        <f>BH7+BG7</f>
        <v>0</v>
      </c>
      <c r="BG7" s="256">
        <f t="shared" ref="BG7:BG20" si="1">0</f>
        <v>0</v>
      </c>
      <c r="BH7" s="256">
        <f>E7</f>
        <v>0</v>
      </c>
      <c r="BI7" s="242"/>
      <c r="BJ7" s="256">
        <f>BK7</f>
        <v>0</v>
      </c>
      <c r="BK7" s="256">
        <f>BM7+BL7</f>
        <v>0</v>
      </c>
      <c r="BL7" s="256">
        <f t="shared" ref="BL7:BL20" si="2">0</f>
        <v>0</v>
      </c>
      <c r="BM7" s="256">
        <f>短期借款!L30</f>
        <v>0</v>
      </c>
      <c r="BN7" s="256">
        <f>BO7</f>
        <v>0</v>
      </c>
      <c r="BO7" s="256">
        <f>BQ7+BP7</f>
        <v>0</v>
      </c>
      <c r="BP7" s="256">
        <f t="shared" ref="BP7:BP20" si="3">0</f>
        <v>0</v>
      </c>
      <c r="BQ7" s="256">
        <f>短期借款!M30</f>
        <v>0</v>
      </c>
      <c r="BS7" s="228" t="str">
        <f t="shared" ref="BS7:BS20" si="4">IF(F7&gt;0,"增值",IF(F7=0,"无增减值","减值"))</f>
        <v>无增减值</v>
      </c>
      <c r="BT7" s="257">
        <f t="shared" ref="BT7:BT20" si="5">ABS(F7)</f>
        <v>0</v>
      </c>
      <c r="BU7" s="257">
        <f t="shared" ref="BU7:BU20" si="6">IFERROR(ABS(G7),0)</f>
        <v>0</v>
      </c>
      <c r="BV7" s="258">
        <f t="shared" ref="BV7:BV20" si="7">IFERROR(FIND("-",B7),0)</f>
        <v>0</v>
      </c>
      <c r="BW7" s="259" t="str">
        <f>IF(SUM(BA7:BH7)=0,"",RIGHT(B7,LEN(B7)-BV7))</f>
        <v/>
      </c>
      <c r="BX7" s="158" t="str">
        <f>IF(BY7="","",IF(BZ7&gt;1,"、",IF(BZ7=1,"和","")))</f>
        <v/>
      </c>
      <c r="BY7" s="158" t="str">
        <f>IF(BW7="","",1)</f>
        <v/>
      </c>
      <c r="BZ7" s="228">
        <f>COUNT(BY8:BY$27)</f>
        <v>0</v>
      </c>
    </row>
    <row r="8" ht="15" customHeight="1" spans="1:83">
      <c r="A8" s="255" t="str">
        <f>A$28&amp;"-"&amp;SUBTOTAL(103,B$7:B8)</f>
        <v>5-2</v>
      </c>
      <c r="B8" s="145" t="s">
        <v>5031</v>
      </c>
      <c r="C8" s="143">
        <f>公允计量金负!H27</f>
        <v>0</v>
      </c>
      <c r="D8" s="143">
        <f>公允计量金负!J27</f>
        <v>0</v>
      </c>
      <c r="E8" s="143">
        <f>公允计量金负!K27</f>
        <v>0</v>
      </c>
      <c r="F8" s="143">
        <f t="shared" ref="F8:F20" si="8">E8-D8</f>
        <v>0</v>
      </c>
      <c r="G8" s="143" t="str">
        <f t="shared" ref="G8:G22" si="9">IF(D8=0,"",F8/D8*100)</f>
        <v/>
      </c>
      <c r="H8" s="165" t="str">
        <f>VLOOKUP(B8,分类汇总!B$7:L$69,H$5,FALSE)</f>
        <v>旧</v>
      </c>
      <c r="BA8" s="256">
        <f t="shared" ref="BA8:BA20" si="10">BB8</f>
        <v>0</v>
      </c>
      <c r="BB8" s="256">
        <f t="shared" ref="BB8:BB20" si="11">BD8+BC8</f>
        <v>0</v>
      </c>
      <c r="BC8" s="256">
        <f t="shared" si="0"/>
        <v>0</v>
      </c>
      <c r="BD8" s="256">
        <f t="shared" ref="BD8:BD20" si="12">D8</f>
        <v>0</v>
      </c>
      <c r="BE8" s="256">
        <f t="shared" ref="BE8:BE20" si="13">BF8</f>
        <v>0</v>
      </c>
      <c r="BF8" s="256">
        <f t="shared" ref="BF8:BF20" si="14">BH8+BG8</f>
        <v>0</v>
      </c>
      <c r="BG8" s="256">
        <f t="shared" si="1"/>
        <v>0</v>
      </c>
      <c r="BH8" s="256">
        <f t="shared" ref="BH8:BH20" si="15">E8</f>
        <v>0</v>
      </c>
      <c r="BI8" s="242"/>
      <c r="BJ8" s="256">
        <f t="shared" ref="BJ8:BJ20" si="16">BK8</f>
        <v>0</v>
      </c>
      <c r="BK8" s="256">
        <f t="shared" ref="BK8:BK20" si="17">BM8+BL8</f>
        <v>0</v>
      </c>
      <c r="BL8" s="256">
        <f t="shared" si="2"/>
        <v>0</v>
      </c>
      <c r="BM8" s="256">
        <f>公允计量金负!J30</f>
        <v>0</v>
      </c>
      <c r="BN8" s="256">
        <f t="shared" ref="BN8:BN20" si="18">BO8</f>
        <v>0</v>
      </c>
      <c r="BO8" s="256">
        <f t="shared" ref="BO8:BO20" si="19">BQ8+BP8</f>
        <v>0</v>
      </c>
      <c r="BP8" s="256">
        <f t="shared" si="3"/>
        <v>0</v>
      </c>
      <c r="BQ8" s="256">
        <f>公允计量金负!K30</f>
        <v>0</v>
      </c>
      <c r="BS8" s="228" t="str">
        <f t="shared" si="4"/>
        <v>无增减值</v>
      </c>
      <c r="BT8" s="257">
        <f t="shared" si="5"/>
        <v>0</v>
      </c>
      <c r="BU8" s="257">
        <f t="shared" si="6"/>
        <v>0</v>
      </c>
      <c r="BV8" s="258">
        <f t="shared" si="7"/>
        <v>0</v>
      </c>
      <c r="BW8" s="259" t="str">
        <f t="shared" ref="BW8:BW20" si="20">IF(SUM(BA8:BH8)=0,"",RIGHT(B8,LEN(B8)-BV8))</f>
        <v/>
      </c>
      <c r="BX8" s="158" t="str">
        <f t="shared" ref="BX8:BX20" si="21">IF(BY8="","",IF(BZ8&gt;1,"、",IF(BZ8=1,"和","")))</f>
        <v/>
      </c>
      <c r="BY8" s="158" t="str">
        <f t="shared" ref="BY8:BY20" si="22">IF(BW8="","",1)</f>
        <v/>
      </c>
      <c r="BZ8" s="228">
        <f>COUNT(BY9:BY$27)</f>
        <v>0</v>
      </c>
    </row>
    <row r="9" ht="15" customHeight="1" spans="1:83">
      <c r="A9" s="255" t="str">
        <f>A$28&amp;"-"&amp;SUBTOTAL(103,B$7:B9)</f>
        <v>5-3</v>
      </c>
      <c r="B9" s="145" t="s">
        <v>5032</v>
      </c>
      <c r="C9" s="143">
        <f>交易性金负!H27</f>
        <v>0</v>
      </c>
      <c r="D9" s="143">
        <f>交易性金负!J27</f>
        <v>0</v>
      </c>
      <c r="E9" s="143">
        <f>交易性金负!K27</f>
        <v>0</v>
      </c>
      <c r="F9" s="143">
        <f t="shared" si="8"/>
        <v>0</v>
      </c>
      <c r="G9" s="143" t="str">
        <f t="shared" si="9"/>
        <v/>
      </c>
      <c r="H9" s="165" t="str">
        <f>VLOOKUP(B9,分类汇总!B$7:L$69,H$5,FALSE)</f>
        <v>新</v>
      </c>
      <c r="BA9" s="256">
        <f t="shared" si="10"/>
        <v>0</v>
      </c>
      <c r="BB9" s="256">
        <f t="shared" si="11"/>
        <v>0</v>
      </c>
      <c r="BC9" s="256">
        <f t="shared" si="0"/>
        <v>0</v>
      </c>
      <c r="BD9" s="256">
        <f t="shared" si="12"/>
        <v>0</v>
      </c>
      <c r="BE9" s="256">
        <f t="shared" si="13"/>
        <v>0</v>
      </c>
      <c r="BF9" s="256">
        <f t="shared" si="14"/>
        <v>0</v>
      </c>
      <c r="BG9" s="256">
        <f t="shared" si="1"/>
        <v>0</v>
      </c>
      <c r="BH9" s="256">
        <f t="shared" si="15"/>
        <v>0</v>
      </c>
      <c r="BI9" s="242"/>
      <c r="BJ9" s="256">
        <f t="shared" si="16"/>
        <v>0</v>
      </c>
      <c r="BK9" s="256">
        <f t="shared" si="17"/>
        <v>0</v>
      </c>
      <c r="BL9" s="256">
        <f t="shared" si="2"/>
        <v>0</v>
      </c>
      <c r="BM9" s="256">
        <f>交易性金负!J30</f>
        <v>0</v>
      </c>
      <c r="BN9" s="256">
        <f t="shared" si="18"/>
        <v>0</v>
      </c>
      <c r="BO9" s="256">
        <f t="shared" si="19"/>
        <v>0</v>
      </c>
      <c r="BP9" s="256">
        <f t="shared" si="3"/>
        <v>0</v>
      </c>
      <c r="BQ9" s="256">
        <f>交易性金负!K30</f>
        <v>0</v>
      </c>
      <c r="BS9" s="228" t="str">
        <f t="shared" si="4"/>
        <v>无增减值</v>
      </c>
      <c r="BT9" s="257">
        <f t="shared" si="5"/>
        <v>0</v>
      </c>
      <c r="BU9" s="257">
        <f t="shared" si="6"/>
        <v>0</v>
      </c>
      <c r="BV9" s="258">
        <f t="shared" si="7"/>
        <v>0</v>
      </c>
      <c r="BW9" s="259" t="str">
        <f t="shared" si="20"/>
        <v/>
      </c>
      <c r="BX9" s="158" t="str">
        <f t="shared" si="21"/>
        <v/>
      </c>
      <c r="BY9" s="158" t="str">
        <f t="shared" si="22"/>
        <v/>
      </c>
      <c r="BZ9" s="228">
        <f>COUNT(BY10:BY$27)</f>
        <v>0</v>
      </c>
    </row>
    <row r="10" ht="15" customHeight="1" spans="1:83">
      <c r="A10" s="255" t="str">
        <f>A$28&amp;"-"&amp;SUBTOTAL(103,B$7:B10)</f>
        <v>5-4</v>
      </c>
      <c r="B10" s="145" t="s">
        <v>5033</v>
      </c>
      <c r="C10" s="143">
        <f>衍生金负!I27</f>
        <v>0</v>
      </c>
      <c r="D10" s="143">
        <f>衍生金负!K27</f>
        <v>0</v>
      </c>
      <c r="E10" s="143">
        <f>衍生金负!L27</f>
        <v>0</v>
      </c>
      <c r="F10" s="143">
        <f t="shared" si="8"/>
        <v>0</v>
      </c>
      <c r="G10" s="143" t="str">
        <f t="shared" si="9"/>
        <v/>
      </c>
      <c r="H10" s="165" t="str">
        <f>VLOOKUP(B10,分类汇总!B$7:L$69,H$5,FALSE)</f>
        <v>共</v>
      </c>
      <c r="BA10" s="256">
        <f t="shared" si="10"/>
        <v>0</v>
      </c>
      <c r="BB10" s="256">
        <f t="shared" si="11"/>
        <v>0</v>
      </c>
      <c r="BC10" s="256">
        <f t="shared" si="0"/>
        <v>0</v>
      </c>
      <c r="BD10" s="256">
        <f t="shared" si="12"/>
        <v>0</v>
      </c>
      <c r="BE10" s="256">
        <f t="shared" si="13"/>
        <v>0</v>
      </c>
      <c r="BF10" s="256">
        <f t="shared" si="14"/>
        <v>0</v>
      </c>
      <c r="BG10" s="256">
        <f t="shared" si="1"/>
        <v>0</v>
      </c>
      <c r="BH10" s="256">
        <f t="shared" si="15"/>
        <v>0</v>
      </c>
      <c r="BI10" s="242"/>
      <c r="BJ10" s="256">
        <f t="shared" si="16"/>
        <v>0</v>
      </c>
      <c r="BK10" s="256">
        <f t="shared" si="17"/>
        <v>0</v>
      </c>
      <c r="BL10" s="256">
        <f t="shared" si="2"/>
        <v>0</v>
      </c>
      <c r="BM10" s="256">
        <f>衍生金负!K30</f>
        <v>0</v>
      </c>
      <c r="BN10" s="256">
        <f t="shared" si="18"/>
        <v>0</v>
      </c>
      <c r="BO10" s="256">
        <f t="shared" si="19"/>
        <v>0</v>
      </c>
      <c r="BP10" s="256">
        <f t="shared" si="3"/>
        <v>0</v>
      </c>
      <c r="BQ10" s="256">
        <f>衍生金负!L30</f>
        <v>0</v>
      </c>
      <c r="BS10" s="228" t="str">
        <f t="shared" si="4"/>
        <v>无增减值</v>
      </c>
      <c r="BT10" s="257">
        <f t="shared" si="5"/>
        <v>0</v>
      </c>
      <c r="BU10" s="257">
        <f t="shared" si="6"/>
        <v>0</v>
      </c>
      <c r="BV10" s="258">
        <f t="shared" si="7"/>
        <v>0</v>
      </c>
      <c r="BW10" s="259" t="str">
        <f t="shared" si="20"/>
        <v/>
      </c>
      <c r="BX10" s="158" t="str">
        <f t="shared" si="21"/>
        <v/>
      </c>
      <c r="BY10" s="158" t="str">
        <f t="shared" si="22"/>
        <v/>
      </c>
      <c r="BZ10" s="228">
        <f>COUNT(BY11:BY$27)</f>
        <v>0</v>
      </c>
    </row>
    <row r="11" ht="15" customHeight="1" spans="1:83">
      <c r="A11" s="255" t="str">
        <f>A$28&amp;"-"&amp;SUBTOTAL(103,B$7:B11)</f>
        <v>5-5</v>
      </c>
      <c r="B11" s="145" t="s">
        <v>5034</v>
      </c>
      <c r="C11" s="143">
        <f>应付票据!I27</f>
        <v>0</v>
      </c>
      <c r="D11" s="143">
        <f>应付票据!K27</f>
        <v>0</v>
      </c>
      <c r="E11" s="143">
        <f>应付票据!L27</f>
        <v>0</v>
      </c>
      <c r="F11" s="143">
        <f t="shared" si="8"/>
        <v>0</v>
      </c>
      <c r="G11" s="143" t="str">
        <f t="shared" si="9"/>
        <v/>
      </c>
      <c r="H11" s="165" t="str">
        <f>VLOOKUP(B11,分类汇总!B$7:L$69,H$5,FALSE)</f>
        <v>共</v>
      </c>
      <c r="BA11" s="256">
        <f t="shared" si="10"/>
        <v>0</v>
      </c>
      <c r="BB11" s="256">
        <f t="shared" si="11"/>
        <v>0</v>
      </c>
      <c r="BC11" s="256">
        <f t="shared" si="0"/>
        <v>0</v>
      </c>
      <c r="BD11" s="256">
        <f t="shared" si="12"/>
        <v>0</v>
      </c>
      <c r="BE11" s="256">
        <f t="shared" si="13"/>
        <v>0</v>
      </c>
      <c r="BF11" s="256">
        <f t="shared" si="14"/>
        <v>0</v>
      </c>
      <c r="BG11" s="256">
        <f t="shared" si="1"/>
        <v>0</v>
      </c>
      <c r="BH11" s="256">
        <f t="shared" si="15"/>
        <v>0</v>
      </c>
      <c r="BI11" s="242"/>
      <c r="BJ11" s="256">
        <f t="shared" si="16"/>
        <v>0</v>
      </c>
      <c r="BK11" s="256">
        <f t="shared" si="17"/>
        <v>0</v>
      </c>
      <c r="BL11" s="256">
        <f t="shared" si="2"/>
        <v>0</v>
      </c>
      <c r="BM11" s="256">
        <f>应付票据!K30</f>
        <v>0</v>
      </c>
      <c r="BN11" s="256">
        <f t="shared" si="18"/>
        <v>0</v>
      </c>
      <c r="BO11" s="256">
        <f t="shared" si="19"/>
        <v>0</v>
      </c>
      <c r="BP11" s="256">
        <f t="shared" si="3"/>
        <v>0</v>
      </c>
      <c r="BQ11" s="256">
        <f>应付票据!L30</f>
        <v>0</v>
      </c>
      <c r="BS11" s="228" t="str">
        <f t="shared" si="4"/>
        <v>无增减值</v>
      </c>
      <c r="BT11" s="257">
        <f t="shared" si="5"/>
        <v>0</v>
      </c>
      <c r="BU11" s="257">
        <f t="shared" si="6"/>
        <v>0</v>
      </c>
      <c r="BV11" s="258">
        <f t="shared" si="7"/>
        <v>0</v>
      </c>
      <c r="BW11" s="259" t="str">
        <f t="shared" si="20"/>
        <v/>
      </c>
      <c r="BX11" s="158" t="str">
        <f t="shared" si="21"/>
        <v/>
      </c>
      <c r="BY11" s="158" t="str">
        <f t="shared" si="22"/>
        <v/>
      </c>
      <c r="BZ11" s="228">
        <f>COUNT(BY12:BY$27)</f>
        <v>0</v>
      </c>
    </row>
    <row r="12" ht="15" customHeight="1" spans="1:83">
      <c r="A12" s="255" t="str">
        <f>A$28&amp;"-"&amp;SUBTOTAL(103,B$7:B12)</f>
        <v>5-6</v>
      </c>
      <c r="B12" s="145" t="s">
        <v>5035</v>
      </c>
      <c r="C12" s="143">
        <f>应付账款!H27</f>
        <v>0</v>
      </c>
      <c r="D12" s="143">
        <f>应付账款!J27</f>
        <v>0</v>
      </c>
      <c r="E12" s="143">
        <f>应付账款!K27</f>
        <v>0</v>
      </c>
      <c r="F12" s="143">
        <f t="shared" si="8"/>
        <v>0</v>
      </c>
      <c r="G12" s="143" t="str">
        <f t="shared" si="9"/>
        <v/>
      </c>
      <c r="H12" s="165" t="str">
        <f>VLOOKUP(B12,分类汇总!B$7:L$69,H$5,FALSE)</f>
        <v>共</v>
      </c>
      <c r="BA12" s="256">
        <f t="shared" si="10"/>
        <v>0</v>
      </c>
      <c r="BB12" s="256">
        <f t="shared" si="11"/>
        <v>0</v>
      </c>
      <c r="BC12" s="256">
        <f t="shared" si="0"/>
        <v>0</v>
      </c>
      <c r="BD12" s="256">
        <f t="shared" si="12"/>
        <v>0</v>
      </c>
      <c r="BE12" s="256">
        <f t="shared" si="13"/>
        <v>0</v>
      </c>
      <c r="BF12" s="256">
        <f t="shared" si="14"/>
        <v>0</v>
      </c>
      <c r="BG12" s="256">
        <f t="shared" si="1"/>
        <v>0</v>
      </c>
      <c r="BH12" s="256">
        <f t="shared" si="15"/>
        <v>0</v>
      </c>
      <c r="BI12" s="242"/>
      <c r="BJ12" s="256">
        <f t="shared" si="16"/>
        <v>0</v>
      </c>
      <c r="BK12" s="256">
        <f t="shared" si="17"/>
        <v>0</v>
      </c>
      <c r="BL12" s="256">
        <f t="shared" si="2"/>
        <v>0</v>
      </c>
      <c r="BM12" s="256">
        <f>应付账款!J30</f>
        <v>0</v>
      </c>
      <c r="BN12" s="256">
        <f t="shared" si="18"/>
        <v>0</v>
      </c>
      <c r="BO12" s="256">
        <f t="shared" si="19"/>
        <v>0</v>
      </c>
      <c r="BP12" s="256">
        <f t="shared" si="3"/>
        <v>0</v>
      </c>
      <c r="BQ12" s="256">
        <f>应付账款!K30</f>
        <v>0</v>
      </c>
      <c r="BS12" s="228" t="str">
        <f t="shared" si="4"/>
        <v>无增减值</v>
      </c>
      <c r="BT12" s="257">
        <f t="shared" si="5"/>
        <v>0</v>
      </c>
      <c r="BU12" s="257">
        <f t="shared" si="6"/>
        <v>0</v>
      </c>
      <c r="BV12" s="258">
        <f t="shared" si="7"/>
        <v>0</v>
      </c>
      <c r="BW12" s="259" t="str">
        <f t="shared" si="20"/>
        <v/>
      </c>
      <c r="BX12" s="158" t="str">
        <f t="shared" si="21"/>
        <v/>
      </c>
      <c r="BY12" s="158" t="str">
        <f t="shared" si="22"/>
        <v/>
      </c>
      <c r="BZ12" s="228">
        <f>COUNT(BY13:BY$27)</f>
        <v>0</v>
      </c>
    </row>
    <row r="13" ht="15" customHeight="1" spans="1:83">
      <c r="A13" s="255" t="str">
        <f>A$28&amp;"-"&amp;SUBTOTAL(103,B$7:B13)</f>
        <v>5-7</v>
      </c>
      <c r="B13" s="145" t="s">
        <v>5036</v>
      </c>
      <c r="C13" s="143">
        <f>预收账款!H27</f>
        <v>0</v>
      </c>
      <c r="D13" s="143">
        <f>预收账款!J27</f>
        <v>0</v>
      </c>
      <c r="E13" s="143">
        <f>预收账款!K27</f>
        <v>0</v>
      </c>
      <c r="F13" s="143">
        <f t="shared" si="8"/>
        <v>0</v>
      </c>
      <c r="G13" s="143" t="str">
        <f t="shared" si="9"/>
        <v/>
      </c>
      <c r="H13" s="165" t="str">
        <f>VLOOKUP(B13,分类汇总!B$7:L$69,H$5,FALSE)</f>
        <v>共</v>
      </c>
      <c r="BA13" s="256">
        <f t="shared" si="10"/>
        <v>0</v>
      </c>
      <c r="BB13" s="256">
        <f t="shared" si="11"/>
        <v>0</v>
      </c>
      <c r="BC13" s="256">
        <f t="shared" si="0"/>
        <v>0</v>
      </c>
      <c r="BD13" s="256">
        <f t="shared" si="12"/>
        <v>0</v>
      </c>
      <c r="BE13" s="256">
        <f t="shared" si="13"/>
        <v>0</v>
      </c>
      <c r="BF13" s="256">
        <f t="shared" si="14"/>
        <v>0</v>
      </c>
      <c r="BG13" s="256">
        <f t="shared" si="1"/>
        <v>0</v>
      </c>
      <c r="BH13" s="256">
        <f t="shared" si="15"/>
        <v>0</v>
      </c>
      <c r="BI13" s="242"/>
      <c r="BJ13" s="256">
        <f t="shared" si="16"/>
        <v>0</v>
      </c>
      <c r="BK13" s="256">
        <f t="shared" si="17"/>
        <v>0</v>
      </c>
      <c r="BL13" s="256">
        <f t="shared" si="2"/>
        <v>0</v>
      </c>
      <c r="BM13" s="256">
        <f>预收账款!J30</f>
        <v>0</v>
      </c>
      <c r="BN13" s="256">
        <f t="shared" si="18"/>
        <v>0</v>
      </c>
      <c r="BO13" s="256">
        <f t="shared" si="19"/>
        <v>0</v>
      </c>
      <c r="BP13" s="256">
        <f t="shared" si="3"/>
        <v>0</v>
      </c>
      <c r="BQ13" s="256">
        <f>预收账款!K30</f>
        <v>0</v>
      </c>
      <c r="BS13" s="228" t="str">
        <f t="shared" si="4"/>
        <v>无增减值</v>
      </c>
      <c r="BT13" s="257">
        <f t="shared" si="5"/>
        <v>0</v>
      </c>
      <c r="BU13" s="257">
        <f t="shared" si="6"/>
        <v>0</v>
      </c>
      <c r="BV13" s="258">
        <f t="shared" si="7"/>
        <v>0</v>
      </c>
      <c r="BW13" s="259" t="str">
        <f t="shared" si="20"/>
        <v/>
      </c>
      <c r="BX13" s="158" t="str">
        <f t="shared" si="21"/>
        <v/>
      </c>
      <c r="BY13" s="158" t="str">
        <f t="shared" si="22"/>
        <v/>
      </c>
      <c r="BZ13" s="228">
        <f>COUNT(BY14:BY$27)</f>
        <v>0</v>
      </c>
    </row>
    <row r="14" ht="15" customHeight="1" spans="1:83">
      <c r="A14" s="255" t="str">
        <f>A$28&amp;"-"&amp;SUBTOTAL(103,B$7:B14)</f>
        <v>5-8</v>
      </c>
      <c r="B14" s="145" t="s">
        <v>5037</v>
      </c>
      <c r="C14" s="143">
        <f>合同负总!C28</f>
        <v>0</v>
      </c>
      <c r="D14" s="143">
        <f>合同负总!D28</f>
        <v>0</v>
      </c>
      <c r="E14" s="143">
        <f>合同负总!E28</f>
        <v>0</v>
      </c>
      <c r="F14" s="143">
        <f t="shared" si="8"/>
        <v>0</v>
      </c>
      <c r="G14" s="143" t="str">
        <f t="shared" si="9"/>
        <v/>
      </c>
      <c r="H14" s="165" t="str">
        <f>VLOOKUP(B14,分类汇总!B$7:L$69,H$5,FALSE)</f>
        <v>新</v>
      </c>
      <c r="BA14" s="256">
        <f t="shared" si="10"/>
        <v>0</v>
      </c>
      <c r="BB14" s="256">
        <f t="shared" si="11"/>
        <v>0</v>
      </c>
      <c r="BC14" s="256">
        <f t="shared" si="0"/>
        <v>0</v>
      </c>
      <c r="BD14" s="256">
        <f t="shared" si="12"/>
        <v>0</v>
      </c>
      <c r="BE14" s="256">
        <f t="shared" si="13"/>
        <v>0</v>
      </c>
      <c r="BF14" s="256">
        <f t="shared" si="14"/>
        <v>0</v>
      </c>
      <c r="BG14" s="256">
        <f t="shared" si="1"/>
        <v>0</v>
      </c>
      <c r="BH14" s="256">
        <f t="shared" si="15"/>
        <v>0</v>
      </c>
      <c r="BI14" s="242"/>
      <c r="BJ14" s="256">
        <f t="shared" si="16"/>
        <v>0</v>
      </c>
      <c r="BK14" s="256">
        <f t="shared" si="17"/>
        <v>0</v>
      </c>
      <c r="BL14" s="256">
        <f t="shared" si="2"/>
        <v>0</v>
      </c>
      <c r="BM14" s="256">
        <f>合同负总!BM28</f>
        <v>0</v>
      </c>
      <c r="BN14" s="256">
        <f t="shared" si="18"/>
        <v>0</v>
      </c>
      <c r="BO14" s="256">
        <f t="shared" si="19"/>
        <v>0</v>
      </c>
      <c r="BP14" s="256">
        <f t="shared" si="3"/>
        <v>0</v>
      </c>
      <c r="BQ14" s="256">
        <f>合同负总!BQ28</f>
        <v>0</v>
      </c>
      <c r="BS14" s="228" t="str">
        <f t="shared" si="4"/>
        <v>无增减值</v>
      </c>
      <c r="BT14" s="257">
        <f t="shared" si="5"/>
        <v>0</v>
      </c>
      <c r="BU14" s="257">
        <f t="shared" si="6"/>
        <v>0</v>
      </c>
      <c r="BV14" s="258">
        <f t="shared" si="7"/>
        <v>0</v>
      </c>
      <c r="BW14" s="259" t="str">
        <f t="shared" si="20"/>
        <v/>
      </c>
      <c r="BX14" s="158" t="str">
        <f t="shared" si="21"/>
        <v/>
      </c>
      <c r="BY14" s="158" t="str">
        <f t="shared" si="22"/>
        <v/>
      </c>
      <c r="BZ14" s="228">
        <f>COUNT(BY15:BY$27)</f>
        <v>0</v>
      </c>
    </row>
    <row r="15" ht="15" customHeight="1" spans="1:83">
      <c r="A15" s="255" t="str">
        <f>A$28&amp;"-"&amp;SUBTOTAL(103,B$7:B15)</f>
        <v>5-9</v>
      </c>
      <c r="B15" s="145" t="s">
        <v>5038</v>
      </c>
      <c r="C15" s="143">
        <f>职工薪酬!G27</f>
        <v>0</v>
      </c>
      <c r="D15" s="143">
        <f>职工薪酬!I27</f>
        <v>0</v>
      </c>
      <c r="E15" s="143">
        <f>职工薪酬!J27</f>
        <v>0</v>
      </c>
      <c r="F15" s="143">
        <f t="shared" si="8"/>
        <v>0</v>
      </c>
      <c r="G15" s="143" t="str">
        <f t="shared" si="9"/>
        <v/>
      </c>
      <c r="H15" s="165" t="str">
        <f>VLOOKUP(B15,分类汇总!B$7:L$69,H$5,FALSE)</f>
        <v>共</v>
      </c>
      <c r="BA15" s="256">
        <f t="shared" si="10"/>
        <v>0</v>
      </c>
      <c r="BB15" s="256">
        <f t="shared" si="11"/>
        <v>0</v>
      </c>
      <c r="BC15" s="256">
        <f t="shared" si="0"/>
        <v>0</v>
      </c>
      <c r="BD15" s="256">
        <f t="shared" si="12"/>
        <v>0</v>
      </c>
      <c r="BE15" s="256">
        <f t="shared" si="13"/>
        <v>0</v>
      </c>
      <c r="BF15" s="256">
        <f t="shared" si="14"/>
        <v>0</v>
      </c>
      <c r="BG15" s="256">
        <f t="shared" si="1"/>
        <v>0</v>
      </c>
      <c r="BH15" s="256">
        <f t="shared" si="15"/>
        <v>0</v>
      </c>
      <c r="BI15" s="242"/>
      <c r="BJ15" s="256">
        <f t="shared" si="16"/>
        <v>0</v>
      </c>
      <c r="BK15" s="256">
        <f t="shared" si="17"/>
        <v>0</v>
      </c>
      <c r="BL15" s="256">
        <f t="shared" si="2"/>
        <v>0</v>
      </c>
      <c r="BM15" s="256">
        <f>职工薪酬!I30</f>
        <v>0</v>
      </c>
      <c r="BN15" s="256">
        <f t="shared" si="18"/>
        <v>0</v>
      </c>
      <c r="BO15" s="256">
        <f t="shared" si="19"/>
        <v>0</v>
      </c>
      <c r="BP15" s="256">
        <f t="shared" si="3"/>
        <v>0</v>
      </c>
      <c r="BQ15" s="256">
        <f>职工薪酬!J30</f>
        <v>0</v>
      </c>
      <c r="BS15" s="228" t="str">
        <f t="shared" si="4"/>
        <v>无增减值</v>
      </c>
      <c r="BT15" s="257">
        <f t="shared" si="5"/>
        <v>0</v>
      </c>
      <c r="BU15" s="257">
        <f t="shared" si="6"/>
        <v>0</v>
      </c>
      <c r="BV15" s="258">
        <f t="shared" si="7"/>
        <v>0</v>
      </c>
      <c r="BW15" s="259" t="str">
        <f t="shared" si="20"/>
        <v/>
      </c>
      <c r="BX15" s="158" t="str">
        <f t="shared" si="21"/>
        <v/>
      </c>
      <c r="BY15" s="158" t="str">
        <f t="shared" si="22"/>
        <v/>
      </c>
      <c r="BZ15" s="228">
        <f>COUNT(BY16:BY$27)</f>
        <v>0</v>
      </c>
    </row>
    <row r="16" ht="15" customHeight="1" spans="1:83">
      <c r="A16" s="255" t="str">
        <f>A$28&amp;"-"&amp;SUBTOTAL(103,B$7:B16)</f>
        <v>5-10</v>
      </c>
      <c r="B16" s="145" t="s">
        <v>5039</v>
      </c>
      <c r="C16" s="143">
        <f>应交税费!I27</f>
        <v>0</v>
      </c>
      <c r="D16" s="143">
        <f>应交税费!K27</f>
        <v>0</v>
      </c>
      <c r="E16" s="143">
        <f>应交税费!L27</f>
        <v>0</v>
      </c>
      <c r="F16" s="143">
        <f t="shared" si="8"/>
        <v>0</v>
      </c>
      <c r="G16" s="143" t="str">
        <f t="shared" si="9"/>
        <v/>
      </c>
      <c r="H16" s="165" t="str">
        <f>VLOOKUP(B16,分类汇总!B$7:L$69,H$5,FALSE)</f>
        <v>共</v>
      </c>
      <c r="BA16" s="256">
        <f t="shared" si="10"/>
        <v>0</v>
      </c>
      <c r="BB16" s="256">
        <f t="shared" si="11"/>
        <v>0</v>
      </c>
      <c r="BC16" s="256">
        <f t="shared" si="0"/>
        <v>0</v>
      </c>
      <c r="BD16" s="256">
        <f t="shared" si="12"/>
        <v>0</v>
      </c>
      <c r="BE16" s="256">
        <f t="shared" si="13"/>
        <v>0</v>
      </c>
      <c r="BF16" s="256">
        <f t="shared" si="14"/>
        <v>0</v>
      </c>
      <c r="BG16" s="256">
        <f t="shared" si="1"/>
        <v>0</v>
      </c>
      <c r="BH16" s="256">
        <f t="shared" si="15"/>
        <v>0</v>
      </c>
      <c r="BI16" s="242"/>
      <c r="BJ16" s="256">
        <f t="shared" si="16"/>
        <v>0</v>
      </c>
      <c r="BK16" s="256">
        <f t="shared" si="17"/>
        <v>0</v>
      </c>
      <c r="BL16" s="256">
        <f t="shared" si="2"/>
        <v>0</v>
      </c>
      <c r="BM16" s="256">
        <f>应交税费!K30</f>
        <v>0</v>
      </c>
      <c r="BN16" s="256">
        <f t="shared" si="18"/>
        <v>0</v>
      </c>
      <c r="BO16" s="256">
        <f t="shared" si="19"/>
        <v>0</v>
      </c>
      <c r="BP16" s="256">
        <f t="shared" si="3"/>
        <v>0</v>
      </c>
      <c r="BQ16" s="256">
        <f>应交税费!L30</f>
        <v>0</v>
      </c>
      <c r="BS16" s="228" t="str">
        <f t="shared" si="4"/>
        <v>无增减值</v>
      </c>
      <c r="BT16" s="257">
        <f t="shared" si="5"/>
        <v>0</v>
      </c>
      <c r="BU16" s="257">
        <f t="shared" si="6"/>
        <v>0</v>
      </c>
      <c r="BV16" s="258">
        <f t="shared" si="7"/>
        <v>0</v>
      </c>
      <c r="BW16" s="259" t="str">
        <f t="shared" si="20"/>
        <v/>
      </c>
      <c r="BX16" s="158" t="str">
        <f t="shared" si="21"/>
        <v/>
      </c>
      <c r="BY16" s="158" t="str">
        <f t="shared" si="22"/>
        <v/>
      </c>
      <c r="BZ16" s="228">
        <f>COUNT(BY17:BY$27)</f>
        <v>0</v>
      </c>
    </row>
    <row r="17" ht="15" customHeight="1" spans="1:83">
      <c r="A17" s="255" t="str">
        <f>A$28&amp;"-"&amp;SUBTOTAL(103,B$7:B17)</f>
        <v>5-11</v>
      </c>
      <c r="B17" s="145" t="s">
        <v>5040</v>
      </c>
      <c r="C17" s="143">
        <f>其他应付总!C28</f>
        <v>0</v>
      </c>
      <c r="D17" s="143">
        <f>其他应付总!D28</f>
        <v>0</v>
      </c>
      <c r="E17" s="143">
        <f>其他应付总!E28</f>
        <v>0</v>
      </c>
      <c r="F17" s="143">
        <f t="shared" si="8"/>
        <v>0</v>
      </c>
      <c r="G17" s="143" t="str">
        <f t="shared" si="9"/>
        <v/>
      </c>
      <c r="H17" s="165" t="str">
        <f>VLOOKUP(B17,分类汇总!B$7:L$69,H$5,FALSE)</f>
        <v>共</v>
      </c>
      <c r="BA17" s="256">
        <f t="shared" si="10"/>
        <v>0</v>
      </c>
      <c r="BB17" s="256">
        <f t="shared" si="11"/>
        <v>0</v>
      </c>
      <c r="BC17" s="256">
        <f t="shared" si="0"/>
        <v>0</v>
      </c>
      <c r="BD17" s="256">
        <f t="shared" si="12"/>
        <v>0</v>
      </c>
      <c r="BE17" s="256">
        <f t="shared" si="13"/>
        <v>0</v>
      </c>
      <c r="BF17" s="256">
        <f t="shared" si="14"/>
        <v>0</v>
      </c>
      <c r="BG17" s="256">
        <f t="shared" si="1"/>
        <v>0</v>
      </c>
      <c r="BH17" s="256">
        <f t="shared" si="15"/>
        <v>0</v>
      </c>
      <c r="BI17" s="242"/>
      <c r="BJ17" s="256">
        <f t="shared" si="16"/>
        <v>0</v>
      </c>
      <c r="BK17" s="256">
        <f t="shared" si="17"/>
        <v>0</v>
      </c>
      <c r="BL17" s="256">
        <f t="shared" si="2"/>
        <v>0</v>
      </c>
      <c r="BM17" s="256">
        <f>其他应付总!BM28</f>
        <v>0</v>
      </c>
      <c r="BN17" s="256">
        <f t="shared" si="18"/>
        <v>0</v>
      </c>
      <c r="BO17" s="256">
        <f t="shared" si="19"/>
        <v>0</v>
      </c>
      <c r="BP17" s="256">
        <f t="shared" si="3"/>
        <v>0</v>
      </c>
      <c r="BQ17" s="256">
        <f>其他应付总!BQ28</f>
        <v>0</v>
      </c>
      <c r="BS17" s="228" t="str">
        <f t="shared" si="4"/>
        <v>无增减值</v>
      </c>
      <c r="BT17" s="257">
        <f t="shared" si="5"/>
        <v>0</v>
      </c>
      <c r="BU17" s="257">
        <f t="shared" si="6"/>
        <v>0</v>
      </c>
      <c r="BV17" s="258">
        <f t="shared" si="7"/>
        <v>0</v>
      </c>
      <c r="BW17" s="259" t="str">
        <f t="shared" si="20"/>
        <v/>
      </c>
      <c r="BX17" s="158" t="str">
        <f t="shared" si="21"/>
        <v/>
      </c>
      <c r="BY17" s="158" t="str">
        <f t="shared" si="22"/>
        <v/>
      </c>
      <c r="BZ17" s="228">
        <f>COUNT(BY18:BY$27)</f>
        <v>0</v>
      </c>
    </row>
    <row r="18" ht="15" customHeight="1" spans="1:83">
      <c r="A18" s="255" t="str">
        <f>A$28&amp;"-"&amp;SUBTOTAL(103,B$7:B18)</f>
        <v>5-12</v>
      </c>
      <c r="B18" s="145" t="s">
        <v>5041</v>
      </c>
      <c r="C18" s="143">
        <f>持有待售负!H27</f>
        <v>0</v>
      </c>
      <c r="D18" s="143">
        <f>持有待售负!J27</f>
        <v>0</v>
      </c>
      <c r="E18" s="143">
        <f>持有待售负!K27</f>
        <v>0</v>
      </c>
      <c r="F18" s="143">
        <f t="shared" si="8"/>
        <v>0</v>
      </c>
      <c r="G18" s="143" t="str">
        <f t="shared" si="9"/>
        <v/>
      </c>
      <c r="H18" s="165" t="str">
        <f>VLOOKUP(B18,分类汇总!B$7:L$69,H$5,FALSE)</f>
        <v>共</v>
      </c>
      <c r="BA18" s="256">
        <f t="shared" si="10"/>
        <v>0</v>
      </c>
      <c r="BB18" s="256">
        <f t="shared" si="11"/>
        <v>0</v>
      </c>
      <c r="BC18" s="256">
        <f t="shared" si="0"/>
        <v>0</v>
      </c>
      <c r="BD18" s="256">
        <f t="shared" si="12"/>
        <v>0</v>
      </c>
      <c r="BE18" s="256">
        <f t="shared" si="13"/>
        <v>0</v>
      </c>
      <c r="BF18" s="256">
        <f t="shared" si="14"/>
        <v>0</v>
      </c>
      <c r="BG18" s="256">
        <f t="shared" si="1"/>
        <v>0</v>
      </c>
      <c r="BH18" s="256">
        <f t="shared" si="15"/>
        <v>0</v>
      </c>
      <c r="BI18" s="242"/>
      <c r="BJ18" s="256">
        <f t="shared" si="16"/>
        <v>0</v>
      </c>
      <c r="BK18" s="256">
        <f t="shared" si="17"/>
        <v>0</v>
      </c>
      <c r="BL18" s="256">
        <f t="shared" si="2"/>
        <v>0</v>
      </c>
      <c r="BM18" s="256">
        <f>持有待售负!J30</f>
        <v>0</v>
      </c>
      <c r="BN18" s="256">
        <f t="shared" si="18"/>
        <v>0</v>
      </c>
      <c r="BO18" s="256">
        <f t="shared" si="19"/>
        <v>0</v>
      </c>
      <c r="BP18" s="256">
        <f t="shared" si="3"/>
        <v>0</v>
      </c>
      <c r="BQ18" s="256">
        <f>持有待售负!K30</f>
        <v>0</v>
      </c>
      <c r="BS18" s="228" t="str">
        <f t="shared" si="4"/>
        <v>无增减值</v>
      </c>
      <c r="BT18" s="257">
        <f t="shared" si="5"/>
        <v>0</v>
      </c>
      <c r="BU18" s="257">
        <f t="shared" si="6"/>
        <v>0</v>
      </c>
      <c r="BV18" s="258">
        <f t="shared" si="7"/>
        <v>0</v>
      </c>
      <c r="BW18" s="259" t="str">
        <f t="shared" si="20"/>
        <v/>
      </c>
      <c r="BX18" s="158" t="str">
        <f t="shared" si="21"/>
        <v/>
      </c>
      <c r="BY18" s="158" t="str">
        <f t="shared" si="22"/>
        <v/>
      </c>
      <c r="BZ18" s="228">
        <f>COUNT(BY19:BY$27)</f>
        <v>0</v>
      </c>
    </row>
    <row r="19" ht="15" customHeight="1" spans="1:83">
      <c r="A19" s="255" t="str">
        <f>A$28&amp;"-"&amp;SUBTOTAL(103,B$7:B19)</f>
        <v>5-13</v>
      </c>
      <c r="B19" s="145" t="s">
        <v>5042</v>
      </c>
      <c r="C19" s="143">
        <f>一年到期负!I27</f>
        <v>0</v>
      </c>
      <c r="D19" s="143">
        <f>一年到期负!K27</f>
        <v>0</v>
      </c>
      <c r="E19" s="143">
        <f>一年到期负!L27</f>
        <v>0</v>
      </c>
      <c r="F19" s="143">
        <f t="shared" si="8"/>
        <v>0</v>
      </c>
      <c r="G19" s="143" t="str">
        <f t="shared" si="9"/>
        <v/>
      </c>
      <c r="H19" s="165" t="str">
        <f>VLOOKUP(B19,分类汇总!B$7:L$69,H$5,FALSE)</f>
        <v>共</v>
      </c>
      <c r="BA19" s="256">
        <f t="shared" si="10"/>
        <v>0</v>
      </c>
      <c r="BB19" s="256">
        <f t="shared" si="11"/>
        <v>0</v>
      </c>
      <c r="BC19" s="256">
        <f t="shared" si="0"/>
        <v>0</v>
      </c>
      <c r="BD19" s="256">
        <f t="shared" si="12"/>
        <v>0</v>
      </c>
      <c r="BE19" s="256">
        <f t="shared" si="13"/>
        <v>0</v>
      </c>
      <c r="BF19" s="256">
        <f t="shared" si="14"/>
        <v>0</v>
      </c>
      <c r="BG19" s="256">
        <f t="shared" si="1"/>
        <v>0</v>
      </c>
      <c r="BH19" s="256">
        <f t="shared" si="15"/>
        <v>0</v>
      </c>
      <c r="BI19" s="242"/>
      <c r="BJ19" s="256">
        <f t="shared" si="16"/>
        <v>0</v>
      </c>
      <c r="BK19" s="256">
        <f t="shared" si="17"/>
        <v>0</v>
      </c>
      <c r="BL19" s="256">
        <f t="shared" si="2"/>
        <v>0</v>
      </c>
      <c r="BM19" s="256">
        <f>一年到期负!K30</f>
        <v>0</v>
      </c>
      <c r="BN19" s="256">
        <f t="shared" si="18"/>
        <v>0</v>
      </c>
      <c r="BO19" s="256">
        <f t="shared" si="19"/>
        <v>0</v>
      </c>
      <c r="BP19" s="256">
        <f t="shared" si="3"/>
        <v>0</v>
      </c>
      <c r="BQ19" s="256">
        <f>一年到期负!L30</f>
        <v>0</v>
      </c>
      <c r="BS19" s="228" t="str">
        <f t="shared" si="4"/>
        <v>无增减值</v>
      </c>
      <c r="BT19" s="257">
        <f t="shared" si="5"/>
        <v>0</v>
      </c>
      <c r="BU19" s="257">
        <f t="shared" si="6"/>
        <v>0</v>
      </c>
      <c r="BV19" s="258">
        <f t="shared" si="7"/>
        <v>0</v>
      </c>
      <c r="BW19" s="259" t="str">
        <f t="shared" si="20"/>
        <v/>
      </c>
      <c r="BX19" s="158" t="str">
        <f t="shared" si="21"/>
        <v/>
      </c>
      <c r="BY19" s="158" t="str">
        <f t="shared" si="22"/>
        <v/>
      </c>
      <c r="BZ19" s="228">
        <f>COUNT(BY20:BY$27)</f>
        <v>0</v>
      </c>
    </row>
    <row r="20" ht="15" customHeight="1" spans="1:83">
      <c r="A20" s="255" t="str">
        <f>A$28&amp;"-"&amp;SUBTOTAL(103,B$7:B20)</f>
        <v>5-14</v>
      </c>
      <c r="B20" s="145" t="s">
        <v>5043</v>
      </c>
      <c r="C20" s="143">
        <f>其他流负!H27</f>
        <v>0</v>
      </c>
      <c r="D20" s="143">
        <f>其他流负!J27</f>
        <v>0</v>
      </c>
      <c r="E20" s="143">
        <f>其他流负!K27</f>
        <v>0</v>
      </c>
      <c r="F20" s="143">
        <f t="shared" si="8"/>
        <v>0</v>
      </c>
      <c r="G20" s="143" t="str">
        <f t="shared" si="9"/>
        <v/>
      </c>
      <c r="H20" s="165" t="str">
        <f>VLOOKUP(B20,分类汇总!B$7:L$69,H$5,FALSE)</f>
        <v>共</v>
      </c>
      <c r="BA20" s="256">
        <f t="shared" si="10"/>
        <v>0</v>
      </c>
      <c r="BB20" s="256">
        <f t="shared" si="11"/>
        <v>0</v>
      </c>
      <c r="BC20" s="256">
        <f t="shared" si="0"/>
        <v>0</v>
      </c>
      <c r="BD20" s="256">
        <f t="shared" si="12"/>
        <v>0</v>
      </c>
      <c r="BE20" s="256">
        <f t="shared" si="13"/>
        <v>0</v>
      </c>
      <c r="BF20" s="256">
        <f t="shared" si="14"/>
        <v>0</v>
      </c>
      <c r="BG20" s="256">
        <f t="shared" si="1"/>
        <v>0</v>
      </c>
      <c r="BH20" s="256">
        <f t="shared" si="15"/>
        <v>0</v>
      </c>
      <c r="BI20" s="242"/>
      <c r="BJ20" s="256">
        <f t="shared" si="16"/>
        <v>0</v>
      </c>
      <c r="BK20" s="256">
        <f t="shared" si="17"/>
        <v>0</v>
      </c>
      <c r="BL20" s="256">
        <f t="shared" si="2"/>
        <v>0</v>
      </c>
      <c r="BM20" s="256">
        <f>其他流负!J30</f>
        <v>0</v>
      </c>
      <c r="BN20" s="256">
        <f t="shared" si="18"/>
        <v>0</v>
      </c>
      <c r="BO20" s="256">
        <f t="shared" si="19"/>
        <v>0</v>
      </c>
      <c r="BP20" s="256">
        <f t="shared" si="3"/>
        <v>0</v>
      </c>
      <c r="BQ20" s="256">
        <f>其他流负!K30</f>
        <v>0</v>
      </c>
      <c r="BS20" s="228" t="str">
        <f t="shared" si="4"/>
        <v>无增减值</v>
      </c>
      <c r="BT20" s="257">
        <f t="shared" si="5"/>
        <v>0</v>
      </c>
      <c r="BU20" s="257">
        <f t="shared" si="6"/>
        <v>0</v>
      </c>
      <c r="BV20" s="258">
        <f t="shared" si="7"/>
        <v>0</v>
      </c>
      <c r="BW20" s="259" t="str">
        <f t="shared" si="20"/>
        <v/>
      </c>
      <c r="BX20" s="158" t="str">
        <f t="shared" si="21"/>
        <v/>
      </c>
      <c r="BY20" s="158" t="str">
        <f t="shared" si="22"/>
        <v/>
      </c>
      <c r="BZ20" s="228">
        <f>COUNT(BY21:BY$27)</f>
        <v>0</v>
      </c>
    </row>
    <row r="21" ht="15" customHeight="1" spans="1:83">
      <c r="A21" s="141"/>
      <c r="B21" s="145"/>
      <c r="C21" s="143"/>
      <c r="D21" s="143"/>
      <c r="E21" s="143"/>
      <c r="F21" s="143"/>
      <c r="G21" s="143" t="str">
        <f t="shared" si="9"/>
        <v/>
      </c>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ht="15" customHeight="1" spans="1:83">
      <c r="A22" s="141"/>
      <c r="B22" s="145"/>
      <c r="C22" s="143"/>
      <c r="D22" s="143"/>
      <c r="E22" s="143"/>
      <c r="F22" s="143"/>
      <c r="G22" s="143" t="str">
        <f t="shared" si="9"/>
        <v/>
      </c>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ht="15" customHeight="1" spans="1:83">
      <c r="A23" s="141"/>
      <c r="B23" s="145"/>
      <c r="C23" s="143"/>
      <c r="D23" s="143"/>
      <c r="E23" s="143"/>
      <c r="F23" s="143"/>
      <c r="G23" s="143" t="str">
        <f t="shared" ref="G23:G28" si="23">IF(D23=0,"",F23/D23*100)</f>
        <v/>
      </c>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ht="15" customHeight="1" spans="1:83">
      <c r="A24" s="141"/>
      <c r="B24" s="145"/>
      <c r="C24" s="143"/>
      <c r="D24" s="143"/>
      <c r="E24" s="143"/>
      <c r="F24" s="143"/>
      <c r="G24" s="143" t="str">
        <f t="shared" si="23"/>
        <v/>
      </c>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ht="15" customHeight="1" spans="1:83">
      <c r="A25" s="141"/>
      <c r="B25" s="145"/>
      <c r="C25" s="143"/>
      <c r="D25" s="143"/>
      <c r="E25" s="143"/>
      <c r="F25" s="143"/>
      <c r="G25" s="143" t="str">
        <f t="shared" si="23"/>
        <v/>
      </c>
      <c r="BA25" s="256"/>
      <c r="BB25" s="256"/>
      <c r="BC25" s="256"/>
      <c r="BD25" s="256"/>
      <c r="BE25" s="256"/>
      <c r="BF25" s="256"/>
      <c r="BG25" s="256"/>
      <c r="BH25" s="256"/>
      <c r="BI25" s="242"/>
      <c r="BJ25" s="256"/>
      <c r="BK25" s="256"/>
      <c r="BL25" s="256"/>
      <c r="BM25" s="256"/>
      <c r="BN25" s="256"/>
      <c r="BO25" s="256"/>
      <c r="BP25" s="256"/>
      <c r="BQ25" s="256"/>
      <c r="BS25" s="228"/>
      <c r="BT25" s="257"/>
      <c r="BU25" s="257"/>
      <c r="BV25" s="258"/>
      <c r="BW25" s="259"/>
      <c r="BY25" s="158"/>
      <c r="BZ25" s="228"/>
    </row>
    <row r="26" ht="15" customHeight="1" spans="1:83">
      <c r="A26" s="260"/>
      <c r="B26" s="261"/>
      <c r="C26" s="143"/>
      <c r="D26" s="143"/>
      <c r="E26" s="143"/>
      <c r="F26" s="143"/>
      <c r="G26" s="143" t="str">
        <f t="shared" si="23"/>
        <v/>
      </c>
      <c r="BA26" s="256"/>
      <c r="BB26" s="256"/>
      <c r="BC26" s="256"/>
      <c r="BD26" s="256"/>
      <c r="BE26" s="256"/>
      <c r="BF26" s="256"/>
      <c r="BG26" s="256"/>
      <c r="BH26" s="256"/>
      <c r="BI26" s="242"/>
      <c r="BJ26" s="256"/>
      <c r="BK26" s="256"/>
      <c r="BL26" s="256"/>
      <c r="BM26" s="256"/>
      <c r="BN26" s="256"/>
      <c r="BO26" s="256"/>
      <c r="BP26" s="256"/>
      <c r="BQ26" s="256"/>
      <c r="BS26" s="228"/>
      <c r="BT26" s="257"/>
      <c r="BU26" s="257"/>
      <c r="BV26" s="258"/>
      <c r="BW26" s="259"/>
      <c r="BY26" s="158"/>
      <c r="BZ26" s="228"/>
    </row>
    <row r="27" ht="15" customHeight="1" spans="1:83">
      <c r="A27" s="260"/>
      <c r="B27" s="261"/>
      <c r="C27" s="143"/>
      <c r="D27" s="143"/>
      <c r="E27" s="143"/>
      <c r="F27" s="143"/>
      <c r="G27" s="143" t="str">
        <f t="shared" si="23"/>
        <v/>
      </c>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262" t="s">
        <v>1128</v>
      </c>
      <c r="B28" s="262" t="s">
        <v>313</v>
      </c>
      <c r="C28" s="264">
        <f>SUM(C7:C27)</f>
        <v>0</v>
      </c>
      <c r="D28" s="264">
        <f>SUM(D7:D27)</f>
        <v>0</v>
      </c>
      <c r="E28" s="264">
        <f>SUM(E7:E27)</f>
        <v>0</v>
      </c>
      <c r="F28" s="264">
        <f>E28-D28</f>
        <v>0</v>
      </c>
      <c r="G28" s="265" t="str">
        <f t="shared" si="23"/>
        <v/>
      </c>
      <c r="BA28" s="266">
        <f t="shared" ref="BA28:BH28" si="24">SUM(BA7:BA27)</f>
        <v>0</v>
      </c>
      <c r="BB28" s="266">
        <f t="shared" si="24"/>
        <v>0</v>
      </c>
      <c r="BC28" s="266">
        <f t="shared" si="24"/>
        <v>0</v>
      </c>
      <c r="BD28" s="266">
        <f t="shared" si="24"/>
        <v>0</v>
      </c>
      <c r="BE28" s="266">
        <f t="shared" si="24"/>
        <v>0</v>
      </c>
      <c r="BF28" s="266">
        <f t="shared" si="24"/>
        <v>0</v>
      </c>
      <c r="BG28" s="266">
        <f t="shared" si="24"/>
        <v>0</v>
      </c>
      <c r="BH28" s="266">
        <f t="shared" si="24"/>
        <v>0</v>
      </c>
      <c r="BI28" s="267"/>
      <c r="BJ28" s="266">
        <f t="shared" ref="BJ28:BQ28" si="25">SUM(BJ7:BJ27)</f>
        <v>0</v>
      </c>
      <c r="BK28" s="266">
        <f t="shared" si="25"/>
        <v>0</v>
      </c>
      <c r="BL28" s="266">
        <f t="shared" si="25"/>
        <v>0</v>
      </c>
      <c r="BM28" s="266">
        <f t="shared" si="25"/>
        <v>0</v>
      </c>
      <c r="BN28" s="266">
        <f t="shared" si="25"/>
        <v>0</v>
      </c>
      <c r="BO28" s="266">
        <f t="shared" si="25"/>
        <v>0</v>
      </c>
      <c r="BP28" s="266">
        <f t="shared" si="25"/>
        <v>0</v>
      </c>
      <c r="BQ28" s="266">
        <f t="shared" si="25"/>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ht="15" customHeight="1" spans="1:83">
      <c r="A29" s="75" t="str">
        <f>参数表!F$6</f>
        <v>产权持有单位填表人：贾广东</v>
      </c>
      <c r="B29" s="158"/>
      <c r="C29" s="158"/>
      <c r="D29" s="158"/>
      <c r="E29" s="272" t="str">
        <f>"评估人员："&amp;封面!$G$38</f>
        <v>评估人员：</v>
      </c>
      <c r="F29" s="158"/>
      <c r="G29" s="244"/>
    </row>
    <row r="30" ht="15" customHeight="1" spans="1:83">
      <c r="A30" s="75" t="str">
        <f>参数表!F$7</f>
        <v>填表日期：2025年9月20日</v>
      </c>
      <c r="B30" s="158"/>
      <c r="C30" s="158"/>
      <c r="D30" s="158"/>
      <c r="E30" s="158"/>
      <c r="F30" s="158"/>
    </row>
    <row r="31" customHeight="1" spans="1:83">
      <c r="A31" s="158"/>
      <c r="B31" s="158"/>
      <c r="C31" s="158"/>
      <c r="D31" s="158"/>
      <c r="E31" s="158"/>
      <c r="F31" s="158"/>
    </row>
    <row r="32" customHeight="1" spans="1:83">
      <c r="A32" s="158"/>
      <c r="B32" s="158"/>
      <c r="C32" s="158"/>
      <c r="D32" s="158"/>
      <c r="E32" s="158"/>
      <c r="F32" s="158"/>
    </row>
    <row r="33" customHeight="1" spans="1:6">
      <c r="A33" s="158"/>
      <c r="B33" s="158"/>
      <c r="C33" s="158"/>
      <c r="D33" s="158"/>
      <c r="E33" s="158"/>
      <c r="F33" s="158"/>
    </row>
    <row r="34" customHeight="1" spans="1:6">
      <c r="A34" s="158"/>
      <c r="B34" s="158"/>
      <c r="C34" s="158"/>
      <c r="D34" s="158"/>
      <c r="E34" s="158"/>
      <c r="F34" s="158"/>
    </row>
    <row r="35" customHeight="1" spans="1:6">
      <c r="A35" s="158"/>
      <c r="B35" s="158"/>
      <c r="C35" s="158"/>
      <c r="D35" s="158"/>
      <c r="E35" s="158"/>
      <c r="F35" s="158"/>
    </row>
    <row r="36" customHeight="1" spans="1:6">
      <c r="A36" s="158"/>
      <c r="B36" s="158"/>
      <c r="C36" s="158"/>
      <c r="D36" s="158"/>
      <c r="E36" s="158"/>
      <c r="F36" s="158"/>
    </row>
    <row r="37" customHeight="1" spans="1:6">
      <c r="A37" s="158"/>
      <c r="B37" s="158"/>
      <c r="C37" s="158"/>
      <c r="D37" s="158"/>
      <c r="E37" s="158"/>
      <c r="F37" s="158"/>
    </row>
    <row r="38" customHeight="1" spans="1:6">
      <c r="A38" s="158"/>
      <c r="B38" s="158"/>
      <c r="C38" s="158"/>
      <c r="D38" s="158"/>
      <c r="E38" s="158"/>
      <c r="F38" s="158"/>
    </row>
    <row r="39" customHeight="1" spans="1:6">
      <c r="A39" s="158"/>
      <c r="B39" s="158"/>
      <c r="C39" s="158"/>
      <c r="D39" s="158"/>
      <c r="E39" s="158"/>
      <c r="F39" s="158"/>
    </row>
    <row r="40" customHeight="1" spans="1:6">
      <c r="A40" s="158"/>
      <c r="B40" s="158"/>
      <c r="C40" s="158"/>
      <c r="D40" s="158"/>
      <c r="E40" s="158"/>
      <c r="F40" s="158"/>
    </row>
  </sheetData>
  <sheetProtection autoFilter="0"/>
  <mergeCells count="8">
    <mergeCell ref="A2:G2"/>
    <mergeCell ref="A3:G3"/>
    <mergeCell ref="BA4:BH4"/>
    <mergeCell ref="BJ4:BQ4"/>
    <mergeCell ref="BA5:BD5"/>
    <mergeCell ref="BE5:BH5"/>
    <mergeCell ref="BJ5:BM5"/>
    <mergeCell ref="BN5:BQ5"/>
  </mergeCells>
  <conditionalFormatting sqref="C7:G27">
    <cfRule type="expression" dxfId="3" priority="1">
      <formula>$D7+$E7=0</formula>
    </cfRule>
  </conditionalFormatting>
  <hyperlinks>
    <hyperlink ref="A1" location="索引目录!G6" display="返回索引页"/>
    <hyperlink ref="B1" location="评估结果分类汇总表!B72" display="返回"/>
    <hyperlink ref="B7" location="短期借款!B1" display="短期借款"/>
    <hyperlink ref="B9" location="交易性金融负债!B1" display="交易性金融负债"/>
    <hyperlink ref="B11" location="应付票据!B1" display="应付票据"/>
    <hyperlink ref="B12" location="应付账款!B1" display="应付账款"/>
    <hyperlink ref="B13" location="预收账款!B1" display="预收款项"/>
    <hyperlink ref="B15" location="职工薪酬!B1" display="应付职工薪酬"/>
    <hyperlink ref="B16" location="应交税费!B1" display="应交税费"/>
    <hyperlink ref="B17" location="其他应付款!B1" display="其他应付款"/>
    <hyperlink ref="B19" location="一年到期非流动负债!B1" display="一年内到期的非流动负债"/>
    <hyperlink ref="B20" location="其他流动负债!B1" display="其他流动负债"/>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5"/>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21.7" style="75" customWidth="1"/>
    <col min="3" max="4" width="8.6" style="75" customWidth="1"/>
    <col min="5" max="5" width="5.1" style="75" customWidth="1"/>
    <col min="6" max="6" width="8.6" style="75" customWidth="1"/>
    <col min="7" max="8" width="4.6" style="75" customWidth="1"/>
    <col min="9" max="9" width="6.1" style="75" customWidth="1"/>
    <col min="10" max="10" width="15.6" style="75" customWidth="1" outlineLevel="1"/>
    <col min="11" max="11" width="15.6" style="76" customWidth="1" outlineLevel="1"/>
    <col min="12" max="13" width="15.6" style="75" customWidth="1"/>
    <col min="14" max="14" width="11.2" style="75" customWidth="1"/>
    <col min="15"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5" width="4.7" style="165" customWidth="1"/>
    <col min="66" max="66" width="6.7" style="16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3.8" spans="1:77">
      <c r="A1" s="273" t="s">
        <v>1591</v>
      </c>
      <c r="B1" s="80" t="s">
        <v>1592</v>
      </c>
      <c r="C1" s="81"/>
      <c r="D1" s="81"/>
      <c r="E1" s="81"/>
      <c r="F1" s="81"/>
      <c r="G1" s="82"/>
      <c r="H1" s="82"/>
      <c r="I1" s="82"/>
      <c r="J1" s="81"/>
      <c r="K1" s="83"/>
      <c r="L1" s="81"/>
      <c r="M1" s="81"/>
      <c r="N1" s="81"/>
      <c r="BA1" s="84" t="str">
        <f>参数表!BA1</f>
        <v>注意：补充特殊事项、作价等均从BA列开始填写</v>
      </c>
      <c r="BB1" s="85"/>
      <c r="BC1" s="86"/>
      <c r="BD1" s="86"/>
      <c r="BE1" s="86"/>
      <c r="BF1" s="86"/>
      <c r="BG1" s="86"/>
      <c r="BH1" s="82"/>
      <c r="BI1" s="86"/>
      <c r="BJ1" s="82"/>
      <c r="BK1" s="82"/>
      <c r="BL1" s="168"/>
      <c r="BM1" s="168"/>
      <c r="BN1" s="168"/>
      <c r="BQ1" s="87"/>
      <c r="BR1" s="88"/>
      <c r="BS1" s="87"/>
      <c r="BT1" s="88"/>
      <c r="BU1" s="88"/>
      <c r="BV1" s="88"/>
      <c r="BW1" s="88"/>
      <c r="BX1" s="88"/>
      <c r="BY1" s="87"/>
    </row>
    <row r="2" s="71" customFormat="1" ht="30" customHeight="1" spans="1:77">
      <c r="A2" s="89" t="s">
        <v>5044</v>
      </c>
      <c r="B2" s="89"/>
      <c r="C2" s="89"/>
      <c r="D2" s="89"/>
      <c r="E2" s="89"/>
      <c r="F2" s="89"/>
      <c r="G2" s="89"/>
      <c r="H2" s="89"/>
      <c r="I2" s="89"/>
      <c r="J2" s="89"/>
      <c r="K2" s="89"/>
      <c r="L2" s="89"/>
      <c r="M2" s="89"/>
      <c r="N2" s="89"/>
      <c r="BA2" s="90" t="str">
        <f>参数表!BA2</f>
        <v>评估基准日：</v>
      </c>
      <c r="BB2" s="91" t="str">
        <f>参数表!$BB$2</f>
        <v>2025年7月31日</v>
      </c>
      <c r="BH2" s="171"/>
      <c r="BJ2" s="171"/>
      <c r="BK2" s="171"/>
      <c r="BL2" s="171"/>
      <c r="BM2" s="171"/>
      <c r="BN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M3" s="95"/>
      <c r="N3" s="95"/>
      <c r="BA3" s="90" t="str">
        <f>参数表!BA3</f>
        <v>是否显示评估值：</v>
      </c>
      <c r="BB3" s="90" t="str">
        <f>参数表!$BB$3</f>
        <v>是</v>
      </c>
      <c r="BS3" s="78"/>
    </row>
    <row r="4" ht="15" customHeight="1" spans="1:77">
      <c r="A4" s="96"/>
      <c r="B4" s="94"/>
      <c r="C4" s="94"/>
      <c r="D4" s="94"/>
      <c r="E4" s="94"/>
      <c r="F4" s="94"/>
      <c r="G4" s="94"/>
      <c r="H4" s="94"/>
      <c r="I4" s="94"/>
      <c r="J4" s="94"/>
      <c r="K4" s="97"/>
      <c r="L4" s="95"/>
      <c r="M4" s="95"/>
      <c r="N4" s="98" t="str">
        <f>"表"&amp;$BA4</f>
        <v>表5-1</v>
      </c>
      <c r="BA4" s="274" t="str">
        <f>流动负总!A7</f>
        <v>5-1</v>
      </c>
      <c r="BB4" s="100">
        <f>MAX(COUNTA(A7:A26),COUNTA(B7:B26),COUNTA(J7:J26),COUNTA(L7:L26))</f>
        <v>20</v>
      </c>
      <c r="BC4" s="101">
        <f>ROW(A6)+1</f>
        <v>7</v>
      </c>
      <c r="BD4" s="77"/>
      <c r="BE4" s="77"/>
      <c r="BS4" s="78"/>
    </row>
    <row r="5" ht="15" customHeight="1" spans="1:77">
      <c r="A5" s="102" t="str">
        <f>参数表!F3</f>
        <v>产权持有单位:中煤第五建设有限公司</v>
      </c>
      <c r="B5" s="103"/>
      <c r="C5" s="103"/>
      <c r="D5" s="103"/>
      <c r="E5" s="103"/>
      <c r="F5" s="103"/>
      <c r="G5" s="103"/>
      <c r="H5" s="103"/>
      <c r="I5" s="103"/>
      <c r="J5" s="103"/>
      <c r="K5" s="104"/>
      <c r="L5" s="103"/>
      <c r="M5" s="103"/>
      <c r="N5" s="98" t="s">
        <v>236</v>
      </c>
      <c r="BA5" s="103"/>
      <c r="BB5" s="105" t="str">
        <f ca="1">判断表!C98</f>
        <v>中煤第五建设有限公司第三工程处拟处置实物资产项目\[0000-3基础法明细表.xlsx]短期借款</v>
      </c>
      <c r="BC5" s="106">
        <f>IFERROR(SUMIF(BC7:BC26,"√",L7:L26)/L27,0)</f>
        <v>0</v>
      </c>
      <c r="BD5" s="107"/>
      <c r="BE5" s="107"/>
      <c r="BF5" s="108">
        <f>分类汇总!$I45</f>
        <v>0</v>
      </c>
      <c r="BG5" s="108">
        <f>分类汇总!$K45</f>
        <v>0</v>
      </c>
      <c r="BH5" s="109"/>
      <c r="BI5" s="109"/>
      <c r="BJ5" s="109"/>
      <c r="BK5" s="109"/>
      <c r="BL5" s="109"/>
      <c r="BM5" s="109"/>
      <c r="BN5" s="109"/>
      <c r="BO5" s="110"/>
      <c r="BP5" s="110"/>
      <c r="BQ5" s="111"/>
      <c r="BS5" s="78"/>
      <c r="BY5" s="111"/>
    </row>
    <row r="6" s="72" customFormat="1" ht="25.2" customHeight="1" spans="1:77">
      <c r="A6" s="112" t="s">
        <v>305</v>
      </c>
      <c r="B6" s="113" t="s">
        <v>5045</v>
      </c>
      <c r="C6" s="113" t="s">
        <v>1961</v>
      </c>
      <c r="D6" s="113" t="s">
        <v>3437</v>
      </c>
      <c r="E6" s="118" t="s">
        <v>5046</v>
      </c>
      <c r="F6" s="208" t="s">
        <v>5047</v>
      </c>
      <c r="G6" s="114" t="s">
        <v>1631</v>
      </c>
      <c r="H6" s="115" t="s">
        <v>1632</v>
      </c>
      <c r="I6" s="116" t="s">
        <v>3793</v>
      </c>
      <c r="J6" s="113" t="s">
        <v>1549</v>
      </c>
      <c r="K6" s="117" t="s">
        <v>1634</v>
      </c>
      <c r="L6" s="118" t="s">
        <v>1523</v>
      </c>
      <c r="M6" s="113" t="s">
        <v>1550</v>
      </c>
      <c r="N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5048</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5"/>
      <c r="E7" s="225"/>
      <c r="F7" s="225"/>
      <c r="G7" s="127"/>
      <c r="H7" s="127" t="str">
        <f>IFERROR(VLOOKUP(G7,参数表!$H$2:$I$50,2,FALSE),"")</f>
        <v/>
      </c>
      <c r="I7" s="128" t="str">
        <f>IFERROR(IF(OR(G7="人民币",G7=""),"",L7/H7),"")</f>
        <v/>
      </c>
      <c r="J7" s="129"/>
      <c r="K7" s="130"/>
      <c r="L7" s="129" t="str">
        <f>IF(B7="","",J7+K7)</f>
        <v/>
      </c>
      <c r="M7" s="129" t="str">
        <f t="shared" ref="M7:M26" si="0">IF(B7="","",IF($BB$3="是",L7,""))</f>
        <v/>
      </c>
      <c r="N7" s="131"/>
      <c r="BA7" s="78"/>
      <c r="BB7" s="132" t="s">
        <v>5049</v>
      </c>
      <c r="BC7" s="133"/>
      <c r="BD7" s="132" t="str">
        <f>IF(OR(B7="",BC7=""),"",COUNTIF(BC$7:BC7,"√"))</f>
        <v/>
      </c>
      <c r="BE7" s="134" t="str">
        <f t="shared" ref="BE7:BE26" si="1">IF(BC7="","",BB7&amp;"︱"&amp;B7&amp;"︱"&amp;TEXT(J7,"#,##0.00"))</f>
        <v/>
      </c>
      <c r="BF7" s="135" t="str">
        <f>IF($B7="","",IF(BF$5=0,"OK","出错"))</f>
        <v/>
      </c>
      <c r="BG7" s="135" t="str">
        <f>IF($B7="","",IF(BG$5=0,"OK","出错"))</f>
        <v/>
      </c>
      <c r="BH7" s="136"/>
      <c r="BI7" s="137"/>
      <c r="BJ7" s="136"/>
      <c r="BK7" s="136"/>
      <c r="BL7" s="136"/>
      <c r="BM7" s="136"/>
      <c r="BN7" s="136"/>
      <c r="BO7" s="137"/>
      <c r="BP7" s="137"/>
      <c r="BR7" s="134" t="str">
        <f>IF(COUNTIF(BR$6:BR6,B7)&gt;0,"",B7)&amp;""</f>
        <v/>
      </c>
      <c r="BS7" s="138">
        <f>SUMIF(B$7:B$26,BR7,L$7:L$26)</f>
        <v>0</v>
      </c>
      <c r="BT7" s="132">
        <f t="shared" ref="BT7" si="2">RANK(BS7,BS$7:BS$26)</f>
        <v>1</v>
      </c>
      <c r="BU7" s="138">
        <f>SUMIF(B$7:B$26,BR7,M$7:M$26)</f>
        <v>0</v>
      </c>
      <c r="BV7" s="132">
        <f>RANK(BU7,BU$7:BU$26)</f>
        <v>1</v>
      </c>
      <c r="BW7" s="138">
        <f>SUM(BS7:BS26)</f>
        <v>0</v>
      </c>
      <c r="BX7" s="138"/>
      <c r="BY7" s="138"/>
    </row>
    <row r="8" ht="15" customHeight="1" spans="1:77">
      <c r="A8" s="123" t="str">
        <f>IF(B8="","",COUNT(A$6:A7)+1)</f>
        <v/>
      </c>
      <c r="B8" s="139"/>
      <c r="C8" s="140"/>
      <c r="D8" s="140"/>
      <c r="E8" s="255"/>
      <c r="F8" s="255"/>
      <c r="G8" s="142"/>
      <c r="H8" s="127" t="str">
        <f>IFERROR(VLOOKUP(G8,参数表!$H$2:$I$50,2,FALSE),"")</f>
        <v/>
      </c>
      <c r="I8" s="128" t="str">
        <f t="shared" ref="I8:I26" si="3">IFERROR(IF(OR(G8="人民币",G8=""),"",L8/H8),"")</f>
        <v/>
      </c>
      <c r="J8" s="143"/>
      <c r="K8" s="144"/>
      <c r="L8" s="129" t="str">
        <f t="shared" ref="L8:L26" si="4">IF(B8="","",J8+K8)</f>
        <v/>
      </c>
      <c r="M8" s="129" t="str">
        <f t="shared" si="0"/>
        <v/>
      </c>
      <c r="N8" s="145"/>
      <c r="BA8" s="78"/>
      <c r="BB8" s="132" t="s">
        <v>5050</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R8" s="134" t="str">
        <f>IF(COUNTIF(BR$6:BR7,B8)&gt;0,"",B8)&amp;""</f>
        <v/>
      </c>
      <c r="BS8" s="138">
        <f t="shared" ref="BS8:BS26" si="6">SUMIF(B$7:B$26,BR8,L$7:L$26)</f>
        <v>0</v>
      </c>
      <c r="BT8" s="132">
        <f t="shared" ref="BT8:BT26" si="7">RANK(BS8,BS$7:BS$26)</f>
        <v>1</v>
      </c>
      <c r="BU8" s="138">
        <f t="shared" ref="BU8:BU26" si="8">SUMIF(B$7:B$26,BR8,M$7:M$26)</f>
        <v>0</v>
      </c>
      <c r="BV8" s="132">
        <f t="shared" ref="BV8:BV26" si="9">RANK(BU8,BU$7:BU$26)</f>
        <v>1</v>
      </c>
      <c r="BW8" s="138">
        <f>SUM(BU7:BU26)</f>
        <v>0</v>
      </c>
      <c r="BX8" s="138"/>
      <c r="BY8" s="138"/>
    </row>
    <row r="9" ht="15" customHeight="1" spans="1:77">
      <c r="A9" s="123" t="str">
        <f>IF(B9="","",COUNT(A$6:A8)+1)</f>
        <v/>
      </c>
      <c r="B9" s="139"/>
      <c r="C9" s="140"/>
      <c r="D9" s="140"/>
      <c r="E9" s="255"/>
      <c r="F9" s="255"/>
      <c r="G9" s="142"/>
      <c r="H9" s="127" t="str">
        <f>IFERROR(VLOOKUP(G9,参数表!$H$2:$I$50,2,FALSE),"")</f>
        <v/>
      </c>
      <c r="I9" s="128" t="str">
        <f t="shared" si="3"/>
        <v/>
      </c>
      <c r="J9" s="143"/>
      <c r="K9" s="144"/>
      <c r="L9" s="129" t="str">
        <f t="shared" si="4"/>
        <v/>
      </c>
      <c r="M9" s="129" t="str">
        <f t="shared" si="0"/>
        <v/>
      </c>
      <c r="N9" s="145"/>
      <c r="BA9" s="78"/>
      <c r="BB9" s="132" t="s">
        <v>5051</v>
      </c>
      <c r="BC9" s="133"/>
      <c r="BD9" s="132" t="str">
        <f>IF(OR(B9="",BC9=""),"",COUNTIF(BC$7:BC9,"√"))</f>
        <v/>
      </c>
      <c r="BE9" s="134" t="str">
        <f t="shared" si="1"/>
        <v/>
      </c>
      <c r="BF9" s="135" t="str">
        <f t="shared" si="5"/>
        <v/>
      </c>
      <c r="BG9" s="135" t="str">
        <f t="shared" si="5"/>
        <v/>
      </c>
      <c r="BH9" s="136"/>
      <c r="BI9" s="137"/>
      <c r="BJ9" s="136"/>
      <c r="BK9" s="136"/>
      <c r="BL9" s="136"/>
      <c r="BM9" s="136"/>
      <c r="BN9" s="136"/>
      <c r="BO9" s="137"/>
      <c r="BP9" s="137"/>
      <c r="BR9" s="134" t="str">
        <f>IF(COUNTIF(BR$6:BR8,B9)&gt;0,"",B9)&amp;""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0"/>
      <c r="E10" s="255"/>
      <c r="F10" s="255"/>
      <c r="G10" s="142"/>
      <c r="H10" s="127" t="str">
        <f>IFERROR(VLOOKUP(G10,参数表!$H$2:$I$50,2,FALSE),"")</f>
        <v/>
      </c>
      <c r="I10" s="128" t="str">
        <f t="shared" si="3"/>
        <v/>
      </c>
      <c r="J10" s="143"/>
      <c r="K10" s="144"/>
      <c r="L10" s="129" t="str">
        <f t="shared" si="4"/>
        <v/>
      </c>
      <c r="M10" s="129" t="str">
        <f t="shared" si="0"/>
        <v/>
      </c>
      <c r="N10" s="145"/>
      <c r="BA10" s="78"/>
      <c r="BB10" s="132" t="s">
        <v>5052</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R10" s="134" t="str">
        <f>IF(COUNTIF(BR$6:BR9,B10)&gt;0,"",B10)&amp;""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0"/>
      <c r="E11" s="255"/>
      <c r="F11" s="255"/>
      <c r="G11" s="142"/>
      <c r="H11" s="127" t="str">
        <f>IFERROR(VLOOKUP(G11,参数表!$H$2:$I$50,2,FALSE),"")</f>
        <v/>
      </c>
      <c r="I11" s="128" t="str">
        <f t="shared" si="3"/>
        <v/>
      </c>
      <c r="J11" s="143"/>
      <c r="K11" s="144"/>
      <c r="L11" s="129" t="str">
        <f t="shared" si="4"/>
        <v/>
      </c>
      <c r="M11" s="129" t="str">
        <f t="shared" si="0"/>
        <v/>
      </c>
      <c r="N11" s="145"/>
      <c r="BA11" s="78"/>
      <c r="BB11" s="132" t="s">
        <v>5053</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R11" s="134" t="str">
        <f>IF(COUNTIF(BR$6:BR10,B11)&gt;0,"",B11)&amp;""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0"/>
      <c r="E12" s="255"/>
      <c r="F12" s="255"/>
      <c r="G12" s="142"/>
      <c r="H12" s="127" t="str">
        <f>IFERROR(VLOOKUP(G12,参数表!$H$2:$I$50,2,FALSE),"")</f>
        <v/>
      </c>
      <c r="I12" s="128" t="str">
        <f t="shared" si="3"/>
        <v/>
      </c>
      <c r="J12" s="143"/>
      <c r="K12" s="144"/>
      <c r="L12" s="129" t="str">
        <f t="shared" si="4"/>
        <v/>
      </c>
      <c r="M12" s="129" t="str">
        <f t="shared" si="0"/>
        <v/>
      </c>
      <c r="N12" s="145"/>
      <c r="BA12" s="78"/>
      <c r="BB12" s="132" t="s">
        <v>5054</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R12" s="134" t="str">
        <f>IF(COUNTIF(BR$6:BR11,B12)&gt;0,"",B12)&amp;""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0"/>
      <c r="E13" s="255"/>
      <c r="F13" s="255"/>
      <c r="G13" s="142"/>
      <c r="H13" s="127" t="str">
        <f>IFERROR(VLOOKUP(G13,参数表!$H$2:$I$50,2,FALSE),"")</f>
        <v/>
      </c>
      <c r="I13" s="128" t="str">
        <f t="shared" si="3"/>
        <v/>
      </c>
      <c r="J13" s="143"/>
      <c r="K13" s="144"/>
      <c r="L13" s="129" t="str">
        <f t="shared" si="4"/>
        <v/>
      </c>
      <c r="M13" s="129" t="str">
        <f t="shared" si="0"/>
        <v/>
      </c>
      <c r="N13" s="145"/>
      <c r="BA13" s="78"/>
      <c r="BB13" s="132" t="s">
        <v>5055</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R13" s="134" t="str">
        <f>IF(COUNTIF(BR$6:BR12,B13)&gt;0,"",B13)&amp;""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0"/>
      <c r="E14" s="255"/>
      <c r="F14" s="255"/>
      <c r="G14" s="142"/>
      <c r="H14" s="127" t="str">
        <f>IFERROR(VLOOKUP(G14,参数表!$H$2:$I$50,2,FALSE),"")</f>
        <v/>
      </c>
      <c r="I14" s="128" t="str">
        <f t="shared" si="3"/>
        <v/>
      </c>
      <c r="J14" s="143"/>
      <c r="K14" s="144"/>
      <c r="L14" s="129" t="str">
        <f t="shared" si="4"/>
        <v/>
      </c>
      <c r="M14" s="129" t="str">
        <f t="shared" si="0"/>
        <v/>
      </c>
      <c r="N14" s="145"/>
      <c r="BA14" s="78"/>
      <c r="BB14" s="132" t="s">
        <v>5056</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R14" s="134" t="str">
        <f>IF(COUNTIF(BR$6:BR13,B14)&gt;0,"",B14)&amp;""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0"/>
      <c r="E15" s="255"/>
      <c r="F15" s="255"/>
      <c r="G15" s="142"/>
      <c r="H15" s="127" t="str">
        <f>IFERROR(VLOOKUP(G15,参数表!$H$2:$I$50,2,FALSE),"")</f>
        <v/>
      </c>
      <c r="I15" s="128" t="str">
        <f t="shared" si="3"/>
        <v/>
      </c>
      <c r="J15" s="143"/>
      <c r="K15" s="144"/>
      <c r="L15" s="129" t="str">
        <f t="shared" si="4"/>
        <v/>
      </c>
      <c r="M15" s="129" t="str">
        <f t="shared" si="0"/>
        <v/>
      </c>
      <c r="N15" s="145"/>
      <c r="BA15" s="78"/>
      <c r="BB15" s="132" t="s">
        <v>5057</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R15" s="134" t="str">
        <f>IF(COUNTIF(BR$6:BR14,B15)&gt;0,"",B15)&amp;""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0"/>
      <c r="E16" s="255"/>
      <c r="F16" s="255"/>
      <c r="G16" s="142"/>
      <c r="H16" s="127" t="str">
        <f>IFERROR(VLOOKUP(G16,参数表!$H$2:$I$50,2,FALSE),"")</f>
        <v/>
      </c>
      <c r="I16" s="128" t="str">
        <f t="shared" si="3"/>
        <v/>
      </c>
      <c r="J16" s="143"/>
      <c r="K16" s="144"/>
      <c r="L16" s="129" t="str">
        <f t="shared" si="4"/>
        <v/>
      </c>
      <c r="M16" s="129" t="str">
        <f t="shared" si="0"/>
        <v/>
      </c>
      <c r="N16" s="145"/>
      <c r="BA16" s="78"/>
      <c r="BB16" s="132" t="s">
        <v>5058</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R16" s="134" t="str">
        <f>IF(COUNTIF(BR$6:BR15,B16)&gt;0,"",B16)&amp;""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0"/>
      <c r="E17" s="255"/>
      <c r="F17" s="255"/>
      <c r="G17" s="142"/>
      <c r="H17" s="127" t="str">
        <f>IFERROR(VLOOKUP(G17,参数表!$H$2:$I$50,2,FALSE),"")</f>
        <v/>
      </c>
      <c r="I17" s="128" t="str">
        <f t="shared" si="3"/>
        <v/>
      </c>
      <c r="J17" s="143"/>
      <c r="K17" s="144"/>
      <c r="L17" s="129" t="str">
        <f t="shared" si="4"/>
        <v/>
      </c>
      <c r="M17" s="129" t="str">
        <f t="shared" si="0"/>
        <v/>
      </c>
      <c r="N17" s="145"/>
      <c r="BA17" s="78"/>
      <c r="BB17" s="132" t="s">
        <v>5059</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R17" s="134" t="str">
        <f>IF(COUNTIF(BR$6:BR16,B17)&gt;0,"",B17)&amp;""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0"/>
      <c r="E18" s="255"/>
      <c r="F18" s="255"/>
      <c r="G18" s="142"/>
      <c r="H18" s="127" t="str">
        <f>IFERROR(VLOOKUP(G18,参数表!$H$2:$I$50,2,FALSE),"")</f>
        <v/>
      </c>
      <c r="I18" s="128" t="str">
        <f t="shared" si="3"/>
        <v/>
      </c>
      <c r="J18" s="143"/>
      <c r="K18" s="144"/>
      <c r="L18" s="129" t="str">
        <f t="shared" si="4"/>
        <v/>
      </c>
      <c r="M18" s="129" t="str">
        <f t="shared" si="0"/>
        <v/>
      </c>
      <c r="N18" s="145"/>
      <c r="BA18" s="78"/>
      <c r="BB18" s="132" t="s">
        <v>5060</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R18" s="134" t="str">
        <f>IF(COUNTIF(BR$6:BR17,B18)&gt;0,"",B18)&amp;""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0"/>
      <c r="E19" s="255"/>
      <c r="F19" s="255"/>
      <c r="G19" s="142"/>
      <c r="H19" s="127" t="str">
        <f>IFERROR(VLOOKUP(G19,参数表!$H$2:$I$50,2,FALSE),"")</f>
        <v/>
      </c>
      <c r="I19" s="128" t="str">
        <f t="shared" si="3"/>
        <v/>
      </c>
      <c r="J19" s="143"/>
      <c r="K19" s="144"/>
      <c r="L19" s="129" t="str">
        <f t="shared" si="4"/>
        <v/>
      </c>
      <c r="M19" s="129" t="str">
        <f t="shared" si="0"/>
        <v/>
      </c>
      <c r="N19" s="145"/>
      <c r="BA19" s="78"/>
      <c r="BB19" s="132" t="s">
        <v>5061</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R19" s="134" t="str">
        <f>IF(COUNTIF(BR$6:BR18,B19)&gt;0,"",B19)&amp;""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0"/>
      <c r="E20" s="255"/>
      <c r="F20" s="255"/>
      <c r="G20" s="142"/>
      <c r="H20" s="127" t="str">
        <f>IFERROR(VLOOKUP(G20,参数表!$H$2:$I$50,2,FALSE),"")</f>
        <v/>
      </c>
      <c r="I20" s="128" t="str">
        <f t="shared" si="3"/>
        <v/>
      </c>
      <c r="J20" s="143"/>
      <c r="K20" s="144"/>
      <c r="L20" s="129" t="str">
        <f t="shared" si="4"/>
        <v/>
      </c>
      <c r="M20" s="129" t="str">
        <f t="shared" si="0"/>
        <v/>
      </c>
      <c r="N20" s="145"/>
      <c r="BA20" s="78"/>
      <c r="BB20" s="132" t="s">
        <v>5062</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R20" s="134" t="str">
        <f>IF(COUNTIF(BR$6:BR19,B20)&gt;0,"",B20)&amp;""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0"/>
      <c r="E21" s="255"/>
      <c r="F21" s="255"/>
      <c r="G21" s="142"/>
      <c r="H21" s="127" t="str">
        <f>IFERROR(VLOOKUP(G21,参数表!$H$2:$I$50,2,FALSE),"")</f>
        <v/>
      </c>
      <c r="I21" s="128" t="str">
        <f t="shared" si="3"/>
        <v/>
      </c>
      <c r="J21" s="143"/>
      <c r="K21" s="144"/>
      <c r="L21" s="129" t="str">
        <f t="shared" si="4"/>
        <v/>
      </c>
      <c r="M21" s="129" t="str">
        <f t="shared" si="0"/>
        <v/>
      </c>
      <c r="N21" s="145"/>
      <c r="BA21" s="78"/>
      <c r="BB21" s="132" t="s">
        <v>5063</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R21" s="134" t="str">
        <f>IF(COUNTIF(BR$6:BR20,B21)&gt;0,"",B21)&amp;""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0"/>
      <c r="E22" s="255"/>
      <c r="F22" s="255"/>
      <c r="G22" s="142"/>
      <c r="H22" s="127" t="str">
        <f>IFERROR(VLOOKUP(G22,参数表!$H$2:$I$50,2,FALSE),"")</f>
        <v/>
      </c>
      <c r="I22" s="128" t="str">
        <f t="shared" si="3"/>
        <v/>
      </c>
      <c r="J22" s="143"/>
      <c r="K22" s="144"/>
      <c r="L22" s="129" t="str">
        <f t="shared" si="4"/>
        <v/>
      </c>
      <c r="M22" s="129" t="str">
        <f t="shared" si="0"/>
        <v/>
      </c>
      <c r="N22" s="145"/>
      <c r="BA22" s="78"/>
      <c r="BB22" s="132" t="s">
        <v>5064</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R22" s="134" t="str">
        <f>IF(COUNTIF(BR$6:BR21,B22)&gt;0,"",B22)&amp;""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0"/>
      <c r="E23" s="255"/>
      <c r="F23" s="255"/>
      <c r="G23" s="142"/>
      <c r="H23" s="127" t="str">
        <f>IFERROR(VLOOKUP(G23,参数表!$H$2:$I$50,2,FALSE),"")</f>
        <v/>
      </c>
      <c r="I23" s="128" t="str">
        <f t="shared" si="3"/>
        <v/>
      </c>
      <c r="J23" s="143"/>
      <c r="K23" s="144"/>
      <c r="L23" s="129" t="str">
        <f t="shared" si="4"/>
        <v/>
      </c>
      <c r="M23" s="129" t="str">
        <f t="shared" si="0"/>
        <v/>
      </c>
      <c r="N23" s="145"/>
      <c r="BA23" s="78"/>
      <c r="BB23" s="132" t="s">
        <v>5065</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R23" s="134" t="str">
        <f>IF(COUNTIF(BR$6:BR22,B23)&gt;0,"",B23)&amp;""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0"/>
      <c r="E24" s="255"/>
      <c r="F24" s="255"/>
      <c r="G24" s="142"/>
      <c r="H24" s="127" t="str">
        <f>IFERROR(VLOOKUP(G24,参数表!$H$2:$I$50,2,FALSE),"")</f>
        <v/>
      </c>
      <c r="I24" s="128" t="str">
        <f t="shared" si="3"/>
        <v/>
      </c>
      <c r="J24" s="143"/>
      <c r="K24" s="144"/>
      <c r="L24" s="129" t="str">
        <f t="shared" si="4"/>
        <v/>
      </c>
      <c r="M24" s="129" t="str">
        <f t="shared" si="0"/>
        <v/>
      </c>
      <c r="N24" s="145"/>
      <c r="BA24" s="78"/>
      <c r="BB24" s="132" t="s">
        <v>5066</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R24" s="134" t="str">
        <f>IF(COUNTIF(BR$6:BR23,B24)&gt;0,"",B24)&amp;""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0"/>
      <c r="E25" s="255"/>
      <c r="F25" s="255"/>
      <c r="G25" s="142"/>
      <c r="H25" s="127" t="str">
        <f>IFERROR(VLOOKUP(G25,参数表!$H$2:$I$50,2,FALSE),"")</f>
        <v/>
      </c>
      <c r="I25" s="128" t="str">
        <f t="shared" si="3"/>
        <v/>
      </c>
      <c r="J25" s="143"/>
      <c r="K25" s="144"/>
      <c r="L25" s="129" t="str">
        <f t="shared" si="4"/>
        <v/>
      </c>
      <c r="M25" s="129" t="str">
        <f t="shared" si="0"/>
        <v/>
      </c>
      <c r="N25" s="145"/>
      <c r="BA25" s="78"/>
      <c r="BB25" s="132" t="s">
        <v>5067</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R25" s="134" t="str">
        <f>IF(COUNTIF(BR$6:BR24,B25)&gt;0,"",B25)&amp;""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5"/>
      <c r="E26" s="225"/>
      <c r="F26" s="225"/>
      <c r="G26" s="127"/>
      <c r="H26" s="127" t="str">
        <f>IFERROR(VLOOKUP(G26,参数表!$H$2:$I$50,2,FALSE),"")</f>
        <v/>
      </c>
      <c r="I26" s="128" t="str">
        <f t="shared" si="3"/>
        <v/>
      </c>
      <c r="J26" s="129"/>
      <c r="K26" s="130"/>
      <c r="L26" s="129" t="str">
        <f t="shared" si="4"/>
        <v/>
      </c>
      <c r="M26" s="129" t="str">
        <f t="shared" si="0"/>
        <v/>
      </c>
      <c r="N26" s="131"/>
      <c r="BA26" s="78"/>
      <c r="BB26" s="132" t="s">
        <v>5068</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R26" s="134" t="str">
        <f>IF(COUNTIF(BR$6:BR25,B26)&gt;0,"",B26)&amp;""</f>
        <v/>
      </c>
      <c r="BS26" s="138">
        <f t="shared" si="6"/>
        <v>0</v>
      </c>
      <c r="BT26" s="132">
        <f t="shared" si="7"/>
        <v>1</v>
      </c>
      <c r="BU26" s="138">
        <f t="shared" si="8"/>
        <v>0</v>
      </c>
      <c r="BV26" s="132">
        <f t="shared" si="9"/>
        <v>1</v>
      </c>
      <c r="BW26" s="133"/>
      <c r="BX26" s="133"/>
    </row>
    <row r="27" s="73" customFormat="1" ht="15" customHeight="1" spans="1:77">
      <c r="A27" s="149" t="s">
        <v>5069</v>
      </c>
      <c r="B27" s="149"/>
      <c r="C27" s="226"/>
      <c r="D27" s="226"/>
      <c r="E27" s="275"/>
      <c r="F27" s="275"/>
      <c r="G27" s="151"/>
      <c r="H27" s="151"/>
      <c r="I27" s="151"/>
      <c r="J27" s="152">
        <f>SUM(J7:J26)</f>
        <v>0</v>
      </c>
      <c r="K27" s="153"/>
      <c r="L27" s="152">
        <f>SUM(L7:L26)</f>
        <v>0</v>
      </c>
      <c r="M27" s="152">
        <f>SUM(M7:M26)</f>
        <v>0</v>
      </c>
      <c r="N27" s="151"/>
      <c r="BF27" s="75"/>
      <c r="BG27" s="75"/>
      <c r="BH27" s="165"/>
      <c r="BI27" s="75"/>
      <c r="BJ27" s="165"/>
      <c r="BK27" s="165"/>
      <c r="BL27" s="165"/>
      <c r="BM27" s="165"/>
      <c r="BN27" s="165"/>
      <c r="BO27" s="75"/>
      <c r="BP27" s="75"/>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4"/>
      <c r="J28" s="103"/>
      <c r="K28" s="104"/>
      <c r="L28" s="103"/>
      <c r="M28" s="156" t="str">
        <f>"评估人员："&amp;封面!$G$38</f>
        <v>评估人员：</v>
      </c>
      <c r="N28" s="103"/>
    </row>
    <row r="29" customHeight="1" spans="1:77">
      <c r="A29" s="102" t="str">
        <f>参数表!F$7</f>
        <v>填表日期：2025年9月20日</v>
      </c>
      <c r="B29" s="154"/>
      <c r="C29" s="154"/>
      <c r="D29" s="154"/>
      <c r="E29" s="154"/>
      <c r="F29" s="154"/>
      <c r="G29" s="154"/>
      <c r="H29" s="154"/>
      <c r="I29" s="154"/>
      <c r="J29" s="103"/>
      <c r="K29" s="104"/>
      <c r="L29" s="103"/>
      <c r="M29" s="103"/>
      <c r="N29" s="103"/>
    </row>
    <row r="30" hidden="1" customHeight="1" outlineLevel="1" spans="1:77">
      <c r="A30" s="157"/>
      <c r="B30" s="154" t="s">
        <v>1673</v>
      </c>
      <c r="C30" s="158"/>
      <c r="D30" s="158"/>
      <c r="E30" s="158"/>
      <c r="F30" s="158"/>
      <c r="G30" s="158"/>
      <c r="H30" s="158"/>
      <c r="I30" s="158"/>
      <c r="J30" s="159">
        <f>SUMIF($BA7:$BA26,$BA30,J7:J26)</f>
        <v>0</v>
      </c>
      <c r="K30" s="202"/>
      <c r="L30" s="159">
        <f>SUMIF($BA7:$BA26,$BA30,L7:L26)</f>
        <v>0</v>
      </c>
      <c r="M30" s="159">
        <f>SUMIF($BA7:$BA26,$BA30,M7:M26)</f>
        <v>0</v>
      </c>
      <c r="BA30" s="161" t="s">
        <v>1674</v>
      </c>
      <c r="BH30" s="95" t="s">
        <v>1675</v>
      </c>
      <c r="BJ30" s="95" t="s">
        <v>1675</v>
      </c>
      <c r="BK30" s="95" t="s">
        <v>1675</v>
      </c>
      <c r="BL30" s="95" t="s">
        <v>1675</v>
      </c>
      <c r="BM30" s="95" t="s">
        <v>1674</v>
      </c>
      <c r="BN30" s="95" t="s">
        <v>1674</v>
      </c>
    </row>
    <row r="31" hidden="1" customHeight="1" outlineLevel="1" spans="1:77">
      <c r="A31" s="157"/>
      <c r="B31" s="154" t="s">
        <v>1676</v>
      </c>
      <c r="C31" s="158"/>
      <c r="D31" s="158"/>
      <c r="E31" s="158"/>
      <c r="F31" s="158"/>
      <c r="G31" s="158"/>
      <c r="H31" s="158"/>
      <c r="I31" s="158"/>
      <c r="J31" s="159">
        <f>J27-J30</f>
        <v>0</v>
      </c>
      <c r="K31" s="202"/>
      <c r="L31" s="159">
        <f>L27-L30</f>
        <v>0</v>
      </c>
      <c r="M31" s="159">
        <f>M27-M30</f>
        <v>0</v>
      </c>
      <c r="BA31" s="161" t="s">
        <v>1677</v>
      </c>
      <c r="BH31" s="95" t="s">
        <v>1678</v>
      </c>
      <c r="BJ31" s="95" t="s">
        <v>1678</v>
      </c>
      <c r="BK31" s="95" t="s">
        <v>1678</v>
      </c>
      <c r="BL31" s="95" t="s">
        <v>1678</v>
      </c>
      <c r="BM31" s="95" t="s">
        <v>1677</v>
      </c>
      <c r="BN31" s="95" t="s">
        <v>1677</v>
      </c>
    </row>
    <row r="32" customHeight="1" collapsed="1" spans="1:77">
      <c r="A32" s="157"/>
      <c r="B32" s="158"/>
      <c r="C32" s="158"/>
      <c r="D32" s="158"/>
      <c r="E32" s="158"/>
      <c r="F32" s="158"/>
      <c r="G32" s="158"/>
      <c r="H32" s="158"/>
      <c r="I32" s="158"/>
    </row>
    <row r="33" customHeight="1" spans="1:9">
      <c r="A33" s="157"/>
      <c r="B33" s="158"/>
      <c r="C33" s="158"/>
      <c r="D33" s="158"/>
      <c r="E33" s="158"/>
      <c r="F33" s="158"/>
      <c r="G33" s="158"/>
      <c r="H33" s="158"/>
      <c r="I33" s="158"/>
    </row>
    <row r="34" customHeight="1" spans="1:9">
      <c r="A34" s="157"/>
      <c r="B34" s="158"/>
      <c r="C34" s="158"/>
      <c r="D34" s="158"/>
      <c r="E34" s="158"/>
      <c r="F34" s="158"/>
      <c r="G34" s="158"/>
      <c r="H34" s="158"/>
      <c r="I34" s="158"/>
    </row>
    <row r="35" customHeight="1" spans="1:9">
      <c r="A35" s="157"/>
      <c r="B35" s="158"/>
      <c r="C35" s="158"/>
      <c r="D35" s="158"/>
      <c r="E35" s="158"/>
      <c r="F35" s="158"/>
      <c r="G35" s="158"/>
      <c r="H35" s="158"/>
      <c r="I35" s="158"/>
    </row>
    <row r="36" customHeight="1" spans="1:9">
      <c r="A36" s="157"/>
      <c r="B36" s="158"/>
      <c r="C36" s="158"/>
      <c r="D36" s="158"/>
      <c r="E36" s="158"/>
      <c r="F36" s="158"/>
      <c r="G36" s="158"/>
      <c r="H36" s="158"/>
      <c r="I36" s="158"/>
    </row>
    <row r="37" customHeight="1" spans="1:9">
      <c r="G37" s="158"/>
      <c r="H37" s="158"/>
      <c r="I37" s="158"/>
    </row>
  </sheetData>
  <sheetProtection autoFilter="0"/>
  <autoFilter xmlns:etc="http://www.wps.cn/officeDocument/2017/etCustomData" ref="A6:BB54" etc:filterBottomFollowUsedRange="0">
    <extLst/>
  </autoFilter>
  <mergeCells count="6">
    <mergeCell ref="A2:N2"/>
    <mergeCell ref="A3:N3"/>
    <mergeCell ref="BW7:BY7"/>
    <mergeCell ref="BW8:BY8"/>
    <mergeCell ref="BX14:BY14"/>
    <mergeCell ref="A27:B27"/>
  </mergeCells>
  <conditionalFormatting sqref="BH7:BH26">
    <cfRule type="expression" dxfId="5" priority="7"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G7:G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6" display="返回索引页"/>
    <hyperlink ref="B1" location="流动负债汇总!B6"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6"/>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3.2"/>
  <cols>
    <col min="1" max="1" width="7.6" style="74" customWidth="1"/>
    <col min="2" max="2" width="30.1" style="75" customWidth="1"/>
    <col min="3" max="3" width="11.2" style="75" customWidth="1"/>
    <col min="4" max="4" width="18" style="75" customWidth="1"/>
    <col min="5" max="6" width="4.6" style="75" customWidth="1" outlineLevel="1"/>
    <col min="7" max="7" width="6.1" style="75" customWidth="1" outlineLevel="1"/>
    <col min="8" max="8" width="20.6" style="75" customWidth="1" outlineLevel="1"/>
    <col min="9" max="9" width="20.6" style="76" customWidth="1" outlineLevel="1"/>
    <col min="10" max="11" width="20.6" style="75" customWidth="1"/>
    <col min="12" max="12" width="16.2" style="75" customWidth="1"/>
    <col min="13"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5" width="4.7" style="165" customWidth="1"/>
    <col min="66" max="66" width="6.7" style="16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3.8" spans="1:77">
      <c r="A1" s="273" t="s">
        <v>1591</v>
      </c>
      <c r="B1" s="80" t="s">
        <v>1592</v>
      </c>
      <c r="C1" s="81"/>
      <c r="D1" s="81"/>
      <c r="E1" s="82"/>
      <c r="F1" s="82"/>
      <c r="G1" s="82"/>
      <c r="H1" s="81"/>
      <c r="I1" s="83"/>
      <c r="J1" s="81"/>
      <c r="K1" s="81"/>
      <c r="L1" s="81"/>
      <c r="BA1" s="84" t="str">
        <f>参数表!BA1</f>
        <v>注意：补充特殊事项、作价等均从BA列开始填写</v>
      </c>
      <c r="BB1" s="85"/>
      <c r="BC1" s="86"/>
      <c r="BD1" s="86"/>
      <c r="BE1" s="86"/>
      <c r="BF1" s="86"/>
      <c r="BG1" s="86"/>
      <c r="BH1" s="82"/>
      <c r="BI1" s="86"/>
      <c r="BJ1" s="82"/>
      <c r="BK1" s="82"/>
      <c r="BL1" s="168"/>
      <c r="BM1" s="168"/>
      <c r="BN1" s="168"/>
      <c r="BQ1" s="87"/>
      <c r="BR1" s="88"/>
      <c r="BS1" s="87"/>
      <c r="BT1" s="88"/>
      <c r="BU1" s="88"/>
      <c r="BV1" s="88"/>
      <c r="BW1" s="88"/>
      <c r="BX1" s="88"/>
      <c r="BY1" s="87"/>
    </row>
    <row r="2" s="71" customFormat="1" ht="30" customHeight="1" spans="1:77">
      <c r="A2" s="89" t="s">
        <v>5070</v>
      </c>
      <c r="B2" s="89"/>
      <c r="C2" s="89"/>
      <c r="D2" s="89"/>
      <c r="E2" s="89"/>
      <c r="F2" s="89"/>
      <c r="G2" s="89"/>
      <c r="H2" s="89"/>
      <c r="I2" s="89"/>
      <c r="J2" s="89"/>
      <c r="K2" s="89"/>
      <c r="L2" s="89"/>
      <c r="BA2" s="90" t="str">
        <f>参数表!BA2</f>
        <v>评估基准日：</v>
      </c>
      <c r="BB2" s="91" t="str">
        <f>参数表!$BB$2</f>
        <v>2025年7月31日</v>
      </c>
      <c r="BH2" s="171"/>
      <c r="BJ2" s="171"/>
      <c r="BK2" s="171"/>
      <c r="BL2" s="171"/>
      <c r="BM2" s="171"/>
      <c r="BN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BA3" s="90" t="str">
        <f>参数表!BA3</f>
        <v>是否显示评估值：</v>
      </c>
      <c r="BB3" s="90" t="str">
        <f>参数表!$BB$3</f>
        <v>是</v>
      </c>
      <c r="BS3" s="78"/>
    </row>
    <row r="4" ht="15" customHeight="1" spans="1:77">
      <c r="A4" s="96"/>
      <c r="B4" s="94"/>
      <c r="C4" s="94"/>
      <c r="D4" s="94"/>
      <c r="E4" s="94"/>
      <c r="F4" s="94"/>
      <c r="G4" s="94"/>
      <c r="H4" s="94"/>
      <c r="I4" s="97"/>
      <c r="J4" s="94"/>
      <c r="K4" s="94"/>
      <c r="L4" s="98" t="str">
        <f>"表"&amp;$BA4</f>
        <v>表5-2</v>
      </c>
      <c r="BA4" s="274" t="str">
        <f>流动负总!A8</f>
        <v>5-2</v>
      </c>
      <c r="BB4" s="100">
        <f>MAX(COUNTA(A7:A26),COUNTA(B7:B26),COUNTA(H7:H26),COUNTA(J7:J26))</f>
        <v>20</v>
      </c>
      <c r="BC4" s="101">
        <f>ROW(A6)+1</f>
        <v>7</v>
      </c>
      <c r="BD4" s="77"/>
      <c r="BE4" s="77"/>
      <c r="BS4" s="78"/>
    </row>
    <row r="5" ht="15" customHeight="1" spans="1:77">
      <c r="A5" s="102" t="str">
        <f>参数表!F3</f>
        <v>产权持有单位:中煤第五建设有限公司</v>
      </c>
      <c r="B5" s="103"/>
      <c r="C5" s="103"/>
      <c r="D5" s="103"/>
      <c r="E5" s="103"/>
      <c r="F5" s="103"/>
      <c r="G5" s="103"/>
      <c r="H5" s="103"/>
      <c r="I5" s="104"/>
      <c r="J5" s="103"/>
      <c r="K5" s="103"/>
      <c r="L5" s="98" t="s">
        <v>236</v>
      </c>
      <c r="BA5" s="103"/>
      <c r="BB5" s="105" t="str">
        <f ca="1">判断表!C99</f>
        <v>中煤第五建设有限公司第三工程处拟处置实物资产项目\[0000-3基础法明细表.xlsx]公允计量金负</v>
      </c>
      <c r="BC5" s="106">
        <f>IFERROR(SUMIF(BC7:BC26,"√",J7:J26)/J27,0)</f>
        <v>0</v>
      </c>
      <c r="BD5" s="107"/>
      <c r="BE5" s="107"/>
      <c r="BF5" s="108">
        <f>分类汇总!I46</f>
        <v>0</v>
      </c>
      <c r="BG5" s="108">
        <f>分类汇总!K46</f>
        <v>0</v>
      </c>
      <c r="BH5" s="109"/>
      <c r="BI5" s="109"/>
      <c r="BJ5" s="109"/>
      <c r="BK5" s="109"/>
      <c r="BL5" s="109"/>
      <c r="BM5" s="109"/>
      <c r="BN5" s="109"/>
      <c r="BO5" s="110"/>
      <c r="BP5" s="110"/>
      <c r="BQ5" s="111"/>
      <c r="BS5" s="78"/>
      <c r="BY5" s="111"/>
    </row>
    <row r="6" s="72" customFormat="1" ht="25.2" customHeight="1" spans="1:77">
      <c r="A6" s="112" t="s">
        <v>305</v>
      </c>
      <c r="B6" s="113" t="s">
        <v>1897</v>
      </c>
      <c r="C6" s="113" t="s">
        <v>1961</v>
      </c>
      <c r="D6" s="113" t="s">
        <v>1898</v>
      </c>
      <c r="E6" s="114" t="s">
        <v>1631</v>
      </c>
      <c r="F6" s="115" t="s">
        <v>1632</v>
      </c>
      <c r="G6" s="116" t="s">
        <v>3793</v>
      </c>
      <c r="H6" s="113" t="s">
        <v>1549</v>
      </c>
      <c r="I6" s="117" t="s">
        <v>1634</v>
      </c>
      <c r="J6" s="118" t="s">
        <v>1523</v>
      </c>
      <c r="K6" s="113" t="s">
        <v>1550</v>
      </c>
      <c r="L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6"/>
      <c r="E7" s="127"/>
      <c r="F7" s="127" t="str">
        <f>IFERROR(VLOOKUP(E7,参数表!$H$2:$I$50,2,FALSE),"")</f>
        <v/>
      </c>
      <c r="G7" s="128" t="str">
        <f>IFERROR(IF(OR(E7="人民币",E7=""),"",J7/F7),"")</f>
        <v/>
      </c>
      <c r="H7" s="129"/>
      <c r="I7" s="130"/>
      <c r="J7" s="129" t="str">
        <f>IF(B7="","",H7+I7)</f>
        <v/>
      </c>
      <c r="K7" s="129" t="str">
        <f t="shared" ref="K7:K26" si="0">IF(B7="","",IF($BB$3="是",J7,""))</f>
        <v/>
      </c>
      <c r="L7" s="131"/>
      <c r="BA7" s="78"/>
      <c r="BB7" s="132" t="s">
        <v>5071</v>
      </c>
      <c r="BC7" s="133"/>
      <c r="BD7" s="132" t="str">
        <f>IF(OR(B7="",BC7=""),"",COUNTIF(BC$7:BC7,"√"))</f>
        <v/>
      </c>
      <c r="BE7" s="134" t="str">
        <f t="shared" ref="BE7:BE26" si="1">IF(BC7="","",BB7&amp;"︱"&amp;B7&amp;"︱"&amp;TEXT(H7,"#,##0.00"))</f>
        <v/>
      </c>
      <c r="BF7" s="135" t="str">
        <f>IF($B7="","",IF(BF$5=0,"OK","出错"))</f>
        <v/>
      </c>
      <c r="BG7" s="135" t="str">
        <f>IF($B7="","",IF(BG$5=0,"OK","出错"))</f>
        <v/>
      </c>
      <c r="BH7" s="136"/>
      <c r="BI7" s="137"/>
      <c r="BJ7" s="136"/>
      <c r="BK7" s="136"/>
      <c r="BL7" s="136"/>
      <c r="BM7" s="136"/>
      <c r="BN7" s="136"/>
      <c r="BO7" s="137"/>
      <c r="BP7" s="137"/>
      <c r="BR7" s="134" t="str">
        <f>IF(COUNTIF(BR$6:BR6,D7)&gt;0,"",D7)&amp;""</f>
        <v/>
      </c>
      <c r="BS7" s="138">
        <f>SUMIF(D$7:D$26,BR7,J$7:J$26)</f>
        <v>0</v>
      </c>
      <c r="BT7" s="132">
        <f t="shared" ref="BT7" si="2">RANK(BS7,BS$7:BS$26)</f>
        <v>1</v>
      </c>
      <c r="BU7" s="138">
        <f>SUMIF(D$7:D$26,BR7,K$7:K$26)</f>
        <v>0</v>
      </c>
      <c r="BV7" s="132">
        <f>RANK(BU7,BU$7:BU$26)</f>
        <v>1</v>
      </c>
      <c r="BW7" s="138">
        <f>SUM(BS7:BS26)</f>
        <v>0</v>
      </c>
      <c r="BX7" s="138"/>
      <c r="BY7" s="138"/>
    </row>
    <row r="8" ht="15" customHeight="1" spans="1:77">
      <c r="A8" s="123" t="str">
        <f>IF(B8="","",COUNT(A$6:A7)+1)</f>
        <v/>
      </c>
      <c r="B8" s="139"/>
      <c r="C8" s="140"/>
      <c r="D8" s="141"/>
      <c r="E8" s="142"/>
      <c r="F8" s="127" t="str">
        <f>IFERROR(VLOOKUP(E8,参数表!$H$2:$I$50,2,FALSE),"")</f>
        <v/>
      </c>
      <c r="G8" s="128" t="str">
        <f t="shared" ref="G8:G26" si="3">IFERROR(IF(OR(E8="人民币",E8=""),"",J8/F8),"")</f>
        <v/>
      </c>
      <c r="H8" s="143"/>
      <c r="I8" s="144"/>
      <c r="J8" s="129" t="str">
        <f t="shared" ref="J8:J26" si="4">IF(B8="","",H8+I8)</f>
        <v/>
      </c>
      <c r="K8" s="129" t="str">
        <f t="shared" si="0"/>
        <v/>
      </c>
      <c r="L8" s="145"/>
      <c r="BA8" s="78"/>
      <c r="BB8" s="132" t="s">
        <v>5072</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R8" s="134" t="str">
        <f>IF(COUNTIF(BR$6:BR7,D8)&gt;0,"",D8)&amp;""</f>
        <v/>
      </c>
      <c r="BS8" s="138">
        <f t="shared" ref="BS8:BS26" si="6">SUMIF(D$7:D$26,BR8,J$7:J$26)</f>
        <v>0</v>
      </c>
      <c r="BT8" s="132">
        <f t="shared" ref="BT8:BT26" si="7">RANK(BS8,BS$7:BS$26)</f>
        <v>1</v>
      </c>
      <c r="BU8" s="138">
        <f t="shared" ref="BU8:BU26" si="8">SUMIF(D$7:D$26,BR8,K$7:K$26)</f>
        <v>0</v>
      </c>
      <c r="BV8" s="132">
        <f t="shared" ref="BV8:BV26" si="9">RANK(BU8,BU$7:BU$26)</f>
        <v>1</v>
      </c>
      <c r="BW8" s="138">
        <f>SUM(BU7:BU26)</f>
        <v>0</v>
      </c>
      <c r="BX8" s="138"/>
      <c r="BY8" s="138"/>
    </row>
    <row r="9" ht="15" customHeight="1" spans="1:77">
      <c r="A9" s="123" t="str">
        <f>IF(B9="","",COUNT(A$6:A8)+1)</f>
        <v/>
      </c>
      <c r="B9" s="139"/>
      <c r="C9" s="140"/>
      <c r="D9" s="141"/>
      <c r="E9" s="142"/>
      <c r="F9" s="127" t="str">
        <f>IFERROR(VLOOKUP(E9,参数表!$H$2:$I$50,2,FALSE),"")</f>
        <v/>
      </c>
      <c r="G9" s="128" t="str">
        <f t="shared" si="3"/>
        <v/>
      </c>
      <c r="H9" s="143"/>
      <c r="I9" s="144"/>
      <c r="J9" s="129" t="str">
        <f t="shared" si="4"/>
        <v/>
      </c>
      <c r="K9" s="129" t="str">
        <f t="shared" si="0"/>
        <v/>
      </c>
      <c r="L9" s="145"/>
      <c r="BA9" s="78"/>
      <c r="BB9" s="132" t="s">
        <v>5073</v>
      </c>
      <c r="BC9" s="133"/>
      <c r="BD9" s="132" t="str">
        <f>IF(OR(B9="",BC9=""),"",COUNTIF(BC$7:BC9,"√"))</f>
        <v/>
      </c>
      <c r="BE9" s="134" t="str">
        <f t="shared" si="1"/>
        <v/>
      </c>
      <c r="BF9" s="135" t="str">
        <f t="shared" si="5"/>
        <v/>
      </c>
      <c r="BG9" s="135" t="str">
        <f t="shared" si="5"/>
        <v/>
      </c>
      <c r="BH9" s="136"/>
      <c r="BI9" s="137"/>
      <c r="BJ9" s="136"/>
      <c r="BK9" s="136"/>
      <c r="BL9" s="136"/>
      <c r="BM9" s="136"/>
      <c r="BN9" s="136"/>
      <c r="BO9" s="137"/>
      <c r="BP9" s="137"/>
      <c r="BR9" s="134" t="str">
        <f>IF(COUNTIF(BR$6:BR8,D9)&gt;0,"",D9)&amp;""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1"/>
      <c r="E10" s="142"/>
      <c r="F10" s="127" t="str">
        <f>IFERROR(VLOOKUP(E10,参数表!$H$2:$I$50,2,FALSE),"")</f>
        <v/>
      </c>
      <c r="G10" s="128" t="str">
        <f t="shared" si="3"/>
        <v/>
      </c>
      <c r="H10" s="143"/>
      <c r="I10" s="144"/>
      <c r="J10" s="129" t="str">
        <f t="shared" si="4"/>
        <v/>
      </c>
      <c r="K10" s="129" t="str">
        <f t="shared" si="0"/>
        <v/>
      </c>
      <c r="L10" s="145"/>
      <c r="BA10" s="78"/>
      <c r="BB10" s="132" t="s">
        <v>5074</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R10" s="134" t="str">
        <f>IF(COUNTIF(BR$6:BR9,D10)&gt;0,"",D10)&amp;""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1"/>
      <c r="E11" s="142"/>
      <c r="F11" s="127" t="str">
        <f>IFERROR(VLOOKUP(E11,参数表!$H$2:$I$50,2,FALSE),"")</f>
        <v/>
      </c>
      <c r="G11" s="128" t="str">
        <f t="shared" si="3"/>
        <v/>
      </c>
      <c r="H11" s="143"/>
      <c r="I11" s="144"/>
      <c r="J11" s="129" t="str">
        <f t="shared" si="4"/>
        <v/>
      </c>
      <c r="K11" s="129" t="str">
        <f t="shared" si="0"/>
        <v/>
      </c>
      <c r="L11" s="145"/>
      <c r="BA11" s="78"/>
      <c r="BB11" s="132" t="s">
        <v>5075</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R11" s="134" t="str">
        <f>IF(COUNTIF(BR$6:BR10,D11)&gt;0,"",D11)&amp;""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1"/>
      <c r="E12" s="142"/>
      <c r="F12" s="127" t="str">
        <f>IFERROR(VLOOKUP(E12,参数表!$H$2:$I$50,2,FALSE),"")</f>
        <v/>
      </c>
      <c r="G12" s="128" t="str">
        <f t="shared" si="3"/>
        <v/>
      </c>
      <c r="H12" s="143"/>
      <c r="I12" s="144"/>
      <c r="J12" s="129" t="str">
        <f t="shared" si="4"/>
        <v/>
      </c>
      <c r="K12" s="129" t="str">
        <f t="shared" si="0"/>
        <v/>
      </c>
      <c r="L12" s="145"/>
      <c r="BA12" s="78"/>
      <c r="BB12" s="132" t="s">
        <v>5076</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R12" s="134" t="str">
        <f>IF(COUNTIF(BR$6:BR11,D12)&gt;0,"",D12)&amp;""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1"/>
      <c r="E13" s="142"/>
      <c r="F13" s="127" t="str">
        <f>IFERROR(VLOOKUP(E13,参数表!$H$2:$I$50,2,FALSE),"")</f>
        <v/>
      </c>
      <c r="G13" s="128" t="str">
        <f t="shared" si="3"/>
        <v/>
      </c>
      <c r="H13" s="143"/>
      <c r="I13" s="144"/>
      <c r="J13" s="129" t="str">
        <f t="shared" si="4"/>
        <v/>
      </c>
      <c r="K13" s="129" t="str">
        <f t="shared" si="0"/>
        <v/>
      </c>
      <c r="L13" s="145"/>
      <c r="BA13" s="78"/>
      <c r="BB13" s="132" t="s">
        <v>5077</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R13" s="134" t="str">
        <f>IF(COUNTIF(BR$6:BR12,D13)&gt;0,"",D13)&amp;""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1"/>
      <c r="E14" s="142"/>
      <c r="F14" s="127" t="str">
        <f>IFERROR(VLOOKUP(E14,参数表!$H$2:$I$50,2,FALSE),"")</f>
        <v/>
      </c>
      <c r="G14" s="128" t="str">
        <f t="shared" si="3"/>
        <v/>
      </c>
      <c r="H14" s="143"/>
      <c r="I14" s="144"/>
      <c r="J14" s="129" t="str">
        <f t="shared" si="4"/>
        <v/>
      </c>
      <c r="K14" s="129" t="str">
        <f t="shared" si="0"/>
        <v/>
      </c>
      <c r="L14" s="145"/>
      <c r="BA14" s="78"/>
      <c r="BB14" s="132" t="s">
        <v>5078</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R14" s="134" t="str">
        <f>IF(COUNTIF(BR$6:BR13,D14)&gt;0,"",D14)&amp;""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1"/>
      <c r="E15" s="142"/>
      <c r="F15" s="127" t="str">
        <f>IFERROR(VLOOKUP(E15,参数表!$H$2:$I$50,2,FALSE),"")</f>
        <v/>
      </c>
      <c r="G15" s="128" t="str">
        <f t="shared" si="3"/>
        <v/>
      </c>
      <c r="H15" s="143"/>
      <c r="I15" s="144"/>
      <c r="J15" s="129" t="str">
        <f t="shared" si="4"/>
        <v/>
      </c>
      <c r="K15" s="129" t="str">
        <f t="shared" si="0"/>
        <v/>
      </c>
      <c r="L15" s="145"/>
      <c r="BA15" s="78"/>
      <c r="BB15" s="132" t="s">
        <v>5079</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R15" s="134" t="str">
        <f>IF(COUNTIF(BR$6:BR14,D15)&gt;0,"",D15)&amp;""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1"/>
      <c r="E16" s="142"/>
      <c r="F16" s="127" t="str">
        <f>IFERROR(VLOOKUP(E16,参数表!$H$2:$I$50,2,FALSE),"")</f>
        <v/>
      </c>
      <c r="G16" s="128" t="str">
        <f t="shared" si="3"/>
        <v/>
      </c>
      <c r="H16" s="143"/>
      <c r="I16" s="144"/>
      <c r="J16" s="129" t="str">
        <f t="shared" si="4"/>
        <v/>
      </c>
      <c r="K16" s="129" t="str">
        <f t="shared" si="0"/>
        <v/>
      </c>
      <c r="L16" s="145"/>
      <c r="BA16" s="78"/>
      <c r="BB16" s="132" t="s">
        <v>5080</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R16" s="134" t="str">
        <f>IF(COUNTIF(BR$6:BR15,D16)&gt;0,"",D16)&amp;""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1"/>
      <c r="E17" s="142"/>
      <c r="F17" s="127" t="str">
        <f>IFERROR(VLOOKUP(E17,参数表!$H$2:$I$50,2,FALSE),"")</f>
        <v/>
      </c>
      <c r="G17" s="128" t="str">
        <f t="shared" si="3"/>
        <v/>
      </c>
      <c r="H17" s="143"/>
      <c r="I17" s="144"/>
      <c r="J17" s="129" t="str">
        <f t="shared" si="4"/>
        <v/>
      </c>
      <c r="K17" s="129" t="str">
        <f t="shared" si="0"/>
        <v/>
      </c>
      <c r="L17" s="145"/>
      <c r="BA17" s="78"/>
      <c r="BB17" s="132" t="s">
        <v>5081</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R17" s="134" t="str">
        <f>IF(COUNTIF(BR$6:BR16,D17)&gt;0,"",D17)&amp;""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1"/>
      <c r="E18" s="142"/>
      <c r="F18" s="127" t="str">
        <f>IFERROR(VLOOKUP(E18,参数表!$H$2:$I$50,2,FALSE),"")</f>
        <v/>
      </c>
      <c r="G18" s="128" t="str">
        <f t="shared" si="3"/>
        <v/>
      </c>
      <c r="H18" s="143"/>
      <c r="I18" s="144"/>
      <c r="J18" s="129" t="str">
        <f t="shared" si="4"/>
        <v/>
      </c>
      <c r="K18" s="129" t="str">
        <f t="shared" si="0"/>
        <v/>
      </c>
      <c r="L18" s="145"/>
      <c r="BA18" s="78"/>
      <c r="BB18" s="132" t="s">
        <v>5082</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R18" s="134" t="str">
        <f>IF(COUNTIF(BR$6:BR17,D18)&gt;0,"",D18)&amp;""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1"/>
      <c r="E19" s="142"/>
      <c r="F19" s="127" t="str">
        <f>IFERROR(VLOOKUP(E19,参数表!$H$2:$I$50,2,FALSE),"")</f>
        <v/>
      </c>
      <c r="G19" s="128" t="str">
        <f t="shared" si="3"/>
        <v/>
      </c>
      <c r="H19" s="143"/>
      <c r="I19" s="144"/>
      <c r="J19" s="129" t="str">
        <f t="shared" si="4"/>
        <v/>
      </c>
      <c r="K19" s="129" t="str">
        <f t="shared" si="0"/>
        <v/>
      </c>
      <c r="L19" s="145"/>
      <c r="BA19" s="78"/>
      <c r="BB19" s="132" t="s">
        <v>5083</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R19" s="134" t="str">
        <f>IF(COUNTIF(BR$6:BR18,D19)&gt;0,"",D19)&amp;""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1"/>
      <c r="E20" s="142"/>
      <c r="F20" s="127" t="str">
        <f>IFERROR(VLOOKUP(E20,参数表!$H$2:$I$50,2,FALSE),"")</f>
        <v/>
      </c>
      <c r="G20" s="128" t="str">
        <f t="shared" si="3"/>
        <v/>
      </c>
      <c r="H20" s="143"/>
      <c r="I20" s="144"/>
      <c r="J20" s="129" t="str">
        <f t="shared" si="4"/>
        <v/>
      </c>
      <c r="K20" s="129" t="str">
        <f t="shared" si="0"/>
        <v/>
      </c>
      <c r="L20" s="145"/>
      <c r="BA20" s="78"/>
      <c r="BB20" s="132" t="s">
        <v>5084</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R20" s="134" t="str">
        <f>IF(COUNTIF(BR$6:BR19,D20)&gt;0,"",D20)&amp;""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1"/>
      <c r="E21" s="142"/>
      <c r="F21" s="127" t="str">
        <f>IFERROR(VLOOKUP(E21,参数表!$H$2:$I$50,2,FALSE),"")</f>
        <v/>
      </c>
      <c r="G21" s="128" t="str">
        <f t="shared" si="3"/>
        <v/>
      </c>
      <c r="H21" s="143"/>
      <c r="I21" s="144"/>
      <c r="J21" s="129" t="str">
        <f t="shared" si="4"/>
        <v/>
      </c>
      <c r="K21" s="129" t="str">
        <f t="shared" si="0"/>
        <v/>
      </c>
      <c r="L21" s="145"/>
      <c r="BA21" s="78"/>
      <c r="BB21" s="132" t="s">
        <v>5085</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R21" s="134" t="str">
        <f>IF(COUNTIF(BR$6:BR20,D21)&gt;0,"",D21)&amp;""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1"/>
      <c r="E22" s="142"/>
      <c r="F22" s="127" t="str">
        <f>IFERROR(VLOOKUP(E22,参数表!$H$2:$I$50,2,FALSE),"")</f>
        <v/>
      </c>
      <c r="G22" s="128" t="str">
        <f t="shared" si="3"/>
        <v/>
      </c>
      <c r="H22" s="143"/>
      <c r="I22" s="144"/>
      <c r="J22" s="129" t="str">
        <f t="shared" si="4"/>
        <v/>
      </c>
      <c r="K22" s="129" t="str">
        <f t="shared" si="0"/>
        <v/>
      </c>
      <c r="L22" s="145"/>
      <c r="BA22" s="78"/>
      <c r="BB22" s="132" t="s">
        <v>5086</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R22" s="134" t="str">
        <f>IF(COUNTIF(BR$6:BR21,D22)&gt;0,"",D22)&amp;""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1"/>
      <c r="E23" s="142"/>
      <c r="F23" s="127" t="str">
        <f>IFERROR(VLOOKUP(E23,参数表!$H$2:$I$50,2,FALSE),"")</f>
        <v/>
      </c>
      <c r="G23" s="128" t="str">
        <f t="shared" si="3"/>
        <v/>
      </c>
      <c r="H23" s="143"/>
      <c r="I23" s="144"/>
      <c r="J23" s="129" t="str">
        <f t="shared" si="4"/>
        <v/>
      </c>
      <c r="K23" s="129" t="str">
        <f t="shared" si="0"/>
        <v/>
      </c>
      <c r="L23" s="145"/>
      <c r="BA23" s="78"/>
      <c r="BB23" s="132" t="s">
        <v>5087</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R23" s="134" t="str">
        <f>IF(COUNTIF(BR$6:BR22,D23)&gt;0,"",D23)&amp;""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1"/>
      <c r="E24" s="142"/>
      <c r="F24" s="127" t="str">
        <f>IFERROR(VLOOKUP(E24,参数表!$H$2:$I$50,2,FALSE),"")</f>
        <v/>
      </c>
      <c r="G24" s="128" t="str">
        <f t="shared" si="3"/>
        <v/>
      </c>
      <c r="H24" s="143"/>
      <c r="I24" s="144"/>
      <c r="J24" s="129" t="str">
        <f t="shared" si="4"/>
        <v/>
      </c>
      <c r="K24" s="129" t="str">
        <f t="shared" si="0"/>
        <v/>
      </c>
      <c r="L24" s="145"/>
      <c r="BA24" s="78"/>
      <c r="BB24" s="132" t="s">
        <v>5088</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R24" s="134" t="str">
        <f>IF(COUNTIF(BR$6:BR23,D24)&gt;0,"",D24)&amp;""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1"/>
      <c r="E25" s="142"/>
      <c r="F25" s="127" t="str">
        <f>IFERROR(VLOOKUP(E25,参数表!$H$2:$I$50,2,FALSE),"")</f>
        <v/>
      </c>
      <c r="G25" s="128" t="str">
        <f t="shared" si="3"/>
        <v/>
      </c>
      <c r="H25" s="143"/>
      <c r="I25" s="144"/>
      <c r="J25" s="129" t="str">
        <f t="shared" si="4"/>
        <v/>
      </c>
      <c r="K25" s="129" t="str">
        <f t="shared" si="0"/>
        <v/>
      </c>
      <c r="L25" s="145"/>
      <c r="BA25" s="78"/>
      <c r="BB25" s="132" t="s">
        <v>5089</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R25" s="134" t="str">
        <f>IF(COUNTIF(BR$6:BR24,D25)&gt;0,"",D25)&amp;""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6"/>
      <c r="E26" s="127"/>
      <c r="F26" s="127" t="str">
        <f>IFERROR(VLOOKUP(E26,参数表!$H$2:$I$50,2,FALSE),"")</f>
        <v/>
      </c>
      <c r="G26" s="128" t="str">
        <f t="shared" si="3"/>
        <v/>
      </c>
      <c r="H26" s="129"/>
      <c r="I26" s="130"/>
      <c r="J26" s="129" t="str">
        <f t="shared" si="4"/>
        <v/>
      </c>
      <c r="K26" s="129" t="str">
        <f t="shared" si="0"/>
        <v/>
      </c>
      <c r="L26" s="131"/>
      <c r="BA26" s="78"/>
      <c r="BB26" s="132" t="s">
        <v>5090</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R26" s="134" t="str">
        <f>IF(COUNTIF(BR$6:BR25,D26)&gt;0,"",D26)&amp;""</f>
        <v/>
      </c>
      <c r="BS26" s="138">
        <f t="shared" si="6"/>
        <v>0</v>
      </c>
      <c r="BT26" s="132">
        <f t="shared" si="7"/>
        <v>1</v>
      </c>
      <c r="BU26" s="138">
        <f t="shared" si="8"/>
        <v>0</v>
      </c>
      <c r="BV26" s="132">
        <f t="shared" si="9"/>
        <v>1</v>
      </c>
      <c r="BW26" s="133"/>
      <c r="BX26" s="133"/>
    </row>
    <row r="27" s="73" customFormat="1" ht="15" customHeight="1" spans="1:77">
      <c r="A27" s="149" t="s">
        <v>5091</v>
      </c>
      <c r="B27" s="149"/>
      <c r="C27" s="150"/>
      <c r="D27" s="149"/>
      <c r="E27" s="151"/>
      <c r="F27" s="151"/>
      <c r="G27" s="151"/>
      <c r="H27" s="152">
        <f>SUM(H7:H26)</f>
        <v>0</v>
      </c>
      <c r="I27" s="153"/>
      <c r="J27" s="152">
        <f>SUM(J7:J26)</f>
        <v>0</v>
      </c>
      <c r="K27" s="152">
        <f>SUM(K7:K26)</f>
        <v>0</v>
      </c>
      <c r="L27" s="151"/>
      <c r="BF27" s="75"/>
      <c r="BG27" s="75"/>
      <c r="BH27" s="165"/>
      <c r="BI27" s="75"/>
      <c r="BJ27" s="165"/>
      <c r="BK27" s="165"/>
      <c r="BL27" s="165"/>
      <c r="BM27" s="165"/>
      <c r="BN27" s="165"/>
      <c r="BO27" s="75"/>
      <c r="BP27" s="75"/>
      <c r="BQ27" s="111"/>
      <c r="BR27" s="119"/>
      <c r="BS27" s="77"/>
      <c r="BT27" s="77"/>
      <c r="BU27" s="77"/>
      <c r="BV27" s="119"/>
      <c r="BW27" s="119"/>
      <c r="BX27" s="119"/>
      <c r="BY27" s="111"/>
    </row>
    <row r="28" ht="15.75" customHeight="1" spans="1:77">
      <c r="A28" s="102" t="str">
        <f>参数表!F$6</f>
        <v>产权持有单位填表人：贾广东</v>
      </c>
      <c r="B28" s="154"/>
      <c r="C28" s="154"/>
      <c r="D28" s="154"/>
      <c r="E28" s="154"/>
      <c r="F28" s="154"/>
      <c r="G28" s="154"/>
      <c r="H28" s="154"/>
      <c r="I28" s="155"/>
      <c r="J28" s="103"/>
      <c r="K28" s="156" t="str">
        <f>"评估人员："&amp;封面!$G$38</f>
        <v>评估人员：</v>
      </c>
      <c r="L28" s="103"/>
    </row>
    <row r="29" ht="15.75" customHeight="1" spans="1:77">
      <c r="A29" s="102" t="str">
        <f>参数表!F$7</f>
        <v>填表日期：2025年9月20日</v>
      </c>
      <c r="B29" s="154"/>
      <c r="C29" s="154"/>
      <c r="D29" s="154"/>
      <c r="E29" s="154"/>
      <c r="F29" s="154"/>
      <c r="G29" s="154"/>
      <c r="H29" s="154"/>
      <c r="I29" s="155"/>
      <c r="J29" s="103"/>
      <c r="K29" s="103"/>
      <c r="L29" s="103"/>
    </row>
    <row r="30" ht="15.75" hidden="1" customHeight="1" outlineLevel="1" spans="1:77">
      <c r="A30" s="157"/>
      <c r="B30" s="154" t="s">
        <v>1673</v>
      </c>
      <c r="C30" s="158"/>
      <c r="D30" s="158"/>
      <c r="E30" s="158"/>
      <c r="F30" s="158"/>
      <c r="G30" s="158"/>
      <c r="H30" s="159">
        <f>SUMIF($BA7:$BA26,$BA30,H7:H26)</f>
        <v>0</v>
      </c>
      <c r="I30" s="160"/>
      <c r="J30" s="159">
        <f>SUMIF($BA7:$BA26,$BA30,J7:J26)</f>
        <v>0</v>
      </c>
      <c r="K30" s="159">
        <f>SUMIF($BA7:$BA26,$BA30,K7:K26)</f>
        <v>0</v>
      </c>
      <c r="BA30" s="161" t="s">
        <v>1674</v>
      </c>
      <c r="BH30" s="95" t="s">
        <v>1675</v>
      </c>
      <c r="BJ30" s="95" t="s">
        <v>1675</v>
      </c>
      <c r="BK30" s="95" t="s">
        <v>1675</v>
      </c>
      <c r="BL30" s="95" t="s">
        <v>1675</v>
      </c>
      <c r="BM30" s="95" t="s">
        <v>1674</v>
      </c>
      <c r="BN30" s="95" t="s">
        <v>1674</v>
      </c>
    </row>
    <row r="31" ht="15.75" hidden="1" customHeight="1" outlineLevel="1" spans="1:77">
      <c r="A31" s="157"/>
      <c r="B31" s="154" t="s">
        <v>1676</v>
      </c>
      <c r="C31" s="158"/>
      <c r="D31" s="158"/>
      <c r="E31" s="158"/>
      <c r="F31" s="158"/>
      <c r="G31" s="158"/>
      <c r="H31" s="159">
        <f>H27-H30</f>
        <v>0</v>
      </c>
      <c r="I31" s="160"/>
      <c r="J31" s="159">
        <f>J27-J30</f>
        <v>0</v>
      </c>
      <c r="K31" s="159">
        <f>K27-K30</f>
        <v>0</v>
      </c>
      <c r="BA31" s="161" t="s">
        <v>1677</v>
      </c>
      <c r="BH31" s="95" t="s">
        <v>1678</v>
      </c>
      <c r="BJ31" s="95" t="s">
        <v>1678</v>
      </c>
      <c r="BK31" s="95" t="s">
        <v>1678</v>
      </c>
      <c r="BL31" s="95" t="s">
        <v>1678</v>
      </c>
      <c r="BM31" s="95" t="s">
        <v>1677</v>
      </c>
      <c r="BN31" s="95" t="s">
        <v>1677</v>
      </c>
    </row>
    <row r="32" ht="15.75" customHeight="1" collapsed="1" spans="1:77">
      <c r="A32" s="157"/>
      <c r="B32" s="158"/>
      <c r="C32" s="158"/>
      <c r="D32" s="158"/>
      <c r="E32" s="158"/>
      <c r="F32" s="158"/>
      <c r="G32" s="158"/>
      <c r="H32" s="158"/>
      <c r="I32" s="164"/>
    </row>
    <row r="33" ht="15.75" customHeight="1" spans="1:9">
      <c r="A33" s="157"/>
      <c r="B33" s="158"/>
      <c r="C33" s="158"/>
      <c r="D33" s="158"/>
      <c r="E33" s="158"/>
      <c r="F33" s="158"/>
      <c r="G33" s="158"/>
      <c r="H33" s="158"/>
      <c r="I33" s="164"/>
    </row>
    <row r="34" ht="15.75" customHeight="1" spans="1:9">
      <c r="A34" s="157"/>
      <c r="B34" s="158"/>
      <c r="C34" s="158"/>
      <c r="D34" s="158"/>
      <c r="E34" s="158"/>
      <c r="F34" s="158"/>
      <c r="G34" s="158"/>
      <c r="H34" s="158"/>
      <c r="I34" s="164"/>
    </row>
    <row r="35" ht="15.75" customHeight="1" spans="1:9">
      <c r="A35" s="157"/>
      <c r="B35" s="158"/>
      <c r="C35" s="158"/>
      <c r="D35" s="158"/>
      <c r="E35" s="158"/>
      <c r="F35" s="158"/>
      <c r="G35" s="158"/>
      <c r="H35" s="158"/>
      <c r="I35" s="164"/>
    </row>
    <row r="36" ht="15.75" customHeight="1" spans="1:9">
      <c r="A36" s="157"/>
      <c r="B36" s="158"/>
      <c r="C36" s="158"/>
      <c r="D36" s="158"/>
      <c r="E36" s="158"/>
      <c r="F36" s="158"/>
      <c r="G36" s="158"/>
      <c r="H36" s="158"/>
      <c r="I36" s="164"/>
    </row>
    <row r="37" spans="1:9">
      <c r="E37" s="158"/>
      <c r="F37" s="158"/>
      <c r="G37" s="158"/>
    </row>
  </sheetData>
  <sheetProtection autoFilter="0"/>
  <mergeCells count="6">
    <mergeCell ref="A2:L2"/>
    <mergeCell ref="A3:L3"/>
    <mergeCell ref="BW7:BY7"/>
    <mergeCell ref="BW8:BY8"/>
    <mergeCell ref="BX14:BY14"/>
    <mergeCell ref="A27:B27"/>
  </mergeCells>
  <conditionalFormatting sqref="BH7:BH26">
    <cfRule type="expression" dxfId="5" priority="7"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fRule type="containsText" priority="2"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7" display="返回索引页"/>
    <hyperlink ref="B1" location="流动负债汇总!B7"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7"/>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0.1" style="75" customWidth="1"/>
    <col min="3" max="3" width="11.2" style="75" customWidth="1"/>
    <col min="4" max="4" width="18" style="75" customWidth="1"/>
    <col min="5" max="6" width="4.6" style="75" customWidth="1" outlineLevel="1"/>
    <col min="7" max="7" width="6.1" style="75" customWidth="1" outlineLevel="1"/>
    <col min="8" max="8" width="20.6" style="75" customWidth="1" outlineLevel="1"/>
    <col min="9" max="9" width="20.6" style="76" customWidth="1" outlineLevel="1"/>
    <col min="10" max="11" width="20.6" style="75" customWidth="1"/>
    <col min="12" max="12" width="16.2" style="75" customWidth="1"/>
    <col min="13"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5" width="4.7" style="165" customWidth="1"/>
    <col min="66" max="66" width="6.7" style="16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3.8" spans="1:77">
      <c r="A1" s="273" t="s">
        <v>1591</v>
      </c>
      <c r="B1" s="80" t="s">
        <v>1592</v>
      </c>
      <c r="C1" s="81"/>
      <c r="D1" s="81"/>
      <c r="E1" s="82"/>
      <c r="F1" s="82"/>
      <c r="G1" s="82"/>
      <c r="H1" s="81"/>
      <c r="I1" s="83"/>
      <c r="J1" s="81"/>
      <c r="K1" s="81"/>
      <c r="L1" s="81"/>
      <c r="BA1" s="84" t="str">
        <f>参数表!BA1</f>
        <v>注意：补充特殊事项、作价等均从BA列开始填写</v>
      </c>
      <c r="BB1" s="85"/>
      <c r="BC1" s="86"/>
      <c r="BD1" s="86"/>
      <c r="BE1" s="86"/>
      <c r="BF1" s="86"/>
      <c r="BG1" s="86"/>
      <c r="BH1" s="82"/>
      <c r="BI1" s="86"/>
      <c r="BJ1" s="82"/>
      <c r="BK1" s="82"/>
      <c r="BL1" s="168"/>
      <c r="BM1" s="168"/>
      <c r="BN1" s="168"/>
      <c r="BQ1" s="87"/>
      <c r="BR1" s="88"/>
      <c r="BS1" s="87"/>
      <c r="BT1" s="88"/>
      <c r="BU1" s="88"/>
      <c r="BV1" s="88"/>
      <c r="BW1" s="88"/>
      <c r="BX1" s="88"/>
      <c r="BY1" s="87"/>
    </row>
    <row r="2" s="71" customFormat="1" ht="30" customHeight="1" spans="1:77">
      <c r="A2" s="89" t="s">
        <v>5092</v>
      </c>
      <c r="B2" s="89"/>
      <c r="C2" s="89"/>
      <c r="D2" s="89"/>
      <c r="E2" s="89"/>
      <c r="F2" s="89"/>
      <c r="G2" s="89"/>
      <c r="H2" s="89"/>
      <c r="I2" s="89"/>
      <c r="J2" s="89"/>
      <c r="K2" s="89"/>
      <c r="L2" s="89"/>
      <c r="BA2" s="90" t="str">
        <f>参数表!BA2</f>
        <v>评估基准日：</v>
      </c>
      <c r="BB2" s="91" t="str">
        <f>参数表!$BB$2</f>
        <v>2025年7月31日</v>
      </c>
      <c r="BH2" s="171"/>
      <c r="BJ2" s="171"/>
      <c r="BK2" s="171"/>
      <c r="BL2" s="171"/>
      <c r="BM2" s="171"/>
      <c r="BN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BA3" s="90" t="str">
        <f>参数表!BA3</f>
        <v>是否显示评估值：</v>
      </c>
      <c r="BB3" s="90" t="str">
        <f>参数表!$BB$3</f>
        <v>是</v>
      </c>
      <c r="BS3" s="78"/>
    </row>
    <row r="4" ht="15" customHeight="1" spans="1:77">
      <c r="A4" s="96"/>
      <c r="B4" s="94"/>
      <c r="C4" s="94"/>
      <c r="D4" s="94"/>
      <c r="E4" s="94"/>
      <c r="F4" s="94"/>
      <c r="G4" s="94"/>
      <c r="H4" s="94"/>
      <c r="I4" s="97"/>
      <c r="J4" s="94"/>
      <c r="K4" s="94"/>
      <c r="L4" s="98" t="str">
        <f>"表"&amp;$BA4</f>
        <v>表5-3</v>
      </c>
      <c r="BA4" s="274" t="str">
        <f>流动负总!A9</f>
        <v>5-3</v>
      </c>
      <c r="BB4" s="100">
        <f>MAX(COUNTA(A7:A26),COUNTA(B7:B26),COUNTA(H7:H26),COUNTA(J7:J26))</f>
        <v>20</v>
      </c>
      <c r="BC4" s="101">
        <f>ROW(A6)+1</f>
        <v>7</v>
      </c>
      <c r="BD4" s="77"/>
      <c r="BE4" s="77"/>
      <c r="BS4" s="78"/>
    </row>
    <row r="5" ht="15" customHeight="1" spans="1:77">
      <c r="A5" s="102" t="str">
        <f>参数表!F3</f>
        <v>产权持有单位:中煤第五建设有限公司</v>
      </c>
      <c r="B5" s="103"/>
      <c r="C5" s="103"/>
      <c r="D5" s="103"/>
      <c r="E5" s="103"/>
      <c r="F5" s="103"/>
      <c r="G5" s="103"/>
      <c r="H5" s="103"/>
      <c r="I5" s="104"/>
      <c r="J5" s="103"/>
      <c r="K5" s="103"/>
      <c r="L5" s="98" t="s">
        <v>236</v>
      </c>
      <c r="BA5" s="103"/>
      <c r="BB5" s="105" t="str">
        <f ca="1">判断表!C100</f>
        <v>中煤第五建设有限公司第三工程处拟处置实物资产项目\[0000-3基础法明细表.xlsx]交易性金负</v>
      </c>
      <c r="BC5" s="106">
        <f>IFERROR(SUMIF(BC7:BC26,"√",J7:J26)/J27,0)</f>
        <v>0</v>
      </c>
      <c r="BD5" s="107"/>
      <c r="BE5" s="107"/>
      <c r="BF5" s="108">
        <f>分类汇总!$I47</f>
        <v>0</v>
      </c>
      <c r="BG5" s="108">
        <f>分类汇总!$K47</f>
        <v>0</v>
      </c>
      <c r="BH5" s="109"/>
      <c r="BI5" s="109"/>
      <c r="BJ5" s="109"/>
      <c r="BK5" s="109"/>
      <c r="BL5" s="109"/>
      <c r="BM5" s="109"/>
      <c r="BN5" s="109"/>
      <c r="BO5" s="110"/>
      <c r="BP5" s="110"/>
      <c r="BQ5" s="111"/>
      <c r="BS5" s="78"/>
      <c r="BX5" s="194"/>
      <c r="BY5" s="111"/>
    </row>
    <row r="6" s="72" customFormat="1" ht="25.2" customHeight="1" spans="1:77">
      <c r="A6" s="112" t="s">
        <v>305</v>
      </c>
      <c r="B6" s="113" t="s">
        <v>1897</v>
      </c>
      <c r="C6" s="113" t="s">
        <v>1961</v>
      </c>
      <c r="D6" s="113" t="s">
        <v>1898</v>
      </c>
      <c r="E6" s="114" t="s">
        <v>1631</v>
      </c>
      <c r="F6" s="115" t="s">
        <v>1632</v>
      </c>
      <c r="G6" s="116" t="s">
        <v>3793</v>
      </c>
      <c r="H6" s="113" t="s">
        <v>1549</v>
      </c>
      <c r="I6" s="117" t="s">
        <v>1634</v>
      </c>
      <c r="J6" s="118" t="s">
        <v>1523</v>
      </c>
      <c r="K6" s="113" t="s">
        <v>1550</v>
      </c>
      <c r="L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6"/>
      <c r="E7" s="127"/>
      <c r="F7" s="127" t="str">
        <f>IFERROR(VLOOKUP(E7,参数表!$H$2:$I$50,2,FALSE),"")</f>
        <v/>
      </c>
      <c r="G7" s="128" t="str">
        <f>IFERROR(IF(OR(E7="人民币",E7=""),"",J7/F7),"")</f>
        <v/>
      </c>
      <c r="H7" s="129"/>
      <c r="I7" s="130"/>
      <c r="J7" s="129" t="str">
        <f>IF(B7="","",H7+I7)</f>
        <v/>
      </c>
      <c r="K7" s="129" t="str">
        <f t="shared" ref="K7:K26" si="0">IF(B7="","",IF($BB$3="是",J7,""))</f>
        <v/>
      </c>
      <c r="L7" s="131"/>
      <c r="BA7" s="78"/>
      <c r="BB7" s="132" t="s">
        <v>5093</v>
      </c>
      <c r="BC7" s="133"/>
      <c r="BD7" s="132" t="str">
        <f>IF(OR(B7="",BC7=""),"",COUNTIF(BC$7:BC7,"√"))</f>
        <v/>
      </c>
      <c r="BE7" s="134" t="str">
        <f t="shared" ref="BE7:BE26" si="1">IF(BC7="","",BB7&amp;"︱"&amp;B7&amp;"︱"&amp;TEXT(H7,"#,##0.00"))</f>
        <v/>
      </c>
      <c r="BF7" s="135" t="str">
        <f>IF($B7="","",IF(BF$5=0,"OK","出错"))</f>
        <v/>
      </c>
      <c r="BG7" s="135" t="str">
        <f>IF($B7="","",IF(BG$5=0,"OK","出错"))</f>
        <v/>
      </c>
      <c r="BH7" s="136"/>
      <c r="BI7" s="137"/>
      <c r="BJ7" s="136"/>
      <c r="BK7" s="136"/>
      <c r="BL7" s="136"/>
      <c r="BM7" s="136"/>
      <c r="BN7" s="136"/>
      <c r="BO7" s="137"/>
      <c r="BP7" s="137"/>
      <c r="BR7" s="134" t="str">
        <f>IF(COUNTIF(BR$6:BR6,D7)&gt;0,"",D7)&amp;""</f>
        <v/>
      </c>
      <c r="BS7" s="138">
        <f>SUMIF(D$7:D$26,BR7,J$7:J$26)</f>
        <v>0</v>
      </c>
      <c r="BT7" s="132">
        <f t="shared" ref="BT7" si="2">RANK(BS7,BS$7:BS$26)</f>
        <v>1</v>
      </c>
      <c r="BU7" s="138">
        <f>SUMIF(D$7:D$26,BR7,K$7:K$26)</f>
        <v>0</v>
      </c>
      <c r="BV7" s="132">
        <f>RANK(BU7,BU$7:BU$26)</f>
        <v>1</v>
      </c>
      <c r="BW7" s="138">
        <f>SUM(BS7:BS26)</f>
        <v>0</v>
      </c>
      <c r="BX7" s="138"/>
      <c r="BY7" s="138"/>
    </row>
    <row r="8" ht="15" customHeight="1" spans="1:77">
      <c r="A8" s="123" t="str">
        <f>IF(B8="","",COUNT(A$6:A7)+1)</f>
        <v/>
      </c>
      <c r="B8" s="139"/>
      <c r="C8" s="140"/>
      <c r="D8" s="141"/>
      <c r="E8" s="142"/>
      <c r="F8" s="127" t="str">
        <f>IFERROR(VLOOKUP(E8,参数表!$H$2:$I$50,2,FALSE),"")</f>
        <v/>
      </c>
      <c r="G8" s="128" t="str">
        <f t="shared" ref="G8:G26" si="3">IFERROR(IF(OR(E8="人民币",E8=""),"",J8/F8),"")</f>
        <v/>
      </c>
      <c r="H8" s="143"/>
      <c r="I8" s="144"/>
      <c r="J8" s="129" t="str">
        <f t="shared" ref="J8:J26" si="4">IF(B8="","",H8+I8)</f>
        <v/>
      </c>
      <c r="K8" s="129" t="str">
        <f t="shared" si="0"/>
        <v/>
      </c>
      <c r="L8" s="145"/>
      <c r="BA8" s="78"/>
      <c r="BB8" s="132" t="s">
        <v>5094</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R8" s="134" t="str">
        <f>IF(COUNTIF(BR$6:BR7,D8)&gt;0,"",D8)&amp;""</f>
        <v/>
      </c>
      <c r="BS8" s="138">
        <f t="shared" ref="BS8:BS26" si="6">SUMIF(D$7:D$26,BR8,J$7:J$26)</f>
        <v>0</v>
      </c>
      <c r="BT8" s="132">
        <f t="shared" ref="BT8:BT26" si="7">RANK(BS8,BS$7:BS$26)</f>
        <v>1</v>
      </c>
      <c r="BU8" s="138">
        <f t="shared" ref="BU8:BU26" si="8">SUMIF(D$7:D$26,BR8,K$7:K$26)</f>
        <v>0</v>
      </c>
      <c r="BV8" s="132">
        <f t="shared" ref="BV8:BV26" si="9">RANK(BU8,BU$7:BU$26)</f>
        <v>1</v>
      </c>
      <c r="BW8" s="138">
        <f>SUM(BU7:BU26)</f>
        <v>0</v>
      </c>
      <c r="BX8" s="138"/>
      <c r="BY8" s="138"/>
    </row>
    <row r="9" ht="15" customHeight="1" spans="1:77">
      <c r="A9" s="123" t="str">
        <f>IF(B9="","",COUNT(A$6:A8)+1)</f>
        <v/>
      </c>
      <c r="B9" s="139"/>
      <c r="C9" s="140"/>
      <c r="D9" s="141"/>
      <c r="E9" s="142"/>
      <c r="F9" s="127" t="str">
        <f>IFERROR(VLOOKUP(E9,参数表!$H$2:$I$50,2,FALSE),"")</f>
        <v/>
      </c>
      <c r="G9" s="128" t="str">
        <f t="shared" si="3"/>
        <v/>
      </c>
      <c r="H9" s="143"/>
      <c r="I9" s="144"/>
      <c r="J9" s="129" t="str">
        <f t="shared" si="4"/>
        <v/>
      </c>
      <c r="K9" s="129" t="str">
        <f t="shared" si="0"/>
        <v/>
      </c>
      <c r="L9" s="145"/>
      <c r="BA9" s="78"/>
      <c r="BB9" s="132" t="s">
        <v>5095</v>
      </c>
      <c r="BC9" s="133"/>
      <c r="BD9" s="132" t="str">
        <f>IF(OR(B9="",BC9=""),"",COUNTIF(BC$7:BC9,"√"))</f>
        <v/>
      </c>
      <c r="BE9" s="134" t="str">
        <f t="shared" si="1"/>
        <v/>
      </c>
      <c r="BF9" s="135" t="str">
        <f t="shared" si="5"/>
        <v/>
      </c>
      <c r="BG9" s="135" t="str">
        <f t="shared" si="5"/>
        <v/>
      </c>
      <c r="BH9" s="136"/>
      <c r="BI9" s="137"/>
      <c r="BJ9" s="136"/>
      <c r="BK9" s="136"/>
      <c r="BL9" s="136"/>
      <c r="BM9" s="136"/>
      <c r="BN9" s="136"/>
      <c r="BO9" s="137"/>
      <c r="BP9" s="137"/>
      <c r="BR9" s="134" t="str">
        <f>IF(COUNTIF(BR$6:BR8,D9)&gt;0,"",D9)&amp;""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1"/>
      <c r="E10" s="142"/>
      <c r="F10" s="127" t="str">
        <f>IFERROR(VLOOKUP(E10,参数表!$H$2:$I$50,2,FALSE),"")</f>
        <v/>
      </c>
      <c r="G10" s="128" t="str">
        <f t="shared" si="3"/>
        <v/>
      </c>
      <c r="H10" s="143"/>
      <c r="I10" s="144"/>
      <c r="J10" s="129" t="str">
        <f t="shared" si="4"/>
        <v/>
      </c>
      <c r="K10" s="129" t="str">
        <f t="shared" si="0"/>
        <v/>
      </c>
      <c r="L10" s="145"/>
      <c r="BA10" s="78"/>
      <c r="BB10" s="132" t="s">
        <v>5096</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R10" s="134" t="str">
        <f>IF(COUNTIF(BR$6:BR9,D10)&gt;0,"",D10)&amp;""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1"/>
      <c r="E11" s="142"/>
      <c r="F11" s="127" t="str">
        <f>IFERROR(VLOOKUP(E11,参数表!$H$2:$I$50,2,FALSE),"")</f>
        <v/>
      </c>
      <c r="G11" s="128" t="str">
        <f t="shared" si="3"/>
        <v/>
      </c>
      <c r="H11" s="143"/>
      <c r="I11" s="144"/>
      <c r="J11" s="129" t="str">
        <f t="shared" si="4"/>
        <v/>
      </c>
      <c r="K11" s="129" t="str">
        <f t="shared" si="0"/>
        <v/>
      </c>
      <c r="L11" s="145"/>
      <c r="BA11" s="78"/>
      <c r="BB11" s="132" t="s">
        <v>5097</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R11" s="134" t="str">
        <f>IF(COUNTIF(BR$6:BR10,D11)&gt;0,"",D11)&amp;""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1"/>
      <c r="E12" s="142"/>
      <c r="F12" s="127" t="str">
        <f>IFERROR(VLOOKUP(E12,参数表!$H$2:$I$50,2,FALSE),"")</f>
        <v/>
      </c>
      <c r="G12" s="128" t="str">
        <f t="shared" si="3"/>
        <v/>
      </c>
      <c r="H12" s="143"/>
      <c r="I12" s="144"/>
      <c r="J12" s="129" t="str">
        <f t="shared" si="4"/>
        <v/>
      </c>
      <c r="K12" s="129" t="str">
        <f t="shared" si="0"/>
        <v/>
      </c>
      <c r="L12" s="145"/>
      <c r="BA12" s="78"/>
      <c r="BB12" s="132" t="s">
        <v>5098</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R12" s="134" t="str">
        <f>IF(COUNTIF(BR$6:BR11,D12)&gt;0,"",D12)&amp;""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1"/>
      <c r="E13" s="142"/>
      <c r="F13" s="127" t="str">
        <f>IFERROR(VLOOKUP(E13,参数表!$H$2:$I$50,2,FALSE),"")</f>
        <v/>
      </c>
      <c r="G13" s="128" t="str">
        <f t="shared" si="3"/>
        <v/>
      </c>
      <c r="H13" s="143"/>
      <c r="I13" s="144"/>
      <c r="J13" s="129" t="str">
        <f t="shared" si="4"/>
        <v/>
      </c>
      <c r="K13" s="129" t="str">
        <f t="shared" si="0"/>
        <v/>
      </c>
      <c r="L13" s="145"/>
      <c r="BA13" s="78"/>
      <c r="BB13" s="132" t="s">
        <v>5099</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R13" s="134" t="str">
        <f>IF(COUNTIF(BR$6:BR12,D13)&gt;0,"",D13)&amp;""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1"/>
      <c r="E14" s="142"/>
      <c r="F14" s="127" t="str">
        <f>IFERROR(VLOOKUP(E14,参数表!$H$2:$I$50,2,FALSE),"")</f>
        <v/>
      </c>
      <c r="G14" s="128" t="str">
        <f t="shared" si="3"/>
        <v/>
      </c>
      <c r="H14" s="143"/>
      <c r="I14" s="144"/>
      <c r="J14" s="129" t="str">
        <f t="shared" si="4"/>
        <v/>
      </c>
      <c r="K14" s="129" t="str">
        <f t="shared" si="0"/>
        <v/>
      </c>
      <c r="L14" s="145"/>
      <c r="BA14" s="78"/>
      <c r="BB14" s="132" t="s">
        <v>5100</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R14" s="134" t="str">
        <f>IF(COUNTIF(BR$6:BR13,D14)&gt;0,"",D14)&amp;""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1"/>
      <c r="E15" s="142"/>
      <c r="F15" s="127" t="str">
        <f>IFERROR(VLOOKUP(E15,参数表!$H$2:$I$50,2,FALSE),"")</f>
        <v/>
      </c>
      <c r="G15" s="128" t="str">
        <f t="shared" si="3"/>
        <v/>
      </c>
      <c r="H15" s="143"/>
      <c r="I15" s="144"/>
      <c r="J15" s="129" t="str">
        <f t="shared" si="4"/>
        <v/>
      </c>
      <c r="K15" s="129" t="str">
        <f t="shared" si="0"/>
        <v/>
      </c>
      <c r="L15" s="145"/>
      <c r="BA15" s="78"/>
      <c r="BB15" s="132" t="s">
        <v>5101</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R15" s="134" t="str">
        <f>IF(COUNTIF(BR$6:BR14,D15)&gt;0,"",D15)&amp;""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1"/>
      <c r="E16" s="142"/>
      <c r="F16" s="127" t="str">
        <f>IFERROR(VLOOKUP(E16,参数表!$H$2:$I$50,2,FALSE),"")</f>
        <v/>
      </c>
      <c r="G16" s="128" t="str">
        <f t="shared" si="3"/>
        <v/>
      </c>
      <c r="H16" s="143"/>
      <c r="I16" s="144"/>
      <c r="J16" s="129" t="str">
        <f t="shared" si="4"/>
        <v/>
      </c>
      <c r="K16" s="129" t="str">
        <f t="shared" si="0"/>
        <v/>
      </c>
      <c r="L16" s="145"/>
      <c r="BA16" s="78"/>
      <c r="BB16" s="132" t="s">
        <v>5102</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R16" s="134" t="str">
        <f>IF(COUNTIF(BR$6:BR15,D16)&gt;0,"",D16)&amp;""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1"/>
      <c r="E17" s="142"/>
      <c r="F17" s="127" t="str">
        <f>IFERROR(VLOOKUP(E17,参数表!$H$2:$I$50,2,FALSE),"")</f>
        <v/>
      </c>
      <c r="G17" s="128" t="str">
        <f t="shared" si="3"/>
        <v/>
      </c>
      <c r="H17" s="143"/>
      <c r="I17" s="144"/>
      <c r="J17" s="129" t="str">
        <f t="shared" si="4"/>
        <v/>
      </c>
      <c r="K17" s="129" t="str">
        <f t="shared" si="0"/>
        <v/>
      </c>
      <c r="L17" s="145"/>
      <c r="BA17" s="78"/>
      <c r="BB17" s="132" t="s">
        <v>5103</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R17" s="134" t="str">
        <f>IF(COUNTIF(BR$6:BR16,D17)&gt;0,"",D17)&amp;""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1"/>
      <c r="E18" s="142"/>
      <c r="F18" s="127" t="str">
        <f>IFERROR(VLOOKUP(E18,参数表!$H$2:$I$50,2,FALSE),"")</f>
        <v/>
      </c>
      <c r="G18" s="128" t="str">
        <f t="shared" si="3"/>
        <v/>
      </c>
      <c r="H18" s="143"/>
      <c r="I18" s="144"/>
      <c r="J18" s="129" t="str">
        <f t="shared" si="4"/>
        <v/>
      </c>
      <c r="K18" s="129" t="str">
        <f t="shared" si="0"/>
        <v/>
      </c>
      <c r="L18" s="145"/>
      <c r="BA18" s="78"/>
      <c r="BB18" s="132" t="s">
        <v>5104</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R18" s="134" t="str">
        <f>IF(COUNTIF(BR$6:BR17,D18)&gt;0,"",D18)&amp;""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1"/>
      <c r="E19" s="142"/>
      <c r="F19" s="127" t="str">
        <f>IFERROR(VLOOKUP(E19,参数表!$H$2:$I$50,2,FALSE),"")</f>
        <v/>
      </c>
      <c r="G19" s="128" t="str">
        <f t="shared" si="3"/>
        <v/>
      </c>
      <c r="H19" s="143"/>
      <c r="I19" s="144"/>
      <c r="J19" s="129" t="str">
        <f t="shared" si="4"/>
        <v/>
      </c>
      <c r="K19" s="129" t="str">
        <f t="shared" si="0"/>
        <v/>
      </c>
      <c r="L19" s="145"/>
      <c r="BA19" s="78"/>
      <c r="BB19" s="132" t="s">
        <v>5105</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R19" s="134" t="str">
        <f>IF(COUNTIF(BR$6:BR18,D19)&gt;0,"",D19)&amp;""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1"/>
      <c r="E20" s="142"/>
      <c r="F20" s="127" t="str">
        <f>IFERROR(VLOOKUP(E20,参数表!$H$2:$I$50,2,FALSE),"")</f>
        <v/>
      </c>
      <c r="G20" s="128" t="str">
        <f t="shared" si="3"/>
        <v/>
      </c>
      <c r="H20" s="143"/>
      <c r="I20" s="144"/>
      <c r="J20" s="129" t="str">
        <f t="shared" si="4"/>
        <v/>
      </c>
      <c r="K20" s="129" t="str">
        <f t="shared" si="0"/>
        <v/>
      </c>
      <c r="L20" s="145"/>
      <c r="BA20" s="78"/>
      <c r="BB20" s="132" t="s">
        <v>5106</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R20" s="134" t="str">
        <f>IF(COUNTIF(BR$6:BR19,D20)&gt;0,"",D20)&amp;""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1"/>
      <c r="E21" s="142"/>
      <c r="F21" s="127" t="str">
        <f>IFERROR(VLOOKUP(E21,参数表!$H$2:$I$50,2,FALSE),"")</f>
        <v/>
      </c>
      <c r="G21" s="128" t="str">
        <f t="shared" si="3"/>
        <v/>
      </c>
      <c r="H21" s="143"/>
      <c r="I21" s="144"/>
      <c r="J21" s="129" t="str">
        <f t="shared" si="4"/>
        <v/>
      </c>
      <c r="K21" s="129" t="str">
        <f t="shared" si="0"/>
        <v/>
      </c>
      <c r="L21" s="145"/>
      <c r="BA21" s="78"/>
      <c r="BB21" s="132" t="s">
        <v>5107</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R21" s="134" t="str">
        <f>IF(COUNTIF(BR$6:BR20,D21)&gt;0,"",D21)&amp;""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1"/>
      <c r="E22" s="142"/>
      <c r="F22" s="127" t="str">
        <f>IFERROR(VLOOKUP(E22,参数表!$H$2:$I$50,2,FALSE),"")</f>
        <v/>
      </c>
      <c r="G22" s="128" t="str">
        <f t="shared" si="3"/>
        <v/>
      </c>
      <c r="H22" s="143"/>
      <c r="I22" s="144"/>
      <c r="J22" s="129" t="str">
        <f t="shared" si="4"/>
        <v/>
      </c>
      <c r="K22" s="129" t="str">
        <f t="shared" si="0"/>
        <v/>
      </c>
      <c r="L22" s="145"/>
      <c r="BA22" s="78"/>
      <c r="BB22" s="132" t="s">
        <v>5108</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R22" s="134" t="str">
        <f>IF(COUNTIF(BR$6:BR21,D22)&gt;0,"",D22)&amp;""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1"/>
      <c r="E23" s="142"/>
      <c r="F23" s="127" t="str">
        <f>IFERROR(VLOOKUP(E23,参数表!$H$2:$I$50,2,FALSE),"")</f>
        <v/>
      </c>
      <c r="G23" s="128" t="str">
        <f t="shared" si="3"/>
        <v/>
      </c>
      <c r="H23" s="143"/>
      <c r="I23" s="144"/>
      <c r="J23" s="129" t="str">
        <f t="shared" si="4"/>
        <v/>
      </c>
      <c r="K23" s="129" t="str">
        <f t="shared" si="0"/>
        <v/>
      </c>
      <c r="L23" s="145"/>
      <c r="BA23" s="78"/>
      <c r="BB23" s="132" t="s">
        <v>5109</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R23" s="134" t="str">
        <f>IF(COUNTIF(BR$6:BR22,D23)&gt;0,"",D23)&amp;""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1"/>
      <c r="E24" s="142"/>
      <c r="F24" s="127" t="str">
        <f>IFERROR(VLOOKUP(E24,参数表!$H$2:$I$50,2,FALSE),"")</f>
        <v/>
      </c>
      <c r="G24" s="128" t="str">
        <f t="shared" si="3"/>
        <v/>
      </c>
      <c r="H24" s="143"/>
      <c r="I24" s="144"/>
      <c r="J24" s="129" t="str">
        <f t="shared" si="4"/>
        <v/>
      </c>
      <c r="K24" s="129" t="str">
        <f t="shared" si="0"/>
        <v/>
      </c>
      <c r="L24" s="145"/>
      <c r="BA24" s="78"/>
      <c r="BB24" s="132" t="s">
        <v>5110</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R24" s="134" t="str">
        <f>IF(COUNTIF(BR$6:BR23,D24)&gt;0,"",D24)&amp;""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1"/>
      <c r="E25" s="142"/>
      <c r="F25" s="127" t="str">
        <f>IFERROR(VLOOKUP(E25,参数表!$H$2:$I$50,2,FALSE),"")</f>
        <v/>
      </c>
      <c r="G25" s="128" t="str">
        <f t="shared" si="3"/>
        <v/>
      </c>
      <c r="H25" s="143"/>
      <c r="I25" s="144"/>
      <c r="J25" s="129" t="str">
        <f t="shared" si="4"/>
        <v/>
      </c>
      <c r="K25" s="129" t="str">
        <f t="shared" si="0"/>
        <v/>
      </c>
      <c r="L25" s="145"/>
      <c r="BA25" s="78"/>
      <c r="BB25" s="132" t="s">
        <v>5111</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R25" s="134" t="str">
        <f>IF(COUNTIF(BR$6:BR24,D25)&gt;0,"",D25)&amp;""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6"/>
      <c r="E26" s="127"/>
      <c r="F26" s="127" t="str">
        <f>IFERROR(VLOOKUP(E26,参数表!$H$2:$I$50,2,FALSE),"")</f>
        <v/>
      </c>
      <c r="G26" s="128" t="str">
        <f t="shared" si="3"/>
        <v/>
      </c>
      <c r="H26" s="129"/>
      <c r="I26" s="130"/>
      <c r="J26" s="129" t="str">
        <f t="shared" si="4"/>
        <v/>
      </c>
      <c r="K26" s="129" t="str">
        <f t="shared" si="0"/>
        <v/>
      </c>
      <c r="L26" s="131"/>
      <c r="BA26" s="78"/>
      <c r="BB26" s="132" t="s">
        <v>5112</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R26" s="134" t="str">
        <f>IF(COUNTIF(BR$6:BR25,D26)&gt;0,"",D26)&amp;""</f>
        <v/>
      </c>
      <c r="BS26" s="138">
        <f t="shared" si="6"/>
        <v>0</v>
      </c>
      <c r="BT26" s="132">
        <f t="shared" si="7"/>
        <v>1</v>
      </c>
      <c r="BU26" s="138">
        <f t="shared" si="8"/>
        <v>0</v>
      </c>
      <c r="BV26" s="132">
        <f t="shared" si="9"/>
        <v>1</v>
      </c>
      <c r="BW26" s="133"/>
      <c r="BX26" s="133"/>
    </row>
    <row r="27" s="73" customFormat="1" ht="15" customHeight="1" spans="1:77">
      <c r="A27" s="149" t="s">
        <v>5091</v>
      </c>
      <c r="B27" s="149"/>
      <c r="C27" s="150"/>
      <c r="D27" s="149"/>
      <c r="E27" s="151"/>
      <c r="F27" s="151"/>
      <c r="G27" s="151"/>
      <c r="H27" s="152">
        <f>SUM(H7:H26)</f>
        <v>0</v>
      </c>
      <c r="I27" s="153"/>
      <c r="J27" s="152">
        <f>SUM(J7:J26)</f>
        <v>0</v>
      </c>
      <c r="K27" s="152">
        <f>SUM(K7:K26)</f>
        <v>0</v>
      </c>
      <c r="L27" s="151"/>
      <c r="BF27" s="75"/>
      <c r="BG27" s="75"/>
      <c r="BH27" s="165"/>
      <c r="BI27" s="75"/>
      <c r="BJ27" s="165"/>
      <c r="BK27" s="165"/>
      <c r="BL27" s="165"/>
      <c r="BM27" s="165"/>
      <c r="BN27" s="165"/>
      <c r="BO27" s="75"/>
      <c r="BP27" s="75"/>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5"/>
      <c r="J28" s="103"/>
      <c r="K28" s="156" t="str">
        <f>"评估人员："&amp;封面!$G$38</f>
        <v>评估人员：</v>
      </c>
      <c r="L28" s="103"/>
    </row>
    <row r="29" customHeight="1" spans="1:77">
      <c r="A29" s="102" t="str">
        <f>参数表!F$7</f>
        <v>填表日期：2025年9月20日</v>
      </c>
      <c r="B29" s="154"/>
      <c r="C29" s="154"/>
      <c r="D29" s="154"/>
      <c r="E29" s="154"/>
      <c r="F29" s="154"/>
      <c r="G29" s="154"/>
      <c r="H29" s="154"/>
      <c r="I29" s="155"/>
      <c r="J29" s="103"/>
      <c r="K29" s="103"/>
      <c r="L29" s="103"/>
    </row>
    <row r="30" hidden="1" customHeight="1" outlineLevel="1" spans="1:77">
      <c r="A30" s="157"/>
      <c r="B30" s="154" t="s">
        <v>1673</v>
      </c>
      <c r="C30" s="158"/>
      <c r="D30" s="158"/>
      <c r="E30" s="158"/>
      <c r="F30" s="158"/>
      <c r="G30" s="158"/>
      <c r="H30" s="159">
        <f>SUMIF($BA7:$BA26,$BA30,H7:H26)</f>
        <v>0</v>
      </c>
      <c r="I30" s="160"/>
      <c r="J30" s="159">
        <f>SUMIF($BA7:$BA26,$BA30,J7:J26)</f>
        <v>0</v>
      </c>
      <c r="K30" s="159">
        <f>SUMIF($BA7:$BA26,$BA30,K7:K26)</f>
        <v>0</v>
      </c>
      <c r="BA30" s="161" t="s">
        <v>1674</v>
      </c>
      <c r="BH30" s="95" t="s">
        <v>1675</v>
      </c>
      <c r="BJ30" s="95" t="s">
        <v>1675</v>
      </c>
      <c r="BK30" s="95" t="s">
        <v>1675</v>
      </c>
      <c r="BL30" s="95" t="s">
        <v>1675</v>
      </c>
      <c r="BM30" s="95" t="s">
        <v>1674</v>
      </c>
      <c r="BN30" s="95" t="s">
        <v>1674</v>
      </c>
    </row>
    <row r="31" hidden="1" customHeight="1" outlineLevel="1" spans="1:77">
      <c r="A31" s="157"/>
      <c r="B31" s="154" t="s">
        <v>1676</v>
      </c>
      <c r="C31" s="158"/>
      <c r="D31" s="158"/>
      <c r="E31" s="158"/>
      <c r="F31" s="158"/>
      <c r="G31" s="158"/>
      <c r="H31" s="159">
        <f>H27-H30</f>
        <v>0</v>
      </c>
      <c r="I31" s="160"/>
      <c r="J31" s="159">
        <f>J27-J30</f>
        <v>0</v>
      </c>
      <c r="K31" s="159">
        <f>K27-K30</f>
        <v>0</v>
      </c>
      <c r="BA31" s="161" t="s">
        <v>1677</v>
      </c>
      <c r="BH31" s="95" t="s">
        <v>1678</v>
      </c>
      <c r="BJ31" s="95" t="s">
        <v>1678</v>
      </c>
      <c r="BK31" s="95" t="s">
        <v>1678</v>
      </c>
      <c r="BL31" s="95" t="s">
        <v>1678</v>
      </c>
      <c r="BM31" s="95" t="s">
        <v>1677</v>
      </c>
      <c r="BN31" s="95" t="s">
        <v>1677</v>
      </c>
    </row>
    <row r="32" customHeight="1" collapsed="1" spans="1:77">
      <c r="A32" s="157"/>
      <c r="B32" s="158"/>
      <c r="C32" s="158"/>
      <c r="D32" s="158"/>
      <c r="E32" s="158"/>
      <c r="F32" s="158"/>
      <c r="G32" s="158"/>
      <c r="H32" s="158"/>
      <c r="I32" s="164"/>
    </row>
    <row r="33" customHeight="1" spans="1:9">
      <c r="A33" s="157"/>
      <c r="B33" s="158"/>
      <c r="C33" s="158"/>
      <c r="D33" s="158"/>
      <c r="E33" s="158"/>
      <c r="F33" s="158"/>
      <c r="G33" s="158"/>
      <c r="H33" s="158"/>
      <c r="I33" s="164"/>
    </row>
    <row r="34" customHeight="1" spans="1:9">
      <c r="A34" s="157"/>
      <c r="B34" s="158"/>
      <c r="C34" s="158"/>
      <c r="D34" s="158"/>
      <c r="E34" s="158"/>
      <c r="F34" s="158"/>
      <c r="G34" s="158"/>
      <c r="H34" s="158"/>
      <c r="I34" s="164"/>
    </row>
    <row r="35" customHeight="1" spans="1:9">
      <c r="A35" s="157"/>
      <c r="B35" s="158"/>
      <c r="C35" s="158"/>
      <c r="D35" s="158"/>
      <c r="E35" s="158"/>
      <c r="F35" s="158"/>
      <c r="G35" s="158"/>
      <c r="H35" s="158"/>
      <c r="I35" s="164"/>
    </row>
    <row r="36" customHeight="1" spans="1:9">
      <c r="A36" s="157"/>
      <c r="B36" s="158"/>
      <c r="C36" s="158"/>
      <c r="D36" s="158"/>
      <c r="E36" s="158"/>
      <c r="F36" s="158"/>
      <c r="G36" s="158"/>
      <c r="H36" s="158"/>
      <c r="I36" s="164"/>
    </row>
    <row r="37" customHeight="1" spans="1:9">
      <c r="E37" s="158"/>
      <c r="F37" s="158"/>
      <c r="G37" s="158"/>
    </row>
  </sheetData>
  <sheetProtection autoFilter="0"/>
  <autoFilter xmlns:etc="http://www.wps.cn/officeDocument/2017/etCustomData" ref="A6:BB31" etc:filterBottomFollowUsedRange="0">
    <extLst/>
  </autoFilter>
  <mergeCells count="6">
    <mergeCell ref="A2:L2"/>
    <mergeCell ref="A3:L3"/>
    <mergeCell ref="BW7:BY7"/>
    <mergeCell ref="BW8:BY8"/>
    <mergeCell ref="BX14:BY14"/>
    <mergeCell ref="A27:B27"/>
  </mergeCells>
  <conditionalFormatting sqref="BH7:BH26">
    <cfRule type="expression" dxfId="5" priority="16"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4" stopIfTrue="1">
      <formula>AND($B7&lt;&gt;"",BJ7="")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7" display="返回索引页"/>
    <hyperlink ref="B1" location="流动负债汇总!B7"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8"/>
  <dimension ref="A1:CD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3.2"/>
  <cols>
    <col min="1" max="1" width="7.6" style="74" customWidth="1"/>
    <col min="2" max="2" width="32.2" style="75" customWidth="1"/>
    <col min="3" max="3" width="10.2" style="75" customWidth="1"/>
    <col min="4" max="4" width="10.7" style="75" customWidth="1"/>
    <col min="5" max="5" width="10.2" style="75" customWidth="1"/>
    <col min="6" max="7" width="4.6" style="75" customWidth="1" outlineLevel="1"/>
    <col min="8" max="8" width="6.1" style="75" customWidth="1" outlineLevel="1"/>
    <col min="9" max="9" width="18.6" style="75" customWidth="1" outlineLevel="1"/>
    <col min="10" max="10" width="18.6" style="76" customWidth="1" outlineLevel="1"/>
    <col min="11" max="12" width="18.6" style="75" customWidth="1"/>
    <col min="13" max="13" width="16.2" style="75" customWidth="1"/>
    <col min="14"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5" width="4.7" style="165" customWidth="1"/>
    <col min="66" max="66" width="6.7" style="165" customWidth="1"/>
    <col min="67" max="67" width="10.3" style="75" customWidth="1"/>
    <col min="68" max="68" width="8.7" style="75" customWidth="1"/>
    <col min="69" max="73" width="9" style="75"/>
    <col min="74" max="74" width="1.6" style="77" customWidth="1"/>
    <col min="75" max="75" width="10.6" style="78" customWidth="1"/>
    <col min="76" max="76" width="10.6" style="77" customWidth="1"/>
    <col min="77" max="77" width="4.6" style="78" customWidth="1"/>
    <col min="78" max="78" width="10.6" style="78" customWidth="1"/>
    <col min="79" max="80" width="4.6" style="78" customWidth="1"/>
    <col min="81" max="81" width="10.6" style="78" customWidth="1"/>
    <col min="82" max="82" width="5" style="77" customWidth="1"/>
    <col min="83" max="16384" width="9" style="75"/>
  </cols>
  <sheetData>
    <row r="1" s="70" customFormat="1" ht="13.8" spans="1:82">
      <c r="A1" s="273" t="s">
        <v>1591</v>
      </c>
      <c r="B1" s="80" t="s">
        <v>1592</v>
      </c>
      <c r="C1" s="81"/>
      <c r="D1" s="81"/>
      <c r="E1" s="81"/>
      <c r="F1" s="82"/>
      <c r="G1" s="82"/>
      <c r="H1" s="82"/>
      <c r="I1" s="81"/>
      <c r="J1" s="83"/>
      <c r="K1" s="81"/>
      <c r="L1" s="81"/>
      <c r="M1" s="81"/>
      <c r="BA1" s="84" t="str">
        <f>参数表!BA1</f>
        <v>注意：补充特殊事项、作价等均从BA列开始填写</v>
      </c>
      <c r="BB1" s="85"/>
      <c r="BF1" s="85"/>
      <c r="BG1" s="85"/>
      <c r="BH1" s="82"/>
      <c r="BI1" s="86"/>
      <c r="BJ1" s="82"/>
      <c r="BK1" s="82"/>
      <c r="BL1" s="82"/>
      <c r="BM1" s="82"/>
      <c r="BN1" s="82"/>
      <c r="BO1" s="86"/>
      <c r="BP1" s="86"/>
      <c r="BV1" s="87"/>
      <c r="BW1" s="88"/>
      <c r="BX1" s="87"/>
      <c r="BY1" s="88"/>
      <c r="BZ1" s="88"/>
      <c r="CA1" s="88"/>
      <c r="CB1" s="88"/>
      <c r="CC1" s="88"/>
      <c r="CD1" s="87"/>
    </row>
    <row r="2" s="71" customFormat="1" ht="30" customHeight="1" spans="1:82">
      <c r="A2" s="89" t="s">
        <v>5113</v>
      </c>
      <c r="B2" s="89"/>
      <c r="C2" s="89"/>
      <c r="D2" s="89"/>
      <c r="E2" s="89"/>
      <c r="F2" s="89"/>
      <c r="G2" s="89"/>
      <c r="H2" s="89"/>
      <c r="I2" s="89"/>
      <c r="J2" s="89"/>
      <c r="K2" s="89"/>
      <c r="L2" s="89"/>
      <c r="M2" s="89"/>
      <c r="BA2" s="90" t="str">
        <f>参数表!BA2</f>
        <v>评估基准日：</v>
      </c>
      <c r="BB2" s="91" t="str">
        <f>参数表!BB2</f>
        <v>2025年7月31日</v>
      </c>
      <c r="BF2" s="182"/>
      <c r="BG2" s="182"/>
      <c r="BH2" s="171"/>
      <c r="BJ2" s="171"/>
      <c r="BK2" s="171"/>
      <c r="BL2" s="171"/>
      <c r="BM2" s="171"/>
      <c r="BN2" s="171"/>
      <c r="BV2" s="92"/>
      <c r="BW2" s="93"/>
      <c r="BX2" s="92"/>
      <c r="BY2" s="93"/>
      <c r="BZ2" s="93"/>
      <c r="CA2" s="93"/>
      <c r="CB2" s="93"/>
      <c r="CC2" s="93"/>
      <c r="CD2" s="92"/>
    </row>
    <row r="3" ht="15" customHeight="1" spans="1:82">
      <c r="A3" s="94" t="str">
        <f>参数表!F5</f>
        <v>评估基准日：2025年7月31日</v>
      </c>
      <c r="B3" s="94"/>
      <c r="C3" s="94"/>
      <c r="D3" s="94"/>
      <c r="E3" s="94"/>
      <c r="F3" s="94"/>
      <c r="G3" s="94"/>
      <c r="H3" s="94"/>
      <c r="I3" s="94"/>
      <c r="J3" s="94"/>
      <c r="K3" s="94"/>
      <c r="L3" s="95"/>
      <c r="M3" s="95"/>
      <c r="BA3" s="90" t="str">
        <f>参数表!BA3</f>
        <v>是否显示评估值：</v>
      </c>
      <c r="BB3" s="90" t="str">
        <f>参数表!BB3</f>
        <v>是</v>
      </c>
      <c r="BF3" s="85"/>
      <c r="BG3" s="85"/>
      <c r="BX3" s="78"/>
    </row>
    <row r="4" ht="15" customHeight="1" spans="1:82">
      <c r="A4" s="96"/>
      <c r="B4" s="94"/>
      <c r="C4" s="94"/>
      <c r="D4" s="94"/>
      <c r="E4" s="94"/>
      <c r="F4" s="94"/>
      <c r="G4" s="94"/>
      <c r="H4" s="94"/>
      <c r="I4" s="94"/>
      <c r="J4" s="97"/>
      <c r="K4" s="94"/>
      <c r="L4" s="95"/>
      <c r="M4" s="98" t="str">
        <f>"表"&amp;$BA4</f>
        <v>表5-4</v>
      </c>
      <c r="BA4" s="274" t="str">
        <f>流动负总!A10</f>
        <v>5-4</v>
      </c>
      <c r="BB4" s="100">
        <f>MAX(COUNTA(A7:A26),COUNTA(B7:B26),COUNTA(I7:I26),COUNTA(K7:K26))</f>
        <v>20</v>
      </c>
      <c r="BC4" s="101">
        <f>ROW(A6)+1</f>
        <v>7</v>
      </c>
      <c r="BD4" s="77"/>
      <c r="BE4" s="77"/>
      <c r="BX4" s="78"/>
    </row>
    <row r="5" ht="15" customHeight="1" spans="1:82">
      <c r="A5" s="102" t="str">
        <f>参数表!F3</f>
        <v>产权持有单位:中煤第五建设有限公司</v>
      </c>
      <c r="B5" s="103"/>
      <c r="C5" s="103"/>
      <c r="D5" s="103"/>
      <c r="E5" s="103"/>
      <c r="F5" s="103"/>
      <c r="G5" s="103"/>
      <c r="H5" s="103"/>
      <c r="I5" s="103"/>
      <c r="J5" s="104"/>
      <c r="K5" s="103"/>
      <c r="L5" s="103"/>
      <c r="M5" s="98" t="s">
        <v>236</v>
      </c>
      <c r="BA5" s="103"/>
      <c r="BB5" s="105" t="str">
        <f ca="1">判断表!C101</f>
        <v>中煤第五建设有限公司第三工程处拟处置实物资产项目\[0000-3基础法明细表.xlsx]衍生金负</v>
      </c>
      <c r="BC5" s="106">
        <f>IFERROR(SUMIF(BC7:BC26,"√",K7:K26)/K27,0)</f>
        <v>0</v>
      </c>
      <c r="BD5" s="107"/>
      <c r="BE5" s="107"/>
      <c r="BF5" s="108">
        <f>分类汇总!$I48</f>
        <v>0</v>
      </c>
      <c r="BG5" s="108">
        <f>分类汇总!$K48</f>
        <v>0</v>
      </c>
      <c r="BH5" s="109"/>
      <c r="BI5" s="109"/>
      <c r="BJ5" s="109"/>
      <c r="BK5" s="109"/>
      <c r="BL5" s="109"/>
      <c r="BM5" s="109"/>
      <c r="BN5" s="109"/>
      <c r="BO5" s="110"/>
      <c r="BP5" s="110"/>
      <c r="BV5" s="111"/>
      <c r="BX5" s="78"/>
      <c r="CC5" s="194"/>
      <c r="CD5" s="111"/>
    </row>
    <row r="6" s="72" customFormat="1" ht="25.2" customHeight="1" spans="1:82">
      <c r="A6" s="112" t="s">
        <v>305</v>
      </c>
      <c r="B6" s="113" t="s">
        <v>1897</v>
      </c>
      <c r="C6" s="113" t="s">
        <v>1961</v>
      </c>
      <c r="D6" s="113" t="s">
        <v>3437</v>
      </c>
      <c r="E6" s="113" t="s">
        <v>5046</v>
      </c>
      <c r="F6" s="114" t="s">
        <v>1631</v>
      </c>
      <c r="G6" s="115" t="s">
        <v>1632</v>
      </c>
      <c r="H6" s="116" t="s">
        <v>3793</v>
      </c>
      <c r="I6" s="113" t="s">
        <v>1549</v>
      </c>
      <c r="J6" s="117" t="s">
        <v>1634</v>
      </c>
      <c r="K6" s="118" t="s">
        <v>1523</v>
      </c>
      <c r="L6" s="113" t="s">
        <v>1550</v>
      </c>
      <c r="M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91" t="s">
        <v>3439</v>
      </c>
      <c r="BR6" s="191" t="s">
        <v>3440</v>
      </c>
      <c r="BS6" s="191" t="s">
        <v>3441</v>
      </c>
      <c r="BT6" s="191" t="s">
        <v>3442</v>
      </c>
      <c r="BU6" s="191" t="s">
        <v>1524</v>
      </c>
      <c r="BV6" s="119"/>
      <c r="BW6" s="120" t="s">
        <v>1645</v>
      </c>
      <c r="BX6" s="121" t="s">
        <v>1646</v>
      </c>
      <c r="BY6" s="121" t="s">
        <v>1647</v>
      </c>
      <c r="BZ6" s="121" t="s">
        <v>1648</v>
      </c>
      <c r="CA6" s="121" t="s">
        <v>1647</v>
      </c>
      <c r="CB6" s="121" t="s">
        <v>1647</v>
      </c>
      <c r="CC6" s="121" t="s">
        <v>1649</v>
      </c>
      <c r="CD6" s="122" t="s">
        <v>1650</v>
      </c>
    </row>
    <row r="7" ht="15" customHeight="1" spans="1:82">
      <c r="A7" s="123" t="str">
        <f>IF(B7="","",COUNT(A$6:A6)+1)</f>
        <v/>
      </c>
      <c r="B7" s="124"/>
      <c r="C7" s="125"/>
      <c r="D7" s="125"/>
      <c r="E7" s="225"/>
      <c r="F7" s="127"/>
      <c r="G7" s="127" t="str">
        <f>IFERROR(VLOOKUP(F7,参数表!$H$2:$I$50,2,FALSE),"")</f>
        <v/>
      </c>
      <c r="H7" s="128" t="str">
        <f>IFERROR(IF(OR(F7="人民币",F7=""),"",K7/G7),"")</f>
        <v/>
      </c>
      <c r="I7" s="129"/>
      <c r="J7" s="130"/>
      <c r="K7" s="129" t="str">
        <f>IF(B7="","",I7+J7)</f>
        <v/>
      </c>
      <c r="L7" s="129" t="str">
        <f t="shared" ref="L7:L26" si="0">IF(B7="","",IF($BB$3="是",BU7,""))</f>
        <v/>
      </c>
      <c r="M7" s="131"/>
      <c r="BA7" s="78"/>
      <c r="BB7" s="132" t="s">
        <v>5114</v>
      </c>
      <c r="BC7" s="133"/>
      <c r="BD7" s="132" t="str">
        <f>IF(OR(B7="",BC7=""),"",COUNTIF(BC$7:BC7,"√"))</f>
        <v/>
      </c>
      <c r="BE7" s="134" t="str">
        <f t="shared" ref="BE7:BE26" si="1">IF(BC7="","",BB7&amp;"︱"&amp;B7&amp;"︱"&amp;TEXT(I7,"#,##0.00"))</f>
        <v/>
      </c>
      <c r="BF7" s="135" t="str">
        <f>IF($B7="","",IF(BF$5=0,"OK","出错"))</f>
        <v/>
      </c>
      <c r="BG7" s="135" t="str">
        <f>IF($B7="","",IF(BG$5=0,"OK","出错"))</f>
        <v/>
      </c>
      <c r="BH7" s="136"/>
      <c r="BI7" s="137"/>
      <c r="BJ7" s="136"/>
      <c r="BK7" s="136"/>
      <c r="BL7" s="136"/>
      <c r="BM7" s="136"/>
      <c r="BN7" s="136"/>
      <c r="BO7" s="137"/>
      <c r="BP7" s="137"/>
      <c r="BQ7" s="165" t="s">
        <v>1674</v>
      </c>
      <c r="BR7" s="156">
        <f t="shared" ref="BR7:BR26" si="2">(BB$2-C7)/365.25</f>
        <v>125.582477754962</v>
      </c>
      <c r="BS7" s="156" t="str">
        <f t="shared" ref="BS7:BS26" si="3">K7</f>
        <v/>
      </c>
      <c r="BT7" s="346">
        <f t="shared" ref="BT7:BT26" si="4">E7</f>
        <v>0</v>
      </c>
      <c r="BU7" s="347">
        <f>IFERROR(BS7*(1+BR7*BT7),0)</f>
        <v>0</v>
      </c>
      <c r="BW7" s="134" t="str">
        <f>IF(COUNTIF(BW$6:BW6,B7)&gt;0,"",B7)&amp;""</f>
        <v/>
      </c>
      <c r="BX7" s="138">
        <f>SUMIF(B$7:B$26,BW7,K$7:K$26)</f>
        <v>0</v>
      </c>
      <c r="BY7" s="132">
        <f t="shared" ref="BY7" si="5">RANK(BX7,BX$7:BX$26)</f>
        <v>1</v>
      </c>
      <c r="BZ7" s="138">
        <f>SUMIF(B$7:B$26,BW7,L$7:L$26)</f>
        <v>0</v>
      </c>
      <c r="CA7" s="132">
        <f>RANK(BZ7,BZ$7:BZ$26)</f>
        <v>1</v>
      </c>
      <c r="CB7" s="138">
        <f>SUM(BX7:BX26)</f>
        <v>0</v>
      </c>
      <c r="CC7" s="138"/>
      <c r="CD7" s="138"/>
    </row>
    <row r="8" ht="15" customHeight="1" spans="1:82">
      <c r="A8" s="123" t="str">
        <f>IF(B8="","",COUNT(A$6:A7)+1)</f>
        <v/>
      </c>
      <c r="B8" s="139"/>
      <c r="C8" s="140"/>
      <c r="D8" s="140"/>
      <c r="E8" s="255"/>
      <c r="F8" s="142"/>
      <c r="G8" s="127" t="str">
        <f>IFERROR(VLOOKUP(F8,参数表!$H$2:$I$50,2,FALSE),"")</f>
        <v/>
      </c>
      <c r="H8" s="128" t="str">
        <f t="shared" ref="H8:H26" si="6">IFERROR(IF(OR(F8="人民币",F8=""),"",K8/G8),"")</f>
        <v/>
      </c>
      <c r="I8" s="143"/>
      <c r="J8" s="144"/>
      <c r="K8" s="129" t="str">
        <f t="shared" ref="K8:K26" si="7">IF(B8="","",I8+J8)</f>
        <v/>
      </c>
      <c r="L8" s="129" t="str">
        <f t="shared" si="0"/>
        <v/>
      </c>
      <c r="M8" s="145"/>
      <c r="BA8" s="78"/>
      <c r="BB8" s="132" t="s">
        <v>5115</v>
      </c>
      <c r="BC8" s="133"/>
      <c r="BD8" s="132" t="str">
        <f>IF(OR(B8="",BC8=""),"",COUNTIF(BC$7:BC8,"√"))</f>
        <v/>
      </c>
      <c r="BE8" s="134" t="str">
        <f t="shared" si="1"/>
        <v/>
      </c>
      <c r="BF8" s="135" t="str">
        <f t="shared" ref="BF8:BG26" si="8">IF($B8="","",IF(BF$5=0,"OK","出错"))</f>
        <v/>
      </c>
      <c r="BG8" s="135" t="str">
        <f t="shared" si="8"/>
        <v/>
      </c>
      <c r="BH8" s="136"/>
      <c r="BI8" s="137"/>
      <c r="BJ8" s="136"/>
      <c r="BK8" s="136"/>
      <c r="BL8" s="136"/>
      <c r="BM8" s="136"/>
      <c r="BN8" s="136"/>
      <c r="BO8" s="137"/>
      <c r="BP8" s="137"/>
      <c r="BQ8" s="165" t="s">
        <v>1674</v>
      </c>
      <c r="BR8" s="156">
        <f t="shared" si="2"/>
        <v>125.582477754962</v>
      </c>
      <c r="BS8" s="156" t="str">
        <f t="shared" si="3"/>
        <v/>
      </c>
      <c r="BT8" s="346">
        <f t="shared" si="4"/>
        <v>0</v>
      </c>
      <c r="BU8" s="347">
        <f t="shared" ref="BU8:BU26" si="9">IFERROR(BS8*(1+BR8*BT8),0)</f>
        <v>0</v>
      </c>
      <c r="BW8" s="134" t="str">
        <f>IF(COUNTIF(BW$6:BW7,B8)&gt;0,"",B8)&amp;""</f>
        <v/>
      </c>
      <c r="BX8" s="138">
        <f t="shared" ref="BX8:BX26" si="10">SUMIF(B$7:B$26,BW8,K$7:K$26)</f>
        <v>0</v>
      </c>
      <c r="BY8" s="132">
        <f t="shared" ref="BY8:BY26" si="11">RANK(BX8,BX$7:BX$26)</f>
        <v>1</v>
      </c>
      <c r="BZ8" s="138">
        <f t="shared" ref="BZ8:BZ26" si="12">SUMIF(B$7:B$26,BW8,L$7:L$26)</f>
        <v>0</v>
      </c>
      <c r="CA8" s="132">
        <f t="shared" ref="CA8:CA26" si="13">RANK(BZ8,BZ$7:BZ$26)</f>
        <v>1</v>
      </c>
      <c r="CB8" s="138">
        <f>SUM(BZ7:BZ26)</f>
        <v>0</v>
      </c>
      <c r="CC8" s="138"/>
      <c r="CD8" s="138"/>
    </row>
    <row r="9" ht="15" customHeight="1" spans="1:82">
      <c r="A9" s="123" t="str">
        <f>IF(B9="","",COUNT(A$6:A8)+1)</f>
        <v/>
      </c>
      <c r="B9" s="139"/>
      <c r="C9" s="140"/>
      <c r="D9" s="140"/>
      <c r="E9" s="255"/>
      <c r="F9" s="142"/>
      <c r="G9" s="127" t="str">
        <f>IFERROR(VLOOKUP(F9,参数表!$H$2:$I$50,2,FALSE),"")</f>
        <v/>
      </c>
      <c r="H9" s="128" t="str">
        <f t="shared" si="6"/>
        <v/>
      </c>
      <c r="I9" s="143"/>
      <c r="J9" s="144"/>
      <c r="K9" s="129" t="str">
        <f t="shared" si="7"/>
        <v/>
      </c>
      <c r="L9" s="129" t="str">
        <f t="shared" si="0"/>
        <v/>
      </c>
      <c r="M9" s="145"/>
      <c r="BA9" s="78"/>
      <c r="BB9" s="132" t="s">
        <v>5116</v>
      </c>
      <c r="BC9" s="133"/>
      <c r="BD9" s="132" t="str">
        <f>IF(OR(B9="",BC9=""),"",COUNTIF(BC$7:BC9,"√"))</f>
        <v/>
      </c>
      <c r="BE9" s="134" t="str">
        <f t="shared" si="1"/>
        <v/>
      </c>
      <c r="BF9" s="135" t="str">
        <f t="shared" si="8"/>
        <v/>
      </c>
      <c r="BG9" s="135" t="str">
        <f t="shared" si="8"/>
        <v/>
      </c>
      <c r="BH9" s="136"/>
      <c r="BI9" s="137"/>
      <c r="BJ9" s="136"/>
      <c r="BK9" s="136"/>
      <c r="BL9" s="136"/>
      <c r="BM9" s="136"/>
      <c r="BN9" s="136"/>
      <c r="BO9" s="137"/>
      <c r="BP9" s="137"/>
      <c r="BQ9" s="165" t="s">
        <v>1674</v>
      </c>
      <c r="BR9" s="156">
        <f t="shared" si="2"/>
        <v>125.582477754962</v>
      </c>
      <c r="BS9" s="156" t="str">
        <f t="shared" si="3"/>
        <v/>
      </c>
      <c r="BT9" s="346">
        <f t="shared" si="4"/>
        <v>0</v>
      </c>
      <c r="BU9" s="347">
        <f t="shared" si="9"/>
        <v>0</v>
      </c>
      <c r="BW9" s="134" t="str">
        <f>IF(COUNTIF(BW$6:BW8,B9)&gt;0,"",B9)&amp;""</f>
        <v/>
      </c>
      <c r="BX9" s="138">
        <f t="shared" si="10"/>
        <v>0</v>
      </c>
      <c r="BY9" s="132">
        <f t="shared" si="11"/>
        <v>1</v>
      </c>
      <c r="BZ9" s="138">
        <f t="shared" si="12"/>
        <v>0</v>
      </c>
      <c r="CA9" s="132">
        <f t="shared" si="13"/>
        <v>1</v>
      </c>
      <c r="CB9" s="132">
        <v>1</v>
      </c>
      <c r="CC9" s="134" t="str">
        <f>IFERROR(INDEX(BW$7:BW$26,MATCH(CB9,IF(CB$7=0,CA$7:CA$26,BY$7:BY$26),0))&amp;"","")</f>
        <v/>
      </c>
      <c r="CD9" s="146" t="str">
        <f>IF(CC10="","",IF(CC11="","和","、"))</f>
        <v/>
      </c>
    </row>
    <row r="10" ht="15" customHeight="1" spans="1:82">
      <c r="A10" s="123" t="str">
        <f>IF(B10="","",COUNT(A$6:A9)+1)</f>
        <v/>
      </c>
      <c r="B10" s="139"/>
      <c r="C10" s="140"/>
      <c r="D10" s="140"/>
      <c r="E10" s="255"/>
      <c r="F10" s="142"/>
      <c r="G10" s="127" t="str">
        <f>IFERROR(VLOOKUP(F10,参数表!$H$2:$I$50,2,FALSE),"")</f>
        <v/>
      </c>
      <c r="H10" s="128" t="str">
        <f t="shared" si="6"/>
        <v/>
      </c>
      <c r="I10" s="143"/>
      <c r="J10" s="144"/>
      <c r="K10" s="129" t="str">
        <f t="shared" si="7"/>
        <v/>
      </c>
      <c r="L10" s="129" t="str">
        <f t="shared" si="0"/>
        <v/>
      </c>
      <c r="M10" s="145"/>
      <c r="BA10" s="78"/>
      <c r="BB10" s="132" t="s">
        <v>5117</v>
      </c>
      <c r="BC10" s="133"/>
      <c r="BD10" s="132" t="str">
        <f>IF(OR(B10="",BC10=""),"",COUNTIF(BC$7:BC10,"√"))</f>
        <v/>
      </c>
      <c r="BE10" s="134" t="str">
        <f t="shared" si="1"/>
        <v/>
      </c>
      <c r="BF10" s="135" t="str">
        <f t="shared" si="8"/>
        <v/>
      </c>
      <c r="BG10" s="135" t="str">
        <f t="shared" si="8"/>
        <v/>
      </c>
      <c r="BH10" s="136"/>
      <c r="BI10" s="137"/>
      <c r="BJ10" s="136"/>
      <c r="BK10" s="136"/>
      <c r="BL10" s="136"/>
      <c r="BM10" s="136"/>
      <c r="BN10" s="136"/>
      <c r="BO10" s="137"/>
      <c r="BP10" s="137"/>
      <c r="BQ10" s="165" t="s">
        <v>1674</v>
      </c>
      <c r="BR10" s="156">
        <f t="shared" si="2"/>
        <v>125.582477754962</v>
      </c>
      <c r="BS10" s="156" t="str">
        <f t="shared" si="3"/>
        <v/>
      </c>
      <c r="BT10" s="346">
        <f t="shared" si="4"/>
        <v>0</v>
      </c>
      <c r="BU10" s="347">
        <f t="shared" si="9"/>
        <v>0</v>
      </c>
      <c r="BW10" s="134" t="str">
        <f>IF(COUNTIF(BW$6:BW9,B10)&gt;0,"",B10)&amp;""</f>
        <v/>
      </c>
      <c r="BX10" s="138">
        <f t="shared" si="10"/>
        <v>0</v>
      </c>
      <c r="BY10" s="132">
        <f t="shared" si="11"/>
        <v>1</v>
      </c>
      <c r="BZ10" s="138">
        <f t="shared" si="12"/>
        <v>0</v>
      </c>
      <c r="CA10" s="132">
        <f t="shared" si="13"/>
        <v>1</v>
      </c>
      <c r="CB10" s="132">
        <v>2</v>
      </c>
      <c r="CC10" s="134" t="str">
        <f t="shared" ref="CC10:CC13" si="14">IFERROR(INDEX(BW$7:BW$26,MATCH(CB10,IF(CB$7=0,CA$7:CA$26,BY$7:BY$26),0))&amp;"","")</f>
        <v/>
      </c>
      <c r="CD10" s="146" t="str">
        <f t="shared" ref="CD10:CD11" si="15">IF(CC11="","",IF(CC12="","和","、"))</f>
        <v/>
      </c>
    </row>
    <row r="11" ht="15" customHeight="1" spans="1:82">
      <c r="A11" s="123" t="str">
        <f>IF(B11="","",COUNT(A$6:A10)+1)</f>
        <v/>
      </c>
      <c r="B11" s="139"/>
      <c r="C11" s="140"/>
      <c r="D11" s="140"/>
      <c r="E11" s="255"/>
      <c r="F11" s="142"/>
      <c r="G11" s="127" t="str">
        <f>IFERROR(VLOOKUP(F11,参数表!$H$2:$I$50,2,FALSE),"")</f>
        <v/>
      </c>
      <c r="H11" s="128" t="str">
        <f t="shared" si="6"/>
        <v/>
      </c>
      <c r="I11" s="143"/>
      <c r="J11" s="144"/>
      <c r="K11" s="129" t="str">
        <f t="shared" si="7"/>
        <v/>
      </c>
      <c r="L11" s="129" t="str">
        <f t="shared" si="0"/>
        <v/>
      </c>
      <c r="M11" s="145"/>
      <c r="BA11" s="78"/>
      <c r="BB11" s="132" t="s">
        <v>5118</v>
      </c>
      <c r="BC11" s="133"/>
      <c r="BD11" s="132" t="str">
        <f>IF(OR(B11="",BC11=""),"",COUNTIF(BC$7:BC11,"√"))</f>
        <v/>
      </c>
      <c r="BE11" s="134" t="str">
        <f t="shared" si="1"/>
        <v/>
      </c>
      <c r="BF11" s="135" t="str">
        <f t="shared" si="8"/>
        <v/>
      </c>
      <c r="BG11" s="135" t="str">
        <f t="shared" si="8"/>
        <v/>
      </c>
      <c r="BH11" s="136"/>
      <c r="BI11" s="137"/>
      <c r="BJ11" s="136"/>
      <c r="BK11" s="136"/>
      <c r="BL11" s="136"/>
      <c r="BM11" s="136"/>
      <c r="BN11" s="136"/>
      <c r="BO11" s="137"/>
      <c r="BP11" s="137"/>
      <c r="BQ11" s="165" t="s">
        <v>1674</v>
      </c>
      <c r="BR11" s="156">
        <f t="shared" si="2"/>
        <v>125.582477754962</v>
      </c>
      <c r="BS11" s="156" t="str">
        <f t="shared" si="3"/>
        <v/>
      </c>
      <c r="BT11" s="346">
        <f t="shared" si="4"/>
        <v>0</v>
      </c>
      <c r="BU11" s="347">
        <f t="shared" si="9"/>
        <v>0</v>
      </c>
      <c r="BW11" s="134" t="str">
        <f>IF(COUNTIF(BW$6:BW10,B11)&gt;0,"",B11)&amp;""</f>
        <v/>
      </c>
      <c r="BX11" s="138">
        <f t="shared" si="10"/>
        <v>0</v>
      </c>
      <c r="BY11" s="132">
        <f t="shared" si="11"/>
        <v>1</v>
      </c>
      <c r="BZ11" s="138">
        <f t="shared" si="12"/>
        <v>0</v>
      </c>
      <c r="CA11" s="132">
        <f t="shared" si="13"/>
        <v>1</v>
      </c>
      <c r="CB11" s="132">
        <v>3</v>
      </c>
      <c r="CC11" s="134" t="str">
        <f t="shared" si="14"/>
        <v/>
      </c>
      <c r="CD11" s="146" t="str">
        <f t="shared" si="15"/>
        <v/>
      </c>
    </row>
    <row r="12" ht="15" customHeight="1" spans="1:82">
      <c r="A12" s="123" t="str">
        <f>IF(B12="","",COUNT(A$6:A11)+1)</f>
        <v/>
      </c>
      <c r="B12" s="139"/>
      <c r="C12" s="140"/>
      <c r="D12" s="140"/>
      <c r="E12" s="255"/>
      <c r="F12" s="142"/>
      <c r="G12" s="127" t="str">
        <f>IFERROR(VLOOKUP(F12,参数表!$H$2:$I$50,2,FALSE),"")</f>
        <v/>
      </c>
      <c r="H12" s="128" t="str">
        <f t="shared" si="6"/>
        <v/>
      </c>
      <c r="I12" s="143"/>
      <c r="J12" s="144"/>
      <c r="K12" s="129" t="str">
        <f t="shared" si="7"/>
        <v/>
      </c>
      <c r="L12" s="129" t="str">
        <f t="shared" si="0"/>
        <v/>
      </c>
      <c r="M12" s="145"/>
      <c r="BA12" s="78"/>
      <c r="BB12" s="132" t="s">
        <v>5119</v>
      </c>
      <c r="BC12" s="133"/>
      <c r="BD12" s="132" t="str">
        <f>IF(OR(B12="",BC12=""),"",COUNTIF(BC$7:BC12,"√"))</f>
        <v/>
      </c>
      <c r="BE12" s="134" t="str">
        <f t="shared" si="1"/>
        <v/>
      </c>
      <c r="BF12" s="135" t="str">
        <f t="shared" si="8"/>
        <v/>
      </c>
      <c r="BG12" s="135" t="str">
        <f t="shared" si="8"/>
        <v/>
      </c>
      <c r="BH12" s="136"/>
      <c r="BI12" s="137"/>
      <c r="BJ12" s="136"/>
      <c r="BK12" s="136"/>
      <c r="BL12" s="136"/>
      <c r="BM12" s="136"/>
      <c r="BN12" s="136"/>
      <c r="BO12" s="137"/>
      <c r="BP12" s="137"/>
      <c r="BQ12" s="165" t="s">
        <v>1674</v>
      </c>
      <c r="BR12" s="156">
        <f t="shared" si="2"/>
        <v>125.582477754962</v>
      </c>
      <c r="BS12" s="156" t="str">
        <f t="shared" si="3"/>
        <v/>
      </c>
      <c r="BT12" s="346">
        <f t="shared" si="4"/>
        <v>0</v>
      </c>
      <c r="BU12" s="347">
        <f t="shared" si="9"/>
        <v>0</v>
      </c>
      <c r="BW12" s="134" t="str">
        <f>IF(COUNTIF(BW$6:BW11,B12)&gt;0,"",B12)&amp;""</f>
        <v/>
      </c>
      <c r="BX12" s="138">
        <f t="shared" si="10"/>
        <v>0</v>
      </c>
      <c r="BY12" s="132">
        <f t="shared" si="11"/>
        <v>1</v>
      </c>
      <c r="BZ12" s="138">
        <f t="shared" si="12"/>
        <v>0</v>
      </c>
      <c r="CA12" s="132">
        <f t="shared" si="13"/>
        <v>1</v>
      </c>
      <c r="CB12" s="132">
        <v>4</v>
      </c>
      <c r="CC12" s="134" t="str">
        <f t="shared" si="14"/>
        <v/>
      </c>
      <c r="CD12" s="146" t="str">
        <f>IF(CC13="","","和")</f>
        <v/>
      </c>
    </row>
    <row r="13" ht="15" customHeight="1" spans="1:82">
      <c r="A13" s="123" t="str">
        <f>IF(B13="","",COUNT(A$6:A12)+1)</f>
        <v/>
      </c>
      <c r="B13" s="139"/>
      <c r="C13" s="140"/>
      <c r="D13" s="140"/>
      <c r="E13" s="255"/>
      <c r="F13" s="142"/>
      <c r="G13" s="127" t="str">
        <f>IFERROR(VLOOKUP(F13,参数表!$H$2:$I$50,2,FALSE),"")</f>
        <v/>
      </c>
      <c r="H13" s="128" t="str">
        <f t="shared" si="6"/>
        <v/>
      </c>
      <c r="I13" s="143"/>
      <c r="J13" s="144"/>
      <c r="K13" s="129" t="str">
        <f t="shared" si="7"/>
        <v/>
      </c>
      <c r="L13" s="129" t="str">
        <f t="shared" si="0"/>
        <v/>
      </c>
      <c r="M13" s="145"/>
      <c r="BA13" s="78"/>
      <c r="BB13" s="132" t="s">
        <v>5120</v>
      </c>
      <c r="BC13" s="133"/>
      <c r="BD13" s="132" t="str">
        <f>IF(OR(B13="",BC13=""),"",COUNTIF(BC$7:BC13,"√"))</f>
        <v/>
      </c>
      <c r="BE13" s="134" t="str">
        <f t="shared" si="1"/>
        <v/>
      </c>
      <c r="BF13" s="135" t="str">
        <f t="shared" si="8"/>
        <v/>
      </c>
      <c r="BG13" s="135" t="str">
        <f t="shared" si="8"/>
        <v/>
      </c>
      <c r="BH13" s="136"/>
      <c r="BI13" s="137"/>
      <c r="BJ13" s="136"/>
      <c r="BK13" s="136"/>
      <c r="BL13" s="136"/>
      <c r="BM13" s="136"/>
      <c r="BN13" s="136"/>
      <c r="BO13" s="137"/>
      <c r="BP13" s="137"/>
      <c r="BQ13" s="165" t="s">
        <v>1674</v>
      </c>
      <c r="BR13" s="156">
        <f t="shared" si="2"/>
        <v>125.582477754962</v>
      </c>
      <c r="BS13" s="156" t="str">
        <f t="shared" si="3"/>
        <v/>
      </c>
      <c r="BT13" s="346">
        <f t="shared" si="4"/>
        <v>0</v>
      </c>
      <c r="BU13" s="347">
        <f t="shared" si="9"/>
        <v>0</v>
      </c>
      <c r="BW13" s="134" t="str">
        <f>IF(COUNTIF(BW$6:BW12,B13)&gt;0,"",B13)&amp;""</f>
        <v/>
      </c>
      <c r="BX13" s="138">
        <f t="shared" si="10"/>
        <v>0</v>
      </c>
      <c r="BY13" s="132">
        <f t="shared" si="11"/>
        <v>1</v>
      </c>
      <c r="BZ13" s="138">
        <f t="shared" si="12"/>
        <v>0</v>
      </c>
      <c r="CA13" s="132">
        <f t="shared" si="13"/>
        <v>1</v>
      </c>
      <c r="CB13" s="132">
        <v>5</v>
      </c>
      <c r="CC13" s="134" t="str">
        <f t="shared" si="14"/>
        <v/>
      </c>
      <c r="CD13" s="146"/>
    </row>
    <row r="14" ht="15" customHeight="1" spans="1:82">
      <c r="A14" s="123" t="str">
        <f>IF(B14="","",COUNT(A$6:A13)+1)</f>
        <v/>
      </c>
      <c r="B14" s="139"/>
      <c r="C14" s="140"/>
      <c r="D14" s="140"/>
      <c r="E14" s="255"/>
      <c r="F14" s="142"/>
      <c r="G14" s="127" t="str">
        <f>IFERROR(VLOOKUP(F14,参数表!$H$2:$I$50,2,FALSE),"")</f>
        <v/>
      </c>
      <c r="H14" s="128" t="str">
        <f t="shared" si="6"/>
        <v/>
      </c>
      <c r="I14" s="143"/>
      <c r="J14" s="144"/>
      <c r="K14" s="129" t="str">
        <f t="shared" si="7"/>
        <v/>
      </c>
      <c r="L14" s="129" t="str">
        <f t="shared" si="0"/>
        <v/>
      </c>
      <c r="M14" s="145"/>
      <c r="BA14" s="78"/>
      <c r="BB14" s="132" t="s">
        <v>5121</v>
      </c>
      <c r="BC14" s="133"/>
      <c r="BD14" s="132" t="str">
        <f>IF(OR(B14="",BC14=""),"",COUNTIF(BC$7:BC14,"√"))</f>
        <v/>
      </c>
      <c r="BE14" s="134" t="str">
        <f t="shared" si="1"/>
        <v/>
      </c>
      <c r="BF14" s="135" t="str">
        <f t="shared" si="8"/>
        <v/>
      </c>
      <c r="BG14" s="135" t="str">
        <f t="shared" si="8"/>
        <v/>
      </c>
      <c r="BH14" s="136"/>
      <c r="BI14" s="137"/>
      <c r="BJ14" s="136"/>
      <c r="BK14" s="136"/>
      <c r="BL14" s="136"/>
      <c r="BM14" s="136"/>
      <c r="BN14" s="136"/>
      <c r="BO14" s="137"/>
      <c r="BP14" s="137"/>
      <c r="BQ14" s="165" t="s">
        <v>1674</v>
      </c>
      <c r="BR14" s="156">
        <f t="shared" si="2"/>
        <v>125.582477754962</v>
      </c>
      <c r="BS14" s="156" t="str">
        <f t="shared" si="3"/>
        <v/>
      </c>
      <c r="BT14" s="346">
        <f t="shared" si="4"/>
        <v>0</v>
      </c>
      <c r="BU14" s="347">
        <f t="shared" si="9"/>
        <v>0</v>
      </c>
      <c r="BW14" s="134" t="str">
        <f>IF(COUNTIF(BW$6:BW13,B14)&gt;0,"",B14)&amp;""</f>
        <v/>
      </c>
      <c r="BX14" s="138">
        <f t="shared" si="10"/>
        <v>0</v>
      </c>
      <c r="BY14" s="132">
        <f t="shared" si="11"/>
        <v>1</v>
      </c>
      <c r="BZ14" s="138">
        <f t="shared" si="12"/>
        <v>0</v>
      </c>
      <c r="CA14" s="132">
        <f t="shared" si="13"/>
        <v>1</v>
      </c>
      <c r="CB14" s="147" t="s">
        <v>1659</v>
      </c>
      <c r="CC14" s="132" t="str">
        <f>CONCATENATE(CC9,CD9,CC10,CD10,CC11,CD11,CC12,CD12,CC13)</f>
        <v/>
      </c>
      <c r="CD14" s="132"/>
    </row>
    <row r="15" ht="15" customHeight="1" spans="1:82">
      <c r="A15" s="123" t="str">
        <f>IF(B15="","",COUNT(A$6:A14)+1)</f>
        <v/>
      </c>
      <c r="B15" s="139"/>
      <c r="C15" s="140"/>
      <c r="D15" s="140"/>
      <c r="E15" s="255"/>
      <c r="F15" s="142"/>
      <c r="G15" s="127" t="str">
        <f>IFERROR(VLOOKUP(F15,参数表!$H$2:$I$50,2,FALSE),"")</f>
        <v/>
      </c>
      <c r="H15" s="128" t="str">
        <f t="shared" si="6"/>
        <v/>
      </c>
      <c r="I15" s="143"/>
      <c r="J15" s="144"/>
      <c r="K15" s="129" t="str">
        <f t="shared" si="7"/>
        <v/>
      </c>
      <c r="L15" s="129" t="str">
        <f t="shared" si="0"/>
        <v/>
      </c>
      <c r="M15" s="145"/>
      <c r="BA15" s="78"/>
      <c r="BB15" s="132" t="s">
        <v>5122</v>
      </c>
      <c r="BC15" s="133"/>
      <c r="BD15" s="132" t="str">
        <f>IF(OR(B15="",BC15=""),"",COUNTIF(BC$7:BC15,"√"))</f>
        <v/>
      </c>
      <c r="BE15" s="134" t="str">
        <f t="shared" si="1"/>
        <v/>
      </c>
      <c r="BF15" s="135" t="str">
        <f t="shared" si="8"/>
        <v/>
      </c>
      <c r="BG15" s="135" t="str">
        <f t="shared" si="8"/>
        <v/>
      </c>
      <c r="BH15" s="136"/>
      <c r="BI15" s="137"/>
      <c r="BJ15" s="136"/>
      <c r="BK15" s="136"/>
      <c r="BL15" s="136"/>
      <c r="BM15" s="136"/>
      <c r="BN15" s="136"/>
      <c r="BO15" s="137"/>
      <c r="BP15" s="137"/>
      <c r="BQ15" s="165" t="s">
        <v>1674</v>
      </c>
      <c r="BR15" s="156">
        <f t="shared" si="2"/>
        <v>125.582477754962</v>
      </c>
      <c r="BS15" s="156" t="str">
        <f t="shared" si="3"/>
        <v/>
      </c>
      <c r="BT15" s="346">
        <f t="shared" si="4"/>
        <v>0</v>
      </c>
      <c r="BU15" s="347">
        <f t="shared" si="9"/>
        <v>0</v>
      </c>
      <c r="BW15" s="134" t="str">
        <f>IF(COUNTIF(BW$6:BW14,B15)&gt;0,"",B15)&amp;""</f>
        <v/>
      </c>
      <c r="BX15" s="138">
        <f t="shared" si="10"/>
        <v>0</v>
      </c>
      <c r="BY15" s="132">
        <f t="shared" si="11"/>
        <v>1</v>
      </c>
      <c r="BZ15" s="138">
        <f t="shared" si="12"/>
        <v>0</v>
      </c>
      <c r="CA15" s="132">
        <f t="shared" si="13"/>
        <v>1</v>
      </c>
      <c r="CB15" s="133"/>
      <c r="CC15" s="133"/>
    </row>
    <row r="16" ht="15" customHeight="1" spans="1:82">
      <c r="A16" s="123" t="str">
        <f>IF(B16="","",COUNT(A$6:A15)+1)</f>
        <v/>
      </c>
      <c r="B16" s="139"/>
      <c r="C16" s="140"/>
      <c r="D16" s="140"/>
      <c r="E16" s="255"/>
      <c r="F16" s="142"/>
      <c r="G16" s="127" t="str">
        <f>IFERROR(VLOOKUP(F16,参数表!$H$2:$I$50,2,FALSE),"")</f>
        <v/>
      </c>
      <c r="H16" s="128" t="str">
        <f t="shared" si="6"/>
        <v/>
      </c>
      <c r="I16" s="143"/>
      <c r="J16" s="144"/>
      <c r="K16" s="129" t="str">
        <f t="shared" si="7"/>
        <v/>
      </c>
      <c r="L16" s="129" t="str">
        <f t="shared" si="0"/>
        <v/>
      </c>
      <c r="M16" s="145"/>
      <c r="BA16" s="78"/>
      <c r="BB16" s="132" t="s">
        <v>5123</v>
      </c>
      <c r="BC16" s="133"/>
      <c r="BD16" s="132" t="str">
        <f>IF(OR(B16="",BC16=""),"",COUNTIF(BC$7:BC16,"√"))</f>
        <v/>
      </c>
      <c r="BE16" s="134" t="str">
        <f t="shared" si="1"/>
        <v/>
      </c>
      <c r="BF16" s="135" t="str">
        <f t="shared" si="8"/>
        <v/>
      </c>
      <c r="BG16" s="135" t="str">
        <f t="shared" si="8"/>
        <v/>
      </c>
      <c r="BH16" s="136"/>
      <c r="BI16" s="137"/>
      <c r="BJ16" s="136"/>
      <c r="BK16" s="136"/>
      <c r="BL16" s="136"/>
      <c r="BM16" s="136"/>
      <c r="BN16" s="136"/>
      <c r="BO16" s="137"/>
      <c r="BP16" s="137"/>
      <c r="BQ16" s="165" t="s">
        <v>1674</v>
      </c>
      <c r="BR16" s="156">
        <f t="shared" si="2"/>
        <v>125.582477754962</v>
      </c>
      <c r="BS16" s="156" t="str">
        <f t="shared" si="3"/>
        <v/>
      </c>
      <c r="BT16" s="346">
        <f t="shared" si="4"/>
        <v>0</v>
      </c>
      <c r="BU16" s="347">
        <f t="shared" si="9"/>
        <v>0</v>
      </c>
      <c r="BW16" s="134" t="str">
        <f>IF(COUNTIF(BW$6:BW15,B16)&gt;0,"",B16)&amp;""</f>
        <v/>
      </c>
      <c r="BX16" s="138">
        <f t="shared" si="10"/>
        <v>0</v>
      </c>
      <c r="BY16" s="132">
        <f t="shared" si="11"/>
        <v>1</v>
      </c>
      <c r="BZ16" s="138">
        <f t="shared" si="12"/>
        <v>0</v>
      </c>
      <c r="CA16" s="132">
        <f t="shared" si="13"/>
        <v>1</v>
      </c>
      <c r="CB16" s="133"/>
      <c r="CC16" s="148"/>
    </row>
    <row r="17" ht="15" customHeight="1" spans="1:82">
      <c r="A17" s="123" t="str">
        <f>IF(B17="","",COUNT(A$6:A16)+1)</f>
        <v/>
      </c>
      <c r="B17" s="139"/>
      <c r="C17" s="140"/>
      <c r="D17" s="140"/>
      <c r="E17" s="255"/>
      <c r="F17" s="142"/>
      <c r="G17" s="127" t="str">
        <f>IFERROR(VLOOKUP(F17,参数表!$H$2:$I$50,2,FALSE),"")</f>
        <v/>
      </c>
      <c r="H17" s="128" t="str">
        <f t="shared" si="6"/>
        <v/>
      </c>
      <c r="I17" s="143"/>
      <c r="J17" s="144"/>
      <c r="K17" s="129" t="str">
        <f t="shared" si="7"/>
        <v/>
      </c>
      <c r="L17" s="129" t="str">
        <f t="shared" si="0"/>
        <v/>
      </c>
      <c r="M17" s="145"/>
      <c r="BA17" s="78"/>
      <c r="BB17" s="132" t="s">
        <v>5124</v>
      </c>
      <c r="BC17" s="133"/>
      <c r="BD17" s="132" t="str">
        <f>IF(OR(B17="",BC17=""),"",COUNTIF(BC$7:BC17,"√"))</f>
        <v/>
      </c>
      <c r="BE17" s="134" t="str">
        <f t="shared" si="1"/>
        <v/>
      </c>
      <c r="BF17" s="135" t="str">
        <f t="shared" si="8"/>
        <v/>
      </c>
      <c r="BG17" s="135" t="str">
        <f t="shared" si="8"/>
        <v/>
      </c>
      <c r="BH17" s="136"/>
      <c r="BI17" s="137"/>
      <c r="BJ17" s="136"/>
      <c r="BK17" s="136"/>
      <c r="BL17" s="136"/>
      <c r="BM17" s="136"/>
      <c r="BN17" s="136"/>
      <c r="BO17" s="137"/>
      <c r="BP17" s="137"/>
      <c r="BQ17" s="165" t="s">
        <v>1674</v>
      </c>
      <c r="BR17" s="156">
        <f t="shared" si="2"/>
        <v>125.582477754962</v>
      </c>
      <c r="BS17" s="156" t="str">
        <f t="shared" si="3"/>
        <v/>
      </c>
      <c r="BT17" s="346">
        <f t="shared" si="4"/>
        <v>0</v>
      </c>
      <c r="BU17" s="347">
        <f t="shared" si="9"/>
        <v>0</v>
      </c>
      <c r="BW17" s="134" t="str">
        <f>IF(COUNTIF(BW$6:BW16,B17)&gt;0,"",B17)&amp;""</f>
        <v/>
      </c>
      <c r="BX17" s="138">
        <f t="shared" si="10"/>
        <v>0</v>
      </c>
      <c r="BY17" s="132">
        <f t="shared" si="11"/>
        <v>1</v>
      </c>
      <c r="BZ17" s="138">
        <f t="shared" si="12"/>
        <v>0</v>
      </c>
      <c r="CA17" s="132">
        <f t="shared" si="13"/>
        <v>1</v>
      </c>
      <c r="CB17" s="133"/>
      <c r="CC17" s="133"/>
    </row>
    <row r="18" ht="15" customHeight="1" spans="1:82">
      <c r="A18" s="123" t="str">
        <f>IF(B18="","",COUNT(A$6:A17)+1)</f>
        <v/>
      </c>
      <c r="B18" s="139"/>
      <c r="C18" s="140"/>
      <c r="D18" s="140"/>
      <c r="E18" s="255"/>
      <c r="F18" s="142"/>
      <c r="G18" s="127" t="str">
        <f>IFERROR(VLOOKUP(F18,参数表!$H$2:$I$50,2,FALSE),"")</f>
        <v/>
      </c>
      <c r="H18" s="128" t="str">
        <f t="shared" si="6"/>
        <v/>
      </c>
      <c r="I18" s="143"/>
      <c r="J18" s="144"/>
      <c r="K18" s="129" t="str">
        <f t="shared" si="7"/>
        <v/>
      </c>
      <c r="L18" s="129" t="str">
        <f t="shared" si="0"/>
        <v/>
      </c>
      <c r="M18" s="145"/>
      <c r="BA18" s="78"/>
      <c r="BB18" s="132" t="s">
        <v>5125</v>
      </c>
      <c r="BC18" s="133"/>
      <c r="BD18" s="132" t="str">
        <f>IF(OR(B18="",BC18=""),"",COUNTIF(BC$7:BC18,"√"))</f>
        <v/>
      </c>
      <c r="BE18" s="134" t="str">
        <f t="shared" si="1"/>
        <v/>
      </c>
      <c r="BF18" s="135" t="str">
        <f t="shared" si="8"/>
        <v/>
      </c>
      <c r="BG18" s="135" t="str">
        <f t="shared" si="8"/>
        <v/>
      </c>
      <c r="BH18" s="136"/>
      <c r="BI18" s="137"/>
      <c r="BJ18" s="136"/>
      <c r="BK18" s="136"/>
      <c r="BL18" s="136"/>
      <c r="BM18" s="136"/>
      <c r="BN18" s="136"/>
      <c r="BO18" s="137"/>
      <c r="BP18" s="137"/>
      <c r="BQ18" s="165" t="s">
        <v>1674</v>
      </c>
      <c r="BR18" s="156">
        <f t="shared" si="2"/>
        <v>125.582477754962</v>
      </c>
      <c r="BS18" s="156" t="str">
        <f t="shared" si="3"/>
        <v/>
      </c>
      <c r="BT18" s="346">
        <f t="shared" si="4"/>
        <v>0</v>
      </c>
      <c r="BU18" s="347">
        <f t="shared" si="9"/>
        <v>0</v>
      </c>
      <c r="BW18" s="134" t="str">
        <f>IF(COUNTIF(BW$6:BW17,B18)&gt;0,"",B18)&amp;""</f>
        <v/>
      </c>
      <c r="BX18" s="138">
        <f t="shared" si="10"/>
        <v>0</v>
      </c>
      <c r="BY18" s="132">
        <f t="shared" si="11"/>
        <v>1</v>
      </c>
      <c r="BZ18" s="138">
        <f t="shared" si="12"/>
        <v>0</v>
      </c>
      <c r="CA18" s="132">
        <f t="shared" si="13"/>
        <v>1</v>
      </c>
      <c r="CB18" s="133"/>
      <c r="CC18" s="133"/>
    </row>
    <row r="19" ht="15" customHeight="1" spans="1:82">
      <c r="A19" s="123" t="str">
        <f>IF(B19="","",COUNT(A$6:A18)+1)</f>
        <v/>
      </c>
      <c r="B19" s="139"/>
      <c r="C19" s="140"/>
      <c r="D19" s="140"/>
      <c r="E19" s="255"/>
      <c r="F19" s="142"/>
      <c r="G19" s="127" t="str">
        <f>IFERROR(VLOOKUP(F19,参数表!$H$2:$I$50,2,FALSE),"")</f>
        <v/>
      </c>
      <c r="H19" s="128" t="str">
        <f t="shared" si="6"/>
        <v/>
      </c>
      <c r="I19" s="143"/>
      <c r="J19" s="144"/>
      <c r="K19" s="129" t="str">
        <f t="shared" si="7"/>
        <v/>
      </c>
      <c r="L19" s="129" t="str">
        <f t="shared" si="0"/>
        <v/>
      </c>
      <c r="M19" s="145"/>
      <c r="BA19" s="78"/>
      <c r="BB19" s="132" t="s">
        <v>5126</v>
      </c>
      <c r="BC19" s="133"/>
      <c r="BD19" s="132" t="str">
        <f>IF(OR(B19="",BC19=""),"",COUNTIF(BC$7:BC19,"√"))</f>
        <v/>
      </c>
      <c r="BE19" s="134" t="str">
        <f t="shared" si="1"/>
        <v/>
      </c>
      <c r="BF19" s="135" t="str">
        <f t="shared" si="8"/>
        <v/>
      </c>
      <c r="BG19" s="135" t="str">
        <f t="shared" si="8"/>
        <v/>
      </c>
      <c r="BH19" s="136"/>
      <c r="BI19" s="137"/>
      <c r="BJ19" s="136"/>
      <c r="BK19" s="136"/>
      <c r="BL19" s="136"/>
      <c r="BM19" s="136"/>
      <c r="BN19" s="136"/>
      <c r="BO19" s="137"/>
      <c r="BP19" s="137"/>
      <c r="BQ19" s="165" t="s">
        <v>1674</v>
      </c>
      <c r="BR19" s="156">
        <f t="shared" si="2"/>
        <v>125.582477754962</v>
      </c>
      <c r="BS19" s="156" t="str">
        <f t="shared" si="3"/>
        <v/>
      </c>
      <c r="BT19" s="346">
        <f t="shared" si="4"/>
        <v>0</v>
      </c>
      <c r="BU19" s="347">
        <f t="shared" si="9"/>
        <v>0</v>
      </c>
      <c r="BW19" s="134" t="str">
        <f>IF(COUNTIF(BW$6:BW18,B19)&gt;0,"",B19)&amp;""</f>
        <v/>
      </c>
      <c r="BX19" s="138">
        <f t="shared" si="10"/>
        <v>0</v>
      </c>
      <c r="BY19" s="132">
        <f t="shared" si="11"/>
        <v>1</v>
      </c>
      <c r="BZ19" s="138">
        <f t="shared" si="12"/>
        <v>0</v>
      </c>
      <c r="CA19" s="132">
        <f t="shared" si="13"/>
        <v>1</v>
      </c>
      <c r="CB19" s="133"/>
      <c r="CC19" s="133"/>
    </row>
    <row r="20" ht="15" customHeight="1" spans="1:82">
      <c r="A20" s="123" t="str">
        <f>IF(B20="","",COUNT(A$6:A19)+1)</f>
        <v/>
      </c>
      <c r="B20" s="139"/>
      <c r="C20" s="140"/>
      <c r="D20" s="140"/>
      <c r="E20" s="255"/>
      <c r="F20" s="142"/>
      <c r="G20" s="127" t="str">
        <f>IFERROR(VLOOKUP(F20,参数表!$H$2:$I$50,2,FALSE),"")</f>
        <v/>
      </c>
      <c r="H20" s="128" t="str">
        <f t="shared" si="6"/>
        <v/>
      </c>
      <c r="I20" s="143"/>
      <c r="J20" s="144"/>
      <c r="K20" s="129" t="str">
        <f t="shared" si="7"/>
        <v/>
      </c>
      <c r="L20" s="129" t="str">
        <f t="shared" si="0"/>
        <v/>
      </c>
      <c r="M20" s="145"/>
      <c r="BA20" s="78"/>
      <c r="BB20" s="132" t="s">
        <v>5127</v>
      </c>
      <c r="BC20" s="133"/>
      <c r="BD20" s="132" t="str">
        <f>IF(OR(B20="",BC20=""),"",COUNTIF(BC$7:BC20,"√"))</f>
        <v/>
      </c>
      <c r="BE20" s="134" t="str">
        <f t="shared" si="1"/>
        <v/>
      </c>
      <c r="BF20" s="135" t="str">
        <f t="shared" si="8"/>
        <v/>
      </c>
      <c r="BG20" s="135" t="str">
        <f t="shared" si="8"/>
        <v/>
      </c>
      <c r="BH20" s="136"/>
      <c r="BI20" s="137"/>
      <c r="BJ20" s="136"/>
      <c r="BK20" s="136"/>
      <c r="BL20" s="136"/>
      <c r="BM20" s="136"/>
      <c r="BN20" s="136"/>
      <c r="BO20" s="137"/>
      <c r="BP20" s="137"/>
      <c r="BQ20" s="165" t="s">
        <v>1674</v>
      </c>
      <c r="BR20" s="156">
        <f t="shared" si="2"/>
        <v>125.582477754962</v>
      </c>
      <c r="BS20" s="156" t="str">
        <f t="shared" si="3"/>
        <v/>
      </c>
      <c r="BT20" s="346">
        <f t="shared" si="4"/>
        <v>0</v>
      </c>
      <c r="BU20" s="347">
        <f t="shared" si="9"/>
        <v>0</v>
      </c>
      <c r="BW20" s="134" t="str">
        <f>IF(COUNTIF(BW$6:BW19,B20)&gt;0,"",B20)&amp;""</f>
        <v/>
      </c>
      <c r="BX20" s="138">
        <f t="shared" si="10"/>
        <v>0</v>
      </c>
      <c r="BY20" s="132">
        <f t="shared" si="11"/>
        <v>1</v>
      </c>
      <c r="BZ20" s="138">
        <f t="shared" si="12"/>
        <v>0</v>
      </c>
      <c r="CA20" s="132">
        <f t="shared" si="13"/>
        <v>1</v>
      </c>
      <c r="CB20" s="133"/>
      <c r="CC20" s="133"/>
    </row>
    <row r="21" ht="15" customHeight="1" spans="1:82">
      <c r="A21" s="123" t="str">
        <f>IF(B21="","",COUNT(A$6:A20)+1)</f>
        <v/>
      </c>
      <c r="B21" s="139"/>
      <c r="C21" s="140"/>
      <c r="D21" s="140"/>
      <c r="E21" s="255"/>
      <c r="F21" s="142"/>
      <c r="G21" s="127" t="str">
        <f>IFERROR(VLOOKUP(F21,参数表!$H$2:$I$50,2,FALSE),"")</f>
        <v/>
      </c>
      <c r="H21" s="128" t="str">
        <f t="shared" si="6"/>
        <v/>
      </c>
      <c r="I21" s="143"/>
      <c r="J21" s="144"/>
      <c r="K21" s="129" t="str">
        <f t="shared" si="7"/>
        <v/>
      </c>
      <c r="L21" s="129" t="str">
        <f t="shared" si="0"/>
        <v/>
      </c>
      <c r="M21" s="145"/>
      <c r="BA21" s="78"/>
      <c r="BB21" s="132" t="s">
        <v>5128</v>
      </c>
      <c r="BC21" s="133"/>
      <c r="BD21" s="132" t="str">
        <f>IF(OR(B21="",BC21=""),"",COUNTIF(BC$7:BC21,"√"))</f>
        <v/>
      </c>
      <c r="BE21" s="134" t="str">
        <f t="shared" si="1"/>
        <v/>
      </c>
      <c r="BF21" s="135" t="str">
        <f t="shared" si="8"/>
        <v/>
      </c>
      <c r="BG21" s="135" t="str">
        <f t="shared" si="8"/>
        <v/>
      </c>
      <c r="BH21" s="136"/>
      <c r="BI21" s="137"/>
      <c r="BJ21" s="136"/>
      <c r="BK21" s="136"/>
      <c r="BL21" s="136"/>
      <c r="BM21" s="136"/>
      <c r="BN21" s="136"/>
      <c r="BO21" s="137"/>
      <c r="BP21" s="137"/>
      <c r="BQ21" s="165" t="s">
        <v>1674</v>
      </c>
      <c r="BR21" s="156">
        <f t="shared" si="2"/>
        <v>125.582477754962</v>
      </c>
      <c r="BS21" s="156" t="str">
        <f t="shared" si="3"/>
        <v/>
      </c>
      <c r="BT21" s="346">
        <f t="shared" si="4"/>
        <v>0</v>
      </c>
      <c r="BU21" s="347">
        <f t="shared" si="9"/>
        <v>0</v>
      </c>
      <c r="BW21" s="134" t="str">
        <f>IF(COUNTIF(BW$6:BW20,B21)&gt;0,"",B21)&amp;""</f>
        <v/>
      </c>
      <c r="BX21" s="138">
        <f t="shared" si="10"/>
        <v>0</v>
      </c>
      <c r="BY21" s="132">
        <f t="shared" si="11"/>
        <v>1</v>
      </c>
      <c r="BZ21" s="138">
        <f t="shared" si="12"/>
        <v>0</v>
      </c>
      <c r="CA21" s="132">
        <f t="shared" si="13"/>
        <v>1</v>
      </c>
      <c r="CB21" s="133"/>
      <c r="CC21" s="133"/>
    </row>
    <row r="22" ht="15" customHeight="1" spans="1:82">
      <c r="A22" s="123" t="str">
        <f>IF(B22="","",COUNT(A$6:A21)+1)</f>
        <v/>
      </c>
      <c r="B22" s="139"/>
      <c r="C22" s="140"/>
      <c r="D22" s="140"/>
      <c r="E22" s="255"/>
      <c r="F22" s="142"/>
      <c r="G22" s="127" t="str">
        <f>IFERROR(VLOOKUP(F22,参数表!$H$2:$I$50,2,FALSE),"")</f>
        <v/>
      </c>
      <c r="H22" s="128" t="str">
        <f t="shared" si="6"/>
        <v/>
      </c>
      <c r="I22" s="143"/>
      <c r="J22" s="144"/>
      <c r="K22" s="129" t="str">
        <f t="shared" si="7"/>
        <v/>
      </c>
      <c r="L22" s="129" t="str">
        <f t="shared" si="0"/>
        <v/>
      </c>
      <c r="M22" s="145"/>
      <c r="BA22" s="78"/>
      <c r="BB22" s="132" t="s">
        <v>5129</v>
      </c>
      <c r="BC22" s="133"/>
      <c r="BD22" s="132" t="str">
        <f>IF(OR(B22="",BC22=""),"",COUNTIF(BC$7:BC22,"√"))</f>
        <v/>
      </c>
      <c r="BE22" s="134" t="str">
        <f t="shared" si="1"/>
        <v/>
      </c>
      <c r="BF22" s="135" t="str">
        <f t="shared" si="8"/>
        <v/>
      </c>
      <c r="BG22" s="135" t="str">
        <f t="shared" si="8"/>
        <v/>
      </c>
      <c r="BH22" s="136"/>
      <c r="BI22" s="137"/>
      <c r="BJ22" s="136"/>
      <c r="BK22" s="136"/>
      <c r="BL22" s="136"/>
      <c r="BM22" s="136"/>
      <c r="BN22" s="136"/>
      <c r="BO22" s="137"/>
      <c r="BP22" s="137"/>
      <c r="BQ22" s="165" t="s">
        <v>1674</v>
      </c>
      <c r="BR22" s="156">
        <f t="shared" si="2"/>
        <v>125.582477754962</v>
      </c>
      <c r="BS22" s="156" t="str">
        <f t="shared" si="3"/>
        <v/>
      </c>
      <c r="BT22" s="346">
        <f t="shared" si="4"/>
        <v>0</v>
      </c>
      <c r="BU22" s="347">
        <f t="shared" si="9"/>
        <v>0</v>
      </c>
      <c r="BW22" s="134" t="str">
        <f>IF(COUNTIF(BW$6:BW21,B22)&gt;0,"",B22)&amp;""</f>
        <v/>
      </c>
      <c r="BX22" s="138">
        <f t="shared" si="10"/>
        <v>0</v>
      </c>
      <c r="BY22" s="132">
        <f t="shared" si="11"/>
        <v>1</v>
      </c>
      <c r="BZ22" s="138">
        <f t="shared" si="12"/>
        <v>0</v>
      </c>
      <c r="CA22" s="132">
        <f t="shared" si="13"/>
        <v>1</v>
      </c>
      <c r="CB22" s="133"/>
      <c r="CC22" s="133"/>
    </row>
    <row r="23" ht="15" customHeight="1" spans="1:82">
      <c r="A23" s="123" t="str">
        <f>IF(B23="","",COUNT(A$6:A22)+1)</f>
        <v/>
      </c>
      <c r="B23" s="139"/>
      <c r="C23" s="140"/>
      <c r="D23" s="140"/>
      <c r="E23" s="255"/>
      <c r="F23" s="142"/>
      <c r="G23" s="127" t="str">
        <f>IFERROR(VLOOKUP(F23,参数表!$H$2:$I$50,2,FALSE),"")</f>
        <v/>
      </c>
      <c r="H23" s="128" t="str">
        <f t="shared" si="6"/>
        <v/>
      </c>
      <c r="I23" s="143"/>
      <c r="J23" s="144"/>
      <c r="K23" s="129" t="str">
        <f t="shared" si="7"/>
        <v/>
      </c>
      <c r="L23" s="129" t="str">
        <f t="shared" si="0"/>
        <v/>
      </c>
      <c r="M23" s="145"/>
      <c r="BA23" s="78"/>
      <c r="BB23" s="132" t="s">
        <v>5130</v>
      </c>
      <c r="BC23" s="133"/>
      <c r="BD23" s="132" t="str">
        <f>IF(OR(B23="",BC23=""),"",COUNTIF(BC$7:BC23,"√"))</f>
        <v/>
      </c>
      <c r="BE23" s="134" t="str">
        <f t="shared" si="1"/>
        <v/>
      </c>
      <c r="BF23" s="135" t="str">
        <f t="shared" si="8"/>
        <v/>
      </c>
      <c r="BG23" s="135" t="str">
        <f t="shared" si="8"/>
        <v/>
      </c>
      <c r="BH23" s="136"/>
      <c r="BI23" s="137"/>
      <c r="BJ23" s="136"/>
      <c r="BK23" s="136"/>
      <c r="BL23" s="136"/>
      <c r="BM23" s="136"/>
      <c r="BN23" s="136"/>
      <c r="BO23" s="137"/>
      <c r="BP23" s="137"/>
      <c r="BQ23" s="165" t="s">
        <v>1674</v>
      </c>
      <c r="BR23" s="156">
        <f t="shared" si="2"/>
        <v>125.582477754962</v>
      </c>
      <c r="BS23" s="156" t="str">
        <f t="shared" si="3"/>
        <v/>
      </c>
      <c r="BT23" s="346">
        <f t="shared" si="4"/>
        <v>0</v>
      </c>
      <c r="BU23" s="347">
        <f t="shared" si="9"/>
        <v>0</v>
      </c>
      <c r="BW23" s="134" t="str">
        <f>IF(COUNTIF(BW$6:BW22,B23)&gt;0,"",B23)&amp;""</f>
        <v/>
      </c>
      <c r="BX23" s="138">
        <f t="shared" si="10"/>
        <v>0</v>
      </c>
      <c r="BY23" s="132">
        <f t="shared" si="11"/>
        <v>1</v>
      </c>
      <c r="BZ23" s="138">
        <f t="shared" si="12"/>
        <v>0</v>
      </c>
      <c r="CA23" s="132">
        <f t="shared" si="13"/>
        <v>1</v>
      </c>
      <c r="CB23" s="133"/>
      <c r="CC23" s="133"/>
    </row>
    <row r="24" ht="15" customHeight="1" spans="1:82">
      <c r="A24" s="123" t="str">
        <f>IF(B24="","",COUNT(A$6:A23)+1)</f>
        <v/>
      </c>
      <c r="B24" s="139"/>
      <c r="C24" s="140"/>
      <c r="D24" s="140"/>
      <c r="E24" s="255"/>
      <c r="F24" s="142"/>
      <c r="G24" s="127" t="str">
        <f>IFERROR(VLOOKUP(F24,参数表!$H$2:$I$50,2,FALSE),"")</f>
        <v/>
      </c>
      <c r="H24" s="128" t="str">
        <f t="shared" si="6"/>
        <v/>
      </c>
      <c r="I24" s="143"/>
      <c r="J24" s="144"/>
      <c r="K24" s="129" t="str">
        <f t="shared" si="7"/>
        <v/>
      </c>
      <c r="L24" s="129" t="str">
        <f t="shared" si="0"/>
        <v/>
      </c>
      <c r="M24" s="145"/>
      <c r="BA24" s="78"/>
      <c r="BB24" s="132" t="s">
        <v>5131</v>
      </c>
      <c r="BC24" s="133"/>
      <c r="BD24" s="132" t="str">
        <f>IF(OR(B24="",BC24=""),"",COUNTIF(BC$7:BC24,"√"))</f>
        <v/>
      </c>
      <c r="BE24" s="134" t="str">
        <f t="shared" si="1"/>
        <v/>
      </c>
      <c r="BF24" s="135" t="str">
        <f t="shared" si="8"/>
        <v/>
      </c>
      <c r="BG24" s="135" t="str">
        <f t="shared" si="8"/>
        <v/>
      </c>
      <c r="BH24" s="136"/>
      <c r="BI24" s="137"/>
      <c r="BJ24" s="136"/>
      <c r="BK24" s="136"/>
      <c r="BL24" s="136"/>
      <c r="BM24" s="136"/>
      <c r="BN24" s="136"/>
      <c r="BO24" s="137"/>
      <c r="BP24" s="137"/>
      <c r="BQ24" s="165" t="s">
        <v>1674</v>
      </c>
      <c r="BR24" s="156">
        <f t="shared" si="2"/>
        <v>125.582477754962</v>
      </c>
      <c r="BS24" s="156" t="str">
        <f t="shared" si="3"/>
        <v/>
      </c>
      <c r="BT24" s="346">
        <f t="shared" si="4"/>
        <v>0</v>
      </c>
      <c r="BU24" s="347">
        <f t="shared" si="9"/>
        <v>0</v>
      </c>
      <c r="BW24" s="134" t="str">
        <f>IF(COUNTIF(BW$6:BW23,B24)&gt;0,"",B24)&amp;""</f>
        <v/>
      </c>
      <c r="BX24" s="138">
        <f t="shared" si="10"/>
        <v>0</v>
      </c>
      <c r="BY24" s="132">
        <f t="shared" si="11"/>
        <v>1</v>
      </c>
      <c r="BZ24" s="138">
        <f t="shared" si="12"/>
        <v>0</v>
      </c>
      <c r="CA24" s="132">
        <f t="shared" si="13"/>
        <v>1</v>
      </c>
      <c r="CB24" s="133"/>
      <c r="CC24" s="133"/>
    </row>
    <row r="25" ht="15" customHeight="1" spans="1:82">
      <c r="A25" s="123" t="str">
        <f>IF(B25="","",COUNT(A$6:A24)+1)</f>
        <v/>
      </c>
      <c r="B25" s="139"/>
      <c r="C25" s="140"/>
      <c r="D25" s="140"/>
      <c r="E25" s="255"/>
      <c r="F25" s="142"/>
      <c r="G25" s="127" t="str">
        <f>IFERROR(VLOOKUP(F25,参数表!$H$2:$I$50,2,FALSE),"")</f>
        <v/>
      </c>
      <c r="H25" s="128" t="str">
        <f t="shared" si="6"/>
        <v/>
      </c>
      <c r="I25" s="143"/>
      <c r="J25" s="144"/>
      <c r="K25" s="129" t="str">
        <f t="shared" si="7"/>
        <v/>
      </c>
      <c r="L25" s="129" t="str">
        <f t="shared" si="0"/>
        <v/>
      </c>
      <c r="M25" s="145"/>
      <c r="BA25" s="78"/>
      <c r="BB25" s="132" t="s">
        <v>5132</v>
      </c>
      <c r="BC25" s="133"/>
      <c r="BD25" s="132" t="str">
        <f>IF(OR(B25="",BC25=""),"",COUNTIF(BC$7:BC25,"√"))</f>
        <v/>
      </c>
      <c r="BE25" s="134" t="str">
        <f t="shared" si="1"/>
        <v/>
      </c>
      <c r="BF25" s="135" t="str">
        <f t="shared" si="8"/>
        <v/>
      </c>
      <c r="BG25" s="135" t="str">
        <f t="shared" si="8"/>
        <v/>
      </c>
      <c r="BH25" s="136"/>
      <c r="BI25" s="137"/>
      <c r="BJ25" s="136"/>
      <c r="BK25" s="136"/>
      <c r="BL25" s="136"/>
      <c r="BM25" s="136"/>
      <c r="BN25" s="136"/>
      <c r="BO25" s="137"/>
      <c r="BP25" s="137"/>
      <c r="BQ25" s="165" t="s">
        <v>1674</v>
      </c>
      <c r="BR25" s="156">
        <f t="shared" si="2"/>
        <v>125.582477754962</v>
      </c>
      <c r="BS25" s="156" t="str">
        <f t="shared" si="3"/>
        <v/>
      </c>
      <c r="BT25" s="346">
        <f t="shared" si="4"/>
        <v>0</v>
      </c>
      <c r="BU25" s="347">
        <f t="shared" si="9"/>
        <v>0</v>
      </c>
      <c r="BW25" s="134" t="str">
        <f>IF(COUNTIF(BW$6:BW24,B25)&gt;0,"",B25)&amp;""</f>
        <v/>
      </c>
      <c r="BX25" s="138">
        <f t="shared" si="10"/>
        <v>0</v>
      </c>
      <c r="BY25" s="132">
        <f t="shared" si="11"/>
        <v>1</v>
      </c>
      <c r="BZ25" s="138">
        <f t="shared" si="12"/>
        <v>0</v>
      </c>
      <c r="CA25" s="132">
        <f t="shared" si="13"/>
        <v>1</v>
      </c>
      <c r="CB25" s="133"/>
      <c r="CC25" s="133"/>
    </row>
    <row r="26" ht="15" customHeight="1" spans="1:82">
      <c r="A26" s="123" t="str">
        <f>IF(B26="","",SUBTOTAL(103,B$7:B26))</f>
        <v/>
      </c>
      <c r="B26" s="124"/>
      <c r="C26" s="125"/>
      <c r="D26" s="125"/>
      <c r="E26" s="225"/>
      <c r="F26" s="127"/>
      <c r="G26" s="127" t="str">
        <f>IFERROR(VLOOKUP(F26,参数表!$H$2:$I$50,2,FALSE),"")</f>
        <v/>
      </c>
      <c r="H26" s="128" t="str">
        <f t="shared" si="6"/>
        <v/>
      </c>
      <c r="I26" s="129"/>
      <c r="J26" s="130"/>
      <c r="K26" s="129" t="str">
        <f t="shared" si="7"/>
        <v/>
      </c>
      <c r="L26" s="129" t="str">
        <f t="shared" si="0"/>
        <v/>
      </c>
      <c r="M26" s="131"/>
      <c r="BA26" s="78"/>
      <c r="BB26" s="132" t="s">
        <v>5133</v>
      </c>
      <c r="BC26" s="133"/>
      <c r="BD26" s="132" t="str">
        <f>IF(OR(B26="",BC26=""),"",COUNTIF(BC$7:BC26,"√"))</f>
        <v/>
      </c>
      <c r="BE26" s="134" t="str">
        <f t="shared" si="1"/>
        <v/>
      </c>
      <c r="BF26" s="135" t="str">
        <f t="shared" si="8"/>
        <v/>
      </c>
      <c r="BG26" s="135" t="str">
        <f t="shared" si="8"/>
        <v/>
      </c>
      <c r="BH26" s="136"/>
      <c r="BI26" s="137"/>
      <c r="BJ26" s="136"/>
      <c r="BK26" s="136"/>
      <c r="BL26" s="136"/>
      <c r="BM26" s="136"/>
      <c r="BN26" s="136"/>
      <c r="BO26" s="137"/>
      <c r="BP26" s="137"/>
      <c r="BQ26" s="165" t="s">
        <v>1674</v>
      </c>
      <c r="BR26" s="156">
        <f t="shared" si="2"/>
        <v>125.582477754962</v>
      </c>
      <c r="BS26" s="156" t="str">
        <f t="shared" si="3"/>
        <v/>
      </c>
      <c r="BT26" s="346">
        <f t="shared" si="4"/>
        <v>0</v>
      </c>
      <c r="BU26" s="347">
        <f t="shared" si="9"/>
        <v>0</v>
      </c>
      <c r="BW26" s="134" t="str">
        <f>IF(COUNTIF(BW$6:BW25,B26)&gt;0,"",B26)&amp;""</f>
        <v/>
      </c>
      <c r="BX26" s="138">
        <f t="shared" si="10"/>
        <v>0</v>
      </c>
      <c r="BY26" s="132">
        <f t="shared" si="11"/>
        <v>1</v>
      </c>
      <c r="BZ26" s="138">
        <f t="shared" si="12"/>
        <v>0</v>
      </c>
      <c r="CA26" s="132">
        <f t="shared" si="13"/>
        <v>1</v>
      </c>
      <c r="CB26" s="133"/>
      <c r="CC26" s="133"/>
    </row>
    <row r="27" s="73" customFormat="1" ht="15" customHeight="1" spans="1:82">
      <c r="A27" s="149" t="s">
        <v>5134</v>
      </c>
      <c r="B27" s="149"/>
      <c r="C27" s="226"/>
      <c r="D27" s="226"/>
      <c r="E27" s="275"/>
      <c r="F27" s="151"/>
      <c r="G27" s="151"/>
      <c r="H27" s="151"/>
      <c r="I27" s="152">
        <f>SUM(I7:I26)</f>
        <v>0</v>
      </c>
      <c r="J27" s="153"/>
      <c r="K27" s="152">
        <f>SUM(K7:K26)</f>
        <v>0</v>
      </c>
      <c r="L27" s="152">
        <f>SUM(L7:L26)</f>
        <v>0</v>
      </c>
      <c r="M27" s="151"/>
      <c r="BF27" s="75"/>
      <c r="BG27" s="75"/>
      <c r="BH27" s="165"/>
      <c r="BI27" s="75"/>
      <c r="BJ27" s="165"/>
      <c r="BK27" s="165"/>
      <c r="BL27" s="165"/>
      <c r="BM27" s="165"/>
      <c r="BN27" s="165"/>
      <c r="BO27" s="75"/>
      <c r="BP27" s="75"/>
      <c r="BQ27" s="75"/>
      <c r="BR27" s="75"/>
      <c r="BV27" s="111"/>
      <c r="BW27" s="119"/>
      <c r="BX27" s="77"/>
      <c r="BY27" s="77"/>
      <c r="BZ27" s="77"/>
      <c r="CA27" s="119"/>
      <c r="CB27" s="119"/>
      <c r="CC27" s="119"/>
      <c r="CD27" s="111"/>
    </row>
    <row r="28" ht="15.75" customHeight="1" spans="1:82">
      <c r="A28" s="102" t="str">
        <f>参数表!F$6</f>
        <v>产权持有单位填表人：贾广东</v>
      </c>
      <c r="B28" s="154"/>
      <c r="C28" s="154"/>
      <c r="D28" s="154"/>
      <c r="E28" s="154"/>
      <c r="F28" s="154"/>
      <c r="G28" s="154"/>
      <c r="H28" s="154"/>
      <c r="I28" s="154"/>
      <c r="J28" s="104"/>
      <c r="K28" s="103"/>
      <c r="L28" s="156" t="str">
        <f>"评估人员："&amp;封面!$G$38</f>
        <v>评估人员：</v>
      </c>
      <c r="M28" s="103"/>
    </row>
    <row r="29" ht="15.75" customHeight="1" spans="1:82">
      <c r="A29" s="102" t="str">
        <f>参数表!F$7</f>
        <v>填表日期：2025年9月20日</v>
      </c>
      <c r="B29" s="154"/>
      <c r="C29" s="154"/>
      <c r="D29" s="154"/>
      <c r="E29" s="154"/>
      <c r="F29" s="154"/>
      <c r="G29" s="154"/>
      <c r="H29" s="154"/>
      <c r="I29" s="154"/>
      <c r="J29" s="104"/>
      <c r="K29" s="103"/>
      <c r="L29" s="103"/>
      <c r="M29" s="103"/>
    </row>
    <row r="30" ht="15.75" hidden="1" customHeight="1" outlineLevel="1" spans="1:82">
      <c r="A30" s="157"/>
      <c r="B30" s="154" t="s">
        <v>1673</v>
      </c>
      <c r="C30" s="158"/>
      <c r="D30" s="158"/>
      <c r="E30" s="158"/>
      <c r="F30" s="158"/>
      <c r="G30" s="158"/>
      <c r="H30" s="158"/>
      <c r="I30" s="159">
        <f>SUMIF($BA7:$BA26,$BA30,I7:I26)</f>
        <v>0</v>
      </c>
      <c r="J30" s="202"/>
      <c r="K30" s="159">
        <f>SUMIF($BA7:$BA26,$BA30,K7:K26)</f>
        <v>0</v>
      </c>
      <c r="L30" s="159">
        <f>SUMIF($BA7:$BA26,$BA30,L7:L26)</f>
        <v>0</v>
      </c>
      <c r="BA30" s="161" t="s">
        <v>1674</v>
      </c>
      <c r="BH30" s="95" t="s">
        <v>1675</v>
      </c>
      <c r="BJ30" s="95" t="s">
        <v>1675</v>
      </c>
      <c r="BK30" s="95" t="s">
        <v>1675</v>
      </c>
      <c r="BL30" s="95" t="s">
        <v>1675</v>
      </c>
      <c r="BM30" s="95" t="s">
        <v>1674</v>
      </c>
      <c r="BN30" s="95" t="s">
        <v>1674</v>
      </c>
    </row>
    <row r="31" ht="15.75" hidden="1" customHeight="1" outlineLevel="1" spans="1:82">
      <c r="A31" s="157"/>
      <c r="B31" s="154" t="s">
        <v>1676</v>
      </c>
      <c r="C31" s="158"/>
      <c r="D31" s="158"/>
      <c r="E31" s="158"/>
      <c r="F31" s="158"/>
      <c r="G31" s="158"/>
      <c r="H31" s="158"/>
      <c r="I31" s="159">
        <f>I27-I30</f>
        <v>0</v>
      </c>
      <c r="J31" s="202"/>
      <c r="K31" s="159">
        <f>K27-K30</f>
        <v>0</v>
      </c>
      <c r="L31" s="159">
        <f>L27-L30</f>
        <v>0</v>
      </c>
      <c r="BA31" s="161" t="s">
        <v>1677</v>
      </c>
      <c r="BH31" s="95" t="s">
        <v>1678</v>
      </c>
      <c r="BJ31" s="95" t="s">
        <v>1678</v>
      </c>
      <c r="BK31" s="95" t="s">
        <v>1678</v>
      </c>
      <c r="BL31" s="95" t="s">
        <v>1678</v>
      </c>
      <c r="BM31" s="95" t="s">
        <v>1677</v>
      </c>
      <c r="BN31" s="95" t="s">
        <v>1677</v>
      </c>
    </row>
    <row r="32" ht="15.75" customHeight="1" collapsed="1" spans="1:82">
      <c r="A32" s="157"/>
      <c r="B32" s="158"/>
      <c r="C32" s="158"/>
      <c r="D32" s="158"/>
      <c r="E32" s="158"/>
      <c r="F32" s="158"/>
      <c r="G32" s="158"/>
      <c r="H32" s="158"/>
      <c r="I32" s="158"/>
    </row>
    <row r="33" ht="15.75" customHeight="1" spans="1:9">
      <c r="A33" s="157"/>
      <c r="B33" s="158"/>
      <c r="C33" s="158"/>
      <c r="D33" s="158"/>
      <c r="E33" s="158"/>
      <c r="F33" s="158"/>
      <c r="G33" s="158"/>
      <c r="H33" s="158"/>
      <c r="I33" s="158"/>
    </row>
    <row r="34" ht="15.75" customHeight="1" spans="1:9">
      <c r="A34" s="157"/>
      <c r="B34" s="158"/>
      <c r="C34" s="158"/>
      <c r="D34" s="158"/>
      <c r="E34" s="158"/>
      <c r="F34" s="158"/>
      <c r="G34" s="158"/>
      <c r="H34" s="158"/>
      <c r="I34" s="158"/>
    </row>
    <row r="35" ht="15.75" customHeight="1" spans="1:9">
      <c r="A35" s="157"/>
      <c r="B35" s="158"/>
      <c r="C35" s="158"/>
      <c r="D35" s="158"/>
      <c r="E35" s="158"/>
      <c r="F35" s="158"/>
      <c r="G35" s="158"/>
      <c r="H35" s="158"/>
      <c r="I35" s="158"/>
    </row>
    <row r="36" ht="15.75" customHeight="1" spans="1:9">
      <c r="A36" s="157"/>
      <c r="B36" s="158"/>
      <c r="C36" s="158"/>
      <c r="D36" s="158"/>
      <c r="E36" s="158"/>
      <c r="F36" s="158"/>
      <c r="G36" s="158"/>
      <c r="H36" s="158"/>
      <c r="I36" s="158"/>
    </row>
    <row r="37" spans="1:9">
      <c r="F37" s="158"/>
      <c r="G37" s="158"/>
      <c r="H37" s="158"/>
    </row>
  </sheetData>
  <sheetProtection autoFilter="0"/>
  <mergeCells count="6">
    <mergeCell ref="A2:M2"/>
    <mergeCell ref="A3:M3"/>
    <mergeCell ref="CB7:CD7"/>
    <mergeCell ref="CB8:CD8"/>
    <mergeCell ref="CC14:CD14"/>
    <mergeCell ref="A27:B27"/>
  </mergeCells>
  <conditionalFormatting sqref="BH7:BH26">
    <cfRule type="expression" dxfId="5" priority="65540" stopIfTrue="1">
      <formula>AND($B7&lt;&gt;"",BH7="")</formula>
    </cfRule>
  </conditionalFormatting>
  <conditionalFormatting sqref="BI7:BI26">
    <cfRule type="expression" dxfId="5" priority="14" stopIfTrue="1">
      <formula>AND(BH7="有",BI7="")</formula>
    </cfRule>
  </conditionalFormatting>
  <conditionalFormatting sqref="BO7:BO26">
    <cfRule type="expression" dxfId="5" priority="11"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4" stopIfTrue="1">
      <formula>AND($B7&lt;&gt;"",BJ7="")</formula>
    </cfRule>
  </conditionalFormatting>
  <dataValidations count="4">
    <dataValidation type="list" allowBlank="1" showInputMessage="1" showErrorMessage="1" sqref="F7:F26">
      <formula1>OFFSET(参数表!$H$2:$H$50,,,COUNTA(参数表!$H$2:$H$50))</formula1>
    </dataValidation>
    <dataValidation type="list" allowBlank="1" showInputMessage="1" showErrorMessage="1" sqref="BA7:BA26 BA30:BA31 BQ7:BQ26">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8" display="返回索引页"/>
    <hyperlink ref="B1" location="流动负债汇总!B8"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9"/>
  <dimension ref="A1:CB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2.2" style="75" customWidth="1"/>
    <col min="3" max="3" width="10.2" style="75" customWidth="1"/>
    <col min="4" max="4" width="10.7" style="75" customWidth="1"/>
    <col min="5" max="5" width="10.2" style="75" customWidth="1"/>
    <col min="6" max="7" width="4.6" style="75" customWidth="1" outlineLevel="1"/>
    <col min="8" max="8" width="6.1" style="75" customWidth="1" outlineLevel="1"/>
    <col min="9" max="9" width="18.6" style="75" customWidth="1" outlineLevel="1"/>
    <col min="10" max="10" width="18.6" style="76" customWidth="1" outlineLevel="1"/>
    <col min="11" max="12" width="18.6" style="75" customWidth="1"/>
    <col min="13" max="13" width="16.2" style="75" customWidth="1"/>
    <col min="14" max="52" width="9" style="75" hidden="1" customWidth="1" outlineLevel="1"/>
    <col min="53" max="53" width="14.7" style="75" customWidth="1" collapsed="1"/>
    <col min="54" max="54" width="6.7" style="75" customWidth="1"/>
    <col min="55" max="56" width="4.7" style="75" customWidth="1"/>
    <col min="57" max="57" width="11.5" style="75" customWidth="1"/>
    <col min="58" max="59" width="10" style="75" customWidth="1"/>
    <col min="60" max="60" width="4.7" style="165" customWidth="1"/>
    <col min="61" max="61" width="11.5" style="75" customWidth="1"/>
    <col min="62" max="65" width="4.7" style="165" customWidth="1"/>
    <col min="66" max="66" width="6.7" style="165" customWidth="1"/>
    <col min="67" max="67" width="10.3" style="75" customWidth="1"/>
    <col min="68" max="68" width="8.7" style="75" customWidth="1"/>
    <col min="69" max="70" width="9" style="75"/>
    <col min="71" max="71" width="1.6" style="77" customWidth="1"/>
    <col min="72" max="72" width="10.6" style="78" customWidth="1"/>
    <col min="73" max="73" width="10.6" style="77" customWidth="1"/>
    <col min="74" max="74" width="4.6" style="78" customWidth="1"/>
    <col min="75" max="75" width="10.6" style="78" customWidth="1"/>
    <col min="76" max="76" width="4.6" style="78" customWidth="1"/>
    <col min="77" max="77" width="5" style="78" customWidth="1"/>
    <col min="78" max="78" width="8.5" style="78" customWidth="1"/>
    <col min="79" max="79" width="5" style="78" customWidth="1"/>
    <col min="80" max="80" width="5" style="77" customWidth="1"/>
    <col min="81" max="16384" width="9" style="75"/>
  </cols>
  <sheetData>
    <row r="1" s="70" customFormat="1" ht="13.8" spans="1:80">
      <c r="A1" s="273" t="s">
        <v>1591</v>
      </c>
      <c r="B1" s="80" t="s">
        <v>1592</v>
      </c>
      <c r="C1" s="81"/>
      <c r="D1" s="81"/>
      <c r="E1" s="81"/>
      <c r="F1" s="82"/>
      <c r="G1" s="82"/>
      <c r="H1" s="82"/>
      <c r="I1" s="81"/>
      <c r="J1" s="83"/>
      <c r="K1" s="81"/>
      <c r="L1" s="81"/>
      <c r="M1" s="81"/>
      <c r="BA1" s="84" t="str">
        <f>参数表!BA1</f>
        <v>注意：补充特殊事项、作价等均从BA列开始填写</v>
      </c>
      <c r="BB1" s="85"/>
      <c r="BC1" s="85"/>
      <c r="BD1" s="86"/>
      <c r="BE1" s="86"/>
      <c r="BF1" s="86"/>
      <c r="BG1" s="86"/>
      <c r="BH1" s="82"/>
      <c r="BI1" s="86"/>
      <c r="BJ1" s="82"/>
      <c r="BK1" s="82"/>
      <c r="BL1" s="82"/>
      <c r="BM1" s="168"/>
      <c r="BN1" s="168"/>
      <c r="BS1" s="87"/>
      <c r="BT1" s="88"/>
      <c r="BU1" s="87"/>
      <c r="BV1" s="88"/>
      <c r="BW1" s="88"/>
      <c r="BX1" s="88"/>
      <c r="BY1" s="88"/>
      <c r="BZ1" s="88"/>
      <c r="CA1" s="88"/>
      <c r="CB1" s="87"/>
    </row>
    <row r="2" s="71" customFormat="1" ht="30" customHeight="1" spans="1:80">
      <c r="A2" s="89" t="s">
        <v>5135</v>
      </c>
      <c r="B2" s="89"/>
      <c r="C2" s="89"/>
      <c r="D2" s="89"/>
      <c r="E2" s="89"/>
      <c r="F2" s="89"/>
      <c r="G2" s="89"/>
      <c r="H2" s="89"/>
      <c r="I2" s="89"/>
      <c r="J2" s="89"/>
      <c r="K2" s="89"/>
      <c r="L2" s="89"/>
      <c r="M2" s="89"/>
      <c r="BA2" s="90" t="str">
        <f>参数表!BA2</f>
        <v>评估基准日：</v>
      </c>
      <c r="BB2" s="91" t="str">
        <f>参数表!BB2</f>
        <v>2025年7月31日</v>
      </c>
      <c r="BC2" s="182"/>
      <c r="BH2" s="171"/>
      <c r="BJ2" s="171"/>
      <c r="BK2" s="171"/>
      <c r="BL2" s="171"/>
      <c r="BM2" s="171"/>
      <c r="BN2" s="171"/>
      <c r="BS2" s="92"/>
      <c r="BT2" s="93"/>
      <c r="BU2" s="92"/>
      <c r="BV2" s="93"/>
      <c r="BW2" s="93"/>
      <c r="BX2" s="93"/>
      <c r="BY2" s="93"/>
      <c r="BZ2" s="93"/>
      <c r="CA2" s="93"/>
      <c r="CB2" s="92"/>
    </row>
    <row r="3" ht="15" customHeight="1" spans="1:80">
      <c r="A3" s="94" t="str">
        <f>参数表!F5</f>
        <v>评估基准日：2025年7月31日</v>
      </c>
      <c r="B3" s="94"/>
      <c r="C3" s="94"/>
      <c r="D3" s="94"/>
      <c r="E3" s="94"/>
      <c r="F3" s="94"/>
      <c r="G3" s="94"/>
      <c r="H3" s="94"/>
      <c r="I3" s="94"/>
      <c r="J3" s="94"/>
      <c r="K3" s="94"/>
      <c r="L3" s="95"/>
      <c r="M3" s="95"/>
      <c r="BA3" s="90" t="str">
        <f>参数表!BA3</f>
        <v>是否显示评估值：</v>
      </c>
      <c r="BB3" s="90" t="str">
        <f>参数表!BB3</f>
        <v>是</v>
      </c>
      <c r="BC3" s="85"/>
      <c r="BU3" s="78"/>
    </row>
    <row r="4" ht="15" customHeight="1" spans="1:80">
      <c r="A4" s="96"/>
      <c r="B4" s="94"/>
      <c r="C4" s="94"/>
      <c r="D4" s="94"/>
      <c r="E4" s="94"/>
      <c r="F4" s="94"/>
      <c r="G4" s="94"/>
      <c r="H4" s="94"/>
      <c r="I4" s="94"/>
      <c r="J4" s="97"/>
      <c r="K4" s="94"/>
      <c r="L4" s="95"/>
      <c r="M4" s="98" t="str">
        <f>"表"&amp;$BA4</f>
        <v>表5-5</v>
      </c>
      <c r="BA4" s="274" t="str">
        <f>流动负总!A11</f>
        <v>5-5</v>
      </c>
      <c r="BB4" s="100">
        <f>MAX(COUNTA(A7:A26),COUNTA(B7:B26),COUNTA(I7:I26),COUNTA(K7:K26))</f>
        <v>20</v>
      </c>
      <c r="BC4" s="101">
        <f>ROW(A6)+1</f>
        <v>7</v>
      </c>
      <c r="BD4" s="77"/>
      <c r="BE4" s="77"/>
      <c r="BU4" s="78"/>
    </row>
    <row r="5" ht="15" customHeight="1" spans="1:80">
      <c r="A5" s="102" t="str">
        <f>参数表!F3</f>
        <v>产权持有单位:中煤第五建设有限公司</v>
      </c>
      <c r="B5" s="103"/>
      <c r="C5" s="103"/>
      <c r="D5" s="103"/>
      <c r="E5" s="103"/>
      <c r="F5" s="103"/>
      <c r="G5" s="103"/>
      <c r="H5" s="103"/>
      <c r="I5" s="103"/>
      <c r="J5" s="104"/>
      <c r="K5" s="103"/>
      <c r="L5" s="103"/>
      <c r="M5" s="98" t="s">
        <v>236</v>
      </c>
      <c r="BA5" s="103"/>
      <c r="BB5" s="105" t="str">
        <f ca="1">判断表!C102</f>
        <v>中煤第五建设有限公司第三工程处拟处置实物资产项目\[0000-3基础法明细表.xlsx]应付票据</v>
      </c>
      <c r="BC5" s="106">
        <f>IFERROR(SUMIF(BC7:BC26,"√",K7:K26)/K27,0)</f>
        <v>0</v>
      </c>
      <c r="BD5" s="107"/>
      <c r="BE5" s="107"/>
      <c r="BF5" s="108">
        <f>分类汇总!$I49</f>
        <v>0</v>
      </c>
      <c r="BG5" s="108">
        <f>分类汇总!$K49</f>
        <v>0</v>
      </c>
      <c r="BH5" s="109"/>
      <c r="BI5" s="109"/>
      <c r="BJ5" s="109"/>
      <c r="BK5" s="109"/>
      <c r="BL5" s="109"/>
      <c r="BM5" s="109"/>
      <c r="BN5" s="109"/>
      <c r="BO5" s="110"/>
      <c r="BP5" s="110"/>
      <c r="BS5" s="111"/>
      <c r="BU5" s="78"/>
      <c r="CB5" s="111"/>
    </row>
    <row r="6" s="72" customFormat="1" ht="25.2" customHeight="1" spans="1:80">
      <c r="A6" s="112" t="s">
        <v>305</v>
      </c>
      <c r="B6" s="113" t="s">
        <v>1897</v>
      </c>
      <c r="C6" s="113" t="s">
        <v>1961</v>
      </c>
      <c r="D6" s="113" t="s">
        <v>3437</v>
      </c>
      <c r="E6" s="113" t="s">
        <v>1775</v>
      </c>
      <c r="F6" s="114" t="s">
        <v>1631</v>
      </c>
      <c r="G6" s="115" t="s">
        <v>1632</v>
      </c>
      <c r="H6" s="116" t="s">
        <v>3793</v>
      </c>
      <c r="I6" s="113" t="s">
        <v>1549</v>
      </c>
      <c r="J6" s="117" t="s">
        <v>1634</v>
      </c>
      <c r="K6" s="118" t="s">
        <v>1523</v>
      </c>
      <c r="L6" s="113" t="s">
        <v>1550</v>
      </c>
      <c r="M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91" t="s">
        <v>5136</v>
      </c>
      <c r="BR6" s="191" t="s">
        <v>1932</v>
      </c>
      <c r="BS6" s="119"/>
      <c r="BT6" s="120" t="s">
        <v>1645</v>
      </c>
      <c r="BU6" s="121" t="s">
        <v>1646</v>
      </c>
      <c r="BV6" s="121" t="s">
        <v>1647</v>
      </c>
      <c r="BW6" s="121" t="s">
        <v>1648</v>
      </c>
      <c r="BX6" s="121" t="s">
        <v>1647</v>
      </c>
      <c r="BY6" s="121" t="s">
        <v>1647</v>
      </c>
      <c r="BZ6" s="121" t="s">
        <v>1649</v>
      </c>
      <c r="CA6" s="121" t="s">
        <v>1933</v>
      </c>
      <c r="CB6" s="122" t="s">
        <v>1650</v>
      </c>
    </row>
    <row r="7" ht="15" customHeight="1" spans="1:80">
      <c r="A7" s="123" t="str">
        <f>IF(B7="","",COUNT(A$6:A6)+1)</f>
        <v/>
      </c>
      <c r="B7" s="124"/>
      <c r="C7" s="125"/>
      <c r="D7" s="125"/>
      <c r="E7" s="225"/>
      <c r="F7" s="127"/>
      <c r="G7" s="127" t="str">
        <f>IFERROR(VLOOKUP(F7,参数表!$H$2:$I$50,2,FALSE),"")</f>
        <v/>
      </c>
      <c r="H7" s="128" t="str">
        <f>IFERROR(IF(OR(F7="人民币",F7=""),"",K7/G7),"")</f>
        <v/>
      </c>
      <c r="I7" s="129"/>
      <c r="J7" s="130"/>
      <c r="K7" s="129" t="str">
        <f t="shared" ref="K7:K26" si="0">IF(B7="","",I7+J7)</f>
        <v/>
      </c>
      <c r="L7" s="129" t="str">
        <f t="shared" ref="L7:L26" si="1">IF(B7="","",IF($BB$3="是",K7,""))</f>
        <v/>
      </c>
      <c r="M7" s="131"/>
      <c r="BA7" s="78"/>
      <c r="BB7" s="132" t="s">
        <v>5137</v>
      </c>
      <c r="BC7" s="133"/>
      <c r="BD7" s="132" t="str">
        <f>IF(OR(B7="",BC7=""),"",COUNTIF(BC$7:BC7,"√"))</f>
        <v/>
      </c>
      <c r="BE7" s="134" t="str">
        <f t="shared" ref="BE7:BE26" si="2">IF(BC7="","",BB7&amp;"︱"&amp;B7&amp;"︱"&amp;TEXT(I7,"#,##0.00"))</f>
        <v/>
      </c>
      <c r="BF7" s="135" t="str">
        <f>IF($B7="","",IF(BF$5=0,"OK","出错"))</f>
        <v/>
      </c>
      <c r="BG7" s="135" t="str">
        <f>IF($B7="","",IF(BG$5=0,"OK","出错"))</f>
        <v/>
      </c>
      <c r="BH7" s="136"/>
      <c r="BI7" s="137"/>
      <c r="BJ7" s="136"/>
      <c r="BK7" s="136"/>
      <c r="BL7" s="136"/>
      <c r="BM7" s="136"/>
      <c r="BN7" s="136"/>
      <c r="BO7" s="137"/>
      <c r="BP7" s="137"/>
      <c r="BQ7" s="103">
        <f t="shared" ref="BQ7:BQ26" si="3">DATEDIF(C7,D7,"M")</f>
        <v>0</v>
      </c>
      <c r="BR7" s="95" t="str">
        <f t="shared" ref="BR7:BR26" si="4">IF(BB$2-D7&lt;0,"否","已过期")</f>
        <v>已过期</v>
      </c>
      <c r="BT7" s="134">
        <f>IF(COUNTIF(BT$6:BT6,E7)&gt;0,"",E7)</f>
        <v>0</v>
      </c>
      <c r="BU7" s="138">
        <f>SUMIF(E$7:E$26,BT7,K$7:K$26)</f>
        <v>0</v>
      </c>
      <c r="BV7" s="132">
        <f t="shared" ref="BV7" si="5">RANK(BU7,BU$7:BU$26)</f>
        <v>1</v>
      </c>
      <c r="BW7" s="138">
        <f>SUMIF(E$7:E$26,BT7,L$7:L$26)</f>
        <v>0</v>
      </c>
      <c r="BX7" s="132">
        <f>RANK(BW7,BW$7:BW$26)</f>
        <v>1</v>
      </c>
      <c r="BY7" s="138">
        <f>SUM(BU7:BU26)</f>
        <v>0</v>
      </c>
      <c r="BZ7" s="138"/>
      <c r="CA7" s="138"/>
      <c r="CB7" s="138"/>
    </row>
    <row r="8" ht="15" customHeight="1" spans="1:80">
      <c r="A8" s="123" t="str">
        <f>IF(B8="","",COUNT(A$6:A7)+1)</f>
        <v/>
      </c>
      <c r="B8" s="139"/>
      <c r="C8" s="140"/>
      <c r="D8" s="140"/>
      <c r="E8" s="255"/>
      <c r="F8" s="142"/>
      <c r="G8" s="127" t="str">
        <f>IFERROR(VLOOKUP(F8,参数表!$H$2:$I$50,2,FALSE),"")</f>
        <v/>
      </c>
      <c r="H8" s="128" t="str">
        <f t="shared" ref="H8:H26" si="6">IFERROR(IF(OR(F8="人民币",F8=""),"",K8/G8),"")</f>
        <v/>
      </c>
      <c r="I8" s="143"/>
      <c r="J8" s="144"/>
      <c r="K8" s="129" t="str">
        <f t="shared" si="0"/>
        <v/>
      </c>
      <c r="L8" s="129" t="str">
        <f t="shared" si="1"/>
        <v/>
      </c>
      <c r="M8" s="145"/>
      <c r="BA8" s="78"/>
      <c r="BB8" s="132" t="s">
        <v>5138</v>
      </c>
      <c r="BC8" s="133"/>
      <c r="BD8" s="132" t="str">
        <f>IF(OR(B8="",BC8=""),"",COUNTIF(BC$7:BC8,"√"))</f>
        <v/>
      </c>
      <c r="BE8" s="134" t="str">
        <f t="shared" si="2"/>
        <v/>
      </c>
      <c r="BF8" s="135" t="str">
        <f t="shared" ref="BF8:BG26" si="7">IF($B8="","",IF(BF$5=0,"OK","出错"))</f>
        <v/>
      </c>
      <c r="BG8" s="135" t="str">
        <f t="shared" si="7"/>
        <v/>
      </c>
      <c r="BH8" s="136"/>
      <c r="BI8" s="137"/>
      <c r="BJ8" s="136"/>
      <c r="BK8" s="136"/>
      <c r="BL8" s="136"/>
      <c r="BM8" s="136"/>
      <c r="BN8" s="136"/>
      <c r="BO8" s="137"/>
      <c r="BP8" s="137"/>
      <c r="BQ8" s="103">
        <f t="shared" si="3"/>
        <v>0</v>
      </c>
      <c r="BR8" s="95" t="str">
        <f t="shared" si="4"/>
        <v>已过期</v>
      </c>
      <c r="BT8" s="134" t="str">
        <f>IF(COUNTIF(BT$6:BT7,E8)&gt;0,"",E8)</f>
        <v/>
      </c>
      <c r="BU8" s="138">
        <f t="shared" ref="BU8:BU26" si="8">SUMIF(E$7:E$26,BT8,K$7:K$26)</f>
        <v>0</v>
      </c>
      <c r="BV8" s="132">
        <f t="shared" ref="BV8:BV26" si="9">RANK(BU8,BU$7:BU$26)</f>
        <v>1</v>
      </c>
      <c r="BW8" s="138">
        <f t="shared" ref="BW8:BW26" si="10">SUMIF(E$7:E$26,BT8,L$7:L$26)</f>
        <v>0</v>
      </c>
      <c r="BX8" s="132">
        <f t="shared" ref="BX8:BX26" si="11">RANK(BW8,BW$7:BW$26)</f>
        <v>1</v>
      </c>
      <c r="BY8" s="138">
        <f>SUM(BW7:BW26)</f>
        <v>0</v>
      </c>
      <c r="BZ8" s="138"/>
      <c r="CA8" s="138"/>
      <c r="CB8" s="138"/>
    </row>
    <row r="9" ht="15" customHeight="1" spans="1:80">
      <c r="A9" s="123" t="str">
        <f>IF(B9="","",COUNT(A$6:A8)+1)</f>
        <v/>
      </c>
      <c r="B9" s="139"/>
      <c r="C9" s="140"/>
      <c r="D9" s="140"/>
      <c r="E9" s="255"/>
      <c r="F9" s="142"/>
      <c r="G9" s="127" t="str">
        <f>IFERROR(VLOOKUP(F9,参数表!$H$2:$I$50,2,FALSE),"")</f>
        <v/>
      </c>
      <c r="H9" s="128" t="str">
        <f t="shared" si="6"/>
        <v/>
      </c>
      <c r="I9" s="143"/>
      <c r="J9" s="144"/>
      <c r="K9" s="129" t="str">
        <f t="shared" si="0"/>
        <v/>
      </c>
      <c r="L9" s="129" t="str">
        <f t="shared" si="1"/>
        <v/>
      </c>
      <c r="M9" s="145"/>
      <c r="BA9" s="78"/>
      <c r="BB9" s="132" t="s">
        <v>5139</v>
      </c>
      <c r="BC9" s="133"/>
      <c r="BD9" s="132" t="str">
        <f>IF(OR(B9="",BC9=""),"",COUNTIF(BC$7:BC9,"√"))</f>
        <v/>
      </c>
      <c r="BE9" s="134" t="str">
        <f t="shared" si="2"/>
        <v/>
      </c>
      <c r="BF9" s="135" t="str">
        <f t="shared" si="7"/>
        <v/>
      </c>
      <c r="BG9" s="135" t="str">
        <f t="shared" si="7"/>
        <v/>
      </c>
      <c r="BH9" s="136"/>
      <c r="BI9" s="137"/>
      <c r="BJ9" s="136"/>
      <c r="BK9" s="136"/>
      <c r="BL9" s="136"/>
      <c r="BM9" s="136"/>
      <c r="BN9" s="136"/>
      <c r="BO9" s="137"/>
      <c r="BP9" s="137"/>
      <c r="BQ9" s="103">
        <f t="shared" si="3"/>
        <v>0</v>
      </c>
      <c r="BR9" s="95" t="str">
        <f t="shared" si="4"/>
        <v>已过期</v>
      </c>
      <c r="BT9" s="134" t="str">
        <f>IF(COUNTIF(BT$6:BT8,E9)&gt;0,"",E9)</f>
        <v/>
      </c>
      <c r="BU9" s="138">
        <f t="shared" si="8"/>
        <v>0</v>
      </c>
      <c r="BV9" s="132">
        <f t="shared" si="9"/>
        <v>1</v>
      </c>
      <c r="BW9" s="138">
        <f t="shared" si="10"/>
        <v>0</v>
      </c>
      <c r="BX9" s="132">
        <f t="shared" si="11"/>
        <v>1</v>
      </c>
      <c r="BY9" s="132">
        <v>1</v>
      </c>
      <c r="BZ9" s="345">
        <f>IFERROR(INDEX(BT$7:BT$26,MATCH(BY9,IF(BY$7=0,BX$7:BX$26,BV$7:BV$26),0)),"")</f>
        <v>0</v>
      </c>
      <c r="CA9" s="345" t="str">
        <f>IF(BZ9=0,"无息",IF(BZ9="","",TEXT(BZ9,"0.00%")&amp;"利率"))</f>
        <v>无息</v>
      </c>
      <c r="CB9" s="146" t="str">
        <f>IF(BZ10="","",IF(BZ11="","和","、"))</f>
        <v/>
      </c>
    </row>
    <row r="10" ht="15" customHeight="1" spans="1:80">
      <c r="A10" s="123" t="str">
        <f>IF(B10="","",COUNT(A$6:A9)+1)</f>
        <v/>
      </c>
      <c r="B10" s="139"/>
      <c r="C10" s="140"/>
      <c r="D10" s="140"/>
      <c r="E10" s="255"/>
      <c r="F10" s="142"/>
      <c r="G10" s="127" t="str">
        <f>IFERROR(VLOOKUP(F10,参数表!$H$2:$I$50,2,FALSE),"")</f>
        <v/>
      </c>
      <c r="H10" s="128" t="str">
        <f t="shared" si="6"/>
        <v/>
      </c>
      <c r="I10" s="143"/>
      <c r="J10" s="144"/>
      <c r="K10" s="129" t="str">
        <f t="shared" si="0"/>
        <v/>
      </c>
      <c r="L10" s="129" t="str">
        <f t="shared" si="1"/>
        <v/>
      </c>
      <c r="M10" s="145"/>
      <c r="BA10" s="78"/>
      <c r="BB10" s="132" t="s">
        <v>5140</v>
      </c>
      <c r="BC10" s="133"/>
      <c r="BD10" s="132" t="str">
        <f>IF(OR(B10="",BC10=""),"",COUNTIF(BC$7:BC10,"√"))</f>
        <v/>
      </c>
      <c r="BE10" s="134" t="str">
        <f t="shared" si="2"/>
        <v/>
      </c>
      <c r="BF10" s="135" t="str">
        <f t="shared" si="7"/>
        <v/>
      </c>
      <c r="BG10" s="135" t="str">
        <f t="shared" si="7"/>
        <v/>
      </c>
      <c r="BH10" s="136"/>
      <c r="BI10" s="137"/>
      <c r="BJ10" s="136"/>
      <c r="BK10" s="136"/>
      <c r="BL10" s="136"/>
      <c r="BM10" s="136"/>
      <c r="BN10" s="136"/>
      <c r="BO10" s="137"/>
      <c r="BP10" s="137"/>
      <c r="BQ10" s="103">
        <f t="shared" si="3"/>
        <v>0</v>
      </c>
      <c r="BR10" s="95" t="str">
        <f t="shared" si="4"/>
        <v>已过期</v>
      </c>
      <c r="BT10" s="134" t="str">
        <f>IF(COUNTIF(BT$6:BT9,E10)&gt;0,"",E10)</f>
        <v/>
      </c>
      <c r="BU10" s="138">
        <f t="shared" si="8"/>
        <v>0</v>
      </c>
      <c r="BV10" s="132">
        <f t="shared" si="9"/>
        <v>1</v>
      </c>
      <c r="BW10" s="138">
        <f t="shared" si="10"/>
        <v>0</v>
      </c>
      <c r="BX10" s="132">
        <f t="shared" si="11"/>
        <v>1</v>
      </c>
      <c r="BY10" s="132">
        <v>2</v>
      </c>
      <c r="BZ10" s="345" t="str">
        <f t="shared" ref="BZ10:BZ13" si="12">IFERROR(INDEX(BT$7:BT$26,MATCH(BY10,IF(BY$7=0,BX$7:BX$26,BV$7:BV$26),0)),"")</f>
        <v/>
      </c>
      <c r="CA10" s="345" t="str">
        <f>IF(BZ10=0,"无息",IF(BZ10="","",TEXT(BZ10,"0.00%")&amp;"利率"))</f>
        <v/>
      </c>
      <c r="CB10" s="146" t="str">
        <f t="shared" ref="CB10:CB11" si="13">IF(BZ11="","",IF(BZ12="","和","、"))</f>
        <v/>
      </c>
    </row>
    <row r="11" ht="15" customHeight="1" spans="1:80">
      <c r="A11" s="123" t="str">
        <f>IF(B11="","",COUNT(A$6:A10)+1)</f>
        <v/>
      </c>
      <c r="B11" s="139"/>
      <c r="C11" s="140"/>
      <c r="D11" s="140"/>
      <c r="E11" s="255"/>
      <c r="F11" s="142"/>
      <c r="G11" s="127" t="str">
        <f>IFERROR(VLOOKUP(F11,参数表!$H$2:$I$50,2,FALSE),"")</f>
        <v/>
      </c>
      <c r="H11" s="128" t="str">
        <f t="shared" si="6"/>
        <v/>
      </c>
      <c r="I11" s="143"/>
      <c r="J11" s="144"/>
      <c r="K11" s="129" t="str">
        <f t="shared" si="0"/>
        <v/>
      </c>
      <c r="L11" s="129" t="str">
        <f t="shared" si="1"/>
        <v/>
      </c>
      <c r="M11" s="145"/>
      <c r="BA11" s="78"/>
      <c r="BB11" s="132" t="s">
        <v>5141</v>
      </c>
      <c r="BC11" s="133"/>
      <c r="BD11" s="132" t="str">
        <f>IF(OR(B11="",BC11=""),"",COUNTIF(BC$7:BC11,"√"))</f>
        <v/>
      </c>
      <c r="BE11" s="134" t="str">
        <f t="shared" si="2"/>
        <v/>
      </c>
      <c r="BF11" s="135" t="str">
        <f t="shared" si="7"/>
        <v/>
      </c>
      <c r="BG11" s="135" t="str">
        <f t="shared" si="7"/>
        <v/>
      </c>
      <c r="BH11" s="136"/>
      <c r="BI11" s="137"/>
      <c r="BJ11" s="136"/>
      <c r="BK11" s="136"/>
      <c r="BL11" s="136"/>
      <c r="BM11" s="136"/>
      <c r="BN11" s="136"/>
      <c r="BO11" s="137"/>
      <c r="BP11" s="137"/>
      <c r="BQ11" s="103">
        <f t="shared" si="3"/>
        <v>0</v>
      </c>
      <c r="BR11" s="95" t="str">
        <f t="shared" si="4"/>
        <v>已过期</v>
      </c>
      <c r="BT11" s="134" t="str">
        <f>IF(COUNTIF(BT$6:BT10,E11)&gt;0,"",E11)</f>
        <v/>
      </c>
      <c r="BU11" s="138">
        <f t="shared" si="8"/>
        <v>0</v>
      </c>
      <c r="BV11" s="132">
        <f t="shared" si="9"/>
        <v>1</v>
      </c>
      <c r="BW11" s="138">
        <f t="shared" si="10"/>
        <v>0</v>
      </c>
      <c r="BX11" s="132">
        <f t="shared" si="11"/>
        <v>1</v>
      </c>
      <c r="BY11" s="132">
        <v>3</v>
      </c>
      <c r="BZ11" s="345" t="str">
        <f t="shared" si="12"/>
        <v/>
      </c>
      <c r="CA11" s="345" t="str">
        <f>IF(BZ11=0,"无息",IF(BZ11="","",TEXT(BZ11,"0.00%")&amp;"利率"))</f>
        <v/>
      </c>
      <c r="CB11" s="146" t="str">
        <f t="shared" si="13"/>
        <v/>
      </c>
    </row>
    <row r="12" ht="15" customHeight="1" spans="1:80">
      <c r="A12" s="123" t="str">
        <f>IF(B12="","",COUNT(A$6:A11)+1)</f>
        <v/>
      </c>
      <c r="B12" s="139"/>
      <c r="C12" s="140"/>
      <c r="D12" s="140"/>
      <c r="E12" s="255"/>
      <c r="F12" s="142"/>
      <c r="G12" s="127" t="str">
        <f>IFERROR(VLOOKUP(F12,参数表!$H$2:$I$50,2,FALSE),"")</f>
        <v/>
      </c>
      <c r="H12" s="128" t="str">
        <f t="shared" si="6"/>
        <v/>
      </c>
      <c r="I12" s="143"/>
      <c r="J12" s="144"/>
      <c r="K12" s="129" t="str">
        <f t="shared" si="0"/>
        <v/>
      </c>
      <c r="L12" s="129" t="str">
        <f t="shared" si="1"/>
        <v/>
      </c>
      <c r="M12" s="145"/>
      <c r="BA12" s="78"/>
      <c r="BB12" s="132" t="s">
        <v>5142</v>
      </c>
      <c r="BC12" s="133"/>
      <c r="BD12" s="132" t="str">
        <f>IF(OR(B12="",BC12=""),"",COUNTIF(BC$7:BC12,"√"))</f>
        <v/>
      </c>
      <c r="BE12" s="134" t="str">
        <f t="shared" si="2"/>
        <v/>
      </c>
      <c r="BF12" s="135" t="str">
        <f t="shared" si="7"/>
        <v/>
      </c>
      <c r="BG12" s="135" t="str">
        <f t="shared" si="7"/>
        <v/>
      </c>
      <c r="BH12" s="136"/>
      <c r="BI12" s="137"/>
      <c r="BJ12" s="136"/>
      <c r="BK12" s="136"/>
      <c r="BL12" s="136"/>
      <c r="BM12" s="136"/>
      <c r="BN12" s="136"/>
      <c r="BO12" s="137"/>
      <c r="BP12" s="137"/>
      <c r="BQ12" s="103">
        <f t="shared" si="3"/>
        <v>0</v>
      </c>
      <c r="BR12" s="95" t="str">
        <f t="shared" si="4"/>
        <v>已过期</v>
      </c>
      <c r="BT12" s="134" t="str">
        <f>IF(COUNTIF(BT$6:BT11,E12)&gt;0,"",E12)</f>
        <v/>
      </c>
      <c r="BU12" s="138">
        <f t="shared" si="8"/>
        <v>0</v>
      </c>
      <c r="BV12" s="132">
        <f t="shared" si="9"/>
        <v>1</v>
      </c>
      <c r="BW12" s="138">
        <f t="shared" si="10"/>
        <v>0</v>
      </c>
      <c r="BX12" s="132">
        <f t="shared" si="11"/>
        <v>1</v>
      </c>
      <c r="BY12" s="132">
        <v>4</v>
      </c>
      <c r="BZ12" s="345" t="str">
        <f t="shared" si="12"/>
        <v/>
      </c>
      <c r="CA12" s="345" t="str">
        <f>IF(BZ12=0,"无息",IF(BZ12="","",TEXT(BZ12,"0.00%")&amp;"利率"))</f>
        <v/>
      </c>
      <c r="CB12" s="146" t="str">
        <f>IF(BZ13="","","和")</f>
        <v/>
      </c>
    </row>
    <row r="13" ht="15" customHeight="1" spans="1:80">
      <c r="A13" s="123" t="str">
        <f>IF(B13="","",COUNT(A$6:A12)+1)</f>
        <v/>
      </c>
      <c r="B13" s="139"/>
      <c r="C13" s="140"/>
      <c r="D13" s="140"/>
      <c r="E13" s="255"/>
      <c r="F13" s="142"/>
      <c r="G13" s="127" t="str">
        <f>IFERROR(VLOOKUP(F13,参数表!$H$2:$I$50,2,FALSE),"")</f>
        <v/>
      </c>
      <c r="H13" s="128" t="str">
        <f t="shared" si="6"/>
        <v/>
      </c>
      <c r="I13" s="143"/>
      <c r="J13" s="144"/>
      <c r="K13" s="129" t="str">
        <f t="shared" si="0"/>
        <v/>
      </c>
      <c r="L13" s="129" t="str">
        <f t="shared" si="1"/>
        <v/>
      </c>
      <c r="M13" s="145"/>
      <c r="BA13" s="78"/>
      <c r="BB13" s="132" t="s">
        <v>5143</v>
      </c>
      <c r="BC13" s="133"/>
      <c r="BD13" s="132" t="str">
        <f>IF(OR(B13="",BC13=""),"",COUNTIF(BC$7:BC13,"√"))</f>
        <v/>
      </c>
      <c r="BE13" s="134" t="str">
        <f t="shared" si="2"/>
        <v/>
      </c>
      <c r="BF13" s="135" t="str">
        <f t="shared" si="7"/>
        <v/>
      </c>
      <c r="BG13" s="135" t="str">
        <f t="shared" si="7"/>
        <v/>
      </c>
      <c r="BH13" s="136"/>
      <c r="BI13" s="137"/>
      <c r="BJ13" s="136"/>
      <c r="BK13" s="136"/>
      <c r="BL13" s="136"/>
      <c r="BM13" s="136"/>
      <c r="BN13" s="136"/>
      <c r="BO13" s="137"/>
      <c r="BP13" s="137"/>
      <c r="BQ13" s="103">
        <f t="shared" si="3"/>
        <v>0</v>
      </c>
      <c r="BR13" s="95" t="str">
        <f t="shared" si="4"/>
        <v>已过期</v>
      </c>
      <c r="BT13" s="134" t="str">
        <f>IF(COUNTIF(BT$6:BT12,E13)&gt;0,"",E13)</f>
        <v/>
      </c>
      <c r="BU13" s="138">
        <f t="shared" si="8"/>
        <v>0</v>
      </c>
      <c r="BV13" s="132">
        <f t="shared" si="9"/>
        <v>1</v>
      </c>
      <c r="BW13" s="138">
        <f t="shared" si="10"/>
        <v>0</v>
      </c>
      <c r="BX13" s="132">
        <f t="shared" si="11"/>
        <v>1</v>
      </c>
      <c r="BY13" s="132">
        <v>5</v>
      </c>
      <c r="BZ13" s="345" t="str">
        <f t="shared" si="12"/>
        <v/>
      </c>
      <c r="CA13" s="345" t="str">
        <f>IF(BZ13=0,"无息",IF(BZ13="","",TEXT(BZ13,"0.00%")&amp;"利率"))</f>
        <v/>
      </c>
      <c r="CB13" s="146"/>
    </row>
    <row r="14" ht="15" customHeight="1" spans="1:80">
      <c r="A14" s="123" t="str">
        <f>IF(B14="","",COUNT(A$6:A13)+1)</f>
        <v/>
      </c>
      <c r="B14" s="139"/>
      <c r="C14" s="140"/>
      <c r="D14" s="140"/>
      <c r="E14" s="255"/>
      <c r="F14" s="142"/>
      <c r="G14" s="127" t="str">
        <f>IFERROR(VLOOKUP(F14,参数表!$H$2:$I$50,2,FALSE),"")</f>
        <v/>
      </c>
      <c r="H14" s="128" t="str">
        <f t="shared" si="6"/>
        <v/>
      </c>
      <c r="I14" s="143"/>
      <c r="J14" s="144"/>
      <c r="K14" s="129" t="str">
        <f t="shared" si="0"/>
        <v/>
      </c>
      <c r="L14" s="129" t="str">
        <f t="shared" si="1"/>
        <v/>
      </c>
      <c r="M14" s="145"/>
      <c r="BA14" s="78"/>
      <c r="BB14" s="132" t="s">
        <v>5144</v>
      </c>
      <c r="BC14" s="133"/>
      <c r="BD14" s="132" t="str">
        <f>IF(OR(B14="",BC14=""),"",COUNTIF(BC$7:BC14,"√"))</f>
        <v/>
      </c>
      <c r="BE14" s="134" t="str">
        <f t="shared" si="2"/>
        <v/>
      </c>
      <c r="BF14" s="135" t="str">
        <f t="shared" si="7"/>
        <v/>
      </c>
      <c r="BG14" s="135" t="str">
        <f t="shared" si="7"/>
        <v/>
      </c>
      <c r="BH14" s="136"/>
      <c r="BI14" s="137"/>
      <c r="BJ14" s="136"/>
      <c r="BK14" s="136"/>
      <c r="BL14" s="136"/>
      <c r="BM14" s="136"/>
      <c r="BN14" s="136"/>
      <c r="BO14" s="137"/>
      <c r="BP14" s="137"/>
      <c r="BQ14" s="103">
        <f t="shared" si="3"/>
        <v>0</v>
      </c>
      <c r="BR14" s="95" t="str">
        <f t="shared" si="4"/>
        <v>已过期</v>
      </c>
      <c r="BT14" s="134" t="str">
        <f>IF(COUNTIF(BT$6:BT13,E14)&gt;0,"",E14)</f>
        <v/>
      </c>
      <c r="BU14" s="138">
        <f t="shared" si="8"/>
        <v>0</v>
      </c>
      <c r="BV14" s="132">
        <f t="shared" si="9"/>
        <v>1</v>
      </c>
      <c r="BW14" s="138">
        <f t="shared" si="10"/>
        <v>0</v>
      </c>
      <c r="BX14" s="132">
        <f t="shared" si="11"/>
        <v>1</v>
      </c>
      <c r="BY14" s="147" t="s">
        <v>1659</v>
      </c>
      <c r="BZ14" s="132" t="str">
        <f>CONCATENATE(CA9,CB9,CA10,CB10,CA11,CB11,CA12,CB12,CA13)</f>
        <v>无息</v>
      </c>
      <c r="CA14" s="132"/>
      <c r="CB14" s="132"/>
    </row>
    <row r="15" ht="15" customHeight="1" spans="1:80">
      <c r="A15" s="123" t="str">
        <f>IF(B15="","",COUNT(A$6:A14)+1)</f>
        <v/>
      </c>
      <c r="B15" s="139"/>
      <c r="C15" s="140"/>
      <c r="D15" s="140"/>
      <c r="E15" s="255"/>
      <c r="F15" s="142"/>
      <c r="G15" s="127" t="str">
        <f>IFERROR(VLOOKUP(F15,参数表!$H$2:$I$50,2,FALSE),"")</f>
        <v/>
      </c>
      <c r="H15" s="128" t="str">
        <f t="shared" si="6"/>
        <v/>
      </c>
      <c r="I15" s="143"/>
      <c r="J15" s="144"/>
      <c r="K15" s="129" t="str">
        <f t="shared" si="0"/>
        <v/>
      </c>
      <c r="L15" s="129" t="str">
        <f t="shared" si="1"/>
        <v/>
      </c>
      <c r="M15" s="145"/>
      <c r="BA15" s="78"/>
      <c r="BB15" s="132" t="s">
        <v>5145</v>
      </c>
      <c r="BC15" s="133"/>
      <c r="BD15" s="132" t="str">
        <f>IF(OR(B15="",BC15=""),"",COUNTIF(BC$7:BC15,"√"))</f>
        <v/>
      </c>
      <c r="BE15" s="134" t="str">
        <f t="shared" si="2"/>
        <v/>
      </c>
      <c r="BF15" s="135" t="str">
        <f t="shared" si="7"/>
        <v/>
      </c>
      <c r="BG15" s="135" t="str">
        <f t="shared" si="7"/>
        <v/>
      </c>
      <c r="BH15" s="136"/>
      <c r="BI15" s="137"/>
      <c r="BJ15" s="136"/>
      <c r="BK15" s="136"/>
      <c r="BL15" s="136"/>
      <c r="BM15" s="136"/>
      <c r="BN15" s="136"/>
      <c r="BO15" s="137"/>
      <c r="BP15" s="137"/>
      <c r="BQ15" s="103">
        <f t="shared" si="3"/>
        <v>0</v>
      </c>
      <c r="BR15" s="95" t="str">
        <f t="shared" si="4"/>
        <v>已过期</v>
      </c>
      <c r="BT15" s="134" t="str">
        <f>IF(COUNTIF(BT$6:BT14,E15)&gt;0,"",E15)</f>
        <v/>
      </c>
      <c r="BU15" s="138">
        <f t="shared" si="8"/>
        <v>0</v>
      </c>
      <c r="BV15" s="132">
        <f t="shared" si="9"/>
        <v>1</v>
      </c>
      <c r="BW15" s="138">
        <f t="shared" si="10"/>
        <v>0</v>
      </c>
      <c r="BX15" s="132">
        <f t="shared" si="11"/>
        <v>1</v>
      </c>
      <c r="BY15" s="133"/>
      <c r="BZ15" s="133"/>
      <c r="CA15" s="133"/>
    </row>
    <row r="16" ht="15" customHeight="1" spans="1:80">
      <c r="A16" s="123" t="str">
        <f>IF(B16="","",COUNT(A$6:A15)+1)</f>
        <v/>
      </c>
      <c r="B16" s="139"/>
      <c r="C16" s="140"/>
      <c r="D16" s="140"/>
      <c r="E16" s="255"/>
      <c r="F16" s="142"/>
      <c r="G16" s="127" t="str">
        <f>IFERROR(VLOOKUP(F16,参数表!$H$2:$I$50,2,FALSE),"")</f>
        <v/>
      </c>
      <c r="H16" s="128" t="str">
        <f t="shared" si="6"/>
        <v/>
      </c>
      <c r="I16" s="143"/>
      <c r="J16" s="144"/>
      <c r="K16" s="129" t="str">
        <f t="shared" si="0"/>
        <v/>
      </c>
      <c r="L16" s="129" t="str">
        <f t="shared" si="1"/>
        <v/>
      </c>
      <c r="M16" s="145"/>
      <c r="BA16" s="78"/>
      <c r="BB16" s="132" t="s">
        <v>5146</v>
      </c>
      <c r="BC16" s="133"/>
      <c r="BD16" s="132" t="str">
        <f>IF(OR(B16="",BC16=""),"",COUNTIF(BC$7:BC16,"√"))</f>
        <v/>
      </c>
      <c r="BE16" s="134" t="str">
        <f t="shared" si="2"/>
        <v/>
      </c>
      <c r="BF16" s="135" t="str">
        <f t="shared" si="7"/>
        <v/>
      </c>
      <c r="BG16" s="135" t="str">
        <f t="shared" si="7"/>
        <v/>
      </c>
      <c r="BH16" s="136"/>
      <c r="BI16" s="137"/>
      <c r="BJ16" s="136"/>
      <c r="BK16" s="136"/>
      <c r="BL16" s="136"/>
      <c r="BM16" s="136"/>
      <c r="BN16" s="136"/>
      <c r="BO16" s="137"/>
      <c r="BP16" s="137"/>
      <c r="BQ16" s="103">
        <f t="shared" si="3"/>
        <v>0</v>
      </c>
      <c r="BR16" s="95" t="str">
        <f t="shared" si="4"/>
        <v>已过期</v>
      </c>
      <c r="BT16" s="134" t="str">
        <f>IF(COUNTIF(BT$6:BT15,E16)&gt;0,"",E16)</f>
        <v/>
      </c>
      <c r="BU16" s="138">
        <f t="shared" si="8"/>
        <v>0</v>
      </c>
      <c r="BV16" s="132">
        <f t="shared" si="9"/>
        <v>1</v>
      </c>
      <c r="BW16" s="138">
        <f t="shared" si="10"/>
        <v>0</v>
      </c>
      <c r="BX16" s="132">
        <f t="shared" si="11"/>
        <v>1</v>
      </c>
      <c r="BY16" s="133"/>
      <c r="BZ16" s="148"/>
      <c r="CA16" s="148"/>
    </row>
    <row r="17" ht="15" customHeight="1" spans="1:80">
      <c r="A17" s="123" t="str">
        <f>IF(B17="","",COUNT(A$6:A16)+1)</f>
        <v/>
      </c>
      <c r="B17" s="139"/>
      <c r="C17" s="140"/>
      <c r="D17" s="140"/>
      <c r="E17" s="255"/>
      <c r="F17" s="142"/>
      <c r="G17" s="127" t="str">
        <f>IFERROR(VLOOKUP(F17,参数表!$H$2:$I$50,2,FALSE),"")</f>
        <v/>
      </c>
      <c r="H17" s="128" t="str">
        <f t="shared" si="6"/>
        <v/>
      </c>
      <c r="I17" s="143"/>
      <c r="J17" s="144"/>
      <c r="K17" s="129" t="str">
        <f t="shared" si="0"/>
        <v/>
      </c>
      <c r="L17" s="129" t="str">
        <f t="shared" si="1"/>
        <v/>
      </c>
      <c r="M17" s="145"/>
      <c r="BA17" s="78"/>
      <c r="BB17" s="132" t="s">
        <v>5147</v>
      </c>
      <c r="BC17" s="133"/>
      <c r="BD17" s="132" t="str">
        <f>IF(OR(B17="",BC17=""),"",COUNTIF(BC$7:BC17,"√"))</f>
        <v/>
      </c>
      <c r="BE17" s="134" t="str">
        <f t="shared" si="2"/>
        <v/>
      </c>
      <c r="BF17" s="135" t="str">
        <f t="shared" si="7"/>
        <v/>
      </c>
      <c r="BG17" s="135" t="str">
        <f t="shared" si="7"/>
        <v/>
      </c>
      <c r="BH17" s="136"/>
      <c r="BI17" s="137"/>
      <c r="BJ17" s="136"/>
      <c r="BK17" s="136"/>
      <c r="BL17" s="136"/>
      <c r="BM17" s="136"/>
      <c r="BN17" s="136"/>
      <c r="BO17" s="137"/>
      <c r="BP17" s="137"/>
      <c r="BQ17" s="103">
        <f t="shared" si="3"/>
        <v>0</v>
      </c>
      <c r="BR17" s="95" t="str">
        <f t="shared" si="4"/>
        <v>已过期</v>
      </c>
      <c r="BT17" s="134" t="str">
        <f>IF(COUNTIF(BT$6:BT16,E17)&gt;0,"",E17)</f>
        <v/>
      </c>
      <c r="BU17" s="138">
        <f t="shared" si="8"/>
        <v>0</v>
      </c>
      <c r="BV17" s="132">
        <f t="shared" si="9"/>
        <v>1</v>
      </c>
      <c r="BW17" s="138">
        <f t="shared" si="10"/>
        <v>0</v>
      </c>
      <c r="BX17" s="132">
        <f t="shared" si="11"/>
        <v>1</v>
      </c>
      <c r="BY17" s="133"/>
      <c r="BZ17" s="133"/>
      <c r="CA17" s="133"/>
    </row>
    <row r="18" ht="15" customHeight="1" spans="1:80">
      <c r="A18" s="123" t="str">
        <f>IF(B18="","",COUNT(A$6:A17)+1)</f>
        <v/>
      </c>
      <c r="B18" s="139"/>
      <c r="C18" s="140"/>
      <c r="D18" s="140"/>
      <c r="E18" s="255"/>
      <c r="F18" s="142"/>
      <c r="G18" s="127" t="str">
        <f>IFERROR(VLOOKUP(F18,参数表!$H$2:$I$50,2,FALSE),"")</f>
        <v/>
      </c>
      <c r="H18" s="128" t="str">
        <f t="shared" si="6"/>
        <v/>
      </c>
      <c r="I18" s="143"/>
      <c r="J18" s="144"/>
      <c r="K18" s="129" t="str">
        <f t="shared" si="0"/>
        <v/>
      </c>
      <c r="L18" s="129" t="str">
        <f t="shared" si="1"/>
        <v/>
      </c>
      <c r="M18" s="145"/>
      <c r="BA18" s="78"/>
      <c r="BB18" s="132" t="s">
        <v>5148</v>
      </c>
      <c r="BC18" s="133"/>
      <c r="BD18" s="132" t="str">
        <f>IF(OR(B18="",BC18=""),"",COUNTIF(BC$7:BC18,"√"))</f>
        <v/>
      </c>
      <c r="BE18" s="134" t="str">
        <f t="shared" si="2"/>
        <v/>
      </c>
      <c r="BF18" s="135" t="str">
        <f t="shared" si="7"/>
        <v/>
      </c>
      <c r="BG18" s="135" t="str">
        <f t="shared" si="7"/>
        <v/>
      </c>
      <c r="BH18" s="136"/>
      <c r="BI18" s="137"/>
      <c r="BJ18" s="136"/>
      <c r="BK18" s="136"/>
      <c r="BL18" s="136"/>
      <c r="BM18" s="136"/>
      <c r="BN18" s="136"/>
      <c r="BO18" s="137"/>
      <c r="BP18" s="137"/>
      <c r="BQ18" s="103">
        <f t="shared" si="3"/>
        <v>0</v>
      </c>
      <c r="BR18" s="95" t="str">
        <f t="shared" si="4"/>
        <v>已过期</v>
      </c>
      <c r="BT18" s="134" t="str">
        <f>IF(COUNTIF(BT$6:BT17,E18)&gt;0,"",E18)</f>
        <v/>
      </c>
      <c r="BU18" s="138">
        <f t="shared" si="8"/>
        <v>0</v>
      </c>
      <c r="BV18" s="132">
        <f t="shared" si="9"/>
        <v>1</v>
      </c>
      <c r="BW18" s="138">
        <f t="shared" si="10"/>
        <v>0</v>
      </c>
      <c r="BX18" s="132">
        <f t="shared" si="11"/>
        <v>1</v>
      </c>
      <c r="BY18" s="133"/>
      <c r="BZ18" s="133"/>
      <c r="CA18" s="133"/>
    </row>
    <row r="19" ht="15" customHeight="1" spans="1:80">
      <c r="A19" s="123" t="str">
        <f>IF(B19="","",COUNT(A$6:A18)+1)</f>
        <v/>
      </c>
      <c r="B19" s="139"/>
      <c r="C19" s="140"/>
      <c r="D19" s="140"/>
      <c r="E19" s="255"/>
      <c r="F19" s="142"/>
      <c r="G19" s="127" t="str">
        <f>IFERROR(VLOOKUP(F19,参数表!$H$2:$I$50,2,FALSE),"")</f>
        <v/>
      </c>
      <c r="H19" s="128" t="str">
        <f t="shared" si="6"/>
        <v/>
      </c>
      <c r="I19" s="143"/>
      <c r="J19" s="144"/>
      <c r="K19" s="129" t="str">
        <f t="shared" si="0"/>
        <v/>
      </c>
      <c r="L19" s="129" t="str">
        <f t="shared" si="1"/>
        <v/>
      </c>
      <c r="M19" s="145"/>
      <c r="BA19" s="78"/>
      <c r="BB19" s="132" t="s">
        <v>5149</v>
      </c>
      <c r="BC19" s="133"/>
      <c r="BD19" s="132" t="str">
        <f>IF(OR(B19="",BC19=""),"",COUNTIF(BC$7:BC19,"√"))</f>
        <v/>
      </c>
      <c r="BE19" s="134" t="str">
        <f t="shared" si="2"/>
        <v/>
      </c>
      <c r="BF19" s="135" t="str">
        <f t="shared" si="7"/>
        <v/>
      </c>
      <c r="BG19" s="135" t="str">
        <f t="shared" si="7"/>
        <v/>
      </c>
      <c r="BH19" s="136"/>
      <c r="BI19" s="137"/>
      <c r="BJ19" s="136"/>
      <c r="BK19" s="136"/>
      <c r="BL19" s="136"/>
      <c r="BM19" s="136"/>
      <c r="BN19" s="136"/>
      <c r="BO19" s="137"/>
      <c r="BP19" s="137"/>
      <c r="BQ19" s="103">
        <f t="shared" si="3"/>
        <v>0</v>
      </c>
      <c r="BR19" s="95" t="str">
        <f t="shared" si="4"/>
        <v>已过期</v>
      </c>
      <c r="BT19" s="134" t="str">
        <f>IF(COUNTIF(BT$6:BT18,E19)&gt;0,"",E19)</f>
        <v/>
      </c>
      <c r="BU19" s="138">
        <f t="shared" si="8"/>
        <v>0</v>
      </c>
      <c r="BV19" s="132">
        <f t="shared" si="9"/>
        <v>1</v>
      </c>
      <c r="BW19" s="138">
        <f t="shared" si="10"/>
        <v>0</v>
      </c>
      <c r="BX19" s="132">
        <f t="shared" si="11"/>
        <v>1</v>
      </c>
      <c r="BY19" s="133"/>
      <c r="BZ19" s="133"/>
      <c r="CA19" s="133"/>
    </row>
    <row r="20" ht="15" customHeight="1" spans="1:80">
      <c r="A20" s="123" t="str">
        <f>IF(B20="","",COUNT(A$6:A19)+1)</f>
        <v/>
      </c>
      <c r="B20" s="139"/>
      <c r="C20" s="140"/>
      <c r="D20" s="140"/>
      <c r="E20" s="255"/>
      <c r="F20" s="142"/>
      <c r="G20" s="127" t="str">
        <f>IFERROR(VLOOKUP(F20,参数表!$H$2:$I$50,2,FALSE),"")</f>
        <v/>
      </c>
      <c r="H20" s="128" t="str">
        <f t="shared" si="6"/>
        <v/>
      </c>
      <c r="I20" s="143"/>
      <c r="J20" s="144"/>
      <c r="K20" s="129" t="str">
        <f t="shared" si="0"/>
        <v/>
      </c>
      <c r="L20" s="129" t="str">
        <f t="shared" si="1"/>
        <v/>
      </c>
      <c r="M20" s="145"/>
      <c r="BA20" s="78"/>
      <c r="BB20" s="132" t="s">
        <v>5150</v>
      </c>
      <c r="BC20" s="133"/>
      <c r="BD20" s="132" t="str">
        <f>IF(OR(B20="",BC20=""),"",COUNTIF(BC$7:BC20,"√"))</f>
        <v/>
      </c>
      <c r="BE20" s="134" t="str">
        <f t="shared" si="2"/>
        <v/>
      </c>
      <c r="BF20" s="135" t="str">
        <f t="shared" si="7"/>
        <v/>
      </c>
      <c r="BG20" s="135" t="str">
        <f t="shared" si="7"/>
        <v/>
      </c>
      <c r="BH20" s="136"/>
      <c r="BI20" s="137"/>
      <c r="BJ20" s="136"/>
      <c r="BK20" s="136"/>
      <c r="BL20" s="136"/>
      <c r="BM20" s="136"/>
      <c r="BN20" s="136"/>
      <c r="BO20" s="137"/>
      <c r="BP20" s="137"/>
      <c r="BQ20" s="103">
        <f t="shared" si="3"/>
        <v>0</v>
      </c>
      <c r="BR20" s="95" t="str">
        <f t="shared" si="4"/>
        <v>已过期</v>
      </c>
      <c r="BT20" s="134" t="str">
        <f>IF(COUNTIF(BT$6:BT19,E20)&gt;0,"",E20)</f>
        <v/>
      </c>
      <c r="BU20" s="138">
        <f t="shared" si="8"/>
        <v>0</v>
      </c>
      <c r="BV20" s="132">
        <f t="shared" si="9"/>
        <v>1</v>
      </c>
      <c r="BW20" s="138">
        <f t="shared" si="10"/>
        <v>0</v>
      </c>
      <c r="BX20" s="132">
        <f t="shared" si="11"/>
        <v>1</v>
      </c>
      <c r="BY20" s="133"/>
      <c r="BZ20" s="133"/>
      <c r="CA20" s="133"/>
    </row>
    <row r="21" ht="15" customHeight="1" spans="1:80">
      <c r="A21" s="123" t="str">
        <f>IF(B21="","",COUNT(A$6:A20)+1)</f>
        <v/>
      </c>
      <c r="B21" s="139"/>
      <c r="C21" s="140"/>
      <c r="D21" s="140"/>
      <c r="E21" s="255"/>
      <c r="F21" s="142"/>
      <c r="G21" s="127" t="str">
        <f>IFERROR(VLOOKUP(F21,参数表!$H$2:$I$50,2,FALSE),"")</f>
        <v/>
      </c>
      <c r="H21" s="128" t="str">
        <f t="shared" si="6"/>
        <v/>
      </c>
      <c r="I21" s="143"/>
      <c r="J21" s="144"/>
      <c r="K21" s="129" t="str">
        <f t="shared" si="0"/>
        <v/>
      </c>
      <c r="L21" s="129" t="str">
        <f t="shared" si="1"/>
        <v/>
      </c>
      <c r="M21" s="145"/>
      <c r="BA21" s="78"/>
      <c r="BB21" s="132" t="s">
        <v>5151</v>
      </c>
      <c r="BC21" s="133"/>
      <c r="BD21" s="132" t="str">
        <f>IF(OR(B21="",BC21=""),"",COUNTIF(BC$7:BC21,"√"))</f>
        <v/>
      </c>
      <c r="BE21" s="134" t="str">
        <f t="shared" si="2"/>
        <v/>
      </c>
      <c r="BF21" s="135" t="str">
        <f t="shared" si="7"/>
        <v/>
      </c>
      <c r="BG21" s="135" t="str">
        <f t="shared" si="7"/>
        <v/>
      </c>
      <c r="BH21" s="136"/>
      <c r="BI21" s="137"/>
      <c r="BJ21" s="136"/>
      <c r="BK21" s="136"/>
      <c r="BL21" s="136"/>
      <c r="BM21" s="136"/>
      <c r="BN21" s="136"/>
      <c r="BO21" s="137"/>
      <c r="BP21" s="137"/>
      <c r="BQ21" s="103">
        <f t="shared" si="3"/>
        <v>0</v>
      </c>
      <c r="BR21" s="95" t="str">
        <f t="shared" si="4"/>
        <v>已过期</v>
      </c>
      <c r="BT21" s="134" t="str">
        <f>IF(COUNTIF(BT$6:BT20,E21)&gt;0,"",E21)</f>
        <v/>
      </c>
      <c r="BU21" s="138">
        <f t="shared" si="8"/>
        <v>0</v>
      </c>
      <c r="BV21" s="132">
        <f t="shared" si="9"/>
        <v>1</v>
      </c>
      <c r="BW21" s="138">
        <f t="shared" si="10"/>
        <v>0</v>
      </c>
      <c r="BX21" s="132">
        <f t="shared" si="11"/>
        <v>1</v>
      </c>
      <c r="BY21" s="133"/>
      <c r="BZ21" s="133"/>
      <c r="CA21" s="133"/>
    </row>
    <row r="22" ht="15" customHeight="1" spans="1:80">
      <c r="A22" s="123" t="str">
        <f>IF(B22="","",COUNT(A$6:A21)+1)</f>
        <v/>
      </c>
      <c r="B22" s="139"/>
      <c r="C22" s="140"/>
      <c r="D22" s="140"/>
      <c r="E22" s="255"/>
      <c r="F22" s="142"/>
      <c r="G22" s="127" t="str">
        <f>IFERROR(VLOOKUP(F22,参数表!$H$2:$I$50,2,FALSE),"")</f>
        <v/>
      </c>
      <c r="H22" s="128" t="str">
        <f t="shared" si="6"/>
        <v/>
      </c>
      <c r="I22" s="143"/>
      <c r="J22" s="144"/>
      <c r="K22" s="129" t="str">
        <f t="shared" si="0"/>
        <v/>
      </c>
      <c r="L22" s="129" t="str">
        <f t="shared" si="1"/>
        <v/>
      </c>
      <c r="M22" s="145"/>
      <c r="BA22" s="78"/>
      <c r="BB22" s="132" t="s">
        <v>5152</v>
      </c>
      <c r="BC22" s="133"/>
      <c r="BD22" s="132" t="str">
        <f>IF(OR(B22="",BC22=""),"",COUNTIF(BC$7:BC22,"√"))</f>
        <v/>
      </c>
      <c r="BE22" s="134" t="str">
        <f t="shared" si="2"/>
        <v/>
      </c>
      <c r="BF22" s="135" t="str">
        <f t="shared" si="7"/>
        <v/>
      </c>
      <c r="BG22" s="135" t="str">
        <f t="shared" si="7"/>
        <v/>
      </c>
      <c r="BH22" s="136"/>
      <c r="BI22" s="137"/>
      <c r="BJ22" s="136"/>
      <c r="BK22" s="136"/>
      <c r="BL22" s="136"/>
      <c r="BM22" s="136"/>
      <c r="BN22" s="136"/>
      <c r="BO22" s="137"/>
      <c r="BP22" s="137"/>
      <c r="BQ22" s="103">
        <f t="shared" si="3"/>
        <v>0</v>
      </c>
      <c r="BR22" s="95" t="str">
        <f t="shared" si="4"/>
        <v>已过期</v>
      </c>
      <c r="BT22" s="134" t="str">
        <f>IF(COUNTIF(BT$6:BT21,E22)&gt;0,"",E22)</f>
        <v/>
      </c>
      <c r="BU22" s="138">
        <f t="shared" si="8"/>
        <v>0</v>
      </c>
      <c r="BV22" s="132">
        <f t="shared" si="9"/>
        <v>1</v>
      </c>
      <c r="BW22" s="138">
        <f t="shared" si="10"/>
        <v>0</v>
      </c>
      <c r="BX22" s="132">
        <f t="shared" si="11"/>
        <v>1</v>
      </c>
      <c r="BY22" s="133"/>
      <c r="BZ22" s="133"/>
      <c r="CA22" s="133"/>
    </row>
    <row r="23" ht="15" customHeight="1" spans="1:80">
      <c r="A23" s="123" t="str">
        <f>IF(B23="","",COUNT(A$6:A22)+1)</f>
        <v/>
      </c>
      <c r="B23" s="139"/>
      <c r="C23" s="140"/>
      <c r="D23" s="140"/>
      <c r="E23" s="255"/>
      <c r="F23" s="142"/>
      <c r="G23" s="127" t="str">
        <f>IFERROR(VLOOKUP(F23,参数表!$H$2:$I$50,2,FALSE),"")</f>
        <v/>
      </c>
      <c r="H23" s="128" t="str">
        <f t="shared" si="6"/>
        <v/>
      </c>
      <c r="I23" s="143"/>
      <c r="J23" s="144"/>
      <c r="K23" s="129" t="str">
        <f t="shared" si="0"/>
        <v/>
      </c>
      <c r="L23" s="129" t="str">
        <f t="shared" si="1"/>
        <v/>
      </c>
      <c r="M23" s="145"/>
      <c r="BA23" s="78"/>
      <c r="BB23" s="132" t="s">
        <v>5153</v>
      </c>
      <c r="BC23" s="133"/>
      <c r="BD23" s="132" t="str">
        <f>IF(OR(B23="",BC23=""),"",COUNTIF(BC$7:BC23,"√"))</f>
        <v/>
      </c>
      <c r="BE23" s="134" t="str">
        <f t="shared" si="2"/>
        <v/>
      </c>
      <c r="BF23" s="135" t="str">
        <f t="shared" si="7"/>
        <v/>
      </c>
      <c r="BG23" s="135" t="str">
        <f t="shared" si="7"/>
        <v/>
      </c>
      <c r="BH23" s="136"/>
      <c r="BI23" s="137"/>
      <c r="BJ23" s="136"/>
      <c r="BK23" s="136"/>
      <c r="BL23" s="136"/>
      <c r="BM23" s="136"/>
      <c r="BN23" s="136"/>
      <c r="BO23" s="137"/>
      <c r="BP23" s="137"/>
      <c r="BQ23" s="103">
        <f t="shared" si="3"/>
        <v>0</v>
      </c>
      <c r="BR23" s="95" t="str">
        <f t="shared" si="4"/>
        <v>已过期</v>
      </c>
      <c r="BT23" s="134" t="str">
        <f>IF(COUNTIF(BT$6:BT22,E23)&gt;0,"",E23)</f>
        <v/>
      </c>
      <c r="BU23" s="138">
        <f t="shared" si="8"/>
        <v>0</v>
      </c>
      <c r="BV23" s="132">
        <f t="shared" si="9"/>
        <v>1</v>
      </c>
      <c r="BW23" s="138">
        <f t="shared" si="10"/>
        <v>0</v>
      </c>
      <c r="BX23" s="132">
        <f t="shared" si="11"/>
        <v>1</v>
      </c>
      <c r="BY23" s="133"/>
      <c r="BZ23" s="133"/>
      <c r="CA23" s="133"/>
    </row>
    <row r="24" ht="15" customHeight="1" spans="1:80">
      <c r="A24" s="123" t="str">
        <f>IF(B24="","",COUNT(A$6:A23)+1)</f>
        <v/>
      </c>
      <c r="B24" s="139"/>
      <c r="C24" s="140"/>
      <c r="D24" s="140"/>
      <c r="E24" s="255"/>
      <c r="F24" s="142"/>
      <c r="G24" s="127" t="str">
        <f>IFERROR(VLOOKUP(F24,参数表!$H$2:$I$50,2,FALSE),"")</f>
        <v/>
      </c>
      <c r="H24" s="128" t="str">
        <f t="shared" si="6"/>
        <v/>
      </c>
      <c r="I24" s="143"/>
      <c r="J24" s="144"/>
      <c r="K24" s="129" t="str">
        <f t="shared" si="0"/>
        <v/>
      </c>
      <c r="L24" s="129" t="str">
        <f t="shared" si="1"/>
        <v/>
      </c>
      <c r="M24" s="145"/>
      <c r="BA24" s="78"/>
      <c r="BB24" s="132" t="s">
        <v>5154</v>
      </c>
      <c r="BC24" s="133"/>
      <c r="BD24" s="132" t="str">
        <f>IF(OR(B24="",BC24=""),"",COUNTIF(BC$7:BC24,"√"))</f>
        <v/>
      </c>
      <c r="BE24" s="134" t="str">
        <f t="shared" si="2"/>
        <v/>
      </c>
      <c r="BF24" s="135" t="str">
        <f t="shared" si="7"/>
        <v/>
      </c>
      <c r="BG24" s="135" t="str">
        <f t="shared" si="7"/>
        <v/>
      </c>
      <c r="BH24" s="136"/>
      <c r="BI24" s="137"/>
      <c r="BJ24" s="136"/>
      <c r="BK24" s="136"/>
      <c r="BL24" s="136"/>
      <c r="BM24" s="136"/>
      <c r="BN24" s="136"/>
      <c r="BO24" s="137"/>
      <c r="BP24" s="137"/>
      <c r="BQ24" s="103">
        <f t="shared" si="3"/>
        <v>0</v>
      </c>
      <c r="BR24" s="95" t="str">
        <f t="shared" si="4"/>
        <v>已过期</v>
      </c>
      <c r="BT24" s="134" t="str">
        <f>IF(COUNTIF(BT$6:BT23,E24)&gt;0,"",E24)</f>
        <v/>
      </c>
      <c r="BU24" s="138">
        <f t="shared" si="8"/>
        <v>0</v>
      </c>
      <c r="BV24" s="132">
        <f t="shared" si="9"/>
        <v>1</v>
      </c>
      <c r="BW24" s="138">
        <f t="shared" si="10"/>
        <v>0</v>
      </c>
      <c r="BX24" s="132">
        <f t="shared" si="11"/>
        <v>1</v>
      </c>
      <c r="BY24" s="133"/>
      <c r="BZ24" s="133"/>
      <c r="CA24" s="133"/>
    </row>
    <row r="25" ht="15" customHeight="1" spans="1:80">
      <c r="A25" s="123" t="str">
        <f>IF(B25="","",COUNT(A$6:A24)+1)</f>
        <v/>
      </c>
      <c r="B25" s="139"/>
      <c r="C25" s="140"/>
      <c r="D25" s="140"/>
      <c r="E25" s="255"/>
      <c r="F25" s="142"/>
      <c r="G25" s="127" t="str">
        <f>IFERROR(VLOOKUP(F25,参数表!$H$2:$I$50,2,FALSE),"")</f>
        <v/>
      </c>
      <c r="H25" s="128" t="str">
        <f t="shared" si="6"/>
        <v/>
      </c>
      <c r="I25" s="143"/>
      <c r="J25" s="144"/>
      <c r="K25" s="129" t="str">
        <f t="shared" si="0"/>
        <v/>
      </c>
      <c r="L25" s="129" t="str">
        <f t="shared" si="1"/>
        <v/>
      </c>
      <c r="M25" s="145"/>
      <c r="BA25" s="78"/>
      <c r="BB25" s="132" t="s">
        <v>5155</v>
      </c>
      <c r="BC25" s="133"/>
      <c r="BD25" s="132" t="str">
        <f>IF(OR(B25="",BC25=""),"",COUNTIF(BC$7:BC25,"√"))</f>
        <v/>
      </c>
      <c r="BE25" s="134" t="str">
        <f t="shared" si="2"/>
        <v/>
      </c>
      <c r="BF25" s="135" t="str">
        <f t="shared" si="7"/>
        <v/>
      </c>
      <c r="BG25" s="135" t="str">
        <f t="shared" si="7"/>
        <v/>
      </c>
      <c r="BH25" s="136"/>
      <c r="BI25" s="137"/>
      <c r="BJ25" s="136"/>
      <c r="BK25" s="136"/>
      <c r="BL25" s="136"/>
      <c r="BM25" s="136"/>
      <c r="BN25" s="136"/>
      <c r="BO25" s="137"/>
      <c r="BP25" s="137"/>
      <c r="BQ25" s="103">
        <f t="shared" si="3"/>
        <v>0</v>
      </c>
      <c r="BR25" s="95" t="str">
        <f t="shared" si="4"/>
        <v>已过期</v>
      </c>
      <c r="BT25" s="134" t="str">
        <f>IF(COUNTIF(BT$6:BT24,E25)&gt;0,"",E25)</f>
        <v/>
      </c>
      <c r="BU25" s="138">
        <f t="shared" si="8"/>
        <v>0</v>
      </c>
      <c r="BV25" s="132">
        <f t="shared" si="9"/>
        <v>1</v>
      </c>
      <c r="BW25" s="138">
        <f t="shared" si="10"/>
        <v>0</v>
      </c>
      <c r="BX25" s="132">
        <f t="shared" si="11"/>
        <v>1</v>
      </c>
      <c r="BY25" s="133"/>
      <c r="BZ25" s="133"/>
      <c r="CA25" s="133"/>
    </row>
    <row r="26" ht="15" customHeight="1" spans="1:80">
      <c r="A26" s="123" t="str">
        <f>IF(B26="","",COUNT(A$6:A25)+1)</f>
        <v/>
      </c>
      <c r="B26" s="124"/>
      <c r="C26" s="125"/>
      <c r="D26" s="125"/>
      <c r="E26" s="225"/>
      <c r="F26" s="127"/>
      <c r="G26" s="127" t="str">
        <f>IFERROR(VLOOKUP(F26,参数表!$H$2:$I$50,2,FALSE),"")</f>
        <v/>
      </c>
      <c r="H26" s="128" t="str">
        <f t="shared" si="6"/>
        <v/>
      </c>
      <c r="I26" s="129"/>
      <c r="J26" s="130"/>
      <c r="K26" s="129" t="str">
        <f t="shared" si="0"/>
        <v/>
      </c>
      <c r="L26" s="129" t="str">
        <f t="shared" si="1"/>
        <v/>
      </c>
      <c r="M26" s="131"/>
      <c r="BA26" s="78"/>
      <c r="BB26" s="132" t="s">
        <v>5156</v>
      </c>
      <c r="BC26" s="133"/>
      <c r="BD26" s="132" t="str">
        <f>IF(OR(B26="",BC26=""),"",COUNTIF(BC$7:BC26,"√"))</f>
        <v/>
      </c>
      <c r="BE26" s="134" t="str">
        <f t="shared" si="2"/>
        <v/>
      </c>
      <c r="BF26" s="135" t="str">
        <f t="shared" si="7"/>
        <v/>
      </c>
      <c r="BG26" s="135" t="str">
        <f t="shared" si="7"/>
        <v/>
      </c>
      <c r="BH26" s="136"/>
      <c r="BI26" s="137"/>
      <c r="BJ26" s="136"/>
      <c r="BK26" s="136"/>
      <c r="BL26" s="136"/>
      <c r="BM26" s="136"/>
      <c r="BN26" s="136"/>
      <c r="BO26" s="137"/>
      <c r="BP26" s="137"/>
      <c r="BQ26" s="103">
        <f t="shared" si="3"/>
        <v>0</v>
      </c>
      <c r="BR26" s="95" t="str">
        <f t="shared" si="4"/>
        <v>已过期</v>
      </c>
      <c r="BT26" s="134" t="str">
        <f>IF(COUNTIF(BT$6:BT25,E26)&gt;0,"",E26)</f>
        <v/>
      </c>
      <c r="BU26" s="138">
        <f t="shared" si="8"/>
        <v>0</v>
      </c>
      <c r="BV26" s="132">
        <f t="shared" si="9"/>
        <v>1</v>
      </c>
      <c r="BW26" s="138">
        <f t="shared" si="10"/>
        <v>0</v>
      </c>
      <c r="BX26" s="132">
        <f t="shared" si="11"/>
        <v>1</v>
      </c>
      <c r="BY26" s="133"/>
      <c r="BZ26" s="133"/>
      <c r="CA26" s="133"/>
    </row>
    <row r="27" s="73" customFormat="1" ht="15" customHeight="1" spans="1:80">
      <c r="A27" s="149" t="s">
        <v>5134</v>
      </c>
      <c r="B27" s="149"/>
      <c r="C27" s="226"/>
      <c r="D27" s="226"/>
      <c r="E27" s="275"/>
      <c r="F27" s="151"/>
      <c r="G27" s="151"/>
      <c r="H27" s="151"/>
      <c r="I27" s="152">
        <f>SUM(I7:I26)</f>
        <v>0</v>
      </c>
      <c r="J27" s="153"/>
      <c r="K27" s="152">
        <f>SUM(K7:K26)</f>
        <v>0</v>
      </c>
      <c r="L27" s="152">
        <f>SUM(L7:L26)</f>
        <v>0</v>
      </c>
      <c r="M27" s="151"/>
      <c r="BF27" s="75"/>
      <c r="BG27" s="75"/>
      <c r="BH27" s="165"/>
      <c r="BI27" s="75"/>
      <c r="BJ27" s="165"/>
      <c r="BK27" s="165"/>
      <c r="BL27" s="165"/>
      <c r="BM27" s="165"/>
      <c r="BN27" s="165"/>
      <c r="BO27" s="75"/>
      <c r="BP27" s="75"/>
      <c r="BS27" s="111"/>
      <c r="BT27" s="119"/>
      <c r="BU27" s="77"/>
      <c r="BV27" s="77"/>
      <c r="BW27" s="77"/>
      <c r="BX27" s="119"/>
      <c r="BY27" s="119"/>
      <c r="BZ27" s="119"/>
      <c r="CA27" s="119"/>
      <c r="CB27" s="111"/>
    </row>
    <row r="28" customHeight="1" spans="1:80">
      <c r="A28" s="102" t="str">
        <f>参数表!F$6</f>
        <v>产权持有单位填表人：贾广东</v>
      </c>
      <c r="B28" s="154"/>
      <c r="C28" s="154"/>
      <c r="D28" s="154"/>
      <c r="E28" s="154"/>
      <c r="F28" s="154"/>
      <c r="G28" s="154"/>
      <c r="H28" s="154"/>
      <c r="I28" s="154"/>
      <c r="J28" s="104"/>
      <c r="K28" s="103"/>
      <c r="L28" s="156" t="str">
        <f>"评估人员："&amp;封面!$G$38</f>
        <v>评估人员：</v>
      </c>
      <c r="M28" s="103"/>
    </row>
    <row r="29" customHeight="1" spans="1:80">
      <c r="A29" s="102" t="str">
        <f>参数表!F$7</f>
        <v>填表日期：2025年9月20日</v>
      </c>
      <c r="B29" s="154"/>
      <c r="C29" s="154"/>
      <c r="D29" s="154"/>
      <c r="E29" s="154"/>
      <c r="F29" s="154"/>
      <c r="G29" s="154"/>
      <c r="H29" s="154"/>
      <c r="I29" s="154"/>
      <c r="J29" s="104"/>
      <c r="K29" s="103"/>
      <c r="L29" s="103"/>
      <c r="M29" s="103"/>
    </row>
    <row r="30" hidden="1" customHeight="1" outlineLevel="1" spans="1:80">
      <c r="A30" s="157"/>
      <c r="B30" s="154" t="s">
        <v>1673</v>
      </c>
      <c r="C30" s="158"/>
      <c r="D30" s="158"/>
      <c r="E30" s="158"/>
      <c r="F30" s="158"/>
      <c r="G30" s="158"/>
      <c r="H30" s="158"/>
      <c r="I30" s="159">
        <f>SUMIF($BA7:$BA26,$BA30,I7:I26)</f>
        <v>0</v>
      </c>
      <c r="J30" s="202"/>
      <c r="K30" s="159">
        <f>SUMIF($BA7:$BA26,$BA30,K7:K26)</f>
        <v>0</v>
      </c>
      <c r="L30" s="159">
        <f>SUMIF($BA7:$BA26,$BA30,L7:L26)</f>
        <v>0</v>
      </c>
      <c r="BA30" s="161" t="s">
        <v>1674</v>
      </c>
      <c r="BH30" s="95" t="s">
        <v>1675</v>
      </c>
      <c r="BJ30" s="95" t="s">
        <v>1675</v>
      </c>
      <c r="BK30" s="95" t="s">
        <v>1675</v>
      </c>
      <c r="BL30" s="95" t="s">
        <v>1675</v>
      </c>
      <c r="BM30" s="95" t="s">
        <v>1674</v>
      </c>
      <c r="BN30" s="95" t="s">
        <v>1674</v>
      </c>
    </row>
    <row r="31" hidden="1" customHeight="1" outlineLevel="1" spans="1:80">
      <c r="A31" s="157"/>
      <c r="B31" s="154" t="s">
        <v>1676</v>
      </c>
      <c r="C31" s="158"/>
      <c r="D31" s="158"/>
      <c r="E31" s="158"/>
      <c r="F31" s="158"/>
      <c r="G31" s="158"/>
      <c r="H31" s="158"/>
      <c r="I31" s="159">
        <f>I27-I30</f>
        <v>0</v>
      </c>
      <c r="J31" s="202"/>
      <c r="K31" s="159">
        <f>K27-K30</f>
        <v>0</v>
      </c>
      <c r="L31" s="159">
        <f>L27-L30</f>
        <v>0</v>
      </c>
      <c r="BA31" s="161" t="s">
        <v>1677</v>
      </c>
      <c r="BH31" s="95" t="s">
        <v>1678</v>
      </c>
      <c r="BJ31" s="95" t="s">
        <v>1678</v>
      </c>
      <c r="BK31" s="95" t="s">
        <v>1678</v>
      </c>
      <c r="BL31" s="95" t="s">
        <v>1678</v>
      </c>
      <c r="BM31" s="95" t="s">
        <v>1677</v>
      </c>
      <c r="BN31" s="95" t="s">
        <v>1677</v>
      </c>
    </row>
    <row r="32" customHeight="1" collapsed="1" spans="1:80">
      <c r="A32" s="157"/>
      <c r="B32" s="158"/>
      <c r="C32" s="158"/>
      <c r="D32" s="158"/>
      <c r="E32" s="158"/>
      <c r="F32" s="158"/>
      <c r="G32" s="158"/>
      <c r="H32" s="158"/>
      <c r="I32" s="158"/>
    </row>
    <row r="33" customHeight="1" spans="1:9">
      <c r="A33" s="157"/>
      <c r="B33" s="158"/>
      <c r="C33" s="158"/>
      <c r="D33" s="158"/>
      <c r="E33" s="158"/>
      <c r="F33" s="158"/>
      <c r="G33" s="158"/>
      <c r="H33" s="158"/>
      <c r="I33" s="158"/>
    </row>
    <row r="34" customHeight="1" spans="1:9">
      <c r="A34" s="157"/>
      <c r="B34" s="158"/>
      <c r="C34" s="158"/>
      <c r="D34" s="158"/>
      <c r="E34" s="158"/>
      <c r="F34" s="158"/>
      <c r="G34" s="158"/>
      <c r="H34" s="158"/>
      <c r="I34" s="158"/>
    </row>
    <row r="35" customHeight="1" spans="1:9">
      <c r="A35" s="157"/>
      <c r="B35" s="158"/>
      <c r="C35" s="158"/>
      <c r="D35" s="158"/>
      <c r="E35" s="158"/>
      <c r="F35" s="158"/>
      <c r="G35" s="158"/>
      <c r="H35" s="158"/>
      <c r="I35" s="158"/>
    </row>
    <row r="36" customHeight="1" spans="1:9">
      <c r="A36" s="157"/>
      <c r="B36" s="158"/>
      <c r="C36" s="158"/>
      <c r="D36" s="158"/>
      <c r="E36" s="158"/>
      <c r="F36" s="158"/>
      <c r="G36" s="158"/>
      <c r="H36" s="158"/>
      <c r="I36" s="158"/>
    </row>
    <row r="37" customHeight="1" spans="1:9">
      <c r="F37" s="158"/>
      <c r="G37" s="158"/>
      <c r="H37" s="158"/>
    </row>
  </sheetData>
  <sheetProtection autoFilter="0"/>
  <autoFilter xmlns:etc="http://www.wps.cn/officeDocument/2017/etCustomData" ref="A6:BB31" etc:filterBottomFollowUsedRange="0">
    <extLst/>
  </autoFilter>
  <mergeCells count="6">
    <mergeCell ref="A2:M2"/>
    <mergeCell ref="A3:M3"/>
    <mergeCell ref="BY7:CB7"/>
    <mergeCell ref="BY8:CB8"/>
    <mergeCell ref="BZ14:CB14"/>
    <mergeCell ref="A27:B27"/>
  </mergeCells>
  <conditionalFormatting sqref="BH7:BH26">
    <cfRule type="expression" dxfId="5" priority="12"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F7:F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8" display="返回索引页"/>
    <hyperlink ref="B1" location="流动负债汇总!B8"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2.6" style="75" customWidth="1"/>
    <col min="3" max="3" width="12.2" style="75" customWidth="1"/>
    <col min="4" max="4" width="19.2" style="75" customWidth="1"/>
    <col min="5" max="6" width="4.6" style="75" customWidth="1" outlineLevel="1"/>
    <col min="7" max="7" width="6.1" style="75" customWidth="1" outlineLevel="1"/>
    <col min="8" max="8" width="18.6" style="75" customWidth="1" outlineLevel="1"/>
    <col min="9" max="9" width="18.6" style="76" customWidth="1" outlineLevel="1"/>
    <col min="10" max="11" width="18.6" style="75" customWidth="1"/>
    <col min="12" max="12" width="15.7" style="75" customWidth="1"/>
    <col min="13"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5" width="4.7" style="165" customWidth="1"/>
    <col min="66" max="66" width="6.7" style="16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3.8" spans="1:77">
      <c r="A1" s="273" t="s">
        <v>1591</v>
      </c>
      <c r="B1" s="80" t="s">
        <v>1592</v>
      </c>
      <c r="C1" s="81"/>
      <c r="D1" s="81"/>
      <c r="E1" s="82"/>
      <c r="F1" s="82"/>
      <c r="G1" s="82"/>
      <c r="H1" s="81"/>
      <c r="I1" s="83"/>
      <c r="J1" s="81"/>
      <c r="K1" s="81"/>
      <c r="L1" s="81"/>
      <c r="BA1" s="84" t="str">
        <f>参数表!BA1</f>
        <v>注意：补充特殊事项、作价等均从BA列开始填写</v>
      </c>
      <c r="BB1" s="85"/>
      <c r="BC1" s="86"/>
      <c r="BD1" s="86"/>
      <c r="BE1" s="86"/>
      <c r="BF1" s="86"/>
      <c r="BG1" s="86"/>
      <c r="BH1" s="82"/>
      <c r="BI1" s="86"/>
      <c r="BJ1" s="82"/>
      <c r="BK1" s="82"/>
      <c r="BL1" s="168"/>
      <c r="BM1" s="168"/>
      <c r="BN1" s="168"/>
      <c r="BQ1" s="87"/>
      <c r="BR1" s="88"/>
      <c r="BS1" s="87"/>
      <c r="BT1" s="88"/>
      <c r="BU1" s="88"/>
      <c r="BV1" s="88"/>
      <c r="BW1" s="88"/>
      <c r="BX1" s="88"/>
      <c r="BY1" s="87"/>
    </row>
    <row r="2" s="71" customFormat="1" ht="30" customHeight="1" spans="1:77">
      <c r="A2" s="89" t="s">
        <v>5157</v>
      </c>
      <c r="B2" s="89"/>
      <c r="C2" s="89"/>
      <c r="D2" s="89"/>
      <c r="E2" s="89"/>
      <c r="F2" s="89"/>
      <c r="G2" s="89"/>
      <c r="H2" s="89"/>
      <c r="I2" s="89"/>
      <c r="J2" s="89"/>
      <c r="K2" s="89"/>
      <c r="L2" s="89"/>
      <c r="BA2" s="90" t="str">
        <f>参数表!BA2</f>
        <v>评估基准日：</v>
      </c>
      <c r="BB2" s="91" t="str">
        <f>参数表!$BB$2</f>
        <v>2025年7月31日</v>
      </c>
      <c r="BH2" s="171"/>
      <c r="BJ2" s="171"/>
      <c r="BK2" s="171"/>
      <c r="BL2" s="171"/>
      <c r="BM2" s="171"/>
      <c r="BN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BA3" s="90" t="str">
        <f>参数表!BA3</f>
        <v>是否显示评估值：</v>
      </c>
      <c r="BB3" s="90" t="str">
        <f>参数表!$BB$3</f>
        <v>是</v>
      </c>
      <c r="BS3" s="78"/>
    </row>
    <row r="4" ht="15" customHeight="1" spans="1:77">
      <c r="A4" s="96"/>
      <c r="B4" s="94"/>
      <c r="C4" s="94"/>
      <c r="D4" s="94"/>
      <c r="E4" s="94"/>
      <c r="F4" s="94"/>
      <c r="G4" s="94"/>
      <c r="H4" s="94"/>
      <c r="I4" s="97"/>
      <c r="J4" s="94"/>
      <c r="K4" s="94"/>
      <c r="L4" s="98" t="str">
        <f>"表"&amp;$BA4</f>
        <v>表5-6</v>
      </c>
      <c r="BA4" s="274" t="str">
        <f>流动负总!A12</f>
        <v>5-6</v>
      </c>
      <c r="BB4" s="100">
        <f>MAX(COUNTA(A7:A26),COUNTA(B7:B26),COUNTA(H7:H26),COUNTA(J7:J26))</f>
        <v>20</v>
      </c>
      <c r="BC4" s="101">
        <f>ROW(A6)+1</f>
        <v>7</v>
      </c>
      <c r="BD4" s="77"/>
      <c r="BE4" s="77"/>
      <c r="BS4" s="78"/>
    </row>
    <row r="5" ht="15" customHeight="1" spans="1:77">
      <c r="A5" s="102" t="str">
        <f>参数表!F3</f>
        <v>产权持有单位:中煤第五建设有限公司</v>
      </c>
      <c r="B5" s="103"/>
      <c r="C5" s="103"/>
      <c r="D5" s="103"/>
      <c r="E5" s="103"/>
      <c r="F5" s="103"/>
      <c r="G5" s="103"/>
      <c r="H5" s="103"/>
      <c r="I5" s="104"/>
      <c r="J5" s="103"/>
      <c r="K5" s="103"/>
      <c r="L5" s="98" t="s">
        <v>236</v>
      </c>
      <c r="BA5" s="103"/>
      <c r="BB5" s="105" t="str">
        <f ca="1">判断表!C103</f>
        <v>中煤第五建设有限公司第三工程处拟处置实物资产项目\[0000-3基础法明细表.xlsx]应付账款</v>
      </c>
      <c r="BC5" s="106">
        <f>IFERROR(SUMIF(BC7:BC26,"√",J7:J26)/J27,0)</f>
        <v>0</v>
      </c>
      <c r="BD5" s="107"/>
      <c r="BE5" s="107"/>
      <c r="BF5" s="108">
        <f>分类汇总!$I50</f>
        <v>0</v>
      </c>
      <c r="BG5" s="108">
        <f>分类汇总!$K50</f>
        <v>0</v>
      </c>
      <c r="BH5" s="109"/>
      <c r="BI5" s="109"/>
      <c r="BJ5" s="109"/>
      <c r="BK5" s="109"/>
      <c r="BL5" s="109"/>
      <c r="BM5" s="109"/>
      <c r="BN5" s="109"/>
      <c r="BO5" s="110"/>
      <c r="BP5" s="110"/>
      <c r="BQ5" s="111"/>
      <c r="BS5" s="78"/>
      <c r="BY5" s="111"/>
    </row>
    <row r="6" s="72" customFormat="1" ht="25.2" customHeight="1" spans="1:77">
      <c r="A6" s="112" t="s">
        <v>305</v>
      </c>
      <c r="B6" s="113" t="s">
        <v>1897</v>
      </c>
      <c r="C6" s="113" t="s">
        <v>1961</v>
      </c>
      <c r="D6" s="113" t="s">
        <v>1898</v>
      </c>
      <c r="E6" s="114" t="s">
        <v>1631</v>
      </c>
      <c r="F6" s="115" t="s">
        <v>1632</v>
      </c>
      <c r="G6" s="116" t="s">
        <v>3793</v>
      </c>
      <c r="H6" s="113" t="s">
        <v>1549</v>
      </c>
      <c r="I6" s="117" t="s">
        <v>1634</v>
      </c>
      <c r="J6" s="118" t="s">
        <v>1523</v>
      </c>
      <c r="K6" s="113" t="s">
        <v>1550</v>
      </c>
      <c r="L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6"/>
      <c r="E7" s="127"/>
      <c r="F7" s="127" t="str">
        <f>IFERROR(VLOOKUP(E7,参数表!$H$2:$I$50,2,FALSE),"")</f>
        <v/>
      </c>
      <c r="G7" s="128" t="str">
        <f>IFERROR(IF(OR(E7="人民币",E7=""),"",J7/F7),"")</f>
        <v/>
      </c>
      <c r="H7" s="129"/>
      <c r="I7" s="130"/>
      <c r="J7" s="129" t="str">
        <f>IF(B7="","",H7+I7)</f>
        <v/>
      </c>
      <c r="K7" s="129" t="str">
        <f t="shared" ref="K7:K26" si="0">IF(B7="","",IF($BB$3="是",J7,""))</f>
        <v/>
      </c>
      <c r="L7" s="131"/>
      <c r="BA7" s="78"/>
      <c r="BB7" s="132" t="s">
        <v>5158</v>
      </c>
      <c r="BC7" s="133"/>
      <c r="BD7" s="132" t="str">
        <f>IF(OR(B7="",BC7=""),"",COUNTIF(BC$7:BC7,"√"))</f>
        <v/>
      </c>
      <c r="BE7" s="134" t="str">
        <f t="shared" ref="BE7:BE26" si="1">IF(BC7="","",BB7&amp;"︱"&amp;B7&amp;"︱"&amp;TEXT(H7,"#,##0.00"))</f>
        <v/>
      </c>
      <c r="BF7" s="135" t="str">
        <f>IF($B7="","",IF(BF$5=0,"OK","出错"))</f>
        <v/>
      </c>
      <c r="BG7" s="135" t="str">
        <f>IF($B7="","",IF(BG$5=0,"OK","出错"))</f>
        <v/>
      </c>
      <c r="BH7" s="136"/>
      <c r="BI7" s="137"/>
      <c r="BJ7" s="136"/>
      <c r="BK7" s="136"/>
      <c r="BL7" s="136"/>
      <c r="BM7" s="136"/>
      <c r="BN7" s="136"/>
      <c r="BO7" s="137"/>
      <c r="BP7" s="137"/>
      <c r="BR7" s="134" t="str">
        <f>IF(COUNTIF(BR$6:BR6,D7)&gt;0,"",D7)&amp;""</f>
        <v/>
      </c>
      <c r="BS7" s="138">
        <f>SUMIF(D$7:D$26,BR7,J$7:J$26)</f>
        <v>0</v>
      </c>
      <c r="BT7" s="132">
        <f t="shared" ref="BT7" si="2">RANK(BS7,BS$7:BS$26)</f>
        <v>1</v>
      </c>
      <c r="BU7" s="138">
        <f>SUMIF(D$7:D$26,BR7,K$7:K$26)</f>
        <v>0</v>
      </c>
      <c r="BV7" s="132">
        <f>RANK(BU7,BU$7:BU$26)</f>
        <v>1</v>
      </c>
      <c r="BW7" s="138">
        <f>SUM(BS7:BS26)</f>
        <v>0</v>
      </c>
      <c r="BX7" s="138"/>
      <c r="BY7" s="138"/>
    </row>
    <row r="8" ht="15" customHeight="1" spans="1:77">
      <c r="A8" s="123" t="str">
        <f>IF(B8="","",COUNT(A$6:A7)+1)</f>
        <v/>
      </c>
      <c r="B8" s="139"/>
      <c r="C8" s="140"/>
      <c r="D8" s="141"/>
      <c r="E8" s="142"/>
      <c r="F8" s="127" t="str">
        <f>IFERROR(VLOOKUP(E8,参数表!$H$2:$I$50,2,FALSE),"")</f>
        <v/>
      </c>
      <c r="G8" s="128" t="str">
        <f t="shared" ref="G8:G26" si="3">IFERROR(IF(OR(E8="人民币",E8=""),"",J8/F8),"")</f>
        <v/>
      </c>
      <c r="H8" s="143"/>
      <c r="I8" s="144"/>
      <c r="J8" s="129" t="str">
        <f t="shared" ref="J8:J26" si="4">IF(B8="","",H8+I8)</f>
        <v/>
      </c>
      <c r="K8" s="129" t="str">
        <f t="shared" si="0"/>
        <v/>
      </c>
      <c r="L8" s="145"/>
      <c r="BA8" s="78"/>
      <c r="BB8" s="132" t="s">
        <v>5159</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R8" s="134" t="str">
        <f>IF(COUNTIF(BR$6:BR7,D8)&gt;0,"",D8)&amp;""</f>
        <v/>
      </c>
      <c r="BS8" s="138">
        <f t="shared" ref="BS8:BS26" si="6">SUMIF(D$7:D$26,BR8,J$7:J$26)</f>
        <v>0</v>
      </c>
      <c r="BT8" s="132">
        <f t="shared" ref="BT8:BT26" si="7">RANK(BS8,BS$7:BS$26)</f>
        <v>1</v>
      </c>
      <c r="BU8" s="138">
        <f t="shared" ref="BU8:BU26" si="8">SUMIF(D$7:D$26,BR8,K$7:K$26)</f>
        <v>0</v>
      </c>
      <c r="BV8" s="132">
        <f t="shared" ref="BV8:BV26" si="9">RANK(BU8,BU$7:BU$26)</f>
        <v>1</v>
      </c>
      <c r="BW8" s="138">
        <f>SUM(BU7:BU26)</f>
        <v>0</v>
      </c>
      <c r="BX8" s="138"/>
      <c r="BY8" s="138"/>
    </row>
    <row r="9" ht="15" customHeight="1" spans="1:77">
      <c r="A9" s="123" t="str">
        <f>IF(B9="","",COUNT(A$6:A8)+1)</f>
        <v/>
      </c>
      <c r="B9" s="139"/>
      <c r="C9" s="140"/>
      <c r="D9" s="141"/>
      <c r="E9" s="142"/>
      <c r="F9" s="127" t="str">
        <f>IFERROR(VLOOKUP(E9,参数表!$H$2:$I$50,2,FALSE),"")</f>
        <v/>
      </c>
      <c r="G9" s="128" t="str">
        <f t="shared" si="3"/>
        <v/>
      </c>
      <c r="H9" s="143"/>
      <c r="I9" s="144"/>
      <c r="J9" s="129" t="str">
        <f t="shared" si="4"/>
        <v/>
      </c>
      <c r="K9" s="129" t="str">
        <f t="shared" si="0"/>
        <v/>
      </c>
      <c r="L9" s="145"/>
      <c r="BA9" s="78"/>
      <c r="BB9" s="132" t="s">
        <v>5160</v>
      </c>
      <c r="BC9" s="133"/>
      <c r="BD9" s="132" t="str">
        <f>IF(OR(B9="",BC9=""),"",COUNTIF(BC$7:BC9,"√"))</f>
        <v/>
      </c>
      <c r="BE9" s="134" t="str">
        <f t="shared" si="1"/>
        <v/>
      </c>
      <c r="BF9" s="135" t="str">
        <f t="shared" si="5"/>
        <v/>
      </c>
      <c r="BG9" s="135" t="str">
        <f t="shared" si="5"/>
        <v/>
      </c>
      <c r="BH9" s="136"/>
      <c r="BI9" s="137"/>
      <c r="BJ9" s="136"/>
      <c r="BK9" s="136"/>
      <c r="BL9" s="136"/>
      <c r="BM9" s="136"/>
      <c r="BN9" s="136"/>
      <c r="BO9" s="137"/>
      <c r="BP9" s="137"/>
      <c r="BR9" s="134" t="str">
        <f>IF(COUNTIF(BR$6:BR8,D9)&gt;0,"",D9)&amp;""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1"/>
      <c r="E10" s="142"/>
      <c r="F10" s="127" t="str">
        <f>IFERROR(VLOOKUP(E10,参数表!$H$2:$I$50,2,FALSE),"")</f>
        <v/>
      </c>
      <c r="G10" s="128" t="str">
        <f t="shared" si="3"/>
        <v/>
      </c>
      <c r="H10" s="143"/>
      <c r="I10" s="144"/>
      <c r="J10" s="129" t="str">
        <f t="shared" si="4"/>
        <v/>
      </c>
      <c r="K10" s="129" t="str">
        <f t="shared" si="0"/>
        <v/>
      </c>
      <c r="L10" s="145"/>
      <c r="BA10" s="78"/>
      <c r="BB10" s="132" t="s">
        <v>5161</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R10" s="134" t="str">
        <f>IF(COUNTIF(BR$6:BR9,D10)&gt;0,"",D10)&amp;""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1"/>
      <c r="E11" s="142"/>
      <c r="F11" s="127" t="str">
        <f>IFERROR(VLOOKUP(E11,参数表!$H$2:$I$50,2,FALSE),"")</f>
        <v/>
      </c>
      <c r="G11" s="128" t="str">
        <f t="shared" si="3"/>
        <v/>
      </c>
      <c r="H11" s="143"/>
      <c r="I11" s="144"/>
      <c r="J11" s="129" t="str">
        <f t="shared" si="4"/>
        <v/>
      </c>
      <c r="K11" s="129" t="str">
        <f t="shared" si="0"/>
        <v/>
      </c>
      <c r="L11" s="145"/>
      <c r="BA11" s="78"/>
      <c r="BB11" s="132" t="s">
        <v>5162</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R11" s="134" t="str">
        <f>IF(COUNTIF(BR$6:BR10,D11)&gt;0,"",D11)&amp;""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1"/>
      <c r="E12" s="142"/>
      <c r="F12" s="127" t="str">
        <f>IFERROR(VLOOKUP(E12,参数表!$H$2:$I$50,2,FALSE),"")</f>
        <v/>
      </c>
      <c r="G12" s="128" t="str">
        <f t="shared" si="3"/>
        <v/>
      </c>
      <c r="H12" s="143"/>
      <c r="I12" s="144"/>
      <c r="J12" s="129" t="str">
        <f t="shared" si="4"/>
        <v/>
      </c>
      <c r="K12" s="129" t="str">
        <f t="shared" si="0"/>
        <v/>
      </c>
      <c r="L12" s="145"/>
      <c r="BA12" s="78"/>
      <c r="BB12" s="132" t="s">
        <v>5163</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R12" s="134" t="str">
        <f>IF(COUNTIF(BR$6:BR11,D12)&gt;0,"",D12)&amp;""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1"/>
      <c r="E13" s="142"/>
      <c r="F13" s="127" t="str">
        <f>IFERROR(VLOOKUP(E13,参数表!$H$2:$I$50,2,FALSE),"")</f>
        <v/>
      </c>
      <c r="G13" s="128" t="str">
        <f t="shared" si="3"/>
        <v/>
      </c>
      <c r="H13" s="143"/>
      <c r="I13" s="144"/>
      <c r="J13" s="129" t="str">
        <f t="shared" si="4"/>
        <v/>
      </c>
      <c r="K13" s="129" t="str">
        <f t="shared" si="0"/>
        <v/>
      </c>
      <c r="L13" s="145"/>
      <c r="BA13" s="78"/>
      <c r="BB13" s="132" t="s">
        <v>5164</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R13" s="134" t="str">
        <f>IF(COUNTIF(BR$6:BR12,D13)&gt;0,"",D13)&amp;""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1"/>
      <c r="E14" s="142"/>
      <c r="F14" s="127" t="str">
        <f>IFERROR(VLOOKUP(E14,参数表!$H$2:$I$50,2,FALSE),"")</f>
        <v/>
      </c>
      <c r="G14" s="128" t="str">
        <f t="shared" si="3"/>
        <v/>
      </c>
      <c r="H14" s="143"/>
      <c r="I14" s="144"/>
      <c r="J14" s="129" t="str">
        <f t="shared" si="4"/>
        <v/>
      </c>
      <c r="K14" s="129" t="str">
        <f t="shared" si="0"/>
        <v/>
      </c>
      <c r="L14" s="145"/>
      <c r="BA14" s="78"/>
      <c r="BB14" s="132" t="s">
        <v>5165</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R14" s="134" t="str">
        <f>IF(COUNTIF(BR$6:BR13,D14)&gt;0,"",D14)&amp;""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1"/>
      <c r="E15" s="142"/>
      <c r="F15" s="127" t="str">
        <f>IFERROR(VLOOKUP(E15,参数表!$H$2:$I$50,2,FALSE),"")</f>
        <v/>
      </c>
      <c r="G15" s="128" t="str">
        <f t="shared" si="3"/>
        <v/>
      </c>
      <c r="H15" s="143"/>
      <c r="I15" s="144"/>
      <c r="J15" s="129" t="str">
        <f t="shared" si="4"/>
        <v/>
      </c>
      <c r="K15" s="129" t="str">
        <f t="shared" si="0"/>
        <v/>
      </c>
      <c r="L15" s="145"/>
      <c r="BA15" s="78"/>
      <c r="BB15" s="132" t="s">
        <v>5166</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R15" s="134" t="str">
        <f>IF(COUNTIF(BR$6:BR14,D15)&gt;0,"",D15)&amp;""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1"/>
      <c r="E16" s="142"/>
      <c r="F16" s="127" t="str">
        <f>IFERROR(VLOOKUP(E16,参数表!$H$2:$I$50,2,FALSE),"")</f>
        <v/>
      </c>
      <c r="G16" s="128" t="str">
        <f t="shared" si="3"/>
        <v/>
      </c>
      <c r="H16" s="143"/>
      <c r="I16" s="144"/>
      <c r="J16" s="129" t="str">
        <f t="shared" si="4"/>
        <v/>
      </c>
      <c r="K16" s="129" t="str">
        <f t="shared" si="0"/>
        <v/>
      </c>
      <c r="L16" s="145"/>
      <c r="BA16" s="78"/>
      <c r="BB16" s="132" t="s">
        <v>5167</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R16" s="134" t="str">
        <f>IF(COUNTIF(BR$6:BR15,D16)&gt;0,"",D16)&amp;""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1"/>
      <c r="E17" s="142"/>
      <c r="F17" s="127" t="str">
        <f>IFERROR(VLOOKUP(E17,参数表!$H$2:$I$50,2,FALSE),"")</f>
        <v/>
      </c>
      <c r="G17" s="128" t="str">
        <f t="shared" si="3"/>
        <v/>
      </c>
      <c r="H17" s="143"/>
      <c r="I17" s="144"/>
      <c r="J17" s="129" t="str">
        <f t="shared" si="4"/>
        <v/>
      </c>
      <c r="K17" s="129" t="str">
        <f t="shared" si="0"/>
        <v/>
      </c>
      <c r="L17" s="145"/>
      <c r="BA17" s="78"/>
      <c r="BB17" s="132" t="s">
        <v>5168</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R17" s="134" t="str">
        <f>IF(COUNTIF(BR$6:BR16,D17)&gt;0,"",D17)&amp;""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1"/>
      <c r="E18" s="142"/>
      <c r="F18" s="127" t="str">
        <f>IFERROR(VLOOKUP(E18,参数表!$H$2:$I$50,2,FALSE),"")</f>
        <v/>
      </c>
      <c r="G18" s="128" t="str">
        <f t="shared" si="3"/>
        <v/>
      </c>
      <c r="H18" s="143"/>
      <c r="I18" s="144"/>
      <c r="J18" s="129" t="str">
        <f t="shared" si="4"/>
        <v/>
      </c>
      <c r="K18" s="129" t="str">
        <f t="shared" si="0"/>
        <v/>
      </c>
      <c r="L18" s="145"/>
      <c r="BA18" s="78"/>
      <c r="BB18" s="132" t="s">
        <v>5169</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R18" s="134" t="str">
        <f>IF(COUNTIF(BR$6:BR17,D18)&gt;0,"",D18)&amp;""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1"/>
      <c r="E19" s="142"/>
      <c r="F19" s="127" t="str">
        <f>IFERROR(VLOOKUP(E19,参数表!$H$2:$I$50,2,FALSE),"")</f>
        <v/>
      </c>
      <c r="G19" s="128" t="str">
        <f t="shared" si="3"/>
        <v/>
      </c>
      <c r="H19" s="143"/>
      <c r="I19" s="144"/>
      <c r="J19" s="129" t="str">
        <f t="shared" si="4"/>
        <v/>
      </c>
      <c r="K19" s="129" t="str">
        <f t="shared" si="0"/>
        <v/>
      </c>
      <c r="L19" s="145"/>
      <c r="BA19" s="78"/>
      <c r="BB19" s="132" t="s">
        <v>5170</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R19" s="134" t="str">
        <f>IF(COUNTIF(BR$6:BR18,D19)&gt;0,"",D19)&amp;""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1"/>
      <c r="E20" s="142"/>
      <c r="F20" s="127" t="str">
        <f>IFERROR(VLOOKUP(E20,参数表!$H$2:$I$50,2,FALSE),"")</f>
        <v/>
      </c>
      <c r="G20" s="128" t="str">
        <f t="shared" si="3"/>
        <v/>
      </c>
      <c r="H20" s="143"/>
      <c r="I20" s="144"/>
      <c r="J20" s="129" t="str">
        <f t="shared" si="4"/>
        <v/>
      </c>
      <c r="K20" s="129" t="str">
        <f t="shared" si="0"/>
        <v/>
      </c>
      <c r="L20" s="145"/>
      <c r="BA20" s="78"/>
      <c r="BB20" s="132" t="s">
        <v>5171</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R20" s="134" t="str">
        <f>IF(COUNTIF(BR$6:BR19,D20)&gt;0,"",D20)&amp;""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1"/>
      <c r="E21" s="142"/>
      <c r="F21" s="127" t="str">
        <f>IFERROR(VLOOKUP(E21,参数表!$H$2:$I$50,2,FALSE),"")</f>
        <v/>
      </c>
      <c r="G21" s="128" t="str">
        <f t="shared" si="3"/>
        <v/>
      </c>
      <c r="H21" s="143"/>
      <c r="I21" s="144"/>
      <c r="J21" s="129" t="str">
        <f t="shared" si="4"/>
        <v/>
      </c>
      <c r="K21" s="129" t="str">
        <f t="shared" si="0"/>
        <v/>
      </c>
      <c r="L21" s="145"/>
      <c r="BA21" s="78"/>
      <c r="BB21" s="132" t="s">
        <v>5172</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R21" s="134" t="str">
        <f>IF(COUNTIF(BR$6:BR20,D21)&gt;0,"",D21)&amp;""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1"/>
      <c r="E22" s="142"/>
      <c r="F22" s="127" t="str">
        <f>IFERROR(VLOOKUP(E22,参数表!$H$2:$I$50,2,FALSE),"")</f>
        <v/>
      </c>
      <c r="G22" s="128" t="str">
        <f t="shared" si="3"/>
        <v/>
      </c>
      <c r="H22" s="143"/>
      <c r="I22" s="144"/>
      <c r="J22" s="129" t="str">
        <f t="shared" si="4"/>
        <v/>
      </c>
      <c r="K22" s="129" t="str">
        <f t="shared" si="0"/>
        <v/>
      </c>
      <c r="L22" s="145"/>
      <c r="BA22" s="78"/>
      <c r="BB22" s="132" t="s">
        <v>5173</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R22" s="134" t="str">
        <f>IF(COUNTIF(BR$6:BR21,D22)&gt;0,"",D22)&amp;""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1"/>
      <c r="E23" s="142"/>
      <c r="F23" s="127" t="str">
        <f>IFERROR(VLOOKUP(E23,参数表!$H$2:$I$50,2,FALSE),"")</f>
        <v/>
      </c>
      <c r="G23" s="128" t="str">
        <f t="shared" si="3"/>
        <v/>
      </c>
      <c r="H23" s="143"/>
      <c r="I23" s="144"/>
      <c r="J23" s="129" t="str">
        <f t="shared" si="4"/>
        <v/>
      </c>
      <c r="K23" s="129" t="str">
        <f t="shared" si="0"/>
        <v/>
      </c>
      <c r="L23" s="145"/>
      <c r="BA23" s="78"/>
      <c r="BB23" s="132" t="s">
        <v>5174</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R23" s="134" t="str">
        <f>IF(COUNTIF(BR$6:BR22,D23)&gt;0,"",D23)&amp;""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1"/>
      <c r="E24" s="142"/>
      <c r="F24" s="127" t="str">
        <f>IFERROR(VLOOKUP(E24,参数表!$H$2:$I$50,2,FALSE),"")</f>
        <v/>
      </c>
      <c r="G24" s="128" t="str">
        <f t="shared" si="3"/>
        <v/>
      </c>
      <c r="H24" s="143"/>
      <c r="I24" s="144"/>
      <c r="J24" s="129" t="str">
        <f t="shared" si="4"/>
        <v/>
      </c>
      <c r="K24" s="129" t="str">
        <f t="shared" si="0"/>
        <v/>
      </c>
      <c r="L24" s="145"/>
      <c r="BA24" s="78"/>
      <c r="BB24" s="132" t="s">
        <v>5175</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R24" s="134" t="str">
        <f>IF(COUNTIF(BR$6:BR23,D24)&gt;0,"",D24)&amp;""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1"/>
      <c r="E25" s="142"/>
      <c r="F25" s="127" t="str">
        <f>IFERROR(VLOOKUP(E25,参数表!$H$2:$I$50,2,FALSE),"")</f>
        <v/>
      </c>
      <c r="G25" s="128" t="str">
        <f t="shared" si="3"/>
        <v/>
      </c>
      <c r="H25" s="143"/>
      <c r="I25" s="144"/>
      <c r="J25" s="129" t="str">
        <f t="shared" si="4"/>
        <v/>
      </c>
      <c r="K25" s="129" t="str">
        <f t="shared" si="0"/>
        <v/>
      </c>
      <c r="L25" s="145"/>
      <c r="BA25" s="78"/>
      <c r="BB25" s="132" t="s">
        <v>5176</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R25" s="134" t="str">
        <f>IF(COUNTIF(BR$6:BR24,D25)&gt;0,"",D25)&amp;""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6"/>
      <c r="E26" s="127"/>
      <c r="F26" s="127" t="str">
        <f>IFERROR(VLOOKUP(E26,参数表!$H$2:$I$50,2,FALSE),"")</f>
        <v/>
      </c>
      <c r="G26" s="128" t="str">
        <f t="shared" si="3"/>
        <v/>
      </c>
      <c r="H26" s="129"/>
      <c r="I26" s="130"/>
      <c r="J26" s="129" t="str">
        <f t="shared" si="4"/>
        <v/>
      </c>
      <c r="K26" s="129" t="str">
        <f t="shared" si="0"/>
        <v/>
      </c>
      <c r="L26" s="131"/>
      <c r="BA26" s="78"/>
      <c r="BB26" s="132" t="s">
        <v>5177</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R26" s="134" t="str">
        <f>IF(COUNTIF(BR$6:BR25,D26)&gt;0,"",D26)&amp;""</f>
        <v/>
      </c>
      <c r="BS26" s="138">
        <f t="shared" si="6"/>
        <v>0</v>
      </c>
      <c r="BT26" s="132">
        <f t="shared" si="7"/>
        <v>1</v>
      </c>
      <c r="BU26" s="138">
        <f t="shared" si="8"/>
        <v>0</v>
      </c>
      <c r="BV26" s="132">
        <f t="shared" si="9"/>
        <v>1</v>
      </c>
      <c r="BW26" s="133"/>
      <c r="BX26" s="133"/>
    </row>
    <row r="27" s="73" customFormat="1" ht="15" customHeight="1" spans="1:77">
      <c r="A27" s="149" t="s">
        <v>5091</v>
      </c>
      <c r="B27" s="149"/>
      <c r="C27" s="150"/>
      <c r="D27" s="149"/>
      <c r="E27" s="151"/>
      <c r="F27" s="151"/>
      <c r="G27" s="151"/>
      <c r="H27" s="152">
        <f>SUM(H7:H26)</f>
        <v>0</v>
      </c>
      <c r="I27" s="153"/>
      <c r="J27" s="152">
        <f>SUM(J7:J26)</f>
        <v>0</v>
      </c>
      <c r="K27" s="152">
        <f>SUM(K7:K26)</f>
        <v>0</v>
      </c>
      <c r="L27" s="151"/>
      <c r="BF27" s="75"/>
      <c r="BG27" s="75"/>
      <c r="BH27" s="165"/>
      <c r="BI27" s="75"/>
      <c r="BJ27" s="165"/>
      <c r="BK27" s="165"/>
      <c r="BL27" s="165"/>
      <c r="BM27" s="165"/>
      <c r="BN27" s="165"/>
      <c r="BO27" s="75"/>
      <c r="BP27" s="75"/>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5"/>
      <c r="J28" s="103"/>
      <c r="K28" s="156" t="str">
        <f>"评估人员："&amp;封面!$G$38</f>
        <v>评估人员：</v>
      </c>
      <c r="L28" s="103"/>
    </row>
    <row r="29" customHeight="1" spans="1:77">
      <c r="A29" s="102" t="str">
        <f>参数表!F$7</f>
        <v>填表日期：2025年9月20日</v>
      </c>
      <c r="B29" s="154"/>
      <c r="C29" s="154"/>
      <c r="D29" s="154"/>
      <c r="E29" s="154"/>
      <c r="F29" s="154"/>
      <c r="G29" s="154"/>
      <c r="H29" s="154"/>
      <c r="I29" s="155"/>
      <c r="J29" s="103"/>
      <c r="K29" s="103"/>
      <c r="L29" s="103"/>
    </row>
    <row r="30" hidden="1" customHeight="1" outlineLevel="1" spans="1:77">
      <c r="A30" s="157"/>
      <c r="B30" s="154" t="s">
        <v>1673</v>
      </c>
      <c r="C30" s="158"/>
      <c r="D30" s="158"/>
      <c r="E30" s="158"/>
      <c r="F30" s="158"/>
      <c r="G30" s="158"/>
      <c r="H30" s="159">
        <f>SUMIF($BA7:$BA26,$BA30,H7:H26)</f>
        <v>0</v>
      </c>
      <c r="I30" s="160"/>
      <c r="J30" s="159">
        <f>SUMIF($BA7:$BA26,$BA30,J7:J26)</f>
        <v>0</v>
      </c>
      <c r="K30" s="159">
        <f>SUMIF($BA7:$BA26,$BA30,K7:K26)</f>
        <v>0</v>
      </c>
      <c r="BA30" s="161" t="s">
        <v>1674</v>
      </c>
      <c r="BH30" s="95" t="s">
        <v>1675</v>
      </c>
      <c r="BJ30" s="95" t="s">
        <v>1675</v>
      </c>
      <c r="BK30" s="95" t="s">
        <v>1675</v>
      </c>
      <c r="BL30" s="95" t="s">
        <v>1675</v>
      </c>
      <c r="BM30" s="95" t="s">
        <v>1674</v>
      </c>
      <c r="BN30" s="95" t="s">
        <v>1674</v>
      </c>
    </row>
    <row r="31" hidden="1" customHeight="1" outlineLevel="1" spans="1:77">
      <c r="A31" s="157"/>
      <c r="B31" s="154" t="s">
        <v>1676</v>
      </c>
      <c r="C31" s="158"/>
      <c r="D31" s="158"/>
      <c r="E31" s="158"/>
      <c r="F31" s="158"/>
      <c r="G31" s="158"/>
      <c r="H31" s="159">
        <f>H27-H30</f>
        <v>0</v>
      </c>
      <c r="I31" s="160"/>
      <c r="J31" s="159">
        <f>J27-J30</f>
        <v>0</v>
      </c>
      <c r="K31" s="159">
        <f>K27-K30</f>
        <v>0</v>
      </c>
      <c r="BA31" s="161" t="s">
        <v>1677</v>
      </c>
      <c r="BH31" s="95" t="s">
        <v>1678</v>
      </c>
      <c r="BJ31" s="95" t="s">
        <v>1678</v>
      </c>
      <c r="BK31" s="95" t="s">
        <v>1678</v>
      </c>
      <c r="BL31" s="95" t="s">
        <v>1678</v>
      </c>
      <c r="BM31" s="95" t="s">
        <v>1677</v>
      </c>
      <c r="BN31" s="95" t="s">
        <v>1677</v>
      </c>
    </row>
    <row r="32" customHeight="1" collapsed="1" spans="1:77">
      <c r="A32" s="157"/>
      <c r="B32" s="158"/>
      <c r="C32" s="158"/>
      <c r="D32" s="158"/>
      <c r="E32" s="158"/>
      <c r="F32" s="158"/>
      <c r="G32" s="158"/>
      <c r="H32" s="158"/>
      <c r="I32" s="164"/>
    </row>
    <row r="33" customHeight="1" spans="1:9">
      <c r="A33" s="157"/>
      <c r="B33" s="158"/>
      <c r="C33" s="158"/>
      <c r="D33" s="158"/>
      <c r="E33" s="158"/>
      <c r="F33" s="158"/>
      <c r="G33" s="158"/>
      <c r="H33" s="158"/>
      <c r="I33" s="164"/>
    </row>
    <row r="34" customHeight="1" spans="1:9">
      <c r="A34" s="157"/>
      <c r="B34" s="158"/>
      <c r="C34" s="158"/>
      <c r="D34" s="158"/>
      <c r="E34" s="158"/>
      <c r="F34" s="158"/>
      <c r="G34" s="158"/>
      <c r="H34" s="158"/>
      <c r="I34" s="164"/>
    </row>
    <row r="35" customHeight="1" spans="1:9">
      <c r="A35" s="157"/>
      <c r="B35" s="158"/>
      <c r="C35" s="158"/>
      <c r="D35" s="158"/>
      <c r="E35" s="158"/>
      <c r="F35" s="158"/>
      <c r="G35" s="158"/>
      <c r="H35" s="158"/>
      <c r="I35" s="164"/>
    </row>
    <row r="36" customHeight="1" spans="1:9">
      <c r="A36" s="157"/>
      <c r="B36" s="158"/>
      <c r="C36" s="158"/>
      <c r="D36" s="158"/>
      <c r="E36" s="158"/>
      <c r="F36" s="158"/>
      <c r="G36" s="158"/>
      <c r="H36" s="158"/>
      <c r="I36" s="164"/>
    </row>
    <row r="37" customHeight="1" spans="1:9">
      <c r="E37" s="158"/>
      <c r="F37" s="158"/>
      <c r="G37" s="158"/>
    </row>
  </sheetData>
  <sheetProtection autoFilter="0"/>
  <autoFilter xmlns:etc="http://www.wps.cn/officeDocument/2017/etCustomData" ref="A6:BB31" etc:filterBottomFollowUsedRange="0">
    <extLst/>
  </autoFilter>
  <mergeCells count="6">
    <mergeCell ref="A2:L2"/>
    <mergeCell ref="A3:L3"/>
    <mergeCell ref="BW7:BY7"/>
    <mergeCell ref="BW8:BY8"/>
    <mergeCell ref="BX14:BY14"/>
    <mergeCell ref="A27:B27"/>
  </mergeCells>
  <conditionalFormatting sqref="BH7:BH26">
    <cfRule type="expression" dxfId="5" priority="12"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9" display="返回索引页"/>
    <hyperlink ref="B1" location="流动负债汇总!B9"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1"/>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2.5" style="75" customWidth="1"/>
    <col min="3" max="3" width="11" style="75" customWidth="1"/>
    <col min="4" max="4" width="20.2" style="75" customWidth="1"/>
    <col min="5" max="6" width="4.6" style="75" customWidth="1" outlineLevel="1"/>
    <col min="7" max="7" width="6.1" style="75" customWidth="1" outlineLevel="1"/>
    <col min="8" max="8" width="18.6" style="75" customWidth="1" outlineLevel="1"/>
    <col min="9" max="9" width="18.6" style="76" customWidth="1" outlineLevel="1"/>
    <col min="10" max="11" width="18.6" style="75" customWidth="1"/>
    <col min="12" max="12" width="16.1" style="75" customWidth="1"/>
    <col min="13"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5" width="4.7" style="165" customWidth="1"/>
    <col min="66" max="66" width="6.7" style="16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3.8" spans="1:77">
      <c r="A1" s="273" t="s">
        <v>1591</v>
      </c>
      <c r="B1" s="80" t="s">
        <v>1592</v>
      </c>
      <c r="C1" s="81"/>
      <c r="D1" s="81"/>
      <c r="E1" s="82"/>
      <c r="F1" s="82"/>
      <c r="G1" s="82"/>
      <c r="H1" s="81"/>
      <c r="I1" s="83"/>
      <c r="J1" s="81"/>
      <c r="K1" s="81"/>
      <c r="L1" s="81"/>
      <c r="BA1" s="84" t="str">
        <f>参数表!BA1</f>
        <v>注意：补充特殊事项、作价等均从BA列开始填写</v>
      </c>
      <c r="BB1" s="85"/>
      <c r="BC1" s="86"/>
      <c r="BD1" s="86"/>
      <c r="BE1" s="86"/>
      <c r="BF1" s="86"/>
      <c r="BG1" s="86"/>
      <c r="BH1" s="82"/>
      <c r="BI1" s="86"/>
      <c r="BJ1" s="82"/>
      <c r="BK1" s="82"/>
      <c r="BL1" s="168"/>
      <c r="BM1" s="168"/>
      <c r="BN1" s="168"/>
      <c r="BQ1" s="87"/>
      <c r="BR1" s="88"/>
      <c r="BS1" s="87"/>
      <c r="BT1" s="88"/>
      <c r="BU1" s="88"/>
      <c r="BV1" s="88"/>
      <c r="BW1" s="88"/>
      <c r="BX1" s="88"/>
      <c r="BY1" s="87"/>
    </row>
    <row r="2" s="71" customFormat="1" ht="30" customHeight="1" spans="1:77">
      <c r="A2" s="89" t="s">
        <v>5178</v>
      </c>
      <c r="B2" s="89"/>
      <c r="C2" s="89"/>
      <c r="D2" s="89"/>
      <c r="E2" s="89"/>
      <c r="F2" s="89"/>
      <c r="G2" s="89"/>
      <c r="H2" s="89"/>
      <c r="I2" s="89"/>
      <c r="J2" s="89"/>
      <c r="K2" s="89"/>
      <c r="L2" s="89"/>
      <c r="BA2" s="90" t="str">
        <f>参数表!BA2</f>
        <v>评估基准日：</v>
      </c>
      <c r="BB2" s="91" t="str">
        <f>参数表!$BB$2</f>
        <v>2025年7月31日</v>
      </c>
      <c r="BH2" s="171"/>
      <c r="BJ2" s="171"/>
      <c r="BK2" s="171"/>
      <c r="BL2" s="171"/>
      <c r="BM2" s="171"/>
      <c r="BN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BA3" s="90" t="str">
        <f>参数表!BA3</f>
        <v>是否显示评估值：</v>
      </c>
      <c r="BB3" s="90" t="str">
        <f>参数表!$BB$3</f>
        <v>是</v>
      </c>
      <c r="BS3" s="78"/>
    </row>
    <row r="4" ht="15" customHeight="1" spans="1:77">
      <c r="A4" s="96"/>
      <c r="B4" s="94"/>
      <c r="C4" s="94"/>
      <c r="D4" s="94"/>
      <c r="E4" s="94"/>
      <c r="F4" s="94"/>
      <c r="G4" s="94"/>
      <c r="H4" s="94"/>
      <c r="I4" s="97"/>
      <c r="J4" s="94"/>
      <c r="K4" s="94"/>
      <c r="L4" s="98" t="str">
        <f>"表"&amp;$BA4</f>
        <v>表5-7</v>
      </c>
      <c r="BA4" s="274" t="str">
        <f>流动负总!A13</f>
        <v>5-7</v>
      </c>
      <c r="BB4" s="100">
        <f>MAX(COUNTA(A7:A26),COUNTA(B7:B26),COUNTA(H7:H26),COUNTA(J7:J26))</f>
        <v>20</v>
      </c>
      <c r="BC4" s="101">
        <f>ROW(A6)+1</f>
        <v>7</v>
      </c>
      <c r="BD4" s="77"/>
      <c r="BE4" s="77"/>
      <c r="BS4" s="78"/>
    </row>
    <row r="5" ht="15" customHeight="1" spans="1:77">
      <c r="A5" s="102" t="str">
        <f>参数表!F3</f>
        <v>产权持有单位:中煤第五建设有限公司</v>
      </c>
      <c r="B5" s="103"/>
      <c r="C5" s="103"/>
      <c r="D5" s="103"/>
      <c r="E5" s="103"/>
      <c r="F5" s="103"/>
      <c r="G5" s="103"/>
      <c r="H5" s="103"/>
      <c r="I5" s="104"/>
      <c r="J5" s="103"/>
      <c r="K5" s="103"/>
      <c r="L5" s="98" t="s">
        <v>236</v>
      </c>
      <c r="BA5" s="103"/>
      <c r="BB5" s="105" t="str">
        <f ca="1">判断表!C104</f>
        <v>中煤第五建设有限公司第三工程处拟处置实物资产项目\[0000-3基础法明细表.xlsx]预收账款</v>
      </c>
      <c r="BC5" s="106">
        <f>IFERROR(SUMIF(BC7:BC26,"√",J7:J26)/J27,0)</f>
        <v>0</v>
      </c>
      <c r="BD5" s="107"/>
      <c r="BE5" s="107"/>
      <c r="BF5" s="108">
        <f>分类汇总!$I51</f>
        <v>0</v>
      </c>
      <c r="BG5" s="108">
        <f>分类汇总!$K51</f>
        <v>0</v>
      </c>
      <c r="BH5" s="109"/>
      <c r="BI5" s="109"/>
      <c r="BJ5" s="109"/>
      <c r="BK5" s="109"/>
      <c r="BL5" s="109"/>
      <c r="BM5" s="109"/>
      <c r="BN5" s="109"/>
      <c r="BO5" s="110"/>
      <c r="BP5" s="110"/>
      <c r="BQ5" s="111"/>
      <c r="BS5" s="78"/>
      <c r="BY5" s="111"/>
    </row>
    <row r="6" s="72" customFormat="1" ht="25.2" customHeight="1" spans="1:77">
      <c r="A6" s="112" t="s">
        <v>305</v>
      </c>
      <c r="B6" s="113" t="s">
        <v>1897</v>
      </c>
      <c r="C6" s="113" t="s">
        <v>1961</v>
      </c>
      <c r="D6" s="113" t="s">
        <v>1898</v>
      </c>
      <c r="E6" s="114" t="s">
        <v>1631</v>
      </c>
      <c r="F6" s="115" t="s">
        <v>1632</v>
      </c>
      <c r="G6" s="116" t="s">
        <v>3793</v>
      </c>
      <c r="H6" s="113" t="s">
        <v>1549</v>
      </c>
      <c r="I6" s="117" t="s">
        <v>1634</v>
      </c>
      <c r="J6" s="118" t="s">
        <v>1523</v>
      </c>
      <c r="K6" s="113" t="s">
        <v>1550</v>
      </c>
      <c r="L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6"/>
      <c r="E7" s="127"/>
      <c r="F7" s="127" t="str">
        <f>IFERROR(VLOOKUP(E7,参数表!$H$2:$I$50,2,FALSE),"")</f>
        <v/>
      </c>
      <c r="G7" s="128" t="str">
        <f>IFERROR(IF(OR(E7="人民币",E7=""),"",J7/F7),"")</f>
        <v/>
      </c>
      <c r="H7" s="129"/>
      <c r="I7" s="130"/>
      <c r="J7" s="129" t="str">
        <f t="shared" ref="J7:J26" si="0">IF(B7="","",H7+I7)</f>
        <v/>
      </c>
      <c r="K7" s="129" t="str">
        <f t="shared" ref="K7:K26" si="1">IF(B7="","",IF($BB$3="是",J7,""))</f>
        <v/>
      </c>
      <c r="L7" s="131"/>
      <c r="BA7" s="78"/>
      <c r="BB7" s="132" t="s">
        <v>5179</v>
      </c>
      <c r="BC7" s="133"/>
      <c r="BD7" s="132" t="str">
        <f>IF(OR(B7="",BC7=""),"",COUNTIF(BC$7:BC7,"√"))</f>
        <v/>
      </c>
      <c r="BE7" s="134" t="str">
        <f t="shared" ref="BE7:BE26" si="2">IF(BC7="","",BB7&amp;"︱"&amp;B7&amp;"︱"&amp;TEXT(H7,"#,##0.00"))</f>
        <v/>
      </c>
      <c r="BF7" s="135" t="str">
        <f>IF($B7="","",IF(BF$5=0,"OK","出错"))</f>
        <v/>
      </c>
      <c r="BG7" s="135" t="str">
        <f>IF($B7="","",IF(BG$5=0,"OK","出错"))</f>
        <v/>
      </c>
      <c r="BH7" s="136"/>
      <c r="BI7" s="137"/>
      <c r="BJ7" s="136"/>
      <c r="BK7" s="136"/>
      <c r="BL7" s="136"/>
      <c r="BM7" s="136"/>
      <c r="BN7" s="136"/>
      <c r="BO7" s="137"/>
      <c r="BP7" s="137"/>
      <c r="BR7" s="134" t="str">
        <f>IF(COUNTIF(BR$6:BR6,D7)&gt;0,"",D7)&amp;""</f>
        <v/>
      </c>
      <c r="BS7" s="138">
        <f>SUMIF(D$7:D$26,BR7,J$7:J$26)</f>
        <v>0</v>
      </c>
      <c r="BT7" s="132">
        <f t="shared" ref="BT7" si="3">RANK(BS7,BS$7:BS$26)</f>
        <v>1</v>
      </c>
      <c r="BU7" s="138">
        <f>SUMIF(D$7:D$26,BR7,J$7:J$26)</f>
        <v>0</v>
      </c>
      <c r="BV7" s="132">
        <f>RANK(BU7,BU$7:BU$26)</f>
        <v>1</v>
      </c>
      <c r="BW7" s="138">
        <f>SUM(BS7:BS26)</f>
        <v>0</v>
      </c>
      <c r="BX7" s="138"/>
      <c r="BY7" s="138"/>
    </row>
    <row r="8" ht="15" customHeight="1" spans="1:77">
      <c r="A8" s="123" t="str">
        <f>IF(B8="","",COUNT(A$6:A7)+1)</f>
        <v/>
      </c>
      <c r="B8" s="139"/>
      <c r="C8" s="140"/>
      <c r="D8" s="141"/>
      <c r="E8" s="142"/>
      <c r="F8" s="127" t="str">
        <f>IFERROR(VLOOKUP(E8,参数表!$H$2:$I$50,2,FALSE),"")</f>
        <v/>
      </c>
      <c r="G8" s="128" t="str">
        <f t="shared" ref="G8:G26" si="4">IFERROR(IF(OR(E8="人民币",E8=""),"",J8/F8),"")</f>
        <v/>
      </c>
      <c r="H8" s="143"/>
      <c r="I8" s="144"/>
      <c r="J8" s="129" t="str">
        <f t="shared" si="0"/>
        <v/>
      </c>
      <c r="K8" s="129" t="str">
        <f t="shared" si="1"/>
        <v/>
      </c>
      <c r="L8" s="145"/>
      <c r="BA8" s="78"/>
      <c r="BB8" s="132" t="s">
        <v>5180</v>
      </c>
      <c r="BC8" s="133"/>
      <c r="BD8" s="132" t="str">
        <f>IF(OR(B8="",BC8=""),"",COUNTIF(BC$7:BC8,"√"))</f>
        <v/>
      </c>
      <c r="BE8" s="134" t="str">
        <f t="shared" si="2"/>
        <v/>
      </c>
      <c r="BF8" s="135" t="str">
        <f t="shared" ref="BF8:BG26" si="5">IF($B8="","",IF(BF$5=0,"OK","出错"))</f>
        <v/>
      </c>
      <c r="BG8" s="135" t="str">
        <f t="shared" si="5"/>
        <v/>
      </c>
      <c r="BH8" s="136"/>
      <c r="BI8" s="137"/>
      <c r="BJ8" s="136"/>
      <c r="BK8" s="136"/>
      <c r="BL8" s="136"/>
      <c r="BM8" s="136"/>
      <c r="BN8" s="136"/>
      <c r="BO8" s="137"/>
      <c r="BP8" s="137"/>
      <c r="BR8" s="134" t="str">
        <f>IF(COUNTIF(BR$6:BR7,D8)&gt;0,"",D8)&amp;""</f>
        <v/>
      </c>
      <c r="BS8" s="138">
        <f t="shared" ref="BS8:BS26" si="6">SUMIF(D$7:D$26,BR8,J$7:J$26)</f>
        <v>0</v>
      </c>
      <c r="BT8" s="132">
        <f t="shared" ref="BT8:BT26" si="7">RANK(BS8,BS$7:BS$26)</f>
        <v>1</v>
      </c>
      <c r="BU8" s="138">
        <f t="shared" ref="BU8:BU26" si="8">SUMIF(D$7:D$26,BR8,J$7:J$26)</f>
        <v>0</v>
      </c>
      <c r="BV8" s="132">
        <f t="shared" ref="BV8:BV26" si="9">RANK(BU8,BU$7:BU$26)</f>
        <v>1</v>
      </c>
      <c r="BW8" s="138">
        <f>SUM(BU7:BU26)</f>
        <v>0</v>
      </c>
      <c r="BX8" s="138"/>
      <c r="BY8" s="138"/>
    </row>
    <row r="9" ht="15" customHeight="1" spans="1:77">
      <c r="A9" s="123" t="str">
        <f>IF(B9="","",COUNT(A$6:A8)+1)</f>
        <v/>
      </c>
      <c r="B9" s="139"/>
      <c r="C9" s="140"/>
      <c r="D9" s="141"/>
      <c r="E9" s="142"/>
      <c r="F9" s="127" t="str">
        <f>IFERROR(VLOOKUP(E9,参数表!$H$2:$I$50,2,FALSE),"")</f>
        <v/>
      </c>
      <c r="G9" s="128" t="str">
        <f t="shared" si="4"/>
        <v/>
      </c>
      <c r="H9" s="143"/>
      <c r="I9" s="144"/>
      <c r="J9" s="129" t="str">
        <f t="shared" si="0"/>
        <v/>
      </c>
      <c r="K9" s="129" t="str">
        <f t="shared" si="1"/>
        <v/>
      </c>
      <c r="L9" s="145"/>
      <c r="BA9" s="78"/>
      <c r="BB9" s="132" t="s">
        <v>5181</v>
      </c>
      <c r="BC9" s="133"/>
      <c r="BD9" s="132" t="str">
        <f>IF(OR(B9="",BC9=""),"",COUNTIF(BC$7:BC9,"√"))</f>
        <v/>
      </c>
      <c r="BE9" s="134" t="str">
        <f t="shared" si="2"/>
        <v/>
      </c>
      <c r="BF9" s="135" t="str">
        <f t="shared" si="5"/>
        <v/>
      </c>
      <c r="BG9" s="135" t="str">
        <f t="shared" si="5"/>
        <v/>
      </c>
      <c r="BH9" s="136"/>
      <c r="BI9" s="137"/>
      <c r="BJ9" s="136"/>
      <c r="BK9" s="136"/>
      <c r="BL9" s="136"/>
      <c r="BM9" s="136"/>
      <c r="BN9" s="136"/>
      <c r="BO9" s="137"/>
      <c r="BP9" s="137"/>
      <c r="BR9" s="134" t="str">
        <f>IF(COUNTIF(BR$6:BR8,D9)&gt;0,"",D9)&amp;""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1"/>
      <c r="E10" s="142"/>
      <c r="F10" s="127" t="str">
        <f>IFERROR(VLOOKUP(E10,参数表!$H$2:$I$50,2,FALSE),"")</f>
        <v/>
      </c>
      <c r="G10" s="128" t="str">
        <f t="shared" si="4"/>
        <v/>
      </c>
      <c r="H10" s="143"/>
      <c r="I10" s="144"/>
      <c r="J10" s="129" t="str">
        <f t="shared" si="0"/>
        <v/>
      </c>
      <c r="K10" s="129" t="str">
        <f t="shared" si="1"/>
        <v/>
      </c>
      <c r="L10" s="145"/>
      <c r="BA10" s="78"/>
      <c r="BB10" s="132" t="s">
        <v>5182</v>
      </c>
      <c r="BC10" s="133"/>
      <c r="BD10" s="132" t="str">
        <f>IF(OR(B10="",BC10=""),"",COUNTIF(BC$7:BC10,"√"))</f>
        <v/>
      </c>
      <c r="BE10" s="134" t="str">
        <f t="shared" si="2"/>
        <v/>
      </c>
      <c r="BF10" s="135" t="str">
        <f t="shared" si="5"/>
        <v/>
      </c>
      <c r="BG10" s="135" t="str">
        <f t="shared" si="5"/>
        <v/>
      </c>
      <c r="BH10" s="136"/>
      <c r="BI10" s="137"/>
      <c r="BJ10" s="136"/>
      <c r="BK10" s="136"/>
      <c r="BL10" s="136"/>
      <c r="BM10" s="136"/>
      <c r="BN10" s="136"/>
      <c r="BO10" s="137"/>
      <c r="BP10" s="137"/>
      <c r="BR10" s="134" t="str">
        <f>IF(COUNTIF(BR$6:BR9,D10)&gt;0,"",D10)&amp;""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1"/>
      <c r="E11" s="142"/>
      <c r="F11" s="127" t="str">
        <f>IFERROR(VLOOKUP(E11,参数表!$H$2:$I$50,2,FALSE),"")</f>
        <v/>
      </c>
      <c r="G11" s="128" t="str">
        <f t="shared" si="4"/>
        <v/>
      </c>
      <c r="H11" s="143"/>
      <c r="I11" s="144"/>
      <c r="J11" s="129" t="str">
        <f t="shared" si="0"/>
        <v/>
      </c>
      <c r="K11" s="129" t="str">
        <f t="shared" si="1"/>
        <v/>
      </c>
      <c r="L11" s="145"/>
      <c r="BA11" s="78"/>
      <c r="BB11" s="132" t="s">
        <v>5183</v>
      </c>
      <c r="BC11" s="133"/>
      <c r="BD11" s="132" t="str">
        <f>IF(OR(B11="",BC11=""),"",COUNTIF(BC$7:BC11,"√"))</f>
        <v/>
      </c>
      <c r="BE11" s="134" t="str">
        <f t="shared" si="2"/>
        <v/>
      </c>
      <c r="BF11" s="135" t="str">
        <f t="shared" si="5"/>
        <v/>
      </c>
      <c r="BG11" s="135" t="str">
        <f t="shared" si="5"/>
        <v/>
      </c>
      <c r="BH11" s="136"/>
      <c r="BI11" s="137"/>
      <c r="BJ11" s="136"/>
      <c r="BK11" s="136"/>
      <c r="BL11" s="136"/>
      <c r="BM11" s="136"/>
      <c r="BN11" s="136"/>
      <c r="BO11" s="137"/>
      <c r="BP11" s="137"/>
      <c r="BR11" s="134" t="str">
        <f>IF(COUNTIF(BR$6:BR10,D11)&gt;0,"",D11)&amp;""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1"/>
      <c r="E12" s="142"/>
      <c r="F12" s="127" t="str">
        <f>IFERROR(VLOOKUP(E12,参数表!$H$2:$I$50,2,FALSE),"")</f>
        <v/>
      </c>
      <c r="G12" s="128" t="str">
        <f t="shared" si="4"/>
        <v/>
      </c>
      <c r="H12" s="143"/>
      <c r="I12" s="144"/>
      <c r="J12" s="129" t="str">
        <f t="shared" si="0"/>
        <v/>
      </c>
      <c r="K12" s="129" t="str">
        <f t="shared" si="1"/>
        <v/>
      </c>
      <c r="L12" s="145"/>
      <c r="BA12" s="78"/>
      <c r="BB12" s="132" t="s">
        <v>5184</v>
      </c>
      <c r="BC12" s="133"/>
      <c r="BD12" s="132" t="str">
        <f>IF(OR(B12="",BC12=""),"",COUNTIF(BC$7:BC12,"√"))</f>
        <v/>
      </c>
      <c r="BE12" s="134" t="str">
        <f t="shared" si="2"/>
        <v/>
      </c>
      <c r="BF12" s="135" t="str">
        <f t="shared" si="5"/>
        <v/>
      </c>
      <c r="BG12" s="135" t="str">
        <f t="shared" si="5"/>
        <v/>
      </c>
      <c r="BH12" s="136"/>
      <c r="BI12" s="137"/>
      <c r="BJ12" s="136"/>
      <c r="BK12" s="136"/>
      <c r="BL12" s="136"/>
      <c r="BM12" s="136"/>
      <c r="BN12" s="136"/>
      <c r="BO12" s="137"/>
      <c r="BP12" s="137"/>
      <c r="BR12" s="134" t="str">
        <f>IF(COUNTIF(BR$6:BR11,D12)&gt;0,"",D12)&amp;""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1"/>
      <c r="E13" s="142"/>
      <c r="F13" s="127" t="str">
        <f>IFERROR(VLOOKUP(E13,参数表!$H$2:$I$50,2,FALSE),"")</f>
        <v/>
      </c>
      <c r="G13" s="128" t="str">
        <f t="shared" si="4"/>
        <v/>
      </c>
      <c r="H13" s="143"/>
      <c r="I13" s="144"/>
      <c r="J13" s="129" t="str">
        <f t="shared" si="0"/>
        <v/>
      </c>
      <c r="K13" s="129" t="str">
        <f t="shared" si="1"/>
        <v/>
      </c>
      <c r="L13" s="145"/>
      <c r="BA13" s="78"/>
      <c r="BB13" s="132" t="s">
        <v>5185</v>
      </c>
      <c r="BC13" s="133"/>
      <c r="BD13" s="132" t="str">
        <f>IF(OR(B13="",BC13=""),"",COUNTIF(BC$7:BC13,"√"))</f>
        <v/>
      </c>
      <c r="BE13" s="134" t="str">
        <f t="shared" si="2"/>
        <v/>
      </c>
      <c r="BF13" s="135" t="str">
        <f t="shared" si="5"/>
        <v/>
      </c>
      <c r="BG13" s="135" t="str">
        <f t="shared" si="5"/>
        <v/>
      </c>
      <c r="BH13" s="136"/>
      <c r="BI13" s="137"/>
      <c r="BJ13" s="136"/>
      <c r="BK13" s="136"/>
      <c r="BL13" s="136"/>
      <c r="BM13" s="136"/>
      <c r="BN13" s="136"/>
      <c r="BO13" s="137"/>
      <c r="BP13" s="137"/>
      <c r="BR13" s="134" t="str">
        <f>IF(COUNTIF(BR$6:BR12,D13)&gt;0,"",D13)&amp;""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1"/>
      <c r="E14" s="142"/>
      <c r="F14" s="127" t="str">
        <f>IFERROR(VLOOKUP(E14,参数表!$H$2:$I$50,2,FALSE),"")</f>
        <v/>
      </c>
      <c r="G14" s="128" t="str">
        <f t="shared" si="4"/>
        <v/>
      </c>
      <c r="H14" s="143"/>
      <c r="I14" s="144"/>
      <c r="J14" s="129" t="str">
        <f t="shared" si="0"/>
        <v/>
      </c>
      <c r="K14" s="129" t="str">
        <f t="shared" si="1"/>
        <v/>
      </c>
      <c r="L14" s="145"/>
      <c r="BA14" s="78"/>
      <c r="BB14" s="132" t="s">
        <v>5186</v>
      </c>
      <c r="BC14" s="133"/>
      <c r="BD14" s="132" t="str">
        <f>IF(OR(B14="",BC14=""),"",COUNTIF(BC$7:BC14,"√"))</f>
        <v/>
      </c>
      <c r="BE14" s="134" t="str">
        <f t="shared" si="2"/>
        <v/>
      </c>
      <c r="BF14" s="135" t="str">
        <f t="shared" si="5"/>
        <v/>
      </c>
      <c r="BG14" s="135" t="str">
        <f t="shared" si="5"/>
        <v/>
      </c>
      <c r="BH14" s="136"/>
      <c r="BI14" s="137"/>
      <c r="BJ14" s="136"/>
      <c r="BK14" s="136"/>
      <c r="BL14" s="136"/>
      <c r="BM14" s="136"/>
      <c r="BN14" s="136"/>
      <c r="BO14" s="137"/>
      <c r="BP14" s="137"/>
      <c r="BR14" s="134" t="str">
        <f>IF(COUNTIF(BR$6:BR13,D14)&gt;0,"",D14)&amp;""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1"/>
      <c r="E15" s="142"/>
      <c r="F15" s="127" t="str">
        <f>IFERROR(VLOOKUP(E15,参数表!$H$2:$I$50,2,FALSE),"")</f>
        <v/>
      </c>
      <c r="G15" s="128" t="str">
        <f t="shared" si="4"/>
        <v/>
      </c>
      <c r="H15" s="143"/>
      <c r="I15" s="144"/>
      <c r="J15" s="129" t="str">
        <f t="shared" si="0"/>
        <v/>
      </c>
      <c r="K15" s="129" t="str">
        <f t="shared" si="1"/>
        <v/>
      </c>
      <c r="L15" s="145"/>
      <c r="BA15" s="78"/>
      <c r="BB15" s="132" t="s">
        <v>5187</v>
      </c>
      <c r="BC15" s="133"/>
      <c r="BD15" s="132" t="str">
        <f>IF(OR(B15="",BC15=""),"",COUNTIF(BC$7:BC15,"√"))</f>
        <v/>
      </c>
      <c r="BE15" s="134" t="str">
        <f t="shared" si="2"/>
        <v/>
      </c>
      <c r="BF15" s="135" t="str">
        <f t="shared" si="5"/>
        <v/>
      </c>
      <c r="BG15" s="135" t="str">
        <f t="shared" si="5"/>
        <v/>
      </c>
      <c r="BH15" s="136"/>
      <c r="BI15" s="137"/>
      <c r="BJ15" s="136"/>
      <c r="BK15" s="136"/>
      <c r="BL15" s="136"/>
      <c r="BM15" s="136"/>
      <c r="BN15" s="136"/>
      <c r="BO15" s="137"/>
      <c r="BP15" s="137"/>
      <c r="BR15" s="134" t="str">
        <f>IF(COUNTIF(BR$6:BR14,D15)&gt;0,"",D15)&amp;""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1"/>
      <c r="E16" s="142"/>
      <c r="F16" s="127" t="str">
        <f>IFERROR(VLOOKUP(E16,参数表!$H$2:$I$50,2,FALSE),"")</f>
        <v/>
      </c>
      <c r="G16" s="128" t="str">
        <f t="shared" si="4"/>
        <v/>
      </c>
      <c r="H16" s="143"/>
      <c r="I16" s="144"/>
      <c r="J16" s="129" t="str">
        <f t="shared" si="0"/>
        <v/>
      </c>
      <c r="K16" s="129" t="str">
        <f t="shared" si="1"/>
        <v/>
      </c>
      <c r="L16" s="145"/>
      <c r="BA16" s="78"/>
      <c r="BB16" s="132" t="s">
        <v>5188</v>
      </c>
      <c r="BC16" s="133"/>
      <c r="BD16" s="132" t="str">
        <f>IF(OR(B16="",BC16=""),"",COUNTIF(BC$7:BC16,"√"))</f>
        <v/>
      </c>
      <c r="BE16" s="134" t="str">
        <f t="shared" si="2"/>
        <v/>
      </c>
      <c r="BF16" s="135" t="str">
        <f t="shared" si="5"/>
        <v/>
      </c>
      <c r="BG16" s="135" t="str">
        <f t="shared" si="5"/>
        <v/>
      </c>
      <c r="BH16" s="136"/>
      <c r="BI16" s="137"/>
      <c r="BJ16" s="136"/>
      <c r="BK16" s="136"/>
      <c r="BL16" s="136"/>
      <c r="BM16" s="136"/>
      <c r="BN16" s="136"/>
      <c r="BO16" s="137"/>
      <c r="BP16" s="137"/>
      <c r="BR16" s="134" t="str">
        <f>IF(COUNTIF(BR$6:BR15,D16)&gt;0,"",D16)&amp;""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1"/>
      <c r="E17" s="142"/>
      <c r="F17" s="127" t="str">
        <f>IFERROR(VLOOKUP(E17,参数表!$H$2:$I$50,2,FALSE),"")</f>
        <v/>
      </c>
      <c r="G17" s="128" t="str">
        <f t="shared" si="4"/>
        <v/>
      </c>
      <c r="H17" s="143"/>
      <c r="I17" s="144"/>
      <c r="J17" s="129" t="str">
        <f t="shared" si="0"/>
        <v/>
      </c>
      <c r="K17" s="129" t="str">
        <f t="shared" si="1"/>
        <v/>
      </c>
      <c r="L17" s="145"/>
      <c r="BA17" s="78"/>
      <c r="BB17" s="132" t="s">
        <v>5189</v>
      </c>
      <c r="BC17" s="133"/>
      <c r="BD17" s="132" t="str">
        <f>IF(OR(B17="",BC17=""),"",COUNTIF(BC$7:BC17,"√"))</f>
        <v/>
      </c>
      <c r="BE17" s="134" t="str">
        <f t="shared" si="2"/>
        <v/>
      </c>
      <c r="BF17" s="135" t="str">
        <f t="shared" si="5"/>
        <v/>
      </c>
      <c r="BG17" s="135" t="str">
        <f t="shared" si="5"/>
        <v/>
      </c>
      <c r="BH17" s="136"/>
      <c r="BI17" s="137"/>
      <c r="BJ17" s="136"/>
      <c r="BK17" s="136"/>
      <c r="BL17" s="136"/>
      <c r="BM17" s="136"/>
      <c r="BN17" s="136"/>
      <c r="BO17" s="137"/>
      <c r="BP17" s="137"/>
      <c r="BR17" s="134" t="str">
        <f>IF(COUNTIF(BR$6:BR16,D17)&gt;0,"",D17)&amp;""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1"/>
      <c r="E18" s="142"/>
      <c r="F18" s="127" t="str">
        <f>IFERROR(VLOOKUP(E18,参数表!$H$2:$I$50,2,FALSE),"")</f>
        <v/>
      </c>
      <c r="G18" s="128" t="str">
        <f t="shared" si="4"/>
        <v/>
      </c>
      <c r="H18" s="143"/>
      <c r="I18" s="144"/>
      <c r="J18" s="129" t="str">
        <f t="shared" si="0"/>
        <v/>
      </c>
      <c r="K18" s="129" t="str">
        <f t="shared" si="1"/>
        <v/>
      </c>
      <c r="L18" s="145"/>
      <c r="BA18" s="78"/>
      <c r="BB18" s="132" t="s">
        <v>5190</v>
      </c>
      <c r="BC18" s="133"/>
      <c r="BD18" s="132" t="str">
        <f>IF(OR(B18="",BC18=""),"",COUNTIF(BC$7:BC18,"√"))</f>
        <v/>
      </c>
      <c r="BE18" s="134" t="str">
        <f t="shared" si="2"/>
        <v/>
      </c>
      <c r="BF18" s="135" t="str">
        <f t="shared" si="5"/>
        <v/>
      </c>
      <c r="BG18" s="135" t="str">
        <f t="shared" si="5"/>
        <v/>
      </c>
      <c r="BH18" s="136"/>
      <c r="BI18" s="137"/>
      <c r="BJ18" s="136"/>
      <c r="BK18" s="136"/>
      <c r="BL18" s="136"/>
      <c r="BM18" s="136"/>
      <c r="BN18" s="136"/>
      <c r="BO18" s="137"/>
      <c r="BP18" s="137"/>
      <c r="BR18" s="134" t="str">
        <f>IF(COUNTIF(BR$6:BR17,D18)&gt;0,"",D18)&amp;""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1"/>
      <c r="E19" s="142"/>
      <c r="F19" s="127" t="str">
        <f>IFERROR(VLOOKUP(E19,参数表!$H$2:$I$50,2,FALSE),"")</f>
        <v/>
      </c>
      <c r="G19" s="128" t="str">
        <f t="shared" si="4"/>
        <v/>
      </c>
      <c r="H19" s="143"/>
      <c r="I19" s="144"/>
      <c r="J19" s="129" t="str">
        <f t="shared" si="0"/>
        <v/>
      </c>
      <c r="K19" s="129" t="str">
        <f t="shared" si="1"/>
        <v/>
      </c>
      <c r="L19" s="145"/>
      <c r="BA19" s="78"/>
      <c r="BB19" s="132" t="s">
        <v>5191</v>
      </c>
      <c r="BC19" s="133"/>
      <c r="BD19" s="132" t="str">
        <f>IF(OR(B19="",BC19=""),"",COUNTIF(BC$7:BC19,"√"))</f>
        <v/>
      </c>
      <c r="BE19" s="134" t="str">
        <f t="shared" si="2"/>
        <v/>
      </c>
      <c r="BF19" s="135" t="str">
        <f t="shared" si="5"/>
        <v/>
      </c>
      <c r="BG19" s="135" t="str">
        <f t="shared" si="5"/>
        <v/>
      </c>
      <c r="BH19" s="136"/>
      <c r="BI19" s="137"/>
      <c r="BJ19" s="136"/>
      <c r="BK19" s="136"/>
      <c r="BL19" s="136"/>
      <c r="BM19" s="136"/>
      <c r="BN19" s="136"/>
      <c r="BO19" s="137"/>
      <c r="BP19" s="137"/>
      <c r="BR19" s="134" t="str">
        <f>IF(COUNTIF(BR$6:BR18,D19)&gt;0,"",D19)&amp;""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1"/>
      <c r="E20" s="142"/>
      <c r="F20" s="127" t="str">
        <f>IFERROR(VLOOKUP(E20,参数表!$H$2:$I$50,2,FALSE),"")</f>
        <v/>
      </c>
      <c r="G20" s="128" t="str">
        <f t="shared" si="4"/>
        <v/>
      </c>
      <c r="H20" s="143"/>
      <c r="I20" s="144"/>
      <c r="J20" s="129" t="str">
        <f t="shared" si="0"/>
        <v/>
      </c>
      <c r="K20" s="129" t="str">
        <f t="shared" si="1"/>
        <v/>
      </c>
      <c r="L20" s="145"/>
      <c r="BA20" s="78"/>
      <c r="BB20" s="132" t="s">
        <v>5192</v>
      </c>
      <c r="BC20" s="133"/>
      <c r="BD20" s="132" t="str">
        <f>IF(OR(B20="",BC20=""),"",COUNTIF(BC$7:BC20,"√"))</f>
        <v/>
      </c>
      <c r="BE20" s="134" t="str">
        <f t="shared" si="2"/>
        <v/>
      </c>
      <c r="BF20" s="135" t="str">
        <f t="shared" si="5"/>
        <v/>
      </c>
      <c r="BG20" s="135" t="str">
        <f t="shared" si="5"/>
        <v/>
      </c>
      <c r="BH20" s="136"/>
      <c r="BI20" s="137"/>
      <c r="BJ20" s="136"/>
      <c r="BK20" s="136"/>
      <c r="BL20" s="136"/>
      <c r="BM20" s="136"/>
      <c r="BN20" s="136"/>
      <c r="BO20" s="137"/>
      <c r="BP20" s="137"/>
      <c r="BR20" s="134" t="str">
        <f>IF(COUNTIF(BR$6:BR19,D20)&gt;0,"",D20)&amp;""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1"/>
      <c r="E21" s="142"/>
      <c r="F21" s="127" t="str">
        <f>IFERROR(VLOOKUP(E21,参数表!$H$2:$I$50,2,FALSE),"")</f>
        <v/>
      </c>
      <c r="G21" s="128" t="str">
        <f t="shared" si="4"/>
        <v/>
      </c>
      <c r="H21" s="143"/>
      <c r="I21" s="144"/>
      <c r="J21" s="129" t="str">
        <f t="shared" si="0"/>
        <v/>
      </c>
      <c r="K21" s="129" t="str">
        <f t="shared" si="1"/>
        <v/>
      </c>
      <c r="L21" s="145"/>
      <c r="BA21" s="78"/>
      <c r="BB21" s="132" t="s">
        <v>5193</v>
      </c>
      <c r="BC21" s="133"/>
      <c r="BD21" s="132" t="str">
        <f>IF(OR(B21="",BC21=""),"",COUNTIF(BC$7:BC21,"√"))</f>
        <v/>
      </c>
      <c r="BE21" s="134" t="str">
        <f t="shared" si="2"/>
        <v/>
      </c>
      <c r="BF21" s="135" t="str">
        <f t="shared" si="5"/>
        <v/>
      </c>
      <c r="BG21" s="135" t="str">
        <f t="shared" si="5"/>
        <v/>
      </c>
      <c r="BH21" s="136"/>
      <c r="BI21" s="137"/>
      <c r="BJ21" s="136"/>
      <c r="BK21" s="136"/>
      <c r="BL21" s="136"/>
      <c r="BM21" s="136"/>
      <c r="BN21" s="136"/>
      <c r="BO21" s="137"/>
      <c r="BP21" s="137"/>
      <c r="BR21" s="134" t="str">
        <f>IF(COUNTIF(BR$6:BR20,D21)&gt;0,"",D21)&amp;""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1"/>
      <c r="E22" s="142"/>
      <c r="F22" s="127" t="str">
        <f>IFERROR(VLOOKUP(E22,参数表!$H$2:$I$50,2,FALSE),"")</f>
        <v/>
      </c>
      <c r="G22" s="128" t="str">
        <f t="shared" si="4"/>
        <v/>
      </c>
      <c r="H22" s="143"/>
      <c r="I22" s="144"/>
      <c r="J22" s="129" t="str">
        <f t="shared" si="0"/>
        <v/>
      </c>
      <c r="K22" s="129" t="str">
        <f t="shared" si="1"/>
        <v/>
      </c>
      <c r="L22" s="145"/>
      <c r="BA22" s="78"/>
      <c r="BB22" s="132" t="s">
        <v>5194</v>
      </c>
      <c r="BC22" s="133"/>
      <c r="BD22" s="132" t="str">
        <f>IF(OR(B22="",BC22=""),"",COUNTIF(BC$7:BC22,"√"))</f>
        <v/>
      </c>
      <c r="BE22" s="134" t="str">
        <f t="shared" si="2"/>
        <v/>
      </c>
      <c r="BF22" s="135" t="str">
        <f t="shared" si="5"/>
        <v/>
      </c>
      <c r="BG22" s="135" t="str">
        <f t="shared" si="5"/>
        <v/>
      </c>
      <c r="BH22" s="136"/>
      <c r="BI22" s="137"/>
      <c r="BJ22" s="136"/>
      <c r="BK22" s="136"/>
      <c r="BL22" s="136"/>
      <c r="BM22" s="136"/>
      <c r="BN22" s="136"/>
      <c r="BO22" s="137"/>
      <c r="BP22" s="137"/>
      <c r="BR22" s="134" t="str">
        <f>IF(COUNTIF(BR$6:BR21,D22)&gt;0,"",D22)&amp;""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1"/>
      <c r="E23" s="142"/>
      <c r="F23" s="127" t="str">
        <f>IFERROR(VLOOKUP(E23,参数表!$H$2:$I$50,2,FALSE),"")</f>
        <v/>
      </c>
      <c r="G23" s="128" t="str">
        <f t="shared" si="4"/>
        <v/>
      </c>
      <c r="H23" s="143"/>
      <c r="I23" s="144"/>
      <c r="J23" s="129" t="str">
        <f t="shared" si="0"/>
        <v/>
      </c>
      <c r="K23" s="129" t="str">
        <f t="shared" si="1"/>
        <v/>
      </c>
      <c r="L23" s="145"/>
      <c r="BA23" s="78"/>
      <c r="BB23" s="132" t="s">
        <v>5195</v>
      </c>
      <c r="BC23" s="133"/>
      <c r="BD23" s="132" t="str">
        <f>IF(OR(B23="",BC23=""),"",COUNTIF(BC$7:BC23,"√"))</f>
        <v/>
      </c>
      <c r="BE23" s="134" t="str">
        <f t="shared" si="2"/>
        <v/>
      </c>
      <c r="BF23" s="135" t="str">
        <f t="shared" si="5"/>
        <v/>
      </c>
      <c r="BG23" s="135" t="str">
        <f t="shared" si="5"/>
        <v/>
      </c>
      <c r="BH23" s="136"/>
      <c r="BI23" s="137"/>
      <c r="BJ23" s="136"/>
      <c r="BK23" s="136"/>
      <c r="BL23" s="136"/>
      <c r="BM23" s="136"/>
      <c r="BN23" s="136"/>
      <c r="BO23" s="137"/>
      <c r="BP23" s="137"/>
      <c r="BR23" s="134" t="str">
        <f>IF(COUNTIF(BR$6:BR22,D23)&gt;0,"",D23)&amp;""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1"/>
      <c r="E24" s="142"/>
      <c r="F24" s="127" t="str">
        <f>IFERROR(VLOOKUP(E24,参数表!$H$2:$I$50,2,FALSE),"")</f>
        <v/>
      </c>
      <c r="G24" s="128" t="str">
        <f t="shared" si="4"/>
        <v/>
      </c>
      <c r="H24" s="143"/>
      <c r="I24" s="144"/>
      <c r="J24" s="129" t="str">
        <f t="shared" si="0"/>
        <v/>
      </c>
      <c r="K24" s="129" t="str">
        <f t="shared" si="1"/>
        <v/>
      </c>
      <c r="L24" s="145"/>
      <c r="BA24" s="78"/>
      <c r="BB24" s="132" t="s">
        <v>5196</v>
      </c>
      <c r="BC24" s="133"/>
      <c r="BD24" s="132" t="str">
        <f>IF(OR(B24="",BC24=""),"",COUNTIF(BC$7:BC24,"√"))</f>
        <v/>
      </c>
      <c r="BE24" s="134" t="str">
        <f t="shared" si="2"/>
        <v/>
      </c>
      <c r="BF24" s="135" t="str">
        <f t="shared" si="5"/>
        <v/>
      </c>
      <c r="BG24" s="135" t="str">
        <f t="shared" si="5"/>
        <v/>
      </c>
      <c r="BH24" s="136"/>
      <c r="BI24" s="137"/>
      <c r="BJ24" s="136"/>
      <c r="BK24" s="136"/>
      <c r="BL24" s="136"/>
      <c r="BM24" s="136"/>
      <c r="BN24" s="136"/>
      <c r="BO24" s="137"/>
      <c r="BP24" s="137"/>
      <c r="BR24" s="134" t="str">
        <f>IF(COUNTIF(BR$6:BR23,D24)&gt;0,"",D24)&amp;""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1"/>
      <c r="E25" s="142"/>
      <c r="F25" s="127" t="str">
        <f>IFERROR(VLOOKUP(E25,参数表!$H$2:$I$50,2,FALSE),"")</f>
        <v/>
      </c>
      <c r="G25" s="128" t="str">
        <f t="shared" si="4"/>
        <v/>
      </c>
      <c r="H25" s="143"/>
      <c r="I25" s="144"/>
      <c r="J25" s="129" t="str">
        <f t="shared" si="0"/>
        <v/>
      </c>
      <c r="K25" s="129" t="str">
        <f t="shared" si="1"/>
        <v/>
      </c>
      <c r="L25" s="145"/>
      <c r="BA25" s="78"/>
      <c r="BB25" s="132" t="s">
        <v>5197</v>
      </c>
      <c r="BC25" s="133"/>
      <c r="BD25" s="132" t="str">
        <f>IF(OR(B25="",BC25=""),"",COUNTIF(BC$7:BC25,"√"))</f>
        <v/>
      </c>
      <c r="BE25" s="134" t="str">
        <f t="shared" si="2"/>
        <v/>
      </c>
      <c r="BF25" s="135" t="str">
        <f t="shared" si="5"/>
        <v/>
      </c>
      <c r="BG25" s="135" t="str">
        <f t="shared" si="5"/>
        <v/>
      </c>
      <c r="BH25" s="136"/>
      <c r="BI25" s="137"/>
      <c r="BJ25" s="136"/>
      <c r="BK25" s="136"/>
      <c r="BL25" s="136"/>
      <c r="BM25" s="136"/>
      <c r="BN25" s="136"/>
      <c r="BO25" s="137"/>
      <c r="BP25" s="137"/>
      <c r="BR25" s="134" t="str">
        <f>IF(COUNTIF(BR$6:BR24,D25)&gt;0,"",D25)&amp;""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6"/>
      <c r="E26" s="127"/>
      <c r="F26" s="127" t="str">
        <f>IFERROR(VLOOKUP(E26,参数表!$H$2:$I$50,2,FALSE),"")</f>
        <v/>
      </c>
      <c r="G26" s="128" t="str">
        <f t="shared" si="4"/>
        <v/>
      </c>
      <c r="H26" s="129"/>
      <c r="I26" s="130"/>
      <c r="J26" s="129" t="str">
        <f t="shared" si="0"/>
        <v/>
      </c>
      <c r="K26" s="129" t="str">
        <f t="shared" si="1"/>
        <v/>
      </c>
      <c r="L26" s="131"/>
      <c r="BA26" s="78"/>
      <c r="BB26" s="132" t="s">
        <v>5198</v>
      </c>
      <c r="BC26" s="133"/>
      <c r="BD26" s="132" t="str">
        <f>IF(OR(B26="",BC26=""),"",COUNTIF(BC$7:BC26,"√"))</f>
        <v/>
      </c>
      <c r="BE26" s="134" t="str">
        <f t="shared" si="2"/>
        <v/>
      </c>
      <c r="BF26" s="135" t="str">
        <f t="shared" si="5"/>
        <v/>
      </c>
      <c r="BG26" s="135" t="str">
        <f t="shared" si="5"/>
        <v/>
      </c>
      <c r="BH26" s="136"/>
      <c r="BI26" s="137"/>
      <c r="BJ26" s="136"/>
      <c r="BK26" s="136"/>
      <c r="BL26" s="136"/>
      <c r="BM26" s="136"/>
      <c r="BN26" s="136"/>
      <c r="BO26" s="137"/>
      <c r="BP26" s="137"/>
      <c r="BR26" s="134" t="str">
        <f>IF(COUNTIF(BR$6:BR25,D26)&gt;0,"",D26)&amp;""</f>
        <v/>
      </c>
      <c r="BS26" s="138">
        <f t="shared" si="6"/>
        <v>0</v>
      </c>
      <c r="BT26" s="132">
        <f t="shared" si="7"/>
        <v>1</v>
      </c>
      <c r="BU26" s="138">
        <f t="shared" si="8"/>
        <v>0</v>
      </c>
      <c r="BV26" s="132">
        <f t="shared" si="9"/>
        <v>1</v>
      </c>
      <c r="BW26" s="133"/>
      <c r="BX26" s="133"/>
    </row>
    <row r="27" s="73" customFormat="1" ht="15" customHeight="1" spans="1:77">
      <c r="A27" s="149" t="s">
        <v>5091</v>
      </c>
      <c r="B27" s="149"/>
      <c r="C27" s="150"/>
      <c r="D27" s="149"/>
      <c r="E27" s="151"/>
      <c r="F27" s="151"/>
      <c r="G27" s="151"/>
      <c r="H27" s="152">
        <f>SUM(H7:H26)</f>
        <v>0</v>
      </c>
      <c r="I27" s="153"/>
      <c r="J27" s="152">
        <f>SUM(J7:J26)</f>
        <v>0</v>
      </c>
      <c r="K27" s="152">
        <f>SUM(K7:K26)</f>
        <v>0</v>
      </c>
      <c r="L27" s="151"/>
      <c r="BF27" s="75"/>
      <c r="BG27" s="75"/>
      <c r="BH27" s="165"/>
      <c r="BI27" s="75"/>
      <c r="BJ27" s="165"/>
      <c r="BK27" s="165"/>
      <c r="BL27" s="165"/>
      <c r="BM27" s="165"/>
      <c r="BN27" s="165"/>
      <c r="BO27" s="75"/>
      <c r="BP27" s="75"/>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5"/>
      <c r="J28" s="103"/>
      <c r="K28" s="156" t="str">
        <f>"评估人员："&amp;封面!$G$38</f>
        <v>评估人员：</v>
      </c>
      <c r="L28" s="103"/>
    </row>
    <row r="29" customHeight="1" spans="1:77">
      <c r="A29" s="102" t="str">
        <f>参数表!F$7</f>
        <v>填表日期：2025年9月20日</v>
      </c>
      <c r="B29" s="154"/>
      <c r="C29" s="154"/>
      <c r="D29" s="154"/>
      <c r="E29" s="154"/>
      <c r="F29" s="154"/>
      <c r="G29" s="154"/>
      <c r="H29" s="154"/>
      <c r="I29" s="155"/>
      <c r="J29" s="103"/>
      <c r="K29" s="103"/>
      <c r="L29" s="103"/>
    </row>
    <row r="30" hidden="1" customHeight="1" outlineLevel="1" spans="1:77">
      <c r="A30" s="157"/>
      <c r="B30" s="154" t="s">
        <v>1673</v>
      </c>
      <c r="C30" s="158"/>
      <c r="D30" s="158"/>
      <c r="E30" s="158"/>
      <c r="F30" s="158"/>
      <c r="G30" s="158"/>
      <c r="H30" s="159">
        <f>SUMIF($BA7:$BA26,$BA30,H7:H26)</f>
        <v>0</v>
      </c>
      <c r="I30" s="160"/>
      <c r="J30" s="159">
        <f>SUMIF($BA7:$BA26,$BA30,J7:J26)</f>
        <v>0</v>
      </c>
      <c r="K30" s="159">
        <f>SUMIF($BA7:$BA26,$BA30,K7:K26)</f>
        <v>0</v>
      </c>
      <c r="BA30" s="161" t="s">
        <v>1674</v>
      </c>
      <c r="BH30" s="95" t="s">
        <v>1675</v>
      </c>
      <c r="BJ30" s="95" t="s">
        <v>1675</v>
      </c>
      <c r="BK30" s="95" t="s">
        <v>1675</v>
      </c>
      <c r="BL30" s="95" t="s">
        <v>1675</v>
      </c>
      <c r="BM30" s="95" t="s">
        <v>1674</v>
      </c>
      <c r="BN30" s="95" t="s">
        <v>1674</v>
      </c>
    </row>
    <row r="31" hidden="1" customHeight="1" outlineLevel="1" spans="1:77">
      <c r="A31" s="157"/>
      <c r="B31" s="154" t="s">
        <v>1676</v>
      </c>
      <c r="C31" s="158"/>
      <c r="D31" s="158"/>
      <c r="E31" s="158"/>
      <c r="F31" s="158"/>
      <c r="G31" s="158"/>
      <c r="H31" s="159">
        <f>H27-H30</f>
        <v>0</v>
      </c>
      <c r="I31" s="160"/>
      <c r="J31" s="159">
        <f>J27-J30</f>
        <v>0</v>
      </c>
      <c r="K31" s="159">
        <f>K27-K30</f>
        <v>0</v>
      </c>
      <c r="BA31" s="161" t="s">
        <v>1677</v>
      </c>
      <c r="BH31" s="95" t="s">
        <v>1678</v>
      </c>
      <c r="BJ31" s="95" t="s">
        <v>1678</v>
      </c>
      <c r="BK31" s="95" t="s">
        <v>1678</v>
      </c>
      <c r="BL31" s="95" t="s">
        <v>1678</v>
      </c>
      <c r="BM31" s="95" t="s">
        <v>1677</v>
      </c>
      <c r="BN31" s="95" t="s">
        <v>1677</v>
      </c>
    </row>
    <row r="32" customHeight="1" collapsed="1" spans="1:77">
      <c r="A32" s="157"/>
      <c r="B32" s="158"/>
      <c r="C32" s="158"/>
      <c r="D32" s="158"/>
      <c r="E32" s="158"/>
      <c r="F32" s="158"/>
      <c r="G32" s="158"/>
      <c r="H32" s="158"/>
      <c r="I32" s="164"/>
    </row>
    <row r="33" customHeight="1" spans="1:9">
      <c r="A33" s="157"/>
      <c r="B33" s="158"/>
      <c r="C33" s="158"/>
      <c r="D33" s="158"/>
      <c r="E33" s="158"/>
      <c r="F33" s="158"/>
      <c r="G33" s="158"/>
      <c r="H33" s="158"/>
      <c r="I33" s="164"/>
    </row>
    <row r="34" customHeight="1" spans="1:9">
      <c r="A34" s="157"/>
      <c r="B34" s="158"/>
      <c r="C34" s="158"/>
      <c r="D34" s="158"/>
      <c r="E34" s="158"/>
      <c r="F34" s="158"/>
      <c r="G34" s="158"/>
      <c r="H34" s="158"/>
      <c r="I34" s="164"/>
    </row>
    <row r="35" customHeight="1" spans="1:9">
      <c r="A35" s="157"/>
      <c r="B35" s="158"/>
      <c r="C35" s="158"/>
      <c r="D35" s="158"/>
      <c r="E35" s="158"/>
      <c r="F35" s="158"/>
      <c r="G35" s="158"/>
      <c r="H35" s="158"/>
      <c r="I35" s="164"/>
    </row>
    <row r="36" customHeight="1" spans="1:9">
      <c r="A36" s="157"/>
      <c r="B36" s="158"/>
      <c r="C36" s="158"/>
      <c r="D36" s="158"/>
      <c r="E36" s="158"/>
      <c r="F36" s="158"/>
      <c r="G36" s="158"/>
      <c r="H36" s="158"/>
      <c r="I36" s="164"/>
    </row>
    <row r="37" customHeight="1" spans="1:9">
      <c r="E37" s="158"/>
      <c r="F37" s="158"/>
      <c r="G37" s="158"/>
    </row>
  </sheetData>
  <sheetProtection autoFilter="0"/>
  <autoFilter xmlns:etc="http://www.wps.cn/officeDocument/2017/etCustomData" ref="A6:BB31" etc:filterBottomFollowUsedRange="0">
    <extLst/>
  </autoFilter>
  <mergeCells count="6">
    <mergeCell ref="A2:L2"/>
    <mergeCell ref="A3:L3"/>
    <mergeCell ref="BW7:BY7"/>
    <mergeCell ref="BW8:BY8"/>
    <mergeCell ref="BX14:BY14"/>
    <mergeCell ref="A27:B27"/>
  </mergeCells>
  <conditionalFormatting sqref="BH7:BH26">
    <cfRule type="expression" dxfId="5" priority="12"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fRule type="containsText" priority="2"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10" display="返回索引页"/>
    <hyperlink ref="B1" location="流动负债汇总!B10"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6">
    <tabColor rgb="FFFF0000"/>
  </sheetPr>
  <dimension ref="A1:CE40"/>
  <sheetViews>
    <sheetView workbookViewId="0">
      <selection activeCell="E45" sqref="E45"/>
    </sheetView>
  </sheetViews>
  <sheetFormatPr defaultColWidth="9" defaultRowHeight="13.2"/>
  <cols>
    <col min="1" max="1" width="8.7" style="75" customWidth="1"/>
    <col min="2" max="2" width="30.8" style="75" customWidth="1"/>
    <col min="3" max="3" width="20.6" style="75" hidden="1" customWidth="1" outlineLevel="1"/>
    <col min="4" max="4" width="20.6" style="75" customWidth="1" collapsed="1"/>
    <col min="5" max="7" width="20.6" style="75" customWidth="1"/>
    <col min="8" max="52" width="9" style="75" hidden="1" customWidth="1" outlineLevel="1"/>
    <col min="53" max="53" width="10.6" style="227" customWidth="1" collapsed="1"/>
    <col min="54" max="60" width="10.6" style="227" customWidth="1"/>
    <col min="61" max="61" width="1.6" style="227" customWidth="1"/>
    <col min="62"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80" t="s">
        <v>1591</v>
      </c>
      <c r="B1" s="80" t="s">
        <v>1592</v>
      </c>
      <c r="C1" s="81"/>
      <c r="D1" s="81"/>
      <c r="E1" s="81"/>
      <c r="F1" s="81"/>
      <c r="G1" s="81"/>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22.8" spans="1:83">
      <c r="A2" s="337" t="s">
        <v>5199</v>
      </c>
      <c r="B2" s="233"/>
      <c r="C2" s="233"/>
      <c r="D2" s="233"/>
      <c r="E2" s="233"/>
      <c r="F2" s="233"/>
      <c r="G2" s="233"/>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3.8" spans="1:83">
      <c r="A3" s="238" t="str">
        <f>参数表!F5</f>
        <v>评估基准日：2025年7月31日</v>
      </c>
      <c r="B3" s="238"/>
      <c r="C3" s="238"/>
      <c r="D3" s="238"/>
      <c r="E3" s="238"/>
      <c r="F3" s="238"/>
      <c r="G3" s="238"/>
      <c r="BA3" s="230" t="str">
        <f>参数表!BA3</f>
        <v>是否显示评估值：</v>
      </c>
      <c r="BB3" s="230" t="str">
        <f>参数表!BB3</f>
        <v>是</v>
      </c>
    </row>
    <row r="4" spans="1:83">
      <c r="A4" s="238"/>
      <c r="B4" s="238"/>
      <c r="C4" s="238"/>
      <c r="D4" s="238"/>
      <c r="E4" s="238"/>
      <c r="F4" s="238"/>
      <c r="G4" s="338" t="str">
        <f>"表"&amp;A28</f>
        <v>表5-8</v>
      </c>
      <c r="BA4" s="240" t="s">
        <v>1595</v>
      </c>
      <c r="BB4" s="241"/>
      <c r="BC4" s="241"/>
      <c r="BD4" s="241"/>
      <c r="BE4" s="241"/>
      <c r="BF4" s="241"/>
      <c r="BG4" s="241"/>
      <c r="BH4" s="241"/>
      <c r="BI4" s="242"/>
      <c r="BJ4" s="241" t="s">
        <v>1545</v>
      </c>
      <c r="BK4" s="241"/>
      <c r="BL4" s="241"/>
      <c r="BM4" s="241"/>
      <c r="BN4" s="241"/>
      <c r="BO4" s="241"/>
      <c r="BP4" s="241"/>
      <c r="BQ4" s="241"/>
      <c r="BS4" s="228" t="str">
        <f>LEFT(A2,LEN(A2)-5)</f>
        <v>合同负债</v>
      </c>
    </row>
    <row r="5" spans="1:83">
      <c r="A5" s="243" t="str">
        <f>参数表!F3</f>
        <v>产权持有单位:中煤第五建设有限公司</v>
      </c>
      <c r="G5" s="244" t="s">
        <v>236</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合同负债为：</v>
      </c>
      <c r="BT5" s="248" t="str">
        <f>CONCATENATE(BW7,BX7,BW8,BX8,BW9,BX9,BW10,BX10,BW11,BX11,BW12,BX12,BW13,BX13,BW14,BX14,BW15,BX15,BW16,BX16)&amp;CONCATENATE(BW17,BX17,BW18,BX18,BW19,BX19,BW20,BX20,BW21,BX21,BW22,BX22,BW23,BX23,BW24,BX24,BW25,BX25,BW26,BX26,BW27)</f>
        <v/>
      </c>
    </row>
    <row r="6" s="72" customFormat="1" spans="1:83">
      <c r="A6" s="249" t="s">
        <v>1734</v>
      </c>
      <c r="B6" s="249" t="s">
        <v>1735</v>
      </c>
      <c r="C6" s="250" t="s">
        <v>1549</v>
      </c>
      <c r="D6" s="249" t="s">
        <v>1523</v>
      </c>
      <c r="E6" s="249" t="s">
        <v>1550</v>
      </c>
      <c r="F6" s="249" t="s">
        <v>1525</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spans="1:83">
      <c r="A7" s="339" t="str">
        <f>A$28&amp;"-"&amp;SUBTOTAL(103,B$7:B7)</f>
        <v>5-8-1</v>
      </c>
      <c r="B7" s="340" t="s">
        <v>5200</v>
      </c>
      <c r="C7" s="143">
        <f>'合同负-未完施工'!AA28</f>
        <v>0</v>
      </c>
      <c r="D7" s="143">
        <f>'合同负-未完施工'!AC28</f>
        <v>0</v>
      </c>
      <c r="E7" s="143">
        <f>'合同负-未完施工'!AD28</f>
        <v>0</v>
      </c>
      <c r="F7" s="143">
        <f t="shared" ref="F7:F8" si="0">E7-D7</f>
        <v>0</v>
      </c>
      <c r="G7" s="143" t="str">
        <f t="shared" ref="G7:G8" si="1">IF(D7=0,"",F7/D7*100)</f>
        <v/>
      </c>
      <c r="BA7" s="256">
        <f>BB7</f>
        <v>0</v>
      </c>
      <c r="BB7" s="256">
        <f>BD7+BC7</f>
        <v>0</v>
      </c>
      <c r="BC7" s="256">
        <f>0</f>
        <v>0</v>
      </c>
      <c r="BD7" s="256">
        <f>D7</f>
        <v>0</v>
      </c>
      <c r="BE7" s="256">
        <f>BF7</f>
        <v>0</v>
      </c>
      <c r="BF7" s="256">
        <f>BH7+BG7</f>
        <v>0</v>
      </c>
      <c r="BG7" s="256">
        <f>0</f>
        <v>0</v>
      </c>
      <c r="BH7" s="256">
        <f>E7</f>
        <v>0</v>
      </c>
      <c r="BI7" s="242"/>
      <c r="BJ7" s="256">
        <f>BK7</f>
        <v>0</v>
      </c>
      <c r="BK7" s="256">
        <f>BM7+BL7</f>
        <v>0</v>
      </c>
      <c r="BL7" s="256">
        <f>0</f>
        <v>0</v>
      </c>
      <c r="BM7" s="256">
        <f>'合同负-未完施工'!AC31</f>
        <v>0</v>
      </c>
      <c r="BN7" s="256">
        <f>BO7</f>
        <v>0</v>
      </c>
      <c r="BO7" s="256">
        <f>BQ7+BP7</f>
        <v>0</v>
      </c>
      <c r="BP7" s="256">
        <f>0</f>
        <v>0</v>
      </c>
      <c r="BQ7" s="256">
        <f>'合同负-未完施工'!AD31</f>
        <v>0</v>
      </c>
      <c r="BS7" s="228" t="str">
        <f t="shared" ref="BS7:BS8" si="2">IF(F7&gt;0,"增值",IF(F7=0,"无增减值","减值"))</f>
        <v>无增减值</v>
      </c>
      <c r="BT7" s="257">
        <f t="shared" ref="BT7:BT8" si="3">ABS(F7)</f>
        <v>0</v>
      </c>
      <c r="BU7" s="257">
        <f t="shared" ref="BU7:BU8" si="4">IFERROR(ABS(G7),0)</f>
        <v>0</v>
      </c>
      <c r="BV7" s="258">
        <f t="shared" ref="BV7:BV8" si="5">IFERROR(FIND("-",B7),0)</f>
        <v>5</v>
      </c>
      <c r="BW7" s="259" t="str">
        <f>IF(SUM(BA7:BH7)=0,"",RIGHT(B7,LEN(B7)-BV7))</f>
        <v/>
      </c>
      <c r="BX7" s="158" t="str">
        <f>IF(BY7="","",IF(BZ7&gt;1,"、",IF(BZ7=1,"和","")))</f>
        <v/>
      </c>
      <c r="BY7" s="158" t="str">
        <f>IF(BW7="","",1)</f>
        <v/>
      </c>
      <c r="BZ7" s="228">
        <f>COUNT(BY8:BY$27)</f>
        <v>0</v>
      </c>
    </row>
    <row r="8" spans="1:83">
      <c r="A8" s="339" t="str">
        <f>A$28&amp;"-"&amp;SUBTOTAL(103,B$7:B8)</f>
        <v>5-8-2</v>
      </c>
      <c r="B8" s="340" t="s">
        <v>5201</v>
      </c>
      <c r="C8" s="143">
        <f>'合同负-其他'!J27</f>
        <v>0</v>
      </c>
      <c r="D8" s="143">
        <f>'合同负-其他'!L27</f>
        <v>0</v>
      </c>
      <c r="E8" s="143">
        <f>'合同负-其他'!M27</f>
        <v>0</v>
      </c>
      <c r="F8" s="143">
        <f t="shared" si="0"/>
        <v>0</v>
      </c>
      <c r="G8" s="143" t="str">
        <f t="shared" si="1"/>
        <v/>
      </c>
      <c r="BA8" s="256">
        <f>BB8</f>
        <v>0</v>
      </c>
      <c r="BB8" s="256">
        <f>BD8+BC8</f>
        <v>0</v>
      </c>
      <c r="BC8" s="256">
        <f>0</f>
        <v>0</v>
      </c>
      <c r="BD8" s="256">
        <f>D8</f>
        <v>0</v>
      </c>
      <c r="BE8" s="256">
        <f>BF8</f>
        <v>0</v>
      </c>
      <c r="BF8" s="256">
        <f>BH8+BG8</f>
        <v>0</v>
      </c>
      <c r="BG8" s="256">
        <f>0</f>
        <v>0</v>
      </c>
      <c r="BH8" s="256">
        <f>E8</f>
        <v>0</v>
      </c>
      <c r="BI8" s="242"/>
      <c r="BJ8" s="256">
        <f>BK8</f>
        <v>0</v>
      </c>
      <c r="BK8" s="256">
        <f>BM8+BL8</f>
        <v>0</v>
      </c>
      <c r="BL8" s="256">
        <f>0</f>
        <v>0</v>
      </c>
      <c r="BM8" s="256">
        <f>'合同负-其他'!L30</f>
        <v>0</v>
      </c>
      <c r="BN8" s="256">
        <f>BO8</f>
        <v>0</v>
      </c>
      <c r="BO8" s="256">
        <f>BQ8+BP8</f>
        <v>0</v>
      </c>
      <c r="BP8" s="256">
        <f>0</f>
        <v>0</v>
      </c>
      <c r="BQ8" s="256">
        <f>'合同负-其他'!M30</f>
        <v>0</v>
      </c>
      <c r="BS8" s="228" t="str">
        <f t="shared" si="2"/>
        <v>无增减值</v>
      </c>
      <c r="BT8" s="257">
        <f t="shared" si="3"/>
        <v>0</v>
      </c>
      <c r="BU8" s="257">
        <f t="shared" si="4"/>
        <v>0</v>
      </c>
      <c r="BV8" s="258">
        <f t="shared" si="5"/>
        <v>5</v>
      </c>
      <c r="BW8" s="259" t="str">
        <f t="shared" ref="BW8" si="6">IF(SUM(BA8:BH8)=0,"",RIGHT(B8,LEN(B8)-BV8))</f>
        <v/>
      </c>
      <c r="BX8" s="158" t="str">
        <f t="shared" ref="BX8" si="7">IF(BY8="","",IF(BZ8&gt;1,"、",IF(BZ8=1,"和","")))</f>
        <v/>
      </c>
      <c r="BY8" s="158" t="str">
        <f t="shared" ref="BY8" si="8">IF(BW8="","",1)</f>
        <v/>
      </c>
      <c r="BZ8" s="228">
        <f>COUNT(BY9:BY$27)</f>
        <v>0</v>
      </c>
    </row>
    <row r="9" spans="1:83">
      <c r="A9" s="141"/>
      <c r="B9" s="145"/>
      <c r="C9" s="143"/>
      <c r="D9" s="143"/>
      <c r="E9" s="143"/>
      <c r="F9" s="143"/>
      <c r="G9" s="143"/>
      <c r="BA9" s="256"/>
      <c r="BB9" s="256"/>
      <c r="BC9" s="256"/>
      <c r="BD9" s="256"/>
      <c r="BE9" s="256"/>
      <c r="BF9" s="256"/>
      <c r="BG9" s="256"/>
      <c r="BH9" s="256"/>
      <c r="BI9" s="242"/>
      <c r="BJ9" s="143"/>
      <c r="BK9" s="256"/>
      <c r="BL9" s="256"/>
      <c r="BM9" s="256"/>
      <c r="BN9" s="143"/>
      <c r="BO9" s="256"/>
      <c r="BP9" s="256"/>
      <c r="BQ9" s="256"/>
      <c r="BS9" s="228"/>
      <c r="BT9" s="257"/>
      <c r="BU9" s="257"/>
      <c r="BV9" s="258"/>
      <c r="BW9" s="259"/>
      <c r="BY9" s="158"/>
      <c r="BZ9" s="228"/>
    </row>
    <row r="10" spans="1:83">
      <c r="A10" s="141"/>
      <c r="B10" s="145"/>
      <c r="C10" s="143"/>
      <c r="D10" s="143"/>
      <c r="E10" s="143"/>
      <c r="F10" s="143"/>
      <c r="G10" s="143"/>
      <c r="BA10" s="256"/>
      <c r="BB10" s="256"/>
      <c r="BC10" s="256"/>
      <c r="BD10" s="256"/>
      <c r="BE10" s="256"/>
      <c r="BF10" s="256"/>
      <c r="BG10" s="256"/>
      <c r="BH10" s="256"/>
      <c r="BI10" s="242"/>
      <c r="BJ10" s="256"/>
      <c r="BK10" s="256"/>
      <c r="BL10" s="256"/>
      <c r="BM10" s="256"/>
      <c r="BN10" s="256"/>
      <c r="BO10" s="256"/>
      <c r="BP10" s="256"/>
      <c r="BQ10" s="256"/>
      <c r="BS10" s="228"/>
      <c r="BT10" s="257"/>
      <c r="BU10" s="257"/>
      <c r="BV10" s="258"/>
      <c r="BW10" s="259"/>
      <c r="BY10" s="158"/>
      <c r="BZ10" s="228"/>
    </row>
    <row r="11" spans="1:83">
      <c r="A11" s="141"/>
      <c r="B11" s="145"/>
      <c r="C11" s="143"/>
      <c r="D11" s="143"/>
      <c r="E11" s="143"/>
      <c r="F11" s="143"/>
      <c r="G11" s="143"/>
      <c r="BA11" s="256"/>
      <c r="BB11" s="256"/>
      <c r="BC11" s="256"/>
      <c r="BD11" s="256"/>
      <c r="BE11" s="256"/>
      <c r="BF11" s="256"/>
      <c r="BG11" s="256"/>
      <c r="BH11" s="256"/>
      <c r="BI11" s="242"/>
      <c r="BJ11" s="256"/>
      <c r="BK11" s="256"/>
      <c r="BL11" s="256"/>
      <c r="BM11" s="256"/>
      <c r="BN11" s="256"/>
      <c r="BO11" s="256"/>
      <c r="BP11" s="256"/>
      <c r="BQ11" s="256"/>
      <c r="BS11" s="228"/>
      <c r="BT11" s="257"/>
      <c r="BU11" s="257"/>
      <c r="BV11" s="258"/>
      <c r="BW11" s="259"/>
      <c r="BY11" s="158"/>
      <c r="BZ11" s="228"/>
    </row>
    <row r="12" spans="1:83">
      <c r="A12" s="141"/>
      <c r="B12" s="145"/>
      <c r="C12" s="143"/>
      <c r="D12" s="143"/>
      <c r="E12" s="143"/>
      <c r="F12" s="143"/>
      <c r="G12" s="143"/>
      <c r="BA12" s="256"/>
      <c r="BB12" s="256"/>
      <c r="BC12" s="256"/>
      <c r="BD12" s="256"/>
      <c r="BE12" s="256"/>
      <c r="BF12" s="256"/>
      <c r="BG12" s="256"/>
      <c r="BH12" s="256"/>
      <c r="BI12" s="242"/>
      <c r="BJ12" s="256"/>
      <c r="BK12" s="256"/>
      <c r="BL12" s="256"/>
      <c r="BM12" s="256"/>
      <c r="BN12" s="256"/>
      <c r="BO12" s="256"/>
      <c r="BP12" s="256"/>
      <c r="BQ12" s="256"/>
      <c r="BS12" s="228"/>
      <c r="BT12" s="257"/>
      <c r="BU12" s="257"/>
      <c r="BV12" s="258"/>
      <c r="BW12" s="259"/>
      <c r="BY12" s="158"/>
      <c r="BZ12" s="228"/>
    </row>
    <row r="13" spans="1:83">
      <c r="A13" s="141"/>
      <c r="B13" s="145"/>
      <c r="C13" s="143"/>
      <c r="D13" s="143"/>
      <c r="E13" s="143"/>
      <c r="F13" s="143"/>
      <c r="G13" s="143"/>
      <c r="BA13" s="256"/>
      <c r="BB13" s="256"/>
      <c r="BC13" s="256"/>
      <c r="BD13" s="256"/>
      <c r="BE13" s="256"/>
      <c r="BF13" s="256"/>
      <c r="BG13" s="256"/>
      <c r="BH13" s="256"/>
      <c r="BI13" s="242"/>
      <c r="BJ13" s="256"/>
      <c r="BK13" s="256"/>
      <c r="BL13" s="256"/>
      <c r="BM13" s="256"/>
      <c r="BN13" s="256"/>
      <c r="BO13" s="256"/>
      <c r="BP13" s="256"/>
      <c r="BQ13" s="256"/>
      <c r="BS13" s="228"/>
      <c r="BT13" s="257"/>
      <c r="BU13" s="257"/>
      <c r="BV13" s="258"/>
      <c r="BW13" s="259"/>
      <c r="BY13" s="158"/>
      <c r="BZ13" s="228"/>
    </row>
    <row r="14" spans="1:83">
      <c r="A14" s="141"/>
      <c r="B14" s="145"/>
      <c r="C14" s="143"/>
      <c r="D14" s="143"/>
      <c r="E14" s="143"/>
      <c r="F14" s="143"/>
      <c r="G14" s="143"/>
      <c r="BA14" s="256"/>
      <c r="BB14" s="256"/>
      <c r="BC14" s="256"/>
      <c r="BD14" s="256"/>
      <c r="BE14" s="256"/>
      <c r="BF14" s="256"/>
      <c r="BG14" s="256"/>
      <c r="BH14" s="256"/>
      <c r="BI14" s="242"/>
      <c r="BJ14" s="256"/>
      <c r="BK14" s="256"/>
      <c r="BL14" s="256"/>
      <c r="BM14" s="256"/>
      <c r="BN14" s="256"/>
      <c r="BO14" s="256"/>
      <c r="BP14" s="256"/>
      <c r="BQ14" s="256"/>
      <c r="BS14" s="228"/>
      <c r="BT14" s="257"/>
      <c r="BU14" s="257"/>
      <c r="BV14" s="258"/>
      <c r="BW14" s="259"/>
      <c r="BY14" s="158"/>
      <c r="BZ14" s="228"/>
    </row>
    <row r="15" spans="1:83">
      <c r="A15" s="141"/>
      <c r="B15" s="145"/>
      <c r="C15" s="143"/>
      <c r="D15" s="143"/>
      <c r="E15" s="143"/>
      <c r="F15" s="143"/>
      <c r="G15" s="143"/>
      <c r="BA15" s="256"/>
      <c r="BB15" s="256"/>
      <c r="BC15" s="256"/>
      <c r="BD15" s="256"/>
      <c r="BE15" s="256"/>
      <c r="BF15" s="256"/>
      <c r="BG15" s="256"/>
      <c r="BH15" s="256"/>
      <c r="BI15" s="242"/>
      <c r="BJ15" s="256"/>
      <c r="BK15" s="256"/>
      <c r="BL15" s="256"/>
      <c r="BM15" s="256"/>
      <c r="BN15" s="256"/>
      <c r="BO15" s="256"/>
      <c r="BP15" s="256"/>
      <c r="BQ15" s="256"/>
      <c r="BS15" s="228"/>
      <c r="BT15" s="257"/>
      <c r="BU15" s="257"/>
      <c r="BV15" s="258"/>
      <c r="BW15" s="259"/>
      <c r="BY15" s="158"/>
      <c r="BZ15" s="228"/>
    </row>
    <row r="16" spans="1:83">
      <c r="A16" s="141"/>
      <c r="B16" s="145"/>
      <c r="C16" s="143"/>
      <c r="D16" s="143"/>
      <c r="E16" s="143"/>
      <c r="F16" s="143"/>
      <c r="G16" s="143"/>
      <c r="BA16" s="256"/>
      <c r="BB16" s="256"/>
      <c r="BC16" s="256"/>
      <c r="BD16" s="256"/>
      <c r="BE16" s="256"/>
      <c r="BF16" s="256"/>
      <c r="BG16" s="256"/>
      <c r="BH16" s="256"/>
      <c r="BI16" s="242"/>
      <c r="BJ16" s="256"/>
      <c r="BK16" s="256"/>
      <c r="BL16" s="256"/>
      <c r="BM16" s="256"/>
      <c r="BN16" s="256"/>
      <c r="BO16" s="256"/>
      <c r="BP16" s="256"/>
      <c r="BQ16" s="256"/>
      <c r="BS16" s="228"/>
      <c r="BT16" s="257"/>
      <c r="BU16" s="257"/>
      <c r="BV16" s="258"/>
      <c r="BW16" s="259"/>
      <c r="BY16" s="158"/>
      <c r="BZ16" s="228"/>
    </row>
    <row r="17" spans="1:83">
      <c r="A17" s="141"/>
      <c r="B17" s="145"/>
      <c r="C17" s="143"/>
      <c r="D17" s="143"/>
      <c r="E17" s="143"/>
      <c r="F17" s="143"/>
      <c r="G17" s="143"/>
      <c r="BA17" s="256"/>
      <c r="BB17" s="256"/>
      <c r="BC17" s="256"/>
      <c r="BD17" s="256"/>
      <c r="BE17" s="256"/>
      <c r="BF17" s="256"/>
      <c r="BG17" s="256"/>
      <c r="BH17" s="256"/>
      <c r="BI17" s="242"/>
      <c r="BJ17" s="256"/>
      <c r="BK17" s="256"/>
      <c r="BL17" s="256"/>
      <c r="BM17" s="256"/>
      <c r="BN17" s="256"/>
      <c r="BO17" s="256"/>
      <c r="BP17" s="256"/>
      <c r="BQ17" s="256"/>
      <c r="BS17" s="228"/>
      <c r="BT17" s="257"/>
      <c r="BU17" s="257"/>
      <c r="BV17" s="258"/>
      <c r="BW17" s="259"/>
      <c r="BY17" s="158"/>
      <c r="BZ17" s="228"/>
    </row>
    <row r="18" spans="1:83">
      <c r="A18" s="141"/>
      <c r="B18" s="145"/>
      <c r="C18" s="143"/>
      <c r="D18" s="143"/>
      <c r="E18" s="143"/>
      <c r="F18" s="143"/>
      <c r="G18" s="143"/>
      <c r="BA18" s="256"/>
      <c r="BB18" s="256"/>
      <c r="BC18" s="256"/>
      <c r="BD18" s="256"/>
      <c r="BE18" s="256"/>
      <c r="BF18" s="256"/>
      <c r="BG18" s="256"/>
      <c r="BH18" s="256"/>
      <c r="BI18" s="242"/>
      <c r="BJ18" s="256"/>
      <c r="BK18" s="256"/>
      <c r="BL18" s="256"/>
      <c r="BM18" s="256"/>
      <c r="BN18" s="256"/>
      <c r="BO18" s="256"/>
      <c r="BP18" s="256"/>
      <c r="BQ18" s="256"/>
      <c r="BS18" s="228"/>
      <c r="BT18" s="257"/>
      <c r="BU18" s="257"/>
      <c r="BV18" s="258"/>
      <c r="BW18" s="259"/>
      <c r="BY18" s="158"/>
      <c r="BZ18" s="228"/>
    </row>
    <row r="19" spans="1:83">
      <c r="A19" s="141"/>
      <c r="B19" s="145"/>
      <c r="C19" s="143"/>
      <c r="D19" s="143"/>
      <c r="E19" s="143"/>
      <c r="F19" s="143"/>
      <c r="G19" s="143"/>
      <c r="BA19" s="256"/>
      <c r="BB19" s="256"/>
      <c r="BC19" s="256"/>
      <c r="BD19" s="256"/>
      <c r="BE19" s="256"/>
      <c r="BF19" s="256"/>
      <c r="BG19" s="256"/>
      <c r="BH19" s="256"/>
      <c r="BI19" s="242"/>
      <c r="BJ19" s="256"/>
      <c r="BK19" s="256"/>
      <c r="BL19" s="256"/>
      <c r="BM19" s="256"/>
      <c r="BN19" s="256"/>
      <c r="BO19" s="256"/>
      <c r="BP19" s="256"/>
      <c r="BQ19" s="256"/>
      <c r="BS19" s="228"/>
      <c r="BT19" s="257"/>
      <c r="BU19" s="257"/>
      <c r="BV19" s="258"/>
      <c r="BW19" s="259"/>
      <c r="BY19" s="158"/>
      <c r="BZ19" s="228"/>
    </row>
    <row r="20" spans="1:83">
      <c r="A20" s="141"/>
      <c r="B20" s="145"/>
      <c r="C20" s="143"/>
      <c r="D20" s="143"/>
      <c r="E20" s="143"/>
      <c r="F20" s="143"/>
      <c r="G20" s="143"/>
      <c r="BA20" s="256"/>
      <c r="BB20" s="256"/>
      <c r="BC20" s="256"/>
      <c r="BD20" s="256"/>
      <c r="BE20" s="256"/>
      <c r="BF20" s="256"/>
      <c r="BG20" s="256"/>
      <c r="BH20" s="256"/>
      <c r="BI20" s="242"/>
      <c r="BJ20" s="256"/>
      <c r="BK20" s="256"/>
      <c r="BL20" s="256"/>
      <c r="BM20" s="256"/>
      <c r="BN20" s="256"/>
      <c r="BO20" s="256"/>
      <c r="BP20" s="256"/>
      <c r="BQ20" s="256"/>
      <c r="BS20" s="228"/>
      <c r="BT20" s="257"/>
      <c r="BU20" s="257"/>
      <c r="BV20" s="258"/>
      <c r="BW20" s="259"/>
      <c r="BY20" s="158"/>
      <c r="BZ20" s="228"/>
    </row>
    <row r="21" spans="1:83">
      <c r="A21" s="141"/>
      <c r="B21" s="145"/>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spans="1:83">
      <c r="A22" s="141"/>
      <c r="B22" s="145"/>
      <c r="C22" s="143"/>
      <c r="D22" s="143"/>
      <c r="E22" s="143"/>
      <c r="F22" s="143"/>
      <c r="G22" s="143"/>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spans="1:83">
      <c r="A23" s="141"/>
      <c r="B23" s="145"/>
      <c r="C23" s="143"/>
      <c r="D23" s="143"/>
      <c r="E23" s="143"/>
      <c r="F23" s="143"/>
      <c r="G23" s="143"/>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spans="1:83">
      <c r="A24" s="141"/>
      <c r="B24" s="145"/>
      <c r="C24" s="143"/>
      <c r="D24" s="143"/>
      <c r="E24" s="143"/>
      <c r="F24" s="143"/>
      <c r="G24" s="143"/>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spans="1:83">
      <c r="A25" s="141"/>
      <c r="B25" s="145"/>
      <c r="C25" s="143"/>
      <c r="D25" s="143"/>
      <c r="E25" s="143"/>
      <c r="F25" s="143"/>
      <c r="G25" s="143"/>
      <c r="BA25" s="256"/>
      <c r="BB25" s="256"/>
      <c r="BC25" s="256"/>
      <c r="BD25" s="256"/>
      <c r="BE25" s="256"/>
      <c r="BF25" s="256"/>
      <c r="BG25" s="256"/>
      <c r="BH25" s="256"/>
      <c r="BI25" s="242"/>
      <c r="BJ25" s="256"/>
      <c r="BK25" s="256"/>
      <c r="BL25" s="256"/>
      <c r="BM25" s="256"/>
      <c r="BN25" s="256"/>
      <c r="BO25" s="256"/>
      <c r="BP25" s="256"/>
      <c r="BQ25" s="256"/>
      <c r="BS25" s="228"/>
      <c r="BT25" s="257"/>
      <c r="BU25" s="257"/>
      <c r="BV25" s="258"/>
      <c r="BW25" s="259"/>
      <c r="BY25" s="158"/>
      <c r="BZ25" s="228"/>
    </row>
    <row r="26" spans="1:83">
      <c r="A26" s="141"/>
      <c r="B26" s="145"/>
      <c r="C26" s="143"/>
      <c r="D26" s="143"/>
      <c r="E26" s="143"/>
      <c r="F26" s="143"/>
      <c r="G26" s="143"/>
      <c r="BA26" s="256"/>
      <c r="BB26" s="256"/>
      <c r="BC26" s="256"/>
      <c r="BD26" s="256"/>
      <c r="BE26" s="256"/>
      <c r="BF26" s="256"/>
      <c r="BG26" s="256"/>
      <c r="BH26" s="256"/>
      <c r="BI26" s="242"/>
      <c r="BJ26" s="256"/>
      <c r="BK26" s="256"/>
      <c r="BL26" s="256"/>
      <c r="BM26" s="256"/>
      <c r="BN26" s="256"/>
      <c r="BO26" s="256"/>
      <c r="BP26" s="256"/>
      <c r="BQ26" s="256"/>
      <c r="BS26" s="228"/>
      <c r="BT26" s="257"/>
      <c r="BU26" s="257"/>
      <c r="BV26" s="258"/>
      <c r="BW26" s="259"/>
      <c r="BY26" s="158"/>
      <c r="BZ26" s="228"/>
    </row>
    <row r="27" spans="1:83">
      <c r="A27" s="141"/>
      <c r="B27" s="145"/>
      <c r="C27" s="143"/>
      <c r="D27" s="143"/>
      <c r="E27" s="143"/>
      <c r="F27" s="143"/>
      <c r="G27" s="143"/>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spans="1:83">
      <c r="A28" s="341" t="str">
        <f>流动负总!A14</f>
        <v>5-8</v>
      </c>
      <c r="B28" s="342" t="s">
        <v>5202</v>
      </c>
      <c r="C28" s="264">
        <f>SUM(C7:C27)</f>
        <v>0</v>
      </c>
      <c r="D28" s="264">
        <f t="shared" ref="D28:F28" si="9">SUM(D7:D27)</f>
        <v>0</v>
      </c>
      <c r="E28" s="264">
        <f t="shared" si="9"/>
        <v>0</v>
      </c>
      <c r="F28" s="264">
        <f t="shared" si="9"/>
        <v>0</v>
      </c>
      <c r="G28" s="343" t="str">
        <f>IF(D28=0,"",F28/D28*100)</f>
        <v/>
      </c>
      <c r="BA28" s="266">
        <f t="shared" ref="BA28:BH28" si="10">SUM(BA7:BA27)</f>
        <v>0</v>
      </c>
      <c r="BB28" s="266">
        <f t="shared" si="10"/>
        <v>0</v>
      </c>
      <c r="BC28" s="266">
        <f t="shared" si="10"/>
        <v>0</v>
      </c>
      <c r="BD28" s="266">
        <f t="shared" si="10"/>
        <v>0</v>
      </c>
      <c r="BE28" s="266">
        <f t="shared" si="10"/>
        <v>0</v>
      </c>
      <c r="BF28" s="266">
        <f t="shared" si="10"/>
        <v>0</v>
      </c>
      <c r="BG28" s="266">
        <f t="shared" si="10"/>
        <v>0</v>
      </c>
      <c r="BH28" s="266">
        <f t="shared" si="10"/>
        <v>0</v>
      </c>
      <c r="BI28" s="267"/>
      <c r="BJ28" s="266">
        <f t="shared" ref="BJ28:BQ28" si="11">SUM(BJ7:BJ27)</f>
        <v>0</v>
      </c>
      <c r="BK28" s="266">
        <f t="shared" si="11"/>
        <v>0</v>
      </c>
      <c r="BL28" s="266">
        <f t="shared" si="11"/>
        <v>0</v>
      </c>
      <c r="BM28" s="266">
        <f t="shared" si="11"/>
        <v>0</v>
      </c>
      <c r="BN28" s="266">
        <f t="shared" si="11"/>
        <v>0</v>
      </c>
      <c r="BO28" s="266">
        <f t="shared" si="11"/>
        <v>0</v>
      </c>
      <c r="BP28" s="266">
        <f t="shared" si="11"/>
        <v>0</v>
      </c>
      <c r="BQ28" s="266">
        <f t="shared" si="11"/>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spans="1:83">
      <c r="A29" s="75" t="str">
        <f>参数表!F$6</f>
        <v>产权持有单位填表人：贾广东</v>
      </c>
      <c r="B29" s="158"/>
      <c r="C29" s="158"/>
      <c r="D29" s="158"/>
      <c r="E29" s="344" t="str">
        <f>流动负总!E29</f>
        <v>评估人员：</v>
      </c>
      <c r="F29" s="158"/>
      <c r="G29" s="277"/>
    </row>
    <row r="30" spans="1:83">
      <c r="A30" s="75" t="str">
        <f>参数表!F$7</f>
        <v>填表日期：2025年9月20日</v>
      </c>
      <c r="B30" s="158"/>
      <c r="C30" s="158"/>
      <c r="D30" s="158"/>
      <c r="E30" s="158"/>
      <c r="F30" s="158"/>
    </row>
    <row r="31" spans="1:83">
      <c r="A31" s="158"/>
      <c r="B31" s="158"/>
      <c r="C31" s="158"/>
      <c r="D31" s="158"/>
      <c r="E31" s="158"/>
      <c r="F31" s="158"/>
    </row>
    <row r="32" spans="1:83">
      <c r="A32" s="158"/>
      <c r="B32" s="158"/>
      <c r="C32" s="158"/>
      <c r="D32" s="158"/>
      <c r="E32" s="158"/>
      <c r="F32" s="158"/>
    </row>
    <row r="33" spans="1:6">
      <c r="A33" s="158"/>
      <c r="B33" s="158"/>
      <c r="C33" s="158"/>
      <c r="D33" s="158"/>
      <c r="E33" s="158"/>
      <c r="F33" s="158"/>
    </row>
    <row r="34" spans="1:6">
      <c r="A34" s="158"/>
      <c r="B34" s="158"/>
      <c r="C34" s="158"/>
      <c r="D34" s="158"/>
      <c r="E34" s="158"/>
      <c r="F34" s="158"/>
    </row>
    <row r="35" spans="1:6">
      <c r="A35" s="158"/>
      <c r="B35" s="158"/>
      <c r="C35" s="158"/>
      <c r="D35" s="158"/>
      <c r="E35" s="158"/>
      <c r="F35" s="158"/>
    </row>
    <row r="36" spans="1:6">
      <c r="A36" s="158"/>
      <c r="B36" s="158"/>
      <c r="C36" s="158"/>
      <c r="D36" s="158"/>
      <c r="E36" s="158"/>
      <c r="F36" s="158"/>
    </row>
    <row r="37" spans="1:6">
      <c r="A37" s="158"/>
      <c r="B37" s="158"/>
      <c r="C37" s="158"/>
      <c r="D37" s="158"/>
      <c r="E37" s="158"/>
      <c r="F37" s="158"/>
    </row>
    <row r="38" spans="1:6">
      <c r="A38" s="158"/>
      <c r="B38" s="158"/>
      <c r="C38" s="158"/>
      <c r="D38" s="158"/>
      <c r="E38" s="158"/>
      <c r="F38" s="158"/>
    </row>
    <row r="39" spans="1:6">
      <c r="A39" s="158"/>
      <c r="B39" s="158"/>
      <c r="C39" s="158"/>
      <c r="D39" s="158"/>
      <c r="E39" s="158"/>
      <c r="F39" s="158"/>
    </row>
    <row r="40" spans="1:6">
      <c r="A40" s="158"/>
      <c r="B40" s="158"/>
      <c r="C40" s="158"/>
      <c r="D40" s="158"/>
      <c r="E40" s="158"/>
      <c r="F40" s="158"/>
    </row>
  </sheetData>
  <mergeCells count="8">
    <mergeCell ref="A2:G2"/>
    <mergeCell ref="A3:G3"/>
    <mergeCell ref="BA4:BH4"/>
    <mergeCell ref="BJ4:BQ4"/>
    <mergeCell ref="BA5:BD5"/>
    <mergeCell ref="BE5:BH5"/>
    <mergeCell ref="BJ5:BM5"/>
    <mergeCell ref="BN5:BQ5"/>
  </mergeCells>
  <conditionalFormatting sqref="C7:G8">
    <cfRule type="expression" dxfId="3" priority="1">
      <formula>$D7+$E7=0</formula>
    </cfRule>
  </conditionalFormatting>
  <conditionalFormatting sqref="D9:G27">
    <cfRule type="expression" dxfId="3" priority="3">
      <formula>$D9+$E9=0</formula>
    </cfRule>
  </conditionalFormatting>
  <hyperlinks>
    <hyperlink ref="A1" location="索引目录!D9" display="返回索引页"/>
    <hyperlink ref="B1" location="流动资产汇总表!B8" display="返回"/>
  </hyperlinks>
  <printOptions horizontalCentered="1"/>
  <pageMargins left="0.708661417322835" right="0.708661417322835" top="0.748031496062992" bottom="0.748031496062992" header="0.31496062992126" footer="0.31496062992126"/>
  <pageSetup paperSize="9" orientation="landscape" blackAndWhite="1"/>
  <headerFooter/>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dimension ref="A1:BY33"/>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3.2"/>
  <cols>
    <col min="1" max="1" width="5" style="290" customWidth="1"/>
    <col min="2" max="3" width="10.7" style="229" customWidth="1"/>
    <col min="4" max="4" width="11" style="229" customWidth="1" outlineLevel="1"/>
    <col min="5" max="6" width="10.7" style="229" customWidth="1" outlineLevel="1"/>
    <col min="7" max="8" width="6.7" style="229" customWidth="1"/>
    <col min="9" max="9" width="7.7" style="229" customWidth="1"/>
    <col min="10" max="10" width="8.6" style="229" customWidth="1" outlineLevel="1"/>
    <col min="11" max="23" width="7" style="229" customWidth="1" outlineLevel="1"/>
    <col min="24" max="25" width="4.6" style="229" customWidth="1" outlineLevel="1"/>
    <col min="26" max="26" width="6.1" style="229" customWidth="1" outlineLevel="1"/>
    <col min="27" max="27" width="10.6" style="229" customWidth="1" outlineLevel="1"/>
    <col min="28" max="28" width="15.7" style="229" customWidth="1" outlineLevel="1"/>
    <col min="29" max="30" width="10.7" style="229" customWidth="1"/>
    <col min="31" max="31" width="6" style="229" customWidth="1"/>
    <col min="32" max="32" width="9" style="229"/>
    <col min="33" max="52" width="9" style="229" hidden="1" customWidth="1" outlineLevel="1"/>
    <col min="53" max="53" width="14.7" style="229" customWidth="1" collapsed="1"/>
    <col min="54" max="54" width="6.7" style="75" customWidth="1"/>
    <col min="55" max="56" width="5.1" style="75" customWidth="1"/>
    <col min="57" max="57" width="8.7" style="75" customWidth="1"/>
    <col min="58" max="59" width="9.8" style="75" customWidth="1"/>
    <col min="60" max="60" width="4.7" style="165" customWidth="1"/>
    <col min="61" max="61" width="11.5" style="75" customWidth="1"/>
    <col min="62" max="63" width="4.7" style="165" customWidth="1"/>
    <col min="64" max="65" width="4.7" style="254" customWidth="1"/>
    <col min="66" max="66" width="6.7" style="254" customWidth="1"/>
    <col min="67" max="67" width="10.3" style="229" customWidth="1"/>
    <col min="68" max="68" width="8.7" style="229"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229"/>
  </cols>
  <sheetData>
    <row r="1" ht="15.75" customHeight="1" spans="1:77">
      <c r="A1" s="291" t="s">
        <v>233</v>
      </c>
      <c r="B1" s="292" t="s">
        <v>1541</v>
      </c>
      <c r="BA1" s="84" t="str">
        <f>参数表!BA1</f>
        <v>注意：补充特殊事项、作价等均从BA列开始填写</v>
      </c>
      <c r="BB1" s="85"/>
      <c r="BC1" s="86"/>
      <c r="BD1" s="86"/>
      <c r="BE1" s="86"/>
      <c r="BF1" s="86"/>
      <c r="BG1" s="86"/>
      <c r="BH1" s="82"/>
      <c r="BI1" s="86"/>
      <c r="BJ1" s="82"/>
      <c r="BK1" s="82"/>
      <c r="BQ1" s="87"/>
      <c r="BR1" s="88"/>
      <c r="BS1" s="87"/>
      <c r="BT1" s="88"/>
      <c r="BU1" s="88"/>
      <c r="BV1" s="88"/>
      <c r="BW1" s="88"/>
      <c r="BX1" s="88"/>
      <c r="BY1" s="87"/>
    </row>
    <row r="2" s="237" customFormat="1" ht="30" customHeight="1" spans="1:77">
      <c r="A2" s="293" t="s">
        <v>5203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BA2" s="90" t="str">
        <f>参数表!BA2</f>
        <v>评估基准日：</v>
      </c>
      <c r="BB2" s="91" t="str">
        <f>参数表!$BB$2</f>
        <v>2025年7月31日</v>
      </c>
      <c r="BC2" s="71"/>
      <c r="BD2" s="71"/>
      <c r="BE2" s="71"/>
      <c r="BF2" s="71"/>
      <c r="BG2" s="71"/>
      <c r="BH2" s="171"/>
      <c r="BI2" s="71"/>
      <c r="BJ2" s="171"/>
      <c r="BK2" s="171"/>
      <c r="BL2" s="295"/>
      <c r="BM2" s="295"/>
      <c r="BN2" s="295"/>
      <c r="BQ2" s="92"/>
      <c r="BR2" s="93"/>
      <c r="BS2" s="92"/>
      <c r="BT2" s="93"/>
      <c r="BU2" s="93"/>
      <c r="BV2" s="93"/>
      <c r="BW2" s="93"/>
      <c r="BX2" s="93"/>
      <c r="BY2" s="92"/>
    </row>
    <row r="3" ht="14.1" customHeight="1" spans="1:77">
      <c r="A3" s="296" t="str">
        <f>参数表!F5</f>
        <v>评估基准日：2025年7月31日</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162"/>
      <c r="AB3" s="162"/>
      <c r="AC3" s="162"/>
      <c r="AD3" s="162"/>
      <c r="AE3" s="162"/>
      <c r="AF3" s="162"/>
      <c r="BA3" s="90" t="str">
        <f>参数表!BA3</f>
        <v>是否显示评估值：</v>
      </c>
      <c r="BB3" s="90" t="str">
        <f>参数表!$BB$3</f>
        <v>是</v>
      </c>
      <c r="BQ3" s="92"/>
      <c r="BR3" s="93"/>
      <c r="BS3" s="92"/>
      <c r="BT3" s="93"/>
      <c r="BU3" s="93"/>
      <c r="BV3" s="93"/>
      <c r="BW3" s="93"/>
      <c r="BX3" s="93"/>
      <c r="BY3" s="92"/>
    </row>
    <row r="4" ht="14.1" customHeight="1" spans="1:77">
      <c r="A4" s="297"/>
      <c r="B4" s="296"/>
      <c r="C4" s="296"/>
      <c r="D4" s="296"/>
      <c r="E4" s="296"/>
      <c r="F4" s="296"/>
      <c r="G4" s="296"/>
      <c r="H4" s="296"/>
      <c r="I4" s="296"/>
      <c r="J4" s="296"/>
      <c r="K4" s="296"/>
      <c r="L4" s="296"/>
      <c r="M4" s="296"/>
      <c r="N4" s="296"/>
      <c r="O4" s="296"/>
      <c r="P4" s="296"/>
      <c r="Q4" s="296"/>
      <c r="R4" s="296"/>
      <c r="S4" s="296"/>
      <c r="T4" s="296"/>
      <c r="U4" s="296"/>
      <c r="V4" s="296"/>
      <c r="W4" s="296"/>
      <c r="X4" s="296"/>
      <c r="Y4" s="296"/>
      <c r="Z4" s="296"/>
      <c r="AA4" s="162"/>
      <c r="AB4" s="162"/>
      <c r="AC4" s="162"/>
      <c r="AD4" s="162"/>
      <c r="AE4" s="162"/>
      <c r="AF4" s="98" t="str">
        <f>"表"&amp;$BA4</f>
        <v>表5-8-1</v>
      </c>
      <c r="BA4" s="298" t="str">
        <f>合同负总!A7</f>
        <v>5-8-1</v>
      </c>
      <c r="BB4" s="100">
        <f>MAX(COUNTA(A8:A27),COUNTA(B8:B27),COUNTA(AA8:AA27),COUNTA(AC8:AC27))</f>
        <v>20</v>
      </c>
      <c r="BC4" s="101">
        <f>ROW(A7)+1</f>
        <v>8</v>
      </c>
      <c r="BD4" s="77"/>
      <c r="BE4" s="77"/>
      <c r="BS4" s="78"/>
    </row>
    <row r="5" ht="15.75" customHeight="1" spans="1:77">
      <c r="A5" s="299" t="str">
        <f>参数表!F3</f>
        <v>产权持有单位:中煤第五建设有限公司</v>
      </c>
      <c r="B5" s="107"/>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300" t="s">
        <v>236</v>
      </c>
      <c r="BA5" s="107"/>
      <c r="BB5" s="105" t="str">
        <f ca="1">判断表!C106</f>
        <v>中煤第五建设有限公司第三工程处拟处置实物资产项目\[0000-3基础法明细表.xlsx]合同负-未完施工</v>
      </c>
      <c r="BC5" s="106">
        <f>IFERROR(SUMIF(BC8:BC27,"√",AC8:AC27)/AC28,0)</f>
        <v>0</v>
      </c>
      <c r="BD5" s="107"/>
      <c r="BE5" s="107"/>
      <c r="BF5" s="108">
        <f>分类汇总!$I52</f>
        <v>0</v>
      </c>
      <c r="BG5" s="108">
        <f>分类汇总!$K52</f>
        <v>0</v>
      </c>
      <c r="BH5" s="109"/>
      <c r="BI5" s="109"/>
      <c r="BJ5" s="109"/>
      <c r="BK5" s="109"/>
      <c r="BL5" s="109"/>
      <c r="BM5" s="109"/>
      <c r="BN5" s="109"/>
      <c r="BO5" s="110"/>
      <c r="BP5" s="110"/>
      <c r="BS5" s="78"/>
    </row>
    <row r="6" s="287" customFormat="1" ht="15.75" customHeight="1" spans="1:77">
      <c r="A6" s="301" t="s">
        <v>305</v>
      </c>
      <c r="B6" s="302" t="s">
        <v>3219</v>
      </c>
      <c r="C6" s="303" t="s">
        <v>3220</v>
      </c>
      <c r="D6" s="304" t="s">
        <v>3221</v>
      </c>
      <c r="E6" s="304" t="s">
        <v>3222</v>
      </c>
      <c r="F6" s="304" t="s">
        <v>3223</v>
      </c>
      <c r="G6" s="305" t="s">
        <v>3224</v>
      </c>
      <c r="H6" s="305" t="s">
        <v>3225</v>
      </c>
      <c r="I6" s="302" t="s">
        <v>3226</v>
      </c>
      <c r="J6" s="306" t="s">
        <v>3227</v>
      </c>
      <c r="K6" s="307" t="s">
        <v>3228</v>
      </c>
      <c r="L6" s="308"/>
      <c r="M6" s="308"/>
      <c r="N6" s="308"/>
      <c r="O6" s="308"/>
      <c r="P6" s="308"/>
      <c r="Q6" s="309" t="s">
        <v>3276</v>
      </c>
      <c r="R6" s="309" t="s">
        <v>3230</v>
      </c>
      <c r="S6" s="302" t="s">
        <v>3231</v>
      </c>
      <c r="T6" s="302" t="s">
        <v>3232</v>
      </c>
      <c r="U6" s="302" t="s">
        <v>3233</v>
      </c>
      <c r="V6" s="302" t="s">
        <v>3234</v>
      </c>
      <c r="W6" s="309" t="s">
        <v>3235</v>
      </c>
      <c r="X6" s="310" t="s">
        <v>1964</v>
      </c>
      <c r="Y6" s="311"/>
      <c r="Z6" s="312"/>
      <c r="AA6" s="115" t="s">
        <v>1549</v>
      </c>
      <c r="AB6" s="313" t="s">
        <v>1634</v>
      </c>
      <c r="AC6" s="114" t="s">
        <v>1523</v>
      </c>
      <c r="AD6" s="114" t="s">
        <v>1550</v>
      </c>
      <c r="AE6" s="115" t="s">
        <v>1551</v>
      </c>
      <c r="AF6" s="114" t="s">
        <v>308</v>
      </c>
      <c r="BA6" s="100"/>
      <c r="BB6" s="100"/>
      <c r="BC6" s="100"/>
      <c r="BD6" s="100"/>
      <c r="BE6" s="100"/>
      <c r="BF6" s="192" t="s">
        <v>1639</v>
      </c>
      <c r="BG6" s="192" t="s">
        <v>1640</v>
      </c>
      <c r="BH6" s="193" t="s">
        <v>1748</v>
      </c>
      <c r="BI6" s="193" t="s">
        <v>4217</v>
      </c>
      <c r="BJ6" s="193" t="s">
        <v>1712</v>
      </c>
      <c r="BK6" s="193" t="s">
        <v>3696</v>
      </c>
      <c r="BL6" s="193" t="s">
        <v>4355</v>
      </c>
      <c r="BM6" s="193" t="s">
        <v>1686</v>
      </c>
      <c r="BN6" s="193" t="s">
        <v>1687</v>
      </c>
      <c r="BO6" s="193" t="s">
        <v>2063</v>
      </c>
      <c r="BP6" s="193" t="s">
        <v>1644</v>
      </c>
      <c r="BQ6" s="111"/>
      <c r="BR6" s="78"/>
      <c r="BS6" s="78"/>
      <c r="BT6" s="78"/>
      <c r="BU6" s="78"/>
      <c r="BV6" s="78"/>
      <c r="BW6" s="78"/>
      <c r="BX6" s="194"/>
      <c r="BY6" s="111"/>
    </row>
    <row r="7" s="271" customFormat="1" ht="15.75" customHeight="1" spans="1:77">
      <c r="A7" s="301"/>
      <c r="B7" s="302"/>
      <c r="C7" s="303"/>
      <c r="D7" s="304"/>
      <c r="E7" s="304"/>
      <c r="F7" s="304"/>
      <c r="G7" s="305"/>
      <c r="H7" s="305"/>
      <c r="I7" s="302"/>
      <c r="J7" s="314"/>
      <c r="K7" s="308" t="s">
        <v>3242</v>
      </c>
      <c r="L7" s="308" t="s">
        <v>3243</v>
      </c>
      <c r="M7" s="308" t="s">
        <v>3244</v>
      </c>
      <c r="N7" s="308" t="s">
        <v>3245</v>
      </c>
      <c r="O7" s="308" t="s">
        <v>3246</v>
      </c>
      <c r="P7" s="308" t="s">
        <v>3247</v>
      </c>
      <c r="Q7" s="309"/>
      <c r="R7" s="309"/>
      <c r="S7" s="302"/>
      <c r="T7" s="302"/>
      <c r="U7" s="302"/>
      <c r="V7" s="302"/>
      <c r="W7" s="309"/>
      <c r="X7" s="114" t="s">
        <v>1631</v>
      </c>
      <c r="Y7" s="115" t="s">
        <v>1632</v>
      </c>
      <c r="Z7" s="116" t="s">
        <v>1002</v>
      </c>
      <c r="AA7" s="115"/>
      <c r="AB7" s="313"/>
      <c r="AC7" s="114"/>
      <c r="AD7" s="114"/>
      <c r="AE7" s="115"/>
      <c r="AF7" s="114"/>
      <c r="BA7" s="100" t="s">
        <v>1545</v>
      </c>
      <c r="BB7" s="100" t="s">
        <v>1635</v>
      </c>
      <c r="BC7" s="100" t="s">
        <v>1636</v>
      </c>
      <c r="BD7" s="100" t="s">
        <v>1637</v>
      </c>
      <c r="BE7" s="100" t="s">
        <v>1638</v>
      </c>
      <c r="BF7" s="197"/>
      <c r="BG7" s="197"/>
      <c r="BH7" s="198"/>
      <c r="BI7" s="198"/>
      <c r="BJ7" s="198"/>
      <c r="BK7" s="198"/>
      <c r="BL7" s="198"/>
      <c r="BM7" s="198"/>
      <c r="BN7" s="198"/>
      <c r="BO7" s="198"/>
      <c r="BP7" s="198"/>
      <c r="BQ7" s="119"/>
      <c r="BR7" s="120" t="s">
        <v>1645</v>
      </c>
      <c r="BS7" s="121" t="s">
        <v>1646</v>
      </c>
      <c r="BT7" s="121" t="s">
        <v>1647</v>
      </c>
      <c r="BU7" s="121" t="s">
        <v>1648</v>
      </c>
      <c r="BV7" s="121" t="s">
        <v>1647</v>
      </c>
      <c r="BW7" s="121" t="s">
        <v>1647</v>
      </c>
      <c r="BX7" s="121" t="s">
        <v>1649</v>
      </c>
      <c r="BY7" s="122" t="s">
        <v>1650</v>
      </c>
    </row>
    <row r="8" s="288" customFormat="1" ht="15.75" customHeight="1" spans="1:77">
      <c r="A8" s="123" t="str">
        <f>IF(B8="","",COUNT(A$6:A6)+1)</f>
        <v/>
      </c>
      <c r="B8" s="315" t="s">
        <v>347</v>
      </c>
      <c r="C8" s="316" t="s">
        <v>347</v>
      </c>
      <c r="D8" s="317" t="s">
        <v>347</v>
      </c>
      <c r="E8" s="318" t="s">
        <v>347</v>
      </c>
      <c r="F8" s="318" t="s">
        <v>347</v>
      </c>
      <c r="G8" s="319"/>
      <c r="H8" s="319"/>
      <c r="I8" s="318"/>
      <c r="J8" s="318"/>
      <c r="K8" s="320"/>
      <c r="L8" s="320"/>
      <c r="M8" s="320"/>
      <c r="N8" s="320"/>
      <c r="O8" s="320"/>
      <c r="P8" s="320" t="str">
        <f>IF(B8="","",SUM(K8:O8))</f>
        <v/>
      </c>
      <c r="Q8" s="320"/>
      <c r="R8" s="320"/>
      <c r="S8" s="320"/>
      <c r="T8" s="320"/>
      <c r="U8" s="320"/>
      <c r="V8" s="320"/>
      <c r="W8" s="320"/>
      <c r="X8" s="127"/>
      <c r="Y8" s="127" t="str">
        <f>IFERROR(VLOOKUP(X8,参数表!$H$2:$I$50,2,FALSE),"")</f>
        <v/>
      </c>
      <c r="Z8" s="128" t="str">
        <f>IFERROR(IF(OR(X8="人民币",X8=""),"",AC8/Y8),"")</f>
        <v/>
      </c>
      <c r="AA8" s="320" t="str">
        <f>IFERROR(Q8-P8,IF(AB8="","",0))</f>
        <v/>
      </c>
      <c r="AB8" s="320"/>
      <c r="AC8" s="320" t="str">
        <f>IFERROR(AA8+AB8,"")</f>
        <v/>
      </c>
      <c r="AD8" s="320" t="str">
        <f t="shared" ref="AD8:AD27" si="0">IF(B8="","",IF(BB$3="是",AC8,""))</f>
        <v/>
      </c>
      <c r="AE8" s="320" t="str">
        <f>IFERROR((AD8-AC8)/AC8*100,"")</f>
        <v/>
      </c>
      <c r="AF8" s="321" t="s">
        <v>347</v>
      </c>
      <c r="BA8" s="78"/>
      <c r="BB8" s="132" t="s">
        <v>5204</v>
      </c>
      <c r="BC8" s="133"/>
      <c r="BD8" s="132" t="str">
        <f>IF(OR(B8="",BC8=""),"",COUNTIF(BC$7:BC8,"√"))</f>
        <v/>
      </c>
      <c r="BE8" s="134" t="str">
        <f t="shared" ref="BE8:BE27" si="1">IF(BC8="","",BB8&amp;"︱"&amp;B8&amp;"︱"&amp;TEXT(AA8,"#,##0.00"))</f>
        <v/>
      </c>
      <c r="BF8" s="135" t="str">
        <f>IF($B8="","",IF(BF$5=0,"OK","出错"))</f>
        <v/>
      </c>
      <c r="BG8" s="135" t="str">
        <f>IF($B8="","",IF(BG$5=0,"OK","出错"))</f>
        <v/>
      </c>
      <c r="BH8" s="136"/>
      <c r="BI8" s="137"/>
      <c r="BJ8" s="136"/>
      <c r="BK8" s="136"/>
      <c r="BL8" s="136"/>
      <c r="BM8" s="136"/>
      <c r="BN8" s="136"/>
      <c r="BO8" s="137"/>
      <c r="BP8" s="137"/>
      <c r="BQ8" s="77"/>
      <c r="BR8" s="134" t="str">
        <f>IF(COUNTIF(BR$7:BR7,B8)&gt;0,"",B8)&amp;""</f>
        <v/>
      </c>
      <c r="BS8" s="138">
        <f t="shared" ref="BS8:BS27" si="2">SUMIF(B$8:B$27,BR8,AC$8:AC$27)</f>
        <v>0</v>
      </c>
      <c r="BT8" s="132">
        <f t="shared" ref="BT8" si="3">RANK(BS8,BS$8:BS$27)</f>
        <v>1</v>
      </c>
      <c r="BU8" s="138">
        <f t="shared" ref="BU8:BU27" si="4">SUMIF(B$8:B$27,BR8,AD$8:AD$27)</f>
        <v>0</v>
      </c>
      <c r="BV8" s="132">
        <f>RANK(BU8,BU$8:BU$27)</f>
        <v>1</v>
      </c>
      <c r="BW8" s="138">
        <f>SUM(BS8:BS27)</f>
        <v>0</v>
      </c>
      <c r="BX8" s="138"/>
      <c r="BY8" s="138"/>
    </row>
    <row r="9" s="288" customFormat="1" ht="15.75" customHeight="1" spans="1:77">
      <c r="A9" s="123" t="str">
        <f>IF(B9="","",COUNT(A$6:A7)+1)</f>
        <v/>
      </c>
      <c r="B9" s="322" t="s">
        <v>347</v>
      </c>
      <c r="C9" s="323" t="s">
        <v>347</v>
      </c>
      <c r="D9" s="324" t="s">
        <v>347</v>
      </c>
      <c r="E9" s="325" t="s">
        <v>347</v>
      </c>
      <c r="F9" s="325" t="s">
        <v>347</v>
      </c>
      <c r="G9" s="326"/>
      <c r="H9" s="326"/>
      <c r="I9" s="325"/>
      <c r="J9" s="325"/>
      <c r="K9" s="256"/>
      <c r="L9" s="256"/>
      <c r="M9" s="256"/>
      <c r="N9" s="256"/>
      <c r="O9" s="256"/>
      <c r="P9" s="320" t="str">
        <f t="shared" ref="P9:P27" si="5">IF(B9="","",SUM(K9:O9))</f>
        <v/>
      </c>
      <c r="Q9" s="256"/>
      <c r="R9" s="256"/>
      <c r="S9" s="256"/>
      <c r="T9" s="256"/>
      <c r="U9" s="256"/>
      <c r="V9" s="256"/>
      <c r="W9" s="256"/>
      <c r="X9" s="142"/>
      <c r="Y9" s="127" t="str">
        <f>IFERROR(VLOOKUP(X9,参数表!$H$2:$I$50,2,FALSE),"")</f>
        <v/>
      </c>
      <c r="Z9" s="128" t="str">
        <f t="shared" ref="Z9:Z27" si="6">IFERROR(IF(OR(X9="人民币",X9=""),"",AC9/Y9),"")</f>
        <v/>
      </c>
      <c r="AA9" s="320" t="str">
        <f t="shared" ref="AA9:AA27" si="7">IFERROR(Q9-P9,IF(AB9="","",0))</f>
        <v/>
      </c>
      <c r="AB9" s="256"/>
      <c r="AC9" s="320" t="str">
        <f t="shared" ref="AC9:AC27" si="8">IFERROR(AA9+AB9,"")</f>
        <v/>
      </c>
      <c r="AD9" s="320" t="str">
        <f t="shared" si="0"/>
        <v/>
      </c>
      <c r="AE9" s="320" t="str">
        <f t="shared" ref="AE9:AE27" si="9">IFERROR((AD9-AC9)/AC9*100,"")</f>
        <v/>
      </c>
      <c r="AF9" s="327" t="s">
        <v>347</v>
      </c>
      <c r="BA9" s="78"/>
      <c r="BB9" s="132" t="s">
        <v>5205</v>
      </c>
      <c r="BC9" s="133"/>
      <c r="BD9" s="132" t="str">
        <f>IF(OR(B9="",BC9=""),"",COUNTIF(BC$7:BC9,"√"))</f>
        <v/>
      </c>
      <c r="BE9" s="134" t="str">
        <f t="shared" si="1"/>
        <v/>
      </c>
      <c r="BF9" s="135" t="str">
        <f t="shared" ref="BF9:BG27" si="10">IF($B9="","",IF(BF$5=0,"OK","出错"))</f>
        <v/>
      </c>
      <c r="BG9" s="135" t="str">
        <f t="shared" si="10"/>
        <v/>
      </c>
      <c r="BH9" s="136"/>
      <c r="BI9" s="137"/>
      <c r="BJ9" s="136"/>
      <c r="BK9" s="136"/>
      <c r="BL9" s="136"/>
      <c r="BM9" s="136"/>
      <c r="BN9" s="136"/>
      <c r="BO9" s="137"/>
      <c r="BP9" s="137"/>
      <c r="BQ9" s="77"/>
      <c r="BR9" s="134" t="str">
        <f>IF(COUNTIF(BR$7:BR8,B9)&gt;0,"",B9)&amp;""</f>
        <v/>
      </c>
      <c r="BS9" s="138">
        <f t="shared" si="2"/>
        <v>0</v>
      </c>
      <c r="BT9" s="132">
        <f t="shared" ref="BT9:BT27" si="11">RANK(BS9,BS$8:BS$27)</f>
        <v>1</v>
      </c>
      <c r="BU9" s="138">
        <f t="shared" si="4"/>
        <v>0</v>
      </c>
      <c r="BV9" s="132">
        <f t="shared" ref="BV9:BV27" si="12">RANK(BU9,BU$8:BU$27)</f>
        <v>1</v>
      </c>
      <c r="BW9" s="138">
        <f>SUM(BU8:BU27)</f>
        <v>0</v>
      </c>
      <c r="BX9" s="138"/>
      <c r="BY9" s="138"/>
    </row>
    <row r="10" s="288" customFormat="1" ht="15.75" customHeight="1" spans="1:77">
      <c r="A10" s="123" t="str">
        <f>IF(B10="","",COUNT(A$6:A8)+1)</f>
        <v/>
      </c>
      <c r="B10" s="322" t="s">
        <v>347</v>
      </c>
      <c r="C10" s="323" t="s">
        <v>347</v>
      </c>
      <c r="D10" s="324" t="s">
        <v>347</v>
      </c>
      <c r="E10" s="325" t="s">
        <v>347</v>
      </c>
      <c r="F10" s="325" t="s">
        <v>347</v>
      </c>
      <c r="G10" s="326"/>
      <c r="H10" s="326"/>
      <c r="I10" s="325"/>
      <c r="J10" s="325"/>
      <c r="K10" s="256"/>
      <c r="L10" s="256"/>
      <c r="M10" s="256"/>
      <c r="N10" s="256"/>
      <c r="O10" s="256"/>
      <c r="P10" s="320" t="str">
        <f t="shared" si="5"/>
        <v/>
      </c>
      <c r="Q10" s="256"/>
      <c r="R10" s="256"/>
      <c r="S10" s="256"/>
      <c r="T10" s="256"/>
      <c r="U10" s="256"/>
      <c r="V10" s="256"/>
      <c r="W10" s="256"/>
      <c r="X10" s="142"/>
      <c r="Y10" s="127" t="str">
        <f>IFERROR(VLOOKUP(X10,参数表!$H$2:$I$50,2,FALSE),"")</f>
        <v/>
      </c>
      <c r="Z10" s="128" t="str">
        <f t="shared" si="6"/>
        <v/>
      </c>
      <c r="AA10" s="320" t="str">
        <f t="shared" si="7"/>
        <v/>
      </c>
      <c r="AB10" s="256"/>
      <c r="AC10" s="320" t="str">
        <f t="shared" si="8"/>
        <v/>
      </c>
      <c r="AD10" s="320" t="str">
        <f t="shared" si="0"/>
        <v/>
      </c>
      <c r="AE10" s="320" t="str">
        <f t="shared" si="9"/>
        <v/>
      </c>
      <c r="AF10" s="327" t="s">
        <v>347</v>
      </c>
      <c r="BA10" s="78"/>
      <c r="BB10" s="132" t="s">
        <v>5206</v>
      </c>
      <c r="BC10" s="133"/>
      <c r="BD10" s="132" t="str">
        <f>IF(OR(B10="",BC10=""),"",COUNTIF(BC$7:BC10,"√"))</f>
        <v/>
      </c>
      <c r="BE10" s="134" t="str">
        <f t="shared" si="1"/>
        <v/>
      </c>
      <c r="BF10" s="135" t="str">
        <f t="shared" si="10"/>
        <v/>
      </c>
      <c r="BG10" s="135" t="str">
        <f t="shared" si="10"/>
        <v/>
      </c>
      <c r="BH10" s="136"/>
      <c r="BI10" s="137"/>
      <c r="BJ10" s="136"/>
      <c r="BK10" s="136"/>
      <c r="BL10" s="136"/>
      <c r="BM10" s="136"/>
      <c r="BN10" s="136"/>
      <c r="BO10" s="137"/>
      <c r="BP10" s="137"/>
      <c r="BQ10" s="77"/>
      <c r="BR10" s="134" t="str">
        <f>IF(COUNTIF(BR$7:BR9,B10)&gt;0,"",B10)&amp;""</f>
        <v/>
      </c>
      <c r="BS10" s="138">
        <f t="shared" si="2"/>
        <v>0</v>
      </c>
      <c r="BT10" s="132">
        <f t="shared" si="11"/>
        <v>1</v>
      </c>
      <c r="BU10" s="138">
        <f t="shared" si="4"/>
        <v>0</v>
      </c>
      <c r="BV10" s="132">
        <f t="shared" si="12"/>
        <v>1</v>
      </c>
      <c r="BW10" s="132">
        <v>1</v>
      </c>
      <c r="BX10" s="134" t="str">
        <f>IFERROR(INDEX(BR$8:BR$27,MATCH(BW10,IF(BW$8=0,BV$8:BV$27,BT$8:BT$27),0))&amp;"","")</f>
        <v/>
      </c>
      <c r="BY10" s="146" t="str">
        <f>IF(BX11="","",IF(BX12="","和","、"))</f>
        <v/>
      </c>
    </row>
    <row r="11" s="288" customFormat="1" ht="15.75" customHeight="1" spans="1:77">
      <c r="A11" s="123" t="str">
        <f>IF(B11="","",COUNT(A$6:A9)+1)</f>
        <v/>
      </c>
      <c r="B11" s="322" t="s">
        <v>347</v>
      </c>
      <c r="C11" s="323" t="s">
        <v>347</v>
      </c>
      <c r="D11" s="324" t="s">
        <v>347</v>
      </c>
      <c r="E11" s="325" t="s">
        <v>347</v>
      </c>
      <c r="F11" s="325" t="s">
        <v>347</v>
      </c>
      <c r="G11" s="326"/>
      <c r="H11" s="326"/>
      <c r="I11" s="325"/>
      <c r="J11" s="325"/>
      <c r="K11" s="256"/>
      <c r="L11" s="256"/>
      <c r="M11" s="256"/>
      <c r="N11" s="256"/>
      <c r="O11" s="256"/>
      <c r="P11" s="320" t="str">
        <f t="shared" si="5"/>
        <v/>
      </c>
      <c r="Q11" s="256"/>
      <c r="R11" s="256"/>
      <c r="S11" s="256"/>
      <c r="T11" s="256"/>
      <c r="U11" s="256"/>
      <c r="V11" s="256"/>
      <c r="W11" s="256"/>
      <c r="X11" s="142"/>
      <c r="Y11" s="127" t="str">
        <f>IFERROR(VLOOKUP(X11,参数表!$H$2:$I$50,2,FALSE),"")</f>
        <v/>
      </c>
      <c r="Z11" s="128" t="str">
        <f t="shared" si="6"/>
        <v/>
      </c>
      <c r="AA11" s="320" t="str">
        <f t="shared" si="7"/>
        <v/>
      </c>
      <c r="AB11" s="256"/>
      <c r="AC11" s="320" t="str">
        <f t="shared" si="8"/>
        <v/>
      </c>
      <c r="AD11" s="320" t="str">
        <f t="shared" si="0"/>
        <v/>
      </c>
      <c r="AE11" s="320" t="str">
        <f t="shared" si="9"/>
        <v/>
      </c>
      <c r="AF11" s="327" t="s">
        <v>347</v>
      </c>
      <c r="BA11" s="78"/>
      <c r="BB11" s="132" t="s">
        <v>5207</v>
      </c>
      <c r="BC11" s="133"/>
      <c r="BD11" s="132" t="str">
        <f>IF(OR(B11="",BC11=""),"",COUNTIF(BC$7:BC11,"√"))</f>
        <v/>
      </c>
      <c r="BE11" s="134" t="str">
        <f t="shared" si="1"/>
        <v/>
      </c>
      <c r="BF11" s="135" t="str">
        <f t="shared" si="10"/>
        <v/>
      </c>
      <c r="BG11" s="135" t="str">
        <f t="shared" si="10"/>
        <v/>
      </c>
      <c r="BH11" s="136"/>
      <c r="BI11" s="137"/>
      <c r="BJ11" s="136"/>
      <c r="BK11" s="136"/>
      <c r="BL11" s="136"/>
      <c r="BM11" s="136"/>
      <c r="BN11" s="136"/>
      <c r="BO11" s="137"/>
      <c r="BP11" s="137"/>
      <c r="BQ11" s="77"/>
      <c r="BR11" s="134" t="str">
        <f>IF(COUNTIF(BR$7:BR10,B11)&gt;0,"",B11)&amp;""</f>
        <v/>
      </c>
      <c r="BS11" s="138">
        <f t="shared" si="2"/>
        <v>0</v>
      </c>
      <c r="BT11" s="132">
        <f t="shared" si="11"/>
        <v>1</v>
      </c>
      <c r="BU11" s="138">
        <f t="shared" si="4"/>
        <v>0</v>
      </c>
      <c r="BV11" s="132">
        <f t="shared" si="12"/>
        <v>1</v>
      </c>
      <c r="BW11" s="132">
        <v>2</v>
      </c>
      <c r="BX11" s="134" t="str">
        <f t="shared" ref="BX11:BX14" si="13">IFERROR(INDEX(BR$8:BR$27,MATCH(BW11,IF(BW$8=0,BV$8:BV$27,BT$8:BT$27),0))&amp;"","")</f>
        <v/>
      </c>
      <c r="BY11" s="146" t="str">
        <f t="shared" ref="BY11:BY12" si="14">IF(BX12="","",IF(BX13="","和","、"))</f>
        <v/>
      </c>
    </row>
    <row r="12" s="288" customFormat="1" ht="15.75" customHeight="1" spans="1:77">
      <c r="A12" s="123" t="str">
        <f>IF(B12="","",COUNT(A$6:A10)+1)</f>
        <v/>
      </c>
      <c r="B12" s="322" t="s">
        <v>347</v>
      </c>
      <c r="C12" s="323" t="s">
        <v>347</v>
      </c>
      <c r="D12" s="324" t="s">
        <v>347</v>
      </c>
      <c r="E12" s="325" t="s">
        <v>347</v>
      </c>
      <c r="F12" s="325" t="s">
        <v>347</v>
      </c>
      <c r="G12" s="326"/>
      <c r="H12" s="326"/>
      <c r="I12" s="325"/>
      <c r="J12" s="325"/>
      <c r="K12" s="256"/>
      <c r="L12" s="256"/>
      <c r="M12" s="256"/>
      <c r="N12" s="256"/>
      <c r="O12" s="256"/>
      <c r="P12" s="320" t="str">
        <f t="shared" si="5"/>
        <v/>
      </c>
      <c r="Q12" s="256"/>
      <c r="R12" s="256"/>
      <c r="S12" s="256"/>
      <c r="T12" s="256"/>
      <c r="U12" s="256"/>
      <c r="V12" s="256"/>
      <c r="W12" s="256"/>
      <c r="X12" s="142"/>
      <c r="Y12" s="127" t="str">
        <f>IFERROR(VLOOKUP(X12,参数表!$H$2:$I$50,2,FALSE),"")</f>
        <v/>
      </c>
      <c r="Z12" s="128" t="str">
        <f t="shared" si="6"/>
        <v/>
      </c>
      <c r="AA12" s="320" t="str">
        <f t="shared" si="7"/>
        <v/>
      </c>
      <c r="AB12" s="256"/>
      <c r="AC12" s="320" t="str">
        <f t="shared" si="8"/>
        <v/>
      </c>
      <c r="AD12" s="320" t="str">
        <f t="shared" si="0"/>
        <v/>
      </c>
      <c r="AE12" s="320" t="str">
        <f t="shared" si="9"/>
        <v/>
      </c>
      <c r="AF12" s="327" t="s">
        <v>347</v>
      </c>
      <c r="BA12" s="78"/>
      <c r="BB12" s="132" t="s">
        <v>5208</v>
      </c>
      <c r="BC12" s="133"/>
      <c r="BD12" s="132" t="str">
        <f>IF(OR(B12="",BC12=""),"",COUNTIF(BC$7:BC12,"√"))</f>
        <v/>
      </c>
      <c r="BE12" s="134" t="str">
        <f t="shared" si="1"/>
        <v/>
      </c>
      <c r="BF12" s="135" t="str">
        <f t="shared" si="10"/>
        <v/>
      </c>
      <c r="BG12" s="135" t="str">
        <f t="shared" si="10"/>
        <v/>
      </c>
      <c r="BH12" s="136"/>
      <c r="BI12" s="137"/>
      <c r="BJ12" s="136"/>
      <c r="BK12" s="136"/>
      <c r="BL12" s="136"/>
      <c r="BM12" s="136"/>
      <c r="BN12" s="136"/>
      <c r="BO12" s="137"/>
      <c r="BP12" s="137"/>
      <c r="BQ12" s="77"/>
      <c r="BR12" s="134" t="str">
        <f>IF(COUNTIF(BR$7:BR11,B12)&gt;0,"",B12)&amp;""</f>
        <v/>
      </c>
      <c r="BS12" s="138">
        <f t="shared" si="2"/>
        <v>0</v>
      </c>
      <c r="BT12" s="132">
        <f t="shared" si="11"/>
        <v>1</v>
      </c>
      <c r="BU12" s="138">
        <f t="shared" si="4"/>
        <v>0</v>
      </c>
      <c r="BV12" s="132">
        <f t="shared" si="12"/>
        <v>1</v>
      </c>
      <c r="BW12" s="132">
        <v>3</v>
      </c>
      <c r="BX12" s="134" t="str">
        <f t="shared" si="13"/>
        <v/>
      </c>
      <c r="BY12" s="146" t="str">
        <f t="shared" si="14"/>
        <v/>
      </c>
    </row>
    <row r="13" s="288" customFormat="1" ht="15.75" customHeight="1" spans="1:77">
      <c r="A13" s="123" t="str">
        <f>IF(B13="","",COUNT(A$6:A11)+1)</f>
        <v/>
      </c>
      <c r="B13" s="322" t="s">
        <v>347</v>
      </c>
      <c r="C13" s="323" t="s">
        <v>347</v>
      </c>
      <c r="D13" s="324" t="s">
        <v>347</v>
      </c>
      <c r="E13" s="325" t="s">
        <v>347</v>
      </c>
      <c r="F13" s="325" t="s">
        <v>347</v>
      </c>
      <c r="G13" s="326"/>
      <c r="H13" s="326"/>
      <c r="I13" s="325"/>
      <c r="J13" s="325"/>
      <c r="K13" s="256"/>
      <c r="L13" s="256"/>
      <c r="M13" s="256"/>
      <c r="N13" s="256"/>
      <c r="O13" s="256"/>
      <c r="P13" s="320" t="str">
        <f t="shared" si="5"/>
        <v/>
      </c>
      <c r="Q13" s="256"/>
      <c r="R13" s="256"/>
      <c r="S13" s="256"/>
      <c r="T13" s="256"/>
      <c r="U13" s="256"/>
      <c r="V13" s="256"/>
      <c r="W13" s="256"/>
      <c r="X13" s="142"/>
      <c r="Y13" s="127" t="str">
        <f>IFERROR(VLOOKUP(X13,参数表!$H$2:$I$50,2,FALSE),"")</f>
        <v/>
      </c>
      <c r="Z13" s="128" t="str">
        <f t="shared" si="6"/>
        <v/>
      </c>
      <c r="AA13" s="320" t="str">
        <f t="shared" si="7"/>
        <v/>
      </c>
      <c r="AB13" s="256"/>
      <c r="AC13" s="320" t="str">
        <f t="shared" si="8"/>
        <v/>
      </c>
      <c r="AD13" s="320" t="str">
        <f t="shared" si="0"/>
        <v/>
      </c>
      <c r="AE13" s="320" t="str">
        <f t="shared" si="9"/>
        <v/>
      </c>
      <c r="AF13" s="327" t="s">
        <v>347</v>
      </c>
      <c r="BA13" s="78"/>
      <c r="BB13" s="132" t="s">
        <v>5209</v>
      </c>
      <c r="BC13" s="133"/>
      <c r="BD13" s="132" t="str">
        <f>IF(OR(B13="",BC13=""),"",COUNTIF(BC$7:BC13,"√"))</f>
        <v/>
      </c>
      <c r="BE13" s="134" t="str">
        <f t="shared" si="1"/>
        <v/>
      </c>
      <c r="BF13" s="135" t="str">
        <f t="shared" si="10"/>
        <v/>
      </c>
      <c r="BG13" s="135" t="str">
        <f t="shared" si="10"/>
        <v/>
      </c>
      <c r="BH13" s="136"/>
      <c r="BI13" s="137"/>
      <c r="BJ13" s="136"/>
      <c r="BK13" s="136"/>
      <c r="BL13" s="136"/>
      <c r="BM13" s="136"/>
      <c r="BN13" s="136"/>
      <c r="BO13" s="137"/>
      <c r="BP13" s="137"/>
      <c r="BQ13" s="77"/>
      <c r="BR13" s="134" t="str">
        <f>IF(COUNTIF(BR$7:BR12,B13)&gt;0,"",B13)&amp;""</f>
        <v/>
      </c>
      <c r="BS13" s="138">
        <f t="shared" si="2"/>
        <v>0</v>
      </c>
      <c r="BT13" s="132">
        <f t="shared" si="11"/>
        <v>1</v>
      </c>
      <c r="BU13" s="138">
        <f t="shared" si="4"/>
        <v>0</v>
      </c>
      <c r="BV13" s="132">
        <f t="shared" si="12"/>
        <v>1</v>
      </c>
      <c r="BW13" s="132">
        <v>4</v>
      </c>
      <c r="BX13" s="134" t="str">
        <f t="shared" si="13"/>
        <v/>
      </c>
      <c r="BY13" s="146" t="str">
        <f>IF(BX14="","","和")</f>
        <v/>
      </c>
    </row>
    <row r="14" s="288" customFormat="1" ht="15.75" customHeight="1" spans="1:77">
      <c r="A14" s="123" t="str">
        <f>IF(B14="","",COUNT(A$6:A12)+1)</f>
        <v/>
      </c>
      <c r="B14" s="322" t="s">
        <v>347</v>
      </c>
      <c r="C14" s="323" t="s">
        <v>347</v>
      </c>
      <c r="D14" s="324" t="s">
        <v>347</v>
      </c>
      <c r="E14" s="325" t="s">
        <v>347</v>
      </c>
      <c r="F14" s="325" t="s">
        <v>347</v>
      </c>
      <c r="G14" s="326"/>
      <c r="H14" s="326"/>
      <c r="I14" s="325"/>
      <c r="J14" s="325"/>
      <c r="K14" s="256"/>
      <c r="L14" s="256"/>
      <c r="M14" s="256"/>
      <c r="N14" s="256"/>
      <c r="O14" s="256"/>
      <c r="P14" s="320" t="str">
        <f t="shared" si="5"/>
        <v/>
      </c>
      <c r="Q14" s="256"/>
      <c r="R14" s="256"/>
      <c r="S14" s="256"/>
      <c r="T14" s="256"/>
      <c r="U14" s="256"/>
      <c r="V14" s="256"/>
      <c r="W14" s="256"/>
      <c r="X14" s="142"/>
      <c r="Y14" s="127" t="str">
        <f>IFERROR(VLOOKUP(X14,参数表!$H$2:$I$50,2,FALSE),"")</f>
        <v/>
      </c>
      <c r="Z14" s="128" t="str">
        <f t="shared" si="6"/>
        <v/>
      </c>
      <c r="AA14" s="320" t="str">
        <f t="shared" si="7"/>
        <v/>
      </c>
      <c r="AB14" s="256"/>
      <c r="AC14" s="320" t="str">
        <f t="shared" si="8"/>
        <v/>
      </c>
      <c r="AD14" s="320" t="str">
        <f t="shared" si="0"/>
        <v/>
      </c>
      <c r="AE14" s="320" t="str">
        <f t="shared" si="9"/>
        <v/>
      </c>
      <c r="AF14" s="327" t="s">
        <v>347</v>
      </c>
      <c r="BA14" s="78"/>
      <c r="BB14" s="132" t="s">
        <v>5210</v>
      </c>
      <c r="BC14" s="133"/>
      <c r="BD14" s="132" t="str">
        <f>IF(OR(B14="",BC14=""),"",COUNTIF(BC$7:BC14,"√"))</f>
        <v/>
      </c>
      <c r="BE14" s="134" t="str">
        <f t="shared" si="1"/>
        <v/>
      </c>
      <c r="BF14" s="135" t="str">
        <f t="shared" si="10"/>
        <v/>
      </c>
      <c r="BG14" s="135" t="str">
        <f t="shared" si="10"/>
        <v/>
      </c>
      <c r="BH14" s="136"/>
      <c r="BI14" s="137"/>
      <c r="BJ14" s="136"/>
      <c r="BK14" s="136"/>
      <c r="BL14" s="136"/>
      <c r="BM14" s="136"/>
      <c r="BN14" s="136"/>
      <c r="BO14" s="137"/>
      <c r="BP14" s="137"/>
      <c r="BQ14" s="77"/>
      <c r="BR14" s="134" t="str">
        <f>IF(COUNTIF(BR$7:BR13,B14)&gt;0,"",B14)&amp;""</f>
        <v/>
      </c>
      <c r="BS14" s="138">
        <f t="shared" si="2"/>
        <v>0</v>
      </c>
      <c r="BT14" s="132">
        <f t="shared" si="11"/>
        <v>1</v>
      </c>
      <c r="BU14" s="138">
        <f t="shared" si="4"/>
        <v>0</v>
      </c>
      <c r="BV14" s="132">
        <f t="shared" si="12"/>
        <v>1</v>
      </c>
      <c r="BW14" s="132">
        <v>5</v>
      </c>
      <c r="BX14" s="134" t="str">
        <f t="shared" si="13"/>
        <v/>
      </c>
      <c r="BY14" s="146"/>
    </row>
    <row r="15" s="288" customFormat="1" ht="15.75" customHeight="1" spans="1:77">
      <c r="A15" s="123" t="str">
        <f>IF(B15="","",COUNT(A$6:A13)+1)</f>
        <v/>
      </c>
      <c r="B15" s="322" t="s">
        <v>347</v>
      </c>
      <c r="C15" s="323" t="s">
        <v>347</v>
      </c>
      <c r="D15" s="324" t="s">
        <v>347</v>
      </c>
      <c r="E15" s="325" t="s">
        <v>347</v>
      </c>
      <c r="F15" s="325" t="s">
        <v>347</v>
      </c>
      <c r="G15" s="326"/>
      <c r="H15" s="326"/>
      <c r="I15" s="325"/>
      <c r="J15" s="325"/>
      <c r="K15" s="256"/>
      <c r="L15" s="256"/>
      <c r="M15" s="256"/>
      <c r="N15" s="256"/>
      <c r="O15" s="256"/>
      <c r="P15" s="320" t="str">
        <f t="shared" si="5"/>
        <v/>
      </c>
      <c r="Q15" s="256"/>
      <c r="R15" s="256"/>
      <c r="S15" s="256"/>
      <c r="T15" s="256"/>
      <c r="U15" s="256"/>
      <c r="V15" s="256"/>
      <c r="W15" s="256"/>
      <c r="X15" s="142"/>
      <c r="Y15" s="127" t="str">
        <f>IFERROR(VLOOKUP(X15,参数表!$H$2:$I$50,2,FALSE),"")</f>
        <v/>
      </c>
      <c r="Z15" s="128" t="str">
        <f t="shared" si="6"/>
        <v/>
      </c>
      <c r="AA15" s="320" t="str">
        <f t="shared" si="7"/>
        <v/>
      </c>
      <c r="AB15" s="256"/>
      <c r="AC15" s="320" t="str">
        <f t="shared" si="8"/>
        <v/>
      </c>
      <c r="AD15" s="320" t="str">
        <f t="shared" si="0"/>
        <v/>
      </c>
      <c r="AE15" s="320" t="str">
        <f t="shared" si="9"/>
        <v/>
      </c>
      <c r="AF15" s="327" t="s">
        <v>347</v>
      </c>
      <c r="BA15" s="78"/>
      <c r="BB15" s="132" t="s">
        <v>5211</v>
      </c>
      <c r="BC15" s="133"/>
      <c r="BD15" s="132" t="str">
        <f>IF(OR(B15="",BC15=""),"",COUNTIF(BC$7:BC15,"√"))</f>
        <v/>
      </c>
      <c r="BE15" s="134" t="str">
        <f t="shared" si="1"/>
        <v/>
      </c>
      <c r="BF15" s="135" t="str">
        <f t="shared" si="10"/>
        <v/>
      </c>
      <c r="BG15" s="135" t="str">
        <f t="shared" si="10"/>
        <v/>
      </c>
      <c r="BH15" s="136"/>
      <c r="BI15" s="137"/>
      <c r="BJ15" s="136"/>
      <c r="BK15" s="136"/>
      <c r="BL15" s="136"/>
      <c r="BM15" s="136"/>
      <c r="BN15" s="136"/>
      <c r="BO15" s="137"/>
      <c r="BP15" s="137"/>
      <c r="BQ15" s="77"/>
      <c r="BR15" s="134" t="str">
        <f>IF(COUNTIF(BR$7:BR14,B15)&gt;0,"",B15)&amp;""</f>
        <v/>
      </c>
      <c r="BS15" s="138">
        <f t="shared" si="2"/>
        <v>0</v>
      </c>
      <c r="BT15" s="132">
        <f t="shared" si="11"/>
        <v>1</v>
      </c>
      <c r="BU15" s="138">
        <f t="shared" si="4"/>
        <v>0</v>
      </c>
      <c r="BV15" s="132">
        <f t="shared" si="12"/>
        <v>1</v>
      </c>
      <c r="BW15" s="147" t="s">
        <v>1659</v>
      </c>
      <c r="BX15" s="132" t="str">
        <f>CONCATENATE(BX10,BY10,BX11,BY11,BX12,BY12,BX13,BY13,BX14)</f>
        <v/>
      </c>
      <c r="BY15" s="132"/>
    </row>
    <row r="16" s="288" customFormat="1" ht="15.75" customHeight="1" spans="1:77">
      <c r="A16" s="123" t="str">
        <f>IF(B16="","",COUNT(A$6:A14)+1)</f>
        <v/>
      </c>
      <c r="B16" s="322" t="s">
        <v>347</v>
      </c>
      <c r="C16" s="323" t="s">
        <v>347</v>
      </c>
      <c r="D16" s="324" t="s">
        <v>347</v>
      </c>
      <c r="E16" s="325" t="s">
        <v>347</v>
      </c>
      <c r="F16" s="325" t="s">
        <v>347</v>
      </c>
      <c r="G16" s="326"/>
      <c r="H16" s="326"/>
      <c r="I16" s="325"/>
      <c r="J16" s="325"/>
      <c r="K16" s="256"/>
      <c r="L16" s="256"/>
      <c r="M16" s="256"/>
      <c r="N16" s="256"/>
      <c r="O16" s="256"/>
      <c r="P16" s="320" t="str">
        <f t="shared" si="5"/>
        <v/>
      </c>
      <c r="Q16" s="256"/>
      <c r="R16" s="256"/>
      <c r="S16" s="256"/>
      <c r="T16" s="256"/>
      <c r="U16" s="256"/>
      <c r="V16" s="256"/>
      <c r="W16" s="256"/>
      <c r="X16" s="142"/>
      <c r="Y16" s="127" t="str">
        <f>IFERROR(VLOOKUP(X16,参数表!$H$2:$I$50,2,FALSE),"")</f>
        <v/>
      </c>
      <c r="Z16" s="128" t="str">
        <f t="shared" si="6"/>
        <v/>
      </c>
      <c r="AA16" s="320" t="str">
        <f t="shared" si="7"/>
        <v/>
      </c>
      <c r="AB16" s="256"/>
      <c r="AC16" s="320" t="str">
        <f t="shared" si="8"/>
        <v/>
      </c>
      <c r="AD16" s="320" t="str">
        <f t="shared" si="0"/>
        <v/>
      </c>
      <c r="AE16" s="320" t="str">
        <f t="shared" si="9"/>
        <v/>
      </c>
      <c r="AF16" s="327" t="s">
        <v>347</v>
      </c>
      <c r="BA16" s="78"/>
      <c r="BB16" s="132" t="s">
        <v>5212</v>
      </c>
      <c r="BC16" s="133"/>
      <c r="BD16" s="132" t="str">
        <f>IF(OR(B16="",BC16=""),"",COUNTIF(BC$7:BC16,"√"))</f>
        <v/>
      </c>
      <c r="BE16" s="134" t="str">
        <f t="shared" si="1"/>
        <v/>
      </c>
      <c r="BF16" s="135" t="str">
        <f t="shared" si="10"/>
        <v/>
      </c>
      <c r="BG16" s="135" t="str">
        <f t="shared" si="10"/>
        <v/>
      </c>
      <c r="BH16" s="136"/>
      <c r="BI16" s="137"/>
      <c r="BJ16" s="136"/>
      <c r="BK16" s="136"/>
      <c r="BL16" s="136"/>
      <c r="BM16" s="136"/>
      <c r="BN16" s="136"/>
      <c r="BO16" s="137"/>
      <c r="BP16" s="137"/>
      <c r="BQ16" s="77"/>
      <c r="BR16" s="134" t="str">
        <f>IF(COUNTIF(BR$7:BR15,B16)&gt;0,"",B16)&amp;""</f>
        <v/>
      </c>
      <c r="BS16" s="138">
        <f t="shared" si="2"/>
        <v>0</v>
      </c>
      <c r="BT16" s="132">
        <f t="shared" si="11"/>
        <v>1</v>
      </c>
      <c r="BU16" s="138">
        <f t="shared" si="4"/>
        <v>0</v>
      </c>
      <c r="BV16" s="132">
        <f t="shared" si="12"/>
        <v>1</v>
      </c>
      <c r="BW16" s="133"/>
      <c r="BX16" s="133"/>
      <c r="BY16" s="77"/>
    </row>
    <row r="17" s="288" customFormat="1" ht="15.75" customHeight="1" spans="1:77">
      <c r="A17" s="123" t="str">
        <f>IF(B17="","",COUNT(A$6:A15)+1)</f>
        <v/>
      </c>
      <c r="B17" s="322" t="s">
        <v>347</v>
      </c>
      <c r="C17" s="323" t="s">
        <v>347</v>
      </c>
      <c r="D17" s="324" t="s">
        <v>347</v>
      </c>
      <c r="E17" s="325" t="s">
        <v>347</v>
      </c>
      <c r="F17" s="325" t="s">
        <v>347</v>
      </c>
      <c r="G17" s="326"/>
      <c r="H17" s="326"/>
      <c r="I17" s="325"/>
      <c r="J17" s="325"/>
      <c r="K17" s="256"/>
      <c r="L17" s="256"/>
      <c r="M17" s="256"/>
      <c r="N17" s="256"/>
      <c r="O17" s="256"/>
      <c r="P17" s="320" t="str">
        <f t="shared" si="5"/>
        <v/>
      </c>
      <c r="Q17" s="256"/>
      <c r="R17" s="256"/>
      <c r="S17" s="256"/>
      <c r="T17" s="256"/>
      <c r="U17" s="256"/>
      <c r="V17" s="256"/>
      <c r="W17" s="256"/>
      <c r="X17" s="142"/>
      <c r="Y17" s="127" t="str">
        <f>IFERROR(VLOOKUP(X17,参数表!$H$2:$I$50,2,FALSE),"")</f>
        <v/>
      </c>
      <c r="Z17" s="128" t="str">
        <f t="shared" si="6"/>
        <v/>
      </c>
      <c r="AA17" s="320" t="str">
        <f t="shared" si="7"/>
        <v/>
      </c>
      <c r="AB17" s="256"/>
      <c r="AC17" s="320" t="str">
        <f t="shared" si="8"/>
        <v/>
      </c>
      <c r="AD17" s="320" t="str">
        <f t="shared" si="0"/>
        <v/>
      </c>
      <c r="AE17" s="320" t="str">
        <f t="shared" si="9"/>
        <v/>
      </c>
      <c r="AF17" s="327" t="s">
        <v>347</v>
      </c>
      <c r="BA17" s="78"/>
      <c r="BB17" s="132" t="s">
        <v>5213</v>
      </c>
      <c r="BC17" s="133"/>
      <c r="BD17" s="132" t="str">
        <f>IF(OR(B17="",BC17=""),"",COUNTIF(BC$7:BC17,"√"))</f>
        <v/>
      </c>
      <c r="BE17" s="134" t="str">
        <f t="shared" si="1"/>
        <v/>
      </c>
      <c r="BF17" s="135" t="str">
        <f t="shared" si="10"/>
        <v/>
      </c>
      <c r="BG17" s="135" t="str">
        <f t="shared" si="10"/>
        <v/>
      </c>
      <c r="BH17" s="136"/>
      <c r="BI17" s="137"/>
      <c r="BJ17" s="136"/>
      <c r="BK17" s="136"/>
      <c r="BL17" s="136"/>
      <c r="BM17" s="136"/>
      <c r="BN17" s="136"/>
      <c r="BO17" s="137"/>
      <c r="BP17" s="137"/>
      <c r="BQ17" s="77"/>
      <c r="BR17" s="134" t="str">
        <f>IF(COUNTIF(BR$7:BR16,B17)&gt;0,"",B17)&amp;""</f>
        <v/>
      </c>
      <c r="BS17" s="138">
        <f t="shared" si="2"/>
        <v>0</v>
      </c>
      <c r="BT17" s="132">
        <f t="shared" si="11"/>
        <v>1</v>
      </c>
      <c r="BU17" s="138">
        <f t="shared" si="4"/>
        <v>0</v>
      </c>
      <c r="BV17" s="132">
        <f t="shared" si="12"/>
        <v>1</v>
      </c>
      <c r="BW17" s="133"/>
      <c r="BX17" s="148"/>
      <c r="BY17" s="77"/>
    </row>
    <row r="18" s="288" customFormat="1" ht="15.75" customHeight="1" spans="1:77">
      <c r="A18" s="123" t="str">
        <f>IF(B18="","",COUNT(A$6:A16)+1)</f>
        <v/>
      </c>
      <c r="B18" s="322" t="s">
        <v>347</v>
      </c>
      <c r="C18" s="323" t="s">
        <v>347</v>
      </c>
      <c r="D18" s="324" t="s">
        <v>347</v>
      </c>
      <c r="E18" s="325" t="s">
        <v>347</v>
      </c>
      <c r="F18" s="325" t="s">
        <v>347</v>
      </c>
      <c r="G18" s="326"/>
      <c r="H18" s="326"/>
      <c r="I18" s="325"/>
      <c r="J18" s="325"/>
      <c r="K18" s="256"/>
      <c r="L18" s="256"/>
      <c r="M18" s="256"/>
      <c r="N18" s="256"/>
      <c r="O18" s="256"/>
      <c r="P18" s="320" t="str">
        <f t="shared" si="5"/>
        <v/>
      </c>
      <c r="Q18" s="256"/>
      <c r="R18" s="256"/>
      <c r="S18" s="256"/>
      <c r="T18" s="256"/>
      <c r="U18" s="256"/>
      <c r="V18" s="256"/>
      <c r="W18" s="256"/>
      <c r="X18" s="142"/>
      <c r="Y18" s="127" t="str">
        <f>IFERROR(VLOOKUP(X18,参数表!$H$2:$I$50,2,FALSE),"")</f>
        <v/>
      </c>
      <c r="Z18" s="128" t="str">
        <f t="shared" si="6"/>
        <v/>
      </c>
      <c r="AA18" s="320" t="str">
        <f t="shared" si="7"/>
        <v/>
      </c>
      <c r="AB18" s="256"/>
      <c r="AC18" s="320" t="str">
        <f t="shared" si="8"/>
        <v/>
      </c>
      <c r="AD18" s="320" t="str">
        <f t="shared" si="0"/>
        <v/>
      </c>
      <c r="AE18" s="320" t="str">
        <f t="shared" si="9"/>
        <v/>
      </c>
      <c r="AF18" s="327" t="s">
        <v>347</v>
      </c>
      <c r="BA18" s="78"/>
      <c r="BB18" s="132" t="s">
        <v>5214</v>
      </c>
      <c r="BC18" s="133"/>
      <c r="BD18" s="132" t="str">
        <f>IF(OR(B18="",BC18=""),"",COUNTIF(BC$7:BC18,"√"))</f>
        <v/>
      </c>
      <c r="BE18" s="134" t="str">
        <f t="shared" si="1"/>
        <v/>
      </c>
      <c r="BF18" s="135" t="str">
        <f t="shared" si="10"/>
        <v/>
      </c>
      <c r="BG18" s="135" t="str">
        <f t="shared" si="10"/>
        <v/>
      </c>
      <c r="BH18" s="136"/>
      <c r="BI18" s="137"/>
      <c r="BJ18" s="136"/>
      <c r="BK18" s="136"/>
      <c r="BL18" s="136"/>
      <c r="BM18" s="136"/>
      <c r="BN18" s="136"/>
      <c r="BO18" s="137"/>
      <c r="BP18" s="137"/>
      <c r="BQ18" s="77"/>
      <c r="BR18" s="134" t="str">
        <f>IF(COUNTIF(BR$7:BR17,B18)&gt;0,"",B18)&amp;""</f>
        <v/>
      </c>
      <c r="BS18" s="138">
        <f t="shared" si="2"/>
        <v>0</v>
      </c>
      <c r="BT18" s="132">
        <f t="shared" si="11"/>
        <v>1</v>
      </c>
      <c r="BU18" s="138">
        <f t="shared" si="4"/>
        <v>0</v>
      </c>
      <c r="BV18" s="132">
        <f t="shared" si="12"/>
        <v>1</v>
      </c>
      <c r="BW18" s="133"/>
      <c r="BX18" s="133"/>
      <c r="BY18" s="77"/>
    </row>
    <row r="19" s="288" customFormat="1" ht="15.75" customHeight="1" spans="1:77">
      <c r="A19" s="123" t="str">
        <f>IF(B19="","",COUNT(A$6:A17)+1)</f>
        <v/>
      </c>
      <c r="B19" s="322" t="s">
        <v>347</v>
      </c>
      <c r="C19" s="323" t="s">
        <v>347</v>
      </c>
      <c r="D19" s="324" t="s">
        <v>347</v>
      </c>
      <c r="E19" s="325" t="s">
        <v>347</v>
      </c>
      <c r="F19" s="325" t="s">
        <v>347</v>
      </c>
      <c r="G19" s="326"/>
      <c r="H19" s="326"/>
      <c r="I19" s="325"/>
      <c r="J19" s="325"/>
      <c r="K19" s="256"/>
      <c r="L19" s="256"/>
      <c r="M19" s="256"/>
      <c r="N19" s="256"/>
      <c r="O19" s="256"/>
      <c r="P19" s="320" t="str">
        <f t="shared" si="5"/>
        <v/>
      </c>
      <c r="Q19" s="256"/>
      <c r="R19" s="256"/>
      <c r="S19" s="256"/>
      <c r="T19" s="256"/>
      <c r="U19" s="256"/>
      <c r="V19" s="256"/>
      <c r="W19" s="256"/>
      <c r="X19" s="142"/>
      <c r="Y19" s="127" t="str">
        <f>IFERROR(VLOOKUP(X19,参数表!$H$2:$I$50,2,FALSE),"")</f>
        <v/>
      </c>
      <c r="Z19" s="128" t="str">
        <f t="shared" si="6"/>
        <v/>
      </c>
      <c r="AA19" s="320" t="str">
        <f t="shared" si="7"/>
        <v/>
      </c>
      <c r="AB19" s="256"/>
      <c r="AC19" s="320" t="str">
        <f t="shared" si="8"/>
        <v/>
      </c>
      <c r="AD19" s="320" t="str">
        <f t="shared" si="0"/>
        <v/>
      </c>
      <c r="AE19" s="320" t="str">
        <f t="shared" si="9"/>
        <v/>
      </c>
      <c r="AF19" s="327" t="s">
        <v>347</v>
      </c>
      <c r="BA19" s="78"/>
      <c r="BB19" s="132" t="s">
        <v>5215</v>
      </c>
      <c r="BC19" s="133"/>
      <c r="BD19" s="132" t="str">
        <f>IF(OR(B19="",BC19=""),"",COUNTIF(BC$7:BC19,"√"))</f>
        <v/>
      </c>
      <c r="BE19" s="134" t="str">
        <f t="shared" si="1"/>
        <v/>
      </c>
      <c r="BF19" s="135" t="str">
        <f t="shared" si="10"/>
        <v/>
      </c>
      <c r="BG19" s="135" t="str">
        <f t="shared" si="10"/>
        <v/>
      </c>
      <c r="BH19" s="136"/>
      <c r="BI19" s="137"/>
      <c r="BJ19" s="136"/>
      <c r="BK19" s="136"/>
      <c r="BL19" s="136"/>
      <c r="BM19" s="136"/>
      <c r="BN19" s="136"/>
      <c r="BO19" s="137"/>
      <c r="BP19" s="137"/>
      <c r="BQ19" s="77"/>
      <c r="BR19" s="134" t="str">
        <f>IF(COUNTIF(BR$7:BR18,B19)&gt;0,"",B19)&amp;""</f>
        <v/>
      </c>
      <c r="BS19" s="138">
        <f t="shared" si="2"/>
        <v>0</v>
      </c>
      <c r="BT19" s="132">
        <f t="shared" si="11"/>
        <v>1</v>
      </c>
      <c r="BU19" s="138">
        <f t="shared" si="4"/>
        <v>0</v>
      </c>
      <c r="BV19" s="132">
        <f t="shared" si="12"/>
        <v>1</v>
      </c>
      <c r="BW19" s="133"/>
      <c r="BX19" s="133"/>
      <c r="BY19" s="77"/>
    </row>
    <row r="20" s="288" customFormat="1" ht="15.75" customHeight="1" spans="1:77">
      <c r="A20" s="123" t="str">
        <f>IF(B20="","",COUNT(A$6:A18)+1)</f>
        <v/>
      </c>
      <c r="B20" s="322" t="s">
        <v>347</v>
      </c>
      <c r="C20" s="323" t="s">
        <v>347</v>
      </c>
      <c r="D20" s="324" t="s">
        <v>347</v>
      </c>
      <c r="E20" s="325" t="s">
        <v>347</v>
      </c>
      <c r="F20" s="325" t="s">
        <v>347</v>
      </c>
      <c r="G20" s="326"/>
      <c r="H20" s="326"/>
      <c r="I20" s="325"/>
      <c r="J20" s="325"/>
      <c r="K20" s="256"/>
      <c r="L20" s="256"/>
      <c r="M20" s="256"/>
      <c r="N20" s="256"/>
      <c r="O20" s="256"/>
      <c r="P20" s="320" t="str">
        <f t="shared" si="5"/>
        <v/>
      </c>
      <c r="Q20" s="256"/>
      <c r="R20" s="256"/>
      <c r="S20" s="256"/>
      <c r="T20" s="256"/>
      <c r="U20" s="256"/>
      <c r="V20" s="256"/>
      <c r="W20" s="256"/>
      <c r="X20" s="142"/>
      <c r="Y20" s="127" t="str">
        <f>IFERROR(VLOOKUP(X20,参数表!$H$2:$I$50,2,FALSE),"")</f>
        <v/>
      </c>
      <c r="Z20" s="128" t="str">
        <f t="shared" si="6"/>
        <v/>
      </c>
      <c r="AA20" s="320" t="str">
        <f t="shared" si="7"/>
        <v/>
      </c>
      <c r="AB20" s="256"/>
      <c r="AC20" s="320" t="str">
        <f t="shared" si="8"/>
        <v/>
      </c>
      <c r="AD20" s="320" t="str">
        <f t="shared" si="0"/>
        <v/>
      </c>
      <c r="AE20" s="320" t="str">
        <f t="shared" si="9"/>
        <v/>
      </c>
      <c r="AF20" s="327" t="s">
        <v>347</v>
      </c>
      <c r="BA20" s="78"/>
      <c r="BB20" s="132" t="s">
        <v>5216</v>
      </c>
      <c r="BC20" s="133"/>
      <c r="BD20" s="132" t="str">
        <f>IF(OR(B20="",BC20=""),"",COUNTIF(BC$7:BC20,"√"))</f>
        <v/>
      </c>
      <c r="BE20" s="134" t="str">
        <f t="shared" si="1"/>
        <v/>
      </c>
      <c r="BF20" s="135" t="str">
        <f t="shared" si="10"/>
        <v/>
      </c>
      <c r="BG20" s="135" t="str">
        <f t="shared" si="10"/>
        <v/>
      </c>
      <c r="BH20" s="136"/>
      <c r="BI20" s="137"/>
      <c r="BJ20" s="136"/>
      <c r="BK20" s="136"/>
      <c r="BL20" s="136"/>
      <c r="BM20" s="136"/>
      <c r="BN20" s="136"/>
      <c r="BO20" s="137"/>
      <c r="BP20" s="137"/>
      <c r="BQ20" s="77"/>
      <c r="BR20" s="134" t="str">
        <f>IF(COUNTIF(BR$7:BR19,B20)&gt;0,"",B20)&amp;""</f>
        <v/>
      </c>
      <c r="BS20" s="138">
        <f t="shared" si="2"/>
        <v>0</v>
      </c>
      <c r="BT20" s="132">
        <f t="shared" si="11"/>
        <v>1</v>
      </c>
      <c r="BU20" s="138">
        <f t="shared" si="4"/>
        <v>0</v>
      </c>
      <c r="BV20" s="132">
        <f t="shared" si="12"/>
        <v>1</v>
      </c>
      <c r="BW20" s="133"/>
      <c r="BX20" s="133"/>
      <c r="BY20" s="77"/>
    </row>
    <row r="21" s="288" customFormat="1" ht="15.75" customHeight="1" spans="1:77">
      <c r="A21" s="123" t="str">
        <f>IF(B21="","",COUNT(A$6:A19)+1)</f>
        <v/>
      </c>
      <c r="B21" s="322" t="s">
        <v>347</v>
      </c>
      <c r="C21" s="323" t="s">
        <v>347</v>
      </c>
      <c r="D21" s="324" t="s">
        <v>347</v>
      </c>
      <c r="E21" s="325" t="s">
        <v>347</v>
      </c>
      <c r="F21" s="325" t="s">
        <v>347</v>
      </c>
      <c r="G21" s="326"/>
      <c r="H21" s="326"/>
      <c r="I21" s="325"/>
      <c r="J21" s="325"/>
      <c r="K21" s="256"/>
      <c r="L21" s="256"/>
      <c r="M21" s="256"/>
      <c r="N21" s="256"/>
      <c r="O21" s="256"/>
      <c r="P21" s="320" t="str">
        <f t="shared" si="5"/>
        <v/>
      </c>
      <c r="Q21" s="256"/>
      <c r="R21" s="256"/>
      <c r="S21" s="256"/>
      <c r="T21" s="256"/>
      <c r="U21" s="256"/>
      <c r="V21" s="256"/>
      <c r="W21" s="256"/>
      <c r="X21" s="142"/>
      <c r="Y21" s="127" t="str">
        <f>IFERROR(VLOOKUP(X21,参数表!$H$2:$I$50,2,FALSE),"")</f>
        <v/>
      </c>
      <c r="Z21" s="128" t="str">
        <f t="shared" si="6"/>
        <v/>
      </c>
      <c r="AA21" s="320" t="str">
        <f t="shared" si="7"/>
        <v/>
      </c>
      <c r="AB21" s="256"/>
      <c r="AC21" s="320" t="str">
        <f t="shared" si="8"/>
        <v/>
      </c>
      <c r="AD21" s="320" t="str">
        <f t="shared" si="0"/>
        <v/>
      </c>
      <c r="AE21" s="320" t="str">
        <f t="shared" si="9"/>
        <v/>
      </c>
      <c r="AF21" s="327" t="s">
        <v>347</v>
      </c>
      <c r="BA21" s="78"/>
      <c r="BB21" s="132" t="s">
        <v>5217</v>
      </c>
      <c r="BC21" s="133"/>
      <c r="BD21" s="132" t="str">
        <f>IF(OR(B21="",BC21=""),"",COUNTIF(BC$7:BC21,"√"))</f>
        <v/>
      </c>
      <c r="BE21" s="134" t="str">
        <f t="shared" si="1"/>
        <v/>
      </c>
      <c r="BF21" s="135" t="str">
        <f t="shared" si="10"/>
        <v/>
      </c>
      <c r="BG21" s="135" t="str">
        <f t="shared" si="10"/>
        <v/>
      </c>
      <c r="BH21" s="136"/>
      <c r="BI21" s="137"/>
      <c r="BJ21" s="136"/>
      <c r="BK21" s="136"/>
      <c r="BL21" s="136"/>
      <c r="BM21" s="136"/>
      <c r="BN21" s="136"/>
      <c r="BO21" s="137"/>
      <c r="BP21" s="137"/>
      <c r="BQ21" s="77"/>
      <c r="BR21" s="134" t="str">
        <f>IF(COUNTIF(BR$7:BR20,B21)&gt;0,"",B21)&amp;""</f>
        <v/>
      </c>
      <c r="BS21" s="138">
        <f t="shared" si="2"/>
        <v>0</v>
      </c>
      <c r="BT21" s="132">
        <f t="shared" si="11"/>
        <v>1</v>
      </c>
      <c r="BU21" s="138">
        <f t="shared" si="4"/>
        <v>0</v>
      </c>
      <c r="BV21" s="132">
        <f t="shared" si="12"/>
        <v>1</v>
      </c>
      <c r="BW21" s="133"/>
      <c r="BX21" s="133"/>
      <c r="BY21" s="77"/>
    </row>
    <row r="22" s="288" customFormat="1" ht="15.75" customHeight="1" spans="1:77">
      <c r="A22" s="123" t="str">
        <f>IF(B22="","",COUNT(A$6:A20)+1)</f>
        <v/>
      </c>
      <c r="B22" s="322" t="s">
        <v>347</v>
      </c>
      <c r="C22" s="323" t="s">
        <v>347</v>
      </c>
      <c r="D22" s="324" t="s">
        <v>347</v>
      </c>
      <c r="E22" s="325" t="s">
        <v>347</v>
      </c>
      <c r="F22" s="325" t="s">
        <v>347</v>
      </c>
      <c r="G22" s="326"/>
      <c r="H22" s="326"/>
      <c r="I22" s="325"/>
      <c r="J22" s="325"/>
      <c r="K22" s="256"/>
      <c r="L22" s="256"/>
      <c r="M22" s="256"/>
      <c r="N22" s="256"/>
      <c r="O22" s="256"/>
      <c r="P22" s="320" t="str">
        <f t="shared" si="5"/>
        <v/>
      </c>
      <c r="Q22" s="256"/>
      <c r="R22" s="256"/>
      <c r="S22" s="256"/>
      <c r="T22" s="256"/>
      <c r="U22" s="256"/>
      <c r="V22" s="256"/>
      <c r="W22" s="256"/>
      <c r="X22" s="142"/>
      <c r="Y22" s="127" t="str">
        <f>IFERROR(VLOOKUP(X22,参数表!$H$2:$I$50,2,FALSE),"")</f>
        <v/>
      </c>
      <c r="Z22" s="128" t="str">
        <f t="shared" si="6"/>
        <v/>
      </c>
      <c r="AA22" s="320" t="str">
        <f t="shared" si="7"/>
        <v/>
      </c>
      <c r="AB22" s="256"/>
      <c r="AC22" s="320" t="str">
        <f t="shared" si="8"/>
        <v/>
      </c>
      <c r="AD22" s="320" t="str">
        <f t="shared" si="0"/>
        <v/>
      </c>
      <c r="AE22" s="320" t="str">
        <f t="shared" si="9"/>
        <v/>
      </c>
      <c r="AF22" s="327" t="s">
        <v>347</v>
      </c>
      <c r="BA22" s="78"/>
      <c r="BB22" s="132" t="s">
        <v>5218</v>
      </c>
      <c r="BC22" s="133"/>
      <c r="BD22" s="132" t="str">
        <f>IF(OR(B22="",BC22=""),"",COUNTIF(BC$7:BC22,"√"))</f>
        <v/>
      </c>
      <c r="BE22" s="134" t="str">
        <f t="shared" si="1"/>
        <v/>
      </c>
      <c r="BF22" s="135" t="str">
        <f t="shared" si="10"/>
        <v/>
      </c>
      <c r="BG22" s="135" t="str">
        <f t="shared" si="10"/>
        <v/>
      </c>
      <c r="BH22" s="136"/>
      <c r="BI22" s="137"/>
      <c r="BJ22" s="136"/>
      <c r="BK22" s="136"/>
      <c r="BL22" s="136"/>
      <c r="BM22" s="136"/>
      <c r="BN22" s="136"/>
      <c r="BO22" s="137"/>
      <c r="BP22" s="137"/>
      <c r="BQ22" s="77"/>
      <c r="BR22" s="134" t="str">
        <f>IF(COUNTIF(BR$7:BR21,B22)&gt;0,"",B22)&amp;""</f>
        <v/>
      </c>
      <c r="BS22" s="138">
        <f t="shared" si="2"/>
        <v>0</v>
      </c>
      <c r="BT22" s="132">
        <f t="shared" si="11"/>
        <v>1</v>
      </c>
      <c r="BU22" s="138">
        <f t="shared" si="4"/>
        <v>0</v>
      </c>
      <c r="BV22" s="132">
        <f t="shared" si="12"/>
        <v>1</v>
      </c>
      <c r="BW22" s="133"/>
      <c r="BX22" s="133"/>
      <c r="BY22" s="77"/>
    </row>
    <row r="23" s="288" customFormat="1" ht="15.75" customHeight="1" spans="1:77">
      <c r="A23" s="123" t="str">
        <f>IF(B23="","",COUNT(A$6:A21)+1)</f>
        <v/>
      </c>
      <c r="B23" s="322" t="s">
        <v>347</v>
      </c>
      <c r="C23" s="323" t="s">
        <v>347</v>
      </c>
      <c r="D23" s="324" t="s">
        <v>347</v>
      </c>
      <c r="E23" s="325" t="s">
        <v>347</v>
      </c>
      <c r="F23" s="325" t="s">
        <v>347</v>
      </c>
      <c r="G23" s="326"/>
      <c r="H23" s="326"/>
      <c r="I23" s="325"/>
      <c r="J23" s="325"/>
      <c r="K23" s="256"/>
      <c r="L23" s="256"/>
      <c r="M23" s="256"/>
      <c r="N23" s="256"/>
      <c r="O23" s="256"/>
      <c r="P23" s="320" t="str">
        <f t="shared" si="5"/>
        <v/>
      </c>
      <c r="Q23" s="256"/>
      <c r="R23" s="256"/>
      <c r="S23" s="256"/>
      <c r="T23" s="256"/>
      <c r="U23" s="256"/>
      <c r="V23" s="256"/>
      <c r="W23" s="256"/>
      <c r="X23" s="142"/>
      <c r="Y23" s="127" t="str">
        <f>IFERROR(VLOOKUP(X23,参数表!$H$2:$I$50,2,FALSE),"")</f>
        <v/>
      </c>
      <c r="Z23" s="128" t="str">
        <f t="shared" si="6"/>
        <v/>
      </c>
      <c r="AA23" s="320" t="str">
        <f t="shared" si="7"/>
        <v/>
      </c>
      <c r="AB23" s="256"/>
      <c r="AC23" s="320" t="str">
        <f t="shared" si="8"/>
        <v/>
      </c>
      <c r="AD23" s="320" t="str">
        <f t="shared" si="0"/>
        <v/>
      </c>
      <c r="AE23" s="320" t="str">
        <f t="shared" si="9"/>
        <v/>
      </c>
      <c r="AF23" s="327" t="s">
        <v>347</v>
      </c>
      <c r="BA23" s="78"/>
      <c r="BB23" s="132" t="s">
        <v>5219</v>
      </c>
      <c r="BC23" s="133"/>
      <c r="BD23" s="132" t="str">
        <f>IF(OR(B23="",BC23=""),"",COUNTIF(BC$7:BC23,"√"))</f>
        <v/>
      </c>
      <c r="BE23" s="134" t="str">
        <f t="shared" si="1"/>
        <v/>
      </c>
      <c r="BF23" s="135" t="str">
        <f t="shared" si="10"/>
        <v/>
      </c>
      <c r="BG23" s="135" t="str">
        <f t="shared" si="10"/>
        <v/>
      </c>
      <c r="BH23" s="136"/>
      <c r="BI23" s="137"/>
      <c r="BJ23" s="136"/>
      <c r="BK23" s="136"/>
      <c r="BL23" s="136"/>
      <c r="BM23" s="136"/>
      <c r="BN23" s="136"/>
      <c r="BO23" s="137"/>
      <c r="BP23" s="137"/>
      <c r="BQ23" s="77"/>
      <c r="BR23" s="134" t="str">
        <f>IF(COUNTIF(BR$7:BR22,B23)&gt;0,"",B23)&amp;""</f>
        <v/>
      </c>
      <c r="BS23" s="138">
        <f t="shared" si="2"/>
        <v>0</v>
      </c>
      <c r="BT23" s="132">
        <f t="shared" si="11"/>
        <v>1</v>
      </c>
      <c r="BU23" s="138">
        <f t="shared" si="4"/>
        <v>0</v>
      </c>
      <c r="BV23" s="132">
        <f t="shared" si="12"/>
        <v>1</v>
      </c>
      <c r="BW23" s="133"/>
      <c r="BX23" s="133"/>
      <c r="BY23" s="77"/>
    </row>
    <row r="24" s="288" customFormat="1" ht="15.75" customHeight="1" spans="1:77">
      <c r="A24" s="123" t="str">
        <f>IF(B24="","",COUNT(A$6:A22)+1)</f>
        <v/>
      </c>
      <c r="B24" s="322" t="s">
        <v>347</v>
      </c>
      <c r="C24" s="323" t="s">
        <v>347</v>
      </c>
      <c r="D24" s="324" t="s">
        <v>347</v>
      </c>
      <c r="E24" s="325" t="s">
        <v>347</v>
      </c>
      <c r="F24" s="325" t="s">
        <v>347</v>
      </c>
      <c r="G24" s="326"/>
      <c r="H24" s="326"/>
      <c r="I24" s="325"/>
      <c r="J24" s="325"/>
      <c r="K24" s="256"/>
      <c r="L24" s="256"/>
      <c r="M24" s="256"/>
      <c r="N24" s="256"/>
      <c r="O24" s="256"/>
      <c r="P24" s="320" t="str">
        <f t="shared" si="5"/>
        <v/>
      </c>
      <c r="Q24" s="256"/>
      <c r="R24" s="256"/>
      <c r="S24" s="256"/>
      <c r="T24" s="256"/>
      <c r="U24" s="256"/>
      <c r="V24" s="256"/>
      <c r="W24" s="256"/>
      <c r="X24" s="142"/>
      <c r="Y24" s="127" t="str">
        <f>IFERROR(VLOOKUP(X24,参数表!$H$2:$I$50,2,FALSE),"")</f>
        <v/>
      </c>
      <c r="Z24" s="128" t="str">
        <f t="shared" si="6"/>
        <v/>
      </c>
      <c r="AA24" s="320" t="str">
        <f t="shared" si="7"/>
        <v/>
      </c>
      <c r="AB24" s="256"/>
      <c r="AC24" s="320" t="str">
        <f t="shared" si="8"/>
        <v/>
      </c>
      <c r="AD24" s="320" t="str">
        <f t="shared" si="0"/>
        <v/>
      </c>
      <c r="AE24" s="320" t="str">
        <f t="shared" si="9"/>
        <v/>
      </c>
      <c r="AF24" s="327" t="s">
        <v>347</v>
      </c>
      <c r="BA24" s="78"/>
      <c r="BB24" s="132" t="s">
        <v>5220</v>
      </c>
      <c r="BC24" s="133"/>
      <c r="BD24" s="132" t="str">
        <f>IF(OR(B24="",BC24=""),"",COUNTIF(BC$7:BC24,"√"))</f>
        <v/>
      </c>
      <c r="BE24" s="134" t="str">
        <f t="shared" si="1"/>
        <v/>
      </c>
      <c r="BF24" s="135" t="str">
        <f t="shared" si="10"/>
        <v/>
      </c>
      <c r="BG24" s="135" t="str">
        <f t="shared" si="10"/>
        <v/>
      </c>
      <c r="BH24" s="136"/>
      <c r="BI24" s="137"/>
      <c r="BJ24" s="136"/>
      <c r="BK24" s="136"/>
      <c r="BL24" s="136"/>
      <c r="BM24" s="136"/>
      <c r="BN24" s="136"/>
      <c r="BO24" s="137"/>
      <c r="BP24" s="137"/>
      <c r="BQ24" s="77"/>
      <c r="BR24" s="134" t="str">
        <f>IF(COUNTIF(BR$7:BR23,B24)&gt;0,"",B24)&amp;""</f>
        <v/>
      </c>
      <c r="BS24" s="138">
        <f t="shared" si="2"/>
        <v>0</v>
      </c>
      <c r="BT24" s="132">
        <f t="shared" si="11"/>
        <v>1</v>
      </c>
      <c r="BU24" s="138">
        <f t="shared" si="4"/>
        <v>0</v>
      </c>
      <c r="BV24" s="132">
        <f t="shared" si="12"/>
        <v>1</v>
      </c>
      <c r="BW24" s="133"/>
      <c r="BX24" s="133"/>
      <c r="BY24" s="77"/>
    </row>
    <row r="25" s="288" customFormat="1" ht="15.75" customHeight="1" spans="1:77">
      <c r="A25" s="123" t="str">
        <f>IF(B25="","",COUNT(A$6:A23)+1)</f>
        <v/>
      </c>
      <c r="B25" s="322" t="s">
        <v>347</v>
      </c>
      <c r="C25" s="323" t="s">
        <v>347</v>
      </c>
      <c r="D25" s="324" t="s">
        <v>347</v>
      </c>
      <c r="E25" s="325" t="s">
        <v>347</v>
      </c>
      <c r="F25" s="325" t="s">
        <v>347</v>
      </c>
      <c r="G25" s="326"/>
      <c r="H25" s="326"/>
      <c r="I25" s="325"/>
      <c r="J25" s="325"/>
      <c r="K25" s="256"/>
      <c r="L25" s="256"/>
      <c r="M25" s="256"/>
      <c r="N25" s="256"/>
      <c r="O25" s="256"/>
      <c r="P25" s="320" t="str">
        <f t="shared" si="5"/>
        <v/>
      </c>
      <c r="Q25" s="256"/>
      <c r="R25" s="256"/>
      <c r="S25" s="256"/>
      <c r="T25" s="256"/>
      <c r="U25" s="256"/>
      <c r="V25" s="256"/>
      <c r="W25" s="256"/>
      <c r="X25" s="142"/>
      <c r="Y25" s="127" t="str">
        <f>IFERROR(VLOOKUP(X25,参数表!$H$2:$I$50,2,FALSE),"")</f>
        <v/>
      </c>
      <c r="Z25" s="128" t="str">
        <f t="shared" si="6"/>
        <v/>
      </c>
      <c r="AA25" s="320" t="str">
        <f t="shared" si="7"/>
        <v/>
      </c>
      <c r="AB25" s="256"/>
      <c r="AC25" s="320" t="str">
        <f t="shared" si="8"/>
        <v/>
      </c>
      <c r="AD25" s="320" t="str">
        <f t="shared" si="0"/>
        <v/>
      </c>
      <c r="AE25" s="320" t="str">
        <f t="shared" si="9"/>
        <v/>
      </c>
      <c r="AF25" s="327" t="s">
        <v>347</v>
      </c>
      <c r="BA25" s="78"/>
      <c r="BB25" s="132" t="s">
        <v>5221</v>
      </c>
      <c r="BC25" s="133"/>
      <c r="BD25" s="132" t="str">
        <f>IF(OR(B25="",BC25=""),"",COUNTIF(BC$7:BC25,"√"))</f>
        <v/>
      </c>
      <c r="BE25" s="134" t="str">
        <f t="shared" si="1"/>
        <v/>
      </c>
      <c r="BF25" s="135" t="str">
        <f t="shared" si="10"/>
        <v/>
      </c>
      <c r="BG25" s="135" t="str">
        <f t="shared" si="10"/>
        <v/>
      </c>
      <c r="BH25" s="136"/>
      <c r="BI25" s="137"/>
      <c r="BJ25" s="136"/>
      <c r="BK25" s="136"/>
      <c r="BL25" s="136"/>
      <c r="BM25" s="136"/>
      <c r="BN25" s="136"/>
      <c r="BO25" s="137"/>
      <c r="BP25" s="137"/>
      <c r="BQ25" s="77"/>
      <c r="BR25" s="134" t="str">
        <f>IF(COUNTIF(BR$7:BR24,B25)&gt;0,"",B25)&amp;""</f>
        <v/>
      </c>
      <c r="BS25" s="138">
        <f t="shared" si="2"/>
        <v>0</v>
      </c>
      <c r="BT25" s="132">
        <f t="shared" si="11"/>
        <v>1</v>
      </c>
      <c r="BU25" s="138">
        <f t="shared" si="4"/>
        <v>0</v>
      </c>
      <c r="BV25" s="132">
        <f t="shared" si="12"/>
        <v>1</v>
      </c>
      <c r="BW25" s="133"/>
      <c r="BX25" s="133"/>
      <c r="BY25" s="77"/>
    </row>
    <row r="26" s="288" customFormat="1" ht="15.75" customHeight="1" spans="1:77">
      <c r="A26" s="123" t="str">
        <f>IF(B26="","",COUNT(A$6:A24)+1)</f>
        <v/>
      </c>
      <c r="B26" s="322" t="s">
        <v>347</v>
      </c>
      <c r="C26" s="323" t="s">
        <v>347</v>
      </c>
      <c r="D26" s="324" t="s">
        <v>347</v>
      </c>
      <c r="E26" s="325" t="s">
        <v>347</v>
      </c>
      <c r="F26" s="325" t="s">
        <v>347</v>
      </c>
      <c r="G26" s="326"/>
      <c r="H26" s="326"/>
      <c r="I26" s="325"/>
      <c r="J26" s="325"/>
      <c r="K26" s="256"/>
      <c r="L26" s="256"/>
      <c r="M26" s="256"/>
      <c r="N26" s="256"/>
      <c r="O26" s="256"/>
      <c r="P26" s="320" t="str">
        <f t="shared" si="5"/>
        <v/>
      </c>
      <c r="Q26" s="256"/>
      <c r="R26" s="256"/>
      <c r="S26" s="256"/>
      <c r="T26" s="256"/>
      <c r="U26" s="256"/>
      <c r="V26" s="256"/>
      <c r="W26" s="256"/>
      <c r="X26" s="142"/>
      <c r="Y26" s="127" t="str">
        <f>IFERROR(VLOOKUP(X26,参数表!$H$2:$I$50,2,FALSE),"")</f>
        <v/>
      </c>
      <c r="Z26" s="128" t="str">
        <f t="shared" si="6"/>
        <v/>
      </c>
      <c r="AA26" s="320" t="str">
        <f t="shared" si="7"/>
        <v/>
      </c>
      <c r="AB26" s="256"/>
      <c r="AC26" s="320" t="str">
        <f t="shared" si="8"/>
        <v/>
      </c>
      <c r="AD26" s="320" t="str">
        <f t="shared" si="0"/>
        <v/>
      </c>
      <c r="AE26" s="320" t="str">
        <f t="shared" si="9"/>
        <v/>
      </c>
      <c r="AF26" s="327" t="s">
        <v>347</v>
      </c>
      <c r="BA26" s="78"/>
      <c r="BB26" s="132" t="s">
        <v>5222</v>
      </c>
      <c r="BC26" s="133"/>
      <c r="BD26" s="132" t="str">
        <f>IF(OR(B26="",BC26=""),"",COUNTIF(BC$7:BC26,"√"))</f>
        <v/>
      </c>
      <c r="BE26" s="134" t="str">
        <f t="shared" si="1"/>
        <v/>
      </c>
      <c r="BF26" s="135" t="str">
        <f t="shared" si="10"/>
        <v/>
      </c>
      <c r="BG26" s="135" t="str">
        <f t="shared" si="10"/>
        <v/>
      </c>
      <c r="BH26" s="136"/>
      <c r="BI26" s="137"/>
      <c r="BJ26" s="136"/>
      <c r="BK26" s="136"/>
      <c r="BL26" s="136"/>
      <c r="BM26" s="136"/>
      <c r="BN26" s="136"/>
      <c r="BO26" s="137"/>
      <c r="BP26" s="137"/>
      <c r="BQ26" s="77"/>
      <c r="BR26" s="134" t="str">
        <f>IF(COUNTIF(BR$7:BR25,B26)&gt;0,"",B26)&amp;""</f>
        <v/>
      </c>
      <c r="BS26" s="138">
        <f t="shared" si="2"/>
        <v>0</v>
      </c>
      <c r="BT26" s="132">
        <f t="shared" si="11"/>
        <v>1</v>
      </c>
      <c r="BU26" s="138">
        <f t="shared" si="4"/>
        <v>0</v>
      </c>
      <c r="BV26" s="132">
        <f t="shared" si="12"/>
        <v>1</v>
      </c>
      <c r="BW26" s="133"/>
      <c r="BX26" s="133"/>
      <c r="BY26" s="77"/>
    </row>
    <row r="27" s="288" customFormat="1" ht="15.75" customHeight="1" spans="1:77">
      <c r="A27" s="123" t="str">
        <f>IF(B27="","",COUNT(A$6:A25)+1)</f>
        <v/>
      </c>
      <c r="B27" s="315"/>
      <c r="C27" s="316"/>
      <c r="D27" s="317"/>
      <c r="E27" s="318"/>
      <c r="F27" s="318"/>
      <c r="G27" s="319"/>
      <c r="H27" s="319"/>
      <c r="I27" s="318"/>
      <c r="J27" s="318"/>
      <c r="K27" s="320"/>
      <c r="L27" s="320"/>
      <c r="M27" s="320"/>
      <c r="N27" s="320"/>
      <c r="O27" s="320"/>
      <c r="P27" s="320" t="str">
        <f t="shared" si="5"/>
        <v/>
      </c>
      <c r="Q27" s="320"/>
      <c r="R27" s="320"/>
      <c r="S27" s="320"/>
      <c r="T27" s="320"/>
      <c r="U27" s="320"/>
      <c r="V27" s="320"/>
      <c r="W27" s="320"/>
      <c r="X27" s="127"/>
      <c r="Y27" s="127" t="str">
        <f>IFERROR(VLOOKUP(X27,参数表!$H$2:$I$50,2,FALSE),"")</f>
        <v/>
      </c>
      <c r="Z27" s="128" t="str">
        <f t="shared" si="6"/>
        <v/>
      </c>
      <c r="AA27" s="320" t="str">
        <f t="shared" si="7"/>
        <v/>
      </c>
      <c r="AB27" s="320"/>
      <c r="AC27" s="320" t="str">
        <f t="shared" si="8"/>
        <v/>
      </c>
      <c r="AD27" s="320" t="str">
        <f t="shared" si="0"/>
        <v/>
      </c>
      <c r="AE27" s="320" t="str">
        <f t="shared" si="9"/>
        <v/>
      </c>
      <c r="AF27" s="321"/>
      <c r="BA27" s="78"/>
      <c r="BB27" s="132" t="s">
        <v>5223</v>
      </c>
      <c r="BC27" s="133"/>
      <c r="BD27" s="132" t="str">
        <f>IF(OR(B27="",BC27=""),"",COUNTIF(BC$7:BC27,"√"))</f>
        <v/>
      </c>
      <c r="BE27" s="134" t="str">
        <f t="shared" si="1"/>
        <v/>
      </c>
      <c r="BF27" s="135" t="str">
        <f t="shared" si="10"/>
        <v/>
      </c>
      <c r="BG27" s="135" t="str">
        <f t="shared" si="10"/>
        <v/>
      </c>
      <c r="BH27" s="136"/>
      <c r="BI27" s="137"/>
      <c r="BJ27" s="136"/>
      <c r="BK27" s="136"/>
      <c r="BL27" s="136"/>
      <c r="BM27" s="136"/>
      <c r="BN27" s="136"/>
      <c r="BO27" s="137"/>
      <c r="BP27" s="137"/>
      <c r="BQ27" s="77"/>
      <c r="BR27" s="134" t="str">
        <f>IF(COUNTIF(BR$7:BR26,B27)&gt;0,"",B27)&amp;""</f>
        <v/>
      </c>
      <c r="BS27" s="138">
        <f t="shared" si="2"/>
        <v>0</v>
      </c>
      <c r="BT27" s="132">
        <f t="shared" si="11"/>
        <v>1</v>
      </c>
      <c r="BU27" s="138">
        <f t="shared" si="4"/>
        <v>0</v>
      </c>
      <c r="BV27" s="132">
        <f t="shared" si="12"/>
        <v>1</v>
      </c>
      <c r="BW27" s="133"/>
      <c r="BX27" s="133"/>
      <c r="BY27" s="77"/>
    </row>
    <row r="28" s="289" customFormat="1" ht="15.75" customHeight="1" spans="1:77">
      <c r="A28" s="328" t="s">
        <v>1988</v>
      </c>
      <c r="B28" s="328"/>
      <c r="C28" s="329" t="s">
        <v>347</v>
      </c>
      <c r="D28" s="330" t="s">
        <v>347</v>
      </c>
      <c r="E28" s="328" t="s">
        <v>347</v>
      </c>
      <c r="F28" s="328" t="s">
        <v>347</v>
      </c>
      <c r="G28" s="328"/>
      <c r="H28" s="328"/>
      <c r="I28" s="328"/>
      <c r="J28" s="328"/>
      <c r="K28" s="331"/>
      <c r="L28" s="331"/>
      <c r="M28" s="331"/>
      <c r="N28" s="331"/>
      <c r="O28" s="331"/>
      <c r="P28" s="331">
        <f>SUM(P8:P27)</f>
        <v>0</v>
      </c>
      <c r="Q28" s="331"/>
      <c r="R28" s="331"/>
      <c r="S28" s="331"/>
      <c r="T28" s="331"/>
      <c r="U28" s="331"/>
      <c r="V28" s="331"/>
      <c r="W28" s="331"/>
      <c r="X28" s="331"/>
      <c r="Y28" s="331"/>
      <c r="Z28" s="331"/>
      <c r="AA28" s="331">
        <f>SUM(AA8:AA27)</f>
        <v>0</v>
      </c>
      <c r="AB28" s="331"/>
      <c r="AC28" s="331">
        <f>SUM(AC8:AC27)</f>
        <v>0</v>
      </c>
      <c r="AD28" s="331">
        <f>SUM(AD8:AD27)</f>
        <v>0</v>
      </c>
      <c r="AE28" s="331" t="str">
        <f>IF(AC28=0,"",(AD28-AC28)/AC28*100)</f>
        <v/>
      </c>
      <c r="AF28" s="332" t="s">
        <v>347</v>
      </c>
      <c r="BF28" s="73"/>
      <c r="BG28" s="73"/>
      <c r="BH28" s="72"/>
      <c r="BI28" s="73"/>
      <c r="BJ28" s="72"/>
      <c r="BK28" s="72"/>
      <c r="BL28" s="72"/>
      <c r="BM28" s="72"/>
      <c r="BN28" s="72"/>
      <c r="BO28" s="73"/>
      <c r="BP28" s="73"/>
      <c r="BQ28" s="111"/>
      <c r="BR28" s="119"/>
      <c r="BS28" s="77"/>
      <c r="BT28" s="77"/>
      <c r="BU28" s="77"/>
      <c r="BV28" s="119"/>
      <c r="BW28" s="119"/>
      <c r="BX28" s="119"/>
      <c r="BY28" s="111"/>
    </row>
    <row r="29" ht="15.75" customHeight="1" spans="1:77">
      <c r="A29" s="299" t="str">
        <f>参数表!F$6</f>
        <v>产权持有单位填表人：贾广东</v>
      </c>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333"/>
      <c r="AB29" s="333"/>
      <c r="AC29" s="333"/>
      <c r="AD29" s="107" t="str">
        <f>预付账款!Q31</f>
        <v>评估人员：栗祥宁</v>
      </c>
      <c r="AE29" s="107"/>
      <c r="AF29" s="107"/>
      <c r="BB29" s="229"/>
      <c r="BC29" s="229"/>
      <c r="BD29" s="229"/>
      <c r="BE29" s="229"/>
      <c r="BL29" s="165"/>
      <c r="BM29" s="165"/>
      <c r="BN29" s="165"/>
      <c r="BO29" s="75"/>
      <c r="BP29" s="75"/>
    </row>
    <row r="30" ht="15.75" customHeight="1" spans="1:77">
      <c r="A30" s="334" t="str">
        <f>参数表!F$7</f>
        <v>填表日期：2025年9月20日</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row>
    <row r="31" ht="12.75" hidden="1" customHeight="1" outlineLevel="1" spans="1:77">
      <c r="B31" s="154" t="s">
        <v>1673</v>
      </c>
      <c r="AA31" s="335">
        <f>SUMIF($BA8:$BA27,$BA31,AA8:AA27)</f>
        <v>0</v>
      </c>
      <c r="AB31" s="336"/>
      <c r="AC31" s="335">
        <f>SUMIF($BA8:$BA27,$BA31,AC8:AC27)</f>
        <v>0</v>
      </c>
      <c r="AD31" s="335">
        <f>SUMIF($BA8:$BA27,$BA31,AD8:AD27)</f>
        <v>0</v>
      </c>
      <c r="BA31" s="161" t="s">
        <v>1674</v>
      </c>
      <c r="BH31" s="95" t="s">
        <v>1675</v>
      </c>
      <c r="BJ31" s="95" t="s">
        <v>1675</v>
      </c>
      <c r="BK31" s="95" t="s">
        <v>1675</v>
      </c>
      <c r="BL31" s="95" t="s">
        <v>1675</v>
      </c>
      <c r="BM31" s="162" t="s">
        <v>1674</v>
      </c>
      <c r="BN31" s="162" t="s">
        <v>1674</v>
      </c>
    </row>
    <row r="32" ht="12.75" hidden="1" customHeight="1" outlineLevel="1" spans="1:77">
      <c r="B32" s="154" t="s">
        <v>1676</v>
      </c>
      <c r="AA32" s="335">
        <f>AA28-AA31</f>
        <v>0</v>
      </c>
      <c r="AB32" s="336"/>
      <c r="AC32" s="335">
        <f>AC28-AC31</f>
        <v>0</v>
      </c>
      <c r="AD32" s="335">
        <f>AD28-AD31</f>
        <v>0</v>
      </c>
      <c r="BA32" s="161" t="s">
        <v>1677</v>
      </c>
      <c r="BH32" s="95" t="s">
        <v>1678</v>
      </c>
      <c r="BJ32" s="95" t="s">
        <v>1678</v>
      </c>
      <c r="BK32" s="95" t="s">
        <v>1678</v>
      </c>
      <c r="BL32" s="95" t="s">
        <v>1678</v>
      </c>
      <c r="BM32" s="162" t="s">
        <v>1677</v>
      </c>
      <c r="BN32" s="162" t="s">
        <v>1677</v>
      </c>
    </row>
    <row r="33" collapsed="1"/>
  </sheetData>
  <sheetProtection autoFilter="0"/>
  <mergeCells count="42">
    <mergeCell ref="A2:AF2"/>
    <mergeCell ref="A3:AF3"/>
    <mergeCell ref="K6:P6"/>
    <mergeCell ref="X6:Z6"/>
    <mergeCell ref="BW8:BY8"/>
    <mergeCell ref="BW9:BY9"/>
    <mergeCell ref="BX15:BY15"/>
    <mergeCell ref="A28:B28"/>
    <mergeCell ref="A6:A7"/>
    <mergeCell ref="B6:B7"/>
    <mergeCell ref="C6:C7"/>
    <mergeCell ref="D6:D7"/>
    <mergeCell ref="E6:E7"/>
    <mergeCell ref="F6:F7"/>
    <mergeCell ref="G6:G7"/>
    <mergeCell ref="H6:H7"/>
    <mergeCell ref="I6:I7"/>
    <mergeCell ref="J6:J7"/>
    <mergeCell ref="Q6:Q7"/>
    <mergeCell ref="R6:R7"/>
    <mergeCell ref="S6:S7"/>
    <mergeCell ref="T6:T7"/>
    <mergeCell ref="U6:U7"/>
    <mergeCell ref="V6:V7"/>
    <mergeCell ref="W6:W7"/>
    <mergeCell ref="AA6:AA7"/>
    <mergeCell ref="AB6:AB7"/>
    <mergeCell ref="AC6:AC7"/>
    <mergeCell ref="AD6:AD7"/>
    <mergeCell ref="AE6:AE7"/>
    <mergeCell ref="AF6:AF7"/>
    <mergeCell ref="BF6:BF7"/>
    <mergeCell ref="BG6:BG7"/>
    <mergeCell ref="BH6:BH7"/>
    <mergeCell ref="BI6:BI7"/>
    <mergeCell ref="BJ6:BJ7"/>
    <mergeCell ref="BK6:BK7"/>
    <mergeCell ref="BL6:BL7"/>
    <mergeCell ref="BM6:BM7"/>
    <mergeCell ref="BN6:BN7"/>
    <mergeCell ref="BO6:BO7"/>
    <mergeCell ref="BP6:BP7"/>
  </mergeCells>
  <conditionalFormatting sqref="BI8:BI27">
    <cfRule type="expression" dxfId="5" priority="13" stopIfTrue="1">
      <formula>AND(BH8="有",BI8="")</formula>
    </cfRule>
  </conditionalFormatting>
  <conditionalFormatting sqref="BO8:BO27">
    <cfRule type="expression" dxfId="5" priority="10" stopIfTrue="1">
      <formula>AND(BM8="无",BO8="")</formula>
    </cfRule>
  </conditionalFormatting>
  <conditionalFormatting sqref="BF8:BG27">
    <cfRule type="containsText" dxfId="6" priority="1" stopIfTrue="1" operator="between" text="出错">
      <formula>NOT(ISERROR(SEARCH("出错",BF8)))</formula>
    </cfRule>
  </conditionalFormatting>
  <conditionalFormatting sqref="BH8:BH27 BJ8:BN27">
    <cfRule type="expression" dxfId="5" priority="11" stopIfTrue="1">
      <formula>AND($B8&lt;&gt;"",BH8="")</formula>
    </cfRule>
  </conditionalFormatting>
  <dataValidations count="6">
    <dataValidation allowBlank="1" showInputMessage="1" showErrorMessage="1" prompt="①发生日期：指利息结算日，填写到日，如2012年12月31日；②利息所属期间：如2012.10.1-2012.12.31" sqref="A2"/>
    <dataValidation type="list" allowBlank="1" showInputMessage="1" showErrorMessage="1" sqref="BH7 BJ7:BM7">
      <formula1>"有,无"</formula1>
    </dataValidation>
    <dataValidation type="list" allowBlank="1" showInputMessage="1" showErrorMessage="1" sqref="X8:X27">
      <formula1>OFFSET(参数表!$H$2:$H$50,,,COUNTA(参数表!$H$2:$H$50))</formula1>
    </dataValidation>
    <dataValidation type="list" allowBlank="1" showInputMessage="1" showErrorMessage="1" sqref="BA8:BA27 BA31:BA32">
      <formula1>"是,否"</formula1>
    </dataValidation>
    <dataValidation type="list" allowBlank="1" showInputMessage="1" showErrorMessage="1" sqref="BC8:BC27">
      <formula1>"  ,√"</formula1>
    </dataValidation>
    <dataValidation type="list" allowBlank="1" showInputMessage="1" showErrorMessage="1" sqref="BH8:BH27 BJ8:BN27">
      <formula1>BH$31:BH$32</formula1>
    </dataValidation>
  </dataValidations>
  <hyperlinks>
    <hyperlink ref="A1" location="索引目录!E27" display="返回索引页"/>
    <hyperlink ref="B1" location="存货汇总!B15"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
    <tabColor rgb="FF00B0F0"/>
  </sheetPr>
  <dimension ref="A1:BL835"/>
  <sheetViews>
    <sheetView workbookViewId="0">
      <pane xSplit="1" ySplit="4" topLeftCell="B393" activePane="bottomRight" state="frozen"/>
      <selection/>
      <selection pane="topRight"/>
      <selection pane="bottomLeft"/>
      <selection pane="bottomRight" activeCell="B413" sqref="B413"/>
    </sheetView>
  </sheetViews>
  <sheetFormatPr defaultColWidth="9" defaultRowHeight="13.2"/>
  <cols>
    <col min="1" max="1" width="9.2" style="1661" customWidth="1"/>
    <col min="2" max="3" width="8" style="288" customWidth="1"/>
    <col min="4" max="4" width="6.3" style="288" customWidth="1"/>
    <col min="5" max="5" width="1.6" style="288" customWidth="1"/>
    <col min="6" max="8" width="6.3" style="288" customWidth="1"/>
    <col min="9" max="9" width="1.6" style="288" customWidth="1"/>
    <col min="10" max="12" width="5.6" style="288" customWidth="1"/>
    <col min="13" max="13" width="1.6" style="288" customWidth="1"/>
    <col min="14" max="18" width="5.6" style="1662" customWidth="1"/>
    <col min="19" max="19" width="1.6" style="288" customWidth="1"/>
    <col min="20" max="21" width="8.6" style="1662" customWidth="1"/>
    <col min="22" max="22" width="1.6" style="288" customWidth="1"/>
    <col min="23" max="26" width="8.6" style="1662" customWidth="1"/>
    <col min="27" max="27" width="1.6" style="288" customWidth="1"/>
    <col min="28" max="29" width="8.6" style="1663" customWidth="1"/>
    <col min="30" max="30" width="1.6" style="288" customWidth="1"/>
    <col min="31" max="54" width="6.6" style="1664" customWidth="1"/>
    <col min="55" max="55" width="1.6" style="288" customWidth="1"/>
    <col min="56" max="56" width="10.3" style="288" customWidth="1"/>
    <col min="57" max="58" width="3.7" style="288" customWidth="1"/>
    <col min="59" max="59" width="3" style="288" customWidth="1"/>
    <col min="60" max="60" width="25.1" style="288" customWidth="1"/>
    <col min="61" max="61" width="3.7" style="288" customWidth="1"/>
    <col min="62" max="62" width="16" style="288" customWidth="1"/>
    <col min="63" max="63" width="3" style="288" customWidth="1"/>
    <col min="64" max="64" width="6" style="288" customWidth="1"/>
    <col min="65" max="16384" width="9" style="288"/>
  </cols>
  <sheetData>
    <row r="1" spans="1:64">
      <c r="A1" s="1665">
        <f>COLUMN()</f>
        <v>1</v>
      </c>
      <c r="B1" s="1666">
        <f>COLUMN()</f>
        <v>2</v>
      </c>
      <c r="C1" s="1666">
        <f>COLUMN()</f>
        <v>3</v>
      </c>
      <c r="D1" s="1666">
        <f>COLUMN()</f>
        <v>4</v>
      </c>
      <c r="F1" s="1666">
        <f>COLUMN()</f>
        <v>6</v>
      </c>
      <c r="G1" s="1666">
        <f>COLUMN()</f>
        <v>7</v>
      </c>
      <c r="H1" s="1666">
        <f>COLUMN()</f>
        <v>8</v>
      </c>
      <c r="J1" s="1666">
        <f>COLUMN()</f>
        <v>10</v>
      </c>
      <c r="K1" s="1666">
        <f>COLUMN()</f>
        <v>11</v>
      </c>
      <c r="L1" s="1666">
        <f>COLUMN()</f>
        <v>12</v>
      </c>
      <c r="N1" s="1666">
        <f>COLUMN()</f>
        <v>14</v>
      </c>
      <c r="O1" s="1666">
        <f>COLUMN()</f>
        <v>15</v>
      </c>
      <c r="P1" s="1666">
        <f>COLUMN()</f>
        <v>16</v>
      </c>
      <c r="Q1" s="1666">
        <f>COLUMN()</f>
        <v>17</v>
      </c>
      <c r="R1" s="1666">
        <f>COLUMN()</f>
        <v>18</v>
      </c>
      <c r="T1" s="1666">
        <f>COLUMN()</f>
        <v>20</v>
      </c>
      <c r="U1" s="1666">
        <f>COLUMN()</f>
        <v>21</v>
      </c>
      <c r="W1" s="1666">
        <f>COLUMN()</f>
        <v>23</v>
      </c>
      <c r="X1" s="1666">
        <f>COLUMN()</f>
        <v>24</v>
      </c>
      <c r="Y1" s="1666">
        <f>COLUMN()</f>
        <v>25</v>
      </c>
      <c r="Z1" s="1666">
        <f>COLUMN()</f>
        <v>26</v>
      </c>
      <c r="AB1" s="1666">
        <f>COLUMN()</f>
        <v>28</v>
      </c>
      <c r="AC1" s="1666">
        <f>COLUMN()</f>
        <v>29</v>
      </c>
      <c r="AE1" s="1666">
        <f t="shared" ref="AE1:BB1" si="0">COLUMN()</f>
        <v>31</v>
      </c>
      <c r="AF1" s="1666">
        <f t="shared" si="0"/>
        <v>32</v>
      </c>
      <c r="AG1" s="1666">
        <f t="shared" si="0"/>
        <v>33</v>
      </c>
      <c r="AH1" s="1666">
        <f t="shared" si="0"/>
        <v>34</v>
      </c>
      <c r="AI1" s="1666">
        <f t="shared" si="0"/>
        <v>35</v>
      </c>
      <c r="AJ1" s="1666">
        <f t="shared" si="0"/>
        <v>36</v>
      </c>
      <c r="AK1" s="1666">
        <f t="shared" si="0"/>
        <v>37</v>
      </c>
      <c r="AL1" s="1666">
        <f t="shared" si="0"/>
        <v>38</v>
      </c>
      <c r="AM1" s="1666">
        <f t="shared" si="0"/>
        <v>39</v>
      </c>
      <c r="AN1" s="1666">
        <f t="shared" si="0"/>
        <v>40</v>
      </c>
      <c r="AO1" s="1666">
        <f t="shared" si="0"/>
        <v>41</v>
      </c>
      <c r="AP1" s="1666">
        <f t="shared" si="0"/>
        <v>42</v>
      </c>
      <c r="AQ1" s="1666">
        <f t="shared" si="0"/>
        <v>43</v>
      </c>
      <c r="AR1" s="1666">
        <f t="shared" si="0"/>
        <v>44</v>
      </c>
      <c r="AS1" s="1666">
        <f t="shared" si="0"/>
        <v>45</v>
      </c>
      <c r="AT1" s="1666">
        <f t="shared" si="0"/>
        <v>46</v>
      </c>
      <c r="AU1" s="1666">
        <f t="shared" si="0"/>
        <v>47</v>
      </c>
      <c r="AV1" s="1666">
        <f t="shared" si="0"/>
        <v>48</v>
      </c>
      <c r="AW1" s="1666">
        <f t="shared" si="0"/>
        <v>49</v>
      </c>
      <c r="AX1" s="1666">
        <f t="shared" si="0"/>
        <v>50</v>
      </c>
      <c r="AY1" s="1666">
        <f t="shared" si="0"/>
        <v>51</v>
      </c>
      <c r="AZ1" s="1666">
        <f t="shared" si="0"/>
        <v>52</v>
      </c>
      <c r="BA1" s="1666">
        <f t="shared" si="0"/>
        <v>53</v>
      </c>
      <c r="BB1" s="1666">
        <f t="shared" si="0"/>
        <v>54</v>
      </c>
    </row>
    <row r="2" s="289" customFormat="1" ht="15.75" customHeight="1" spans="1:64">
      <c r="A2" s="1667" t="s">
        <v>467</v>
      </c>
      <c r="B2" s="1385" t="s">
        <v>468</v>
      </c>
      <c r="C2" s="1385"/>
      <c r="D2" s="1385"/>
      <c r="F2" s="1668" t="s">
        <v>469</v>
      </c>
      <c r="G2" s="1385"/>
      <c r="H2" s="1385"/>
      <c r="J2" s="1385" t="s">
        <v>470</v>
      </c>
      <c r="K2" s="1385"/>
      <c r="L2" s="1385"/>
      <c r="N2" s="1669" t="s">
        <v>471</v>
      </c>
      <c r="O2" s="1669"/>
      <c r="P2" s="1669"/>
      <c r="Q2" s="1669"/>
      <c r="R2" s="1669"/>
      <c r="T2" s="1669" t="s">
        <v>472</v>
      </c>
      <c r="U2" s="1669"/>
      <c r="W2" s="1669" t="s">
        <v>473</v>
      </c>
      <c r="X2" s="1669"/>
      <c r="Y2" s="1669"/>
      <c r="Z2" s="1669"/>
      <c r="AB2" s="1670" t="s">
        <v>474</v>
      </c>
      <c r="AC2" s="1671"/>
      <c r="AE2" s="1672" t="s">
        <v>475</v>
      </c>
      <c r="AF2" s="1673"/>
      <c r="AG2" s="1673"/>
      <c r="AH2" s="1673"/>
      <c r="AI2" s="1673"/>
      <c r="AJ2" s="1673"/>
      <c r="AK2" s="1673"/>
      <c r="AL2" s="1673"/>
      <c r="AM2" s="1673"/>
      <c r="AN2" s="1673"/>
      <c r="AO2" s="1673"/>
      <c r="AP2" s="1673"/>
      <c r="AQ2" s="1673"/>
      <c r="AR2" s="1673"/>
      <c r="AS2" s="1673"/>
      <c r="AT2" s="1673"/>
      <c r="AU2" s="1673"/>
      <c r="AV2" s="1673"/>
      <c r="AW2" s="1673"/>
      <c r="AX2" s="1673"/>
      <c r="AY2" s="1673"/>
      <c r="AZ2" s="1673"/>
      <c r="BA2" s="1673"/>
      <c r="BB2" s="1674"/>
    </row>
    <row r="3" s="964" customFormat="1" spans="1:64">
      <c r="A3" s="1667"/>
      <c r="B3" s="1385" t="s">
        <v>476</v>
      </c>
      <c r="C3" s="1385" t="s">
        <v>477</v>
      </c>
      <c r="D3" s="1668" t="s">
        <v>478</v>
      </c>
      <c r="F3" s="1385" t="s">
        <v>476</v>
      </c>
      <c r="G3" s="1385" t="s">
        <v>477</v>
      </c>
      <c r="H3" s="1668" t="s">
        <v>478</v>
      </c>
      <c r="J3" s="1385" t="s">
        <v>479</v>
      </c>
      <c r="K3" s="1385" t="s">
        <v>480</v>
      </c>
      <c r="L3" s="1385" t="s">
        <v>481</v>
      </c>
      <c r="N3" s="1669" t="s">
        <v>482</v>
      </c>
      <c r="O3" s="1669" t="s">
        <v>483</v>
      </c>
      <c r="P3" s="1669" t="s">
        <v>484</v>
      </c>
      <c r="Q3" s="1669" t="s">
        <v>485</v>
      </c>
      <c r="R3" s="1669" t="s">
        <v>486</v>
      </c>
      <c r="T3" s="1669" t="s">
        <v>487</v>
      </c>
      <c r="U3" s="1669" t="s">
        <v>488</v>
      </c>
      <c r="W3" s="1669" t="s">
        <v>489</v>
      </c>
      <c r="X3" s="1669" t="s">
        <v>490</v>
      </c>
      <c r="Y3" s="1669" t="s">
        <v>491</v>
      </c>
      <c r="Z3" s="1669" t="s">
        <v>492</v>
      </c>
      <c r="AB3" s="1669" t="s">
        <v>493</v>
      </c>
      <c r="AC3" s="1669" t="s">
        <v>494</v>
      </c>
      <c r="AE3" s="1675" t="s">
        <v>495</v>
      </c>
      <c r="AF3" s="1675" t="s">
        <v>496</v>
      </c>
      <c r="AG3" s="1675" t="s">
        <v>497</v>
      </c>
      <c r="AH3" s="1675" t="s">
        <v>498</v>
      </c>
      <c r="AI3" s="1675" t="s">
        <v>499</v>
      </c>
      <c r="AJ3" s="1675" t="s">
        <v>500</v>
      </c>
      <c r="AK3" s="1675" t="s">
        <v>501</v>
      </c>
      <c r="AL3" s="1675" t="s">
        <v>502</v>
      </c>
      <c r="AM3" s="1675" t="s">
        <v>503</v>
      </c>
      <c r="AN3" s="1675" t="s">
        <v>504</v>
      </c>
      <c r="AO3" s="1675" t="s">
        <v>505</v>
      </c>
      <c r="AP3" s="1675" t="s">
        <v>506</v>
      </c>
      <c r="AQ3" s="1675" t="s">
        <v>507</v>
      </c>
      <c r="AR3" s="1675" t="s">
        <v>508</v>
      </c>
      <c r="AS3" s="1675" t="s">
        <v>509</v>
      </c>
      <c r="AT3" s="1675" t="s">
        <v>510</v>
      </c>
      <c r="AU3" s="1675" t="s">
        <v>511</v>
      </c>
      <c r="AV3" s="1675" t="s">
        <v>512</v>
      </c>
      <c r="AW3" s="1675" t="s">
        <v>513</v>
      </c>
      <c r="AX3" s="1675" t="s">
        <v>514</v>
      </c>
      <c r="AY3" s="1675" t="s">
        <v>515</v>
      </c>
      <c r="AZ3" s="1675" t="s">
        <v>516</v>
      </c>
      <c r="BA3" s="1675" t="s">
        <v>517</v>
      </c>
      <c r="BB3" s="1675" t="s">
        <v>518</v>
      </c>
      <c r="BD3" s="1676" t="s">
        <v>519</v>
      </c>
      <c r="BE3" s="1677"/>
      <c r="BF3" s="1677"/>
      <c r="BG3" s="1677"/>
      <c r="BH3" s="1677"/>
      <c r="BI3" s="1677"/>
      <c r="BJ3" s="1677"/>
      <c r="BK3" s="1677"/>
      <c r="BL3" s="1677"/>
    </row>
    <row r="4" spans="1:64">
      <c r="A4" s="326">
        <v>28490</v>
      </c>
      <c r="B4" s="1678">
        <v>100</v>
      </c>
      <c r="C4" s="1679">
        <f>B4/100</f>
        <v>1</v>
      </c>
      <c r="D4" s="1679">
        <f>PRODUCT(C$4:C4)</f>
        <v>1</v>
      </c>
      <c r="F4" s="1678">
        <v>100</v>
      </c>
      <c r="G4" s="1679">
        <f>F4/100</f>
        <v>1</v>
      </c>
      <c r="H4" s="1679">
        <f>PRODUCT(G$4:G4)</f>
        <v>1</v>
      </c>
      <c r="J4" s="1680">
        <v>0</v>
      </c>
      <c r="K4" s="1680">
        <v>0</v>
      </c>
      <c r="L4" s="1680">
        <v>0</v>
      </c>
      <c r="N4" s="1681"/>
      <c r="O4" s="1681"/>
      <c r="P4" s="1681"/>
      <c r="Q4" s="1681"/>
      <c r="R4" s="1681"/>
      <c r="T4" s="1681"/>
      <c r="U4" s="1681"/>
      <c r="W4" s="1681">
        <f>Q4</f>
        <v>0</v>
      </c>
      <c r="X4" s="1681"/>
      <c r="Y4" s="1681">
        <f>R4</f>
        <v>0</v>
      </c>
      <c r="Z4" s="1681"/>
      <c r="AB4" s="1682"/>
      <c r="AC4" s="1682"/>
      <c r="AE4" s="1683"/>
      <c r="AF4" s="1683"/>
      <c r="AG4" s="1683"/>
      <c r="AH4" s="1683"/>
      <c r="AI4" s="1683"/>
      <c r="AJ4" s="1683"/>
      <c r="AK4" s="1683"/>
      <c r="AL4" s="1683"/>
      <c r="AM4" s="1683"/>
      <c r="AN4" s="1683"/>
      <c r="AO4" s="1683"/>
      <c r="AP4" s="1683"/>
      <c r="AQ4" s="1683"/>
      <c r="AR4" s="1683"/>
      <c r="AS4" s="1683"/>
      <c r="AT4" s="1683"/>
      <c r="AU4" s="1683"/>
      <c r="AV4" s="1683"/>
      <c r="AW4" s="1683"/>
      <c r="AX4" s="1683"/>
      <c r="AY4" s="1683"/>
      <c r="AZ4" s="1683"/>
      <c r="BA4" s="1683"/>
      <c r="BB4" s="1683"/>
      <c r="BD4" s="1684" t="s">
        <v>495</v>
      </c>
      <c r="BE4" s="1684">
        <v>1</v>
      </c>
      <c r="BF4" s="1684">
        <f>FIND(BG4,BD$3,BE4)</f>
        <v>15</v>
      </c>
      <c r="BG4" s="1685" t="str">
        <f>"，"</f>
        <v>，</v>
      </c>
      <c r="BH4" s="1684" t="str">
        <f>MID(BD$3,BE4,BF4-BE4)</f>
        <v>1美元对人民币6.9646元</v>
      </c>
      <c r="BI4" s="1684">
        <f>1</f>
        <v>1</v>
      </c>
      <c r="BJ4" s="1684" t="str">
        <f>RIGHT(BH4,LEN(BH4)-FIND(BK4,BH4))</f>
        <v>6.9646元</v>
      </c>
      <c r="BK4" s="1685" t="str">
        <f>"币"</f>
        <v>币</v>
      </c>
      <c r="BL4" s="1684">
        <f>ROUND(IF(BK4="币",LEFT(BJ4,LEN(BJ4)*2-LENB(BJ4))/BI4,BI4/LEFT(BJ4,LEN(BJ4)*2-LENB(BJ4))),4)</f>
        <v>6.9646</v>
      </c>
    </row>
    <row r="5" spans="1:64">
      <c r="A5" s="326">
        <f>DATE(YEAR(A4)+1,MONTH(A4),DAY(A4))</f>
        <v>28855</v>
      </c>
      <c r="B5" s="1678">
        <v>100.1</v>
      </c>
      <c r="C5" s="1679">
        <f t="shared" ref="C5:C68" si="1">B5/100</f>
        <v>1.001</v>
      </c>
      <c r="D5" s="1679">
        <f>PRODUCT(C$4:C5)</f>
        <v>1.001</v>
      </c>
      <c r="F5" s="1678">
        <v>100</v>
      </c>
      <c r="G5" s="1679">
        <f t="shared" ref="G5:G68" si="2">F5/100</f>
        <v>1</v>
      </c>
      <c r="H5" s="1679">
        <f>PRODUCT(G$4:G5)</f>
        <v>1</v>
      </c>
      <c r="J5" s="1680">
        <v>0</v>
      </c>
      <c r="K5" s="1680">
        <v>0</v>
      </c>
      <c r="L5" s="1680">
        <v>0</v>
      </c>
      <c r="N5" s="1681"/>
      <c r="O5" s="1681"/>
      <c r="P5" s="1681"/>
      <c r="Q5" s="1681"/>
      <c r="R5" s="1681"/>
      <c r="T5" s="1681"/>
      <c r="U5" s="1681"/>
      <c r="W5" s="1681">
        <f t="shared" ref="W5:W68" si="3">Q5</f>
        <v>0</v>
      </c>
      <c r="X5" s="1681"/>
      <c r="Y5" s="1681">
        <f t="shared" ref="Y5:Y68" si="4">R5</f>
        <v>0</v>
      </c>
      <c r="Z5" s="1681"/>
      <c r="AB5" s="1682"/>
      <c r="AC5" s="1682"/>
      <c r="AE5" s="1683"/>
      <c r="AF5" s="1683"/>
      <c r="AG5" s="1683"/>
      <c r="AH5" s="1683"/>
      <c r="AI5" s="1683"/>
      <c r="AJ5" s="1683"/>
      <c r="AK5" s="1683"/>
      <c r="AL5" s="1683"/>
      <c r="AM5" s="1683"/>
      <c r="AN5" s="1683"/>
      <c r="AO5" s="1683"/>
      <c r="AP5" s="1683"/>
      <c r="AQ5" s="1683"/>
      <c r="AR5" s="1683"/>
      <c r="AS5" s="1683"/>
      <c r="AT5" s="1683"/>
      <c r="AU5" s="1683"/>
      <c r="AV5" s="1683"/>
      <c r="AW5" s="1683"/>
      <c r="AX5" s="1683"/>
      <c r="AY5" s="1683"/>
      <c r="AZ5" s="1683"/>
      <c r="BA5" s="1683"/>
      <c r="BB5" s="1683"/>
      <c r="BD5" s="1684" t="s">
        <v>496</v>
      </c>
      <c r="BE5" s="1684">
        <f>BF4+1</f>
        <v>16</v>
      </c>
      <c r="BF5" s="1684">
        <f t="shared" ref="BF5:BF27" si="5">FIND(BG5,BD$3,BE5)</f>
        <v>30</v>
      </c>
      <c r="BG5" s="1685" t="str">
        <f t="shared" ref="BG5:BG17" si="6">"，"</f>
        <v>，</v>
      </c>
      <c r="BH5" s="1684" t="str">
        <f t="shared" ref="BH5:BH27" si="7">MID(BD$3,BE5,BF5-BE5)</f>
        <v>1欧元对人民币7.4229元</v>
      </c>
      <c r="BI5" s="1684">
        <f>1</f>
        <v>1</v>
      </c>
      <c r="BJ5" s="1684" t="str">
        <f t="shared" ref="BJ5:BJ27" si="8">RIGHT(BH5,LEN(BH5)-FIND(BK5,BH5))</f>
        <v>7.4229元</v>
      </c>
      <c r="BK5" s="1685" t="str">
        <f t="shared" ref="BK5:BK13" si="9">"币"</f>
        <v>币</v>
      </c>
      <c r="BL5" s="1684">
        <f t="shared" ref="BL5:BL27" si="10">ROUND(IF(BK5="币",LEFT(BJ5,LEN(BJ5)*2-LENB(BJ5))/BI5,BI5/LEFT(BJ5,LEN(BJ5)*2-LENB(BJ5))),4)</f>
        <v>7.4229</v>
      </c>
    </row>
    <row r="6" spans="1:64">
      <c r="A6" s="326">
        <f>DATE(YEAR(A5)+1,MONTH(A5),DAY(A5))</f>
        <v>29220</v>
      </c>
      <c r="B6" s="1678">
        <v>101.5</v>
      </c>
      <c r="C6" s="1679">
        <f t="shared" si="1"/>
        <v>1.015</v>
      </c>
      <c r="D6" s="1679">
        <f>PRODUCT(C$4:C6)</f>
        <v>1.016015</v>
      </c>
      <c r="F6" s="1678">
        <v>100</v>
      </c>
      <c r="G6" s="1679">
        <f t="shared" si="2"/>
        <v>1</v>
      </c>
      <c r="H6" s="1679">
        <f>PRODUCT(G$4:G6)</f>
        <v>1</v>
      </c>
      <c r="J6" s="1680">
        <v>0</v>
      </c>
      <c r="K6" s="1680">
        <v>0</v>
      </c>
      <c r="L6" s="1680">
        <v>0</v>
      </c>
      <c r="N6" s="1681"/>
      <c r="O6" s="1681"/>
      <c r="P6" s="1681"/>
      <c r="Q6" s="1681"/>
      <c r="R6" s="1681"/>
      <c r="T6" s="1681"/>
      <c r="U6" s="1681"/>
      <c r="W6" s="1681">
        <f t="shared" si="3"/>
        <v>0</v>
      </c>
      <c r="X6" s="1681"/>
      <c r="Y6" s="1681">
        <f t="shared" si="4"/>
        <v>0</v>
      </c>
      <c r="Z6" s="1681"/>
      <c r="AB6" s="1682"/>
      <c r="AC6" s="1682"/>
      <c r="AE6" s="1683"/>
      <c r="AF6" s="1683"/>
      <c r="AG6" s="1683"/>
      <c r="AH6" s="1683"/>
      <c r="AI6" s="1683"/>
      <c r="AJ6" s="1683"/>
      <c r="AK6" s="1683"/>
      <c r="AL6" s="1683"/>
      <c r="AM6" s="1683"/>
      <c r="AN6" s="1683"/>
      <c r="AO6" s="1683"/>
      <c r="AP6" s="1683"/>
      <c r="AQ6" s="1683"/>
      <c r="AR6" s="1683"/>
      <c r="AS6" s="1683"/>
      <c r="AT6" s="1683"/>
      <c r="AU6" s="1683"/>
      <c r="AV6" s="1683"/>
      <c r="AW6" s="1683"/>
      <c r="AX6" s="1683"/>
      <c r="AY6" s="1683"/>
      <c r="AZ6" s="1683"/>
      <c r="BA6" s="1683"/>
      <c r="BB6" s="1683"/>
      <c r="BD6" s="1684" t="s">
        <v>497</v>
      </c>
      <c r="BE6" s="1684">
        <f t="shared" ref="BE6:BE27" si="11">BF5+1</f>
        <v>31</v>
      </c>
      <c r="BF6" s="1684">
        <f t="shared" si="5"/>
        <v>47</v>
      </c>
      <c r="BG6" s="1685" t="str">
        <f t="shared" si="6"/>
        <v>，</v>
      </c>
      <c r="BH6" s="1684" t="str">
        <f t="shared" si="7"/>
        <v>100日元对人民币5.2358元</v>
      </c>
      <c r="BI6" s="1684">
        <f>100</f>
        <v>100</v>
      </c>
      <c r="BJ6" s="1684" t="str">
        <f t="shared" si="8"/>
        <v>5.2358元</v>
      </c>
      <c r="BK6" s="1685" t="str">
        <f t="shared" si="9"/>
        <v>币</v>
      </c>
      <c r="BL6" s="1684">
        <f t="shared" si="10"/>
        <v>0.0524</v>
      </c>
    </row>
    <row r="7" spans="1:64">
      <c r="A7" s="326">
        <f t="shared" ref="A7:A19" si="12">DATE(YEAR(A6)+1,MONTH(A6),DAY(A6))</f>
        <v>29586</v>
      </c>
      <c r="B7" s="1678">
        <v>100.5</v>
      </c>
      <c r="C7" s="1679">
        <f t="shared" si="1"/>
        <v>1.005</v>
      </c>
      <c r="D7" s="1679">
        <f>PRODUCT(C$4:C7)</f>
        <v>1.021095075</v>
      </c>
      <c r="F7" s="1678">
        <v>100</v>
      </c>
      <c r="G7" s="1679">
        <f t="shared" si="2"/>
        <v>1</v>
      </c>
      <c r="H7" s="1679">
        <f>PRODUCT(G$4:G7)</f>
        <v>1</v>
      </c>
      <c r="J7" s="1680">
        <v>0</v>
      </c>
      <c r="K7" s="1680">
        <v>0</v>
      </c>
      <c r="L7" s="1680">
        <v>0</v>
      </c>
      <c r="N7" s="1681"/>
      <c r="O7" s="1681"/>
      <c r="P7" s="1681"/>
      <c r="Q7" s="1681"/>
      <c r="R7" s="1681"/>
      <c r="T7" s="1681"/>
      <c r="U7" s="1681"/>
      <c r="W7" s="1681">
        <f t="shared" si="3"/>
        <v>0</v>
      </c>
      <c r="X7" s="1681"/>
      <c r="Y7" s="1681">
        <f t="shared" si="4"/>
        <v>0</v>
      </c>
      <c r="Z7" s="1681"/>
      <c r="AB7" s="1682"/>
      <c r="AC7" s="1682"/>
      <c r="AE7" s="1683"/>
      <c r="AF7" s="1683"/>
      <c r="AG7" s="1683"/>
      <c r="AH7" s="1683"/>
      <c r="AI7" s="1683"/>
      <c r="AJ7" s="1683"/>
      <c r="AK7" s="1683"/>
      <c r="AL7" s="1683"/>
      <c r="AM7" s="1683"/>
      <c r="AN7" s="1683"/>
      <c r="AO7" s="1683"/>
      <c r="AP7" s="1683"/>
      <c r="AQ7" s="1683"/>
      <c r="AR7" s="1683"/>
      <c r="AS7" s="1683"/>
      <c r="AT7" s="1683"/>
      <c r="AU7" s="1683"/>
      <c r="AV7" s="1683"/>
      <c r="AW7" s="1683"/>
      <c r="AX7" s="1683"/>
      <c r="AY7" s="1683"/>
      <c r="AZ7" s="1683"/>
      <c r="BA7" s="1683"/>
      <c r="BB7" s="1683"/>
      <c r="BD7" s="1684" t="s">
        <v>498</v>
      </c>
      <c r="BE7" s="1684">
        <f t="shared" si="11"/>
        <v>48</v>
      </c>
      <c r="BF7" s="1684">
        <f t="shared" si="5"/>
        <v>63</v>
      </c>
      <c r="BG7" s="1685" t="str">
        <f t="shared" si="6"/>
        <v>，</v>
      </c>
      <c r="BH7" s="1684" t="str">
        <f t="shared" si="7"/>
        <v>1港元对人民币0.89327元</v>
      </c>
      <c r="BI7" s="1684">
        <f t="shared" ref="BI7:BI27" si="13">1</f>
        <v>1</v>
      </c>
      <c r="BJ7" s="1684" t="str">
        <f t="shared" si="8"/>
        <v>0.89327元</v>
      </c>
      <c r="BK7" s="1685" t="str">
        <f t="shared" si="9"/>
        <v>币</v>
      </c>
      <c r="BL7" s="1684">
        <f t="shared" si="10"/>
        <v>0.8933</v>
      </c>
    </row>
    <row r="8" spans="1:64">
      <c r="A8" s="326">
        <f t="shared" si="12"/>
        <v>29951</v>
      </c>
      <c r="B8" s="1678">
        <v>100.2</v>
      </c>
      <c r="C8" s="1679">
        <f t="shared" si="1"/>
        <v>1.002</v>
      </c>
      <c r="D8" s="1679">
        <f>PRODUCT(C$4:C8)</f>
        <v>1.02313726515</v>
      </c>
      <c r="F8" s="1678">
        <v>100</v>
      </c>
      <c r="G8" s="1679">
        <f t="shared" si="2"/>
        <v>1</v>
      </c>
      <c r="H8" s="1679">
        <f>PRODUCT(G$4:G8)</f>
        <v>1</v>
      </c>
      <c r="J8" s="1680">
        <v>0</v>
      </c>
      <c r="K8" s="1680">
        <v>0</v>
      </c>
      <c r="L8" s="1680">
        <v>0</v>
      </c>
      <c r="N8" s="1681"/>
      <c r="O8" s="1686"/>
      <c r="P8" s="1681"/>
      <c r="Q8" s="1681"/>
      <c r="R8" s="1681"/>
      <c r="T8" s="1681"/>
      <c r="U8" s="1681"/>
      <c r="W8" s="1681">
        <f t="shared" si="3"/>
        <v>0</v>
      </c>
      <c r="X8" s="1681"/>
      <c r="Y8" s="1681">
        <f t="shared" si="4"/>
        <v>0</v>
      </c>
      <c r="Z8" s="1681"/>
      <c r="AB8" s="1682"/>
      <c r="AC8" s="1682"/>
      <c r="AE8" s="1683"/>
      <c r="AF8" s="1683"/>
      <c r="AG8" s="1683"/>
      <c r="AH8" s="1683"/>
      <c r="AI8" s="1683"/>
      <c r="AJ8" s="1683"/>
      <c r="AK8" s="1683"/>
      <c r="AL8" s="1683"/>
      <c r="AM8" s="1683"/>
      <c r="AN8" s="1683"/>
      <c r="AO8" s="1683"/>
      <c r="AP8" s="1683"/>
      <c r="AQ8" s="1683"/>
      <c r="AR8" s="1683"/>
      <c r="AS8" s="1683"/>
      <c r="AT8" s="1683"/>
      <c r="AU8" s="1683"/>
      <c r="AV8" s="1683"/>
      <c r="AW8" s="1683"/>
      <c r="AX8" s="1683"/>
      <c r="AY8" s="1683"/>
      <c r="AZ8" s="1683"/>
      <c r="BA8" s="1683"/>
      <c r="BB8" s="1683"/>
      <c r="BD8" s="1684" t="s">
        <v>499</v>
      </c>
      <c r="BE8" s="1684">
        <f t="shared" si="11"/>
        <v>64</v>
      </c>
      <c r="BF8" s="1684">
        <f t="shared" si="5"/>
        <v>78</v>
      </c>
      <c r="BG8" s="1685" t="str">
        <f t="shared" si="6"/>
        <v>，</v>
      </c>
      <c r="BH8" s="1684" t="str">
        <f t="shared" si="7"/>
        <v>1英镑对人民币8.3941元</v>
      </c>
      <c r="BI8" s="1684">
        <f t="shared" si="13"/>
        <v>1</v>
      </c>
      <c r="BJ8" s="1684" t="str">
        <f t="shared" si="8"/>
        <v>8.3941元</v>
      </c>
      <c r="BK8" s="1685" t="str">
        <f t="shared" si="9"/>
        <v>币</v>
      </c>
      <c r="BL8" s="1684">
        <f t="shared" si="10"/>
        <v>8.3941</v>
      </c>
    </row>
    <row r="9" spans="1:64">
      <c r="A9" s="326">
        <f t="shared" si="12"/>
        <v>30316</v>
      </c>
      <c r="B9" s="1678">
        <v>99.8</v>
      </c>
      <c r="C9" s="1679">
        <f t="shared" si="1"/>
        <v>0.998</v>
      </c>
      <c r="D9" s="1679">
        <f>PRODUCT(C$4:C9)</f>
        <v>1.0210909906197</v>
      </c>
      <c r="F9" s="1678">
        <v>100</v>
      </c>
      <c r="G9" s="1679">
        <f t="shared" si="2"/>
        <v>1</v>
      </c>
      <c r="H9" s="1679">
        <f>PRODUCT(G$4:G9)</f>
        <v>1</v>
      </c>
      <c r="J9" s="1680">
        <v>0</v>
      </c>
      <c r="K9" s="1680">
        <v>0</v>
      </c>
      <c r="L9" s="1680">
        <v>0</v>
      </c>
      <c r="N9" s="1681"/>
      <c r="O9" s="1681"/>
      <c r="P9" s="1681"/>
      <c r="Q9" s="1681"/>
      <c r="R9" s="1681"/>
      <c r="T9" s="1681"/>
      <c r="U9" s="1681"/>
      <c r="W9" s="1681">
        <f t="shared" si="3"/>
        <v>0</v>
      </c>
      <c r="X9" s="1681"/>
      <c r="Y9" s="1681">
        <f t="shared" si="4"/>
        <v>0</v>
      </c>
      <c r="Z9" s="1681"/>
      <c r="AB9" s="1682"/>
      <c r="AC9" s="1682"/>
      <c r="AE9" s="1683"/>
      <c r="AF9" s="1683"/>
      <c r="AG9" s="1683"/>
      <c r="AH9" s="1683"/>
      <c r="AI9" s="1683"/>
      <c r="AJ9" s="1683"/>
      <c r="AK9" s="1683"/>
      <c r="AL9" s="1683"/>
      <c r="AM9" s="1683"/>
      <c r="AN9" s="1683"/>
      <c r="AO9" s="1683"/>
      <c r="AP9" s="1683"/>
      <c r="AQ9" s="1683"/>
      <c r="AR9" s="1683"/>
      <c r="AS9" s="1683"/>
      <c r="AT9" s="1683"/>
      <c r="AU9" s="1683"/>
      <c r="AV9" s="1683"/>
      <c r="AW9" s="1683"/>
      <c r="AX9" s="1683"/>
      <c r="AY9" s="1683"/>
      <c r="AZ9" s="1683"/>
      <c r="BA9" s="1683"/>
      <c r="BB9" s="1683"/>
      <c r="BD9" s="1684" t="s">
        <v>500</v>
      </c>
      <c r="BE9" s="1684">
        <f t="shared" si="11"/>
        <v>79</v>
      </c>
      <c r="BF9" s="1684">
        <f t="shared" si="5"/>
        <v>96</v>
      </c>
      <c r="BG9" s="1685" t="str">
        <f t="shared" si="6"/>
        <v>，</v>
      </c>
      <c r="BH9" s="1684" t="str">
        <f t="shared" si="7"/>
        <v>1澳大利亚元对人民币4.7138元</v>
      </c>
      <c r="BI9" s="1684">
        <f t="shared" si="13"/>
        <v>1</v>
      </c>
      <c r="BJ9" s="1684" t="str">
        <f t="shared" si="8"/>
        <v>4.7138元</v>
      </c>
      <c r="BK9" s="1685" t="str">
        <f t="shared" si="9"/>
        <v>币</v>
      </c>
      <c r="BL9" s="1684">
        <f t="shared" si="10"/>
        <v>4.7138</v>
      </c>
    </row>
    <row r="10" spans="1:64">
      <c r="A10" s="326">
        <f t="shared" si="12"/>
        <v>30681</v>
      </c>
      <c r="B10" s="1678">
        <v>99.9</v>
      </c>
      <c r="C10" s="1679">
        <f t="shared" si="1"/>
        <v>0.999</v>
      </c>
      <c r="D10" s="1679">
        <f>PRODUCT(C$4:C10)</f>
        <v>1.02006989962908</v>
      </c>
      <c r="F10" s="1678">
        <v>100</v>
      </c>
      <c r="G10" s="1679">
        <f t="shared" si="2"/>
        <v>1</v>
      </c>
      <c r="H10" s="1679">
        <f>PRODUCT(G$4:G10)</f>
        <v>1</v>
      </c>
      <c r="J10" s="1680">
        <v>0</v>
      </c>
      <c r="K10" s="1680">
        <v>0</v>
      </c>
      <c r="L10" s="1680">
        <v>0</v>
      </c>
      <c r="N10" s="1681"/>
      <c r="O10" s="1681"/>
      <c r="P10" s="1681"/>
      <c r="Q10" s="1681"/>
      <c r="R10" s="1681"/>
      <c r="T10" s="1681"/>
      <c r="U10" s="1681"/>
      <c r="W10" s="1681">
        <f t="shared" si="3"/>
        <v>0</v>
      </c>
      <c r="X10" s="1681"/>
      <c r="Y10" s="1681">
        <f t="shared" si="4"/>
        <v>0</v>
      </c>
      <c r="Z10" s="1681"/>
      <c r="AB10" s="1682"/>
      <c r="AC10" s="1682"/>
      <c r="AE10" s="1683"/>
      <c r="AF10" s="1683"/>
      <c r="AG10" s="1683"/>
      <c r="AH10" s="1683"/>
      <c r="AI10" s="1683"/>
      <c r="AJ10" s="1683"/>
      <c r="AK10" s="1683"/>
      <c r="AL10" s="1683"/>
      <c r="AM10" s="1683"/>
      <c r="AN10" s="1683"/>
      <c r="AO10" s="1683"/>
      <c r="AP10" s="1683"/>
      <c r="AQ10" s="1683"/>
      <c r="AR10" s="1683"/>
      <c r="AS10" s="1683"/>
      <c r="AT10" s="1683"/>
      <c r="AU10" s="1683"/>
      <c r="AV10" s="1683"/>
      <c r="AW10" s="1683"/>
      <c r="AX10" s="1683"/>
      <c r="AY10" s="1683"/>
      <c r="AZ10" s="1683"/>
      <c r="BA10" s="1683"/>
      <c r="BB10" s="1683"/>
      <c r="BD10" s="1684" t="s">
        <v>501</v>
      </c>
      <c r="BE10" s="1684">
        <f t="shared" si="11"/>
        <v>97</v>
      </c>
      <c r="BF10" s="1684">
        <f t="shared" si="5"/>
        <v>113</v>
      </c>
      <c r="BG10" s="1685" t="str">
        <f t="shared" si="6"/>
        <v>，</v>
      </c>
      <c r="BH10" s="1684" t="str">
        <f t="shared" si="7"/>
        <v>1新西兰元对人民币4.4162元</v>
      </c>
      <c r="BI10" s="1684">
        <f t="shared" si="13"/>
        <v>1</v>
      </c>
      <c r="BJ10" s="1684" t="str">
        <f t="shared" si="8"/>
        <v>4.4162元</v>
      </c>
      <c r="BK10" s="1685" t="str">
        <f t="shared" si="9"/>
        <v>币</v>
      </c>
      <c r="BL10" s="1684">
        <f t="shared" si="10"/>
        <v>4.4162</v>
      </c>
    </row>
    <row r="11" spans="1:64">
      <c r="A11" s="326">
        <f t="shared" si="12"/>
        <v>31047</v>
      </c>
      <c r="B11" s="1678">
        <v>101.4</v>
      </c>
      <c r="C11" s="1679">
        <f t="shared" si="1"/>
        <v>1.014</v>
      </c>
      <c r="D11" s="1679">
        <f>PRODUCT(C$4:C11)</f>
        <v>1.03435087822389</v>
      </c>
      <c r="F11" s="1678">
        <v>100</v>
      </c>
      <c r="G11" s="1679">
        <f t="shared" si="2"/>
        <v>1</v>
      </c>
      <c r="H11" s="1679">
        <f>PRODUCT(G$4:G11)</f>
        <v>1</v>
      </c>
      <c r="J11" s="1680">
        <v>0</v>
      </c>
      <c r="K11" s="1680">
        <v>0</v>
      </c>
      <c r="L11" s="1680">
        <v>0</v>
      </c>
      <c r="N11" s="1681"/>
      <c r="O11" s="1681"/>
      <c r="P11" s="1681"/>
      <c r="Q11" s="1681"/>
      <c r="R11" s="1681"/>
      <c r="T11" s="1681"/>
      <c r="U11" s="1681"/>
      <c r="W11" s="1681">
        <f t="shared" si="3"/>
        <v>0</v>
      </c>
      <c r="X11" s="1681"/>
      <c r="Y11" s="1681">
        <f t="shared" si="4"/>
        <v>0</v>
      </c>
      <c r="Z11" s="1681"/>
      <c r="AB11" s="1682"/>
      <c r="AC11" s="1682"/>
      <c r="AE11" s="1683"/>
      <c r="AF11" s="1683"/>
      <c r="AG11" s="1683"/>
      <c r="AH11" s="1683"/>
      <c r="AI11" s="1683"/>
      <c r="AJ11" s="1683"/>
      <c r="AK11" s="1683"/>
      <c r="AL11" s="1683"/>
      <c r="AM11" s="1683"/>
      <c r="AN11" s="1683"/>
      <c r="AO11" s="1683"/>
      <c r="AP11" s="1683"/>
      <c r="AQ11" s="1683"/>
      <c r="AR11" s="1683"/>
      <c r="AS11" s="1683"/>
      <c r="AT11" s="1683"/>
      <c r="AU11" s="1683"/>
      <c r="AV11" s="1683"/>
      <c r="AW11" s="1683"/>
      <c r="AX11" s="1683"/>
      <c r="AY11" s="1683"/>
      <c r="AZ11" s="1683"/>
      <c r="BA11" s="1683"/>
      <c r="BB11" s="1683"/>
      <c r="BD11" s="1684" t="s">
        <v>502</v>
      </c>
      <c r="BE11" s="1684">
        <f t="shared" si="11"/>
        <v>114</v>
      </c>
      <c r="BF11" s="1684">
        <f t="shared" si="5"/>
        <v>130</v>
      </c>
      <c r="BG11" s="1685" t="str">
        <f t="shared" si="6"/>
        <v>，</v>
      </c>
      <c r="BH11" s="1684" t="str">
        <f t="shared" si="7"/>
        <v>1新加坡元对人民币5.1831元</v>
      </c>
      <c r="BI11" s="1684">
        <f t="shared" si="13"/>
        <v>1</v>
      </c>
      <c r="BJ11" s="1684" t="str">
        <f t="shared" si="8"/>
        <v>5.1831元</v>
      </c>
      <c r="BK11" s="1685" t="str">
        <f t="shared" si="9"/>
        <v>币</v>
      </c>
      <c r="BL11" s="1684">
        <f t="shared" si="10"/>
        <v>5.1831</v>
      </c>
    </row>
    <row r="12" spans="1:64">
      <c r="A12" s="326">
        <f t="shared" si="12"/>
        <v>31412</v>
      </c>
      <c r="B12" s="1678">
        <v>108.7</v>
      </c>
      <c r="C12" s="1679">
        <f t="shared" si="1"/>
        <v>1.087</v>
      </c>
      <c r="D12" s="1679">
        <f>PRODUCT(C$4:C12)</f>
        <v>1.12433940462937</v>
      </c>
      <c r="F12" s="1678">
        <v>100</v>
      </c>
      <c r="G12" s="1679">
        <f t="shared" si="2"/>
        <v>1</v>
      </c>
      <c r="H12" s="1679">
        <f>PRODUCT(G$4:G12)</f>
        <v>1</v>
      </c>
      <c r="J12" s="1680">
        <v>0</v>
      </c>
      <c r="K12" s="1680">
        <v>0</v>
      </c>
      <c r="L12" s="1680">
        <v>0</v>
      </c>
      <c r="N12" s="1681"/>
      <c r="O12" s="1681"/>
      <c r="P12" s="1681"/>
      <c r="Q12" s="1681"/>
      <c r="R12" s="1681"/>
      <c r="T12" s="1681"/>
      <c r="U12" s="1681"/>
      <c r="W12" s="1681">
        <f t="shared" si="3"/>
        <v>0</v>
      </c>
      <c r="X12" s="1681"/>
      <c r="Y12" s="1681">
        <f t="shared" si="4"/>
        <v>0</v>
      </c>
      <c r="Z12" s="1681"/>
      <c r="AB12" s="1682"/>
      <c r="AC12" s="1682"/>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D12" s="1684" t="s">
        <v>503</v>
      </c>
      <c r="BE12" s="1684">
        <f t="shared" si="11"/>
        <v>131</v>
      </c>
      <c r="BF12" s="1684">
        <f t="shared" si="5"/>
        <v>147</v>
      </c>
      <c r="BG12" s="1685" t="str">
        <f t="shared" si="6"/>
        <v>，</v>
      </c>
      <c r="BH12" s="1684" t="str">
        <f t="shared" si="7"/>
        <v>1瑞士法郎对人民币7.5432元</v>
      </c>
      <c r="BI12" s="1684">
        <f t="shared" si="13"/>
        <v>1</v>
      </c>
      <c r="BJ12" s="1684" t="str">
        <f t="shared" si="8"/>
        <v>7.5432元</v>
      </c>
      <c r="BK12" s="1685" t="str">
        <f t="shared" si="9"/>
        <v>币</v>
      </c>
      <c r="BL12" s="1684">
        <f t="shared" si="10"/>
        <v>7.5432</v>
      </c>
    </row>
    <row r="13" spans="1:64">
      <c r="A13" s="326">
        <f t="shared" si="12"/>
        <v>31777</v>
      </c>
      <c r="B13" s="1678">
        <v>103.8</v>
      </c>
      <c r="C13" s="1679">
        <f t="shared" si="1"/>
        <v>1.038</v>
      </c>
      <c r="D13" s="1679">
        <f>PRODUCT(C$4:C13)</f>
        <v>1.16706430200528</v>
      </c>
      <c r="F13" s="1678">
        <v>100</v>
      </c>
      <c r="G13" s="1679">
        <f t="shared" si="2"/>
        <v>1</v>
      </c>
      <c r="H13" s="1679">
        <f>PRODUCT(G$4:G13)</f>
        <v>1</v>
      </c>
      <c r="J13" s="1680">
        <v>0</v>
      </c>
      <c r="K13" s="1680">
        <v>0</v>
      </c>
      <c r="L13" s="1680">
        <v>0</v>
      </c>
      <c r="N13" s="1681"/>
      <c r="O13" s="1681"/>
      <c r="P13" s="1681"/>
      <c r="Q13" s="1681"/>
      <c r="R13" s="1681"/>
      <c r="T13" s="1681"/>
      <c r="U13" s="1681"/>
      <c r="W13" s="1681">
        <f t="shared" si="3"/>
        <v>0</v>
      </c>
      <c r="X13" s="1681"/>
      <c r="Y13" s="1681">
        <f t="shared" si="4"/>
        <v>0</v>
      </c>
      <c r="Z13" s="1681"/>
      <c r="AB13" s="1682"/>
      <c r="AC13" s="1682"/>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D13" s="1684" t="s">
        <v>504</v>
      </c>
      <c r="BE13" s="1684">
        <f t="shared" si="11"/>
        <v>148</v>
      </c>
      <c r="BF13" s="1684">
        <f t="shared" si="5"/>
        <v>164</v>
      </c>
      <c r="BG13" s="1685" t="str">
        <f t="shared" si="6"/>
        <v>，</v>
      </c>
      <c r="BH13" s="1684" t="str">
        <f t="shared" si="7"/>
        <v>1加拿大元对人民币5.1385元</v>
      </c>
      <c r="BI13" s="1684">
        <f t="shared" si="13"/>
        <v>1</v>
      </c>
      <c r="BJ13" s="1684" t="str">
        <f t="shared" si="8"/>
        <v>5.1385元</v>
      </c>
      <c r="BK13" s="1685" t="str">
        <f t="shared" si="9"/>
        <v>币</v>
      </c>
      <c r="BL13" s="1684">
        <f t="shared" si="10"/>
        <v>5.1385</v>
      </c>
    </row>
    <row r="14" spans="1:64">
      <c r="A14" s="326">
        <f t="shared" si="12"/>
        <v>32142</v>
      </c>
      <c r="B14" s="1678">
        <v>107.9</v>
      </c>
      <c r="C14" s="1679">
        <f t="shared" si="1"/>
        <v>1.079</v>
      </c>
      <c r="D14" s="1679">
        <f>PRODUCT(C$4:C14)</f>
        <v>1.2592623818637</v>
      </c>
      <c r="F14" s="1678">
        <v>100</v>
      </c>
      <c r="G14" s="1679">
        <f t="shared" si="2"/>
        <v>1</v>
      </c>
      <c r="H14" s="1679">
        <f>PRODUCT(G$4:G14)</f>
        <v>1</v>
      </c>
      <c r="J14" s="1680">
        <v>0</v>
      </c>
      <c r="K14" s="1680">
        <v>0</v>
      </c>
      <c r="L14" s="1680">
        <v>0</v>
      </c>
      <c r="N14" s="1681"/>
      <c r="O14" s="1681"/>
      <c r="P14" s="1681"/>
      <c r="Q14" s="1681"/>
      <c r="R14" s="1681"/>
      <c r="T14" s="1681"/>
      <c r="U14" s="1681"/>
      <c r="W14" s="1681">
        <f t="shared" si="3"/>
        <v>0</v>
      </c>
      <c r="X14" s="1681"/>
      <c r="Y14" s="1681">
        <f t="shared" si="4"/>
        <v>0</v>
      </c>
      <c r="Z14" s="1681"/>
      <c r="AB14" s="1682"/>
      <c r="AC14" s="1682"/>
      <c r="AE14" s="1683"/>
      <c r="AF14" s="1683"/>
      <c r="AG14" s="1683"/>
      <c r="AH14" s="1683"/>
      <c r="AI14" s="1683"/>
      <c r="AJ14" s="1683"/>
      <c r="AK14" s="1683"/>
      <c r="AL14" s="1683"/>
      <c r="AM14" s="1683"/>
      <c r="AN14" s="1683"/>
      <c r="AO14" s="1683"/>
      <c r="AP14" s="1683"/>
      <c r="AQ14" s="1683"/>
      <c r="AR14" s="1683"/>
      <c r="AS14" s="1683"/>
      <c r="AT14" s="1683"/>
      <c r="AU14" s="1683"/>
      <c r="AV14" s="1683"/>
      <c r="AW14" s="1683"/>
      <c r="AX14" s="1683"/>
      <c r="AY14" s="1683"/>
      <c r="AZ14" s="1683"/>
      <c r="BA14" s="1683"/>
      <c r="BB14" s="1683"/>
      <c r="BD14" s="1684" t="s">
        <v>505</v>
      </c>
      <c r="BE14" s="1684">
        <f t="shared" si="11"/>
        <v>165</v>
      </c>
      <c r="BF14" s="1684">
        <f t="shared" si="5"/>
        <v>181</v>
      </c>
      <c r="BG14" s="1685" t="str">
        <f t="shared" si="6"/>
        <v>，</v>
      </c>
      <c r="BH14" s="1684" t="str">
        <f t="shared" si="7"/>
        <v>人民币1元对0.63405林吉特</v>
      </c>
      <c r="BI14" s="1684">
        <f t="shared" si="13"/>
        <v>1</v>
      </c>
      <c r="BJ14" s="1684" t="str">
        <f t="shared" si="8"/>
        <v>0.63405林吉特</v>
      </c>
      <c r="BK14" s="1685" t="str">
        <f>"对"</f>
        <v>对</v>
      </c>
      <c r="BL14" s="1684">
        <f t="shared" si="10"/>
        <v>1.5772</v>
      </c>
    </row>
    <row r="15" spans="1:64">
      <c r="A15" s="326">
        <f t="shared" si="12"/>
        <v>32508</v>
      </c>
      <c r="B15" s="1678">
        <v>115</v>
      </c>
      <c r="C15" s="1679">
        <f t="shared" si="1"/>
        <v>1.15</v>
      </c>
      <c r="D15" s="1679">
        <f>PRODUCT(C$4:C15)</f>
        <v>1.44815173914325</v>
      </c>
      <c r="F15" s="1678">
        <v>100</v>
      </c>
      <c r="G15" s="1679">
        <f t="shared" si="2"/>
        <v>1</v>
      </c>
      <c r="H15" s="1679">
        <f>PRODUCT(G$4:G15)</f>
        <v>1</v>
      </c>
      <c r="J15" s="1680">
        <v>0</v>
      </c>
      <c r="K15" s="1680">
        <v>0</v>
      </c>
      <c r="L15" s="1680">
        <v>0</v>
      </c>
      <c r="N15" s="1681"/>
      <c r="O15" s="1681"/>
      <c r="P15" s="1681"/>
      <c r="Q15" s="1681"/>
      <c r="R15" s="1681"/>
      <c r="T15" s="1681"/>
      <c r="U15" s="1681"/>
      <c r="W15" s="1681">
        <f t="shared" si="3"/>
        <v>0</v>
      </c>
      <c r="X15" s="1681"/>
      <c r="Y15" s="1681">
        <f t="shared" si="4"/>
        <v>0</v>
      </c>
      <c r="Z15" s="1681"/>
      <c r="AB15" s="1682"/>
      <c r="AC15" s="1682"/>
      <c r="AE15" s="1683"/>
      <c r="AF15" s="1683"/>
      <c r="AG15" s="1683"/>
      <c r="AH15" s="1683"/>
      <c r="AI15" s="1683"/>
      <c r="AJ15" s="1683"/>
      <c r="AK15" s="1683"/>
      <c r="AL15" s="1683"/>
      <c r="AM15" s="1683"/>
      <c r="AN15" s="1683"/>
      <c r="AO15" s="1683"/>
      <c r="AP15" s="1683"/>
      <c r="AQ15" s="1683"/>
      <c r="AR15" s="1683"/>
      <c r="AS15" s="1683"/>
      <c r="AT15" s="1683"/>
      <c r="AU15" s="1683"/>
      <c r="AV15" s="1683"/>
      <c r="AW15" s="1683"/>
      <c r="AX15" s="1683"/>
      <c r="AY15" s="1683"/>
      <c r="AZ15" s="1683"/>
      <c r="BA15" s="1683"/>
      <c r="BB15" s="1683"/>
      <c r="BD15" s="1684" t="s">
        <v>506</v>
      </c>
      <c r="BE15" s="1684">
        <f t="shared" si="11"/>
        <v>182</v>
      </c>
      <c r="BF15" s="1684">
        <f t="shared" si="5"/>
        <v>200</v>
      </c>
      <c r="BG15" s="1685" t="str">
        <f t="shared" si="6"/>
        <v>，</v>
      </c>
      <c r="BH15" s="1684" t="str">
        <f t="shared" si="7"/>
        <v>人民币1元对10.6193俄罗斯卢布</v>
      </c>
      <c r="BI15" s="1684">
        <f t="shared" si="13"/>
        <v>1</v>
      </c>
      <c r="BJ15" s="1684" t="str">
        <f t="shared" si="8"/>
        <v>10.6193俄罗斯卢布</v>
      </c>
      <c r="BK15" s="1685" t="str">
        <f t="shared" ref="BK15:BK27" si="14">"对"</f>
        <v>对</v>
      </c>
      <c r="BL15" s="1684">
        <f t="shared" si="10"/>
        <v>0.0942</v>
      </c>
    </row>
    <row r="16" spans="1:64">
      <c r="A16" s="326">
        <f t="shared" si="12"/>
        <v>32873</v>
      </c>
      <c r="B16" s="1678">
        <v>118.6</v>
      </c>
      <c r="C16" s="1679">
        <f t="shared" si="1"/>
        <v>1.186</v>
      </c>
      <c r="D16" s="1679">
        <f>PRODUCT(C$4:C16)</f>
        <v>1.7175079626239</v>
      </c>
      <c r="F16" s="1678">
        <v>100</v>
      </c>
      <c r="G16" s="1679">
        <f t="shared" si="2"/>
        <v>1</v>
      </c>
      <c r="H16" s="1679">
        <f>PRODUCT(G$4:G16)</f>
        <v>1</v>
      </c>
      <c r="J16" s="1680">
        <v>0</v>
      </c>
      <c r="K16" s="1680">
        <v>0</v>
      </c>
      <c r="L16" s="1680">
        <v>0</v>
      </c>
      <c r="N16" s="1681"/>
      <c r="O16" s="1681"/>
      <c r="P16" s="1681"/>
      <c r="Q16" s="1681"/>
      <c r="R16" s="1681"/>
      <c r="T16" s="1681"/>
      <c r="U16" s="1681"/>
      <c r="W16" s="1681">
        <f t="shared" si="3"/>
        <v>0</v>
      </c>
      <c r="X16" s="1681"/>
      <c r="Y16" s="1681">
        <f t="shared" si="4"/>
        <v>0</v>
      </c>
      <c r="Z16" s="1681"/>
      <c r="AB16" s="1682"/>
      <c r="AC16" s="1682"/>
      <c r="AE16" s="1683"/>
      <c r="AF16" s="1683"/>
      <c r="AG16" s="1683"/>
      <c r="AH16" s="1683"/>
      <c r="AI16" s="1683"/>
      <c r="AJ16" s="1683"/>
      <c r="AK16" s="1683"/>
      <c r="AL16" s="1683"/>
      <c r="AM16" s="1683"/>
      <c r="AN16" s="1683"/>
      <c r="AO16" s="1683"/>
      <c r="AP16" s="1683"/>
      <c r="AQ16" s="1683"/>
      <c r="AR16" s="1683"/>
      <c r="AS16" s="1683"/>
      <c r="AT16" s="1683"/>
      <c r="AU16" s="1683"/>
      <c r="AV16" s="1683"/>
      <c r="AW16" s="1683"/>
      <c r="AX16" s="1683"/>
      <c r="AY16" s="1683"/>
      <c r="AZ16" s="1683"/>
      <c r="BA16" s="1683"/>
      <c r="BB16" s="1683"/>
      <c r="BD16" s="1684" t="s">
        <v>507</v>
      </c>
      <c r="BE16" s="1684">
        <f t="shared" si="11"/>
        <v>201</v>
      </c>
      <c r="BF16" s="1684">
        <f t="shared" si="5"/>
        <v>217</v>
      </c>
      <c r="BG16" s="1685" t="str">
        <f t="shared" si="6"/>
        <v>，</v>
      </c>
      <c r="BH16" s="1684" t="str">
        <f t="shared" si="7"/>
        <v>人民币1元对2.4312南非兰特</v>
      </c>
      <c r="BI16" s="1684">
        <f t="shared" si="13"/>
        <v>1</v>
      </c>
      <c r="BJ16" s="1684" t="str">
        <f t="shared" si="8"/>
        <v>2.4312南非兰特</v>
      </c>
      <c r="BK16" s="1685" t="str">
        <f t="shared" si="14"/>
        <v>对</v>
      </c>
      <c r="BL16" s="1684">
        <f t="shared" si="10"/>
        <v>0.4113</v>
      </c>
    </row>
    <row r="17" spans="1:64">
      <c r="A17" s="326">
        <f t="shared" si="12"/>
        <v>33238</v>
      </c>
      <c r="B17" s="1678">
        <v>104.1</v>
      </c>
      <c r="C17" s="1679">
        <f t="shared" si="1"/>
        <v>1.041</v>
      </c>
      <c r="D17" s="1679">
        <f>PRODUCT(C$4:C17)</f>
        <v>1.78792578909148</v>
      </c>
      <c r="F17" s="1678">
        <v>100</v>
      </c>
      <c r="G17" s="1679">
        <f t="shared" si="2"/>
        <v>1</v>
      </c>
      <c r="H17" s="1679">
        <f>PRODUCT(G$4:G17)</f>
        <v>1</v>
      </c>
      <c r="J17" s="1680">
        <v>0</v>
      </c>
      <c r="K17" s="1680">
        <v>0</v>
      </c>
      <c r="L17" s="1680">
        <v>0</v>
      </c>
      <c r="N17" s="1681"/>
      <c r="O17" s="1681"/>
      <c r="P17" s="1681"/>
      <c r="Q17" s="1681"/>
      <c r="R17" s="1681"/>
      <c r="T17" s="1681"/>
      <c r="U17" s="1681"/>
      <c r="W17" s="1681">
        <f t="shared" si="3"/>
        <v>0</v>
      </c>
      <c r="X17" s="1681"/>
      <c r="Y17" s="1681">
        <f t="shared" si="4"/>
        <v>0</v>
      </c>
      <c r="Z17" s="1681"/>
      <c r="AB17" s="1682"/>
      <c r="AC17" s="1682"/>
      <c r="AE17" s="1683"/>
      <c r="AF17" s="1683"/>
      <c r="AG17" s="1683"/>
      <c r="AH17" s="1683"/>
      <c r="AI17" s="1683"/>
      <c r="AJ17" s="1683"/>
      <c r="AK17" s="1683"/>
      <c r="AL17" s="1683"/>
      <c r="AM17" s="1683"/>
      <c r="AN17" s="1683"/>
      <c r="AO17" s="1683"/>
      <c r="AP17" s="1683"/>
      <c r="AQ17" s="1683"/>
      <c r="AR17" s="1683"/>
      <c r="AS17" s="1683"/>
      <c r="AT17" s="1683"/>
      <c r="AU17" s="1683"/>
      <c r="AV17" s="1683"/>
      <c r="AW17" s="1683"/>
      <c r="AX17" s="1683"/>
      <c r="AY17" s="1683"/>
      <c r="AZ17" s="1683"/>
      <c r="BA17" s="1683"/>
      <c r="BB17" s="1683"/>
      <c r="BD17" s="1684" t="s">
        <v>508</v>
      </c>
      <c r="BE17" s="1684">
        <f t="shared" si="11"/>
        <v>218</v>
      </c>
      <c r="BF17" s="1684">
        <f t="shared" si="5"/>
        <v>232</v>
      </c>
      <c r="BG17" s="1685" t="str">
        <f t="shared" si="6"/>
        <v>，</v>
      </c>
      <c r="BH17" s="1684" t="str">
        <f t="shared" si="7"/>
        <v>人民币1元对181.06韩元</v>
      </c>
      <c r="BI17" s="1684">
        <f t="shared" si="13"/>
        <v>1</v>
      </c>
      <c r="BJ17" s="1684" t="str">
        <f t="shared" si="8"/>
        <v>181.06韩元</v>
      </c>
      <c r="BK17" s="1685" t="str">
        <f t="shared" si="14"/>
        <v>对</v>
      </c>
      <c r="BL17" s="1684">
        <f t="shared" si="10"/>
        <v>0.0055</v>
      </c>
    </row>
    <row r="18" spans="1:64">
      <c r="A18" s="326">
        <f t="shared" si="12"/>
        <v>33603</v>
      </c>
      <c r="B18" s="1678">
        <v>106.2</v>
      </c>
      <c r="C18" s="1679">
        <f t="shared" si="1"/>
        <v>1.062</v>
      </c>
      <c r="D18" s="1679">
        <f>PRODUCT(C$4:C18)</f>
        <v>1.89877718801515</v>
      </c>
      <c r="F18" s="1678">
        <v>100</v>
      </c>
      <c r="G18" s="1679">
        <f t="shared" si="2"/>
        <v>1</v>
      </c>
      <c r="H18" s="1679">
        <f>PRODUCT(G$4:G18)</f>
        <v>1</v>
      </c>
      <c r="J18" s="1680">
        <v>0</v>
      </c>
      <c r="K18" s="1680">
        <v>0</v>
      </c>
      <c r="L18" s="1680">
        <v>0</v>
      </c>
      <c r="N18" s="1681"/>
      <c r="O18" s="1681"/>
      <c r="P18" s="1681"/>
      <c r="Q18" s="1681"/>
      <c r="R18" s="1681"/>
      <c r="T18" s="1681"/>
      <c r="U18" s="1681"/>
      <c r="W18" s="1681">
        <f t="shared" si="3"/>
        <v>0</v>
      </c>
      <c r="X18" s="1681"/>
      <c r="Y18" s="1681">
        <f t="shared" si="4"/>
        <v>0</v>
      </c>
      <c r="Z18" s="1681"/>
      <c r="AB18" s="1682"/>
      <c r="AC18" s="1682"/>
      <c r="AE18" s="1683"/>
      <c r="AF18" s="1683"/>
      <c r="AG18" s="1683"/>
      <c r="AH18" s="1683"/>
      <c r="AI18" s="1683"/>
      <c r="AJ18" s="1683"/>
      <c r="AK18" s="1683"/>
      <c r="AL18" s="1683"/>
      <c r="AM18" s="1683"/>
      <c r="AN18" s="1683"/>
      <c r="AO18" s="1683"/>
      <c r="AP18" s="1683"/>
      <c r="AQ18" s="1683"/>
      <c r="AR18" s="1683"/>
      <c r="AS18" s="1683"/>
      <c r="AT18" s="1683"/>
      <c r="AU18" s="1683"/>
      <c r="AV18" s="1683"/>
      <c r="AW18" s="1683"/>
      <c r="AX18" s="1683"/>
      <c r="AY18" s="1683"/>
      <c r="AZ18" s="1683"/>
      <c r="BA18" s="1683"/>
      <c r="BB18" s="1683"/>
      <c r="BD18" s="1684" t="s">
        <v>509</v>
      </c>
      <c r="BE18" s="1684">
        <f t="shared" si="11"/>
        <v>233</v>
      </c>
      <c r="BF18" s="1684">
        <f t="shared" si="5"/>
        <v>252</v>
      </c>
      <c r="BG18" s="1685" t="str">
        <f t="shared" ref="BG18:BG26" si="15">"，"</f>
        <v>，</v>
      </c>
      <c r="BH18" s="1684" t="str">
        <f t="shared" si="7"/>
        <v>人民币1元对0.52726阿联酋迪拉姆</v>
      </c>
      <c r="BI18" s="1684">
        <f t="shared" si="13"/>
        <v>1</v>
      </c>
      <c r="BJ18" s="1684" t="str">
        <f t="shared" si="8"/>
        <v>0.52726阿联酋迪拉姆</v>
      </c>
      <c r="BK18" s="1685" t="str">
        <f t="shared" si="14"/>
        <v>对</v>
      </c>
      <c r="BL18" s="1684">
        <f t="shared" si="10"/>
        <v>1.8966</v>
      </c>
    </row>
    <row r="19" spans="1:64">
      <c r="A19" s="326">
        <f t="shared" si="12"/>
        <v>33969</v>
      </c>
      <c r="B19" s="1678">
        <v>106.8</v>
      </c>
      <c r="C19" s="1679">
        <f t="shared" si="1"/>
        <v>1.068</v>
      </c>
      <c r="D19" s="1679">
        <f>PRODUCT(C$4:C19)</f>
        <v>2.02789403680018</v>
      </c>
      <c r="F19" s="1678">
        <v>100</v>
      </c>
      <c r="G19" s="1679">
        <f t="shared" si="2"/>
        <v>1</v>
      </c>
      <c r="H19" s="1679">
        <f>PRODUCT(G$4:G19)</f>
        <v>1</v>
      </c>
      <c r="J19" s="1680">
        <v>0</v>
      </c>
      <c r="K19" s="1680">
        <v>0</v>
      </c>
      <c r="L19" s="1680">
        <v>0</v>
      </c>
      <c r="N19" s="1681"/>
      <c r="O19" s="1681"/>
      <c r="P19" s="1681"/>
      <c r="Q19" s="1681"/>
      <c r="R19" s="1681"/>
      <c r="T19" s="1681"/>
      <c r="U19" s="1681"/>
      <c r="W19" s="1681">
        <f t="shared" si="3"/>
        <v>0</v>
      </c>
      <c r="X19" s="1681"/>
      <c r="Y19" s="1681">
        <f t="shared" si="4"/>
        <v>0</v>
      </c>
      <c r="Z19" s="1681"/>
      <c r="AB19" s="1682"/>
      <c r="AC19" s="1682"/>
      <c r="AE19" s="1683"/>
      <c r="AF19" s="1683"/>
      <c r="AG19" s="1683"/>
      <c r="AH19" s="1683"/>
      <c r="AI19" s="1683"/>
      <c r="AJ19" s="1683"/>
      <c r="AK19" s="1683"/>
      <c r="AL19" s="1683"/>
      <c r="AM19" s="1683"/>
      <c r="AN19" s="1683"/>
      <c r="AO19" s="1683"/>
      <c r="AP19" s="1683"/>
      <c r="AQ19" s="1683"/>
      <c r="AR19" s="1683"/>
      <c r="AS19" s="1683"/>
      <c r="AT19" s="1683"/>
      <c r="AU19" s="1683"/>
      <c r="AV19" s="1683"/>
      <c r="AW19" s="1683"/>
      <c r="AX19" s="1683"/>
      <c r="AY19" s="1683"/>
      <c r="AZ19" s="1683"/>
      <c r="BA19" s="1683"/>
      <c r="BB19" s="1683"/>
      <c r="BD19" s="1684" t="s">
        <v>510</v>
      </c>
      <c r="BE19" s="1684">
        <f t="shared" si="11"/>
        <v>253</v>
      </c>
      <c r="BF19" s="1684">
        <f t="shared" si="5"/>
        <v>271</v>
      </c>
      <c r="BG19" s="1685" t="str">
        <f t="shared" si="15"/>
        <v>，</v>
      </c>
      <c r="BH19" s="1684" t="str">
        <f t="shared" si="7"/>
        <v>人民币1元对0.53971沙特里亚尔</v>
      </c>
      <c r="BI19" s="1684">
        <f t="shared" si="13"/>
        <v>1</v>
      </c>
      <c r="BJ19" s="1684" t="str">
        <f t="shared" si="8"/>
        <v>0.53971沙特里亚尔</v>
      </c>
      <c r="BK19" s="1685" t="str">
        <f t="shared" si="14"/>
        <v>对</v>
      </c>
      <c r="BL19" s="1684">
        <f t="shared" si="10"/>
        <v>1.8528</v>
      </c>
    </row>
    <row r="20" spans="1:64">
      <c r="A20" s="1687">
        <v>34000</v>
      </c>
      <c r="B20" s="1678">
        <v>102.9</v>
      </c>
      <c r="C20" s="1679">
        <f t="shared" si="1"/>
        <v>1.029</v>
      </c>
      <c r="D20" s="1679">
        <f>PRODUCT(C$4:C20)</f>
        <v>2.08670296386739</v>
      </c>
      <c r="F20" s="1678">
        <v>100</v>
      </c>
      <c r="G20" s="1679">
        <f t="shared" si="2"/>
        <v>1</v>
      </c>
      <c r="H20" s="1679">
        <f>PRODUCT(G$4:G20)</f>
        <v>1</v>
      </c>
      <c r="J20" s="1680">
        <v>0</v>
      </c>
      <c r="K20" s="1680">
        <v>0</v>
      </c>
      <c r="L20" s="1680">
        <v>0</v>
      </c>
      <c r="N20" s="1681"/>
      <c r="O20" s="1681"/>
      <c r="P20" s="1681"/>
      <c r="Q20" s="1681"/>
      <c r="R20" s="1681"/>
      <c r="T20" s="1681"/>
      <c r="U20" s="1681"/>
      <c r="W20" s="1681">
        <f t="shared" si="3"/>
        <v>0</v>
      </c>
      <c r="X20" s="1681"/>
      <c r="Y20" s="1681">
        <f t="shared" si="4"/>
        <v>0</v>
      </c>
      <c r="Z20" s="1681"/>
      <c r="AB20" s="1682"/>
      <c r="AC20" s="1682"/>
      <c r="AE20" s="1683"/>
      <c r="AF20" s="1683"/>
      <c r="AG20" s="1683"/>
      <c r="AH20" s="1683"/>
      <c r="AI20" s="1683"/>
      <c r="AJ20" s="1683"/>
      <c r="AK20" s="1683"/>
      <c r="AL20" s="1683"/>
      <c r="AM20" s="1683"/>
      <c r="AN20" s="1683"/>
      <c r="AO20" s="1683"/>
      <c r="AP20" s="1683"/>
      <c r="AQ20" s="1683"/>
      <c r="AR20" s="1683"/>
      <c r="AS20" s="1683"/>
      <c r="AT20" s="1683"/>
      <c r="AU20" s="1683"/>
      <c r="AV20" s="1683"/>
      <c r="AW20" s="1683"/>
      <c r="AX20" s="1683"/>
      <c r="AY20" s="1683"/>
      <c r="AZ20" s="1683"/>
      <c r="BA20" s="1683"/>
      <c r="BB20" s="1683"/>
      <c r="BD20" s="1684" t="s">
        <v>511</v>
      </c>
      <c r="BE20" s="1684">
        <f t="shared" si="11"/>
        <v>272</v>
      </c>
      <c r="BF20" s="1684">
        <f t="shared" si="5"/>
        <v>290</v>
      </c>
      <c r="BG20" s="1685" t="str">
        <f t="shared" si="15"/>
        <v>，</v>
      </c>
      <c r="BH20" s="1684" t="str">
        <f t="shared" si="7"/>
        <v>人民币1元对53.8329匈牙利福林</v>
      </c>
      <c r="BI20" s="1684">
        <f t="shared" si="13"/>
        <v>1</v>
      </c>
      <c r="BJ20" s="1684" t="str">
        <f t="shared" si="8"/>
        <v>53.8329匈牙利福林</v>
      </c>
      <c r="BK20" s="1685" t="str">
        <f t="shared" si="14"/>
        <v>对</v>
      </c>
      <c r="BL20" s="1684">
        <f t="shared" si="10"/>
        <v>0.0186</v>
      </c>
    </row>
    <row r="21" spans="1:64">
      <c r="A21" s="326">
        <f>DATE(IF(MONTH(A20)=12,YEAR(A20)+1,YEAR(A20)),MONTH(A20+1)+1,1)-1</f>
        <v>34028</v>
      </c>
      <c r="B21" s="1678">
        <v>103.7</v>
      </c>
      <c r="C21" s="1679">
        <f t="shared" si="1"/>
        <v>1.037</v>
      </c>
      <c r="D21" s="1679">
        <f>PRODUCT(C$4:C21)</f>
        <v>2.16391097353048</v>
      </c>
      <c r="F21" s="1678">
        <v>100</v>
      </c>
      <c r="G21" s="1679">
        <f t="shared" si="2"/>
        <v>1</v>
      </c>
      <c r="H21" s="1679">
        <f>PRODUCT(G$4:G21)</f>
        <v>1</v>
      </c>
      <c r="J21" s="1680">
        <v>0</v>
      </c>
      <c r="K21" s="1680">
        <v>0</v>
      </c>
      <c r="L21" s="1680">
        <v>0</v>
      </c>
      <c r="N21" s="1681"/>
      <c r="O21" s="1681"/>
      <c r="P21" s="1681"/>
      <c r="Q21" s="1681"/>
      <c r="R21" s="1681"/>
      <c r="T21" s="1681"/>
      <c r="U21" s="1681"/>
      <c r="W21" s="1681">
        <f t="shared" si="3"/>
        <v>0</v>
      </c>
      <c r="X21" s="1681"/>
      <c r="Y21" s="1681">
        <f t="shared" si="4"/>
        <v>0</v>
      </c>
      <c r="Z21" s="1681"/>
      <c r="AB21" s="1682"/>
      <c r="AC21" s="1682"/>
      <c r="AE21" s="1683"/>
      <c r="AF21" s="1683"/>
      <c r="AG21" s="1683"/>
      <c r="AH21" s="1683"/>
      <c r="AI21" s="1683"/>
      <c r="AJ21" s="1683"/>
      <c r="AK21" s="1683"/>
      <c r="AL21" s="1683"/>
      <c r="AM21" s="1683"/>
      <c r="AN21" s="1683"/>
      <c r="AO21" s="1683"/>
      <c r="AP21" s="1683"/>
      <c r="AQ21" s="1683"/>
      <c r="AR21" s="1683"/>
      <c r="AS21" s="1683"/>
      <c r="AT21" s="1683"/>
      <c r="AU21" s="1683"/>
      <c r="AV21" s="1683"/>
      <c r="AW21" s="1683"/>
      <c r="AX21" s="1683"/>
      <c r="AY21" s="1683"/>
      <c r="AZ21" s="1683"/>
      <c r="BA21" s="1683"/>
      <c r="BB21" s="1683"/>
      <c r="BD21" s="1684" t="s">
        <v>512</v>
      </c>
      <c r="BE21" s="1684">
        <f t="shared" si="11"/>
        <v>291</v>
      </c>
      <c r="BF21" s="1684">
        <f t="shared" si="5"/>
        <v>309</v>
      </c>
      <c r="BG21" s="1685" t="str">
        <f t="shared" si="15"/>
        <v>，</v>
      </c>
      <c r="BH21" s="1684" t="str">
        <f t="shared" si="7"/>
        <v>人民币1元对0.62980波兰兹罗提</v>
      </c>
      <c r="BI21" s="1684">
        <f t="shared" si="13"/>
        <v>1</v>
      </c>
      <c r="BJ21" s="1684" t="str">
        <f t="shared" si="8"/>
        <v>0.62980波兰兹罗提</v>
      </c>
      <c r="BK21" s="1685" t="str">
        <f t="shared" si="14"/>
        <v>对</v>
      </c>
      <c r="BL21" s="1684">
        <f t="shared" si="10"/>
        <v>1.5878</v>
      </c>
    </row>
    <row r="22" spans="1:64">
      <c r="A22" s="326">
        <f t="shared" ref="A22:A85" si="16">DATE(IF(MONTH(A21)=12,YEAR(A21)+1,YEAR(A21)),MONTH(A21+1)+1,1)-1</f>
        <v>34059</v>
      </c>
      <c r="B22" s="1678">
        <v>101.2</v>
      </c>
      <c r="C22" s="1679">
        <f t="shared" si="1"/>
        <v>1.012</v>
      </c>
      <c r="D22" s="1679">
        <f>PRODUCT(C$4:C22)</f>
        <v>2.18987790521284</v>
      </c>
      <c r="F22" s="1678">
        <v>100</v>
      </c>
      <c r="G22" s="1679">
        <f t="shared" si="2"/>
        <v>1</v>
      </c>
      <c r="H22" s="1679">
        <f>PRODUCT(G$4:G22)</f>
        <v>1</v>
      </c>
      <c r="J22" s="1680">
        <v>0</v>
      </c>
      <c r="K22" s="1680">
        <v>0</v>
      </c>
      <c r="L22" s="1680">
        <v>0</v>
      </c>
      <c r="N22" s="1681"/>
      <c r="O22" s="1681"/>
      <c r="P22" s="1681"/>
      <c r="Q22" s="1681"/>
      <c r="R22" s="1681"/>
      <c r="T22" s="1681"/>
      <c r="U22" s="1681"/>
      <c r="W22" s="1681">
        <f t="shared" si="3"/>
        <v>0</v>
      </c>
      <c r="X22" s="1681"/>
      <c r="Y22" s="1681">
        <f t="shared" si="4"/>
        <v>0</v>
      </c>
      <c r="Z22" s="1681"/>
      <c r="AB22" s="1682"/>
      <c r="AC22" s="1682"/>
      <c r="AE22" s="1683"/>
      <c r="AF22" s="1683"/>
      <c r="AG22" s="1683"/>
      <c r="AH22" s="1683"/>
      <c r="AI22" s="1683"/>
      <c r="AJ22" s="1683"/>
      <c r="AK22" s="1683"/>
      <c r="AL22" s="1683"/>
      <c r="AM22" s="1683"/>
      <c r="AN22" s="1683"/>
      <c r="AO22" s="1683"/>
      <c r="AP22" s="1683"/>
      <c r="AQ22" s="1683"/>
      <c r="AR22" s="1683"/>
      <c r="AS22" s="1683"/>
      <c r="AT22" s="1683"/>
      <c r="AU22" s="1683"/>
      <c r="AV22" s="1683"/>
      <c r="AW22" s="1683"/>
      <c r="AX22" s="1683"/>
      <c r="AY22" s="1683"/>
      <c r="AZ22" s="1683"/>
      <c r="BA22" s="1683"/>
      <c r="BB22" s="1683"/>
      <c r="BD22" s="1684" t="s">
        <v>513</v>
      </c>
      <c r="BE22" s="1684">
        <f t="shared" si="11"/>
        <v>310</v>
      </c>
      <c r="BF22" s="1684">
        <f t="shared" si="5"/>
        <v>326</v>
      </c>
      <c r="BG22" s="1685" t="str">
        <f t="shared" si="15"/>
        <v>，</v>
      </c>
      <c r="BH22" s="1684" t="str">
        <f t="shared" si="7"/>
        <v>人民币1元对1.0017丹麦克朗</v>
      </c>
      <c r="BI22" s="1684">
        <f t="shared" si="13"/>
        <v>1</v>
      </c>
      <c r="BJ22" s="1684" t="str">
        <f t="shared" si="8"/>
        <v>1.0017丹麦克朗</v>
      </c>
      <c r="BK22" s="1685" t="str">
        <f t="shared" si="14"/>
        <v>对</v>
      </c>
      <c r="BL22" s="1684">
        <f t="shared" si="10"/>
        <v>0.9983</v>
      </c>
    </row>
    <row r="23" spans="1:64">
      <c r="A23" s="326">
        <f t="shared" si="16"/>
        <v>34089</v>
      </c>
      <c r="B23" s="1678">
        <v>101.6</v>
      </c>
      <c r="C23" s="1679">
        <f t="shared" si="1"/>
        <v>1.016</v>
      </c>
      <c r="D23" s="1679">
        <f>PRODUCT(C$4:C23)</f>
        <v>2.22491595169625</v>
      </c>
      <c r="F23" s="1678">
        <v>100</v>
      </c>
      <c r="G23" s="1679">
        <f t="shared" si="2"/>
        <v>1</v>
      </c>
      <c r="H23" s="1679">
        <f>PRODUCT(G$4:G23)</f>
        <v>1</v>
      </c>
      <c r="J23" s="1680">
        <v>0</v>
      </c>
      <c r="K23" s="1680">
        <v>0</v>
      </c>
      <c r="L23" s="1680">
        <v>0</v>
      </c>
      <c r="N23" s="1681"/>
      <c r="O23" s="1681"/>
      <c r="P23" s="1681"/>
      <c r="Q23" s="1681"/>
      <c r="R23" s="1681"/>
      <c r="T23" s="1681"/>
      <c r="U23" s="1681"/>
      <c r="W23" s="1681">
        <f t="shared" si="3"/>
        <v>0</v>
      </c>
      <c r="X23" s="1681"/>
      <c r="Y23" s="1681">
        <f t="shared" si="4"/>
        <v>0</v>
      </c>
      <c r="Z23" s="1681"/>
      <c r="AB23" s="1682"/>
      <c r="AC23" s="1682"/>
      <c r="AE23" s="1683"/>
      <c r="AF23" s="1683"/>
      <c r="AG23" s="1683"/>
      <c r="AH23" s="1683"/>
      <c r="AI23" s="1683"/>
      <c r="AJ23" s="1683"/>
      <c r="AK23" s="1683"/>
      <c r="AL23" s="1683"/>
      <c r="AM23" s="1683"/>
      <c r="AN23" s="1683"/>
      <c r="AO23" s="1683"/>
      <c r="AP23" s="1683"/>
      <c r="AQ23" s="1683"/>
      <c r="AR23" s="1683"/>
      <c r="AS23" s="1683"/>
      <c r="AT23" s="1683"/>
      <c r="AU23" s="1683"/>
      <c r="AV23" s="1683"/>
      <c r="AW23" s="1683"/>
      <c r="AX23" s="1683"/>
      <c r="AY23" s="1683"/>
      <c r="AZ23" s="1683"/>
      <c r="BA23" s="1683"/>
      <c r="BB23" s="1683"/>
      <c r="BD23" s="1684" t="s">
        <v>514</v>
      </c>
      <c r="BE23" s="1684">
        <f t="shared" si="11"/>
        <v>327</v>
      </c>
      <c r="BF23" s="1684">
        <f t="shared" si="5"/>
        <v>343</v>
      </c>
      <c r="BG23" s="1685" t="str">
        <f t="shared" si="15"/>
        <v>，</v>
      </c>
      <c r="BH23" s="1684" t="str">
        <f t="shared" si="7"/>
        <v>人民币1元对1.5017瑞典克朗</v>
      </c>
      <c r="BI23" s="1684">
        <f t="shared" si="13"/>
        <v>1</v>
      </c>
      <c r="BJ23" s="1684" t="str">
        <f t="shared" si="8"/>
        <v>1.5017瑞典克朗</v>
      </c>
      <c r="BK23" s="1685" t="str">
        <f t="shared" si="14"/>
        <v>对</v>
      </c>
      <c r="BL23" s="1684">
        <f t="shared" si="10"/>
        <v>0.6659</v>
      </c>
    </row>
    <row r="24" spans="1:64">
      <c r="A24" s="326">
        <f t="shared" si="16"/>
        <v>34120</v>
      </c>
      <c r="B24" s="1678">
        <v>103.5</v>
      </c>
      <c r="C24" s="1679">
        <f t="shared" si="1"/>
        <v>1.035</v>
      </c>
      <c r="D24" s="1679">
        <f>PRODUCT(C$4:C24)</f>
        <v>2.30278801000562</v>
      </c>
      <c r="F24" s="1678">
        <v>100</v>
      </c>
      <c r="G24" s="1679">
        <f t="shared" si="2"/>
        <v>1</v>
      </c>
      <c r="H24" s="1679">
        <f>PRODUCT(G$4:G24)</f>
        <v>1</v>
      </c>
      <c r="J24" s="1680">
        <v>0</v>
      </c>
      <c r="K24" s="1680">
        <v>0</v>
      </c>
      <c r="L24" s="1680">
        <v>0</v>
      </c>
      <c r="N24" s="1681"/>
      <c r="O24" s="1681"/>
      <c r="P24" s="1681"/>
      <c r="Q24" s="1681"/>
      <c r="R24" s="1681"/>
      <c r="T24" s="1681"/>
      <c r="U24" s="1681"/>
      <c r="W24" s="1681">
        <f t="shared" si="3"/>
        <v>0</v>
      </c>
      <c r="X24" s="1681"/>
      <c r="Y24" s="1681">
        <f t="shared" si="4"/>
        <v>0</v>
      </c>
      <c r="Z24" s="1681"/>
      <c r="AB24" s="1682"/>
      <c r="AC24" s="1682"/>
      <c r="AE24" s="1683"/>
      <c r="AF24" s="1683"/>
      <c r="AG24" s="1683"/>
      <c r="AH24" s="1683"/>
      <c r="AI24" s="1683"/>
      <c r="AJ24" s="1683"/>
      <c r="AK24" s="1683"/>
      <c r="AL24" s="1683"/>
      <c r="AM24" s="1683"/>
      <c r="AN24" s="1683"/>
      <c r="AO24" s="1683"/>
      <c r="AP24" s="1683"/>
      <c r="AQ24" s="1683"/>
      <c r="AR24" s="1683"/>
      <c r="AS24" s="1683"/>
      <c r="AT24" s="1683"/>
      <c r="AU24" s="1683"/>
      <c r="AV24" s="1683"/>
      <c r="AW24" s="1683"/>
      <c r="AX24" s="1683"/>
      <c r="AY24" s="1683"/>
      <c r="AZ24" s="1683"/>
      <c r="BA24" s="1683"/>
      <c r="BB24" s="1683"/>
      <c r="BD24" s="1684" t="s">
        <v>515</v>
      </c>
      <c r="BE24" s="1684">
        <f t="shared" si="11"/>
        <v>344</v>
      </c>
      <c r="BF24" s="1684">
        <f t="shared" si="5"/>
        <v>360</v>
      </c>
      <c r="BG24" s="1685" t="str">
        <f t="shared" si="15"/>
        <v>，</v>
      </c>
      <c r="BH24" s="1684" t="str">
        <f t="shared" si="7"/>
        <v>人民币1元对1.4201挪威克朗</v>
      </c>
      <c r="BI24" s="1684">
        <f t="shared" si="13"/>
        <v>1</v>
      </c>
      <c r="BJ24" s="1684" t="str">
        <f t="shared" si="8"/>
        <v>1.4201挪威克朗</v>
      </c>
      <c r="BK24" s="1685" t="str">
        <f t="shared" si="14"/>
        <v>对</v>
      </c>
      <c r="BL24" s="1684">
        <f t="shared" si="10"/>
        <v>0.7042</v>
      </c>
    </row>
    <row r="25" spans="1:64">
      <c r="A25" s="326">
        <f t="shared" si="16"/>
        <v>34150</v>
      </c>
      <c r="B25" s="1678">
        <v>102.8</v>
      </c>
      <c r="C25" s="1679">
        <f t="shared" si="1"/>
        <v>1.028</v>
      </c>
      <c r="D25" s="1679">
        <f>PRODUCT(C$4:C25)</f>
        <v>2.36726607428578</v>
      </c>
      <c r="F25" s="1678">
        <v>100</v>
      </c>
      <c r="G25" s="1679">
        <f t="shared" si="2"/>
        <v>1</v>
      </c>
      <c r="H25" s="1679">
        <f>PRODUCT(G$4:G25)</f>
        <v>1</v>
      </c>
      <c r="J25" s="1680">
        <v>0</v>
      </c>
      <c r="K25" s="1680">
        <v>0</v>
      </c>
      <c r="L25" s="1680">
        <v>0</v>
      </c>
      <c r="N25" s="1681"/>
      <c r="O25" s="1681"/>
      <c r="P25" s="1681"/>
      <c r="Q25" s="1681"/>
      <c r="R25" s="1681"/>
      <c r="T25" s="1681"/>
      <c r="U25" s="1681"/>
      <c r="W25" s="1681">
        <f t="shared" si="3"/>
        <v>0</v>
      </c>
      <c r="X25" s="1681"/>
      <c r="Y25" s="1681">
        <f t="shared" si="4"/>
        <v>0</v>
      </c>
      <c r="Z25" s="1681"/>
      <c r="AB25" s="1682"/>
      <c r="AC25" s="1682"/>
      <c r="AE25" s="1683"/>
      <c r="AF25" s="1683"/>
      <c r="AG25" s="1683"/>
      <c r="AH25" s="1683"/>
      <c r="AI25" s="1683"/>
      <c r="AJ25" s="1683"/>
      <c r="AK25" s="1683"/>
      <c r="AL25" s="1683"/>
      <c r="AM25" s="1683"/>
      <c r="AN25" s="1683"/>
      <c r="AO25" s="1683"/>
      <c r="AP25" s="1683"/>
      <c r="AQ25" s="1683"/>
      <c r="AR25" s="1683"/>
      <c r="AS25" s="1683"/>
      <c r="AT25" s="1683"/>
      <c r="AU25" s="1683"/>
      <c r="AV25" s="1683"/>
      <c r="AW25" s="1683"/>
      <c r="AX25" s="1683"/>
      <c r="AY25" s="1683"/>
      <c r="AZ25" s="1683"/>
      <c r="BA25" s="1683"/>
      <c r="BB25" s="1683"/>
      <c r="BD25" s="1684" t="s">
        <v>516</v>
      </c>
      <c r="BE25" s="1684">
        <f t="shared" si="11"/>
        <v>361</v>
      </c>
      <c r="BF25" s="1684">
        <f t="shared" si="5"/>
        <v>379</v>
      </c>
      <c r="BG25" s="1685" t="str">
        <f t="shared" si="15"/>
        <v>，</v>
      </c>
      <c r="BH25" s="1684" t="str">
        <f t="shared" si="7"/>
        <v>人民币1元对2.68597土耳其里拉</v>
      </c>
      <c r="BI25" s="1684">
        <f t="shared" si="13"/>
        <v>1</v>
      </c>
      <c r="BJ25" s="1684" t="str">
        <f t="shared" si="8"/>
        <v>2.68597土耳其里拉</v>
      </c>
      <c r="BK25" s="1685" t="str">
        <f t="shared" si="14"/>
        <v>对</v>
      </c>
      <c r="BL25" s="1684">
        <f t="shared" si="10"/>
        <v>0.3723</v>
      </c>
    </row>
    <row r="26" spans="1:64">
      <c r="A26" s="326">
        <f t="shared" si="16"/>
        <v>34181</v>
      </c>
      <c r="B26" s="1678">
        <v>98.6</v>
      </c>
      <c r="C26" s="1679">
        <f t="shared" si="1"/>
        <v>0.986</v>
      </c>
      <c r="D26" s="1679">
        <f>PRODUCT(C$4:C26)</f>
        <v>2.33412434924578</v>
      </c>
      <c r="F26" s="1678">
        <v>100</v>
      </c>
      <c r="G26" s="1679">
        <f t="shared" si="2"/>
        <v>1</v>
      </c>
      <c r="H26" s="1679">
        <f>PRODUCT(G$4:G26)</f>
        <v>1</v>
      </c>
      <c r="J26" s="1680">
        <v>0</v>
      </c>
      <c r="K26" s="1680">
        <v>0</v>
      </c>
      <c r="L26" s="1680">
        <v>0</v>
      </c>
      <c r="N26" s="1681"/>
      <c r="O26" s="1681"/>
      <c r="P26" s="1681"/>
      <c r="Q26" s="1681"/>
      <c r="R26" s="1681"/>
      <c r="T26" s="1681"/>
      <c r="U26" s="1681"/>
      <c r="W26" s="1681">
        <f t="shared" si="3"/>
        <v>0</v>
      </c>
      <c r="X26" s="1681"/>
      <c r="Y26" s="1681">
        <f t="shared" si="4"/>
        <v>0</v>
      </c>
      <c r="Z26" s="1681"/>
      <c r="AB26" s="1682"/>
      <c r="AC26" s="1682"/>
      <c r="AE26" s="1683"/>
      <c r="AF26" s="1683"/>
      <c r="AG26" s="1683"/>
      <c r="AH26" s="1683"/>
      <c r="AI26" s="1683"/>
      <c r="AJ26" s="1683"/>
      <c r="AK26" s="1683"/>
      <c r="AL26" s="1683"/>
      <c r="AM26" s="1683"/>
      <c r="AN26" s="1683"/>
      <c r="AO26" s="1683"/>
      <c r="AP26" s="1683"/>
      <c r="AQ26" s="1683"/>
      <c r="AR26" s="1683"/>
      <c r="AS26" s="1683"/>
      <c r="AT26" s="1683"/>
      <c r="AU26" s="1683"/>
      <c r="AV26" s="1683"/>
      <c r="AW26" s="1683"/>
      <c r="AX26" s="1683"/>
      <c r="AY26" s="1683"/>
      <c r="AZ26" s="1683"/>
      <c r="BA26" s="1683"/>
      <c r="BB26" s="1683"/>
      <c r="BD26" s="1684" t="s">
        <v>517</v>
      </c>
      <c r="BE26" s="1684">
        <f t="shared" si="11"/>
        <v>380</v>
      </c>
      <c r="BF26" s="1684">
        <f t="shared" si="5"/>
        <v>397</v>
      </c>
      <c r="BG26" s="1685" t="str">
        <f t="shared" si="15"/>
        <v>，</v>
      </c>
      <c r="BH26" s="1684" t="str">
        <f t="shared" si="7"/>
        <v>人民币1元对2.7958墨西哥比索</v>
      </c>
      <c r="BI26" s="1684">
        <f t="shared" si="13"/>
        <v>1</v>
      </c>
      <c r="BJ26" s="1684" t="str">
        <f t="shared" si="8"/>
        <v>2.7958墨西哥比索</v>
      </c>
      <c r="BK26" s="1685" t="str">
        <f t="shared" si="14"/>
        <v>对</v>
      </c>
      <c r="BL26" s="1684">
        <f t="shared" si="10"/>
        <v>0.3577</v>
      </c>
    </row>
    <row r="27" spans="1:64">
      <c r="A27" s="326">
        <f t="shared" si="16"/>
        <v>34212</v>
      </c>
      <c r="B27" s="1678">
        <v>103.6</v>
      </c>
      <c r="C27" s="1679">
        <f t="shared" si="1"/>
        <v>1.036</v>
      </c>
      <c r="D27" s="1679">
        <f>PRODUCT(C$4:C27)</f>
        <v>2.41815282581862</v>
      </c>
      <c r="F27" s="1678">
        <v>100</v>
      </c>
      <c r="G27" s="1679">
        <f t="shared" si="2"/>
        <v>1</v>
      </c>
      <c r="H27" s="1679">
        <f>PRODUCT(G$4:G27)</f>
        <v>1</v>
      </c>
      <c r="J27" s="1680">
        <v>0</v>
      </c>
      <c r="K27" s="1680">
        <v>0</v>
      </c>
      <c r="L27" s="1680">
        <v>0</v>
      </c>
      <c r="N27" s="1681"/>
      <c r="O27" s="1681"/>
      <c r="P27" s="1681"/>
      <c r="Q27" s="1681"/>
      <c r="R27" s="1681"/>
      <c r="T27" s="1681"/>
      <c r="U27" s="1681"/>
      <c r="W27" s="1681">
        <f t="shared" si="3"/>
        <v>0</v>
      </c>
      <c r="X27" s="1681"/>
      <c r="Y27" s="1681">
        <f t="shared" si="4"/>
        <v>0</v>
      </c>
      <c r="Z27" s="1681"/>
      <c r="AB27" s="1682"/>
      <c r="AC27" s="1682"/>
      <c r="AE27" s="1683"/>
      <c r="AF27" s="1683"/>
      <c r="AG27" s="1683"/>
      <c r="AH27" s="1683"/>
      <c r="AI27" s="1683"/>
      <c r="AJ27" s="1683"/>
      <c r="AK27" s="1683"/>
      <c r="AL27" s="1683"/>
      <c r="AM27" s="1683"/>
      <c r="AN27" s="1683"/>
      <c r="AO27" s="1683"/>
      <c r="AP27" s="1683"/>
      <c r="AQ27" s="1683"/>
      <c r="AR27" s="1683"/>
      <c r="AS27" s="1683"/>
      <c r="AT27" s="1683"/>
      <c r="AU27" s="1683"/>
      <c r="AV27" s="1683"/>
      <c r="AW27" s="1683"/>
      <c r="AX27" s="1683"/>
      <c r="AY27" s="1683"/>
      <c r="AZ27" s="1683"/>
      <c r="BA27" s="1683"/>
      <c r="BB27" s="1683"/>
      <c r="BD27" s="1684" t="s">
        <v>518</v>
      </c>
      <c r="BE27" s="1684">
        <f t="shared" si="11"/>
        <v>398</v>
      </c>
      <c r="BF27" s="1684">
        <f t="shared" si="5"/>
        <v>412</v>
      </c>
      <c r="BG27" s="1685" t="str">
        <f>"。"</f>
        <v>。</v>
      </c>
      <c r="BH27" s="1684" t="str">
        <f t="shared" si="7"/>
        <v>人民币1元对4.9647泰铢</v>
      </c>
      <c r="BI27" s="1684">
        <f t="shared" si="13"/>
        <v>1</v>
      </c>
      <c r="BJ27" s="1684" t="str">
        <f t="shared" si="8"/>
        <v>4.9647泰铢</v>
      </c>
      <c r="BK27" s="1685" t="str">
        <f t="shared" si="14"/>
        <v>对</v>
      </c>
      <c r="BL27" s="1684">
        <f t="shared" si="10"/>
        <v>0.2014</v>
      </c>
    </row>
    <row r="28" spans="1:64">
      <c r="A28" s="326">
        <f t="shared" si="16"/>
        <v>34242</v>
      </c>
      <c r="B28" s="1678">
        <v>99.9</v>
      </c>
      <c r="C28" s="1679">
        <f t="shared" si="1"/>
        <v>0.999</v>
      </c>
      <c r="D28" s="1679">
        <f>PRODUCT(C$4:C28)</f>
        <v>2.4157346729928</v>
      </c>
      <c r="F28" s="1678">
        <v>100</v>
      </c>
      <c r="G28" s="1679">
        <f t="shared" si="2"/>
        <v>1</v>
      </c>
      <c r="H28" s="1679">
        <f>PRODUCT(G$4:G28)</f>
        <v>1</v>
      </c>
      <c r="J28" s="1680">
        <v>0</v>
      </c>
      <c r="K28" s="1680">
        <v>0</v>
      </c>
      <c r="L28" s="1680">
        <v>0</v>
      </c>
      <c r="N28" s="1681"/>
      <c r="O28" s="1681"/>
      <c r="P28" s="1681"/>
      <c r="Q28" s="1681"/>
      <c r="R28" s="1681"/>
      <c r="T28" s="1681"/>
      <c r="U28" s="1681"/>
      <c r="W28" s="1681">
        <f t="shared" si="3"/>
        <v>0</v>
      </c>
      <c r="X28" s="1681"/>
      <c r="Y28" s="1681">
        <f t="shared" si="4"/>
        <v>0</v>
      </c>
      <c r="Z28" s="1681"/>
      <c r="AB28" s="1682"/>
      <c r="AC28" s="1682"/>
      <c r="AE28" s="1683"/>
      <c r="AF28" s="1683"/>
      <c r="AG28" s="1683"/>
      <c r="AH28" s="1683"/>
      <c r="AI28" s="1683"/>
      <c r="AJ28" s="1683"/>
      <c r="AK28" s="1683"/>
      <c r="AL28" s="1683"/>
      <c r="AM28" s="1683"/>
      <c r="AN28" s="1683"/>
      <c r="AO28" s="1683"/>
      <c r="AP28" s="1683"/>
      <c r="AQ28" s="1683"/>
      <c r="AR28" s="1683"/>
      <c r="AS28" s="1683"/>
      <c r="AT28" s="1683"/>
      <c r="AU28" s="1683"/>
      <c r="AV28" s="1683"/>
      <c r="AW28" s="1683"/>
      <c r="AX28" s="1683"/>
      <c r="AY28" s="1683"/>
      <c r="AZ28" s="1683"/>
      <c r="BA28" s="1683"/>
      <c r="BB28" s="1683"/>
    </row>
    <row r="29" spans="1:64">
      <c r="A29" s="326">
        <f t="shared" si="16"/>
        <v>34273</v>
      </c>
      <c r="B29" s="1678">
        <v>102.7</v>
      </c>
      <c r="C29" s="1679">
        <f t="shared" si="1"/>
        <v>1.027</v>
      </c>
      <c r="D29" s="1679">
        <f>PRODUCT(C$4:C29)</f>
        <v>2.48095950916361</v>
      </c>
      <c r="F29" s="1678">
        <v>100</v>
      </c>
      <c r="G29" s="1679">
        <f t="shared" si="2"/>
        <v>1</v>
      </c>
      <c r="H29" s="1679">
        <f>PRODUCT(G$4:G29)</f>
        <v>1</v>
      </c>
      <c r="J29" s="1680">
        <v>0</v>
      </c>
      <c r="K29" s="1680">
        <v>0</v>
      </c>
      <c r="L29" s="1680">
        <v>0</v>
      </c>
      <c r="N29" s="1681"/>
      <c r="O29" s="1681"/>
      <c r="P29" s="1681"/>
      <c r="Q29" s="1681"/>
      <c r="R29" s="1681"/>
      <c r="T29" s="1681"/>
      <c r="U29" s="1681"/>
      <c r="W29" s="1681">
        <f t="shared" si="3"/>
        <v>0</v>
      </c>
      <c r="X29" s="1681"/>
      <c r="Y29" s="1681">
        <f t="shared" si="4"/>
        <v>0</v>
      </c>
      <c r="Z29" s="1681"/>
      <c r="AB29" s="1682"/>
      <c r="AC29" s="1682"/>
      <c r="AE29" s="1683"/>
      <c r="AF29" s="1683"/>
      <c r="AG29" s="1683"/>
      <c r="AH29" s="1683"/>
      <c r="AI29" s="1683"/>
      <c r="AJ29" s="1683"/>
      <c r="AK29" s="1683"/>
      <c r="AL29" s="1683"/>
      <c r="AM29" s="1683"/>
      <c r="AN29" s="1683"/>
      <c r="AO29" s="1683"/>
      <c r="AP29" s="1683"/>
      <c r="AQ29" s="1683"/>
      <c r="AR29" s="1683"/>
      <c r="AS29" s="1683"/>
      <c r="AT29" s="1683"/>
      <c r="AU29" s="1683"/>
      <c r="AV29" s="1683"/>
      <c r="AW29" s="1683"/>
      <c r="AX29" s="1683"/>
      <c r="AY29" s="1683"/>
      <c r="AZ29" s="1683"/>
      <c r="BA29" s="1683"/>
      <c r="BB29" s="1683"/>
    </row>
    <row r="30" spans="1:64">
      <c r="A30" s="326">
        <f t="shared" si="16"/>
        <v>34303</v>
      </c>
      <c r="B30" s="1678">
        <v>100.1</v>
      </c>
      <c r="C30" s="1679">
        <f t="shared" si="1"/>
        <v>1.001</v>
      </c>
      <c r="D30" s="1679">
        <f>PRODUCT(C$4:C30)</f>
        <v>2.48344046867277</v>
      </c>
      <c r="F30" s="1678">
        <v>100</v>
      </c>
      <c r="G30" s="1679">
        <f t="shared" si="2"/>
        <v>1</v>
      </c>
      <c r="H30" s="1679">
        <f>PRODUCT(G$4:G30)</f>
        <v>1</v>
      </c>
      <c r="J30" s="1680">
        <v>0</v>
      </c>
      <c r="K30" s="1680">
        <v>0</v>
      </c>
      <c r="L30" s="1680">
        <v>0</v>
      </c>
      <c r="N30" s="1681"/>
      <c r="O30" s="1681"/>
      <c r="P30" s="1681"/>
      <c r="Q30" s="1681"/>
      <c r="R30" s="1681"/>
      <c r="T30" s="1681"/>
      <c r="U30" s="1681"/>
      <c r="W30" s="1681">
        <f t="shared" si="3"/>
        <v>0</v>
      </c>
      <c r="X30" s="1681"/>
      <c r="Y30" s="1681">
        <f t="shared" si="4"/>
        <v>0</v>
      </c>
      <c r="Z30" s="1681"/>
      <c r="AB30" s="1682"/>
      <c r="AC30" s="1682"/>
      <c r="AE30" s="1683"/>
      <c r="AF30" s="1683"/>
      <c r="AG30" s="1683"/>
      <c r="AH30" s="1683"/>
      <c r="AI30" s="1683"/>
      <c r="AJ30" s="1683"/>
      <c r="AK30" s="1683"/>
      <c r="AL30" s="1683"/>
      <c r="AM30" s="1683"/>
      <c r="AN30" s="1683"/>
      <c r="AO30" s="1683"/>
      <c r="AP30" s="1683"/>
      <c r="AQ30" s="1683"/>
      <c r="AR30" s="1683"/>
      <c r="AS30" s="1683"/>
      <c r="AT30" s="1683"/>
      <c r="AU30" s="1683"/>
      <c r="AV30" s="1683"/>
      <c r="AW30" s="1683"/>
      <c r="AX30" s="1683"/>
      <c r="AY30" s="1683"/>
      <c r="AZ30" s="1683"/>
      <c r="BA30" s="1683"/>
      <c r="BB30" s="1683"/>
    </row>
    <row r="31" spans="1:64">
      <c r="A31" s="326">
        <f t="shared" si="16"/>
        <v>34334</v>
      </c>
      <c r="B31" s="1678">
        <v>99.1</v>
      </c>
      <c r="C31" s="1679">
        <f t="shared" si="1"/>
        <v>0.991</v>
      </c>
      <c r="D31" s="1679">
        <f>PRODUCT(C$4:C31)</f>
        <v>2.46108950445472</v>
      </c>
      <c r="F31" s="1678">
        <v>100</v>
      </c>
      <c r="G31" s="1679">
        <f t="shared" si="2"/>
        <v>1</v>
      </c>
      <c r="H31" s="1679">
        <f>PRODUCT(G$4:G31)</f>
        <v>1</v>
      </c>
      <c r="J31" s="1680">
        <v>0</v>
      </c>
      <c r="K31" s="1680">
        <v>0</v>
      </c>
      <c r="L31" s="1680">
        <v>0</v>
      </c>
      <c r="N31" s="1681"/>
      <c r="O31" s="1681"/>
      <c r="P31" s="1681"/>
      <c r="Q31" s="1681"/>
      <c r="R31" s="1681"/>
      <c r="T31" s="1681"/>
      <c r="U31" s="1681"/>
      <c r="W31" s="1681">
        <f t="shared" si="3"/>
        <v>0</v>
      </c>
      <c r="X31" s="1681"/>
      <c r="Y31" s="1681">
        <f t="shared" si="4"/>
        <v>0</v>
      </c>
      <c r="Z31" s="1681"/>
      <c r="AB31" s="1682"/>
      <c r="AC31" s="1682"/>
      <c r="AE31" s="1683"/>
      <c r="AF31" s="1683"/>
      <c r="AG31" s="1683"/>
      <c r="AH31" s="1683"/>
      <c r="AI31" s="1683"/>
      <c r="AJ31" s="1683"/>
      <c r="AK31" s="1683"/>
      <c r="AL31" s="1683"/>
      <c r="AM31" s="1683"/>
      <c r="AN31" s="1683"/>
      <c r="AO31" s="1683"/>
      <c r="AP31" s="1683"/>
      <c r="AQ31" s="1683"/>
      <c r="AR31" s="1683"/>
      <c r="AS31" s="1683"/>
      <c r="AT31" s="1683"/>
      <c r="AU31" s="1683"/>
      <c r="AV31" s="1683"/>
      <c r="AW31" s="1683"/>
      <c r="AX31" s="1683"/>
      <c r="AY31" s="1683"/>
      <c r="AZ31" s="1683"/>
      <c r="BA31" s="1683"/>
      <c r="BB31" s="1683"/>
    </row>
    <row r="32" spans="1:64">
      <c r="A32" s="326">
        <f t="shared" si="16"/>
        <v>34365</v>
      </c>
      <c r="B32" s="1678">
        <v>100</v>
      </c>
      <c r="C32" s="1679">
        <f t="shared" si="1"/>
        <v>1</v>
      </c>
      <c r="D32" s="1679">
        <f>PRODUCT(C$4:C32)</f>
        <v>2.46108950445472</v>
      </c>
      <c r="F32" s="1678">
        <v>100</v>
      </c>
      <c r="G32" s="1679">
        <f t="shared" si="2"/>
        <v>1</v>
      </c>
      <c r="H32" s="1679">
        <f>PRODUCT(G$4:G32)</f>
        <v>1</v>
      </c>
      <c r="J32" s="1680">
        <v>0</v>
      </c>
      <c r="K32" s="1680">
        <v>0</v>
      </c>
      <c r="L32" s="1680">
        <v>0</v>
      </c>
      <c r="N32" s="1681"/>
      <c r="O32" s="1681"/>
      <c r="P32" s="1681"/>
      <c r="Q32" s="1681"/>
      <c r="R32" s="1681"/>
      <c r="T32" s="1681"/>
      <c r="U32" s="1681"/>
      <c r="W32" s="1681">
        <f t="shared" si="3"/>
        <v>0</v>
      </c>
      <c r="X32" s="1681"/>
      <c r="Y32" s="1681">
        <f t="shared" si="4"/>
        <v>0</v>
      </c>
      <c r="Z32" s="1681"/>
      <c r="AB32" s="1682"/>
      <c r="AC32" s="1682"/>
      <c r="AE32" s="1683"/>
      <c r="AF32" s="1683"/>
      <c r="AG32" s="1683"/>
      <c r="AH32" s="1683"/>
      <c r="AI32" s="1683"/>
      <c r="AJ32" s="1683"/>
      <c r="AK32" s="1683"/>
      <c r="AL32" s="1683"/>
      <c r="AM32" s="1683"/>
      <c r="AN32" s="1683"/>
      <c r="AO32" s="1683"/>
      <c r="AP32" s="1683"/>
      <c r="AQ32" s="1683"/>
      <c r="AR32" s="1683"/>
      <c r="AS32" s="1683"/>
      <c r="AT32" s="1683"/>
      <c r="AU32" s="1683"/>
      <c r="AV32" s="1683"/>
      <c r="AW32" s="1683"/>
      <c r="AX32" s="1683"/>
      <c r="AY32" s="1683"/>
      <c r="AZ32" s="1683"/>
      <c r="BA32" s="1683"/>
      <c r="BB32" s="1683"/>
    </row>
    <row r="33" spans="1:54">
      <c r="A33" s="326">
        <f t="shared" si="16"/>
        <v>34393</v>
      </c>
      <c r="B33" s="1678">
        <v>101.9</v>
      </c>
      <c r="C33" s="1679">
        <f t="shared" si="1"/>
        <v>1.019</v>
      </c>
      <c r="D33" s="1679">
        <f>PRODUCT(C$4:C33)</f>
        <v>2.50785020503936</v>
      </c>
      <c r="F33" s="1678">
        <v>100</v>
      </c>
      <c r="G33" s="1679">
        <f t="shared" si="2"/>
        <v>1</v>
      </c>
      <c r="H33" s="1679">
        <f>PRODUCT(G$4:G33)</f>
        <v>1</v>
      </c>
      <c r="J33" s="1680">
        <v>0</v>
      </c>
      <c r="K33" s="1680">
        <v>0</v>
      </c>
      <c r="L33" s="1680">
        <v>0</v>
      </c>
      <c r="N33" s="1681"/>
      <c r="O33" s="1681"/>
      <c r="P33" s="1681"/>
      <c r="Q33" s="1681"/>
      <c r="R33" s="1681"/>
      <c r="T33" s="1681"/>
      <c r="U33" s="1681"/>
      <c r="W33" s="1681">
        <f t="shared" si="3"/>
        <v>0</v>
      </c>
      <c r="X33" s="1681"/>
      <c r="Y33" s="1681">
        <f t="shared" si="4"/>
        <v>0</v>
      </c>
      <c r="Z33" s="1681"/>
      <c r="AB33" s="1682"/>
      <c r="AC33" s="1682"/>
      <c r="AE33" s="1683"/>
      <c r="AF33" s="1683"/>
      <c r="AG33" s="1683"/>
      <c r="AH33" s="1683"/>
      <c r="AI33" s="1683"/>
      <c r="AJ33" s="1683"/>
      <c r="AK33" s="1683"/>
      <c r="AL33" s="1683"/>
      <c r="AM33" s="1683"/>
      <c r="AN33" s="1683"/>
      <c r="AO33" s="1683"/>
      <c r="AP33" s="1683"/>
      <c r="AQ33" s="1683"/>
      <c r="AR33" s="1683"/>
      <c r="AS33" s="1683"/>
      <c r="AT33" s="1683"/>
      <c r="AU33" s="1683"/>
      <c r="AV33" s="1683"/>
      <c r="AW33" s="1683"/>
      <c r="AX33" s="1683"/>
      <c r="AY33" s="1683"/>
      <c r="AZ33" s="1683"/>
      <c r="BA33" s="1683"/>
      <c r="BB33" s="1683"/>
    </row>
    <row r="34" spans="1:54">
      <c r="A34" s="326">
        <f t="shared" si="16"/>
        <v>34424</v>
      </c>
      <c r="B34" s="1678">
        <v>102.4</v>
      </c>
      <c r="C34" s="1679">
        <f t="shared" si="1"/>
        <v>1.024</v>
      </c>
      <c r="D34" s="1679">
        <f>PRODUCT(C$4:C34)</f>
        <v>2.5680386099603</v>
      </c>
      <c r="F34" s="1678">
        <v>100</v>
      </c>
      <c r="G34" s="1679">
        <f t="shared" si="2"/>
        <v>1</v>
      </c>
      <c r="H34" s="1679">
        <f>PRODUCT(G$4:G34)</f>
        <v>1</v>
      </c>
      <c r="J34" s="1680">
        <v>0</v>
      </c>
      <c r="K34" s="1680">
        <v>0</v>
      </c>
      <c r="L34" s="1680">
        <v>0</v>
      </c>
      <c r="N34" s="1681"/>
      <c r="O34" s="1681"/>
      <c r="P34" s="1681"/>
      <c r="Q34" s="1681"/>
      <c r="R34" s="1681"/>
      <c r="T34" s="1681"/>
      <c r="U34" s="1681"/>
      <c r="W34" s="1681">
        <f t="shared" si="3"/>
        <v>0</v>
      </c>
      <c r="X34" s="1681"/>
      <c r="Y34" s="1681">
        <f t="shared" si="4"/>
        <v>0</v>
      </c>
      <c r="Z34" s="1681"/>
      <c r="AB34" s="1682"/>
      <c r="AC34" s="1682"/>
      <c r="AE34" s="1683"/>
      <c r="AF34" s="1683"/>
      <c r="AG34" s="1683"/>
      <c r="AH34" s="1683"/>
      <c r="AI34" s="1683"/>
      <c r="AJ34" s="1683"/>
      <c r="AK34" s="1683"/>
      <c r="AL34" s="1683"/>
      <c r="AM34" s="1683"/>
      <c r="AN34" s="1683"/>
      <c r="AO34" s="1683"/>
      <c r="AP34" s="1683"/>
      <c r="AQ34" s="1683"/>
      <c r="AR34" s="1683"/>
      <c r="AS34" s="1683"/>
      <c r="AT34" s="1683"/>
      <c r="AU34" s="1683"/>
      <c r="AV34" s="1683"/>
      <c r="AW34" s="1683"/>
      <c r="AX34" s="1683"/>
      <c r="AY34" s="1683"/>
      <c r="AZ34" s="1683"/>
      <c r="BA34" s="1683"/>
      <c r="BB34" s="1683"/>
    </row>
    <row r="35" spans="1:54">
      <c r="A35" s="326">
        <f t="shared" si="16"/>
        <v>34454</v>
      </c>
      <c r="B35" s="1678">
        <v>103.1</v>
      </c>
      <c r="C35" s="1679">
        <f t="shared" si="1"/>
        <v>1.031</v>
      </c>
      <c r="D35" s="1679">
        <f>PRODUCT(C$4:C35)</f>
        <v>2.64764780686907</v>
      </c>
      <c r="F35" s="1678">
        <v>100</v>
      </c>
      <c r="G35" s="1679">
        <f t="shared" si="2"/>
        <v>1</v>
      </c>
      <c r="H35" s="1679">
        <f>PRODUCT(G$4:G35)</f>
        <v>1</v>
      </c>
      <c r="J35" s="1680">
        <v>0</v>
      </c>
      <c r="K35" s="1680">
        <v>0</v>
      </c>
      <c r="L35" s="1680">
        <v>0</v>
      </c>
      <c r="N35" s="1681"/>
      <c r="O35" s="1681"/>
      <c r="P35" s="1681"/>
      <c r="Q35" s="1681"/>
      <c r="R35" s="1681"/>
      <c r="T35" s="1681"/>
      <c r="U35" s="1681"/>
      <c r="W35" s="1681">
        <f t="shared" si="3"/>
        <v>0</v>
      </c>
      <c r="X35" s="1681"/>
      <c r="Y35" s="1681">
        <f t="shared" si="4"/>
        <v>0</v>
      </c>
      <c r="Z35" s="1681"/>
      <c r="AB35" s="1682"/>
      <c r="AC35" s="1682"/>
      <c r="AE35" s="1683"/>
      <c r="AF35" s="1683"/>
      <c r="AG35" s="1683"/>
      <c r="AH35" s="1683"/>
      <c r="AI35" s="1683"/>
      <c r="AJ35" s="1683"/>
      <c r="AK35" s="1683"/>
      <c r="AL35" s="1683"/>
      <c r="AM35" s="1683"/>
      <c r="AN35" s="1683"/>
      <c r="AO35" s="1683"/>
      <c r="AP35" s="1683"/>
      <c r="AQ35" s="1683"/>
      <c r="AR35" s="1683"/>
      <c r="AS35" s="1683"/>
      <c r="AT35" s="1683"/>
      <c r="AU35" s="1683"/>
      <c r="AV35" s="1683"/>
      <c r="AW35" s="1683"/>
      <c r="AX35" s="1683"/>
      <c r="AY35" s="1683"/>
      <c r="AZ35" s="1683"/>
      <c r="BA35" s="1683"/>
      <c r="BB35" s="1683"/>
    </row>
    <row r="36" spans="1:54">
      <c r="A36" s="326">
        <f t="shared" si="16"/>
        <v>34485</v>
      </c>
      <c r="B36" s="1678">
        <v>104</v>
      </c>
      <c r="C36" s="1679">
        <f t="shared" si="1"/>
        <v>1.04</v>
      </c>
      <c r="D36" s="1679">
        <f>PRODUCT(C$4:C36)</f>
        <v>2.75355371914384</v>
      </c>
      <c r="F36" s="1678">
        <v>100</v>
      </c>
      <c r="G36" s="1679">
        <f t="shared" si="2"/>
        <v>1</v>
      </c>
      <c r="H36" s="1679">
        <f>PRODUCT(G$4:G36)</f>
        <v>1</v>
      </c>
      <c r="J36" s="1680">
        <v>0</v>
      </c>
      <c r="K36" s="1680">
        <v>0</v>
      </c>
      <c r="L36" s="1680">
        <v>0</v>
      </c>
      <c r="N36" s="1681"/>
      <c r="O36" s="1681"/>
      <c r="P36" s="1681"/>
      <c r="Q36" s="1681"/>
      <c r="R36" s="1681"/>
      <c r="T36" s="1681"/>
      <c r="U36" s="1681"/>
      <c r="W36" s="1681">
        <f t="shared" si="3"/>
        <v>0</v>
      </c>
      <c r="X36" s="1681"/>
      <c r="Y36" s="1681">
        <f t="shared" si="4"/>
        <v>0</v>
      </c>
      <c r="Z36" s="1681"/>
      <c r="AB36" s="1682"/>
      <c r="AC36" s="1682"/>
      <c r="AE36" s="1683"/>
      <c r="AF36" s="1683"/>
      <c r="AG36" s="1683"/>
      <c r="AH36" s="1683"/>
      <c r="AI36" s="1683"/>
      <c r="AJ36" s="1683"/>
      <c r="AK36" s="1683"/>
      <c r="AL36" s="1683"/>
      <c r="AM36" s="1683"/>
      <c r="AN36" s="1683"/>
      <c r="AO36" s="1683"/>
      <c r="AP36" s="1683"/>
      <c r="AQ36" s="1683"/>
      <c r="AR36" s="1683"/>
      <c r="AS36" s="1683"/>
      <c r="AT36" s="1683"/>
      <c r="AU36" s="1683"/>
      <c r="AV36" s="1683"/>
      <c r="AW36" s="1683"/>
      <c r="AX36" s="1683"/>
      <c r="AY36" s="1683"/>
      <c r="AZ36" s="1683"/>
      <c r="BA36" s="1683"/>
      <c r="BB36" s="1683"/>
    </row>
    <row r="37" spans="1:54">
      <c r="A37" s="326">
        <f t="shared" si="16"/>
        <v>34515</v>
      </c>
      <c r="B37" s="1678">
        <v>101.9</v>
      </c>
      <c r="C37" s="1679">
        <f t="shared" si="1"/>
        <v>1.019</v>
      </c>
      <c r="D37" s="1679">
        <f>PRODUCT(C$4:C37)</f>
        <v>2.80587123980757</v>
      </c>
      <c r="F37" s="1678">
        <v>100</v>
      </c>
      <c r="G37" s="1679">
        <f t="shared" si="2"/>
        <v>1</v>
      </c>
      <c r="H37" s="1679">
        <f>PRODUCT(G$4:G37)</f>
        <v>1</v>
      </c>
      <c r="J37" s="1680">
        <v>0</v>
      </c>
      <c r="K37" s="1680">
        <v>0</v>
      </c>
      <c r="L37" s="1680">
        <v>0</v>
      </c>
      <c r="N37" s="1681"/>
      <c r="O37" s="1681"/>
      <c r="P37" s="1681"/>
      <c r="Q37" s="1681"/>
      <c r="R37" s="1681"/>
      <c r="T37" s="1681"/>
      <c r="U37" s="1681"/>
      <c r="W37" s="1681">
        <f t="shared" si="3"/>
        <v>0</v>
      </c>
      <c r="X37" s="1681"/>
      <c r="Y37" s="1681">
        <f t="shared" si="4"/>
        <v>0</v>
      </c>
      <c r="Z37" s="1681"/>
      <c r="AB37" s="1682"/>
      <c r="AC37" s="1682"/>
      <c r="AE37" s="1683"/>
      <c r="AF37" s="1683"/>
      <c r="AG37" s="1683"/>
      <c r="AH37" s="1683"/>
      <c r="AI37" s="1683"/>
      <c r="AJ37" s="1683"/>
      <c r="AK37" s="1683"/>
      <c r="AL37" s="1683"/>
      <c r="AM37" s="1683"/>
      <c r="AN37" s="1683"/>
      <c r="AO37" s="1683"/>
      <c r="AP37" s="1683"/>
      <c r="AQ37" s="1683"/>
      <c r="AR37" s="1683"/>
      <c r="AS37" s="1683"/>
      <c r="AT37" s="1683"/>
      <c r="AU37" s="1683"/>
      <c r="AV37" s="1683"/>
      <c r="AW37" s="1683"/>
      <c r="AX37" s="1683"/>
      <c r="AY37" s="1683"/>
      <c r="AZ37" s="1683"/>
      <c r="BA37" s="1683"/>
      <c r="BB37" s="1683"/>
    </row>
    <row r="38" spans="1:54">
      <c r="A38" s="326">
        <f t="shared" si="16"/>
        <v>34546</v>
      </c>
      <c r="B38" s="1678">
        <v>99.4</v>
      </c>
      <c r="C38" s="1679">
        <f t="shared" si="1"/>
        <v>0.994</v>
      </c>
      <c r="D38" s="1679">
        <f>PRODUCT(C$4:C38)</f>
        <v>2.78903601236873</v>
      </c>
      <c r="F38" s="1678">
        <v>100</v>
      </c>
      <c r="G38" s="1679">
        <f t="shared" si="2"/>
        <v>1</v>
      </c>
      <c r="H38" s="1679">
        <f>PRODUCT(G$4:G38)</f>
        <v>1</v>
      </c>
      <c r="J38" s="1680">
        <v>0</v>
      </c>
      <c r="K38" s="1680">
        <v>0</v>
      </c>
      <c r="L38" s="1680">
        <v>0</v>
      </c>
      <c r="N38" s="1681"/>
      <c r="O38" s="1681"/>
      <c r="P38" s="1681"/>
      <c r="Q38" s="1681"/>
      <c r="R38" s="1681"/>
      <c r="T38" s="1681"/>
      <c r="U38" s="1681"/>
      <c r="W38" s="1681">
        <f t="shared" si="3"/>
        <v>0</v>
      </c>
      <c r="X38" s="1681"/>
      <c r="Y38" s="1681">
        <f t="shared" si="4"/>
        <v>0</v>
      </c>
      <c r="Z38" s="1681"/>
      <c r="AB38" s="1682"/>
      <c r="AC38" s="1682"/>
      <c r="AE38" s="1683"/>
      <c r="AF38" s="1683"/>
      <c r="AG38" s="1683"/>
      <c r="AH38" s="1683"/>
      <c r="AI38" s="1683"/>
      <c r="AJ38" s="1683"/>
      <c r="AK38" s="1683"/>
      <c r="AL38" s="1683"/>
      <c r="AM38" s="1683"/>
      <c r="AN38" s="1683"/>
      <c r="AO38" s="1683"/>
      <c r="AP38" s="1683"/>
      <c r="AQ38" s="1683"/>
      <c r="AR38" s="1683"/>
      <c r="AS38" s="1683"/>
      <c r="AT38" s="1683"/>
      <c r="AU38" s="1683"/>
      <c r="AV38" s="1683"/>
      <c r="AW38" s="1683"/>
      <c r="AX38" s="1683"/>
      <c r="AY38" s="1683"/>
      <c r="AZ38" s="1683"/>
      <c r="BA38" s="1683"/>
      <c r="BB38" s="1683"/>
    </row>
    <row r="39" spans="1:54">
      <c r="A39" s="326">
        <f t="shared" si="16"/>
        <v>34577</v>
      </c>
      <c r="B39" s="1678">
        <v>101.9</v>
      </c>
      <c r="C39" s="1679">
        <f t="shared" si="1"/>
        <v>1.019</v>
      </c>
      <c r="D39" s="1679">
        <f>PRODUCT(C$4:C39)</f>
        <v>2.84202769660373</v>
      </c>
      <c r="F39" s="1678">
        <v>100</v>
      </c>
      <c r="G39" s="1679">
        <f t="shared" si="2"/>
        <v>1</v>
      </c>
      <c r="H39" s="1679">
        <f>PRODUCT(G$4:G39)</f>
        <v>1</v>
      </c>
      <c r="J39" s="1680">
        <v>0</v>
      </c>
      <c r="K39" s="1680">
        <v>0</v>
      </c>
      <c r="L39" s="1680">
        <v>0</v>
      </c>
      <c r="N39" s="1681"/>
      <c r="O39" s="1681"/>
      <c r="P39" s="1681"/>
      <c r="Q39" s="1681"/>
      <c r="R39" s="1681"/>
      <c r="T39" s="1681"/>
      <c r="U39" s="1681"/>
      <c r="W39" s="1681">
        <f t="shared" si="3"/>
        <v>0</v>
      </c>
      <c r="X39" s="1681"/>
      <c r="Y39" s="1681">
        <f t="shared" si="4"/>
        <v>0</v>
      </c>
      <c r="Z39" s="1681"/>
      <c r="AB39" s="1682"/>
      <c r="AC39" s="1682"/>
      <c r="AE39" s="1683"/>
      <c r="AF39" s="1683"/>
      <c r="AG39" s="1683"/>
      <c r="AH39" s="1683"/>
      <c r="AI39" s="1683"/>
      <c r="AJ39" s="1683"/>
      <c r="AK39" s="1683"/>
      <c r="AL39" s="1683"/>
      <c r="AM39" s="1683"/>
      <c r="AN39" s="1683"/>
      <c r="AO39" s="1683"/>
      <c r="AP39" s="1683"/>
      <c r="AQ39" s="1683"/>
      <c r="AR39" s="1683"/>
      <c r="AS39" s="1683"/>
      <c r="AT39" s="1683"/>
      <c r="AU39" s="1683"/>
      <c r="AV39" s="1683"/>
      <c r="AW39" s="1683"/>
      <c r="AX39" s="1683"/>
      <c r="AY39" s="1683"/>
      <c r="AZ39" s="1683"/>
      <c r="BA39" s="1683"/>
      <c r="BB39" s="1683"/>
    </row>
    <row r="40" spans="1:54">
      <c r="A40" s="326">
        <f t="shared" si="16"/>
        <v>34607</v>
      </c>
      <c r="B40" s="1678">
        <v>100.2</v>
      </c>
      <c r="C40" s="1679">
        <f t="shared" si="1"/>
        <v>1.002</v>
      </c>
      <c r="D40" s="1679">
        <f>PRODUCT(C$4:C40)</f>
        <v>2.84771175199694</v>
      </c>
      <c r="F40" s="1678">
        <v>100</v>
      </c>
      <c r="G40" s="1679">
        <f t="shared" si="2"/>
        <v>1</v>
      </c>
      <c r="H40" s="1679">
        <f>PRODUCT(G$4:G40)</f>
        <v>1</v>
      </c>
      <c r="J40" s="1680">
        <v>0</v>
      </c>
      <c r="K40" s="1680">
        <v>0</v>
      </c>
      <c r="L40" s="1680">
        <v>0</v>
      </c>
      <c r="N40" s="1681"/>
      <c r="O40" s="1681"/>
      <c r="P40" s="1681"/>
      <c r="Q40" s="1681"/>
      <c r="R40" s="1681"/>
      <c r="T40" s="1681"/>
      <c r="U40" s="1681"/>
      <c r="W40" s="1681">
        <f t="shared" si="3"/>
        <v>0</v>
      </c>
      <c r="X40" s="1681"/>
      <c r="Y40" s="1681">
        <f t="shared" si="4"/>
        <v>0</v>
      </c>
      <c r="Z40" s="1681"/>
      <c r="AB40" s="1682"/>
      <c r="AC40" s="1682"/>
      <c r="AE40" s="1683"/>
      <c r="AF40" s="1683"/>
      <c r="AG40" s="1683"/>
      <c r="AH40" s="1683"/>
      <c r="AI40" s="1683"/>
      <c r="AJ40" s="1683"/>
      <c r="AK40" s="1683"/>
      <c r="AL40" s="1683"/>
      <c r="AM40" s="1683"/>
      <c r="AN40" s="1683"/>
      <c r="AO40" s="1683"/>
      <c r="AP40" s="1683"/>
      <c r="AQ40" s="1683"/>
      <c r="AR40" s="1683"/>
      <c r="AS40" s="1683"/>
      <c r="AT40" s="1683"/>
      <c r="AU40" s="1683"/>
      <c r="AV40" s="1683"/>
      <c r="AW40" s="1683"/>
      <c r="AX40" s="1683"/>
      <c r="AY40" s="1683"/>
      <c r="AZ40" s="1683"/>
      <c r="BA40" s="1683"/>
      <c r="BB40" s="1683"/>
    </row>
    <row r="41" spans="1:54">
      <c r="A41" s="326">
        <f t="shared" si="16"/>
        <v>34638</v>
      </c>
      <c r="B41" s="1678">
        <v>102.4</v>
      </c>
      <c r="C41" s="1679">
        <f t="shared" si="1"/>
        <v>1.024</v>
      </c>
      <c r="D41" s="1679">
        <f>PRODUCT(C$4:C41)</f>
        <v>2.91605683404487</v>
      </c>
      <c r="F41" s="1678">
        <v>100</v>
      </c>
      <c r="G41" s="1679">
        <f t="shared" si="2"/>
        <v>1</v>
      </c>
      <c r="H41" s="1679">
        <f>PRODUCT(G$4:G41)</f>
        <v>1</v>
      </c>
      <c r="J41" s="1680">
        <v>0</v>
      </c>
      <c r="K41" s="1680">
        <v>0</v>
      </c>
      <c r="L41" s="1680">
        <v>0</v>
      </c>
      <c r="N41" s="1681"/>
      <c r="O41" s="1681"/>
      <c r="P41" s="1681"/>
      <c r="Q41" s="1681"/>
      <c r="R41" s="1681"/>
      <c r="T41" s="1681"/>
      <c r="U41" s="1681"/>
      <c r="W41" s="1681">
        <f t="shared" si="3"/>
        <v>0</v>
      </c>
      <c r="X41" s="1681"/>
      <c r="Y41" s="1681">
        <f t="shared" si="4"/>
        <v>0</v>
      </c>
      <c r="Z41" s="1681"/>
      <c r="AB41" s="1682"/>
      <c r="AC41" s="1682"/>
      <c r="AE41" s="1683"/>
      <c r="AF41" s="1683"/>
      <c r="AG41" s="1683"/>
      <c r="AH41" s="1683"/>
      <c r="AI41" s="1683"/>
      <c r="AJ41" s="1683"/>
      <c r="AK41" s="1683"/>
      <c r="AL41" s="1683"/>
      <c r="AM41" s="1683"/>
      <c r="AN41" s="1683"/>
      <c r="AO41" s="1683"/>
      <c r="AP41" s="1683"/>
      <c r="AQ41" s="1683"/>
      <c r="AR41" s="1683"/>
      <c r="AS41" s="1683"/>
      <c r="AT41" s="1683"/>
      <c r="AU41" s="1683"/>
      <c r="AV41" s="1683"/>
      <c r="AW41" s="1683"/>
      <c r="AX41" s="1683"/>
      <c r="AY41" s="1683"/>
      <c r="AZ41" s="1683"/>
      <c r="BA41" s="1683"/>
      <c r="BB41" s="1683"/>
    </row>
    <row r="42" spans="1:54">
      <c r="A42" s="326">
        <f t="shared" si="16"/>
        <v>34668</v>
      </c>
      <c r="B42" s="1678">
        <v>101.5</v>
      </c>
      <c r="C42" s="1679">
        <f t="shared" si="1"/>
        <v>1.015</v>
      </c>
      <c r="D42" s="1679">
        <f>PRODUCT(C$4:C42)</f>
        <v>2.95979768655554</v>
      </c>
      <c r="F42" s="1678">
        <v>100</v>
      </c>
      <c r="G42" s="1679">
        <f t="shared" si="2"/>
        <v>1</v>
      </c>
      <c r="H42" s="1679">
        <f>PRODUCT(G$4:G42)</f>
        <v>1</v>
      </c>
      <c r="J42" s="1680">
        <v>0</v>
      </c>
      <c r="K42" s="1680">
        <v>0</v>
      </c>
      <c r="L42" s="1680">
        <v>0</v>
      </c>
      <c r="N42" s="1681"/>
      <c r="O42" s="1681"/>
      <c r="P42" s="1681"/>
      <c r="Q42" s="1681"/>
      <c r="R42" s="1681"/>
      <c r="T42" s="1681"/>
      <c r="U42" s="1681"/>
      <c r="W42" s="1681">
        <f t="shared" si="3"/>
        <v>0</v>
      </c>
      <c r="X42" s="1681"/>
      <c r="Y42" s="1681">
        <f t="shared" si="4"/>
        <v>0</v>
      </c>
      <c r="Z42" s="1681"/>
      <c r="AB42" s="1682"/>
      <c r="AC42" s="1682"/>
      <c r="AE42" s="1683"/>
      <c r="AF42" s="1683"/>
      <c r="AG42" s="1683"/>
      <c r="AH42" s="1683"/>
      <c r="AI42" s="1683"/>
      <c r="AJ42" s="1683"/>
      <c r="AK42" s="1683"/>
      <c r="AL42" s="1683"/>
      <c r="AM42" s="1683"/>
      <c r="AN42" s="1683"/>
      <c r="AO42" s="1683"/>
      <c r="AP42" s="1683"/>
      <c r="AQ42" s="1683"/>
      <c r="AR42" s="1683"/>
      <c r="AS42" s="1683"/>
      <c r="AT42" s="1683"/>
      <c r="AU42" s="1683"/>
      <c r="AV42" s="1683"/>
      <c r="AW42" s="1683"/>
      <c r="AX42" s="1683"/>
      <c r="AY42" s="1683"/>
      <c r="AZ42" s="1683"/>
      <c r="BA42" s="1683"/>
      <c r="BB42" s="1683"/>
    </row>
    <row r="43" spans="1:54">
      <c r="A43" s="326">
        <f t="shared" si="16"/>
        <v>34699</v>
      </c>
      <c r="B43" s="1678">
        <v>99.1</v>
      </c>
      <c r="C43" s="1679">
        <f t="shared" si="1"/>
        <v>0.991</v>
      </c>
      <c r="D43" s="1679">
        <f>PRODUCT(C$4:C43)</f>
        <v>2.93315950737654</v>
      </c>
      <c r="F43" s="1678">
        <v>100</v>
      </c>
      <c r="G43" s="1679">
        <f t="shared" si="2"/>
        <v>1</v>
      </c>
      <c r="H43" s="1679">
        <f>PRODUCT(G$4:G43)</f>
        <v>1</v>
      </c>
      <c r="J43" s="1680">
        <v>0</v>
      </c>
      <c r="K43" s="1680">
        <v>0</v>
      </c>
      <c r="L43" s="1680">
        <v>0</v>
      </c>
      <c r="N43" s="1681"/>
      <c r="O43" s="1681"/>
      <c r="P43" s="1681"/>
      <c r="Q43" s="1681"/>
      <c r="R43" s="1681"/>
      <c r="T43" s="1681"/>
      <c r="U43" s="1681"/>
      <c r="W43" s="1681">
        <f t="shared" si="3"/>
        <v>0</v>
      </c>
      <c r="X43" s="1681"/>
      <c r="Y43" s="1681">
        <f t="shared" si="4"/>
        <v>0</v>
      </c>
      <c r="Z43" s="1681"/>
      <c r="AB43" s="1682"/>
      <c r="AC43" s="1682"/>
      <c r="AE43" s="1683"/>
      <c r="AF43" s="1683"/>
      <c r="AG43" s="1683"/>
      <c r="AH43" s="1683"/>
      <c r="AI43" s="1683"/>
      <c r="AJ43" s="1683"/>
      <c r="AK43" s="1683"/>
      <c r="AL43" s="1683"/>
      <c r="AM43" s="1683"/>
      <c r="AN43" s="1683"/>
      <c r="AO43" s="1683"/>
      <c r="AP43" s="1683"/>
      <c r="AQ43" s="1683"/>
      <c r="AR43" s="1683"/>
      <c r="AS43" s="1683"/>
      <c r="AT43" s="1683"/>
      <c r="AU43" s="1683"/>
      <c r="AV43" s="1683"/>
      <c r="AW43" s="1683"/>
      <c r="AX43" s="1683"/>
      <c r="AY43" s="1683"/>
      <c r="AZ43" s="1683"/>
      <c r="BA43" s="1683"/>
      <c r="BB43" s="1683"/>
    </row>
    <row r="44" spans="1:54">
      <c r="A44" s="326">
        <f t="shared" si="16"/>
        <v>34730</v>
      </c>
      <c r="B44" s="1678">
        <v>100.7</v>
      </c>
      <c r="C44" s="1679">
        <f t="shared" si="1"/>
        <v>1.007</v>
      </c>
      <c r="D44" s="1679">
        <f>PRODUCT(C$4:C44)</f>
        <v>2.95369162392817</v>
      </c>
      <c r="F44" s="1678">
        <v>100</v>
      </c>
      <c r="G44" s="1679">
        <f t="shared" si="2"/>
        <v>1</v>
      </c>
      <c r="H44" s="1679">
        <f>PRODUCT(G$4:G44)</f>
        <v>1</v>
      </c>
      <c r="J44" s="1680">
        <v>0</v>
      </c>
      <c r="K44" s="1680">
        <v>0</v>
      </c>
      <c r="L44" s="1680">
        <v>0</v>
      </c>
      <c r="N44" s="1681"/>
      <c r="O44" s="1681"/>
      <c r="P44" s="1681"/>
      <c r="Q44" s="1681"/>
      <c r="R44" s="1681"/>
      <c r="T44" s="1681"/>
      <c r="U44" s="1681"/>
      <c r="W44" s="1681">
        <f t="shared" si="3"/>
        <v>0</v>
      </c>
      <c r="X44" s="1681"/>
      <c r="Y44" s="1681">
        <f t="shared" si="4"/>
        <v>0</v>
      </c>
      <c r="Z44" s="1681"/>
      <c r="AB44" s="1682"/>
      <c r="AC44" s="1682"/>
      <c r="AE44" s="1683"/>
      <c r="AF44" s="1683"/>
      <c r="AG44" s="1683"/>
      <c r="AH44" s="1683"/>
      <c r="AI44" s="1683"/>
      <c r="AJ44" s="1683"/>
      <c r="AK44" s="1683"/>
      <c r="AL44" s="1683"/>
      <c r="AM44" s="1683"/>
      <c r="AN44" s="1683"/>
      <c r="AO44" s="1683"/>
      <c r="AP44" s="1683"/>
      <c r="AQ44" s="1683"/>
      <c r="AR44" s="1683"/>
      <c r="AS44" s="1683"/>
      <c r="AT44" s="1683"/>
      <c r="AU44" s="1683"/>
      <c r="AV44" s="1683"/>
      <c r="AW44" s="1683"/>
      <c r="AX44" s="1683"/>
      <c r="AY44" s="1683"/>
      <c r="AZ44" s="1683"/>
      <c r="BA44" s="1683"/>
      <c r="BB44" s="1683"/>
    </row>
    <row r="45" spans="1:54">
      <c r="A45" s="326">
        <f t="shared" si="16"/>
        <v>34758</v>
      </c>
      <c r="B45" s="1678">
        <v>101.5</v>
      </c>
      <c r="C45" s="1679">
        <f t="shared" si="1"/>
        <v>1.015</v>
      </c>
      <c r="D45" s="1679">
        <f>PRODUCT(C$4:C45)</f>
        <v>2.9979969982871</v>
      </c>
      <c r="F45" s="1678">
        <v>100</v>
      </c>
      <c r="G45" s="1679">
        <f t="shared" si="2"/>
        <v>1</v>
      </c>
      <c r="H45" s="1679">
        <f>PRODUCT(G$4:G45)</f>
        <v>1</v>
      </c>
      <c r="J45" s="1680">
        <v>0</v>
      </c>
      <c r="K45" s="1680">
        <v>0</v>
      </c>
      <c r="L45" s="1680">
        <v>0</v>
      </c>
      <c r="N45" s="1681"/>
      <c r="O45" s="1681"/>
      <c r="P45" s="1681"/>
      <c r="Q45" s="1681"/>
      <c r="R45" s="1681"/>
      <c r="T45" s="1681"/>
      <c r="U45" s="1681"/>
      <c r="W45" s="1681">
        <f t="shared" si="3"/>
        <v>0</v>
      </c>
      <c r="X45" s="1681"/>
      <c r="Y45" s="1681">
        <f t="shared" si="4"/>
        <v>0</v>
      </c>
      <c r="Z45" s="1681"/>
      <c r="AB45" s="1682"/>
      <c r="AC45" s="1682"/>
      <c r="AE45" s="1683"/>
      <c r="AF45" s="1683"/>
      <c r="AG45" s="1683"/>
      <c r="AH45" s="1683"/>
      <c r="AI45" s="1683"/>
      <c r="AJ45" s="1683"/>
      <c r="AK45" s="1683"/>
      <c r="AL45" s="1683"/>
      <c r="AM45" s="1683"/>
      <c r="AN45" s="1683"/>
      <c r="AO45" s="1683"/>
      <c r="AP45" s="1683"/>
      <c r="AQ45" s="1683"/>
      <c r="AR45" s="1683"/>
      <c r="AS45" s="1683"/>
      <c r="AT45" s="1683"/>
      <c r="AU45" s="1683"/>
      <c r="AV45" s="1683"/>
      <c r="AW45" s="1683"/>
      <c r="AX45" s="1683"/>
      <c r="AY45" s="1683"/>
      <c r="AZ45" s="1683"/>
      <c r="BA45" s="1683"/>
      <c r="BB45" s="1683"/>
    </row>
    <row r="46" spans="1:54">
      <c r="A46" s="326">
        <f t="shared" si="16"/>
        <v>34789</v>
      </c>
      <c r="B46" s="1678">
        <v>101.8</v>
      </c>
      <c r="C46" s="1679">
        <f t="shared" si="1"/>
        <v>1.018</v>
      </c>
      <c r="D46" s="1679">
        <f>PRODUCT(C$4:C46)</f>
        <v>3.05196094425626</v>
      </c>
      <c r="F46" s="1678">
        <v>100</v>
      </c>
      <c r="G46" s="1679">
        <f t="shared" si="2"/>
        <v>1</v>
      </c>
      <c r="H46" s="1679">
        <f>PRODUCT(G$4:G46)</f>
        <v>1</v>
      </c>
      <c r="J46" s="1680">
        <v>0</v>
      </c>
      <c r="K46" s="1680">
        <v>0</v>
      </c>
      <c r="L46" s="1680">
        <v>0</v>
      </c>
      <c r="N46" s="1681"/>
      <c r="O46" s="1681"/>
      <c r="P46" s="1681"/>
      <c r="Q46" s="1681"/>
      <c r="R46" s="1681"/>
      <c r="T46" s="1681"/>
      <c r="U46" s="1681"/>
      <c r="W46" s="1681">
        <f t="shared" si="3"/>
        <v>0</v>
      </c>
      <c r="X46" s="1681"/>
      <c r="Y46" s="1681">
        <f t="shared" si="4"/>
        <v>0</v>
      </c>
      <c r="Z46" s="1681"/>
      <c r="AB46" s="1682"/>
      <c r="AC46" s="1682"/>
      <c r="AE46" s="1683"/>
      <c r="AF46" s="1683"/>
      <c r="AG46" s="1683"/>
      <c r="AH46" s="1683"/>
      <c r="AI46" s="1683"/>
      <c r="AJ46" s="1683"/>
      <c r="AK46" s="1683"/>
      <c r="AL46" s="1683"/>
      <c r="AM46" s="1683"/>
      <c r="AN46" s="1683"/>
      <c r="AO46" s="1683"/>
      <c r="AP46" s="1683"/>
      <c r="AQ46" s="1683"/>
      <c r="AR46" s="1683"/>
      <c r="AS46" s="1683"/>
      <c r="AT46" s="1683"/>
      <c r="AU46" s="1683"/>
      <c r="AV46" s="1683"/>
      <c r="AW46" s="1683"/>
      <c r="AX46" s="1683"/>
      <c r="AY46" s="1683"/>
      <c r="AZ46" s="1683"/>
      <c r="BA46" s="1683"/>
      <c r="BB46" s="1683"/>
    </row>
    <row r="47" spans="1:54">
      <c r="A47" s="326">
        <f t="shared" si="16"/>
        <v>34819</v>
      </c>
      <c r="B47" s="1678">
        <v>101</v>
      </c>
      <c r="C47" s="1679">
        <f t="shared" si="1"/>
        <v>1.01</v>
      </c>
      <c r="D47" s="1679">
        <f>PRODUCT(C$4:C47)</f>
        <v>3.08248055369883</v>
      </c>
      <c r="F47" s="1678">
        <v>100</v>
      </c>
      <c r="G47" s="1679">
        <f t="shared" si="2"/>
        <v>1</v>
      </c>
      <c r="H47" s="1679">
        <f>PRODUCT(G$4:G47)</f>
        <v>1</v>
      </c>
      <c r="J47" s="1680">
        <v>0</v>
      </c>
      <c r="K47" s="1680">
        <v>0</v>
      </c>
      <c r="L47" s="1680">
        <v>0</v>
      </c>
      <c r="N47" s="1681"/>
      <c r="O47" s="1681"/>
      <c r="P47" s="1681"/>
      <c r="Q47" s="1681"/>
      <c r="R47" s="1681"/>
      <c r="T47" s="1681"/>
      <c r="U47" s="1681"/>
      <c r="W47" s="1681">
        <f t="shared" si="3"/>
        <v>0</v>
      </c>
      <c r="X47" s="1681"/>
      <c r="Y47" s="1681">
        <f t="shared" si="4"/>
        <v>0</v>
      </c>
      <c r="Z47" s="1681"/>
      <c r="AB47" s="1682"/>
      <c r="AC47" s="1682"/>
      <c r="AE47" s="1683"/>
      <c r="AF47" s="1683"/>
      <c r="AG47" s="1683"/>
      <c r="AH47" s="1683"/>
      <c r="AI47" s="1683"/>
      <c r="AJ47" s="1683"/>
      <c r="AK47" s="1683"/>
      <c r="AL47" s="1683"/>
      <c r="AM47" s="1683"/>
      <c r="AN47" s="1683"/>
      <c r="AO47" s="1683"/>
      <c r="AP47" s="1683"/>
      <c r="AQ47" s="1683"/>
      <c r="AR47" s="1683"/>
      <c r="AS47" s="1683"/>
      <c r="AT47" s="1683"/>
      <c r="AU47" s="1683"/>
      <c r="AV47" s="1683"/>
      <c r="AW47" s="1683"/>
      <c r="AX47" s="1683"/>
      <c r="AY47" s="1683"/>
      <c r="AZ47" s="1683"/>
      <c r="BA47" s="1683"/>
      <c r="BB47" s="1683"/>
    </row>
    <row r="48" spans="1:54">
      <c r="A48" s="326">
        <f t="shared" si="16"/>
        <v>34850</v>
      </c>
      <c r="B48" s="1678">
        <v>101.2</v>
      </c>
      <c r="C48" s="1679">
        <f t="shared" si="1"/>
        <v>1.012</v>
      </c>
      <c r="D48" s="1679">
        <f>PRODUCT(C$4:C48)</f>
        <v>3.11947032034321</v>
      </c>
      <c r="F48" s="1678">
        <v>100</v>
      </c>
      <c r="G48" s="1679">
        <f t="shared" si="2"/>
        <v>1</v>
      </c>
      <c r="H48" s="1679">
        <f>PRODUCT(G$4:G48)</f>
        <v>1</v>
      </c>
      <c r="J48" s="1680">
        <v>0</v>
      </c>
      <c r="K48" s="1680">
        <v>0</v>
      </c>
      <c r="L48" s="1680">
        <v>0</v>
      </c>
      <c r="N48" s="1681"/>
      <c r="O48" s="1681"/>
      <c r="P48" s="1681"/>
      <c r="Q48" s="1681"/>
      <c r="R48" s="1681"/>
      <c r="T48" s="1681"/>
      <c r="U48" s="1681"/>
      <c r="W48" s="1681">
        <f t="shared" si="3"/>
        <v>0</v>
      </c>
      <c r="X48" s="1681"/>
      <c r="Y48" s="1681">
        <f t="shared" si="4"/>
        <v>0</v>
      </c>
      <c r="Z48" s="1681"/>
      <c r="AB48" s="1682"/>
      <c r="AC48" s="1682"/>
      <c r="AE48" s="1683"/>
      <c r="AF48" s="1683"/>
      <c r="AG48" s="1683"/>
      <c r="AH48" s="1683"/>
      <c r="AI48" s="1683"/>
      <c r="AJ48" s="1683"/>
      <c r="AK48" s="1683"/>
      <c r="AL48" s="1683"/>
      <c r="AM48" s="1683"/>
      <c r="AN48" s="1683"/>
      <c r="AO48" s="1683"/>
      <c r="AP48" s="1683"/>
      <c r="AQ48" s="1683"/>
      <c r="AR48" s="1683"/>
      <c r="AS48" s="1683"/>
      <c r="AT48" s="1683"/>
      <c r="AU48" s="1683"/>
      <c r="AV48" s="1683"/>
      <c r="AW48" s="1683"/>
      <c r="AX48" s="1683"/>
      <c r="AY48" s="1683"/>
      <c r="AZ48" s="1683"/>
      <c r="BA48" s="1683"/>
      <c r="BB48" s="1683"/>
    </row>
    <row r="49" spans="1:54">
      <c r="A49" s="326">
        <f t="shared" si="16"/>
        <v>34880</v>
      </c>
      <c r="B49" s="1678">
        <v>101.8</v>
      </c>
      <c r="C49" s="1679">
        <f t="shared" si="1"/>
        <v>1.018</v>
      </c>
      <c r="D49" s="1679">
        <f>PRODUCT(C$4:C49)</f>
        <v>3.17562078610939</v>
      </c>
      <c r="F49" s="1678">
        <v>100</v>
      </c>
      <c r="G49" s="1679">
        <f t="shared" si="2"/>
        <v>1</v>
      </c>
      <c r="H49" s="1679">
        <f>PRODUCT(G$4:G49)</f>
        <v>1</v>
      </c>
      <c r="J49" s="1680">
        <v>0</v>
      </c>
      <c r="K49" s="1680">
        <v>0</v>
      </c>
      <c r="L49" s="1680">
        <v>0</v>
      </c>
      <c r="N49" s="1681"/>
      <c r="O49" s="1681"/>
      <c r="P49" s="1681"/>
      <c r="Q49" s="1681"/>
      <c r="R49" s="1681"/>
      <c r="T49" s="1681"/>
      <c r="U49" s="1681"/>
      <c r="W49" s="1681">
        <f t="shared" si="3"/>
        <v>0</v>
      </c>
      <c r="X49" s="1681"/>
      <c r="Y49" s="1681">
        <f t="shared" si="4"/>
        <v>0</v>
      </c>
      <c r="Z49" s="1681"/>
      <c r="AB49" s="1682"/>
      <c r="AC49" s="1682"/>
      <c r="AE49" s="1683"/>
      <c r="AF49" s="1683"/>
      <c r="AG49" s="1683"/>
      <c r="AH49" s="1683"/>
      <c r="AI49" s="1683"/>
      <c r="AJ49" s="1683"/>
      <c r="AK49" s="1683"/>
      <c r="AL49" s="1683"/>
      <c r="AM49" s="1683"/>
      <c r="AN49" s="1683"/>
      <c r="AO49" s="1683"/>
      <c r="AP49" s="1683"/>
      <c r="AQ49" s="1683"/>
      <c r="AR49" s="1683"/>
      <c r="AS49" s="1683"/>
      <c r="AT49" s="1683"/>
      <c r="AU49" s="1683"/>
      <c r="AV49" s="1683"/>
      <c r="AW49" s="1683"/>
      <c r="AX49" s="1683"/>
      <c r="AY49" s="1683"/>
      <c r="AZ49" s="1683"/>
      <c r="BA49" s="1683"/>
      <c r="BB49" s="1683"/>
    </row>
    <row r="50" spans="1:54">
      <c r="A50" s="326">
        <f t="shared" si="16"/>
        <v>34911</v>
      </c>
      <c r="B50" s="1678">
        <v>99.1</v>
      </c>
      <c r="C50" s="1679">
        <f t="shared" si="1"/>
        <v>0.991</v>
      </c>
      <c r="D50" s="1679">
        <f>PRODUCT(C$4:C50)</f>
        <v>3.14704019903441</v>
      </c>
      <c r="F50" s="1678">
        <v>100</v>
      </c>
      <c r="G50" s="1679">
        <f t="shared" si="2"/>
        <v>1</v>
      </c>
      <c r="H50" s="1679">
        <f>PRODUCT(G$4:G50)</f>
        <v>1</v>
      </c>
      <c r="J50" s="1680">
        <v>0</v>
      </c>
      <c r="K50" s="1680">
        <v>0</v>
      </c>
      <c r="L50" s="1680">
        <v>0</v>
      </c>
      <c r="N50" s="1681"/>
      <c r="O50" s="1681"/>
      <c r="P50" s="1681"/>
      <c r="Q50" s="1681"/>
      <c r="R50" s="1681"/>
      <c r="T50" s="1681"/>
      <c r="U50" s="1681"/>
      <c r="W50" s="1681">
        <f t="shared" si="3"/>
        <v>0</v>
      </c>
      <c r="X50" s="1681"/>
      <c r="Y50" s="1681">
        <f t="shared" si="4"/>
        <v>0</v>
      </c>
      <c r="Z50" s="1681"/>
      <c r="AB50" s="1682"/>
      <c r="AC50" s="1682"/>
      <c r="AE50" s="1683"/>
      <c r="AF50" s="1683"/>
      <c r="AG50" s="1683"/>
      <c r="AH50" s="1683"/>
      <c r="AI50" s="1683"/>
      <c r="AJ50" s="1683"/>
      <c r="AK50" s="1683"/>
      <c r="AL50" s="1683"/>
      <c r="AM50" s="1683"/>
      <c r="AN50" s="1683"/>
      <c r="AO50" s="1683"/>
      <c r="AP50" s="1683"/>
      <c r="AQ50" s="1683"/>
      <c r="AR50" s="1683"/>
      <c r="AS50" s="1683"/>
      <c r="AT50" s="1683"/>
      <c r="AU50" s="1683"/>
      <c r="AV50" s="1683"/>
      <c r="AW50" s="1683"/>
      <c r="AX50" s="1683"/>
      <c r="AY50" s="1683"/>
      <c r="AZ50" s="1683"/>
      <c r="BA50" s="1683"/>
      <c r="BB50" s="1683"/>
    </row>
    <row r="51" spans="1:54">
      <c r="A51" s="326">
        <f t="shared" si="16"/>
        <v>34942</v>
      </c>
      <c r="B51" s="1678">
        <v>101.4</v>
      </c>
      <c r="C51" s="1679">
        <f t="shared" si="1"/>
        <v>1.014</v>
      </c>
      <c r="D51" s="1679">
        <f>PRODUCT(C$4:C51)</f>
        <v>3.19109876182089</v>
      </c>
      <c r="F51" s="1678">
        <v>100</v>
      </c>
      <c r="G51" s="1679">
        <f t="shared" si="2"/>
        <v>1</v>
      </c>
      <c r="H51" s="1679">
        <f>PRODUCT(G$4:G51)</f>
        <v>1</v>
      </c>
      <c r="J51" s="1680">
        <v>0</v>
      </c>
      <c r="K51" s="1680">
        <v>0</v>
      </c>
      <c r="L51" s="1680">
        <v>0</v>
      </c>
      <c r="N51" s="1681"/>
      <c r="O51" s="1681"/>
      <c r="P51" s="1681"/>
      <c r="Q51" s="1681"/>
      <c r="R51" s="1681"/>
      <c r="T51" s="1681"/>
      <c r="U51" s="1681"/>
      <c r="W51" s="1681">
        <f t="shared" si="3"/>
        <v>0</v>
      </c>
      <c r="X51" s="1681"/>
      <c r="Y51" s="1681">
        <f t="shared" si="4"/>
        <v>0</v>
      </c>
      <c r="Z51" s="1681"/>
      <c r="AB51" s="1682"/>
      <c r="AC51" s="1682"/>
      <c r="AE51" s="1683"/>
      <c r="AF51" s="1683"/>
      <c r="AG51" s="1683"/>
      <c r="AH51" s="1683"/>
      <c r="AI51" s="1683"/>
      <c r="AJ51" s="1683"/>
      <c r="AK51" s="1683"/>
      <c r="AL51" s="1683"/>
      <c r="AM51" s="1683"/>
      <c r="AN51" s="1683"/>
      <c r="AO51" s="1683"/>
      <c r="AP51" s="1683"/>
      <c r="AQ51" s="1683"/>
      <c r="AR51" s="1683"/>
      <c r="AS51" s="1683"/>
      <c r="AT51" s="1683"/>
      <c r="AU51" s="1683"/>
      <c r="AV51" s="1683"/>
      <c r="AW51" s="1683"/>
      <c r="AX51" s="1683"/>
      <c r="AY51" s="1683"/>
      <c r="AZ51" s="1683"/>
      <c r="BA51" s="1683"/>
      <c r="BB51" s="1683"/>
    </row>
    <row r="52" spans="1:54">
      <c r="A52" s="326">
        <f t="shared" si="16"/>
        <v>34972</v>
      </c>
      <c r="B52" s="1678">
        <v>100.2</v>
      </c>
      <c r="C52" s="1679">
        <f t="shared" si="1"/>
        <v>1.002</v>
      </c>
      <c r="D52" s="1679">
        <f>PRODUCT(C$4:C52)</f>
        <v>3.19748095934453</v>
      </c>
      <c r="F52" s="1678">
        <v>100</v>
      </c>
      <c r="G52" s="1679">
        <f t="shared" si="2"/>
        <v>1</v>
      </c>
      <c r="H52" s="1679">
        <f>PRODUCT(G$4:G52)</f>
        <v>1</v>
      </c>
      <c r="J52" s="1680">
        <v>0</v>
      </c>
      <c r="K52" s="1680">
        <v>0</v>
      </c>
      <c r="L52" s="1680">
        <v>0</v>
      </c>
      <c r="N52" s="1681"/>
      <c r="O52" s="1681"/>
      <c r="P52" s="1681"/>
      <c r="Q52" s="1681"/>
      <c r="R52" s="1681"/>
      <c r="T52" s="1681"/>
      <c r="U52" s="1681"/>
      <c r="W52" s="1681">
        <f t="shared" si="3"/>
        <v>0</v>
      </c>
      <c r="X52" s="1681"/>
      <c r="Y52" s="1681">
        <f t="shared" si="4"/>
        <v>0</v>
      </c>
      <c r="Z52" s="1681"/>
      <c r="AB52" s="1682"/>
      <c r="AC52" s="1682"/>
      <c r="AE52" s="1683"/>
      <c r="AF52" s="1683"/>
      <c r="AG52" s="1683"/>
      <c r="AH52" s="1683"/>
      <c r="AI52" s="1683"/>
      <c r="AJ52" s="1683"/>
      <c r="AK52" s="1683"/>
      <c r="AL52" s="1683"/>
      <c r="AM52" s="1683"/>
      <c r="AN52" s="1683"/>
      <c r="AO52" s="1683"/>
      <c r="AP52" s="1683"/>
      <c r="AQ52" s="1683"/>
      <c r="AR52" s="1683"/>
      <c r="AS52" s="1683"/>
      <c r="AT52" s="1683"/>
      <c r="AU52" s="1683"/>
      <c r="AV52" s="1683"/>
      <c r="AW52" s="1683"/>
      <c r="AX52" s="1683"/>
      <c r="AY52" s="1683"/>
      <c r="AZ52" s="1683"/>
      <c r="BA52" s="1683"/>
      <c r="BB52" s="1683"/>
    </row>
    <row r="53" spans="1:54">
      <c r="A53" s="326">
        <f t="shared" si="16"/>
        <v>35003</v>
      </c>
      <c r="B53" s="1678">
        <v>102</v>
      </c>
      <c r="C53" s="1679">
        <f t="shared" si="1"/>
        <v>1.02</v>
      </c>
      <c r="D53" s="1679">
        <f>PRODUCT(C$4:C53)</f>
        <v>3.26143057853142</v>
      </c>
      <c r="F53" s="1678">
        <v>100</v>
      </c>
      <c r="G53" s="1679">
        <f t="shared" si="2"/>
        <v>1</v>
      </c>
      <c r="H53" s="1679">
        <f>PRODUCT(G$4:G53)</f>
        <v>1</v>
      </c>
      <c r="J53" s="1680">
        <v>0</v>
      </c>
      <c r="K53" s="1680">
        <v>0</v>
      </c>
      <c r="L53" s="1680">
        <v>0</v>
      </c>
      <c r="N53" s="1681"/>
      <c r="O53" s="1681"/>
      <c r="P53" s="1681"/>
      <c r="Q53" s="1681"/>
      <c r="R53" s="1681"/>
      <c r="T53" s="1681"/>
      <c r="U53" s="1681"/>
      <c r="W53" s="1681">
        <f t="shared" si="3"/>
        <v>0</v>
      </c>
      <c r="X53" s="1681"/>
      <c r="Y53" s="1681">
        <f t="shared" si="4"/>
        <v>0</v>
      </c>
      <c r="Z53" s="1681"/>
      <c r="AB53" s="1682"/>
      <c r="AC53" s="1682"/>
      <c r="AE53" s="1683"/>
      <c r="AF53" s="1683"/>
      <c r="AG53" s="1683"/>
      <c r="AH53" s="1683"/>
      <c r="AI53" s="1683"/>
      <c r="AJ53" s="1683"/>
      <c r="AK53" s="1683"/>
      <c r="AL53" s="1683"/>
      <c r="AM53" s="1683"/>
      <c r="AN53" s="1683"/>
      <c r="AO53" s="1683"/>
      <c r="AP53" s="1683"/>
      <c r="AQ53" s="1683"/>
      <c r="AR53" s="1683"/>
      <c r="AS53" s="1683"/>
      <c r="AT53" s="1683"/>
      <c r="AU53" s="1683"/>
      <c r="AV53" s="1683"/>
      <c r="AW53" s="1683"/>
      <c r="AX53" s="1683"/>
      <c r="AY53" s="1683"/>
      <c r="AZ53" s="1683"/>
      <c r="BA53" s="1683"/>
      <c r="BB53" s="1683"/>
    </row>
    <row r="54" spans="1:54">
      <c r="A54" s="326">
        <f t="shared" si="16"/>
        <v>35033</v>
      </c>
      <c r="B54" s="1678">
        <v>100.2</v>
      </c>
      <c r="C54" s="1679">
        <f t="shared" si="1"/>
        <v>1.002</v>
      </c>
      <c r="D54" s="1679">
        <f>PRODUCT(C$4:C54)</f>
        <v>3.26795343968848</v>
      </c>
      <c r="F54" s="1678">
        <v>100</v>
      </c>
      <c r="G54" s="1679">
        <f t="shared" si="2"/>
        <v>1</v>
      </c>
      <c r="H54" s="1679">
        <f>PRODUCT(G$4:G54)</f>
        <v>1</v>
      </c>
      <c r="J54" s="1680">
        <v>0</v>
      </c>
      <c r="K54" s="1680">
        <v>0</v>
      </c>
      <c r="L54" s="1680">
        <v>0</v>
      </c>
      <c r="N54" s="1681"/>
      <c r="O54" s="1681"/>
      <c r="P54" s="1681"/>
      <c r="Q54" s="1681"/>
      <c r="R54" s="1681"/>
      <c r="T54" s="1681"/>
      <c r="U54" s="1681"/>
      <c r="W54" s="1681">
        <f t="shared" si="3"/>
        <v>0</v>
      </c>
      <c r="X54" s="1681"/>
      <c r="Y54" s="1681">
        <f t="shared" si="4"/>
        <v>0</v>
      </c>
      <c r="Z54" s="1681"/>
      <c r="AB54" s="1682"/>
      <c r="AC54" s="1682"/>
      <c r="AE54" s="1683"/>
      <c r="AF54" s="1683"/>
      <c r="AG54" s="1683"/>
      <c r="AH54" s="1683"/>
      <c r="AI54" s="1683"/>
      <c r="AJ54" s="1683"/>
      <c r="AK54" s="1683"/>
      <c r="AL54" s="1683"/>
      <c r="AM54" s="1683"/>
      <c r="AN54" s="1683"/>
      <c r="AO54" s="1683"/>
      <c r="AP54" s="1683"/>
      <c r="AQ54" s="1683"/>
      <c r="AR54" s="1683"/>
      <c r="AS54" s="1683"/>
      <c r="AT54" s="1683"/>
      <c r="AU54" s="1683"/>
      <c r="AV54" s="1683"/>
      <c r="AW54" s="1683"/>
      <c r="AX54" s="1683"/>
      <c r="AY54" s="1683"/>
      <c r="AZ54" s="1683"/>
      <c r="BA54" s="1683"/>
      <c r="BB54" s="1683"/>
    </row>
    <row r="55" spans="1:54">
      <c r="A55" s="326">
        <f t="shared" si="16"/>
        <v>35064</v>
      </c>
      <c r="B55" s="1678">
        <v>97</v>
      </c>
      <c r="C55" s="1679">
        <f t="shared" si="1"/>
        <v>0.97</v>
      </c>
      <c r="D55" s="1679">
        <f>PRODUCT(C$4:C55)</f>
        <v>3.16991483649783</v>
      </c>
      <c r="F55" s="1678">
        <v>100</v>
      </c>
      <c r="G55" s="1679">
        <f t="shared" si="2"/>
        <v>1</v>
      </c>
      <c r="H55" s="1679">
        <f>PRODUCT(G$4:G55)</f>
        <v>1</v>
      </c>
      <c r="J55" s="1680">
        <v>0</v>
      </c>
      <c r="K55" s="1680">
        <v>0</v>
      </c>
      <c r="L55" s="1680">
        <v>0</v>
      </c>
      <c r="N55" s="1681"/>
      <c r="O55" s="1681"/>
      <c r="P55" s="1681"/>
      <c r="Q55" s="1681"/>
      <c r="R55" s="1681"/>
      <c r="T55" s="1681"/>
      <c r="U55" s="1681"/>
      <c r="W55" s="1681">
        <f t="shared" si="3"/>
        <v>0</v>
      </c>
      <c r="X55" s="1681"/>
      <c r="Y55" s="1681">
        <f t="shared" si="4"/>
        <v>0</v>
      </c>
      <c r="Z55" s="1681"/>
      <c r="AB55" s="1682"/>
      <c r="AC55" s="1682"/>
      <c r="AE55" s="1683"/>
      <c r="AF55" s="1683"/>
      <c r="AG55" s="1683"/>
      <c r="AH55" s="1683"/>
      <c r="AI55" s="1683"/>
      <c r="AJ55" s="1683"/>
      <c r="AK55" s="1683"/>
      <c r="AL55" s="1683"/>
      <c r="AM55" s="1683"/>
      <c r="AN55" s="1683"/>
      <c r="AO55" s="1683"/>
      <c r="AP55" s="1683"/>
      <c r="AQ55" s="1683"/>
      <c r="AR55" s="1683"/>
      <c r="AS55" s="1683"/>
      <c r="AT55" s="1683"/>
      <c r="AU55" s="1683"/>
      <c r="AV55" s="1683"/>
      <c r="AW55" s="1683"/>
      <c r="AX55" s="1683"/>
      <c r="AY55" s="1683"/>
      <c r="AZ55" s="1683"/>
      <c r="BA55" s="1683"/>
      <c r="BB55" s="1683"/>
    </row>
    <row r="56" spans="1:54">
      <c r="A56" s="326">
        <f t="shared" si="16"/>
        <v>35095</v>
      </c>
      <c r="B56" s="1678">
        <v>100.3</v>
      </c>
      <c r="C56" s="1679">
        <f t="shared" si="1"/>
        <v>1.003</v>
      </c>
      <c r="D56" s="1679">
        <f>PRODUCT(C$4:C56)</f>
        <v>3.17942458100732</v>
      </c>
      <c r="F56" s="1678">
        <v>100</v>
      </c>
      <c r="G56" s="1679">
        <f t="shared" si="2"/>
        <v>1</v>
      </c>
      <c r="H56" s="1679">
        <f>PRODUCT(G$4:G56)</f>
        <v>1</v>
      </c>
      <c r="J56" s="1680">
        <v>0</v>
      </c>
      <c r="K56" s="1680">
        <v>0</v>
      </c>
      <c r="L56" s="1680">
        <v>0</v>
      </c>
      <c r="N56" s="1681"/>
      <c r="O56" s="1681"/>
      <c r="P56" s="1681"/>
      <c r="Q56" s="1681"/>
      <c r="R56" s="1681"/>
      <c r="T56" s="1681"/>
      <c r="U56" s="1681"/>
      <c r="W56" s="1681">
        <f t="shared" si="3"/>
        <v>0</v>
      </c>
      <c r="X56" s="1681"/>
      <c r="Y56" s="1681">
        <f t="shared" si="4"/>
        <v>0</v>
      </c>
      <c r="Z56" s="1681"/>
      <c r="AB56" s="1682"/>
      <c r="AC56" s="1682"/>
      <c r="AE56" s="1683"/>
      <c r="AF56" s="1683"/>
      <c r="AG56" s="1683"/>
      <c r="AH56" s="1683"/>
      <c r="AI56" s="1683"/>
      <c r="AJ56" s="1683"/>
      <c r="AK56" s="1683"/>
      <c r="AL56" s="1683"/>
      <c r="AM56" s="1683"/>
      <c r="AN56" s="1683"/>
      <c r="AO56" s="1683"/>
      <c r="AP56" s="1683"/>
      <c r="AQ56" s="1683"/>
      <c r="AR56" s="1683"/>
      <c r="AS56" s="1683"/>
      <c r="AT56" s="1683"/>
      <c r="AU56" s="1683"/>
      <c r="AV56" s="1683"/>
      <c r="AW56" s="1683"/>
      <c r="AX56" s="1683"/>
      <c r="AY56" s="1683"/>
      <c r="AZ56" s="1683"/>
      <c r="BA56" s="1683"/>
      <c r="BB56" s="1683"/>
    </row>
    <row r="57" spans="1:54">
      <c r="A57" s="326">
        <f t="shared" si="16"/>
        <v>35124</v>
      </c>
      <c r="B57" s="1678">
        <v>100.3</v>
      </c>
      <c r="C57" s="1679">
        <f t="shared" si="1"/>
        <v>1.003</v>
      </c>
      <c r="D57" s="1679">
        <f>PRODUCT(C$4:C57)</f>
        <v>3.18896285475034</v>
      </c>
      <c r="F57" s="1678">
        <v>100</v>
      </c>
      <c r="G57" s="1679">
        <f t="shared" si="2"/>
        <v>1</v>
      </c>
      <c r="H57" s="1679">
        <f>PRODUCT(G$4:G57)</f>
        <v>1</v>
      </c>
      <c r="J57" s="1680">
        <v>0</v>
      </c>
      <c r="K57" s="1680">
        <v>0</v>
      </c>
      <c r="L57" s="1680">
        <v>0</v>
      </c>
      <c r="N57" s="1681"/>
      <c r="O57" s="1681"/>
      <c r="P57" s="1681"/>
      <c r="Q57" s="1681"/>
      <c r="R57" s="1681"/>
      <c r="T57" s="1681"/>
      <c r="U57" s="1681"/>
      <c r="W57" s="1681">
        <f t="shared" si="3"/>
        <v>0</v>
      </c>
      <c r="X57" s="1681"/>
      <c r="Y57" s="1681">
        <f t="shared" si="4"/>
        <v>0</v>
      </c>
      <c r="Z57" s="1681"/>
      <c r="AB57" s="1682"/>
      <c r="AC57" s="1682"/>
      <c r="AE57" s="1683"/>
      <c r="AF57" s="1683"/>
      <c r="AG57" s="1683"/>
      <c r="AH57" s="1683"/>
      <c r="AI57" s="1683"/>
      <c r="AJ57" s="1683"/>
      <c r="AK57" s="1683"/>
      <c r="AL57" s="1683"/>
      <c r="AM57" s="1683"/>
      <c r="AN57" s="1683"/>
      <c r="AO57" s="1683"/>
      <c r="AP57" s="1683"/>
      <c r="AQ57" s="1683"/>
      <c r="AR57" s="1683"/>
      <c r="AS57" s="1683"/>
      <c r="AT57" s="1683"/>
      <c r="AU57" s="1683"/>
      <c r="AV57" s="1683"/>
      <c r="AW57" s="1683"/>
      <c r="AX57" s="1683"/>
      <c r="AY57" s="1683"/>
      <c r="AZ57" s="1683"/>
      <c r="BA57" s="1683"/>
      <c r="BB57" s="1683"/>
    </row>
    <row r="58" spans="1:54">
      <c r="A58" s="326">
        <f t="shared" si="16"/>
        <v>35155</v>
      </c>
      <c r="B58" s="1678">
        <v>99.1</v>
      </c>
      <c r="C58" s="1679">
        <f t="shared" si="1"/>
        <v>0.991</v>
      </c>
      <c r="D58" s="1679">
        <f>PRODUCT(C$4:C58)</f>
        <v>3.16026218905759</v>
      </c>
      <c r="F58" s="1678">
        <v>100</v>
      </c>
      <c r="G58" s="1679">
        <f t="shared" si="2"/>
        <v>1</v>
      </c>
      <c r="H58" s="1679">
        <f>PRODUCT(G$4:G58)</f>
        <v>1</v>
      </c>
      <c r="J58" s="1680">
        <v>0</v>
      </c>
      <c r="K58" s="1680">
        <v>0</v>
      </c>
      <c r="L58" s="1680">
        <v>0</v>
      </c>
      <c r="N58" s="1681"/>
      <c r="O58" s="1681"/>
      <c r="P58" s="1681"/>
      <c r="Q58" s="1681"/>
      <c r="R58" s="1681"/>
      <c r="T58" s="1681"/>
      <c r="U58" s="1681"/>
      <c r="W58" s="1681">
        <f t="shared" si="3"/>
        <v>0</v>
      </c>
      <c r="X58" s="1681"/>
      <c r="Y58" s="1681">
        <f t="shared" si="4"/>
        <v>0</v>
      </c>
      <c r="Z58" s="1681"/>
      <c r="AB58" s="1682"/>
      <c r="AC58" s="1682"/>
      <c r="AE58" s="1683"/>
      <c r="AF58" s="1683"/>
      <c r="AG58" s="1683"/>
      <c r="AH58" s="1683"/>
      <c r="AI58" s="1683"/>
      <c r="AJ58" s="1683"/>
      <c r="AK58" s="1683"/>
      <c r="AL58" s="1683"/>
      <c r="AM58" s="1683"/>
      <c r="AN58" s="1683"/>
      <c r="AO58" s="1683"/>
      <c r="AP58" s="1683"/>
      <c r="AQ58" s="1683"/>
      <c r="AR58" s="1683"/>
      <c r="AS58" s="1683"/>
      <c r="AT58" s="1683"/>
      <c r="AU58" s="1683"/>
      <c r="AV58" s="1683"/>
      <c r="AW58" s="1683"/>
      <c r="AX58" s="1683"/>
      <c r="AY58" s="1683"/>
      <c r="AZ58" s="1683"/>
      <c r="BA58" s="1683"/>
      <c r="BB58" s="1683"/>
    </row>
    <row r="59" spans="1:54">
      <c r="A59" s="326">
        <f t="shared" si="16"/>
        <v>35185</v>
      </c>
      <c r="B59" s="1678">
        <v>99.7</v>
      </c>
      <c r="C59" s="1679">
        <f t="shared" si="1"/>
        <v>0.997</v>
      </c>
      <c r="D59" s="1679">
        <f>PRODUCT(C$4:C59)</f>
        <v>3.15078140249042</v>
      </c>
      <c r="F59" s="1678">
        <v>100</v>
      </c>
      <c r="G59" s="1679">
        <f t="shared" si="2"/>
        <v>1</v>
      </c>
      <c r="H59" s="1679">
        <f>PRODUCT(G$4:G59)</f>
        <v>1</v>
      </c>
      <c r="J59" s="1680">
        <v>0</v>
      </c>
      <c r="K59" s="1680">
        <v>0</v>
      </c>
      <c r="L59" s="1680">
        <v>0</v>
      </c>
      <c r="N59" s="1681"/>
      <c r="O59" s="1681"/>
      <c r="P59" s="1681"/>
      <c r="Q59" s="1681"/>
      <c r="R59" s="1681"/>
      <c r="T59" s="1681"/>
      <c r="U59" s="1681"/>
      <c r="W59" s="1681">
        <f t="shared" si="3"/>
        <v>0</v>
      </c>
      <c r="X59" s="1681"/>
      <c r="Y59" s="1681">
        <f t="shared" si="4"/>
        <v>0</v>
      </c>
      <c r="Z59" s="1681"/>
      <c r="AB59" s="1682"/>
      <c r="AC59" s="1682"/>
      <c r="AE59" s="1683"/>
      <c r="AF59" s="1683"/>
      <c r="AG59" s="1683"/>
      <c r="AH59" s="1683"/>
      <c r="AI59" s="1683"/>
      <c r="AJ59" s="1683"/>
      <c r="AK59" s="1683"/>
      <c r="AL59" s="1683"/>
      <c r="AM59" s="1683"/>
      <c r="AN59" s="1683"/>
      <c r="AO59" s="1683"/>
      <c r="AP59" s="1683"/>
      <c r="AQ59" s="1683"/>
      <c r="AR59" s="1683"/>
      <c r="AS59" s="1683"/>
      <c r="AT59" s="1683"/>
      <c r="AU59" s="1683"/>
      <c r="AV59" s="1683"/>
      <c r="AW59" s="1683"/>
      <c r="AX59" s="1683"/>
      <c r="AY59" s="1683"/>
      <c r="AZ59" s="1683"/>
      <c r="BA59" s="1683"/>
      <c r="BB59" s="1683"/>
    </row>
    <row r="60" spans="1:54">
      <c r="A60" s="326">
        <f t="shared" si="16"/>
        <v>35216</v>
      </c>
      <c r="B60" s="1678">
        <v>100.9</v>
      </c>
      <c r="C60" s="1679">
        <f t="shared" si="1"/>
        <v>1.009</v>
      </c>
      <c r="D60" s="1679">
        <f>PRODUCT(C$4:C60)</f>
        <v>3.17913843511283</v>
      </c>
      <c r="F60" s="1678">
        <v>100</v>
      </c>
      <c r="G60" s="1679">
        <f t="shared" si="2"/>
        <v>1</v>
      </c>
      <c r="H60" s="1679">
        <f>PRODUCT(G$4:G60)</f>
        <v>1</v>
      </c>
      <c r="J60" s="1680">
        <v>0</v>
      </c>
      <c r="K60" s="1680">
        <v>0</v>
      </c>
      <c r="L60" s="1680">
        <v>0</v>
      </c>
      <c r="N60" s="1681"/>
      <c r="O60" s="1681"/>
      <c r="P60" s="1681"/>
      <c r="Q60" s="1681"/>
      <c r="R60" s="1681"/>
      <c r="T60" s="1681"/>
      <c r="U60" s="1681"/>
      <c r="W60" s="1681">
        <f t="shared" si="3"/>
        <v>0</v>
      </c>
      <c r="X60" s="1681"/>
      <c r="Y60" s="1681">
        <f t="shared" si="4"/>
        <v>0</v>
      </c>
      <c r="Z60" s="1681"/>
      <c r="AB60" s="1682"/>
      <c r="AC60" s="1682"/>
      <c r="AE60" s="1683"/>
      <c r="AF60" s="1683"/>
      <c r="AG60" s="1683"/>
      <c r="AH60" s="1683"/>
      <c r="AI60" s="1683"/>
      <c r="AJ60" s="1683"/>
      <c r="AK60" s="1683"/>
      <c r="AL60" s="1683"/>
      <c r="AM60" s="1683"/>
      <c r="AN60" s="1683"/>
      <c r="AO60" s="1683"/>
      <c r="AP60" s="1683"/>
      <c r="AQ60" s="1683"/>
      <c r="AR60" s="1683"/>
      <c r="AS60" s="1683"/>
      <c r="AT60" s="1683"/>
      <c r="AU60" s="1683"/>
      <c r="AV60" s="1683"/>
      <c r="AW60" s="1683"/>
      <c r="AX60" s="1683"/>
      <c r="AY60" s="1683"/>
      <c r="AZ60" s="1683"/>
      <c r="BA60" s="1683"/>
      <c r="BB60" s="1683"/>
    </row>
    <row r="61" spans="1:54">
      <c r="A61" s="326">
        <f t="shared" si="16"/>
        <v>35246</v>
      </c>
      <c r="B61" s="1678">
        <v>101.4</v>
      </c>
      <c r="C61" s="1679">
        <f t="shared" si="1"/>
        <v>1.014</v>
      </c>
      <c r="D61" s="1679">
        <f>PRODUCT(C$4:C61)</f>
        <v>3.22364637320441</v>
      </c>
      <c r="F61" s="1678">
        <v>100</v>
      </c>
      <c r="G61" s="1679">
        <f t="shared" si="2"/>
        <v>1</v>
      </c>
      <c r="H61" s="1679">
        <f>PRODUCT(G$4:G61)</f>
        <v>1</v>
      </c>
      <c r="J61" s="1680">
        <v>0</v>
      </c>
      <c r="K61" s="1680">
        <v>0</v>
      </c>
      <c r="L61" s="1680">
        <v>0</v>
      </c>
      <c r="N61" s="1681"/>
      <c r="O61" s="1681"/>
      <c r="P61" s="1681"/>
      <c r="Q61" s="1681"/>
      <c r="R61" s="1681"/>
      <c r="T61" s="1681"/>
      <c r="U61" s="1681"/>
      <c r="W61" s="1681">
        <f t="shared" si="3"/>
        <v>0</v>
      </c>
      <c r="X61" s="1681"/>
      <c r="Y61" s="1681">
        <f t="shared" si="4"/>
        <v>0</v>
      </c>
      <c r="Z61" s="1681"/>
      <c r="AB61" s="1682"/>
      <c r="AC61" s="1682"/>
      <c r="AE61" s="1683"/>
      <c r="AF61" s="1683"/>
      <c r="AG61" s="1683"/>
      <c r="AH61" s="1683"/>
      <c r="AI61" s="1683"/>
      <c r="AJ61" s="1683"/>
      <c r="AK61" s="1683"/>
      <c r="AL61" s="1683"/>
      <c r="AM61" s="1683"/>
      <c r="AN61" s="1683"/>
      <c r="AO61" s="1683"/>
      <c r="AP61" s="1683"/>
      <c r="AQ61" s="1683"/>
      <c r="AR61" s="1683"/>
      <c r="AS61" s="1683"/>
      <c r="AT61" s="1683"/>
      <c r="AU61" s="1683"/>
      <c r="AV61" s="1683"/>
      <c r="AW61" s="1683"/>
      <c r="AX61" s="1683"/>
      <c r="AY61" s="1683"/>
      <c r="AZ61" s="1683"/>
      <c r="BA61" s="1683"/>
      <c r="BB61" s="1683"/>
    </row>
    <row r="62" spans="1:54">
      <c r="A62" s="326">
        <f t="shared" si="16"/>
        <v>35277</v>
      </c>
      <c r="B62" s="1678">
        <v>98.5</v>
      </c>
      <c r="C62" s="1679">
        <f t="shared" si="1"/>
        <v>0.985</v>
      </c>
      <c r="D62" s="1679">
        <f>PRODUCT(C$4:C62)</f>
        <v>3.17529167760635</v>
      </c>
      <c r="F62" s="1678">
        <v>100</v>
      </c>
      <c r="G62" s="1679">
        <f t="shared" si="2"/>
        <v>1</v>
      </c>
      <c r="H62" s="1679">
        <f>PRODUCT(G$4:G62)</f>
        <v>1</v>
      </c>
      <c r="J62" s="1680">
        <v>0</v>
      </c>
      <c r="K62" s="1680">
        <v>0</v>
      </c>
      <c r="L62" s="1680">
        <v>0</v>
      </c>
      <c r="N62" s="1681"/>
      <c r="O62" s="1681"/>
      <c r="P62" s="1681"/>
      <c r="Q62" s="1681"/>
      <c r="R62" s="1681"/>
      <c r="T62" s="1681"/>
      <c r="U62" s="1681"/>
      <c r="W62" s="1681">
        <f t="shared" si="3"/>
        <v>0</v>
      </c>
      <c r="X62" s="1681"/>
      <c r="Y62" s="1681">
        <f t="shared" si="4"/>
        <v>0</v>
      </c>
      <c r="Z62" s="1681"/>
      <c r="AB62" s="1682"/>
      <c r="AC62" s="1682"/>
      <c r="AE62" s="1683"/>
      <c r="AF62" s="1683"/>
      <c r="AG62" s="1683"/>
      <c r="AH62" s="1683"/>
      <c r="AI62" s="1683"/>
      <c r="AJ62" s="1683"/>
      <c r="AK62" s="1683"/>
      <c r="AL62" s="1683"/>
      <c r="AM62" s="1683"/>
      <c r="AN62" s="1683"/>
      <c r="AO62" s="1683"/>
      <c r="AP62" s="1683"/>
      <c r="AQ62" s="1683"/>
      <c r="AR62" s="1683"/>
      <c r="AS62" s="1683"/>
      <c r="AT62" s="1683"/>
      <c r="AU62" s="1683"/>
      <c r="AV62" s="1683"/>
      <c r="AW62" s="1683"/>
      <c r="AX62" s="1683"/>
      <c r="AY62" s="1683"/>
      <c r="AZ62" s="1683"/>
      <c r="BA62" s="1683"/>
      <c r="BB62" s="1683"/>
    </row>
    <row r="63" spans="1:54">
      <c r="A63" s="326">
        <f t="shared" si="16"/>
        <v>35308</v>
      </c>
      <c r="B63" s="1678">
        <v>101.2</v>
      </c>
      <c r="C63" s="1679">
        <f t="shared" si="1"/>
        <v>1.012</v>
      </c>
      <c r="D63" s="1679">
        <f>PRODUCT(C$4:C63)</f>
        <v>3.21339517773762</v>
      </c>
      <c r="F63" s="1678">
        <v>100</v>
      </c>
      <c r="G63" s="1679">
        <f t="shared" si="2"/>
        <v>1</v>
      </c>
      <c r="H63" s="1679">
        <f>PRODUCT(G$4:G63)</f>
        <v>1</v>
      </c>
      <c r="J63" s="1680">
        <v>0</v>
      </c>
      <c r="K63" s="1680">
        <v>0</v>
      </c>
      <c r="L63" s="1680">
        <v>0</v>
      </c>
      <c r="N63" s="1681"/>
      <c r="O63" s="1681"/>
      <c r="P63" s="1681"/>
      <c r="Q63" s="1681"/>
      <c r="R63" s="1681"/>
      <c r="T63" s="1681"/>
      <c r="U63" s="1681"/>
      <c r="W63" s="1681">
        <f t="shared" si="3"/>
        <v>0</v>
      </c>
      <c r="X63" s="1681"/>
      <c r="Y63" s="1681">
        <f t="shared" si="4"/>
        <v>0</v>
      </c>
      <c r="Z63" s="1681"/>
      <c r="AB63" s="1682"/>
      <c r="AC63" s="1682"/>
      <c r="AE63" s="1683"/>
      <c r="AF63" s="1683"/>
      <c r="AG63" s="1683"/>
      <c r="AH63" s="1683"/>
      <c r="AI63" s="1683"/>
      <c r="AJ63" s="1683"/>
      <c r="AK63" s="1683"/>
      <c r="AL63" s="1683"/>
      <c r="AM63" s="1683"/>
      <c r="AN63" s="1683"/>
      <c r="AO63" s="1683"/>
      <c r="AP63" s="1683"/>
      <c r="AQ63" s="1683"/>
      <c r="AR63" s="1683"/>
      <c r="AS63" s="1683"/>
      <c r="AT63" s="1683"/>
      <c r="AU63" s="1683"/>
      <c r="AV63" s="1683"/>
      <c r="AW63" s="1683"/>
      <c r="AX63" s="1683"/>
      <c r="AY63" s="1683"/>
      <c r="AZ63" s="1683"/>
      <c r="BA63" s="1683"/>
      <c r="BB63" s="1683"/>
    </row>
    <row r="64" spans="1:54">
      <c r="A64" s="326">
        <f t="shared" si="16"/>
        <v>35338</v>
      </c>
      <c r="B64" s="1678">
        <v>99.5</v>
      </c>
      <c r="C64" s="1679">
        <f t="shared" si="1"/>
        <v>0.995</v>
      </c>
      <c r="D64" s="1679">
        <f>PRODUCT(C$4:C64)</f>
        <v>3.19732820184893</v>
      </c>
      <c r="F64" s="1678">
        <v>100</v>
      </c>
      <c r="G64" s="1679">
        <f t="shared" si="2"/>
        <v>1</v>
      </c>
      <c r="H64" s="1679">
        <f>PRODUCT(G$4:G64)</f>
        <v>1</v>
      </c>
      <c r="J64" s="1680">
        <v>0</v>
      </c>
      <c r="K64" s="1680">
        <v>0</v>
      </c>
      <c r="L64" s="1680">
        <v>0</v>
      </c>
      <c r="N64" s="1681"/>
      <c r="O64" s="1681"/>
      <c r="P64" s="1681"/>
      <c r="Q64" s="1681"/>
      <c r="R64" s="1681"/>
      <c r="T64" s="1681"/>
      <c r="U64" s="1681"/>
      <c r="W64" s="1681">
        <f t="shared" si="3"/>
        <v>0</v>
      </c>
      <c r="X64" s="1681"/>
      <c r="Y64" s="1681">
        <f t="shared" si="4"/>
        <v>0</v>
      </c>
      <c r="Z64" s="1681"/>
      <c r="AB64" s="1682"/>
      <c r="AC64" s="1682"/>
      <c r="AE64" s="1683"/>
      <c r="AF64" s="1683"/>
      <c r="AG64" s="1683"/>
      <c r="AH64" s="1683"/>
      <c r="AI64" s="1683"/>
      <c r="AJ64" s="1683"/>
      <c r="AK64" s="1683"/>
      <c r="AL64" s="1683"/>
      <c r="AM64" s="1683"/>
      <c r="AN64" s="1683"/>
      <c r="AO64" s="1683"/>
      <c r="AP64" s="1683"/>
      <c r="AQ64" s="1683"/>
      <c r="AR64" s="1683"/>
      <c r="AS64" s="1683"/>
      <c r="AT64" s="1683"/>
      <c r="AU64" s="1683"/>
      <c r="AV64" s="1683"/>
      <c r="AW64" s="1683"/>
      <c r="AX64" s="1683"/>
      <c r="AY64" s="1683"/>
      <c r="AZ64" s="1683"/>
      <c r="BA64" s="1683"/>
      <c r="BB64" s="1683"/>
    </row>
    <row r="65" spans="1:54">
      <c r="A65" s="326">
        <f t="shared" si="16"/>
        <v>35369</v>
      </c>
      <c r="B65" s="1678">
        <v>101.5</v>
      </c>
      <c r="C65" s="1679">
        <f t="shared" si="1"/>
        <v>1.015</v>
      </c>
      <c r="D65" s="1679">
        <f>PRODUCT(C$4:C65)</f>
        <v>3.24528812487667</v>
      </c>
      <c r="F65" s="1678">
        <v>100</v>
      </c>
      <c r="G65" s="1679">
        <f t="shared" si="2"/>
        <v>1</v>
      </c>
      <c r="H65" s="1679">
        <f>PRODUCT(G$4:G65)</f>
        <v>1</v>
      </c>
      <c r="J65" s="1680">
        <v>0</v>
      </c>
      <c r="K65" s="1680">
        <v>0</v>
      </c>
      <c r="L65" s="1680">
        <v>0</v>
      </c>
      <c r="N65" s="1681"/>
      <c r="O65" s="1681"/>
      <c r="P65" s="1681"/>
      <c r="Q65" s="1681"/>
      <c r="R65" s="1681"/>
      <c r="T65" s="1681"/>
      <c r="U65" s="1681"/>
      <c r="W65" s="1681">
        <f t="shared" si="3"/>
        <v>0</v>
      </c>
      <c r="X65" s="1681"/>
      <c r="Y65" s="1681">
        <f t="shared" si="4"/>
        <v>0</v>
      </c>
      <c r="Z65" s="1681"/>
      <c r="AB65" s="1682"/>
      <c r="AC65" s="1682"/>
      <c r="AE65" s="1683"/>
      <c r="AF65" s="1683"/>
      <c r="AG65" s="1683"/>
      <c r="AH65" s="1683"/>
      <c r="AI65" s="1683"/>
      <c r="AJ65" s="1683"/>
      <c r="AK65" s="1683"/>
      <c r="AL65" s="1683"/>
      <c r="AM65" s="1683"/>
      <c r="AN65" s="1683"/>
      <c r="AO65" s="1683"/>
      <c r="AP65" s="1683"/>
      <c r="AQ65" s="1683"/>
      <c r="AR65" s="1683"/>
      <c r="AS65" s="1683"/>
      <c r="AT65" s="1683"/>
      <c r="AU65" s="1683"/>
      <c r="AV65" s="1683"/>
      <c r="AW65" s="1683"/>
      <c r="AX65" s="1683"/>
      <c r="AY65" s="1683"/>
      <c r="AZ65" s="1683"/>
      <c r="BA65" s="1683"/>
      <c r="BB65" s="1683"/>
    </row>
    <row r="66" spans="1:54">
      <c r="A66" s="326">
        <f t="shared" si="16"/>
        <v>35399</v>
      </c>
      <c r="B66" s="1678">
        <v>99.9</v>
      </c>
      <c r="C66" s="1679">
        <f t="shared" si="1"/>
        <v>0.999</v>
      </c>
      <c r="D66" s="1679">
        <f>PRODUCT(C$4:C66)</f>
        <v>3.24204283675179</v>
      </c>
      <c r="F66" s="1678">
        <v>100</v>
      </c>
      <c r="G66" s="1679">
        <f t="shared" si="2"/>
        <v>1</v>
      </c>
      <c r="H66" s="1679">
        <f>PRODUCT(G$4:G66)</f>
        <v>1</v>
      </c>
      <c r="J66" s="1680">
        <v>0</v>
      </c>
      <c r="K66" s="1680">
        <v>0</v>
      </c>
      <c r="L66" s="1680">
        <v>0</v>
      </c>
      <c r="N66" s="1681"/>
      <c r="O66" s="1681"/>
      <c r="P66" s="1681"/>
      <c r="Q66" s="1681"/>
      <c r="R66" s="1681"/>
      <c r="T66" s="1681"/>
      <c r="U66" s="1681"/>
      <c r="W66" s="1681">
        <f t="shared" si="3"/>
        <v>0</v>
      </c>
      <c r="X66" s="1681"/>
      <c r="Y66" s="1681">
        <f t="shared" si="4"/>
        <v>0</v>
      </c>
      <c r="Z66" s="1681"/>
      <c r="AB66" s="1682"/>
      <c r="AC66" s="1682"/>
      <c r="AE66" s="1683"/>
      <c r="AF66" s="1683"/>
      <c r="AG66" s="1683"/>
      <c r="AH66" s="1683"/>
      <c r="AI66" s="1683"/>
      <c r="AJ66" s="1683"/>
      <c r="AK66" s="1683"/>
      <c r="AL66" s="1683"/>
      <c r="AM66" s="1683"/>
      <c r="AN66" s="1683"/>
      <c r="AO66" s="1683"/>
      <c r="AP66" s="1683"/>
      <c r="AQ66" s="1683"/>
      <c r="AR66" s="1683"/>
      <c r="AS66" s="1683"/>
      <c r="AT66" s="1683"/>
      <c r="AU66" s="1683"/>
      <c r="AV66" s="1683"/>
      <c r="AW66" s="1683"/>
      <c r="AX66" s="1683"/>
      <c r="AY66" s="1683"/>
      <c r="AZ66" s="1683"/>
      <c r="BA66" s="1683"/>
      <c r="BB66" s="1683"/>
    </row>
    <row r="67" spans="1:54">
      <c r="A67" s="326">
        <f t="shared" si="16"/>
        <v>35430</v>
      </c>
      <c r="B67" s="1678">
        <v>97.4</v>
      </c>
      <c r="C67" s="1679">
        <f t="shared" si="1"/>
        <v>0.974</v>
      </c>
      <c r="D67" s="1679">
        <f>PRODUCT(C$4:C67)</f>
        <v>3.15774972299625</v>
      </c>
      <c r="F67" s="1678">
        <v>100</v>
      </c>
      <c r="G67" s="1679">
        <f t="shared" si="2"/>
        <v>1</v>
      </c>
      <c r="H67" s="1679">
        <f>PRODUCT(G$4:G67)</f>
        <v>1</v>
      </c>
      <c r="J67" s="1680">
        <v>0</v>
      </c>
      <c r="K67" s="1680">
        <v>0</v>
      </c>
      <c r="L67" s="1680">
        <v>0</v>
      </c>
      <c r="N67" s="1681"/>
      <c r="O67" s="1681"/>
      <c r="P67" s="1681"/>
      <c r="Q67" s="1681"/>
      <c r="R67" s="1681"/>
      <c r="T67" s="1681"/>
      <c r="U67" s="1681"/>
      <c r="W67" s="1681">
        <f t="shared" si="3"/>
        <v>0</v>
      </c>
      <c r="X67" s="1681"/>
      <c r="Y67" s="1681">
        <f t="shared" si="4"/>
        <v>0</v>
      </c>
      <c r="Z67" s="1681"/>
      <c r="AB67" s="1682"/>
      <c r="AC67" s="1682"/>
      <c r="AE67" s="1683"/>
      <c r="AF67" s="1683"/>
      <c r="AG67" s="1683"/>
      <c r="AH67" s="1683"/>
      <c r="AI67" s="1683"/>
      <c r="AJ67" s="1683"/>
      <c r="AK67" s="1683"/>
      <c r="AL67" s="1683"/>
      <c r="AM67" s="1683"/>
      <c r="AN67" s="1683"/>
      <c r="AO67" s="1683"/>
      <c r="AP67" s="1683"/>
      <c r="AQ67" s="1683"/>
      <c r="AR67" s="1683"/>
      <c r="AS67" s="1683"/>
      <c r="AT67" s="1683"/>
      <c r="AU67" s="1683"/>
      <c r="AV67" s="1683"/>
      <c r="AW67" s="1683"/>
      <c r="AX67" s="1683"/>
      <c r="AY67" s="1683"/>
      <c r="AZ67" s="1683"/>
      <c r="BA67" s="1683"/>
      <c r="BB67" s="1683"/>
    </row>
    <row r="68" spans="1:54">
      <c r="A68" s="326">
        <f t="shared" si="16"/>
        <v>35461</v>
      </c>
      <c r="B68" s="1678">
        <v>100</v>
      </c>
      <c r="C68" s="1679">
        <f t="shared" si="1"/>
        <v>1</v>
      </c>
      <c r="D68" s="1679">
        <f>PRODUCT(C$4:C68)</f>
        <v>3.15774972299625</v>
      </c>
      <c r="F68" s="1678">
        <v>100</v>
      </c>
      <c r="G68" s="1679">
        <f t="shared" si="2"/>
        <v>1</v>
      </c>
      <c r="H68" s="1679">
        <f>PRODUCT(G$4:G68)</f>
        <v>1</v>
      </c>
      <c r="J68" s="1680">
        <v>0</v>
      </c>
      <c r="K68" s="1680">
        <v>0</v>
      </c>
      <c r="L68" s="1680">
        <v>0</v>
      </c>
      <c r="N68" s="1681"/>
      <c r="O68" s="1681"/>
      <c r="P68" s="1681"/>
      <c r="Q68" s="1681"/>
      <c r="R68" s="1681"/>
      <c r="T68" s="1681"/>
      <c r="U68" s="1681"/>
      <c r="W68" s="1681">
        <f t="shared" si="3"/>
        <v>0</v>
      </c>
      <c r="X68" s="1681"/>
      <c r="Y68" s="1681">
        <f t="shared" si="4"/>
        <v>0</v>
      </c>
      <c r="Z68" s="1681"/>
      <c r="AB68" s="1682"/>
      <c r="AC68" s="1682"/>
      <c r="AE68" s="1683"/>
      <c r="AF68" s="1683"/>
      <c r="AG68" s="1683"/>
      <c r="AH68" s="1683"/>
      <c r="AI68" s="1683"/>
      <c r="AJ68" s="1683"/>
      <c r="AK68" s="1683"/>
      <c r="AL68" s="1683"/>
      <c r="AM68" s="1683"/>
      <c r="AN68" s="1683"/>
      <c r="AO68" s="1683"/>
      <c r="AP68" s="1683"/>
      <c r="AQ68" s="1683"/>
      <c r="AR68" s="1683"/>
      <c r="AS68" s="1683"/>
      <c r="AT68" s="1683"/>
      <c r="AU68" s="1683"/>
      <c r="AV68" s="1683"/>
      <c r="AW68" s="1683"/>
      <c r="AX68" s="1683"/>
      <c r="AY68" s="1683"/>
      <c r="AZ68" s="1683"/>
      <c r="BA68" s="1683"/>
      <c r="BB68" s="1683"/>
    </row>
    <row r="69" spans="1:54">
      <c r="A69" s="326">
        <f t="shared" si="16"/>
        <v>35489</v>
      </c>
      <c r="B69" s="1678">
        <v>100.6</v>
      </c>
      <c r="C69" s="1679">
        <f t="shared" ref="C69:C132" si="17">B69/100</f>
        <v>1.006</v>
      </c>
      <c r="D69" s="1679">
        <f>PRODUCT(C$4:C69)</f>
        <v>3.17669622133422</v>
      </c>
      <c r="F69" s="1678">
        <v>100</v>
      </c>
      <c r="G69" s="1679">
        <f t="shared" ref="G69:G132" si="18">F69/100</f>
        <v>1</v>
      </c>
      <c r="H69" s="1679">
        <f>PRODUCT(G$4:G69)</f>
        <v>1</v>
      </c>
      <c r="J69" s="1680">
        <v>0</v>
      </c>
      <c r="K69" s="1680">
        <v>0</v>
      </c>
      <c r="L69" s="1680">
        <v>0</v>
      </c>
      <c r="N69" s="1681"/>
      <c r="O69" s="1681"/>
      <c r="P69" s="1681"/>
      <c r="Q69" s="1681"/>
      <c r="R69" s="1681"/>
      <c r="T69" s="1681"/>
      <c r="U69" s="1681"/>
      <c r="W69" s="1681">
        <f t="shared" ref="W69:W132" si="19">Q69</f>
        <v>0</v>
      </c>
      <c r="X69" s="1681"/>
      <c r="Y69" s="1681">
        <f t="shared" ref="Y69:Y132" si="20">R69</f>
        <v>0</v>
      </c>
      <c r="Z69" s="1681"/>
      <c r="AB69" s="1682"/>
      <c r="AC69" s="1682"/>
      <c r="AE69" s="1683"/>
      <c r="AF69" s="1683"/>
      <c r="AG69" s="1683"/>
      <c r="AH69" s="1683"/>
      <c r="AI69" s="1683"/>
      <c r="AJ69" s="1683"/>
      <c r="AK69" s="1683"/>
      <c r="AL69" s="1683"/>
      <c r="AM69" s="1683"/>
      <c r="AN69" s="1683"/>
      <c r="AO69" s="1683"/>
      <c r="AP69" s="1683"/>
      <c r="AQ69" s="1683"/>
      <c r="AR69" s="1683"/>
      <c r="AS69" s="1683"/>
      <c r="AT69" s="1683"/>
      <c r="AU69" s="1683"/>
      <c r="AV69" s="1683"/>
      <c r="AW69" s="1683"/>
      <c r="AX69" s="1683"/>
      <c r="AY69" s="1683"/>
      <c r="AZ69" s="1683"/>
      <c r="BA69" s="1683"/>
      <c r="BB69" s="1683"/>
    </row>
    <row r="70" spans="1:54">
      <c r="A70" s="326">
        <f t="shared" si="16"/>
        <v>35520</v>
      </c>
      <c r="B70" s="1678">
        <v>99.2</v>
      </c>
      <c r="C70" s="1679">
        <f t="shared" si="17"/>
        <v>0.992</v>
      </c>
      <c r="D70" s="1679">
        <f>PRODUCT(C$4:C70)</f>
        <v>3.15128265156355</v>
      </c>
      <c r="F70" s="1678">
        <v>100</v>
      </c>
      <c r="G70" s="1679">
        <f t="shared" si="18"/>
        <v>1</v>
      </c>
      <c r="H70" s="1679">
        <f>PRODUCT(G$4:G70)</f>
        <v>1</v>
      </c>
      <c r="J70" s="1680">
        <v>0</v>
      </c>
      <c r="K70" s="1680">
        <v>0</v>
      </c>
      <c r="L70" s="1680">
        <v>0</v>
      </c>
      <c r="N70" s="1681"/>
      <c r="O70" s="1681"/>
      <c r="P70" s="1681"/>
      <c r="Q70" s="1681"/>
      <c r="R70" s="1681"/>
      <c r="T70" s="1681"/>
      <c r="U70" s="1681"/>
      <c r="W70" s="1681">
        <f t="shared" si="19"/>
        <v>0</v>
      </c>
      <c r="X70" s="1681"/>
      <c r="Y70" s="1681">
        <f t="shared" si="20"/>
        <v>0</v>
      </c>
      <c r="Z70" s="1681"/>
      <c r="AB70" s="1682"/>
      <c r="AC70" s="1682"/>
      <c r="AE70" s="1683"/>
      <c r="AF70" s="1683"/>
      <c r="AG70" s="1683"/>
      <c r="AH70" s="1683"/>
      <c r="AI70" s="1683"/>
      <c r="AJ70" s="1683"/>
      <c r="AK70" s="1683"/>
      <c r="AL70" s="1683"/>
      <c r="AM70" s="1683"/>
      <c r="AN70" s="1683"/>
      <c r="AO70" s="1683"/>
      <c r="AP70" s="1683"/>
      <c r="AQ70" s="1683"/>
      <c r="AR70" s="1683"/>
      <c r="AS70" s="1683"/>
      <c r="AT70" s="1683"/>
      <c r="AU70" s="1683"/>
      <c r="AV70" s="1683"/>
      <c r="AW70" s="1683"/>
      <c r="AX70" s="1683"/>
      <c r="AY70" s="1683"/>
      <c r="AZ70" s="1683"/>
      <c r="BA70" s="1683"/>
      <c r="BB70" s="1683"/>
    </row>
    <row r="71" spans="1:54">
      <c r="A71" s="326">
        <f t="shared" si="16"/>
        <v>35550</v>
      </c>
      <c r="B71" s="1678">
        <v>99.3</v>
      </c>
      <c r="C71" s="1679">
        <f t="shared" si="17"/>
        <v>0.993</v>
      </c>
      <c r="D71" s="1679">
        <f>PRODUCT(C$4:C71)</f>
        <v>3.1292236730026</v>
      </c>
      <c r="F71" s="1678">
        <v>100</v>
      </c>
      <c r="G71" s="1679">
        <f t="shared" si="18"/>
        <v>1</v>
      </c>
      <c r="H71" s="1679">
        <f>PRODUCT(G$4:G71)</f>
        <v>1</v>
      </c>
      <c r="J71" s="1680">
        <v>0</v>
      </c>
      <c r="K71" s="1680">
        <v>0</v>
      </c>
      <c r="L71" s="1680">
        <v>0</v>
      </c>
      <c r="N71" s="1681"/>
      <c r="O71" s="1681"/>
      <c r="P71" s="1681"/>
      <c r="Q71" s="1681"/>
      <c r="R71" s="1681"/>
      <c r="T71" s="1681"/>
      <c r="U71" s="1681"/>
      <c r="W71" s="1681">
        <f t="shared" si="19"/>
        <v>0</v>
      </c>
      <c r="X71" s="1681"/>
      <c r="Y71" s="1681">
        <f t="shared" si="20"/>
        <v>0</v>
      </c>
      <c r="Z71" s="1681"/>
      <c r="AB71" s="1682"/>
      <c r="AC71" s="1682"/>
      <c r="AE71" s="1683"/>
      <c r="AF71" s="1683"/>
      <c r="AG71" s="1683"/>
      <c r="AH71" s="1683"/>
      <c r="AI71" s="1683"/>
      <c r="AJ71" s="1683"/>
      <c r="AK71" s="1683"/>
      <c r="AL71" s="1683"/>
      <c r="AM71" s="1683"/>
      <c r="AN71" s="1683"/>
      <c r="AO71" s="1683"/>
      <c r="AP71" s="1683"/>
      <c r="AQ71" s="1683"/>
      <c r="AR71" s="1683"/>
      <c r="AS71" s="1683"/>
      <c r="AT71" s="1683"/>
      <c r="AU71" s="1683"/>
      <c r="AV71" s="1683"/>
      <c r="AW71" s="1683"/>
      <c r="AX71" s="1683"/>
      <c r="AY71" s="1683"/>
      <c r="AZ71" s="1683"/>
      <c r="BA71" s="1683"/>
      <c r="BB71" s="1683"/>
    </row>
    <row r="72" spans="1:54">
      <c r="A72" s="326">
        <f t="shared" si="16"/>
        <v>35581</v>
      </c>
      <c r="B72" s="1678">
        <v>100.9</v>
      </c>
      <c r="C72" s="1679">
        <f t="shared" si="17"/>
        <v>1.009</v>
      </c>
      <c r="D72" s="1679">
        <f>PRODUCT(C$4:C72)</f>
        <v>3.15738668605963</v>
      </c>
      <c r="F72" s="1678">
        <v>100</v>
      </c>
      <c r="G72" s="1679">
        <f t="shared" si="18"/>
        <v>1</v>
      </c>
      <c r="H72" s="1679">
        <f>PRODUCT(G$4:G72)</f>
        <v>1</v>
      </c>
      <c r="J72" s="1680">
        <v>0</v>
      </c>
      <c r="K72" s="1680">
        <v>0</v>
      </c>
      <c r="L72" s="1680">
        <v>0</v>
      </c>
      <c r="N72" s="1681"/>
      <c r="O72" s="1681"/>
      <c r="P72" s="1681"/>
      <c r="Q72" s="1681"/>
      <c r="R72" s="1681"/>
      <c r="T72" s="1681"/>
      <c r="U72" s="1681"/>
      <c r="W72" s="1681">
        <f t="shared" si="19"/>
        <v>0</v>
      </c>
      <c r="X72" s="1681"/>
      <c r="Y72" s="1681">
        <f t="shared" si="20"/>
        <v>0</v>
      </c>
      <c r="Z72" s="1681"/>
      <c r="AB72" s="1682"/>
      <c r="AC72" s="1682"/>
      <c r="AE72" s="1683"/>
      <c r="AF72" s="1683"/>
      <c r="AG72" s="1683"/>
      <c r="AH72" s="1683"/>
      <c r="AI72" s="1683"/>
      <c r="AJ72" s="1683"/>
      <c r="AK72" s="1683"/>
      <c r="AL72" s="1683"/>
      <c r="AM72" s="1683"/>
      <c r="AN72" s="1683"/>
      <c r="AO72" s="1683"/>
      <c r="AP72" s="1683"/>
      <c r="AQ72" s="1683"/>
      <c r="AR72" s="1683"/>
      <c r="AS72" s="1683"/>
      <c r="AT72" s="1683"/>
      <c r="AU72" s="1683"/>
      <c r="AV72" s="1683"/>
      <c r="AW72" s="1683"/>
      <c r="AX72" s="1683"/>
      <c r="AY72" s="1683"/>
      <c r="AZ72" s="1683"/>
      <c r="BA72" s="1683"/>
      <c r="BB72" s="1683"/>
    </row>
    <row r="73" spans="1:54">
      <c r="A73" s="326">
        <f t="shared" si="16"/>
        <v>35611</v>
      </c>
      <c r="B73" s="1678">
        <v>100.9</v>
      </c>
      <c r="C73" s="1679">
        <f t="shared" si="17"/>
        <v>1.009</v>
      </c>
      <c r="D73" s="1679">
        <f>PRODUCT(C$4:C73)</f>
        <v>3.18580316623416</v>
      </c>
      <c r="F73" s="1678">
        <v>100</v>
      </c>
      <c r="G73" s="1679">
        <f t="shared" si="18"/>
        <v>1</v>
      </c>
      <c r="H73" s="1679">
        <f>PRODUCT(G$4:G73)</f>
        <v>1</v>
      </c>
      <c r="J73" s="1680">
        <v>0</v>
      </c>
      <c r="K73" s="1680">
        <v>0</v>
      </c>
      <c r="L73" s="1680">
        <v>0</v>
      </c>
      <c r="N73" s="1681"/>
      <c r="O73" s="1681"/>
      <c r="P73" s="1681"/>
      <c r="Q73" s="1681"/>
      <c r="R73" s="1681"/>
      <c r="T73" s="1681"/>
      <c r="U73" s="1681"/>
      <c r="W73" s="1681">
        <f t="shared" si="19"/>
        <v>0</v>
      </c>
      <c r="X73" s="1681"/>
      <c r="Y73" s="1681">
        <f t="shared" si="20"/>
        <v>0</v>
      </c>
      <c r="Z73" s="1681"/>
      <c r="AB73" s="1682"/>
      <c r="AC73" s="1682"/>
      <c r="AE73" s="1683"/>
      <c r="AF73" s="1683"/>
      <c r="AG73" s="1683"/>
      <c r="AH73" s="1683"/>
      <c r="AI73" s="1683"/>
      <c r="AJ73" s="1683"/>
      <c r="AK73" s="1683"/>
      <c r="AL73" s="1683"/>
      <c r="AM73" s="1683"/>
      <c r="AN73" s="1683"/>
      <c r="AO73" s="1683"/>
      <c r="AP73" s="1683"/>
      <c r="AQ73" s="1683"/>
      <c r="AR73" s="1683"/>
      <c r="AS73" s="1683"/>
      <c r="AT73" s="1683"/>
      <c r="AU73" s="1683"/>
      <c r="AV73" s="1683"/>
      <c r="AW73" s="1683"/>
      <c r="AX73" s="1683"/>
      <c r="AY73" s="1683"/>
      <c r="AZ73" s="1683"/>
      <c r="BA73" s="1683"/>
      <c r="BB73" s="1683"/>
    </row>
    <row r="74" spans="1:54">
      <c r="A74" s="326">
        <f t="shared" si="16"/>
        <v>35642</v>
      </c>
      <c r="B74" s="1678">
        <v>98.3</v>
      </c>
      <c r="C74" s="1679">
        <f t="shared" si="17"/>
        <v>0.983</v>
      </c>
      <c r="D74" s="1679">
        <f>PRODUCT(C$4:C74)</f>
        <v>3.13164451240818</v>
      </c>
      <c r="F74" s="1678">
        <v>100</v>
      </c>
      <c r="G74" s="1679">
        <f t="shared" si="18"/>
        <v>1</v>
      </c>
      <c r="H74" s="1679">
        <f>PRODUCT(G$4:G74)</f>
        <v>1</v>
      </c>
      <c r="J74" s="1680">
        <v>0</v>
      </c>
      <c r="K74" s="1680">
        <v>0</v>
      </c>
      <c r="L74" s="1680">
        <v>0</v>
      </c>
      <c r="N74" s="1681"/>
      <c r="O74" s="1681"/>
      <c r="P74" s="1681"/>
      <c r="Q74" s="1681"/>
      <c r="R74" s="1681"/>
      <c r="T74" s="1681"/>
      <c r="U74" s="1681"/>
      <c r="W74" s="1681">
        <f t="shared" si="19"/>
        <v>0</v>
      </c>
      <c r="X74" s="1681"/>
      <c r="Y74" s="1681">
        <f t="shared" si="20"/>
        <v>0</v>
      </c>
      <c r="Z74" s="1681"/>
      <c r="AB74" s="1682"/>
      <c r="AC74" s="1682"/>
      <c r="AE74" s="1683"/>
      <c r="AF74" s="1683"/>
      <c r="AG74" s="1683"/>
      <c r="AH74" s="1683"/>
      <c r="AI74" s="1683"/>
      <c r="AJ74" s="1683"/>
      <c r="AK74" s="1683"/>
      <c r="AL74" s="1683"/>
      <c r="AM74" s="1683"/>
      <c r="AN74" s="1683"/>
      <c r="AO74" s="1683"/>
      <c r="AP74" s="1683"/>
      <c r="AQ74" s="1683"/>
      <c r="AR74" s="1683"/>
      <c r="AS74" s="1683"/>
      <c r="AT74" s="1683"/>
      <c r="AU74" s="1683"/>
      <c r="AV74" s="1683"/>
      <c r="AW74" s="1683"/>
      <c r="AX74" s="1683"/>
      <c r="AY74" s="1683"/>
      <c r="AZ74" s="1683"/>
      <c r="BA74" s="1683"/>
      <c r="BB74" s="1683"/>
    </row>
    <row r="75" spans="1:54">
      <c r="A75" s="326">
        <f t="shared" si="16"/>
        <v>35673</v>
      </c>
      <c r="B75" s="1678">
        <v>100.9</v>
      </c>
      <c r="C75" s="1679">
        <f t="shared" si="17"/>
        <v>1.009</v>
      </c>
      <c r="D75" s="1679">
        <f>PRODUCT(C$4:C75)</f>
        <v>3.15982931301986</v>
      </c>
      <c r="F75" s="1678">
        <v>100</v>
      </c>
      <c r="G75" s="1679">
        <f t="shared" si="18"/>
        <v>1</v>
      </c>
      <c r="H75" s="1679">
        <f>PRODUCT(G$4:G75)</f>
        <v>1</v>
      </c>
      <c r="J75" s="1680">
        <v>0</v>
      </c>
      <c r="K75" s="1680">
        <v>0</v>
      </c>
      <c r="L75" s="1680">
        <v>0</v>
      </c>
      <c r="N75" s="1681"/>
      <c r="O75" s="1681"/>
      <c r="P75" s="1681"/>
      <c r="Q75" s="1681"/>
      <c r="R75" s="1681"/>
      <c r="T75" s="1681"/>
      <c r="U75" s="1681"/>
      <c r="W75" s="1681">
        <f t="shared" si="19"/>
        <v>0</v>
      </c>
      <c r="X75" s="1681"/>
      <c r="Y75" s="1681">
        <f t="shared" si="20"/>
        <v>0</v>
      </c>
      <c r="Z75" s="1681"/>
      <c r="AB75" s="1682"/>
      <c r="AC75" s="1682"/>
      <c r="AE75" s="1683"/>
      <c r="AF75" s="1683"/>
      <c r="AG75" s="1683"/>
      <c r="AH75" s="1683"/>
      <c r="AI75" s="1683"/>
      <c r="AJ75" s="1683"/>
      <c r="AK75" s="1683"/>
      <c r="AL75" s="1683"/>
      <c r="AM75" s="1683"/>
      <c r="AN75" s="1683"/>
      <c r="AO75" s="1683"/>
      <c r="AP75" s="1683"/>
      <c r="AQ75" s="1683"/>
      <c r="AR75" s="1683"/>
      <c r="AS75" s="1683"/>
      <c r="AT75" s="1683"/>
      <c r="AU75" s="1683"/>
      <c r="AV75" s="1683"/>
      <c r="AW75" s="1683"/>
      <c r="AX75" s="1683"/>
      <c r="AY75" s="1683"/>
      <c r="AZ75" s="1683"/>
      <c r="BA75" s="1683"/>
      <c r="BB75" s="1683"/>
    </row>
    <row r="76" spans="1:54">
      <c r="A76" s="326">
        <f t="shared" si="16"/>
        <v>35703</v>
      </c>
      <c r="B76" s="1678">
        <v>99.5</v>
      </c>
      <c r="C76" s="1679">
        <f t="shared" si="17"/>
        <v>0.995</v>
      </c>
      <c r="D76" s="1679">
        <f>PRODUCT(C$4:C76)</f>
        <v>3.14403016645476</v>
      </c>
      <c r="F76" s="1678">
        <v>100</v>
      </c>
      <c r="G76" s="1679">
        <f t="shared" si="18"/>
        <v>1</v>
      </c>
      <c r="H76" s="1679">
        <f>PRODUCT(G$4:G76)</f>
        <v>1</v>
      </c>
      <c r="J76" s="1680">
        <v>0</v>
      </c>
      <c r="K76" s="1680">
        <v>0</v>
      </c>
      <c r="L76" s="1680">
        <v>0</v>
      </c>
      <c r="N76" s="1681"/>
      <c r="O76" s="1681"/>
      <c r="P76" s="1681"/>
      <c r="Q76" s="1681"/>
      <c r="R76" s="1681"/>
      <c r="T76" s="1681"/>
      <c r="U76" s="1681"/>
      <c r="W76" s="1681">
        <f t="shared" si="19"/>
        <v>0</v>
      </c>
      <c r="X76" s="1681"/>
      <c r="Y76" s="1681">
        <f t="shared" si="20"/>
        <v>0</v>
      </c>
      <c r="Z76" s="1681"/>
      <c r="AB76" s="1682"/>
      <c r="AC76" s="1682"/>
      <c r="AE76" s="1683"/>
      <c r="AF76" s="1683"/>
      <c r="AG76" s="1683"/>
      <c r="AH76" s="1683"/>
      <c r="AI76" s="1683"/>
      <c r="AJ76" s="1683"/>
      <c r="AK76" s="1683"/>
      <c r="AL76" s="1683"/>
      <c r="AM76" s="1683"/>
      <c r="AN76" s="1683"/>
      <c r="AO76" s="1683"/>
      <c r="AP76" s="1683"/>
      <c r="AQ76" s="1683"/>
      <c r="AR76" s="1683"/>
      <c r="AS76" s="1683"/>
      <c r="AT76" s="1683"/>
      <c r="AU76" s="1683"/>
      <c r="AV76" s="1683"/>
      <c r="AW76" s="1683"/>
      <c r="AX76" s="1683"/>
      <c r="AY76" s="1683"/>
      <c r="AZ76" s="1683"/>
      <c r="BA76" s="1683"/>
      <c r="BB76" s="1683"/>
    </row>
    <row r="77" spans="1:54">
      <c r="A77" s="326">
        <f t="shared" si="16"/>
        <v>35734</v>
      </c>
      <c r="B77" s="1678">
        <v>101.5</v>
      </c>
      <c r="C77" s="1679">
        <f t="shared" si="17"/>
        <v>1.015</v>
      </c>
      <c r="D77" s="1679">
        <f>PRODUCT(C$4:C77)</f>
        <v>3.19119061895158</v>
      </c>
      <c r="F77" s="1678">
        <v>100</v>
      </c>
      <c r="G77" s="1679">
        <f t="shared" si="18"/>
        <v>1</v>
      </c>
      <c r="H77" s="1679">
        <f>PRODUCT(G$4:G77)</f>
        <v>1</v>
      </c>
      <c r="J77" s="1680">
        <v>0</v>
      </c>
      <c r="K77" s="1680">
        <v>0</v>
      </c>
      <c r="L77" s="1680">
        <v>0</v>
      </c>
      <c r="N77" s="1681"/>
      <c r="O77" s="1681"/>
      <c r="P77" s="1681"/>
      <c r="Q77" s="1681"/>
      <c r="R77" s="1681"/>
      <c r="T77" s="1681"/>
      <c r="U77" s="1681"/>
      <c r="W77" s="1681">
        <f t="shared" si="19"/>
        <v>0</v>
      </c>
      <c r="X77" s="1681"/>
      <c r="Y77" s="1681">
        <f t="shared" si="20"/>
        <v>0</v>
      </c>
      <c r="Z77" s="1681"/>
      <c r="AB77" s="1682"/>
      <c r="AC77" s="1682"/>
      <c r="AE77" s="1683"/>
      <c r="AF77" s="1683"/>
      <c r="AG77" s="1683"/>
      <c r="AH77" s="1683"/>
      <c r="AI77" s="1683"/>
      <c r="AJ77" s="1683"/>
      <c r="AK77" s="1683"/>
      <c r="AL77" s="1683"/>
      <c r="AM77" s="1683"/>
      <c r="AN77" s="1683"/>
      <c r="AO77" s="1683"/>
      <c r="AP77" s="1683"/>
      <c r="AQ77" s="1683"/>
      <c r="AR77" s="1683"/>
      <c r="AS77" s="1683"/>
      <c r="AT77" s="1683"/>
      <c r="AU77" s="1683"/>
      <c r="AV77" s="1683"/>
      <c r="AW77" s="1683"/>
      <c r="AX77" s="1683"/>
      <c r="AY77" s="1683"/>
      <c r="AZ77" s="1683"/>
      <c r="BA77" s="1683"/>
      <c r="BB77" s="1683"/>
    </row>
    <row r="78" spans="1:54">
      <c r="A78" s="326">
        <f t="shared" si="16"/>
        <v>35764</v>
      </c>
      <c r="B78" s="1678">
        <v>100.2</v>
      </c>
      <c r="C78" s="1679">
        <f t="shared" si="17"/>
        <v>1.002</v>
      </c>
      <c r="D78" s="1679">
        <f>PRODUCT(C$4:C78)</f>
        <v>3.19757300018948</v>
      </c>
      <c r="F78" s="1678">
        <v>100</v>
      </c>
      <c r="G78" s="1679">
        <f t="shared" si="18"/>
        <v>1</v>
      </c>
      <c r="H78" s="1679">
        <f>PRODUCT(G$4:G78)</f>
        <v>1</v>
      </c>
      <c r="J78" s="1680">
        <v>0</v>
      </c>
      <c r="K78" s="1680">
        <v>0</v>
      </c>
      <c r="L78" s="1680">
        <v>0</v>
      </c>
      <c r="N78" s="1681"/>
      <c r="O78" s="1681"/>
      <c r="P78" s="1681"/>
      <c r="Q78" s="1681"/>
      <c r="R78" s="1681"/>
      <c r="T78" s="1681"/>
      <c r="U78" s="1681"/>
      <c r="W78" s="1681">
        <f t="shared" si="19"/>
        <v>0</v>
      </c>
      <c r="X78" s="1681"/>
      <c r="Y78" s="1681">
        <f t="shared" si="20"/>
        <v>0</v>
      </c>
      <c r="Z78" s="1681"/>
      <c r="AB78" s="1682"/>
      <c r="AC78" s="1682"/>
      <c r="AE78" s="1683"/>
      <c r="AF78" s="1683"/>
      <c r="AG78" s="1683"/>
      <c r="AH78" s="1683"/>
      <c r="AI78" s="1683"/>
      <c r="AJ78" s="1683"/>
      <c r="AK78" s="1683"/>
      <c r="AL78" s="1683"/>
      <c r="AM78" s="1683"/>
      <c r="AN78" s="1683"/>
      <c r="AO78" s="1683"/>
      <c r="AP78" s="1683"/>
      <c r="AQ78" s="1683"/>
      <c r="AR78" s="1683"/>
      <c r="AS78" s="1683"/>
      <c r="AT78" s="1683"/>
      <c r="AU78" s="1683"/>
      <c r="AV78" s="1683"/>
      <c r="AW78" s="1683"/>
      <c r="AX78" s="1683"/>
      <c r="AY78" s="1683"/>
      <c r="AZ78" s="1683"/>
      <c r="BA78" s="1683"/>
      <c r="BB78" s="1683"/>
    </row>
    <row r="79" spans="1:54">
      <c r="A79" s="326">
        <f t="shared" si="16"/>
        <v>35795</v>
      </c>
      <c r="B79" s="1678">
        <v>97.1</v>
      </c>
      <c r="C79" s="1679">
        <f t="shared" si="17"/>
        <v>0.971</v>
      </c>
      <c r="D79" s="1679">
        <f>PRODUCT(C$4:C79)</f>
        <v>3.10484338318399</v>
      </c>
      <c r="F79" s="1678">
        <v>100</v>
      </c>
      <c r="G79" s="1679">
        <f t="shared" si="18"/>
        <v>1</v>
      </c>
      <c r="H79" s="1679">
        <f>PRODUCT(G$4:G79)</f>
        <v>1</v>
      </c>
      <c r="J79" s="1680">
        <v>0</v>
      </c>
      <c r="K79" s="1680">
        <v>0</v>
      </c>
      <c r="L79" s="1680">
        <v>0</v>
      </c>
      <c r="N79" s="1681"/>
      <c r="O79" s="1681"/>
      <c r="P79" s="1681"/>
      <c r="Q79" s="1681"/>
      <c r="R79" s="1681"/>
      <c r="T79" s="1681"/>
      <c r="U79" s="1681"/>
      <c r="W79" s="1681">
        <f t="shared" si="19"/>
        <v>0</v>
      </c>
      <c r="X79" s="1681"/>
      <c r="Y79" s="1681">
        <f t="shared" si="20"/>
        <v>0</v>
      </c>
      <c r="Z79" s="1681"/>
      <c r="AB79" s="1682"/>
      <c r="AC79" s="1682"/>
      <c r="AE79" s="1683"/>
      <c r="AF79" s="1683"/>
      <c r="AG79" s="1683"/>
      <c r="AH79" s="1683"/>
      <c r="AI79" s="1683"/>
      <c r="AJ79" s="1683"/>
      <c r="AK79" s="1683"/>
      <c r="AL79" s="1683"/>
      <c r="AM79" s="1683"/>
      <c r="AN79" s="1683"/>
      <c r="AO79" s="1683"/>
      <c r="AP79" s="1683"/>
      <c r="AQ79" s="1683"/>
      <c r="AR79" s="1683"/>
      <c r="AS79" s="1683"/>
      <c r="AT79" s="1683"/>
      <c r="AU79" s="1683"/>
      <c r="AV79" s="1683"/>
      <c r="AW79" s="1683"/>
      <c r="AX79" s="1683"/>
      <c r="AY79" s="1683"/>
      <c r="AZ79" s="1683"/>
      <c r="BA79" s="1683"/>
      <c r="BB79" s="1683"/>
    </row>
    <row r="80" spans="1:54">
      <c r="A80" s="326">
        <f t="shared" si="16"/>
        <v>35826</v>
      </c>
      <c r="B80" s="1678">
        <v>99.6</v>
      </c>
      <c r="C80" s="1679">
        <f t="shared" si="17"/>
        <v>0.996</v>
      </c>
      <c r="D80" s="1679">
        <f>PRODUCT(C$4:C80)</f>
        <v>3.09242400965125</v>
      </c>
      <c r="F80" s="1678">
        <v>100</v>
      </c>
      <c r="G80" s="1679">
        <f t="shared" si="18"/>
        <v>1</v>
      </c>
      <c r="H80" s="1679">
        <f>PRODUCT(G$4:G80)</f>
        <v>1</v>
      </c>
      <c r="J80" s="1680">
        <v>0</v>
      </c>
      <c r="K80" s="1680">
        <v>0</v>
      </c>
      <c r="L80" s="1680">
        <v>0</v>
      </c>
      <c r="N80" s="1681"/>
      <c r="O80" s="1681"/>
      <c r="P80" s="1681"/>
      <c r="Q80" s="1681"/>
      <c r="R80" s="1681"/>
      <c r="T80" s="1681"/>
      <c r="U80" s="1681"/>
      <c r="W80" s="1681">
        <f t="shared" si="19"/>
        <v>0</v>
      </c>
      <c r="X80" s="1681"/>
      <c r="Y80" s="1681">
        <f t="shared" si="20"/>
        <v>0</v>
      </c>
      <c r="Z80" s="1681"/>
      <c r="AB80" s="1682"/>
      <c r="AC80" s="1682"/>
      <c r="AE80" s="1683"/>
      <c r="AF80" s="1683"/>
      <c r="AG80" s="1683"/>
      <c r="AH80" s="1683"/>
      <c r="AI80" s="1683"/>
      <c r="AJ80" s="1683"/>
      <c r="AK80" s="1683"/>
      <c r="AL80" s="1683"/>
      <c r="AM80" s="1683"/>
      <c r="AN80" s="1683"/>
      <c r="AO80" s="1683"/>
      <c r="AP80" s="1683"/>
      <c r="AQ80" s="1683"/>
      <c r="AR80" s="1683"/>
      <c r="AS80" s="1683"/>
      <c r="AT80" s="1683"/>
      <c r="AU80" s="1683"/>
      <c r="AV80" s="1683"/>
      <c r="AW80" s="1683"/>
      <c r="AX80" s="1683"/>
      <c r="AY80" s="1683"/>
      <c r="AZ80" s="1683"/>
      <c r="BA80" s="1683"/>
      <c r="BB80" s="1683"/>
    </row>
    <row r="81" spans="1:54">
      <c r="A81" s="326">
        <f t="shared" si="16"/>
        <v>35854</v>
      </c>
      <c r="B81" s="1678">
        <v>99.3</v>
      </c>
      <c r="C81" s="1679">
        <f t="shared" si="17"/>
        <v>0.993</v>
      </c>
      <c r="D81" s="1679">
        <f>PRODUCT(C$4:C81)</f>
        <v>3.07077704158369</v>
      </c>
      <c r="F81" s="1678">
        <v>100</v>
      </c>
      <c r="G81" s="1679">
        <f t="shared" si="18"/>
        <v>1</v>
      </c>
      <c r="H81" s="1679">
        <f>PRODUCT(G$4:G81)</f>
        <v>1</v>
      </c>
      <c r="J81" s="1680">
        <v>0</v>
      </c>
      <c r="K81" s="1680">
        <v>0</v>
      </c>
      <c r="L81" s="1680">
        <v>0</v>
      </c>
      <c r="N81" s="1681"/>
      <c r="O81" s="1681"/>
      <c r="P81" s="1681"/>
      <c r="Q81" s="1681"/>
      <c r="R81" s="1681"/>
      <c r="T81" s="1681"/>
      <c r="U81" s="1681"/>
      <c r="W81" s="1681">
        <f t="shared" si="19"/>
        <v>0</v>
      </c>
      <c r="X81" s="1681"/>
      <c r="Y81" s="1681">
        <f t="shared" si="20"/>
        <v>0</v>
      </c>
      <c r="Z81" s="1681"/>
      <c r="AB81" s="1682"/>
      <c r="AC81" s="1682"/>
      <c r="AE81" s="1683"/>
      <c r="AF81" s="1683"/>
      <c r="AG81" s="1683"/>
      <c r="AH81" s="1683"/>
      <c r="AI81" s="1683"/>
      <c r="AJ81" s="1683"/>
      <c r="AK81" s="1683"/>
      <c r="AL81" s="1683"/>
      <c r="AM81" s="1683"/>
      <c r="AN81" s="1683"/>
      <c r="AO81" s="1683"/>
      <c r="AP81" s="1683"/>
      <c r="AQ81" s="1683"/>
      <c r="AR81" s="1683"/>
      <c r="AS81" s="1683"/>
      <c r="AT81" s="1683"/>
      <c r="AU81" s="1683"/>
      <c r="AV81" s="1683"/>
      <c r="AW81" s="1683"/>
      <c r="AX81" s="1683"/>
      <c r="AY81" s="1683"/>
      <c r="AZ81" s="1683"/>
      <c r="BA81" s="1683"/>
      <c r="BB81" s="1683"/>
    </row>
    <row r="82" spans="1:54">
      <c r="A82" s="326">
        <f t="shared" si="16"/>
        <v>35885</v>
      </c>
      <c r="B82" s="1678">
        <v>98.6</v>
      </c>
      <c r="C82" s="1679">
        <f t="shared" si="17"/>
        <v>0.986</v>
      </c>
      <c r="D82" s="1679">
        <f>PRODUCT(C$4:C82)</f>
        <v>3.02778616300152</v>
      </c>
      <c r="F82" s="1678">
        <v>100</v>
      </c>
      <c r="G82" s="1679">
        <f t="shared" si="18"/>
        <v>1</v>
      </c>
      <c r="H82" s="1679">
        <f>PRODUCT(G$4:G82)</f>
        <v>1</v>
      </c>
      <c r="J82" s="1680">
        <v>0</v>
      </c>
      <c r="K82" s="1680">
        <v>0</v>
      </c>
      <c r="L82" s="1680">
        <v>0</v>
      </c>
      <c r="N82" s="1681"/>
      <c r="O82" s="1681"/>
      <c r="P82" s="1681"/>
      <c r="Q82" s="1681"/>
      <c r="R82" s="1681"/>
      <c r="T82" s="1681"/>
      <c r="U82" s="1681"/>
      <c r="W82" s="1681">
        <f t="shared" si="19"/>
        <v>0</v>
      </c>
      <c r="X82" s="1681"/>
      <c r="Y82" s="1681">
        <f t="shared" si="20"/>
        <v>0</v>
      </c>
      <c r="Z82" s="1681"/>
      <c r="AB82" s="1682"/>
      <c r="AC82" s="1682"/>
      <c r="AE82" s="1683"/>
      <c r="AF82" s="1683"/>
      <c r="AG82" s="1683"/>
      <c r="AH82" s="1683"/>
      <c r="AI82" s="1683"/>
      <c r="AJ82" s="1683"/>
      <c r="AK82" s="1683"/>
      <c r="AL82" s="1683"/>
      <c r="AM82" s="1683"/>
      <c r="AN82" s="1683"/>
      <c r="AO82" s="1683"/>
      <c r="AP82" s="1683"/>
      <c r="AQ82" s="1683"/>
      <c r="AR82" s="1683"/>
      <c r="AS82" s="1683"/>
      <c r="AT82" s="1683"/>
      <c r="AU82" s="1683"/>
      <c r="AV82" s="1683"/>
      <c r="AW82" s="1683"/>
      <c r="AX82" s="1683"/>
      <c r="AY82" s="1683"/>
      <c r="AZ82" s="1683"/>
      <c r="BA82" s="1683"/>
      <c r="BB82" s="1683"/>
    </row>
    <row r="83" spans="1:54">
      <c r="A83" s="326">
        <f t="shared" si="16"/>
        <v>35915</v>
      </c>
      <c r="B83" s="1678">
        <v>98.8</v>
      </c>
      <c r="C83" s="1679">
        <f t="shared" si="17"/>
        <v>0.988</v>
      </c>
      <c r="D83" s="1679">
        <f>PRODUCT(C$4:C83)</f>
        <v>2.9914527290455</v>
      </c>
      <c r="F83" s="1678">
        <v>100</v>
      </c>
      <c r="G83" s="1679">
        <f t="shared" si="18"/>
        <v>1</v>
      </c>
      <c r="H83" s="1679">
        <f>PRODUCT(G$4:G83)</f>
        <v>1</v>
      </c>
      <c r="J83" s="1680">
        <v>0</v>
      </c>
      <c r="K83" s="1680">
        <v>0</v>
      </c>
      <c r="L83" s="1680">
        <v>0</v>
      </c>
      <c r="N83" s="1681"/>
      <c r="O83" s="1681"/>
      <c r="P83" s="1681"/>
      <c r="Q83" s="1681"/>
      <c r="R83" s="1681"/>
      <c r="T83" s="1681"/>
      <c r="U83" s="1681"/>
      <c r="W83" s="1681">
        <f t="shared" si="19"/>
        <v>0</v>
      </c>
      <c r="X83" s="1681"/>
      <c r="Y83" s="1681">
        <f t="shared" si="20"/>
        <v>0</v>
      </c>
      <c r="Z83" s="1681"/>
      <c r="AB83" s="1682"/>
      <c r="AC83" s="1682"/>
      <c r="AE83" s="1683"/>
      <c r="AF83" s="1683"/>
      <c r="AG83" s="1683"/>
      <c r="AH83" s="1683"/>
      <c r="AI83" s="1683"/>
      <c r="AJ83" s="1683"/>
      <c r="AK83" s="1683"/>
      <c r="AL83" s="1683"/>
      <c r="AM83" s="1683"/>
      <c r="AN83" s="1683"/>
      <c r="AO83" s="1683"/>
      <c r="AP83" s="1683"/>
      <c r="AQ83" s="1683"/>
      <c r="AR83" s="1683"/>
      <c r="AS83" s="1683"/>
      <c r="AT83" s="1683"/>
      <c r="AU83" s="1683"/>
      <c r="AV83" s="1683"/>
      <c r="AW83" s="1683"/>
      <c r="AX83" s="1683"/>
      <c r="AY83" s="1683"/>
      <c r="AZ83" s="1683"/>
      <c r="BA83" s="1683"/>
      <c r="BB83" s="1683"/>
    </row>
    <row r="84" spans="1:54">
      <c r="A84" s="326">
        <f t="shared" si="16"/>
        <v>35946</v>
      </c>
      <c r="B84" s="1678">
        <v>100.1</v>
      </c>
      <c r="C84" s="1679">
        <f t="shared" si="17"/>
        <v>1.001</v>
      </c>
      <c r="D84" s="1679">
        <f>PRODUCT(C$4:C84)</f>
        <v>2.99444418177455</v>
      </c>
      <c r="F84" s="1678">
        <v>100</v>
      </c>
      <c r="G84" s="1679">
        <f t="shared" si="18"/>
        <v>1</v>
      </c>
      <c r="H84" s="1679">
        <f>PRODUCT(G$4:G84)</f>
        <v>1</v>
      </c>
      <c r="J84" s="1680">
        <v>0</v>
      </c>
      <c r="K84" s="1680">
        <v>0</v>
      </c>
      <c r="L84" s="1680">
        <v>0</v>
      </c>
      <c r="N84" s="1681"/>
      <c r="O84" s="1681"/>
      <c r="P84" s="1681"/>
      <c r="Q84" s="1681"/>
      <c r="R84" s="1681"/>
      <c r="T84" s="1681"/>
      <c r="U84" s="1681"/>
      <c r="W84" s="1681">
        <f t="shared" si="19"/>
        <v>0</v>
      </c>
      <c r="X84" s="1681"/>
      <c r="Y84" s="1681">
        <f t="shared" si="20"/>
        <v>0</v>
      </c>
      <c r="Z84" s="1681"/>
      <c r="AB84" s="1682"/>
      <c r="AC84" s="1682"/>
      <c r="AE84" s="1683"/>
      <c r="AF84" s="1683"/>
      <c r="AG84" s="1683"/>
      <c r="AH84" s="1683"/>
      <c r="AI84" s="1683"/>
      <c r="AJ84" s="1683"/>
      <c r="AK84" s="1683"/>
      <c r="AL84" s="1683"/>
      <c r="AM84" s="1683"/>
      <c r="AN84" s="1683"/>
      <c r="AO84" s="1683"/>
      <c r="AP84" s="1683"/>
      <c r="AQ84" s="1683"/>
      <c r="AR84" s="1683"/>
      <c r="AS84" s="1683"/>
      <c r="AT84" s="1683"/>
      <c r="AU84" s="1683"/>
      <c r="AV84" s="1683"/>
      <c r="AW84" s="1683"/>
      <c r="AX84" s="1683"/>
      <c r="AY84" s="1683"/>
      <c r="AZ84" s="1683"/>
      <c r="BA84" s="1683"/>
      <c r="BB84" s="1683"/>
    </row>
    <row r="85" spans="1:54">
      <c r="A85" s="326">
        <f t="shared" si="16"/>
        <v>35976</v>
      </c>
      <c r="B85" s="1678">
        <v>100.5</v>
      </c>
      <c r="C85" s="1679">
        <f t="shared" si="17"/>
        <v>1.005</v>
      </c>
      <c r="D85" s="1679">
        <f>PRODUCT(C$4:C85)</f>
        <v>3.00941640268342</v>
      </c>
      <c r="F85" s="1678">
        <v>100</v>
      </c>
      <c r="G85" s="1679">
        <f t="shared" si="18"/>
        <v>1</v>
      </c>
      <c r="H85" s="1679">
        <f>PRODUCT(G$4:G85)</f>
        <v>1</v>
      </c>
      <c r="J85" s="1680">
        <v>0</v>
      </c>
      <c r="K85" s="1680">
        <v>0</v>
      </c>
      <c r="L85" s="1680">
        <v>0</v>
      </c>
      <c r="N85" s="1681"/>
      <c r="O85" s="1681"/>
      <c r="P85" s="1681"/>
      <c r="Q85" s="1681"/>
      <c r="R85" s="1681"/>
      <c r="T85" s="1681"/>
      <c r="U85" s="1681"/>
      <c r="W85" s="1681">
        <f t="shared" si="19"/>
        <v>0</v>
      </c>
      <c r="X85" s="1681"/>
      <c r="Y85" s="1681">
        <f t="shared" si="20"/>
        <v>0</v>
      </c>
      <c r="Z85" s="1681"/>
      <c r="AB85" s="1682"/>
      <c r="AC85" s="1682"/>
      <c r="AE85" s="1683"/>
      <c r="AF85" s="1683"/>
      <c r="AG85" s="1683"/>
      <c r="AH85" s="1683"/>
      <c r="AI85" s="1683"/>
      <c r="AJ85" s="1683"/>
      <c r="AK85" s="1683"/>
      <c r="AL85" s="1683"/>
      <c r="AM85" s="1683"/>
      <c r="AN85" s="1683"/>
      <c r="AO85" s="1683"/>
      <c r="AP85" s="1683"/>
      <c r="AQ85" s="1683"/>
      <c r="AR85" s="1683"/>
      <c r="AS85" s="1683"/>
      <c r="AT85" s="1683"/>
      <c r="AU85" s="1683"/>
      <c r="AV85" s="1683"/>
      <c r="AW85" s="1683"/>
      <c r="AX85" s="1683"/>
      <c r="AY85" s="1683"/>
      <c r="AZ85" s="1683"/>
      <c r="BA85" s="1683"/>
      <c r="BB85" s="1683"/>
    </row>
    <row r="86" spans="1:54">
      <c r="A86" s="326">
        <f t="shared" ref="A86:A149" si="21">DATE(IF(MONTH(A85)=12,YEAR(A85)+1,YEAR(A85)),MONTH(A85+1)+1,1)-1</f>
        <v>36007</v>
      </c>
      <c r="B86" s="1678">
        <v>98.2</v>
      </c>
      <c r="C86" s="1679">
        <f t="shared" si="17"/>
        <v>0.982</v>
      </c>
      <c r="D86" s="1679">
        <f>PRODUCT(C$4:C86)</f>
        <v>2.95524690743512</v>
      </c>
      <c r="F86" s="1678">
        <v>100</v>
      </c>
      <c r="G86" s="1679">
        <f t="shared" si="18"/>
        <v>1</v>
      </c>
      <c r="H86" s="1679">
        <f>PRODUCT(G$4:G86)</f>
        <v>1</v>
      </c>
      <c r="J86" s="1680">
        <v>0</v>
      </c>
      <c r="K86" s="1680">
        <v>0</v>
      </c>
      <c r="L86" s="1680">
        <v>0</v>
      </c>
      <c r="N86" s="1681"/>
      <c r="O86" s="1681"/>
      <c r="P86" s="1681"/>
      <c r="Q86" s="1681"/>
      <c r="R86" s="1681"/>
      <c r="T86" s="1681"/>
      <c r="U86" s="1681"/>
      <c r="W86" s="1681">
        <f t="shared" si="19"/>
        <v>0</v>
      </c>
      <c r="X86" s="1681"/>
      <c r="Y86" s="1681">
        <f t="shared" si="20"/>
        <v>0</v>
      </c>
      <c r="Z86" s="1681"/>
      <c r="AB86" s="1682"/>
      <c r="AC86" s="1682"/>
      <c r="AE86" s="1683"/>
      <c r="AF86" s="1683"/>
      <c r="AG86" s="1683"/>
      <c r="AH86" s="1683"/>
      <c r="AI86" s="1683"/>
      <c r="AJ86" s="1683"/>
      <c r="AK86" s="1683"/>
      <c r="AL86" s="1683"/>
      <c r="AM86" s="1683"/>
      <c r="AN86" s="1683"/>
      <c r="AO86" s="1683"/>
      <c r="AP86" s="1683"/>
      <c r="AQ86" s="1683"/>
      <c r="AR86" s="1683"/>
      <c r="AS86" s="1683"/>
      <c r="AT86" s="1683"/>
      <c r="AU86" s="1683"/>
      <c r="AV86" s="1683"/>
      <c r="AW86" s="1683"/>
      <c r="AX86" s="1683"/>
      <c r="AY86" s="1683"/>
      <c r="AZ86" s="1683"/>
      <c r="BA86" s="1683"/>
      <c r="BB86" s="1683"/>
    </row>
    <row r="87" spans="1:54">
      <c r="A87" s="326">
        <f t="shared" si="21"/>
        <v>36038</v>
      </c>
      <c r="B87" s="1678">
        <v>100.4</v>
      </c>
      <c r="C87" s="1679">
        <f t="shared" si="17"/>
        <v>1.004</v>
      </c>
      <c r="D87" s="1679">
        <f>PRODUCT(C$4:C87)</f>
        <v>2.96706789506486</v>
      </c>
      <c r="F87" s="1678">
        <v>100</v>
      </c>
      <c r="G87" s="1679">
        <f t="shared" si="18"/>
        <v>1</v>
      </c>
      <c r="H87" s="1679">
        <f>PRODUCT(G$4:G87)</f>
        <v>1</v>
      </c>
      <c r="J87" s="1680">
        <v>0</v>
      </c>
      <c r="K87" s="1680">
        <v>0</v>
      </c>
      <c r="L87" s="1680">
        <v>0</v>
      </c>
      <c r="N87" s="1681"/>
      <c r="O87" s="1681"/>
      <c r="P87" s="1681"/>
      <c r="Q87" s="1681"/>
      <c r="R87" s="1681"/>
      <c r="T87" s="1681"/>
      <c r="U87" s="1681"/>
      <c r="W87" s="1681">
        <f t="shared" si="19"/>
        <v>0</v>
      </c>
      <c r="X87" s="1681"/>
      <c r="Y87" s="1681">
        <f t="shared" si="20"/>
        <v>0</v>
      </c>
      <c r="Z87" s="1681"/>
      <c r="AB87" s="1682"/>
      <c r="AC87" s="1682"/>
      <c r="AE87" s="1683"/>
      <c r="AF87" s="1683"/>
      <c r="AG87" s="1683"/>
      <c r="AH87" s="1683"/>
      <c r="AI87" s="1683"/>
      <c r="AJ87" s="1683"/>
      <c r="AK87" s="1683"/>
      <c r="AL87" s="1683"/>
      <c r="AM87" s="1683"/>
      <c r="AN87" s="1683"/>
      <c r="AO87" s="1683"/>
      <c r="AP87" s="1683"/>
      <c r="AQ87" s="1683"/>
      <c r="AR87" s="1683"/>
      <c r="AS87" s="1683"/>
      <c r="AT87" s="1683"/>
      <c r="AU87" s="1683"/>
      <c r="AV87" s="1683"/>
      <c r="AW87" s="1683"/>
      <c r="AX87" s="1683"/>
      <c r="AY87" s="1683"/>
      <c r="AZ87" s="1683"/>
      <c r="BA87" s="1683"/>
      <c r="BB87" s="1683"/>
    </row>
    <row r="88" spans="1:54">
      <c r="A88" s="326">
        <f t="shared" si="21"/>
        <v>36068</v>
      </c>
      <c r="B88" s="1678">
        <v>100.9</v>
      </c>
      <c r="C88" s="1679">
        <f t="shared" si="17"/>
        <v>1.009</v>
      </c>
      <c r="D88" s="1679">
        <f>PRODUCT(C$4:C88)</f>
        <v>2.99377150612044</v>
      </c>
      <c r="F88" s="1678">
        <v>100</v>
      </c>
      <c r="G88" s="1679">
        <f t="shared" si="18"/>
        <v>1</v>
      </c>
      <c r="H88" s="1679">
        <f>PRODUCT(G$4:G88)</f>
        <v>1</v>
      </c>
      <c r="J88" s="1680">
        <v>0</v>
      </c>
      <c r="K88" s="1680">
        <v>0</v>
      </c>
      <c r="L88" s="1680">
        <v>0</v>
      </c>
      <c r="N88" s="1681"/>
      <c r="O88" s="1681"/>
      <c r="P88" s="1681"/>
      <c r="Q88" s="1681"/>
      <c r="R88" s="1681"/>
      <c r="T88" s="1681"/>
      <c r="U88" s="1681"/>
      <c r="W88" s="1681">
        <f t="shared" si="19"/>
        <v>0</v>
      </c>
      <c r="X88" s="1681"/>
      <c r="Y88" s="1681">
        <f t="shared" si="20"/>
        <v>0</v>
      </c>
      <c r="Z88" s="1681"/>
      <c r="AB88" s="1682"/>
      <c r="AC88" s="1682"/>
      <c r="AE88" s="1683"/>
      <c r="AF88" s="1683"/>
      <c r="AG88" s="1683"/>
      <c r="AH88" s="1683"/>
      <c r="AI88" s="1683"/>
      <c r="AJ88" s="1683"/>
      <c r="AK88" s="1683"/>
      <c r="AL88" s="1683"/>
      <c r="AM88" s="1683"/>
      <c r="AN88" s="1683"/>
      <c r="AO88" s="1683"/>
      <c r="AP88" s="1683"/>
      <c r="AQ88" s="1683"/>
      <c r="AR88" s="1683"/>
      <c r="AS88" s="1683"/>
      <c r="AT88" s="1683"/>
      <c r="AU88" s="1683"/>
      <c r="AV88" s="1683"/>
      <c r="AW88" s="1683"/>
      <c r="AX88" s="1683"/>
      <c r="AY88" s="1683"/>
      <c r="AZ88" s="1683"/>
      <c r="BA88" s="1683"/>
      <c r="BB88" s="1683"/>
    </row>
    <row r="89" spans="1:54">
      <c r="A89" s="326">
        <f t="shared" si="21"/>
        <v>36099</v>
      </c>
      <c r="B89" s="1678">
        <v>99.9</v>
      </c>
      <c r="C89" s="1679">
        <f t="shared" si="17"/>
        <v>0.999</v>
      </c>
      <c r="D89" s="1679">
        <f>PRODUCT(C$4:C89)</f>
        <v>2.99077773461432</v>
      </c>
      <c r="F89" s="1678">
        <v>100</v>
      </c>
      <c r="G89" s="1679">
        <f t="shared" si="18"/>
        <v>1</v>
      </c>
      <c r="H89" s="1679">
        <f>PRODUCT(G$4:G89)</f>
        <v>1</v>
      </c>
      <c r="J89" s="1680">
        <v>0</v>
      </c>
      <c r="K89" s="1680">
        <v>0</v>
      </c>
      <c r="L89" s="1680">
        <v>0</v>
      </c>
      <c r="N89" s="1681"/>
      <c r="O89" s="1681"/>
      <c r="P89" s="1681"/>
      <c r="Q89" s="1681"/>
      <c r="R89" s="1681"/>
      <c r="T89" s="1681"/>
      <c r="U89" s="1681"/>
      <c r="W89" s="1681">
        <f t="shared" si="19"/>
        <v>0</v>
      </c>
      <c r="X89" s="1681"/>
      <c r="Y89" s="1681">
        <f t="shared" si="20"/>
        <v>0</v>
      </c>
      <c r="Z89" s="1681"/>
      <c r="AB89" s="1682"/>
      <c r="AC89" s="1682"/>
      <c r="AE89" s="1683"/>
      <c r="AF89" s="1683"/>
      <c r="AG89" s="1683"/>
      <c r="AH89" s="1683"/>
      <c r="AI89" s="1683"/>
      <c r="AJ89" s="1683"/>
      <c r="AK89" s="1683"/>
      <c r="AL89" s="1683"/>
      <c r="AM89" s="1683"/>
      <c r="AN89" s="1683"/>
      <c r="AO89" s="1683"/>
      <c r="AP89" s="1683"/>
      <c r="AQ89" s="1683"/>
      <c r="AR89" s="1683"/>
      <c r="AS89" s="1683"/>
      <c r="AT89" s="1683"/>
      <c r="AU89" s="1683"/>
      <c r="AV89" s="1683"/>
      <c r="AW89" s="1683"/>
      <c r="AX89" s="1683"/>
      <c r="AY89" s="1683"/>
      <c r="AZ89" s="1683"/>
      <c r="BA89" s="1683"/>
      <c r="BB89" s="1683"/>
    </row>
    <row r="90" spans="1:54">
      <c r="A90" s="326">
        <f t="shared" si="21"/>
        <v>36129</v>
      </c>
      <c r="B90" s="1678">
        <v>100.5</v>
      </c>
      <c r="C90" s="1679">
        <f t="shared" si="17"/>
        <v>1.005</v>
      </c>
      <c r="D90" s="1679">
        <f>PRODUCT(C$4:C90)</f>
        <v>3.0057316232874</v>
      </c>
      <c r="F90" s="1678">
        <v>100</v>
      </c>
      <c r="G90" s="1679">
        <f t="shared" si="18"/>
        <v>1</v>
      </c>
      <c r="H90" s="1679">
        <f>PRODUCT(G$4:G90)</f>
        <v>1</v>
      </c>
      <c r="J90" s="1680">
        <v>0</v>
      </c>
      <c r="K90" s="1680">
        <v>0</v>
      </c>
      <c r="L90" s="1680">
        <v>0</v>
      </c>
      <c r="N90" s="1681"/>
      <c r="O90" s="1681"/>
      <c r="P90" s="1681"/>
      <c r="Q90" s="1681"/>
      <c r="R90" s="1681"/>
      <c r="T90" s="1681"/>
      <c r="U90" s="1681"/>
      <c r="W90" s="1681">
        <f t="shared" si="19"/>
        <v>0</v>
      </c>
      <c r="X90" s="1681"/>
      <c r="Y90" s="1681">
        <f t="shared" si="20"/>
        <v>0</v>
      </c>
      <c r="Z90" s="1681"/>
      <c r="AB90" s="1682"/>
      <c r="AC90" s="1682"/>
      <c r="AE90" s="1683"/>
      <c r="AF90" s="1683"/>
      <c r="AG90" s="1683"/>
      <c r="AH90" s="1683"/>
      <c r="AI90" s="1683"/>
      <c r="AJ90" s="1683"/>
      <c r="AK90" s="1683"/>
      <c r="AL90" s="1683"/>
      <c r="AM90" s="1683"/>
      <c r="AN90" s="1683"/>
      <c r="AO90" s="1683"/>
      <c r="AP90" s="1683"/>
      <c r="AQ90" s="1683"/>
      <c r="AR90" s="1683"/>
      <c r="AS90" s="1683"/>
      <c r="AT90" s="1683"/>
      <c r="AU90" s="1683"/>
      <c r="AV90" s="1683"/>
      <c r="AW90" s="1683"/>
      <c r="AX90" s="1683"/>
      <c r="AY90" s="1683"/>
      <c r="AZ90" s="1683"/>
      <c r="BA90" s="1683"/>
      <c r="BB90" s="1683"/>
    </row>
    <row r="91" spans="1:54">
      <c r="A91" s="326">
        <f t="shared" si="21"/>
        <v>36160</v>
      </c>
      <c r="B91" s="1678">
        <v>98.7</v>
      </c>
      <c r="C91" s="1679">
        <f t="shared" si="17"/>
        <v>0.987</v>
      </c>
      <c r="D91" s="1679">
        <f>PRODUCT(C$4:C91)</f>
        <v>2.96665711218466</v>
      </c>
      <c r="F91" s="1678">
        <v>100</v>
      </c>
      <c r="G91" s="1679">
        <f t="shared" si="18"/>
        <v>1</v>
      </c>
      <c r="H91" s="1679">
        <f>PRODUCT(G$4:G91)</f>
        <v>1</v>
      </c>
      <c r="J91" s="1680">
        <v>0</v>
      </c>
      <c r="K91" s="1680">
        <v>0</v>
      </c>
      <c r="L91" s="1680">
        <v>0</v>
      </c>
      <c r="N91" s="1681"/>
      <c r="O91" s="1681"/>
      <c r="P91" s="1681"/>
      <c r="Q91" s="1681"/>
      <c r="R91" s="1681"/>
      <c r="T91" s="1681"/>
      <c r="U91" s="1681"/>
      <c r="W91" s="1681">
        <f t="shared" si="19"/>
        <v>0</v>
      </c>
      <c r="X91" s="1681"/>
      <c r="Y91" s="1681">
        <f t="shared" si="20"/>
        <v>0</v>
      </c>
      <c r="Z91" s="1681"/>
      <c r="AB91" s="1682"/>
      <c r="AC91" s="1682"/>
      <c r="AE91" s="1683"/>
      <c r="AF91" s="1683"/>
      <c r="AG91" s="1683"/>
      <c r="AH91" s="1683"/>
      <c r="AI91" s="1683"/>
      <c r="AJ91" s="1683"/>
      <c r="AK91" s="1683"/>
      <c r="AL91" s="1683"/>
      <c r="AM91" s="1683"/>
      <c r="AN91" s="1683"/>
      <c r="AO91" s="1683"/>
      <c r="AP91" s="1683"/>
      <c r="AQ91" s="1683"/>
      <c r="AR91" s="1683"/>
      <c r="AS91" s="1683"/>
      <c r="AT91" s="1683"/>
      <c r="AU91" s="1683"/>
      <c r="AV91" s="1683"/>
      <c r="AW91" s="1683"/>
      <c r="AX91" s="1683"/>
      <c r="AY91" s="1683"/>
      <c r="AZ91" s="1683"/>
      <c r="BA91" s="1683"/>
      <c r="BB91" s="1683"/>
    </row>
    <row r="92" spans="1:54">
      <c r="A92" s="326">
        <f t="shared" si="21"/>
        <v>36191</v>
      </c>
      <c r="B92" s="1678">
        <v>98.5</v>
      </c>
      <c r="C92" s="1679">
        <f t="shared" si="17"/>
        <v>0.985</v>
      </c>
      <c r="D92" s="1679">
        <f>PRODUCT(C$4:C92)</f>
        <v>2.92215725550189</v>
      </c>
      <c r="F92" s="1678">
        <v>100</v>
      </c>
      <c r="G92" s="1679">
        <f t="shared" si="18"/>
        <v>1</v>
      </c>
      <c r="H92" s="1679">
        <f>PRODUCT(G$4:G92)</f>
        <v>1</v>
      </c>
      <c r="J92" s="1680">
        <v>0</v>
      </c>
      <c r="K92" s="1680">
        <v>0</v>
      </c>
      <c r="L92" s="1680">
        <v>0</v>
      </c>
      <c r="N92" s="1681"/>
      <c r="O92" s="1681"/>
      <c r="P92" s="1681"/>
      <c r="Q92" s="1681"/>
      <c r="R92" s="1681"/>
      <c r="T92" s="1681"/>
      <c r="U92" s="1681"/>
      <c r="W92" s="1681">
        <f t="shared" si="19"/>
        <v>0</v>
      </c>
      <c r="X92" s="1681"/>
      <c r="Y92" s="1681">
        <f t="shared" si="20"/>
        <v>0</v>
      </c>
      <c r="Z92" s="1681"/>
      <c r="AB92" s="1682"/>
      <c r="AC92" s="1682"/>
      <c r="AE92" s="1683"/>
      <c r="AF92" s="1683"/>
      <c r="AG92" s="1683"/>
      <c r="AH92" s="1683"/>
      <c r="AI92" s="1683"/>
      <c r="AJ92" s="1683"/>
      <c r="AK92" s="1683"/>
      <c r="AL92" s="1683"/>
      <c r="AM92" s="1683"/>
      <c r="AN92" s="1683"/>
      <c r="AO92" s="1683"/>
      <c r="AP92" s="1683"/>
      <c r="AQ92" s="1683"/>
      <c r="AR92" s="1683"/>
      <c r="AS92" s="1683"/>
      <c r="AT92" s="1683"/>
      <c r="AU92" s="1683"/>
      <c r="AV92" s="1683"/>
      <c r="AW92" s="1683"/>
      <c r="AX92" s="1683"/>
      <c r="AY92" s="1683"/>
      <c r="AZ92" s="1683"/>
      <c r="BA92" s="1683"/>
      <c r="BB92" s="1683"/>
    </row>
    <row r="93" spans="1:54">
      <c r="A93" s="326">
        <f t="shared" si="21"/>
        <v>36219</v>
      </c>
      <c r="B93" s="1678">
        <v>99.3</v>
      </c>
      <c r="C93" s="1679">
        <f t="shared" si="17"/>
        <v>0.993</v>
      </c>
      <c r="D93" s="1679">
        <f>PRODUCT(C$4:C93)</f>
        <v>2.90170215471338</v>
      </c>
      <c r="F93" s="1678">
        <v>100</v>
      </c>
      <c r="G93" s="1679">
        <f t="shared" si="18"/>
        <v>1</v>
      </c>
      <c r="H93" s="1679">
        <f>PRODUCT(G$4:G93)</f>
        <v>1</v>
      </c>
      <c r="J93" s="1680">
        <v>0</v>
      </c>
      <c r="K93" s="1680">
        <v>0</v>
      </c>
      <c r="L93" s="1680">
        <v>0</v>
      </c>
      <c r="N93" s="1681"/>
      <c r="O93" s="1681"/>
      <c r="P93" s="1681"/>
      <c r="Q93" s="1681"/>
      <c r="R93" s="1681"/>
      <c r="T93" s="1681"/>
      <c r="U93" s="1681"/>
      <c r="W93" s="1681">
        <f t="shared" si="19"/>
        <v>0</v>
      </c>
      <c r="X93" s="1681"/>
      <c r="Y93" s="1681">
        <f t="shared" si="20"/>
        <v>0</v>
      </c>
      <c r="Z93" s="1681"/>
      <c r="AB93" s="1682"/>
      <c r="AC93" s="1682"/>
      <c r="AE93" s="1683"/>
      <c r="AF93" s="1683"/>
      <c r="AG93" s="1683"/>
      <c r="AH93" s="1683"/>
      <c r="AI93" s="1683"/>
      <c r="AJ93" s="1683"/>
      <c r="AK93" s="1683"/>
      <c r="AL93" s="1683"/>
      <c r="AM93" s="1683"/>
      <c r="AN93" s="1683"/>
      <c r="AO93" s="1683"/>
      <c r="AP93" s="1683"/>
      <c r="AQ93" s="1683"/>
      <c r="AR93" s="1683"/>
      <c r="AS93" s="1683"/>
      <c r="AT93" s="1683"/>
      <c r="AU93" s="1683"/>
      <c r="AV93" s="1683"/>
      <c r="AW93" s="1683"/>
      <c r="AX93" s="1683"/>
      <c r="AY93" s="1683"/>
      <c r="AZ93" s="1683"/>
      <c r="BA93" s="1683"/>
      <c r="BB93" s="1683"/>
    </row>
    <row r="94" spans="1:54">
      <c r="A94" s="326">
        <f t="shared" si="21"/>
        <v>36250</v>
      </c>
      <c r="B94" s="1678">
        <v>98.9</v>
      </c>
      <c r="C94" s="1679">
        <f t="shared" si="17"/>
        <v>0.989</v>
      </c>
      <c r="D94" s="1679">
        <f>PRODUCT(C$4:C94)</f>
        <v>2.86978343101153</v>
      </c>
      <c r="F94" s="1678">
        <v>100</v>
      </c>
      <c r="G94" s="1679">
        <f t="shared" si="18"/>
        <v>1</v>
      </c>
      <c r="H94" s="1679">
        <f>PRODUCT(G$4:G94)</f>
        <v>1</v>
      </c>
      <c r="J94" s="1680">
        <v>0</v>
      </c>
      <c r="K94" s="1680">
        <v>0</v>
      </c>
      <c r="L94" s="1680">
        <v>0</v>
      </c>
      <c r="N94" s="1681"/>
      <c r="O94" s="1681"/>
      <c r="P94" s="1681"/>
      <c r="Q94" s="1681"/>
      <c r="R94" s="1681"/>
      <c r="T94" s="1681"/>
      <c r="U94" s="1681"/>
      <c r="W94" s="1681">
        <f t="shared" si="19"/>
        <v>0</v>
      </c>
      <c r="X94" s="1681"/>
      <c r="Y94" s="1681">
        <f t="shared" si="20"/>
        <v>0</v>
      </c>
      <c r="Z94" s="1681"/>
      <c r="AB94" s="1682"/>
      <c r="AC94" s="1682"/>
      <c r="AE94" s="1683"/>
      <c r="AF94" s="1683"/>
      <c r="AG94" s="1683"/>
      <c r="AH94" s="1683"/>
      <c r="AI94" s="1683"/>
      <c r="AJ94" s="1683"/>
      <c r="AK94" s="1683"/>
      <c r="AL94" s="1683"/>
      <c r="AM94" s="1683"/>
      <c r="AN94" s="1683"/>
      <c r="AO94" s="1683"/>
      <c r="AP94" s="1683"/>
      <c r="AQ94" s="1683"/>
      <c r="AR94" s="1683"/>
      <c r="AS94" s="1683"/>
      <c r="AT94" s="1683"/>
      <c r="AU94" s="1683"/>
      <c r="AV94" s="1683"/>
      <c r="AW94" s="1683"/>
      <c r="AX94" s="1683"/>
      <c r="AY94" s="1683"/>
      <c r="AZ94" s="1683"/>
      <c r="BA94" s="1683"/>
      <c r="BB94" s="1683"/>
    </row>
    <row r="95" spans="1:54">
      <c r="A95" s="326">
        <f t="shared" si="21"/>
        <v>36280</v>
      </c>
      <c r="B95" s="1678">
        <v>99.5</v>
      </c>
      <c r="C95" s="1679">
        <f t="shared" si="17"/>
        <v>0.995</v>
      </c>
      <c r="D95" s="1679">
        <f>PRODUCT(C$4:C95)</f>
        <v>2.85543451385647</v>
      </c>
      <c r="F95" s="1678">
        <v>100</v>
      </c>
      <c r="G95" s="1679">
        <f t="shared" si="18"/>
        <v>1</v>
      </c>
      <c r="H95" s="1679">
        <f>PRODUCT(G$4:G95)</f>
        <v>1</v>
      </c>
      <c r="J95" s="1680">
        <v>0</v>
      </c>
      <c r="K95" s="1680">
        <v>0</v>
      </c>
      <c r="L95" s="1680">
        <v>0</v>
      </c>
      <c r="N95" s="1681"/>
      <c r="O95" s="1681"/>
      <c r="P95" s="1681"/>
      <c r="Q95" s="1681"/>
      <c r="R95" s="1681"/>
      <c r="T95" s="1681"/>
      <c r="U95" s="1681"/>
      <c r="W95" s="1681">
        <f t="shared" si="19"/>
        <v>0</v>
      </c>
      <c r="X95" s="1681"/>
      <c r="Y95" s="1681">
        <f t="shared" si="20"/>
        <v>0</v>
      </c>
      <c r="Z95" s="1681"/>
      <c r="AB95" s="1682"/>
      <c r="AC95" s="1682"/>
      <c r="AE95" s="1683"/>
      <c r="AF95" s="1683"/>
      <c r="AG95" s="1683"/>
      <c r="AH95" s="1683"/>
      <c r="AI95" s="1683"/>
      <c r="AJ95" s="1683"/>
      <c r="AK95" s="1683"/>
      <c r="AL95" s="1683"/>
      <c r="AM95" s="1683"/>
      <c r="AN95" s="1683"/>
      <c r="AO95" s="1683"/>
      <c r="AP95" s="1683"/>
      <c r="AQ95" s="1683"/>
      <c r="AR95" s="1683"/>
      <c r="AS95" s="1683"/>
      <c r="AT95" s="1683"/>
      <c r="AU95" s="1683"/>
      <c r="AV95" s="1683"/>
      <c r="AW95" s="1683"/>
      <c r="AX95" s="1683"/>
      <c r="AY95" s="1683"/>
      <c r="AZ95" s="1683"/>
      <c r="BA95" s="1683"/>
      <c r="BB95" s="1683"/>
    </row>
    <row r="96" spans="1:54">
      <c r="A96" s="326">
        <f t="shared" si="21"/>
        <v>36311</v>
      </c>
      <c r="B96" s="1678">
        <v>100.6</v>
      </c>
      <c r="C96" s="1679">
        <f t="shared" si="17"/>
        <v>1.006</v>
      </c>
      <c r="D96" s="1679">
        <f>PRODUCT(C$4:C96)</f>
        <v>2.87256712093961</v>
      </c>
      <c r="F96" s="1678">
        <v>100</v>
      </c>
      <c r="G96" s="1679">
        <f t="shared" si="18"/>
        <v>1</v>
      </c>
      <c r="H96" s="1679">
        <f>PRODUCT(G$4:G96)</f>
        <v>1</v>
      </c>
      <c r="J96" s="1680">
        <v>0</v>
      </c>
      <c r="K96" s="1680">
        <v>0</v>
      </c>
      <c r="L96" s="1680">
        <v>0</v>
      </c>
      <c r="N96" s="1681"/>
      <c r="O96" s="1681"/>
      <c r="P96" s="1681"/>
      <c r="Q96" s="1681"/>
      <c r="R96" s="1681"/>
      <c r="T96" s="1681"/>
      <c r="U96" s="1681"/>
      <c r="W96" s="1681">
        <f t="shared" si="19"/>
        <v>0</v>
      </c>
      <c r="X96" s="1681"/>
      <c r="Y96" s="1681">
        <f t="shared" si="20"/>
        <v>0</v>
      </c>
      <c r="Z96" s="1681"/>
      <c r="AB96" s="1682"/>
      <c r="AC96" s="1682"/>
      <c r="AE96" s="1683"/>
      <c r="AF96" s="1683"/>
      <c r="AG96" s="1683"/>
      <c r="AH96" s="1683"/>
      <c r="AI96" s="1683"/>
      <c r="AJ96" s="1683"/>
      <c r="AK96" s="1683"/>
      <c r="AL96" s="1683"/>
      <c r="AM96" s="1683"/>
      <c r="AN96" s="1683"/>
      <c r="AO96" s="1683"/>
      <c r="AP96" s="1683"/>
      <c r="AQ96" s="1683"/>
      <c r="AR96" s="1683"/>
      <c r="AS96" s="1683"/>
      <c r="AT96" s="1683"/>
      <c r="AU96" s="1683"/>
      <c r="AV96" s="1683"/>
      <c r="AW96" s="1683"/>
      <c r="AX96" s="1683"/>
      <c r="AY96" s="1683"/>
      <c r="AZ96" s="1683"/>
      <c r="BA96" s="1683"/>
      <c r="BB96" s="1683"/>
    </row>
    <row r="97" spans="1:54">
      <c r="A97" s="326">
        <f t="shared" si="21"/>
        <v>36341</v>
      </c>
      <c r="B97" s="1678">
        <v>100.3</v>
      </c>
      <c r="C97" s="1679">
        <f t="shared" si="17"/>
        <v>1.003</v>
      </c>
      <c r="D97" s="1679">
        <f>PRODUCT(C$4:C97)</f>
        <v>2.88118482230243</v>
      </c>
      <c r="F97" s="1678">
        <v>100</v>
      </c>
      <c r="G97" s="1679">
        <f t="shared" si="18"/>
        <v>1</v>
      </c>
      <c r="H97" s="1679">
        <f>PRODUCT(G$4:G97)</f>
        <v>1</v>
      </c>
      <c r="J97" s="1680">
        <v>0</v>
      </c>
      <c r="K97" s="1680">
        <v>0</v>
      </c>
      <c r="L97" s="1680">
        <v>0</v>
      </c>
      <c r="N97" s="1681"/>
      <c r="O97" s="1681"/>
      <c r="P97" s="1681"/>
      <c r="Q97" s="1681"/>
      <c r="R97" s="1681"/>
      <c r="T97" s="1681"/>
      <c r="U97" s="1681"/>
      <c r="W97" s="1681">
        <f t="shared" si="19"/>
        <v>0</v>
      </c>
      <c r="X97" s="1681"/>
      <c r="Y97" s="1681">
        <f t="shared" si="20"/>
        <v>0</v>
      </c>
      <c r="Z97" s="1681"/>
      <c r="AB97" s="1682"/>
      <c r="AC97" s="1682"/>
      <c r="AE97" s="1683"/>
      <c r="AF97" s="1683"/>
      <c r="AG97" s="1683"/>
      <c r="AH97" s="1683"/>
      <c r="AI97" s="1683"/>
      <c r="AJ97" s="1683"/>
      <c r="AK97" s="1683"/>
      <c r="AL97" s="1683"/>
      <c r="AM97" s="1683"/>
      <c r="AN97" s="1683"/>
      <c r="AO97" s="1683"/>
      <c r="AP97" s="1683"/>
      <c r="AQ97" s="1683"/>
      <c r="AR97" s="1683"/>
      <c r="AS97" s="1683"/>
      <c r="AT97" s="1683"/>
      <c r="AU97" s="1683"/>
      <c r="AV97" s="1683"/>
      <c r="AW97" s="1683"/>
      <c r="AX97" s="1683"/>
      <c r="AY97" s="1683"/>
      <c r="AZ97" s="1683"/>
      <c r="BA97" s="1683"/>
      <c r="BB97" s="1683"/>
    </row>
    <row r="98" spans="1:54">
      <c r="A98" s="326">
        <f t="shared" si="21"/>
        <v>36372</v>
      </c>
      <c r="B98" s="1678">
        <v>99.3</v>
      </c>
      <c r="C98" s="1679">
        <f t="shared" si="17"/>
        <v>0.993</v>
      </c>
      <c r="D98" s="1679">
        <f>PRODUCT(C$4:C98)</f>
        <v>2.86101652854631</v>
      </c>
      <c r="F98" s="1678">
        <v>100</v>
      </c>
      <c r="G98" s="1679">
        <f t="shared" si="18"/>
        <v>1</v>
      </c>
      <c r="H98" s="1679">
        <f>PRODUCT(G$4:G98)</f>
        <v>1</v>
      </c>
      <c r="J98" s="1680">
        <v>0</v>
      </c>
      <c r="K98" s="1680">
        <v>0</v>
      </c>
      <c r="L98" s="1680">
        <v>0</v>
      </c>
      <c r="N98" s="1681"/>
      <c r="O98" s="1681"/>
      <c r="P98" s="1681"/>
      <c r="Q98" s="1681"/>
      <c r="R98" s="1681"/>
      <c r="T98" s="1681"/>
      <c r="U98" s="1681"/>
      <c r="W98" s="1681">
        <f t="shared" si="19"/>
        <v>0</v>
      </c>
      <c r="X98" s="1681"/>
      <c r="Y98" s="1681">
        <f t="shared" si="20"/>
        <v>0</v>
      </c>
      <c r="Z98" s="1681"/>
      <c r="AB98" s="1682"/>
      <c r="AC98" s="1682"/>
      <c r="AE98" s="1683"/>
      <c r="AF98" s="1683"/>
      <c r="AG98" s="1683"/>
      <c r="AH98" s="1683"/>
      <c r="AI98" s="1683"/>
      <c r="AJ98" s="1683"/>
      <c r="AK98" s="1683"/>
      <c r="AL98" s="1683"/>
      <c r="AM98" s="1683"/>
      <c r="AN98" s="1683"/>
      <c r="AO98" s="1683"/>
      <c r="AP98" s="1683"/>
      <c r="AQ98" s="1683"/>
      <c r="AR98" s="1683"/>
      <c r="AS98" s="1683"/>
      <c r="AT98" s="1683"/>
      <c r="AU98" s="1683"/>
      <c r="AV98" s="1683"/>
      <c r="AW98" s="1683"/>
      <c r="AX98" s="1683"/>
      <c r="AY98" s="1683"/>
      <c r="AZ98" s="1683"/>
      <c r="BA98" s="1683"/>
      <c r="BB98" s="1683"/>
    </row>
    <row r="99" spans="1:54">
      <c r="A99" s="326">
        <f t="shared" si="21"/>
        <v>36403</v>
      </c>
      <c r="B99" s="1678">
        <v>100.6</v>
      </c>
      <c r="C99" s="1679">
        <f t="shared" si="17"/>
        <v>1.006</v>
      </c>
      <c r="D99" s="1679">
        <f>PRODUCT(C$4:C99)</f>
        <v>2.87818262771759</v>
      </c>
      <c r="F99" s="1678">
        <v>100</v>
      </c>
      <c r="G99" s="1679">
        <f t="shared" si="18"/>
        <v>1</v>
      </c>
      <c r="H99" s="1679">
        <f>PRODUCT(G$4:G99)</f>
        <v>1</v>
      </c>
      <c r="J99" s="1680">
        <v>0</v>
      </c>
      <c r="K99" s="1680">
        <v>0</v>
      </c>
      <c r="L99" s="1680">
        <v>0</v>
      </c>
      <c r="N99" s="1681"/>
      <c r="O99" s="1681"/>
      <c r="P99" s="1681"/>
      <c r="Q99" s="1681"/>
      <c r="R99" s="1681"/>
      <c r="T99" s="1681"/>
      <c r="U99" s="1681"/>
      <c r="W99" s="1681">
        <f t="shared" si="19"/>
        <v>0</v>
      </c>
      <c r="X99" s="1681"/>
      <c r="Y99" s="1681">
        <f t="shared" si="20"/>
        <v>0</v>
      </c>
      <c r="Z99" s="1681"/>
      <c r="AB99" s="1682"/>
      <c r="AC99" s="1682"/>
      <c r="AE99" s="1683"/>
      <c r="AF99" s="1683"/>
      <c r="AG99" s="1683"/>
      <c r="AH99" s="1683"/>
      <c r="AI99" s="1683"/>
      <c r="AJ99" s="1683"/>
      <c r="AK99" s="1683"/>
      <c r="AL99" s="1683"/>
      <c r="AM99" s="1683"/>
      <c r="AN99" s="1683"/>
      <c r="AO99" s="1683"/>
      <c r="AP99" s="1683"/>
      <c r="AQ99" s="1683"/>
      <c r="AR99" s="1683"/>
      <c r="AS99" s="1683"/>
      <c r="AT99" s="1683"/>
      <c r="AU99" s="1683"/>
      <c r="AV99" s="1683"/>
      <c r="AW99" s="1683"/>
      <c r="AX99" s="1683"/>
      <c r="AY99" s="1683"/>
      <c r="AZ99" s="1683"/>
      <c r="BA99" s="1683"/>
      <c r="BB99" s="1683"/>
    </row>
    <row r="100" spans="1:54">
      <c r="A100" s="326">
        <f t="shared" si="21"/>
        <v>36433</v>
      </c>
      <c r="B100" s="1678">
        <v>101.1</v>
      </c>
      <c r="C100" s="1679">
        <f t="shared" si="17"/>
        <v>1.011</v>
      </c>
      <c r="D100" s="1679">
        <f>PRODUCT(C$4:C100)</f>
        <v>2.90984263662248</v>
      </c>
      <c r="F100" s="1678">
        <v>100</v>
      </c>
      <c r="G100" s="1679">
        <f t="shared" si="18"/>
        <v>1</v>
      </c>
      <c r="H100" s="1679">
        <f>PRODUCT(G$4:G100)</f>
        <v>1</v>
      </c>
      <c r="J100" s="1680">
        <v>0</v>
      </c>
      <c r="K100" s="1680">
        <v>0</v>
      </c>
      <c r="L100" s="1680">
        <v>0</v>
      </c>
      <c r="N100" s="1681"/>
      <c r="O100" s="1681"/>
      <c r="P100" s="1681"/>
      <c r="Q100" s="1681"/>
      <c r="R100" s="1681"/>
      <c r="T100" s="1681"/>
      <c r="U100" s="1681"/>
      <c r="W100" s="1681">
        <f t="shared" si="19"/>
        <v>0</v>
      </c>
      <c r="X100" s="1681"/>
      <c r="Y100" s="1681">
        <f t="shared" si="20"/>
        <v>0</v>
      </c>
      <c r="Z100" s="1681"/>
      <c r="AB100" s="1682"/>
      <c r="AC100" s="1682"/>
      <c r="AE100" s="1683"/>
      <c r="AF100" s="1683"/>
      <c r="AG100" s="1683"/>
      <c r="AH100" s="1683"/>
      <c r="AI100" s="1683"/>
      <c r="AJ100" s="1683"/>
      <c r="AK100" s="1683"/>
      <c r="AL100" s="1683"/>
      <c r="AM100" s="1683"/>
      <c r="AN100" s="1683"/>
      <c r="AO100" s="1683"/>
      <c r="AP100" s="1683"/>
      <c r="AQ100" s="1683"/>
      <c r="AR100" s="1683"/>
      <c r="AS100" s="1683"/>
      <c r="AT100" s="1683"/>
      <c r="AU100" s="1683"/>
      <c r="AV100" s="1683"/>
      <c r="AW100" s="1683"/>
      <c r="AX100" s="1683"/>
      <c r="AY100" s="1683"/>
      <c r="AZ100" s="1683"/>
      <c r="BA100" s="1683"/>
      <c r="BB100" s="1683"/>
    </row>
    <row r="101" spans="1:54">
      <c r="A101" s="326">
        <f t="shared" si="21"/>
        <v>36464</v>
      </c>
      <c r="B101" s="1678">
        <v>101.3</v>
      </c>
      <c r="C101" s="1679">
        <f t="shared" si="17"/>
        <v>1.013</v>
      </c>
      <c r="D101" s="1679">
        <f>PRODUCT(C$4:C101)</f>
        <v>2.94767059089857</v>
      </c>
      <c r="F101" s="1678">
        <v>100</v>
      </c>
      <c r="G101" s="1679">
        <f t="shared" si="18"/>
        <v>1</v>
      </c>
      <c r="H101" s="1679">
        <f>PRODUCT(G$4:G101)</f>
        <v>1</v>
      </c>
      <c r="J101" s="1680">
        <v>0</v>
      </c>
      <c r="K101" s="1680">
        <v>0</v>
      </c>
      <c r="L101" s="1680">
        <v>0</v>
      </c>
      <c r="N101" s="1681"/>
      <c r="O101" s="1681"/>
      <c r="P101" s="1681"/>
      <c r="Q101" s="1681"/>
      <c r="R101" s="1681"/>
      <c r="T101" s="1681"/>
      <c r="U101" s="1681"/>
      <c r="W101" s="1681">
        <f t="shared" si="19"/>
        <v>0</v>
      </c>
      <c r="X101" s="1681"/>
      <c r="Y101" s="1681">
        <f t="shared" si="20"/>
        <v>0</v>
      </c>
      <c r="Z101" s="1681"/>
      <c r="AB101" s="1682"/>
      <c r="AC101" s="1682"/>
      <c r="AE101" s="1683"/>
      <c r="AF101" s="1683"/>
      <c r="AG101" s="1683"/>
      <c r="AH101" s="1683"/>
      <c r="AI101" s="1683"/>
      <c r="AJ101" s="1683"/>
      <c r="AK101" s="1683"/>
      <c r="AL101" s="1683"/>
      <c r="AM101" s="1683"/>
      <c r="AN101" s="1683"/>
      <c r="AO101" s="1683"/>
      <c r="AP101" s="1683"/>
      <c r="AQ101" s="1683"/>
      <c r="AR101" s="1683"/>
      <c r="AS101" s="1683"/>
      <c r="AT101" s="1683"/>
      <c r="AU101" s="1683"/>
      <c r="AV101" s="1683"/>
      <c r="AW101" s="1683"/>
      <c r="AX101" s="1683"/>
      <c r="AY101" s="1683"/>
      <c r="AZ101" s="1683"/>
      <c r="BA101" s="1683"/>
      <c r="BB101" s="1683"/>
    </row>
    <row r="102" spans="1:54">
      <c r="A102" s="326">
        <f t="shared" si="21"/>
        <v>36494</v>
      </c>
      <c r="B102" s="1678">
        <v>100.1</v>
      </c>
      <c r="C102" s="1679">
        <f t="shared" si="17"/>
        <v>1.001</v>
      </c>
      <c r="D102" s="1679">
        <f>PRODUCT(C$4:C102)</f>
        <v>2.95061826148947</v>
      </c>
      <c r="F102" s="1678">
        <v>100</v>
      </c>
      <c r="G102" s="1679">
        <f t="shared" si="18"/>
        <v>1</v>
      </c>
      <c r="H102" s="1679">
        <f>PRODUCT(G$4:G102)</f>
        <v>1</v>
      </c>
      <c r="J102" s="1680">
        <v>0</v>
      </c>
      <c r="K102" s="1680">
        <v>0</v>
      </c>
      <c r="L102" s="1680">
        <v>0</v>
      </c>
      <c r="N102" s="1681"/>
      <c r="O102" s="1681"/>
      <c r="P102" s="1681"/>
      <c r="Q102" s="1681"/>
      <c r="R102" s="1681"/>
      <c r="T102" s="1681"/>
      <c r="U102" s="1681"/>
      <c r="W102" s="1681">
        <f t="shared" si="19"/>
        <v>0</v>
      </c>
      <c r="X102" s="1681"/>
      <c r="Y102" s="1681">
        <f t="shared" si="20"/>
        <v>0</v>
      </c>
      <c r="Z102" s="1681"/>
      <c r="AB102" s="1682"/>
      <c r="AC102" s="1682"/>
      <c r="AE102" s="1683"/>
      <c r="AF102" s="1683"/>
      <c r="AG102" s="1683"/>
      <c r="AH102" s="1683"/>
      <c r="AI102" s="1683"/>
      <c r="AJ102" s="1683"/>
      <c r="AK102" s="1683"/>
      <c r="AL102" s="1683"/>
      <c r="AM102" s="1683"/>
      <c r="AN102" s="1683"/>
      <c r="AO102" s="1683"/>
      <c r="AP102" s="1683"/>
      <c r="AQ102" s="1683"/>
      <c r="AR102" s="1683"/>
      <c r="AS102" s="1683"/>
      <c r="AT102" s="1683"/>
      <c r="AU102" s="1683"/>
      <c r="AV102" s="1683"/>
      <c r="AW102" s="1683"/>
      <c r="AX102" s="1683"/>
      <c r="AY102" s="1683"/>
      <c r="AZ102" s="1683"/>
      <c r="BA102" s="1683"/>
      <c r="BB102" s="1683"/>
    </row>
    <row r="103" spans="1:54">
      <c r="A103" s="326">
        <f t="shared" si="21"/>
        <v>36525</v>
      </c>
      <c r="B103" s="1678">
        <v>99</v>
      </c>
      <c r="C103" s="1679">
        <f t="shared" si="17"/>
        <v>0.99</v>
      </c>
      <c r="D103" s="1679">
        <f>PRODUCT(C$4:C103)</f>
        <v>2.92111207887458</v>
      </c>
      <c r="F103" s="1678">
        <v>100</v>
      </c>
      <c r="G103" s="1679">
        <f t="shared" si="18"/>
        <v>1</v>
      </c>
      <c r="H103" s="1679">
        <f>PRODUCT(G$4:G103)</f>
        <v>1</v>
      </c>
      <c r="J103" s="1680">
        <v>0</v>
      </c>
      <c r="K103" s="1680">
        <v>0</v>
      </c>
      <c r="L103" s="1680">
        <v>0</v>
      </c>
      <c r="N103" s="1681"/>
      <c r="O103" s="1681"/>
      <c r="P103" s="1681"/>
      <c r="Q103" s="1681"/>
      <c r="R103" s="1681"/>
      <c r="T103" s="1681"/>
      <c r="U103" s="1681"/>
      <c r="W103" s="1681">
        <f t="shared" si="19"/>
        <v>0</v>
      </c>
      <c r="X103" s="1681"/>
      <c r="Y103" s="1681">
        <f t="shared" si="20"/>
        <v>0</v>
      </c>
      <c r="Z103" s="1681"/>
      <c r="AB103" s="1682"/>
      <c r="AC103" s="1682"/>
      <c r="AE103" s="1683"/>
      <c r="AF103" s="1683"/>
      <c r="AG103" s="1683"/>
      <c r="AH103" s="1683"/>
      <c r="AI103" s="1683"/>
      <c r="AJ103" s="1683"/>
      <c r="AK103" s="1683"/>
      <c r="AL103" s="1683"/>
      <c r="AM103" s="1683"/>
      <c r="AN103" s="1683"/>
      <c r="AO103" s="1683"/>
      <c r="AP103" s="1683"/>
      <c r="AQ103" s="1683"/>
      <c r="AR103" s="1683"/>
      <c r="AS103" s="1683"/>
      <c r="AT103" s="1683"/>
      <c r="AU103" s="1683"/>
      <c r="AV103" s="1683"/>
      <c r="AW103" s="1683"/>
      <c r="AX103" s="1683"/>
      <c r="AY103" s="1683"/>
      <c r="AZ103" s="1683"/>
      <c r="BA103" s="1683"/>
      <c r="BB103" s="1683"/>
    </row>
    <row r="104" spans="1:54">
      <c r="A104" s="326">
        <f t="shared" si="21"/>
        <v>36556</v>
      </c>
      <c r="B104" s="1678">
        <v>99.3</v>
      </c>
      <c r="C104" s="1679">
        <f t="shared" si="17"/>
        <v>0.993</v>
      </c>
      <c r="D104" s="1679">
        <f>PRODUCT(C$4:C104)</f>
        <v>2.90066429432246</v>
      </c>
      <c r="F104" s="1678">
        <v>100</v>
      </c>
      <c r="G104" s="1679">
        <f t="shared" si="18"/>
        <v>1</v>
      </c>
      <c r="H104" s="1679">
        <f>PRODUCT(G$4:G104)</f>
        <v>1</v>
      </c>
      <c r="J104" s="1680">
        <v>0</v>
      </c>
      <c r="K104" s="1680">
        <v>0</v>
      </c>
      <c r="L104" s="1680">
        <v>0</v>
      </c>
      <c r="N104" s="1681"/>
      <c r="O104" s="1681"/>
      <c r="P104" s="1681"/>
      <c r="Q104" s="1681"/>
      <c r="R104" s="1681"/>
      <c r="T104" s="1681"/>
      <c r="U104" s="1681"/>
      <c r="W104" s="1681">
        <f t="shared" si="19"/>
        <v>0</v>
      </c>
      <c r="X104" s="1681"/>
      <c r="Y104" s="1681">
        <f t="shared" si="20"/>
        <v>0</v>
      </c>
      <c r="Z104" s="1681"/>
      <c r="AB104" s="1682"/>
      <c r="AC104" s="1682"/>
      <c r="AE104" s="1683"/>
      <c r="AF104" s="1683"/>
      <c r="AG104" s="1683"/>
      <c r="AH104" s="1683"/>
      <c r="AI104" s="1683"/>
      <c r="AJ104" s="1683"/>
      <c r="AK104" s="1683"/>
      <c r="AL104" s="1683"/>
      <c r="AM104" s="1683"/>
      <c r="AN104" s="1683"/>
      <c r="AO104" s="1683"/>
      <c r="AP104" s="1683"/>
      <c r="AQ104" s="1683"/>
      <c r="AR104" s="1683"/>
      <c r="AS104" s="1683"/>
      <c r="AT104" s="1683"/>
      <c r="AU104" s="1683"/>
      <c r="AV104" s="1683"/>
      <c r="AW104" s="1683"/>
      <c r="AX104" s="1683"/>
      <c r="AY104" s="1683"/>
      <c r="AZ104" s="1683"/>
      <c r="BA104" s="1683"/>
      <c r="BB104" s="1683"/>
    </row>
    <row r="105" spans="1:54">
      <c r="A105" s="326">
        <f t="shared" si="21"/>
        <v>36585</v>
      </c>
      <c r="B105" s="1678">
        <v>100.3</v>
      </c>
      <c r="C105" s="1679">
        <f t="shared" si="17"/>
        <v>1.003</v>
      </c>
      <c r="D105" s="1679">
        <f>PRODUCT(C$4:C105)</f>
        <v>2.90936628720542</v>
      </c>
      <c r="F105" s="1678">
        <v>100</v>
      </c>
      <c r="G105" s="1679">
        <f t="shared" si="18"/>
        <v>1</v>
      </c>
      <c r="H105" s="1679">
        <f>PRODUCT(G$4:G105)</f>
        <v>1</v>
      </c>
      <c r="J105" s="1680">
        <v>0</v>
      </c>
      <c r="K105" s="1680">
        <v>0</v>
      </c>
      <c r="L105" s="1680">
        <v>0</v>
      </c>
      <c r="N105" s="1681"/>
      <c r="O105" s="1681"/>
      <c r="P105" s="1681"/>
      <c r="Q105" s="1681"/>
      <c r="R105" s="1681"/>
      <c r="T105" s="1681"/>
      <c r="U105" s="1681"/>
      <c r="W105" s="1681">
        <f t="shared" si="19"/>
        <v>0</v>
      </c>
      <c r="X105" s="1681"/>
      <c r="Y105" s="1681">
        <f t="shared" si="20"/>
        <v>0</v>
      </c>
      <c r="Z105" s="1681"/>
      <c r="AB105" s="1682"/>
      <c r="AC105" s="1682"/>
      <c r="AE105" s="1683"/>
      <c r="AF105" s="1683"/>
      <c r="AG105" s="1683"/>
      <c r="AH105" s="1683"/>
      <c r="AI105" s="1683"/>
      <c r="AJ105" s="1683"/>
      <c r="AK105" s="1683"/>
      <c r="AL105" s="1683"/>
      <c r="AM105" s="1683"/>
      <c r="AN105" s="1683"/>
      <c r="AO105" s="1683"/>
      <c r="AP105" s="1683"/>
      <c r="AQ105" s="1683"/>
      <c r="AR105" s="1683"/>
      <c r="AS105" s="1683"/>
      <c r="AT105" s="1683"/>
      <c r="AU105" s="1683"/>
      <c r="AV105" s="1683"/>
      <c r="AW105" s="1683"/>
      <c r="AX105" s="1683"/>
      <c r="AY105" s="1683"/>
      <c r="AZ105" s="1683"/>
      <c r="BA105" s="1683"/>
      <c r="BB105" s="1683"/>
    </row>
    <row r="106" spans="1:54">
      <c r="A106" s="326">
        <f t="shared" si="21"/>
        <v>36616</v>
      </c>
      <c r="B106" s="1678">
        <v>99.8</v>
      </c>
      <c r="C106" s="1679">
        <f t="shared" si="17"/>
        <v>0.998</v>
      </c>
      <c r="D106" s="1679">
        <f>PRODUCT(C$4:C106)</f>
        <v>2.90354755463101</v>
      </c>
      <c r="F106" s="1678">
        <v>100</v>
      </c>
      <c r="G106" s="1679">
        <f t="shared" si="18"/>
        <v>1</v>
      </c>
      <c r="H106" s="1679">
        <f>PRODUCT(G$4:G106)</f>
        <v>1</v>
      </c>
      <c r="J106" s="1680">
        <v>0</v>
      </c>
      <c r="K106" s="1680">
        <v>0</v>
      </c>
      <c r="L106" s="1680">
        <v>0</v>
      </c>
      <c r="N106" s="1681"/>
      <c r="O106" s="1681"/>
      <c r="P106" s="1681"/>
      <c r="Q106" s="1681"/>
      <c r="R106" s="1681"/>
      <c r="T106" s="1681"/>
      <c r="U106" s="1681"/>
      <c r="W106" s="1681">
        <f t="shared" si="19"/>
        <v>0</v>
      </c>
      <c r="X106" s="1681"/>
      <c r="Y106" s="1681">
        <f t="shared" si="20"/>
        <v>0</v>
      </c>
      <c r="Z106" s="1681"/>
      <c r="AB106" s="1682"/>
      <c r="AC106" s="1682"/>
      <c r="AE106" s="1683"/>
      <c r="AF106" s="1683"/>
      <c r="AG106" s="1683"/>
      <c r="AH106" s="1683"/>
      <c r="AI106" s="1683"/>
      <c r="AJ106" s="1683"/>
      <c r="AK106" s="1683"/>
      <c r="AL106" s="1683"/>
      <c r="AM106" s="1683"/>
      <c r="AN106" s="1683"/>
      <c r="AO106" s="1683"/>
      <c r="AP106" s="1683"/>
      <c r="AQ106" s="1683"/>
      <c r="AR106" s="1683"/>
      <c r="AS106" s="1683"/>
      <c r="AT106" s="1683"/>
      <c r="AU106" s="1683"/>
      <c r="AV106" s="1683"/>
      <c r="AW106" s="1683"/>
      <c r="AX106" s="1683"/>
      <c r="AY106" s="1683"/>
      <c r="AZ106" s="1683"/>
      <c r="BA106" s="1683"/>
      <c r="BB106" s="1683"/>
    </row>
    <row r="107" spans="1:54">
      <c r="A107" s="326">
        <f t="shared" si="21"/>
        <v>36646</v>
      </c>
      <c r="B107" s="1678">
        <v>100.2</v>
      </c>
      <c r="C107" s="1679">
        <f t="shared" si="17"/>
        <v>1.002</v>
      </c>
      <c r="D107" s="1679">
        <f>PRODUCT(C$4:C107)</f>
        <v>2.90935464974027</v>
      </c>
      <c r="F107" s="1678">
        <v>100</v>
      </c>
      <c r="G107" s="1679">
        <f t="shared" si="18"/>
        <v>1</v>
      </c>
      <c r="H107" s="1679">
        <f>PRODUCT(G$4:G107)</f>
        <v>1</v>
      </c>
      <c r="J107" s="1680">
        <v>0</v>
      </c>
      <c r="K107" s="1680">
        <v>0</v>
      </c>
      <c r="L107" s="1680">
        <v>0</v>
      </c>
      <c r="N107" s="1681"/>
      <c r="O107" s="1681"/>
      <c r="P107" s="1681"/>
      <c r="Q107" s="1681"/>
      <c r="R107" s="1681"/>
      <c r="T107" s="1681"/>
      <c r="U107" s="1681"/>
      <c r="W107" s="1681">
        <f t="shared" si="19"/>
        <v>0</v>
      </c>
      <c r="X107" s="1681"/>
      <c r="Y107" s="1681">
        <f t="shared" si="20"/>
        <v>0</v>
      </c>
      <c r="Z107" s="1681"/>
      <c r="AB107" s="1682"/>
      <c r="AC107" s="1682"/>
      <c r="AE107" s="1683"/>
      <c r="AF107" s="1683"/>
      <c r="AG107" s="1683"/>
      <c r="AH107" s="1683"/>
      <c r="AI107" s="1683"/>
      <c r="AJ107" s="1683"/>
      <c r="AK107" s="1683"/>
      <c r="AL107" s="1683"/>
      <c r="AM107" s="1683"/>
      <c r="AN107" s="1683"/>
      <c r="AO107" s="1683"/>
      <c r="AP107" s="1683"/>
      <c r="AQ107" s="1683"/>
      <c r="AR107" s="1683"/>
      <c r="AS107" s="1683"/>
      <c r="AT107" s="1683"/>
      <c r="AU107" s="1683"/>
      <c r="AV107" s="1683"/>
      <c r="AW107" s="1683"/>
      <c r="AX107" s="1683"/>
      <c r="AY107" s="1683"/>
      <c r="AZ107" s="1683"/>
      <c r="BA107" s="1683"/>
      <c r="BB107" s="1683"/>
    </row>
    <row r="108" spans="1:54">
      <c r="A108" s="326">
        <f t="shared" si="21"/>
        <v>36677</v>
      </c>
      <c r="B108" s="1678">
        <v>100.5</v>
      </c>
      <c r="C108" s="1679">
        <f t="shared" si="17"/>
        <v>1.005</v>
      </c>
      <c r="D108" s="1679">
        <f>PRODUCT(C$4:C108)</f>
        <v>2.92390142298898</v>
      </c>
      <c r="F108" s="1678">
        <v>100</v>
      </c>
      <c r="G108" s="1679">
        <f t="shared" si="18"/>
        <v>1</v>
      </c>
      <c r="H108" s="1679">
        <f>PRODUCT(G$4:G108)</f>
        <v>1</v>
      </c>
      <c r="J108" s="1680">
        <v>0</v>
      </c>
      <c r="K108" s="1680">
        <v>0</v>
      </c>
      <c r="L108" s="1680">
        <v>0</v>
      </c>
      <c r="N108" s="1681"/>
      <c r="O108" s="1681"/>
      <c r="P108" s="1681"/>
      <c r="Q108" s="1681"/>
      <c r="R108" s="1681"/>
      <c r="T108" s="1681"/>
      <c r="U108" s="1681"/>
      <c r="W108" s="1681">
        <f t="shared" si="19"/>
        <v>0</v>
      </c>
      <c r="X108" s="1681"/>
      <c r="Y108" s="1681">
        <f t="shared" si="20"/>
        <v>0</v>
      </c>
      <c r="Z108" s="1681"/>
      <c r="AB108" s="1682"/>
      <c r="AC108" s="1682"/>
      <c r="AE108" s="1683"/>
      <c r="AF108" s="1683"/>
      <c r="AG108" s="1683"/>
      <c r="AH108" s="1683"/>
      <c r="AI108" s="1683"/>
      <c r="AJ108" s="1683"/>
      <c r="AK108" s="1683"/>
      <c r="AL108" s="1683"/>
      <c r="AM108" s="1683"/>
      <c r="AN108" s="1683"/>
      <c r="AO108" s="1683"/>
      <c r="AP108" s="1683"/>
      <c r="AQ108" s="1683"/>
      <c r="AR108" s="1683"/>
      <c r="AS108" s="1683"/>
      <c r="AT108" s="1683"/>
      <c r="AU108" s="1683"/>
      <c r="AV108" s="1683"/>
      <c r="AW108" s="1683"/>
      <c r="AX108" s="1683"/>
      <c r="AY108" s="1683"/>
      <c r="AZ108" s="1683"/>
      <c r="BA108" s="1683"/>
      <c r="BB108" s="1683"/>
    </row>
    <row r="109" spans="1:54">
      <c r="A109" s="326">
        <f t="shared" si="21"/>
        <v>36707</v>
      </c>
      <c r="B109" s="1678">
        <v>100.7</v>
      </c>
      <c r="C109" s="1679">
        <f t="shared" si="17"/>
        <v>1.007</v>
      </c>
      <c r="D109" s="1679">
        <f>PRODUCT(C$4:C109)</f>
        <v>2.9443687329499</v>
      </c>
      <c r="F109" s="1678">
        <v>100</v>
      </c>
      <c r="G109" s="1679">
        <f t="shared" si="18"/>
        <v>1</v>
      </c>
      <c r="H109" s="1679">
        <f>PRODUCT(G$4:G109)</f>
        <v>1</v>
      </c>
      <c r="J109" s="1680">
        <v>0</v>
      </c>
      <c r="K109" s="1680">
        <v>0</v>
      </c>
      <c r="L109" s="1680">
        <v>0</v>
      </c>
      <c r="N109" s="1681"/>
      <c r="O109" s="1681"/>
      <c r="P109" s="1681"/>
      <c r="Q109" s="1681"/>
      <c r="R109" s="1681"/>
      <c r="T109" s="1681"/>
      <c r="U109" s="1681"/>
      <c r="W109" s="1681">
        <f t="shared" si="19"/>
        <v>0</v>
      </c>
      <c r="X109" s="1681"/>
      <c r="Y109" s="1681">
        <f t="shared" si="20"/>
        <v>0</v>
      </c>
      <c r="Z109" s="1681"/>
      <c r="AB109" s="1682"/>
      <c r="AC109" s="1682"/>
      <c r="AE109" s="1683"/>
      <c r="AF109" s="1683"/>
      <c r="AG109" s="1683"/>
      <c r="AH109" s="1683"/>
      <c r="AI109" s="1683"/>
      <c r="AJ109" s="1683"/>
      <c r="AK109" s="1683"/>
      <c r="AL109" s="1683"/>
      <c r="AM109" s="1683"/>
      <c r="AN109" s="1683"/>
      <c r="AO109" s="1683"/>
      <c r="AP109" s="1683"/>
      <c r="AQ109" s="1683"/>
      <c r="AR109" s="1683"/>
      <c r="AS109" s="1683"/>
      <c r="AT109" s="1683"/>
      <c r="AU109" s="1683"/>
      <c r="AV109" s="1683"/>
      <c r="AW109" s="1683"/>
      <c r="AX109" s="1683"/>
      <c r="AY109" s="1683"/>
      <c r="AZ109" s="1683"/>
      <c r="BA109" s="1683"/>
      <c r="BB109" s="1683"/>
    </row>
    <row r="110" spans="1:54">
      <c r="A110" s="326">
        <f t="shared" si="21"/>
        <v>36738</v>
      </c>
      <c r="B110" s="1678">
        <v>100.8</v>
      </c>
      <c r="C110" s="1679">
        <f t="shared" si="17"/>
        <v>1.008</v>
      </c>
      <c r="D110" s="1679">
        <f>PRODUCT(C$4:C110)</f>
        <v>2.9679236828135</v>
      </c>
      <c r="F110" s="1678">
        <v>100</v>
      </c>
      <c r="G110" s="1679">
        <f t="shared" si="18"/>
        <v>1</v>
      </c>
      <c r="H110" s="1679">
        <f>PRODUCT(G$4:G110)</f>
        <v>1</v>
      </c>
      <c r="J110" s="1680">
        <v>0</v>
      </c>
      <c r="K110" s="1680">
        <v>0</v>
      </c>
      <c r="L110" s="1680">
        <v>0</v>
      </c>
      <c r="N110" s="1681"/>
      <c r="O110" s="1681"/>
      <c r="P110" s="1681"/>
      <c r="Q110" s="1681"/>
      <c r="R110" s="1681"/>
      <c r="T110" s="1681"/>
      <c r="U110" s="1681"/>
      <c r="W110" s="1681">
        <f t="shared" si="19"/>
        <v>0</v>
      </c>
      <c r="X110" s="1681"/>
      <c r="Y110" s="1681">
        <f t="shared" si="20"/>
        <v>0</v>
      </c>
      <c r="Z110" s="1681"/>
      <c r="AB110" s="1682"/>
      <c r="AC110" s="1682"/>
      <c r="AE110" s="1683"/>
      <c r="AF110" s="1683"/>
      <c r="AG110" s="1683"/>
      <c r="AH110" s="1683"/>
      <c r="AI110" s="1683"/>
      <c r="AJ110" s="1683"/>
      <c r="AK110" s="1683"/>
      <c r="AL110" s="1683"/>
      <c r="AM110" s="1683"/>
      <c r="AN110" s="1683"/>
      <c r="AO110" s="1683"/>
      <c r="AP110" s="1683"/>
      <c r="AQ110" s="1683"/>
      <c r="AR110" s="1683"/>
      <c r="AS110" s="1683"/>
      <c r="AT110" s="1683"/>
      <c r="AU110" s="1683"/>
      <c r="AV110" s="1683"/>
      <c r="AW110" s="1683"/>
      <c r="AX110" s="1683"/>
      <c r="AY110" s="1683"/>
      <c r="AZ110" s="1683"/>
      <c r="BA110" s="1683"/>
      <c r="BB110" s="1683"/>
    </row>
    <row r="111" spans="1:54">
      <c r="A111" s="326">
        <f t="shared" si="21"/>
        <v>36769</v>
      </c>
      <c r="B111" s="1678">
        <v>100</v>
      </c>
      <c r="C111" s="1679">
        <f t="shared" si="17"/>
        <v>1</v>
      </c>
      <c r="D111" s="1679">
        <f>PRODUCT(C$4:C111)</f>
        <v>2.9679236828135</v>
      </c>
      <c r="F111" s="1678">
        <v>100</v>
      </c>
      <c r="G111" s="1679">
        <f t="shared" si="18"/>
        <v>1</v>
      </c>
      <c r="H111" s="1679">
        <f>PRODUCT(G$4:G111)</f>
        <v>1</v>
      </c>
      <c r="J111" s="1680">
        <v>0</v>
      </c>
      <c r="K111" s="1680">
        <v>0</v>
      </c>
      <c r="L111" s="1680">
        <v>0</v>
      </c>
      <c r="N111" s="1681"/>
      <c r="O111" s="1681"/>
      <c r="P111" s="1681"/>
      <c r="Q111" s="1681"/>
      <c r="R111" s="1681"/>
      <c r="T111" s="1681"/>
      <c r="U111" s="1681"/>
      <c r="W111" s="1681">
        <f t="shared" si="19"/>
        <v>0</v>
      </c>
      <c r="X111" s="1681"/>
      <c r="Y111" s="1681">
        <f t="shared" si="20"/>
        <v>0</v>
      </c>
      <c r="Z111" s="1681"/>
      <c r="AB111" s="1682"/>
      <c r="AC111" s="1682"/>
      <c r="AE111" s="1683"/>
      <c r="AF111" s="1683"/>
      <c r="AG111" s="1683"/>
      <c r="AH111" s="1683"/>
      <c r="AI111" s="1683"/>
      <c r="AJ111" s="1683"/>
      <c r="AK111" s="1683"/>
      <c r="AL111" s="1683"/>
      <c r="AM111" s="1683"/>
      <c r="AN111" s="1683"/>
      <c r="AO111" s="1683"/>
      <c r="AP111" s="1683"/>
      <c r="AQ111" s="1683"/>
      <c r="AR111" s="1683"/>
      <c r="AS111" s="1683"/>
      <c r="AT111" s="1683"/>
      <c r="AU111" s="1683"/>
      <c r="AV111" s="1683"/>
      <c r="AW111" s="1683"/>
      <c r="AX111" s="1683"/>
      <c r="AY111" s="1683"/>
      <c r="AZ111" s="1683"/>
      <c r="BA111" s="1683"/>
      <c r="BB111" s="1683"/>
    </row>
    <row r="112" spans="1:54">
      <c r="A112" s="326">
        <f t="shared" si="21"/>
        <v>36799</v>
      </c>
      <c r="B112" s="1678">
        <v>100.9</v>
      </c>
      <c r="C112" s="1679">
        <f t="shared" si="17"/>
        <v>1.009</v>
      </c>
      <c r="D112" s="1679">
        <f>PRODUCT(C$4:C112)</f>
        <v>2.99463499595882</v>
      </c>
      <c r="F112" s="1678">
        <v>100</v>
      </c>
      <c r="G112" s="1679">
        <f t="shared" si="18"/>
        <v>1</v>
      </c>
      <c r="H112" s="1679">
        <f>PRODUCT(G$4:G112)</f>
        <v>1</v>
      </c>
      <c r="J112" s="1680">
        <v>0</v>
      </c>
      <c r="K112" s="1680">
        <v>0</v>
      </c>
      <c r="L112" s="1680">
        <v>0</v>
      </c>
      <c r="N112" s="1681"/>
      <c r="O112" s="1681"/>
      <c r="P112" s="1681"/>
      <c r="Q112" s="1681"/>
      <c r="R112" s="1681"/>
      <c r="T112" s="1681"/>
      <c r="U112" s="1681"/>
      <c r="W112" s="1681">
        <f t="shared" si="19"/>
        <v>0</v>
      </c>
      <c r="X112" s="1681"/>
      <c r="Y112" s="1681">
        <f t="shared" si="20"/>
        <v>0</v>
      </c>
      <c r="Z112" s="1681"/>
      <c r="AB112" s="1682"/>
      <c r="AC112" s="1682"/>
      <c r="AE112" s="1683"/>
      <c r="AF112" s="1683"/>
      <c r="AG112" s="1683"/>
      <c r="AH112" s="1683"/>
      <c r="AI112" s="1683"/>
      <c r="AJ112" s="1683"/>
      <c r="AK112" s="1683"/>
      <c r="AL112" s="1683"/>
      <c r="AM112" s="1683"/>
      <c r="AN112" s="1683"/>
      <c r="AO112" s="1683"/>
      <c r="AP112" s="1683"/>
      <c r="AQ112" s="1683"/>
      <c r="AR112" s="1683"/>
      <c r="AS112" s="1683"/>
      <c r="AT112" s="1683"/>
      <c r="AU112" s="1683"/>
      <c r="AV112" s="1683"/>
      <c r="AW112" s="1683"/>
      <c r="AX112" s="1683"/>
      <c r="AY112" s="1683"/>
      <c r="AZ112" s="1683"/>
      <c r="BA112" s="1683"/>
      <c r="BB112" s="1683"/>
    </row>
    <row r="113" spans="1:54">
      <c r="A113" s="326">
        <f t="shared" si="21"/>
        <v>36830</v>
      </c>
      <c r="B113" s="1678">
        <v>101.2</v>
      </c>
      <c r="C113" s="1679">
        <f t="shared" si="17"/>
        <v>1.012</v>
      </c>
      <c r="D113" s="1679">
        <f>PRODUCT(C$4:C113)</f>
        <v>3.03057061591033</v>
      </c>
      <c r="F113" s="1678">
        <v>100</v>
      </c>
      <c r="G113" s="1679">
        <f t="shared" si="18"/>
        <v>1</v>
      </c>
      <c r="H113" s="1679">
        <f>PRODUCT(G$4:G113)</f>
        <v>1</v>
      </c>
      <c r="J113" s="1680">
        <v>0</v>
      </c>
      <c r="K113" s="1680">
        <v>0</v>
      </c>
      <c r="L113" s="1680">
        <v>0</v>
      </c>
      <c r="N113" s="1681"/>
      <c r="O113" s="1681"/>
      <c r="P113" s="1681"/>
      <c r="Q113" s="1681"/>
      <c r="R113" s="1681"/>
      <c r="T113" s="1681"/>
      <c r="U113" s="1681"/>
      <c r="W113" s="1681">
        <f t="shared" si="19"/>
        <v>0</v>
      </c>
      <c r="X113" s="1681"/>
      <c r="Y113" s="1681">
        <f t="shared" si="20"/>
        <v>0</v>
      </c>
      <c r="Z113" s="1681"/>
      <c r="AB113" s="1682"/>
      <c r="AC113" s="1682"/>
      <c r="AE113" s="1683"/>
      <c r="AF113" s="1683"/>
      <c r="AG113" s="1683"/>
      <c r="AH113" s="1683"/>
      <c r="AI113" s="1683"/>
      <c r="AJ113" s="1683"/>
      <c r="AK113" s="1683"/>
      <c r="AL113" s="1683"/>
      <c r="AM113" s="1683"/>
      <c r="AN113" s="1683"/>
      <c r="AO113" s="1683"/>
      <c r="AP113" s="1683"/>
      <c r="AQ113" s="1683"/>
      <c r="AR113" s="1683"/>
      <c r="AS113" s="1683"/>
      <c r="AT113" s="1683"/>
      <c r="AU113" s="1683"/>
      <c r="AV113" s="1683"/>
      <c r="AW113" s="1683"/>
      <c r="AX113" s="1683"/>
      <c r="AY113" s="1683"/>
      <c r="AZ113" s="1683"/>
      <c r="BA113" s="1683"/>
      <c r="BB113" s="1683"/>
    </row>
    <row r="114" spans="1:54">
      <c r="A114" s="326">
        <f t="shared" si="21"/>
        <v>36860</v>
      </c>
      <c r="B114" s="1678">
        <v>100</v>
      </c>
      <c r="C114" s="1679">
        <f t="shared" si="17"/>
        <v>1</v>
      </c>
      <c r="D114" s="1679">
        <f>PRODUCT(C$4:C114)</f>
        <v>3.03057061591033</v>
      </c>
      <c r="F114" s="1678">
        <v>100</v>
      </c>
      <c r="G114" s="1679">
        <f t="shared" si="18"/>
        <v>1</v>
      </c>
      <c r="H114" s="1679">
        <f>PRODUCT(G$4:G114)</f>
        <v>1</v>
      </c>
      <c r="J114" s="1680">
        <v>0</v>
      </c>
      <c r="K114" s="1680">
        <v>0</v>
      </c>
      <c r="L114" s="1680">
        <v>0</v>
      </c>
      <c r="N114" s="1681"/>
      <c r="O114" s="1681"/>
      <c r="P114" s="1681"/>
      <c r="Q114" s="1681"/>
      <c r="R114" s="1681"/>
      <c r="T114" s="1681"/>
      <c r="U114" s="1681"/>
      <c r="W114" s="1681">
        <f t="shared" si="19"/>
        <v>0</v>
      </c>
      <c r="X114" s="1681"/>
      <c r="Y114" s="1681">
        <f t="shared" si="20"/>
        <v>0</v>
      </c>
      <c r="Z114" s="1681"/>
      <c r="AB114" s="1682"/>
      <c r="AC114" s="1682"/>
      <c r="AE114" s="1683"/>
      <c r="AF114" s="1683"/>
      <c r="AG114" s="1683"/>
      <c r="AH114" s="1683"/>
      <c r="AI114" s="1683"/>
      <c r="AJ114" s="1683"/>
      <c r="AK114" s="1683"/>
      <c r="AL114" s="1683"/>
      <c r="AM114" s="1683"/>
      <c r="AN114" s="1683"/>
      <c r="AO114" s="1683"/>
      <c r="AP114" s="1683"/>
      <c r="AQ114" s="1683"/>
      <c r="AR114" s="1683"/>
      <c r="AS114" s="1683"/>
      <c r="AT114" s="1683"/>
      <c r="AU114" s="1683"/>
      <c r="AV114" s="1683"/>
      <c r="AW114" s="1683"/>
      <c r="AX114" s="1683"/>
      <c r="AY114" s="1683"/>
      <c r="AZ114" s="1683"/>
      <c r="BA114" s="1683"/>
      <c r="BB114" s="1683"/>
    </row>
    <row r="115" spans="1:54">
      <c r="A115" s="326">
        <f t="shared" si="21"/>
        <v>36891</v>
      </c>
      <c r="B115" s="1678">
        <v>98.3</v>
      </c>
      <c r="C115" s="1679">
        <f t="shared" si="17"/>
        <v>0.983</v>
      </c>
      <c r="D115" s="1679">
        <f>PRODUCT(C$4:C115)</f>
        <v>2.97905091543985</v>
      </c>
      <c r="F115" s="1678">
        <v>100</v>
      </c>
      <c r="G115" s="1679">
        <f t="shared" si="18"/>
        <v>1</v>
      </c>
      <c r="H115" s="1679">
        <f>PRODUCT(G$4:G115)</f>
        <v>1</v>
      </c>
      <c r="J115" s="1680">
        <v>0</v>
      </c>
      <c r="K115" s="1680">
        <v>0</v>
      </c>
      <c r="L115" s="1680">
        <v>0</v>
      </c>
      <c r="N115" s="1681"/>
      <c r="O115" s="1681"/>
      <c r="P115" s="1681"/>
      <c r="Q115" s="1681"/>
      <c r="R115" s="1681"/>
      <c r="T115" s="1681"/>
      <c r="U115" s="1681"/>
      <c r="W115" s="1681">
        <f t="shared" si="19"/>
        <v>0</v>
      </c>
      <c r="X115" s="1681"/>
      <c r="Y115" s="1681">
        <f t="shared" si="20"/>
        <v>0</v>
      </c>
      <c r="Z115" s="1681"/>
      <c r="AB115" s="1682"/>
      <c r="AC115" s="1682"/>
      <c r="AE115" s="1683"/>
      <c r="AF115" s="1683"/>
      <c r="AG115" s="1683"/>
      <c r="AH115" s="1683"/>
      <c r="AI115" s="1683"/>
      <c r="AJ115" s="1683"/>
      <c r="AK115" s="1683"/>
      <c r="AL115" s="1683"/>
      <c r="AM115" s="1683"/>
      <c r="AN115" s="1683"/>
      <c r="AO115" s="1683"/>
      <c r="AP115" s="1683"/>
      <c r="AQ115" s="1683"/>
      <c r="AR115" s="1683"/>
      <c r="AS115" s="1683"/>
      <c r="AT115" s="1683"/>
      <c r="AU115" s="1683"/>
      <c r="AV115" s="1683"/>
      <c r="AW115" s="1683"/>
      <c r="AX115" s="1683"/>
      <c r="AY115" s="1683"/>
      <c r="AZ115" s="1683"/>
      <c r="BA115" s="1683"/>
      <c r="BB115" s="1683"/>
    </row>
    <row r="116" spans="1:54">
      <c r="A116" s="326">
        <f t="shared" si="21"/>
        <v>36922</v>
      </c>
      <c r="B116" s="1678">
        <v>97.9</v>
      </c>
      <c r="C116" s="1679">
        <f t="shared" si="17"/>
        <v>0.979</v>
      </c>
      <c r="D116" s="1679">
        <f>PRODUCT(C$4:C116)</f>
        <v>2.91649084621561</v>
      </c>
      <c r="F116" s="1678">
        <v>100</v>
      </c>
      <c r="G116" s="1679">
        <f t="shared" si="18"/>
        <v>1</v>
      </c>
      <c r="H116" s="1679">
        <f>PRODUCT(G$4:G116)</f>
        <v>1</v>
      </c>
      <c r="J116" s="1680">
        <v>0</v>
      </c>
      <c r="K116" s="1680">
        <v>0</v>
      </c>
      <c r="L116" s="1680">
        <v>0</v>
      </c>
      <c r="N116" s="1681"/>
      <c r="O116" s="1681"/>
      <c r="P116" s="1681"/>
      <c r="Q116" s="1681"/>
      <c r="R116" s="1681"/>
      <c r="T116" s="1681"/>
      <c r="U116" s="1681"/>
      <c r="W116" s="1681">
        <f t="shared" si="19"/>
        <v>0</v>
      </c>
      <c r="X116" s="1681"/>
      <c r="Y116" s="1681">
        <f t="shared" si="20"/>
        <v>0</v>
      </c>
      <c r="Z116" s="1681"/>
      <c r="AB116" s="1682"/>
      <c r="AC116" s="1682"/>
      <c r="AE116" s="1683"/>
      <c r="AF116" s="1683"/>
      <c r="AG116" s="1683"/>
      <c r="AH116" s="1683"/>
      <c r="AI116" s="1683"/>
      <c r="AJ116" s="1683"/>
      <c r="AK116" s="1683"/>
      <c r="AL116" s="1683"/>
      <c r="AM116" s="1683"/>
      <c r="AN116" s="1683"/>
      <c r="AO116" s="1683"/>
      <c r="AP116" s="1683"/>
      <c r="AQ116" s="1683"/>
      <c r="AR116" s="1683"/>
      <c r="AS116" s="1683"/>
      <c r="AT116" s="1683"/>
      <c r="AU116" s="1683"/>
      <c r="AV116" s="1683"/>
      <c r="AW116" s="1683"/>
      <c r="AX116" s="1683"/>
      <c r="AY116" s="1683"/>
      <c r="AZ116" s="1683"/>
      <c r="BA116" s="1683"/>
      <c r="BB116" s="1683"/>
    </row>
    <row r="117" spans="1:54">
      <c r="A117" s="326">
        <f t="shared" si="21"/>
        <v>36950</v>
      </c>
      <c r="B117" s="1678">
        <v>99.8</v>
      </c>
      <c r="C117" s="1679">
        <f t="shared" si="17"/>
        <v>0.998</v>
      </c>
      <c r="D117" s="1679">
        <f>PRODUCT(C$4:C117)</f>
        <v>2.91065786452318</v>
      </c>
      <c r="F117" s="1678">
        <v>100</v>
      </c>
      <c r="G117" s="1679">
        <f t="shared" si="18"/>
        <v>1</v>
      </c>
      <c r="H117" s="1679">
        <f>PRODUCT(G$4:G117)</f>
        <v>1</v>
      </c>
      <c r="J117" s="1680">
        <v>0</v>
      </c>
      <c r="K117" s="1680">
        <v>0</v>
      </c>
      <c r="L117" s="1680">
        <v>0</v>
      </c>
      <c r="N117" s="1681"/>
      <c r="O117" s="1681"/>
      <c r="P117" s="1681"/>
      <c r="Q117" s="1681"/>
      <c r="R117" s="1681"/>
      <c r="T117" s="1681"/>
      <c r="U117" s="1681"/>
      <c r="W117" s="1681">
        <f t="shared" si="19"/>
        <v>0</v>
      </c>
      <c r="X117" s="1681"/>
      <c r="Y117" s="1681">
        <f t="shared" si="20"/>
        <v>0</v>
      </c>
      <c r="Z117" s="1681"/>
      <c r="AB117" s="1682"/>
      <c r="AC117" s="1682"/>
      <c r="AE117" s="1683"/>
      <c r="AF117" s="1683"/>
      <c r="AG117" s="1683"/>
      <c r="AH117" s="1683"/>
      <c r="AI117" s="1683"/>
      <c r="AJ117" s="1683"/>
      <c r="AK117" s="1683"/>
      <c r="AL117" s="1683"/>
      <c r="AM117" s="1683"/>
      <c r="AN117" s="1683"/>
      <c r="AO117" s="1683"/>
      <c r="AP117" s="1683"/>
      <c r="AQ117" s="1683"/>
      <c r="AR117" s="1683"/>
      <c r="AS117" s="1683"/>
      <c r="AT117" s="1683"/>
      <c r="AU117" s="1683"/>
      <c r="AV117" s="1683"/>
      <c r="AW117" s="1683"/>
      <c r="AX117" s="1683"/>
      <c r="AY117" s="1683"/>
      <c r="AZ117" s="1683"/>
      <c r="BA117" s="1683"/>
      <c r="BB117" s="1683"/>
    </row>
    <row r="118" spans="1:54">
      <c r="A118" s="326">
        <f t="shared" si="21"/>
        <v>36981</v>
      </c>
      <c r="B118" s="1678">
        <v>99.1</v>
      </c>
      <c r="C118" s="1679">
        <f t="shared" si="17"/>
        <v>0.991</v>
      </c>
      <c r="D118" s="1679">
        <f>PRODUCT(C$4:C118)</f>
        <v>2.88446194374247</v>
      </c>
      <c r="F118" s="1678">
        <v>100</v>
      </c>
      <c r="G118" s="1679">
        <f t="shared" si="18"/>
        <v>1</v>
      </c>
      <c r="H118" s="1679">
        <f>PRODUCT(G$4:G118)</f>
        <v>1</v>
      </c>
      <c r="J118" s="1680">
        <v>0</v>
      </c>
      <c r="K118" s="1680">
        <v>0</v>
      </c>
      <c r="L118" s="1680">
        <v>0</v>
      </c>
      <c r="N118" s="1681"/>
      <c r="O118" s="1681"/>
      <c r="P118" s="1681"/>
      <c r="Q118" s="1681"/>
      <c r="R118" s="1681"/>
      <c r="T118" s="1681"/>
      <c r="U118" s="1681"/>
      <c r="W118" s="1681">
        <f t="shared" si="19"/>
        <v>0</v>
      </c>
      <c r="X118" s="1681"/>
      <c r="Y118" s="1681">
        <f t="shared" si="20"/>
        <v>0</v>
      </c>
      <c r="Z118" s="1681"/>
      <c r="AB118" s="1682"/>
      <c r="AC118" s="1682"/>
      <c r="AE118" s="1683"/>
      <c r="AF118" s="1683"/>
      <c r="AG118" s="1683"/>
      <c r="AH118" s="1683"/>
      <c r="AI118" s="1683"/>
      <c r="AJ118" s="1683"/>
      <c r="AK118" s="1683"/>
      <c r="AL118" s="1683"/>
      <c r="AM118" s="1683"/>
      <c r="AN118" s="1683"/>
      <c r="AO118" s="1683"/>
      <c r="AP118" s="1683"/>
      <c r="AQ118" s="1683"/>
      <c r="AR118" s="1683"/>
      <c r="AS118" s="1683"/>
      <c r="AT118" s="1683"/>
      <c r="AU118" s="1683"/>
      <c r="AV118" s="1683"/>
      <c r="AW118" s="1683"/>
      <c r="AX118" s="1683"/>
      <c r="AY118" s="1683"/>
      <c r="AZ118" s="1683"/>
      <c r="BA118" s="1683"/>
      <c r="BB118" s="1683"/>
    </row>
    <row r="119" spans="1:54">
      <c r="A119" s="326">
        <f t="shared" si="21"/>
        <v>37011</v>
      </c>
      <c r="B119" s="1678">
        <v>99.9</v>
      </c>
      <c r="C119" s="1679">
        <f t="shared" si="17"/>
        <v>0.999</v>
      </c>
      <c r="D119" s="1679">
        <f>PRODUCT(C$4:C119)</f>
        <v>2.88157748179873</v>
      </c>
      <c r="F119" s="1678">
        <v>100</v>
      </c>
      <c r="G119" s="1679">
        <f t="shared" si="18"/>
        <v>1</v>
      </c>
      <c r="H119" s="1679">
        <f>PRODUCT(G$4:G119)</f>
        <v>1</v>
      </c>
      <c r="J119" s="1680">
        <v>0</v>
      </c>
      <c r="K119" s="1680">
        <v>0</v>
      </c>
      <c r="L119" s="1680">
        <v>0</v>
      </c>
      <c r="N119" s="1681"/>
      <c r="O119" s="1681"/>
      <c r="P119" s="1681"/>
      <c r="Q119" s="1681"/>
      <c r="R119" s="1681"/>
      <c r="T119" s="1681"/>
      <c r="U119" s="1681"/>
      <c r="W119" s="1681">
        <f t="shared" si="19"/>
        <v>0</v>
      </c>
      <c r="X119" s="1681"/>
      <c r="Y119" s="1681">
        <f t="shared" si="20"/>
        <v>0</v>
      </c>
      <c r="Z119" s="1681"/>
      <c r="AB119" s="1682"/>
      <c r="AC119" s="1682"/>
      <c r="AE119" s="1683"/>
      <c r="AF119" s="1683"/>
      <c r="AG119" s="1683"/>
      <c r="AH119" s="1683"/>
      <c r="AI119" s="1683"/>
      <c r="AJ119" s="1683"/>
      <c r="AK119" s="1683"/>
      <c r="AL119" s="1683"/>
      <c r="AM119" s="1683"/>
      <c r="AN119" s="1683"/>
      <c r="AO119" s="1683"/>
      <c r="AP119" s="1683"/>
      <c r="AQ119" s="1683"/>
      <c r="AR119" s="1683"/>
      <c r="AS119" s="1683"/>
      <c r="AT119" s="1683"/>
      <c r="AU119" s="1683"/>
      <c r="AV119" s="1683"/>
      <c r="AW119" s="1683"/>
      <c r="AX119" s="1683"/>
      <c r="AY119" s="1683"/>
      <c r="AZ119" s="1683"/>
      <c r="BA119" s="1683"/>
      <c r="BB119" s="1683"/>
    </row>
    <row r="120" spans="1:54">
      <c r="A120" s="326">
        <f t="shared" si="21"/>
        <v>37042</v>
      </c>
      <c r="B120" s="1678">
        <v>100.4</v>
      </c>
      <c r="C120" s="1679">
        <f t="shared" si="17"/>
        <v>1.004</v>
      </c>
      <c r="D120" s="1679">
        <f>PRODUCT(C$4:C120)</f>
        <v>2.89310379172593</v>
      </c>
      <c r="F120" s="1678">
        <v>100</v>
      </c>
      <c r="G120" s="1679">
        <f t="shared" si="18"/>
        <v>1</v>
      </c>
      <c r="H120" s="1679">
        <f>PRODUCT(G$4:G120)</f>
        <v>1</v>
      </c>
      <c r="J120" s="1680">
        <v>0</v>
      </c>
      <c r="K120" s="1680">
        <v>0</v>
      </c>
      <c r="L120" s="1680">
        <v>0</v>
      </c>
      <c r="N120" s="1681"/>
      <c r="O120" s="1681"/>
      <c r="P120" s="1681"/>
      <c r="Q120" s="1681"/>
      <c r="R120" s="1681"/>
      <c r="T120" s="1681"/>
      <c r="U120" s="1681"/>
      <c r="W120" s="1681">
        <f t="shared" si="19"/>
        <v>0</v>
      </c>
      <c r="X120" s="1681"/>
      <c r="Y120" s="1681">
        <f t="shared" si="20"/>
        <v>0</v>
      </c>
      <c r="Z120" s="1681"/>
      <c r="AB120" s="1682"/>
      <c r="AC120" s="1682"/>
      <c r="AE120" s="1683"/>
      <c r="AF120" s="1683"/>
      <c r="AG120" s="1683"/>
      <c r="AH120" s="1683"/>
      <c r="AI120" s="1683"/>
      <c r="AJ120" s="1683"/>
      <c r="AK120" s="1683"/>
      <c r="AL120" s="1683"/>
      <c r="AM120" s="1683"/>
      <c r="AN120" s="1683"/>
      <c r="AO120" s="1683"/>
      <c r="AP120" s="1683"/>
      <c r="AQ120" s="1683"/>
      <c r="AR120" s="1683"/>
      <c r="AS120" s="1683"/>
      <c r="AT120" s="1683"/>
      <c r="AU120" s="1683"/>
      <c r="AV120" s="1683"/>
      <c r="AW120" s="1683"/>
      <c r="AX120" s="1683"/>
      <c r="AY120" s="1683"/>
      <c r="AZ120" s="1683"/>
      <c r="BA120" s="1683"/>
      <c r="BB120" s="1683"/>
    </row>
    <row r="121" spans="1:54">
      <c r="A121" s="326">
        <f t="shared" si="21"/>
        <v>37072</v>
      </c>
      <c r="B121" s="1678">
        <v>100.3</v>
      </c>
      <c r="C121" s="1679">
        <f t="shared" si="17"/>
        <v>1.003</v>
      </c>
      <c r="D121" s="1679">
        <f>PRODUCT(C$4:C121)</f>
        <v>2.9017831031011</v>
      </c>
      <c r="F121" s="1678">
        <v>100</v>
      </c>
      <c r="G121" s="1679">
        <f t="shared" si="18"/>
        <v>1</v>
      </c>
      <c r="H121" s="1679">
        <f>PRODUCT(G$4:G121)</f>
        <v>1</v>
      </c>
      <c r="J121" s="1680">
        <v>0</v>
      </c>
      <c r="K121" s="1680">
        <v>0</v>
      </c>
      <c r="L121" s="1680">
        <v>0</v>
      </c>
      <c r="N121" s="1681"/>
      <c r="O121" s="1681"/>
      <c r="P121" s="1681"/>
      <c r="Q121" s="1681"/>
      <c r="R121" s="1681"/>
      <c r="T121" s="1681"/>
      <c r="U121" s="1681"/>
      <c r="W121" s="1681">
        <f t="shared" si="19"/>
        <v>0</v>
      </c>
      <c r="X121" s="1681"/>
      <c r="Y121" s="1681">
        <f t="shared" si="20"/>
        <v>0</v>
      </c>
      <c r="Z121" s="1681"/>
      <c r="AB121" s="1682"/>
      <c r="AC121" s="1682"/>
      <c r="AE121" s="1683"/>
      <c r="AF121" s="1683"/>
      <c r="AG121" s="1683"/>
      <c r="AH121" s="1683"/>
      <c r="AI121" s="1683"/>
      <c r="AJ121" s="1683"/>
      <c r="AK121" s="1683"/>
      <c r="AL121" s="1683"/>
      <c r="AM121" s="1683"/>
      <c r="AN121" s="1683"/>
      <c r="AO121" s="1683"/>
      <c r="AP121" s="1683"/>
      <c r="AQ121" s="1683"/>
      <c r="AR121" s="1683"/>
      <c r="AS121" s="1683"/>
      <c r="AT121" s="1683"/>
      <c r="AU121" s="1683"/>
      <c r="AV121" s="1683"/>
      <c r="AW121" s="1683"/>
      <c r="AX121" s="1683"/>
      <c r="AY121" s="1683"/>
      <c r="AZ121" s="1683"/>
      <c r="BA121" s="1683"/>
      <c r="BB121" s="1683"/>
    </row>
    <row r="122" spans="1:54">
      <c r="A122" s="326">
        <f t="shared" si="21"/>
        <v>37103</v>
      </c>
      <c r="B122" s="1678">
        <v>100.1</v>
      </c>
      <c r="C122" s="1679">
        <f t="shared" si="17"/>
        <v>1.001</v>
      </c>
      <c r="D122" s="1679">
        <f>PRODUCT(C$4:C122)</f>
        <v>2.9046848862042</v>
      </c>
      <c r="F122" s="1678">
        <v>100</v>
      </c>
      <c r="G122" s="1679">
        <f t="shared" si="18"/>
        <v>1</v>
      </c>
      <c r="H122" s="1679">
        <f>PRODUCT(G$4:G122)</f>
        <v>1</v>
      </c>
      <c r="J122" s="1680">
        <v>0</v>
      </c>
      <c r="K122" s="1680">
        <v>0</v>
      </c>
      <c r="L122" s="1680">
        <v>0</v>
      </c>
      <c r="N122" s="1681"/>
      <c r="O122" s="1681"/>
      <c r="P122" s="1681"/>
      <c r="Q122" s="1681"/>
      <c r="R122" s="1681"/>
      <c r="T122" s="1681"/>
      <c r="U122" s="1681"/>
      <c r="W122" s="1681">
        <f t="shared" si="19"/>
        <v>0</v>
      </c>
      <c r="X122" s="1681"/>
      <c r="Y122" s="1681">
        <f t="shared" si="20"/>
        <v>0</v>
      </c>
      <c r="Z122" s="1681"/>
      <c r="AB122" s="1682"/>
      <c r="AC122" s="1682"/>
      <c r="AE122" s="1683"/>
      <c r="AF122" s="1683"/>
      <c r="AG122" s="1683"/>
      <c r="AH122" s="1683"/>
      <c r="AI122" s="1683"/>
      <c r="AJ122" s="1683"/>
      <c r="AK122" s="1683"/>
      <c r="AL122" s="1683"/>
      <c r="AM122" s="1683"/>
      <c r="AN122" s="1683"/>
      <c r="AO122" s="1683"/>
      <c r="AP122" s="1683"/>
      <c r="AQ122" s="1683"/>
      <c r="AR122" s="1683"/>
      <c r="AS122" s="1683"/>
      <c r="AT122" s="1683"/>
      <c r="AU122" s="1683"/>
      <c r="AV122" s="1683"/>
      <c r="AW122" s="1683"/>
      <c r="AX122" s="1683"/>
      <c r="AY122" s="1683"/>
      <c r="AZ122" s="1683"/>
      <c r="BA122" s="1683"/>
      <c r="BB122" s="1683"/>
    </row>
    <row r="123" spans="1:54">
      <c r="A123" s="326">
        <f t="shared" si="21"/>
        <v>37134</v>
      </c>
      <c r="B123" s="1678">
        <v>99.3</v>
      </c>
      <c r="C123" s="1679">
        <f t="shared" si="17"/>
        <v>0.993</v>
      </c>
      <c r="D123" s="1679">
        <f>PRODUCT(C$4:C123)</f>
        <v>2.88435209200078</v>
      </c>
      <c r="F123" s="1678">
        <v>100</v>
      </c>
      <c r="G123" s="1679">
        <f t="shared" si="18"/>
        <v>1</v>
      </c>
      <c r="H123" s="1679">
        <f>PRODUCT(G$4:G123)</f>
        <v>1</v>
      </c>
      <c r="J123" s="1680">
        <v>0</v>
      </c>
      <c r="K123" s="1680">
        <v>0</v>
      </c>
      <c r="L123" s="1680">
        <v>0</v>
      </c>
      <c r="N123" s="1681"/>
      <c r="O123" s="1681"/>
      <c r="P123" s="1681"/>
      <c r="Q123" s="1681"/>
      <c r="R123" s="1681"/>
      <c r="T123" s="1681"/>
      <c r="U123" s="1681"/>
      <c r="W123" s="1681">
        <f t="shared" si="19"/>
        <v>0</v>
      </c>
      <c r="X123" s="1681"/>
      <c r="Y123" s="1681">
        <f t="shared" si="20"/>
        <v>0</v>
      </c>
      <c r="Z123" s="1681"/>
      <c r="AB123" s="1682"/>
      <c r="AC123" s="1682"/>
      <c r="AE123" s="1683"/>
      <c r="AF123" s="1683"/>
      <c r="AG123" s="1683"/>
      <c r="AH123" s="1683"/>
      <c r="AI123" s="1683"/>
      <c r="AJ123" s="1683"/>
      <c r="AK123" s="1683"/>
      <c r="AL123" s="1683"/>
      <c r="AM123" s="1683"/>
      <c r="AN123" s="1683"/>
      <c r="AO123" s="1683"/>
      <c r="AP123" s="1683"/>
      <c r="AQ123" s="1683"/>
      <c r="AR123" s="1683"/>
      <c r="AS123" s="1683"/>
      <c r="AT123" s="1683"/>
      <c r="AU123" s="1683"/>
      <c r="AV123" s="1683"/>
      <c r="AW123" s="1683"/>
      <c r="AX123" s="1683"/>
      <c r="AY123" s="1683"/>
      <c r="AZ123" s="1683"/>
      <c r="BA123" s="1683"/>
      <c r="BB123" s="1683"/>
    </row>
    <row r="124" spans="1:54">
      <c r="A124" s="326">
        <f t="shared" si="21"/>
        <v>37164</v>
      </c>
      <c r="B124" s="1678">
        <v>100</v>
      </c>
      <c r="C124" s="1679">
        <f t="shared" si="17"/>
        <v>1</v>
      </c>
      <c r="D124" s="1679">
        <f>PRODUCT(C$4:C124)</f>
        <v>2.88435209200078</v>
      </c>
      <c r="F124" s="1678">
        <v>100</v>
      </c>
      <c r="G124" s="1679">
        <f t="shared" si="18"/>
        <v>1</v>
      </c>
      <c r="H124" s="1679">
        <f>PRODUCT(G$4:G124)</f>
        <v>1</v>
      </c>
      <c r="J124" s="1680">
        <v>0</v>
      </c>
      <c r="K124" s="1680">
        <v>0</v>
      </c>
      <c r="L124" s="1680">
        <v>0</v>
      </c>
      <c r="N124" s="1681"/>
      <c r="O124" s="1681"/>
      <c r="P124" s="1681"/>
      <c r="Q124" s="1681"/>
      <c r="R124" s="1681"/>
      <c r="T124" s="1681"/>
      <c r="U124" s="1681"/>
      <c r="W124" s="1681">
        <f t="shared" si="19"/>
        <v>0</v>
      </c>
      <c r="X124" s="1681"/>
      <c r="Y124" s="1681">
        <f t="shared" si="20"/>
        <v>0</v>
      </c>
      <c r="Z124" s="1681"/>
      <c r="AB124" s="1682"/>
      <c r="AC124" s="1682"/>
      <c r="AE124" s="1683"/>
      <c r="AF124" s="1683"/>
      <c r="AG124" s="1683"/>
      <c r="AH124" s="1683"/>
      <c r="AI124" s="1683"/>
      <c r="AJ124" s="1683"/>
      <c r="AK124" s="1683"/>
      <c r="AL124" s="1683"/>
      <c r="AM124" s="1683"/>
      <c r="AN124" s="1683"/>
      <c r="AO124" s="1683"/>
      <c r="AP124" s="1683"/>
      <c r="AQ124" s="1683"/>
      <c r="AR124" s="1683"/>
      <c r="AS124" s="1683"/>
      <c r="AT124" s="1683"/>
      <c r="AU124" s="1683"/>
      <c r="AV124" s="1683"/>
      <c r="AW124" s="1683"/>
      <c r="AX124" s="1683"/>
      <c r="AY124" s="1683"/>
      <c r="AZ124" s="1683"/>
      <c r="BA124" s="1683"/>
      <c r="BB124" s="1683"/>
    </row>
    <row r="125" spans="1:54">
      <c r="A125" s="326">
        <f t="shared" si="21"/>
        <v>37195</v>
      </c>
      <c r="B125" s="1678">
        <v>101</v>
      </c>
      <c r="C125" s="1679">
        <f t="shared" si="17"/>
        <v>1.01</v>
      </c>
      <c r="D125" s="1679">
        <f>PRODUCT(C$4:C125)</f>
        <v>2.91319561292078</v>
      </c>
      <c r="F125" s="1678">
        <v>100</v>
      </c>
      <c r="G125" s="1679">
        <f t="shared" si="18"/>
        <v>1</v>
      </c>
      <c r="H125" s="1679">
        <f>PRODUCT(G$4:G125)</f>
        <v>1</v>
      </c>
      <c r="J125" s="1680">
        <v>0</v>
      </c>
      <c r="K125" s="1680">
        <v>0</v>
      </c>
      <c r="L125" s="1680">
        <v>0</v>
      </c>
      <c r="N125" s="1681"/>
      <c r="O125" s="1681"/>
      <c r="P125" s="1681"/>
      <c r="Q125" s="1681"/>
      <c r="R125" s="1681"/>
      <c r="T125" s="1681"/>
      <c r="U125" s="1681"/>
      <c r="W125" s="1681">
        <f t="shared" si="19"/>
        <v>0</v>
      </c>
      <c r="X125" s="1681"/>
      <c r="Y125" s="1681">
        <f t="shared" si="20"/>
        <v>0</v>
      </c>
      <c r="Z125" s="1681"/>
      <c r="AB125" s="1682"/>
      <c r="AC125" s="1682"/>
      <c r="AE125" s="1683"/>
      <c r="AF125" s="1683"/>
      <c r="AG125" s="1683"/>
      <c r="AH125" s="1683"/>
      <c r="AI125" s="1683"/>
      <c r="AJ125" s="1683"/>
      <c r="AK125" s="1683"/>
      <c r="AL125" s="1683"/>
      <c r="AM125" s="1683"/>
      <c r="AN125" s="1683"/>
      <c r="AO125" s="1683"/>
      <c r="AP125" s="1683"/>
      <c r="AQ125" s="1683"/>
      <c r="AR125" s="1683"/>
      <c r="AS125" s="1683"/>
      <c r="AT125" s="1683"/>
      <c r="AU125" s="1683"/>
      <c r="AV125" s="1683"/>
      <c r="AW125" s="1683"/>
      <c r="AX125" s="1683"/>
      <c r="AY125" s="1683"/>
      <c r="AZ125" s="1683"/>
      <c r="BA125" s="1683"/>
      <c r="BB125" s="1683"/>
    </row>
    <row r="126" spans="1:54">
      <c r="A126" s="326">
        <f t="shared" si="21"/>
        <v>37225</v>
      </c>
      <c r="B126" s="1678">
        <v>99.4</v>
      </c>
      <c r="C126" s="1679">
        <f t="shared" si="17"/>
        <v>0.994</v>
      </c>
      <c r="D126" s="1679">
        <f>PRODUCT(C$4:C126)</f>
        <v>2.89571643924326</v>
      </c>
      <c r="F126" s="1678">
        <v>100</v>
      </c>
      <c r="G126" s="1679">
        <f t="shared" si="18"/>
        <v>1</v>
      </c>
      <c r="H126" s="1679">
        <f>PRODUCT(G$4:G126)</f>
        <v>1</v>
      </c>
      <c r="J126" s="1680">
        <v>0</v>
      </c>
      <c r="K126" s="1680">
        <v>0</v>
      </c>
      <c r="L126" s="1680">
        <v>0</v>
      </c>
      <c r="N126" s="1681"/>
      <c r="O126" s="1681"/>
      <c r="P126" s="1681"/>
      <c r="Q126" s="1681"/>
      <c r="R126" s="1681"/>
      <c r="T126" s="1681"/>
      <c r="U126" s="1681"/>
      <c r="W126" s="1681">
        <f t="shared" si="19"/>
        <v>0</v>
      </c>
      <c r="X126" s="1681"/>
      <c r="Y126" s="1681">
        <f t="shared" si="20"/>
        <v>0</v>
      </c>
      <c r="Z126" s="1681"/>
      <c r="AB126" s="1682"/>
      <c r="AC126" s="1682"/>
      <c r="AE126" s="1683"/>
      <c r="AF126" s="1683"/>
      <c r="AG126" s="1683"/>
      <c r="AH126" s="1683"/>
      <c r="AI126" s="1683"/>
      <c r="AJ126" s="1683"/>
      <c r="AK126" s="1683"/>
      <c r="AL126" s="1683"/>
      <c r="AM126" s="1683"/>
      <c r="AN126" s="1683"/>
      <c r="AO126" s="1683"/>
      <c r="AP126" s="1683"/>
      <c r="AQ126" s="1683"/>
      <c r="AR126" s="1683"/>
      <c r="AS126" s="1683"/>
      <c r="AT126" s="1683"/>
      <c r="AU126" s="1683"/>
      <c r="AV126" s="1683"/>
      <c r="AW126" s="1683"/>
      <c r="AX126" s="1683"/>
      <c r="AY126" s="1683"/>
      <c r="AZ126" s="1683"/>
      <c r="BA126" s="1683"/>
      <c r="BB126" s="1683"/>
    </row>
    <row r="127" spans="1:54">
      <c r="A127" s="326">
        <f t="shared" si="21"/>
        <v>37256</v>
      </c>
      <c r="B127" s="1678">
        <v>98</v>
      </c>
      <c r="C127" s="1679">
        <f t="shared" si="17"/>
        <v>0.98</v>
      </c>
      <c r="D127" s="1679">
        <f>PRODUCT(C$4:C127)</f>
        <v>2.83780211045839</v>
      </c>
      <c r="F127" s="1678">
        <v>100</v>
      </c>
      <c r="G127" s="1679">
        <f t="shared" si="18"/>
        <v>1</v>
      </c>
      <c r="H127" s="1679">
        <f>PRODUCT(G$4:G127)</f>
        <v>1</v>
      </c>
      <c r="J127" s="1680">
        <v>0</v>
      </c>
      <c r="K127" s="1680">
        <v>0</v>
      </c>
      <c r="L127" s="1680">
        <v>0</v>
      </c>
      <c r="N127" s="1681"/>
      <c r="O127" s="1681"/>
      <c r="P127" s="1681"/>
      <c r="Q127" s="1681"/>
      <c r="R127" s="1681"/>
      <c r="T127" s="1681"/>
      <c r="U127" s="1681"/>
      <c r="W127" s="1681">
        <f t="shared" si="19"/>
        <v>0</v>
      </c>
      <c r="X127" s="1681"/>
      <c r="Y127" s="1681">
        <f t="shared" si="20"/>
        <v>0</v>
      </c>
      <c r="Z127" s="1681"/>
      <c r="AB127" s="1682"/>
      <c r="AC127" s="1682"/>
      <c r="AE127" s="1683"/>
      <c r="AF127" s="1683"/>
      <c r="AG127" s="1683"/>
      <c r="AH127" s="1683"/>
      <c r="AI127" s="1683"/>
      <c r="AJ127" s="1683"/>
      <c r="AK127" s="1683"/>
      <c r="AL127" s="1683"/>
      <c r="AM127" s="1683"/>
      <c r="AN127" s="1683"/>
      <c r="AO127" s="1683"/>
      <c r="AP127" s="1683"/>
      <c r="AQ127" s="1683"/>
      <c r="AR127" s="1683"/>
      <c r="AS127" s="1683"/>
      <c r="AT127" s="1683"/>
      <c r="AU127" s="1683"/>
      <c r="AV127" s="1683"/>
      <c r="AW127" s="1683"/>
      <c r="AX127" s="1683"/>
      <c r="AY127" s="1683"/>
      <c r="AZ127" s="1683"/>
      <c r="BA127" s="1683"/>
      <c r="BB127" s="1683"/>
    </row>
    <row r="128" spans="1:54">
      <c r="A128" s="326">
        <f t="shared" si="21"/>
        <v>37287</v>
      </c>
      <c r="B128" s="1678">
        <v>97.9</v>
      </c>
      <c r="C128" s="1679">
        <f t="shared" si="17"/>
        <v>0.979</v>
      </c>
      <c r="D128" s="1679">
        <f>PRODUCT(C$4:C128)</f>
        <v>2.77820826613877</v>
      </c>
      <c r="F128" s="1678">
        <v>100</v>
      </c>
      <c r="G128" s="1679">
        <f t="shared" si="18"/>
        <v>1</v>
      </c>
      <c r="H128" s="1679">
        <f>PRODUCT(G$4:G128)</f>
        <v>1</v>
      </c>
      <c r="J128" s="1680">
        <v>0</v>
      </c>
      <c r="K128" s="1680">
        <v>0</v>
      </c>
      <c r="L128" s="1680">
        <v>0</v>
      </c>
      <c r="N128" s="1681"/>
      <c r="O128" s="1681"/>
      <c r="P128" s="1681"/>
      <c r="Q128" s="1681"/>
      <c r="R128" s="1681"/>
      <c r="T128" s="1681"/>
      <c r="U128" s="1681"/>
      <c r="W128" s="1681">
        <f t="shared" si="19"/>
        <v>0</v>
      </c>
      <c r="X128" s="1681"/>
      <c r="Y128" s="1681">
        <f t="shared" si="20"/>
        <v>0</v>
      </c>
      <c r="Z128" s="1681"/>
      <c r="AB128" s="1682"/>
      <c r="AC128" s="1682"/>
      <c r="AE128" s="1683"/>
      <c r="AF128" s="1683"/>
      <c r="AG128" s="1683"/>
      <c r="AH128" s="1683"/>
      <c r="AI128" s="1683"/>
      <c r="AJ128" s="1683"/>
      <c r="AK128" s="1683"/>
      <c r="AL128" s="1683"/>
      <c r="AM128" s="1683"/>
      <c r="AN128" s="1683"/>
      <c r="AO128" s="1683"/>
      <c r="AP128" s="1683"/>
      <c r="AQ128" s="1683"/>
      <c r="AR128" s="1683"/>
      <c r="AS128" s="1683"/>
      <c r="AT128" s="1683"/>
      <c r="AU128" s="1683"/>
      <c r="AV128" s="1683"/>
      <c r="AW128" s="1683"/>
      <c r="AX128" s="1683"/>
      <c r="AY128" s="1683"/>
      <c r="AZ128" s="1683"/>
      <c r="BA128" s="1683"/>
      <c r="BB128" s="1683"/>
    </row>
    <row r="129" spans="1:54">
      <c r="A129" s="326">
        <f t="shared" si="21"/>
        <v>37315</v>
      </c>
      <c r="B129" s="1678">
        <v>99.6</v>
      </c>
      <c r="C129" s="1679">
        <f t="shared" si="17"/>
        <v>0.996</v>
      </c>
      <c r="D129" s="1679">
        <f>PRODUCT(C$4:C129)</f>
        <v>2.76709543307421</v>
      </c>
      <c r="F129" s="1678">
        <v>100</v>
      </c>
      <c r="G129" s="1679">
        <f t="shared" si="18"/>
        <v>1</v>
      </c>
      <c r="H129" s="1679">
        <f>PRODUCT(G$4:G129)</f>
        <v>1</v>
      </c>
      <c r="J129" s="1680">
        <v>0</v>
      </c>
      <c r="K129" s="1680">
        <v>0</v>
      </c>
      <c r="L129" s="1680">
        <v>0</v>
      </c>
      <c r="N129" s="1681"/>
      <c r="O129" s="1681"/>
      <c r="P129" s="1681"/>
      <c r="Q129" s="1681"/>
      <c r="R129" s="1681"/>
      <c r="T129" s="1681"/>
      <c r="U129" s="1681"/>
      <c r="W129" s="1681">
        <f t="shared" si="19"/>
        <v>0</v>
      </c>
      <c r="X129" s="1681"/>
      <c r="Y129" s="1681">
        <f t="shared" si="20"/>
        <v>0</v>
      </c>
      <c r="Z129" s="1681"/>
      <c r="AB129" s="1682"/>
      <c r="AC129" s="1682"/>
      <c r="AE129" s="1683"/>
      <c r="AF129" s="1683"/>
      <c r="AG129" s="1683"/>
      <c r="AH129" s="1683"/>
      <c r="AI129" s="1683"/>
      <c r="AJ129" s="1683"/>
      <c r="AK129" s="1683"/>
      <c r="AL129" s="1683"/>
      <c r="AM129" s="1683"/>
      <c r="AN129" s="1683"/>
      <c r="AO129" s="1683"/>
      <c r="AP129" s="1683"/>
      <c r="AQ129" s="1683"/>
      <c r="AR129" s="1683"/>
      <c r="AS129" s="1683"/>
      <c r="AT129" s="1683"/>
      <c r="AU129" s="1683"/>
      <c r="AV129" s="1683"/>
      <c r="AW129" s="1683"/>
      <c r="AX129" s="1683"/>
      <c r="AY129" s="1683"/>
      <c r="AZ129" s="1683"/>
      <c r="BA129" s="1683"/>
      <c r="BB129" s="1683"/>
    </row>
    <row r="130" spans="1:54">
      <c r="A130" s="326">
        <f t="shared" si="21"/>
        <v>37346</v>
      </c>
      <c r="B130" s="1678">
        <v>99.3</v>
      </c>
      <c r="C130" s="1679">
        <f t="shared" si="17"/>
        <v>0.993</v>
      </c>
      <c r="D130" s="1679">
        <f>PRODUCT(C$4:C130)</f>
        <v>2.74772576504269</v>
      </c>
      <c r="F130" s="1678">
        <v>100</v>
      </c>
      <c r="G130" s="1679">
        <f t="shared" si="18"/>
        <v>1</v>
      </c>
      <c r="H130" s="1679">
        <f>PRODUCT(G$4:G130)</f>
        <v>1</v>
      </c>
      <c r="J130" s="1680">
        <v>0</v>
      </c>
      <c r="K130" s="1680">
        <v>0</v>
      </c>
      <c r="L130" s="1680">
        <v>0</v>
      </c>
      <c r="N130" s="1681"/>
      <c r="O130" s="1681"/>
      <c r="P130" s="1681"/>
      <c r="Q130" s="1681"/>
      <c r="R130" s="1681"/>
      <c r="T130" s="1681"/>
      <c r="U130" s="1681"/>
      <c r="W130" s="1681">
        <f t="shared" si="19"/>
        <v>0</v>
      </c>
      <c r="X130" s="1681"/>
      <c r="Y130" s="1681">
        <f t="shared" si="20"/>
        <v>0</v>
      </c>
      <c r="Z130" s="1681"/>
      <c r="AB130" s="1682"/>
      <c r="AC130" s="1682"/>
      <c r="AE130" s="1683"/>
      <c r="AF130" s="1683"/>
      <c r="AG130" s="1683"/>
      <c r="AH130" s="1683"/>
      <c r="AI130" s="1683"/>
      <c r="AJ130" s="1683"/>
      <c r="AK130" s="1683"/>
      <c r="AL130" s="1683"/>
      <c r="AM130" s="1683"/>
      <c r="AN130" s="1683"/>
      <c r="AO130" s="1683"/>
      <c r="AP130" s="1683"/>
      <c r="AQ130" s="1683"/>
      <c r="AR130" s="1683"/>
      <c r="AS130" s="1683"/>
      <c r="AT130" s="1683"/>
      <c r="AU130" s="1683"/>
      <c r="AV130" s="1683"/>
      <c r="AW130" s="1683"/>
      <c r="AX130" s="1683"/>
      <c r="AY130" s="1683"/>
      <c r="AZ130" s="1683"/>
      <c r="BA130" s="1683"/>
      <c r="BB130" s="1683"/>
    </row>
    <row r="131" spans="1:54">
      <c r="A131" s="326">
        <f t="shared" si="21"/>
        <v>37376</v>
      </c>
      <c r="B131" s="1678">
        <v>100.8</v>
      </c>
      <c r="C131" s="1679">
        <f t="shared" si="17"/>
        <v>1.008</v>
      </c>
      <c r="D131" s="1679">
        <f>PRODUCT(C$4:C131)</f>
        <v>2.76970757116303</v>
      </c>
      <c r="F131" s="1678">
        <v>100</v>
      </c>
      <c r="G131" s="1679">
        <f t="shared" si="18"/>
        <v>1</v>
      </c>
      <c r="H131" s="1679">
        <f>PRODUCT(G$4:G131)</f>
        <v>1</v>
      </c>
      <c r="J131" s="1680">
        <v>0</v>
      </c>
      <c r="K131" s="1680">
        <v>0</v>
      </c>
      <c r="L131" s="1680">
        <v>0</v>
      </c>
      <c r="N131" s="1681"/>
      <c r="O131" s="1681"/>
      <c r="P131" s="1681"/>
      <c r="Q131" s="1681"/>
      <c r="R131" s="1681"/>
      <c r="T131" s="1681"/>
      <c r="U131" s="1681"/>
      <c r="W131" s="1681">
        <f t="shared" si="19"/>
        <v>0</v>
      </c>
      <c r="X131" s="1681"/>
      <c r="Y131" s="1681">
        <f t="shared" si="20"/>
        <v>0</v>
      </c>
      <c r="Z131" s="1681"/>
      <c r="AB131" s="1682"/>
      <c r="AC131" s="1682"/>
      <c r="AE131" s="1683"/>
      <c r="AF131" s="1683"/>
      <c r="AG131" s="1683"/>
      <c r="AH131" s="1683"/>
      <c r="AI131" s="1683"/>
      <c r="AJ131" s="1683"/>
      <c r="AK131" s="1683"/>
      <c r="AL131" s="1683"/>
      <c r="AM131" s="1683"/>
      <c r="AN131" s="1683"/>
      <c r="AO131" s="1683"/>
      <c r="AP131" s="1683"/>
      <c r="AQ131" s="1683"/>
      <c r="AR131" s="1683"/>
      <c r="AS131" s="1683"/>
      <c r="AT131" s="1683"/>
      <c r="AU131" s="1683"/>
      <c r="AV131" s="1683"/>
      <c r="AW131" s="1683"/>
      <c r="AX131" s="1683"/>
      <c r="AY131" s="1683"/>
      <c r="AZ131" s="1683"/>
      <c r="BA131" s="1683"/>
      <c r="BB131" s="1683"/>
    </row>
    <row r="132" spans="1:54">
      <c r="A132" s="326">
        <f t="shared" si="21"/>
        <v>37407</v>
      </c>
      <c r="B132" s="1678">
        <v>100.9</v>
      </c>
      <c r="C132" s="1679">
        <f t="shared" si="17"/>
        <v>1.009</v>
      </c>
      <c r="D132" s="1679">
        <f>PRODUCT(C$4:C132)</f>
        <v>2.7946349393035</v>
      </c>
      <c r="F132" s="1678">
        <v>100</v>
      </c>
      <c r="G132" s="1679">
        <f t="shared" si="18"/>
        <v>1</v>
      </c>
      <c r="H132" s="1679">
        <f>PRODUCT(G$4:G132)</f>
        <v>1</v>
      </c>
      <c r="J132" s="1680">
        <v>0</v>
      </c>
      <c r="K132" s="1680">
        <v>0</v>
      </c>
      <c r="L132" s="1680">
        <v>0</v>
      </c>
      <c r="N132" s="1681"/>
      <c r="O132" s="1681"/>
      <c r="P132" s="1681"/>
      <c r="Q132" s="1681"/>
      <c r="R132" s="1681"/>
      <c r="T132" s="1681"/>
      <c r="U132" s="1681"/>
      <c r="W132" s="1681">
        <f t="shared" si="19"/>
        <v>0</v>
      </c>
      <c r="X132" s="1681"/>
      <c r="Y132" s="1681">
        <f t="shared" si="20"/>
        <v>0</v>
      </c>
      <c r="Z132" s="1681"/>
      <c r="AB132" s="1682"/>
      <c r="AC132" s="1682"/>
      <c r="AE132" s="1683"/>
      <c r="AF132" s="1683"/>
      <c r="AG132" s="1683"/>
      <c r="AH132" s="1683"/>
      <c r="AI132" s="1683"/>
      <c r="AJ132" s="1683"/>
      <c r="AK132" s="1683"/>
      <c r="AL132" s="1683"/>
      <c r="AM132" s="1683"/>
      <c r="AN132" s="1683"/>
      <c r="AO132" s="1683"/>
      <c r="AP132" s="1683"/>
      <c r="AQ132" s="1683"/>
      <c r="AR132" s="1683"/>
      <c r="AS132" s="1683"/>
      <c r="AT132" s="1683"/>
      <c r="AU132" s="1683"/>
      <c r="AV132" s="1683"/>
      <c r="AW132" s="1683"/>
      <c r="AX132" s="1683"/>
      <c r="AY132" s="1683"/>
      <c r="AZ132" s="1683"/>
      <c r="BA132" s="1683"/>
      <c r="BB132" s="1683"/>
    </row>
    <row r="133" spans="1:54">
      <c r="A133" s="326">
        <f t="shared" si="21"/>
        <v>37437</v>
      </c>
      <c r="B133" s="1678">
        <v>100.4</v>
      </c>
      <c r="C133" s="1679">
        <f t="shared" ref="C133:C196" si="22">B133/100</f>
        <v>1.004</v>
      </c>
      <c r="D133" s="1679">
        <f>PRODUCT(C$4:C133)</f>
        <v>2.80581347906072</v>
      </c>
      <c r="F133" s="1678">
        <v>100</v>
      </c>
      <c r="G133" s="1679">
        <f t="shared" ref="G133:G196" si="23">F133/100</f>
        <v>1</v>
      </c>
      <c r="H133" s="1679">
        <f>PRODUCT(G$4:G133)</f>
        <v>1</v>
      </c>
      <c r="J133" s="1680">
        <v>0</v>
      </c>
      <c r="K133" s="1680">
        <v>0</v>
      </c>
      <c r="L133" s="1680">
        <v>0</v>
      </c>
      <c r="N133" s="1681"/>
      <c r="O133" s="1681"/>
      <c r="P133" s="1681"/>
      <c r="Q133" s="1681"/>
      <c r="R133" s="1681"/>
      <c r="T133" s="1681"/>
      <c r="U133" s="1681"/>
      <c r="W133" s="1681">
        <f t="shared" ref="W133:W196" si="24">Q133</f>
        <v>0</v>
      </c>
      <c r="X133" s="1681"/>
      <c r="Y133" s="1681">
        <f t="shared" ref="Y133:Y196" si="25">R133</f>
        <v>0</v>
      </c>
      <c r="Z133" s="1681"/>
      <c r="AB133" s="1682"/>
      <c r="AC133" s="1682"/>
      <c r="AE133" s="1683"/>
      <c r="AF133" s="1683"/>
      <c r="AG133" s="1683"/>
      <c r="AH133" s="1683"/>
      <c r="AI133" s="1683"/>
      <c r="AJ133" s="1683"/>
      <c r="AK133" s="1683"/>
      <c r="AL133" s="1683"/>
      <c r="AM133" s="1683"/>
      <c r="AN133" s="1683"/>
      <c r="AO133" s="1683"/>
      <c r="AP133" s="1683"/>
      <c r="AQ133" s="1683"/>
      <c r="AR133" s="1683"/>
      <c r="AS133" s="1683"/>
      <c r="AT133" s="1683"/>
      <c r="AU133" s="1683"/>
      <c r="AV133" s="1683"/>
      <c r="AW133" s="1683"/>
      <c r="AX133" s="1683"/>
      <c r="AY133" s="1683"/>
      <c r="AZ133" s="1683"/>
      <c r="BA133" s="1683"/>
      <c r="BB133" s="1683"/>
    </row>
    <row r="134" spans="1:54">
      <c r="A134" s="326">
        <f t="shared" si="21"/>
        <v>37468</v>
      </c>
      <c r="B134" s="1678">
        <v>100.3</v>
      </c>
      <c r="C134" s="1679">
        <f t="shared" si="22"/>
        <v>1.003</v>
      </c>
      <c r="D134" s="1679">
        <f>PRODUCT(C$4:C134)</f>
        <v>2.8142309194979</v>
      </c>
      <c r="F134" s="1678">
        <v>100</v>
      </c>
      <c r="G134" s="1679">
        <f t="shared" si="23"/>
        <v>1</v>
      </c>
      <c r="H134" s="1679">
        <f>PRODUCT(G$4:G134)</f>
        <v>1</v>
      </c>
      <c r="J134" s="1680">
        <v>0</v>
      </c>
      <c r="K134" s="1680">
        <v>0</v>
      </c>
      <c r="L134" s="1680">
        <v>0</v>
      </c>
      <c r="N134" s="1681"/>
      <c r="O134" s="1681"/>
      <c r="P134" s="1681"/>
      <c r="Q134" s="1681"/>
      <c r="R134" s="1681"/>
      <c r="T134" s="1681"/>
      <c r="U134" s="1681"/>
      <c r="W134" s="1681">
        <f t="shared" si="24"/>
        <v>0</v>
      </c>
      <c r="X134" s="1681"/>
      <c r="Y134" s="1681">
        <f t="shared" si="25"/>
        <v>0</v>
      </c>
      <c r="Z134" s="1681"/>
      <c r="AB134" s="1682"/>
      <c r="AC134" s="1682"/>
      <c r="AE134" s="1683"/>
      <c r="AF134" s="1683"/>
      <c r="AG134" s="1683"/>
      <c r="AH134" s="1683"/>
      <c r="AI134" s="1683"/>
      <c r="AJ134" s="1683"/>
      <c r="AK134" s="1683"/>
      <c r="AL134" s="1683"/>
      <c r="AM134" s="1683"/>
      <c r="AN134" s="1683"/>
      <c r="AO134" s="1683"/>
      <c r="AP134" s="1683"/>
      <c r="AQ134" s="1683"/>
      <c r="AR134" s="1683"/>
      <c r="AS134" s="1683"/>
      <c r="AT134" s="1683"/>
      <c r="AU134" s="1683"/>
      <c r="AV134" s="1683"/>
      <c r="AW134" s="1683"/>
      <c r="AX134" s="1683"/>
      <c r="AY134" s="1683"/>
      <c r="AZ134" s="1683"/>
      <c r="BA134" s="1683"/>
      <c r="BB134" s="1683"/>
    </row>
    <row r="135" spans="1:54">
      <c r="A135" s="326">
        <f t="shared" si="21"/>
        <v>37499</v>
      </c>
      <c r="B135" s="1678">
        <v>99.9</v>
      </c>
      <c r="C135" s="1679">
        <f t="shared" si="22"/>
        <v>0.999</v>
      </c>
      <c r="D135" s="1679">
        <f>PRODUCT(C$4:C135)</f>
        <v>2.8114166885784</v>
      </c>
      <c r="F135" s="1678">
        <v>100</v>
      </c>
      <c r="G135" s="1679">
        <f t="shared" si="23"/>
        <v>1</v>
      </c>
      <c r="H135" s="1679">
        <f>PRODUCT(G$4:G135)</f>
        <v>1</v>
      </c>
      <c r="J135" s="1680">
        <v>0</v>
      </c>
      <c r="K135" s="1680">
        <v>0</v>
      </c>
      <c r="L135" s="1680">
        <v>0</v>
      </c>
      <c r="N135" s="1681"/>
      <c r="O135" s="1681"/>
      <c r="P135" s="1681"/>
      <c r="Q135" s="1681"/>
      <c r="R135" s="1681"/>
      <c r="T135" s="1681"/>
      <c r="U135" s="1681"/>
      <c r="W135" s="1681">
        <f t="shared" si="24"/>
        <v>0</v>
      </c>
      <c r="X135" s="1681"/>
      <c r="Y135" s="1681">
        <f t="shared" si="25"/>
        <v>0</v>
      </c>
      <c r="Z135" s="1681"/>
      <c r="AB135" s="1682"/>
      <c r="AC135" s="1682"/>
      <c r="AE135" s="1683"/>
      <c r="AF135" s="1683"/>
      <c r="AG135" s="1683"/>
      <c r="AH135" s="1683"/>
      <c r="AI135" s="1683"/>
      <c r="AJ135" s="1683"/>
      <c r="AK135" s="1683"/>
      <c r="AL135" s="1683"/>
      <c r="AM135" s="1683"/>
      <c r="AN135" s="1683"/>
      <c r="AO135" s="1683"/>
      <c r="AP135" s="1683"/>
      <c r="AQ135" s="1683"/>
      <c r="AR135" s="1683"/>
      <c r="AS135" s="1683"/>
      <c r="AT135" s="1683"/>
      <c r="AU135" s="1683"/>
      <c r="AV135" s="1683"/>
      <c r="AW135" s="1683"/>
      <c r="AX135" s="1683"/>
      <c r="AY135" s="1683"/>
      <c r="AZ135" s="1683"/>
      <c r="BA135" s="1683"/>
      <c r="BB135" s="1683"/>
    </row>
    <row r="136" spans="1:54">
      <c r="A136" s="326">
        <f t="shared" si="21"/>
        <v>37529</v>
      </c>
      <c r="B136" s="1678">
        <v>100.3</v>
      </c>
      <c r="C136" s="1679">
        <f t="shared" si="22"/>
        <v>1.003</v>
      </c>
      <c r="D136" s="1679">
        <f>PRODUCT(C$4:C136)</f>
        <v>2.81985093864414</v>
      </c>
      <c r="F136" s="1678">
        <v>100</v>
      </c>
      <c r="G136" s="1679">
        <f t="shared" si="23"/>
        <v>1</v>
      </c>
      <c r="H136" s="1679">
        <f>PRODUCT(G$4:G136)</f>
        <v>1</v>
      </c>
      <c r="J136" s="1680">
        <v>0</v>
      </c>
      <c r="K136" s="1680">
        <v>0</v>
      </c>
      <c r="L136" s="1680">
        <v>0</v>
      </c>
      <c r="N136" s="1681"/>
      <c r="O136" s="1681"/>
      <c r="P136" s="1681"/>
      <c r="Q136" s="1681"/>
      <c r="R136" s="1681"/>
      <c r="T136" s="1681"/>
      <c r="U136" s="1681"/>
      <c r="W136" s="1681">
        <f t="shared" si="24"/>
        <v>0</v>
      </c>
      <c r="X136" s="1681"/>
      <c r="Y136" s="1681">
        <f t="shared" si="25"/>
        <v>0</v>
      </c>
      <c r="Z136" s="1681"/>
      <c r="AB136" s="1682"/>
      <c r="AC136" s="1682"/>
      <c r="AE136" s="1683"/>
      <c r="AF136" s="1683"/>
      <c r="AG136" s="1683"/>
      <c r="AH136" s="1683"/>
      <c r="AI136" s="1683"/>
      <c r="AJ136" s="1683"/>
      <c r="AK136" s="1683"/>
      <c r="AL136" s="1683"/>
      <c r="AM136" s="1683"/>
      <c r="AN136" s="1683"/>
      <c r="AO136" s="1683"/>
      <c r="AP136" s="1683"/>
      <c r="AQ136" s="1683"/>
      <c r="AR136" s="1683"/>
      <c r="AS136" s="1683"/>
      <c r="AT136" s="1683"/>
      <c r="AU136" s="1683"/>
      <c r="AV136" s="1683"/>
      <c r="AW136" s="1683"/>
      <c r="AX136" s="1683"/>
      <c r="AY136" s="1683"/>
      <c r="AZ136" s="1683"/>
      <c r="BA136" s="1683"/>
      <c r="BB136" s="1683"/>
    </row>
    <row r="137" spans="1:54">
      <c r="A137" s="326">
        <f t="shared" si="21"/>
        <v>37560</v>
      </c>
      <c r="B137" s="1678">
        <v>101.3</v>
      </c>
      <c r="C137" s="1679">
        <f t="shared" si="22"/>
        <v>1.013</v>
      </c>
      <c r="D137" s="1679">
        <f>PRODUCT(C$4:C137)</f>
        <v>2.85650900084651</v>
      </c>
      <c r="F137" s="1678">
        <v>100</v>
      </c>
      <c r="G137" s="1679">
        <f t="shared" si="23"/>
        <v>1</v>
      </c>
      <c r="H137" s="1679">
        <f>PRODUCT(G$4:G137)</f>
        <v>1</v>
      </c>
      <c r="J137" s="1680">
        <v>0</v>
      </c>
      <c r="K137" s="1680">
        <v>0</v>
      </c>
      <c r="L137" s="1680">
        <v>0</v>
      </c>
      <c r="N137" s="1681"/>
      <c r="O137" s="1681"/>
      <c r="P137" s="1681"/>
      <c r="Q137" s="1681"/>
      <c r="R137" s="1681"/>
      <c r="T137" s="1681"/>
      <c r="U137" s="1681"/>
      <c r="W137" s="1681">
        <f t="shared" si="24"/>
        <v>0</v>
      </c>
      <c r="X137" s="1681"/>
      <c r="Y137" s="1681">
        <f t="shared" si="25"/>
        <v>0</v>
      </c>
      <c r="Z137" s="1681"/>
      <c r="AB137" s="1682"/>
      <c r="AC137" s="1682"/>
      <c r="AE137" s="1683"/>
      <c r="AF137" s="1683"/>
      <c r="AG137" s="1683"/>
      <c r="AH137" s="1683"/>
      <c r="AI137" s="1683"/>
      <c r="AJ137" s="1683"/>
      <c r="AK137" s="1683"/>
      <c r="AL137" s="1683"/>
      <c r="AM137" s="1683"/>
      <c r="AN137" s="1683"/>
      <c r="AO137" s="1683"/>
      <c r="AP137" s="1683"/>
      <c r="AQ137" s="1683"/>
      <c r="AR137" s="1683"/>
      <c r="AS137" s="1683"/>
      <c r="AT137" s="1683"/>
      <c r="AU137" s="1683"/>
      <c r="AV137" s="1683"/>
      <c r="AW137" s="1683"/>
      <c r="AX137" s="1683"/>
      <c r="AY137" s="1683"/>
      <c r="AZ137" s="1683"/>
      <c r="BA137" s="1683"/>
      <c r="BB137" s="1683"/>
    </row>
    <row r="138" spans="1:54">
      <c r="A138" s="326">
        <f t="shared" si="21"/>
        <v>37590</v>
      </c>
      <c r="B138" s="1678">
        <v>100.1</v>
      </c>
      <c r="C138" s="1679">
        <f t="shared" si="22"/>
        <v>1.001</v>
      </c>
      <c r="D138" s="1679">
        <f>PRODUCT(C$4:C138)</f>
        <v>2.85936550984736</v>
      </c>
      <c r="F138" s="1678">
        <v>100</v>
      </c>
      <c r="G138" s="1679">
        <f t="shared" si="23"/>
        <v>1</v>
      </c>
      <c r="H138" s="1679">
        <f>PRODUCT(G$4:G138)</f>
        <v>1</v>
      </c>
      <c r="J138" s="1680">
        <v>0</v>
      </c>
      <c r="K138" s="1680">
        <v>0</v>
      </c>
      <c r="L138" s="1680">
        <v>0</v>
      </c>
      <c r="N138" s="1681"/>
      <c r="O138" s="1681"/>
      <c r="P138" s="1681"/>
      <c r="Q138" s="1681"/>
      <c r="R138" s="1681"/>
      <c r="T138" s="1681"/>
      <c r="U138" s="1681"/>
      <c r="W138" s="1681">
        <f t="shared" si="24"/>
        <v>0</v>
      </c>
      <c r="X138" s="1681"/>
      <c r="Y138" s="1681">
        <f t="shared" si="25"/>
        <v>0</v>
      </c>
      <c r="Z138" s="1681"/>
      <c r="AB138" s="1682"/>
      <c r="AC138" s="1682"/>
      <c r="AE138" s="1683"/>
      <c r="AF138" s="1683"/>
      <c r="AG138" s="1683"/>
      <c r="AH138" s="1683"/>
      <c r="AI138" s="1683"/>
      <c r="AJ138" s="1683"/>
      <c r="AK138" s="1683"/>
      <c r="AL138" s="1683"/>
      <c r="AM138" s="1683"/>
      <c r="AN138" s="1683"/>
      <c r="AO138" s="1683"/>
      <c r="AP138" s="1683"/>
      <c r="AQ138" s="1683"/>
      <c r="AR138" s="1683"/>
      <c r="AS138" s="1683"/>
      <c r="AT138" s="1683"/>
      <c r="AU138" s="1683"/>
      <c r="AV138" s="1683"/>
      <c r="AW138" s="1683"/>
      <c r="AX138" s="1683"/>
      <c r="AY138" s="1683"/>
      <c r="AZ138" s="1683"/>
      <c r="BA138" s="1683"/>
      <c r="BB138" s="1683"/>
    </row>
    <row r="139" spans="1:54">
      <c r="A139" s="326">
        <f t="shared" si="21"/>
        <v>37621</v>
      </c>
      <c r="B139" s="1678">
        <v>98.8</v>
      </c>
      <c r="C139" s="1679">
        <f t="shared" si="22"/>
        <v>0.988</v>
      </c>
      <c r="D139" s="1679">
        <f>PRODUCT(C$4:C139)</f>
        <v>2.82505312372919</v>
      </c>
      <c r="F139" s="1678">
        <v>100</v>
      </c>
      <c r="G139" s="1679">
        <f t="shared" si="23"/>
        <v>1</v>
      </c>
      <c r="H139" s="1679">
        <f>PRODUCT(G$4:G139)</f>
        <v>1</v>
      </c>
      <c r="J139" s="1680">
        <v>0</v>
      </c>
      <c r="K139" s="1680">
        <v>0</v>
      </c>
      <c r="L139" s="1680">
        <v>0</v>
      </c>
      <c r="N139" s="1681"/>
      <c r="O139" s="1681"/>
      <c r="P139" s="1681"/>
      <c r="Q139" s="1681"/>
      <c r="R139" s="1681"/>
      <c r="T139" s="1681"/>
      <c r="U139" s="1681"/>
      <c r="W139" s="1681">
        <f t="shared" si="24"/>
        <v>0</v>
      </c>
      <c r="X139" s="1681"/>
      <c r="Y139" s="1681">
        <f t="shared" si="25"/>
        <v>0</v>
      </c>
      <c r="Z139" s="1681"/>
      <c r="AB139" s="1682"/>
      <c r="AC139" s="1682"/>
      <c r="AE139" s="1683"/>
      <c r="AF139" s="1683"/>
      <c r="AG139" s="1683"/>
      <c r="AH139" s="1683"/>
      <c r="AI139" s="1683"/>
      <c r="AJ139" s="1683"/>
      <c r="AK139" s="1683"/>
      <c r="AL139" s="1683"/>
      <c r="AM139" s="1683"/>
      <c r="AN139" s="1683"/>
      <c r="AO139" s="1683"/>
      <c r="AP139" s="1683"/>
      <c r="AQ139" s="1683"/>
      <c r="AR139" s="1683"/>
      <c r="AS139" s="1683"/>
      <c r="AT139" s="1683"/>
      <c r="AU139" s="1683"/>
      <c r="AV139" s="1683"/>
      <c r="AW139" s="1683"/>
      <c r="AX139" s="1683"/>
      <c r="AY139" s="1683"/>
      <c r="AZ139" s="1683"/>
      <c r="BA139" s="1683"/>
      <c r="BB139" s="1683"/>
    </row>
    <row r="140" spans="1:54">
      <c r="A140" s="326">
        <f t="shared" si="21"/>
        <v>37652</v>
      </c>
      <c r="B140" s="1678">
        <v>99.8</v>
      </c>
      <c r="C140" s="1679">
        <f t="shared" si="22"/>
        <v>0.998</v>
      </c>
      <c r="D140" s="1679">
        <f>PRODUCT(C$4:C140)</f>
        <v>2.81940301748173</v>
      </c>
      <c r="F140" s="1678">
        <v>100</v>
      </c>
      <c r="G140" s="1679">
        <f t="shared" si="23"/>
        <v>1</v>
      </c>
      <c r="H140" s="1679">
        <f>PRODUCT(G$4:G140)</f>
        <v>1</v>
      </c>
      <c r="J140" s="1680">
        <v>0</v>
      </c>
      <c r="K140" s="1680">
        <v>0</v>
      </c>
      <c r="L140" s="1680">
        <v>0</v>
      </c>
      <c r="N140" s="1681"/>
      <c r="O140" s="1681"/>
      <c r="P140" s="1681"/>
      <c r="Q140" s="1681"/>
      <c r="R140" s="1681"/>
      <c r="T140" s="1681"/>
      <c r="U140" s="1681"/>
      <c r="W140" s="1681">
        <f t="shared" si="24"/>
        <v>0</v>
      </c>
      <c r="X140" s="1681"/>
      <c r="Y140" s="1681">
        <f t="shared" si="25"/>
        <v>0</v>
      </c>
      <c r="Z140" s="1681"/>
      <c r="AB140" s="1682"/>
      <c r="AC140" s="1682"/>
      <c r="AE140" s="1683"/>
      <c r="AF140" s="1683"/>
      <c r="AG140" s="1683"/>
      <c r="AH140" s="1683"/>
      <c r="AI140" s="1683"/>
      <c r="AJ140" s="1683"/>
      <c r="AK140" s="1683"/>
      <c r="AL140" s="1683"/>
      <c r="AM140" s="1683"/>
      <c r="AN140" s="1683"/>
      <c r="AO140" s="1683"/>
      <c r="AP140" s="1683"/>
      <c r="AQ140" s="1683"/>
      <c r="AR140" s="1683"/>
      <c r="AS140" s="1683"/>
      <c r="AT140" s="1683"/>
      <c r="AU140" s="1683"/>
      <c r="AV140" s="1683"/>
      <c r="AW140" s="1683"/>
      <c r="AX140" s="1683"/>
      <c r="AY140" s="1683"/>
      <c r="AZ140" s="1683"/>
      <c r="BA140" s="1683"/>
      <c r="BB140" s="1683"/>
    </row>
    <row r="141" spans="1:54">
      <c r="A141" s="326">
        <f t="shared" si="21"/>
        <v>37680</v>
      </c>
      <c r="B141" s="1678">
        <v>101.1</v>
      </c>
      <c r="C141" s="1679">
        <f t="shared" si="22"/>
        <v>1.011</v>
      </c>
      <c r="D141" s="1679">
        <f>PRODUCT(C$4:C141)</f>
        <v>2.85041645067403</v>
      </c>
      <c r="F141" s="1678">
        <v>100</v>
      </c>
      <c r="G141" s="1679">
        <f t="shared" si="23"/>
        <v>1</v>
      </c>
      <c r="H141" s="1679">
        <f>PRODUCT(G$4:G141)</f>
        <v>1</v>
      </c>
      <c r="J141" s="1680">
        <v>0</v>
      </c>
      <c r="K141" s="1680">
        <v>0</v>
      </c>
      <c r="L141" s="1680">
        <v>0</v>
      </c>
      <c r="N141" s="1681"/>
      <c r="O141" s="1681"/>
      <c r="P141" s="1681"/>
      <c r="Q141" s="1681"/>
      <c r="R141" s="1681"/>
      <c r="T141" s="1681"/>
      <c r="U141" s="1681"/>
      <c r="W141" s="1681">
        <f t="shared" si="24"/>
        <v>0</v>
      </c>
      <c r="X141" s="1681"/>
      <c r="Y141" s="1681">
        <f t="shared" si="25"/>
        <v>0</v>
      </c>
      <c r="Z141" s="1681"/>
      <c r="AB141" s="1682"/>
      <c r="AC141" s="1682"/>
      <c r="AE141" s="1683"/>
      <c r="AF141" s="1683"/>
      <c r="AG141" s="1683"/>
      <c r="AH141" s="1683"/>
      <c r="AI141" s="1683"/>
      <c r="AJ141" s="1683"/>
      <c r="AK141" s="1683"/>
      <c r="AL141" s="1683"/>
      <c r="AM141" s="1683"/>
      <c r="AN141" s="1683"/>
      <c r="AO141" s="1683"/>
      <c r="AP141" s="1683"/>
      <c r="AQ141" s="1683"/>
      <c r="AR141" s="1683"/>
      <c r="AS141" s="1683"/>
      <c r="AT141" s="1683"/>
      <c r="AU141" s="1683"/>
      <c r="AV141" s="1683"/>
      <c r="AW141" s="1683"/>
      <c r="AX141" s="1683"/>
      <c r="AY141" s="1683"/>
      <c r="AZ141" s="1683"/>
      <c r="BA141" s="1683"/>
      <c r="BB141" s="1683"/>
    </row>
    <row r="142" spans="1:54">
      <c r="A142" s="326">
        <f t="shared" si="21"/>
        <v>37711</v>
      </c>
      <c r="B142" s="1678">
        <v>100</v>
      </c>
      <c r="C142" s="1679">
        <f t="shared" si="22"/>
        <v>1</v>
      </c>
      <c r="D142" s="1679">
        <f>PRODUCT(C$4:C142)</f>
        <v>2.85041645067403</v>
      </c>
      <c r="F142" s="1678">
        <v>100</v>
      </c>
      <c r="G142" s="1679">
        <f t="shared" si="23"/>
        <v>1</v>
      </c>
      <c r="H142" s="1679">
        <f>PRODUCT(G$4:G142)</f>
        <v>1</v>
      </c>
      <c r="J142" s="1680">
        <v>0</v>
      </c>
      <c r="K142" s="1680">
        <v>0</v>
      </c>
      <c r="L142" s="1680">
        <v>0</v>
      </c>
      <c r="N142" s="1681"/>
      <c r="O142" s="1681"/>
      <c r="P142" s="1681"/>
      <c r="Q142" s="1681"/>
      <c r="R142" s="1681"/>
      <c r="T142" s="1681"/>
      <c r="U142" s="1681"/>
      <c r="W142" s="1681">
        <f t="shared" si="24"/>
        <v>0</v>
      </c>
      <c r="X142" s="1681"/>
      <c r="Y142" s="1681">
        <f t="shared" si="25"/>
        <v>0</v>
      </c>
      <c r="Z142" s="1681"/>
      <c r="AB142" s="1682"/>
      <c r="AC142" s="1682"/>
      <c r="AE142" s="1683"/>
      <c r="AF142" s="1683"/>
      <c r="AG142" s="1683"/>
      <c r="AH142" s="1683"/>
      <c r="AI142" s="1683"/>
      <c r="AJ142" s="1683"/>
      <c r="AK142" s="1683"/>
      <c r="AL142" s="1683"/>
      <c r="AM142" s="1683"/>
      <c r="AN142" s="1683"/>
      <c r="AO142" s="1683"/>
      <c r="AP142" s="1683"/>
      <c r="AQ142" s="1683"/>
      <c r="AR142" s="1683"/>
      <c r="AS142" s="1683"/>
      <c r="AT142" s="1683"/>
      <c r="AU142" s="1683"/>
      <c r="AV142" s="1683"/>
      <c r="AW142" s="1683"/>
      <c r="AX142" s="1683"/>
      <c r="AY142" s="1683"/>
      <c r="AZ142" s="1683"/>
      <c r="BA142" s="1683"/>
      <c r="BB142" s="1683"/>
    </row>
    <row r="143" spans="1:54">
      <c r="A143" s="326">
        <f t="shared" si="21"/>
        <v>37741</v>
      </c>
      <c r="B143" s="1678">
        <v>99.8</v>
      </c>
      <c r="C143" s="1679">
        <f t="shared" si="22"/>
        <v>0.998</v>
      </c>
      <c r="D143" s="1679">
        <f>PRODUCT(C$4:C143)</f>
        <v>2.84471561777268</v>
      </c>
      <c r="F143" s="1678">
        <v>100</v>
      </c>
      <c r="G143" s="1679">
        <f t="shared" si="23"/>
        <v>1</v>
      </c>
      <c r="H143" s="1679">
        <f>PRODUCT(G$4:G143)</f>
        <v>1</v>
      </c>
      <c r="J143" s="1680">
        <v>0</v>
      </c>
      <c r="K143" s="1680">
        <v>0</v>
      </c>
      <c r="L143" s="1680">
        <v>0</v>
      </c>
      <c r="N143" s="1681"/>
      <c r="O143" s="1681"/>
      <c r="P143" s="1681"/>
      <c r="Q143" s="1681"/>
      <c r="R143" s="1681"/>
      <c r="T143" s="1681"/>
      <c r="U143" s="1681"/>
      <c r="W143" s="1681">
        <f t="shared" si="24"/>
        <v>0</v>
      </c>
      <c r="X143" s="1681"/>
      <c r="Y143" s="1681">
        <f t="shared" si="25"/>
        <v>0</v>
      </c>
      <c r="Z143" s="1681"/>
      <c r="AB143" s="1682"/>
      <c r="AC143" s="1682"/>
      <c r="AE143" s="1683"/>
      <c r="AF143" s="1683"/>
      <c r="AG143" s="1683"/>
      <c r="AH143" s="1683"/>
      <c r="AI143" s="1683"/>
      <c r="AJ143" s="1683"/>
      <c r="AK143" s="1683"/>
      <c r="AL143" s="1683"/>
      <c r="AM143" s="1683"/>
      <c r="AN143" s="1683"/>
      <c r="AO143" s="1683"/>
      <c r="AP143" s="1683"/>
      <c r="AQ143" s="1683"/>
      <c r="AR143" s="1683"/>
      <c r="AS143" s="1683"/>
      <c r="AT143" s="1683"/>
      <c r="AU143" s="1683"/>
      <c r="AV143" s="1683"/>
      <c r="AW143" s="1683"/>
      <c r="AX143" s="1683"/>
      <c r="AY143" s="1683"/>
      <c r="AZ143" s="1683"/>
      <c r="BA143" s="1683"/>
      <c r="BB143" s="1683"/>
    </row>
    <row r="144" spans="1:54">
      <c r="A144" s="326">
        <f t="shared" si="21"/>
        <v>37772</v>
      </c>
      <c r="B144" s="1678">
        <v>99.3</v>
      </c>
      <c r="C144" s="1679">
        <f t="shared" si="22"/>
        <v>0.993</v>
      </c>
      <c r="D144" s="1679">
        <f>PRODUCT(C$4:C144)</f>
        <v>2.82480260844827</v>
      </c>
      <c r="F144" s="1678">
        <v>100</v>
      </c>
      <c r="G144" s="1679">
        <f t="shared" si="23"/>
        <v>1</v>
      </c>
      <c r="H144" s="1679">
        <f>PRODUCT(G$4:G144)</f>
        <v>1</v>
      </c>
      <c r="J144" s="1680">
        <v>0</v>
      </c>
      <c r="K144" s="1680">
        <v>0</v>
      </c>
      <c r="L144" s="1680">
        <v>0</v>
      </c>
      <c r="N144" s="1681"/>
      <c r="O144" s="1681"/>
      <c r="P144" s="1681"/>
      <c r="Q144" s="1681"/>
      <c r="R144" s="1681"/>
      <c r="T144" s="1681"/>
      <c r="U144" s="1681"/>
      <c r="W144" s="1681">
        <f t="shared" si="24"/>
        <v>0</v>
      </c>
      <c r="X144" s="1681"/>
      <c r="Y144" s="1681">
        <f t="shared" si="25"/>
        <v>0</v>
      </c>
      <c r="Z144" s="1681"/>
      <c r="AB144" s="1682"/>
      <c r="AC144" s="1682"/>
      <c r="AE144" s="1683"/>
      <c r="AF144" s="1683"/>
      <c r="AG144" s="1683"/>
      <c r="AH144" s="1683"/>
      <c r="AI144" s="1683"/>
      <c r="AJ144" s="1683"/>
      <c r="AK144" s="1683"/>
      <c r="AL144" s="1683"/>
      <c r="AM144" s="1683"/>
      <c r="AN144" s="1683"/>
      <c r="AO144" s="1683"/>
      <c r="AP144" s="1683"/>
      <c r="AQ144" s="1683"/>
      <c r="AR144" s="1683"/>
      <c r="AS144" s="1683"/>
      <c r="AT144" s="1683"/>
      <c r="AU144" s="1683"/>
      <c r="AV144" s="1683"/>
      <c r="AW144" s="1683"/>
      <c r="AX144" s="1683"/>
      <c r="AY144" s="1683"/>
      <c r="AZ144" s="1683"/>
      <c r="BA144" s="1683"/>
      <c r="BB144" s="1683"/>
    </row>
    <row r="145" spans="1:54">
      <c r="A145" s="326">
        <f t="shared" si="21"/>
        <v>37802</v>
      </c>
      <c r="B145" s="1678">
        <v>99.7</v>
      </c>
      <c r="C145" s="1679">
        <f t="shared" si="22"/>
        <v>0.997</v>
      </c>
      <c r="D145" s="1679">
        <f>PRODUCT(C$4:C145)</f>
        <v>2.81632820062293</v>
      </c>
      <c r="F145" s="1678">
        <v>100</v>
      </c>
      <c r="G145" s="1679">
        <f t="shared" si="23"/>
        <v>1</v>
      </c>
      <c r="H145" s="1679">
        <f>PRODUCT(G$4:G145)</f>
        <v>1</v>
      </c>
      <c r="J145" s="1680">
        <v>0</v>
      </c>
      <c r="K145" s="1680">
        <v>0</v>
      </c>
      <c r="L145" s="1680">
        <v>0</v>
      </c>
      <c r="N145" s="1681"/>
      <c r="O145" s="1681"/>
      <c r="P145" s="1681"/>
      <c r="Q145" s="1681"/>
      <c r="R145" s="1681"/>
      <c r="T145" s="1681"/>
      <c r="U145" s="1681"/>
      <c r="W145" s="1681">
        <f t="shared" si="24"/>
        <v>0</v>
      </c>
      <c r="X145" s="1681"/>
      <c r="Y145" s="1681">
        <f t="shared" si="25"/>
        <v>0</v>
      </c>
      <c r="Z145" s="1681"/>
      <c r="AB145" s="1682"/>
      <c r="AC145" s="1682"/>
      <c r="AE145" s="1683"/>
      <c r="AF145" s="1683"/>
      <c r="AG145" s="1683"/>
      <c r="AH145" s="1683"/>
      <c r="AI145" s="1683"/>
      <c r="AJ145" s="1683"/>
      <c r="AK145" s="1683"/>
      <c r="AL145" s="1683"/>
      <c r="AM145" s="1683"/>
      <c r="AN145" s="1683"/>
      <c r="AO145" s="1683"/>
      <c r="AP145" s="1683"/>
      <c r="AQ145" s="1683"/>
      <c r="AR145" s="1683"/>
      <c r="AS145" s="1683"/>
      <c r="AT145" s="1683"/>
      <c r="AU145" s="1683"/>
      <c r="AV145" s="1683"/>
      <c r="AW145" s="1683"/>
      <c r="AX145" s="1683"/>
      <c r="AY145" s="1683"/>
      <c r="AZ145" s="1683"/>
      <c r="BA145" s="1683"/>
      <c r="BB145" s="1683"/>
    </row>
    <row r="146" spans="1:54">
      <c r="A146" s="326">
        <f t="shared" si="21"/>
        <v>37833</v>
      </c>
      <c r="B146" s="1678">
        <v>100.4</v>
      </c>
      <c r="C146" s="1679">
        <f t="shared" si="22"/>
        <v>1.004</v>
      </c>
      <c r="D146" s="1679">
        <f>PRODUCT(C$4:C146)</f>
        <v>2.82759351342542</v>
      </c>
      <c r="F146" s="1678">
        <v>100</v>
      </c>
      <c r="G146" s="1679">
        <f t="shared" si="23"/>
        <v>1</v>
      </c>
      <c r="H146" s="1679">
        <f>PRODUCT(G$4:G146)</f>
        <v>1</v>
      </c>
      <c r="J146" s="1680">
        <v>0</v>
      </c>
      <c r="K146" s="1680">
        <v>0</v>
      </c>
      <c r="L146" s="1680">
        <v>0</v>
      </c>
      <c r="N146" s="1681"/>
      <c r="O146" s="1681"/>
      <c r="P146" s="1681"/>
      <c r="Q146" s="1681"/>
      <c r="R146" s="1681"/>
      <c r="T146" s="1681"/>
      <c r="U146" s="1681"/>
      <c r="W146" s="1681">
        <f t="shared" si="24"/>
        <v>0</v>
      </c>
      <c r="X146" s="1681"/>
      <c r="Y146" s="1681">
        <f t="shared" si="25"/>
        <v>0</v>
      </c>
      <c r="Z146" s="1681"/>
      <c r="AB146" s="1682"/>
      <c r="AC146" s="1682"/>
      <c r="AE146" s="1683"/>
      <c r="AF146" s="1683"/>
      <c r="AG146" s="1683"/>
      <c r="AH146" s="1683"/>
      <c r="AI146" s="1683"/>
      <c r="AJ146" s="1683"/>
      <c r="AK146" s="1683"/>
      <c r="AL146" s="1683"/>
      <c r="AM146" s="1683"/>
      <c r="AN146" s="1683"/>
      <c r="AO146" s="1683"/>
      <c r="AP146" s="1683"/>
      <c r="AQ146" s="1683"/>
      <c r="AR146" s="1683"/>
      <c r="AS146" s="1683"/>
      <c r="AT146" s="1683"/>
      <c r="AU146" s="1683"/>
      <c r="AV146" s="1683"/>
      <c r="AW146" s="1683"/>
      <c r="AX146" s="1683"/>
      <c r="AY146" s="1683"/>
      <c r="AZ146" s="1683"/>
      <c r="BA146" s="1683"/>
      <c r="BB146" s="1683"/>
    </row>
    <row r="147" spans="1:54">
      <c r="A147" s="326">
        <f t="shared" si="21"/>
        <v>37864</v>
      </c>
      <c r="B147" s="1678">
        <v>99.9</v>
      </c>
      <c r="C147" s="1679">
        <f t="shared" si="22"/>
        <v>0.999</v>
      </c>
      <c r="D147" s="1679">
        <f>PRODUCT(C$4:C147)</f>
        <v>2.82476591991199</v>
      </c>
      <c r="F147" s="1678">
        <v>100</v>
      </c>
      <c r="G147" s="1679">
        <f t="shared" si="23"/>
        <v>1</v>
      </c>
      <c r="H147" s="1679">
        <f>PRODUCT(G$4:G147)</f>
        <v>1</v>
      </c>
      <c r="J147" s="1680">
        <v>0</v>
      </c>
      <c r="K147" s="1680">
        <v>0</v>
      </c>
      <c r="L147" s="1680">
        <v>0</v>
      </c>
      <c r="N147" s="1681"/>
      <c r="O147" s="1681"/>
      <c r="P147" s="1681"/>
      <c r="Q147" s="1681"/>
      <c r="R147" s="1681"/>
      <c r="T147" s="1681"/>
      <c r="U147" s="1681"/>
      <c r="W147" s="1681">
        <f t="shared" si="24"/>
        <v>0</v>
      </c>
      <c r="X147" s="1681"/>
      <c r="Y147" s="1681">
        <f t="shared" si="25"/>
        <v>0</v>
      </c>
      <c r="Z147" s="1681"/>
      <c r="AB147" s="1682"/>
      <c r="AC147" s="1682"/>
      <c r="AE147" s="1683"/>
      <c r="AF147" s="1683"/>
      <c r="AG147" s="1683"/>
      <c r="AH147" s="1683"/>
      <c r="AI147" s="1683"/>
      <c r="AJ147" s="1683"/>
      <c r="AK147" s="1683"/>
      <c r="AL147" s="1683"/>
      <c r="AM147" s="1683"/>
      <c r="AN147" s="1683"/>
      <c r="AO147" s="1683"/>
      <c r="AP147" s="1683"/>
      <c r="AQ147" s="1683"/>
      <c r="AR147" s="1683"/>
      <c r="AS147" s="1683"/>
      <c r="AT147" s="1683"/>
      <c r="AU147" s="1683"/>
      <c r="AV147" s="1683"/>
      <c r="AW147" s="1683"/>
      <c r="AX147" s="1683"/>
      <c r="AY147" s="1683"/>
      <c r="AZ147" s="1683"/>
      <c r="BA147" s="1683"/>
      <c r="BB147" s="1683"/>
    </row>
    <row r="148" spans="1:54">
      <c r="A148" s="326">
        <f t="shared" si="21"/>
        <v>37894</v>
      </c>
      <c r="B148" s="1678">
        <v>100.3</v>
      </c>
      <c r="C148" s="1679">
        <f t="shared" si="22"/>
        <v>1.003</v>
      </c>
      <c r="D148" s="1679">
        <f>PRODUCT(C$4:C148)</f>
        <v>2.83324021767173</v>
      </c>
      <c r="F148" s="1678">
        <v>100</v>
      </c>
      <c r="G148" s="1679">
        <f t="shared" si="23"/>
        <v>1</v>
      </c>
      <c r="H148" s="1679">
        <f>PRODUCT(G$4:G148)</f>
        <v>1</v>
      </c>
      <c r="J148" s="1680">
        <v>0</v>
      </c>
      <c r="K148" s="1680">
        <v>0</v>
      </c>
      <c r="L148" s="1680">
        <v>0</v>
      </c>
      <c r="N148" s="1681"/>
      <c r="O148" s="1681"/>
      <c r="P148" s="1681"/>
      <c r="Q148" s="1681"/>
      <c r="R148" s="1681"/>
      <c r="T148" s="1681"/>
      <c r="U148" s="1681"/>
      <c r="W148" s="1681">
        <f t="shared" si="24"/>
        <v>0</v>
      </c>
      <c r="X148" s="1681"/>
      <c r="Y148" s="1681">
        <f t="shared" si="25"/>
        <v>0</v>
      </c>
      <c r="Z148" s="1681"/>
      <c r="AB148" s="1682"/>
      <c r="AC148" s="1682"/>
      <c r="AE148" s="1683"/>
      <c r="AF148" s="1683"/>
      <c r="AG148" s="1683"/>
      <c r="AH148" s="1683"/>
      <c r="AI148" s="1683"/>
      <c r="AJ148" s="1683"/>
      <c r="AK148" s="1683"/>
      <c r="AL148" s="1683"/>
      <c r="AM148" s="1683"/>
      <c r="AN148" s="1683"/>
      <c r="AO148" s="1683"/>
      <c r="AP148" s="1683"/>
      <c r="AQ148" s="1683"/>
      <c r="AR148" s="1683"/>
      <c r="AS148" s="1683"/>
      <c r="AT148" s="1683"/>
      <c r="AU148" s="1683"/>
      <c r="AV148" s="1683"/>
      <c r="AW148" s="1683"/>
      <c r="AX148" s="1683"/>
      <c r="AY148" s="1683"/>
      <c r="AZ148" s="1683"/>
      <c r="BA148" s="1683"/>
      <c r="BB148" s="1683"/>
    </row>
    <row r="149" spans="1:54">
      <c r="A149" s="326">
        <f t="shared" si="21"/>
        <v>37925</v>
      </c>
      <c r="B149" s="1678">
        <v>101.1</v>
      </c>
      <c r="C149" s="1679">
        <f t="shared" si="22"/>
        <v>1.011</v>
      </c>
      <c r="D149" s="1679">
        <f>PRODUCT(C$4:C149)</f>
        <v>2.86440586006612</v>
      </c>
      <c r="F149" s="1678">
        <v>100</v>
      </c>
      <c r="G149" s="1679">
        <f t="shared" si="23"/>
        <v>1</v>
      </c>
      <c r="H149" s="1679">
        <f>PRODUCT(G$4:G149)</f>
        <v>1</v>
      </c>
      <c r="J149" s="1680">
        <v>0</v>
      </c>
      <c r="K149" s="1680">
        <v>0</v>
      </c>
      <c r="L149" s="1680">
        <v>0</v>
      </c>
      <c r="N149" s="1681"/>
      <c r="O149" s="1681"/>
      <c r="P149" s="1681"/>
      <c r="Q149" s="1681"/>
      <c r="R149" s="1681"/>
      <c r="T149" s="1681"/>
      <c r="U149" s="1681"/>
      <c r="W149" s="1681">
        <f t="shared" si="24"/>
        <v>0</v>
      </c>
      <c r="X149" s="1681"/>
      <c r="Y149" s="1681">
        <f t="shared" si="25"/>
        <v>0</v>
      </c>
      <c r="Z149" s="1681"/>
      <c r="AB149" s="1682"/>
      <c r="AC149" s="1682"/>
      <c r="AE149" s="1683"/>
      <c r="AF149" s="1683"/>
      <c r="AG149" s="1683"/>
      <c r="AH149" s="1683"/>
      <c r="AI149" s="1683"/>
      <c r="AJ149" s="1683"/>
      <c r="AK149" s="1683"/>
      <c r="AL149" s="1683"/>
      <c r="AM149" s="1683"/>
      <c r="AN149" s="1683"/>
      <c r="AO149" s="1683"/>
      <c r="AP149" s="1683"/>
      <c r="AQ149" s="1683"/>
      <c r="AR149" s="1683"/>
      <c r="AS149" s="1683"/>
      <c r="AT149" s="1683"/>
      <c r="AU149" s="1683"/>
      <c r="AV149" s="1683"/>
      <c r="AW149" s="1683"/>
      <c r="AX149" s="1683"/>
      <c r="AY149" s="1683"/>
      <c r="AZ149" s="1683"/>
      <c r="BA149" s="1683"/>
      <c r="BB149" s="1683"/>
    </row>
    <row r="150" spans="1:54">
      <c r="A150" s="326">
        <f t="shared" ref="A150:A213" si="26">DATE(IF(MONTH(A149)=12,YEAR(A149)+1,YEAR(A149)),MONTH(A149+1)+1,1)-1</f>
        <v>37955</v>
      </c>
      <c r="B150" s="1678">
        <v>100.8</v>
      </c>
      <c r="C150" s="1679">
        <f t="shared" si="22"/>
        <v>1.008</v>
      </c>
      <c r="D150" s="1679">
        <f>PRODUCT(C$4:C150)</f>
        <v>2.88732110694665</v>
      </c>
      <c r="F150" s="1678">
        <v>100</v>
      </c>
      <c r="G150" s="1679">
        <f t="shared" si="23"/>
        <v>1</v>
      </c>
      <c r="H150" s="1679">
        <f>PRODUCT(G$4:G150)</f>
        <v>1</v>
      </c>
      <c r="J150" s="1680">
        <v>0</v>
      </c>
      <c r="K150" s="1680">
        <v>0</v>
      </c>
      <c r="L150" s="1680">
        <v>0</v>
      </c>
      <c r="N150" s="1681"/>
      <c r="O150" s="1681"/>
      <c r="P150" s="1681"/>
      <c r="Q150" s="1681"/>
      <c r="R150" s="1681"/>
      <c r="T150" s="1681"/>
      <c r="U150" s="1681"/>
      <c r="W150" s="1681">
        <f t="shared" si="24"/>
        <v>0</v>
      </c>
      <c r="X150" s="1681"/>
      <c r="Y150" s="1681">
        <f t="shared" si="25"/>
        <v>0</v>
      </c>
      <c r="Z150" s="1681"/>
      <c r="AB150" s="1682"/>
      <c r="AC150" s="1682"/>
      <c r="AE150" s="1683"/>
      <c r="AF150" s="1683"/>
      <c r="AG150" s="1683"/>
      <c r="AH150" s="1683"/>
      <c r="AI150" s="1683"/>
      <c r="AJ150" s="1683"/>
      <c r="AK150" s="1683"/>
      <c r="AL150" s="1683"/>
      <c r="AM150" s="1683"/>
      <c r="AN150" s="1683"/>
      <c r="AO150" s="1683"/>
      <c r="AP150" s="1683"/>
      <c r="AQ150" s="1683"/>
      <c r="AR150" s="1683"/>
      <c r="AS150" s="1683"/>
      <c r="AT150" s="1683"/>
      <c r="AU150" s="1683"/>
      <c r="AV150" s="1683"/>
      <c r="AW150" s="1683"/>
      <c r="AX150" s="1683"/>
      <c r="AY150" s="1683"/>
      <c r="AZ150" s="1683"/>
      <c r="BA150" s="1683"/>
      <c r="BB150" s="1683"/>
    </row>
    <row r="151" spans="1:54">
      <c r="A151" s="326">
        <f t="shared" si="26"/>
        <v>37986</v>
      </c>
      <c r="B151" s="1678">
        <v>99.9</v>
      </c>
      <c r="C151" s="1679">
        <f t="shared" si="22"/>
        <v>0.999</v>
      </c>
      <c r="D151" s="1679">
        <f>PRODUCT(C$4:C151)</f>
        <v>2.8844337858397</v>
      </c>
      <c r="F151" s="1678">
        <v>100</v>
      </c>
      <c r="G151" s="1679">
        <f t="shared" si="23"/>
        <v>1</v>
      </c>
      <c r="H151" s="1679">
        <f>PRODUCT(G$4:G151)</f>
        <v>1</v>
      </c>
      <c r="J151" s="1680">
        <v>0</v>
      </c>
      <c r="K151" s="1680">
        <v>0</v>
      </c>
      <c r="L151" s="1680">
        <v>0</v>
      </c>
      <c r="N151" s="1681"/>
      <c r="O151" s="1681"/>
      <c r="P151" s="1681"/>
      <c r="Q151" s="1681"/>
      <c r="R151" s="1681"/>
      <c r="T151" s="1681"/>
      <c r="U151" s="1681"/>
      <c r="W151" s="1681">
        <f t="shared" si="24"/>
        <v>0</v>
      </c>
      <c r="X151" s="1681"/>
      <c r="Y151" s="1681">
        <f t="shared" si="25"/>
        <v>0</v>
      </c>
      <c r="Z151" s="1681"/>
      <c r="AB151" s="1682"/>
      <c r="AC151" s="1682"/>
      <c r="AE151" s="1683"/>
      <c r="AF151" s="1683"/>
      <c r="AG151" s="1683"/>
      <c r="AH151" s="1683"/>
      <c r="AI151" s="1683"/>
      <c r="AJ151" s="1683"/>
      <c r="AK151" s="1683"/>
      <c r="AL151" s="1683"/>
      <c r="AM151" s="1683"/>
      <c r="AN151" s="1683"/>
      <c r="AO151" s="1683"/>
      <c r="AP151" s="1683"/>
      <c r="AQ151" s="1683"/>
      <c r="AR151" s="1683"/>
      <c r="AS151" s="1683"/>
      <c r="AT151" s="1683"/>
      <c r="AU151" s="1683"/>
      <c r="AV151" s="1683"/>
      <c r="AW151" s="1683"/>
      <c r="AX151" s="1683"/>
      <c r="AY151" s="1683"/>
      <c r="AZ151" s="1683"/>
      <c r="BA151" s="1683"/>
      <c r="BB151" s="1683"/>
    </row>
    <row r="152" spans="1:54">
      <c r="A152" s="326">
        <f t="shared" si="26"/>
        <v>38017</v>
      </c>
      <c r="B152" s="1678">
        <v>100.3</v>
      </c>
      <c r="C152" s="1679">
        <f t="shared" si="22"/>
        <v>1.003</v>
      </c>
      <c r="D152" s="1679">
        <f>PRODUCT(C$4:C152)</f>
        <v>2.89308708719722</v>
      </c>
      <c r="F152" s="1678">
        <v>100</v>
      </c>
      <c r="G152" s="1679">
        <f t="shared" si="23"/>
        <v>1</v>
      </c>
      <c r="H152" s="1679">
        <f>PRODUCT(G$4:G152)</f>
        <v>1</v>
      </c>
      <c r="J152" s="1680">
        <v>0</v>
      </c>
      <c r="K152" s="1680">
        <v>0</v>
      </c>
      <c r="L152" s="1680">
        <v>0</v>
      </c>
      <c r="N152" s="1681"/>
      <c r="O152" s="1681"/>
      <c r="P152" s="1681"/>
      <c r="Q152" s="1681"/>
      <c r="R152" s="1681"/>
      <c r="T152" s="1681"/>
      <c r="U152" s="1681"/>
      <c r="W152" s="1681">
        <f t="shared" si="24"/>
        <v>0</v>
      </c>
      <c r="X152" s="1681"/>
      <c r="Y152" s="1681">
        <f t="shared" si="25"/>
        <v>0</v>
      </c>
      <c r="Z152" s="1681"/>
      <c r="AB152" s="1682"/>
      <c r="AC152" s="1682"/>
      <c r="AE152" s="1683"/>
      <c r="AF152" s="1683"/>
      <c r="AG152" s="1683"/>
      <c r="AH152" s="1683"/>
      <c r="AI152" s="1683"/>
      <c r="AJ152" s="1683"/>
      <c r="AK152" s="1683"/>
      <c r="AL152" s="1683"/>
      <c r="AM152" s="1683"/>
      <c r="AN152" s="1683"/>
      <c r="AO152" s="1683"/>
      <c r="AP152" s="1683"/>
      <c r="AQ152" s="1683"/>
      <c r="AR152" s="1683"/>
      <c r="AS152" s="1683"/>
      <c r="AT152" s="1683"/>
      <c r="AU152" s="1683"/>
      <c r="AV152" s="1683"/>
      <c r="AW152" s="1683"/>
      <c r="AX152" s="1683"/>
      <c r="AY152" s="1683"/>
      <c r="AZ152" s="1683"/>
      <c r="BA152" s="1683"/>
      <c r="BB152" s="1683"/>
    </row>
    <row r="153" spans="1:54">
      <c r="A153" s="326">
        <f t="shared" si="26"/>
        <v>38046</v>
      </c>
      <c r="B153" s="1678">
        <v>101.1</v>
      </c>
      <c r="C153" s="1679">
        <f t="shared" si="22"/>
        <v>1.011</v>
      </c>
      <c r="D153" s="1679">
        <f>PRODUCT(C$4:C153)</f>
        <v>2.92491104515639</v>
      </c>
      <c r="F153" s="1678">
        <v>100</v>
      </c>
      <c r="G153" s="1679">
        <f t="shared" si="23"/>
        <v>1</v>
      </c>
      <c r="H153" s="1679">
        <f>PRODUCT(G$4:G153)</f>
        <v>1</v>
      </c>
      <c r="J153" s="1680">
        <v>0</v>
      </c>
      <c r="K153" s="1680">
        <v>0</v>
      </c>
      <c r="L153" s="1680">
        <v>0</v>
      </c>
      <c r="N153" s="1681"/>
      <c r="O153" s="1681"/>
      <c r="P153" s="1681"/>
      <c r="Q153" s="1681"/>
      <c r="R153" s="1681"/>
      <c r="T153" s="1681"/>
      <c r="U153" s="1681"/>
      <c r="W153" s="1681">
        <f t="shared" si="24"/>
        <v>0</v>
      </c>
      <c r="X153" s="1681"/>
      <c r="Y153" s="1681">
        <f t="shared" si="25"/>
        <v>0</v>
      </c>
      <c r="Z153" s="1681"/>
      <c r="AB153" s="1682"/>
      <c r="AC153" s="1682"/>
      <c r="AE153" s="1683"/>
      <c r="AF153" s="1683"/>
      <c r="AG153" s="1683"/>
      <c r="AH153" s="1683"/>
      <c r="AI153" s="1683"/>
      <c r="AJ153" s="1683"/>
      <c r="AK153" s="1683"/>
      <c r="AL153" s="1683"/>
      <c r="AM153" s="1683"/>
      <c r="AN153" s="1683"/>
      <c r="AO153" s="1683"/>
      <c r="AP153" s="1683"/>
      <c r="AQ153" s="1683"/>
      <c r="AR153" s="1683"/>
      <c r="AS153" s="1683"/>
      <c r="AT153" s="1683"/>
      <c r="AU153" s="1683"/>
      <c r="AV153" s="1683"/>
      <c r="AW153" s="1683"/>
      <c r="AX153" s="1683"/>
      <c r="AY153" s="1683"/>
      <c r="AZ153" s="1683"/>
      <c r="BA153" s="1683"/>
      <c r="BB153" s="1683"/>
    </row>
    <row r="154" spans="1:54">
      <c r="A154" s="326">
        <f t="shared" si="26"/>
        <v>38077</v>
      </c>
      <c r="B154" s="1678">
        <v>100.5</v>
      </c>
      <c r="C154" s="1679">
        <f t="shared" si="22"/>
        <v>1.005</v>
      </c>
      <c r="D154" s="1679">
        <f>PRODUCT(C$4:C154)</f>
        <v>2.93953560038217</v>
      </c>
      <c r="F154" s="1678">
        <v>100</v>
      </c>
      <c r="G154" s="1679">
        <f t="shared" si="23"/>
        <v>1</v>
      </c>
      <c r="H154" s="1679">
        <f>PRODUCT(G$4:G154)</f>
        <v>1</v>
      </c>
      <c r="J154" s="1680">
        <v>0</v>
      </c>
      <c r="K154" s="1680">
        <v>0</v>
      </c>
      <c r="L154" s="1680">
        <v>0</v>
      </c>
      <c r="N154" s="1681"/>
      <c r="O154" s="1681"/>
      <c r="P154" s="1681"/>
      <c r="Q154" s="1681"/>
      <c r="R154" s="1681"/>
      <c r="T154" s="1681"/>
      <c r="U154" s="1681"/>
      <c r="W154" s="1681">
        <f t="shared" si="24"/>
        <v>0</v>
      </c>
      <c r="X154" s="1681"/>
      <c r="Y154" s="1681">
        <f t="shared" si="25"/>
        <v>0</v>
      </c>
      <c r="Z154" s="1681"/>
      <c r="AB154" s="1682"/>
      <c r="AC154" s="1682"/>
      <c r="AE154" s="1683"/>
      <c r="AF154" s="1683"/>
      <c r="AG154" s="1683"/>
      <c r="AH154" s="1683"/>
      <c r="AI154" s="1683"/>
      <c r="AJ154" s="1683"/>
      <c r="AK154" s="1683"/>
      <c r="AL154" s="1683"/>
      <c r="AM154" s="1683"/>
      <c r="AN154" s="1683"/>
      <c r="AO154" s="1683"/>
      <c r="AP154" s="1683"/>
      <c r="AQ154" s="1683"/>
      <c r="AR154" s="1683"/>
      <c r="AS154" s="1683"/>
      <c r="AT154" s="1683"/>
      <c r="AU154" s="1683"/>
      <c r="AV154" s="1683"/>
      <c r="AW154" s="1683"/>
      <c r="AX154" s="1683"/>
      <c r="AY154" s="1683"/>
      <c r="AZ154" s="1683"/>
      <c r="BA154" s="1683"/>
      <c r="BB154" s="1683"/>
    </row>
    <row r="155" spans="1:54">
      <c r="A155" s="326">
        <f t="shared" si="26"/>
        <v>38107</v>
      </c>
      <c r="B155" s="1678">
        <v>100.8</v>
      </c>
      <c r="C155" s="1679">
        <f t="shared" si="22"/>
        <v>1.008</v>
      </c>
      <c r="D155" s="1679">
        <f>PRODUCT(C$4:C155)</f>
        <v>2.96305188518523</v>
      </c>
      <c r="F155" s="1678">
        <v>100</v>
      </c>
      <c r="G155" s="1679">
        <f t="shared" si="23"/>
        <v>1</v>
      </c>
      <c r="H155" s="1679">
        <f>PRODUCT(G$4:G155)</f>
        <v>1</v>
      </c>
      <c r="J155" s="1680">
        <v>0</v>
      </c>
      <c r="K155" s="1680">
        <v>0</v>
      </c>
      <c r="L155" s="1680">
        <v>0</v>
      </c>
      <c r="N155" s="1681"/>
      <c r="O155" s="1681"/>
      <c r="P155" s="1681"/>
      <c r="Q155" s="1681"/>
      <c r="R155" s="1681"/>
      <c r="T155" s="1681"/>
      <c r="U155" s="1681"/>
      <c r="W155" s="1681">
        <f t="shared" si="24"/>
        <v>0</v>
      </c>
      <c r="X155" s="1681"/>
      <c r="Y155" s="1681">
        <f t="shared" si="25"/>
        <v>0</v>
      </c>
      <c r="Z155" s="1681"/>
      <c r="AB155" s="1682"/>
      <c r="AC155" s="1682"/>
      <c r="AE155" s="1683"/>
      <c r="AF155" s="1683"/>
      <c r="AG155" s="1683"/>
      <c r="AH155" s="1683"/>
      <c r="AI155" s="1683"/>
      <c r="AJ155" s="1683"/>
      <c r="AK155" s="1683"/>
      <c r="AL155" s="1683"/>
      <c r="AM155" s="1683"/>
      <c r="AN155" s="1683"/>
      <c r="AO155" s="1683"/>
      <c r="AP155" s="1683"/>
      <c r="AQ155" s="1683"/>
      <c r="AR155" s="1683"/>
      <c r="AS155" s="1683"/>
      <c r="AT155" s="1683"/>
      <c r="AU155" s="1683"/>
      <c r="AV155" s="1683"/>
      <c r="AW155" s="1683"/>
      <c r="AX155" s="1683"/>
      <c r="AY155" s="1683"/>
      <c r="AZ155" s="1683"/>
      <c r="BA155" s="1683"/>
      <c r="BB155" s="1683"/>
    </row>
    <row r="156" spans="1:54">
      <c r="A156" s="326">
        <f t="shared" si="26"/>
        <v>38138</v>
      </c>
      <c r="B156" s="1678">
        <v>100</v>
      </c>
      <c r="C156" s="1679">
        <f t="shared" si="22"/>
        <v>1</v>
      </c>
      <c r="D156" s="1679">
        <f>PRODUCT(C$4:C156)</f>
        <v>2.96305188518523</v>
      </c>
      <c r="F156" s="1678">
        <v>100</v>
      </c>
      <c r="G156" s="1679">
        <f t="shared" si="23"/>
        <v>1</v>
      </c>
      <c r="H156" s="1679">
        <f>PRODUCT(G$4:G156)</f>
        <v>1</v>
      </c>
      <c r="J156" s="1680">
        <v>0</v>
      </c>
      <c r="K156" s="1680">
        <v>0</v>
      </c>
      <c r="L156" s="1680">
        <v>0</v>
      </c>
      <c r="N156" s="1681"/>
      <c r="O156" s="1681"/>
      <c r="P156" s="1681"/>
      <c r="Q156" s="1681"/>
      <c r="R156" s="1681"/>
      <c r="T156" s="1681"/>
      <c r="U156" s="1681"/>
      <c r="W156" s="1681">
        <f t="shared" si="24"/>
        <v>0</v>
      </c>
      <c r="X156" s="1681"/>
      <c r="Y156" s="1681">
        <f t="shared" si="25"/>
        <v>0</v>
      </c>
      <c r="Z156" s="1681"/>
      <c r="AB156" s="1682"/>
      <c r="AC156" s="1682"/>
      <c r="AE156" s="1683"/>
      <c r="AF156" s="1683"/>
      <c r="AG156" s="1683"/>
      <c r="AH156" s="1683"/>
      <c r="AI156" s="1683"/>
      <c r="AJ156" s="1683"/>
      <c r="AK156" s="1683"/>
      <c r="AL156" s="1683"/>
      <c r="AM156" s="1683"/>
      <c r="AN156" s="1683"/>
      <c r="AO156" s="1683"/>
      <c r="AP156" s="1683"/>
      <c r="AQ156" s="1683"/>
      <c r="AR156" s="1683"/>
      <c r="AS156" s="1683"/>
      <c r="AT156" s="1683"/>
      <c r="AU156" s="1683"/>
      <c r="AV156" s="1683"/>
      <c r="AW156" s="1683"/>
      <c r="AX156" s="1683"/>
      <c r="AY156" s="1683"/>
      <c r="AZ156" s="1683"/>
      <c r="BA156" s="1683"/>
      <c r="BB156" s="1683"/>
    </row>
    <row r="157" spans="1:54">
      <c r="A157" s="326">
        <f t="shared" si="26"/>
        <v>38168</v>
      </c>
      <c r="B157" s="1678">
        <v>100.4</v>
      </c>
      <c r="C157" s="1679">
        <f t="shared" si="22"/>
        <v>1.004</v>
      </c>
      <c r="D157" s="1679">
        <f>PRODUCT(C$4:C157)</f>
        <v>2.97490409272597</v>
      </c>
      <c r="F157" s="1678">
        <v>100</v>
      </c>
      <c r="G157" s="1679">
        <f t="shared" si="23"/>
        <v>1</v>
      </c>
      <c r="H157" s="1679">
        <f>PRODUCT(G$4:G157)</f>
        <v>1</v>
      </c>
      <c r="J157" s="1680">
        <v>0</v>
      </c>
      <c r="K157" s="1680">
        <v>0</v>
      </c>
      <c r="L157" s="1680">
        <v>0</v>
      </c>
      <c r="N157" s="1681"/>
      <c r="O157" s="1681"/>
      <c r="P157" s="1681"/>
      <c r="Q157" s="1681"/>
      <c r="R157" s="1681"/>
      <c r="T157" s="1681"/>
      <c r="U157" s="1681"/>
      <c r="W157" s="1681">
        <f t="shared" si="24"/>
        <v>0</v>
      </c>
      <c r="X157" s="1681"/>
      <c r="Y157" s="1681">
        <f t="shared" si="25"/>
        <v>0</v>
      </c>
      <c r="Z157" s="1681"/>
      <c r="AB157" s="1682"/>
      <c r="AC157" s="1682"/>
      <c r="AE157" s="1683"/>
      <c r="AF157" s="1683"/>
      <c r="AG157" s="1683"/>
      <c r="AH157" s="1683"/>
      <c r="AI157" s="1683"/>
      <c r="AJ157" s="1683"/>
      <c r="AK157" s="1683"/>
      <c r="AL157" s="1683"/>
      <c r="AM157" s="1683"/>
      <c r="AN157" s="1683"/>
      <c r="AO157" s="1683"/>
      <c r="AP157" s="1683"/>
      <c r="AQ157" s="1683"/>
      <c r="AR157" s="1683"/>
      <c r="AS157" s="1683"/>
      <c r="AT157" s="1683"/>
      <c r="AU157" s="1683"/>
      <c r="AV157" s="1683"/>
      <c r="AW157" s="1683"/>
      <c r="AX157" s="1683"/>
      <c r="AY157" s="1683"/>
      <c r="AZ157" s="1683"/>
      <c r="BA157" s="1683"/>
      <c r="BB157" s="1683"/>
    </row>
    <row r="158" spans="1:54">
      <c r="A158" s="326">
        <f t="shared" si="26"/>
        <v>38199</v>
      </c>
      <c r="B158" s="1678">
        <v>100.4</v>
      </c>
      <c r="C158" s="1679">
        <f t="shared" si="22"/>
        <v>1.004</v>
      </c>
      <c r="D158" s="1679">
        <f>PRODUCT(C$4:C158)</f>
        <v>2.98680370909687</v>
      </c>
      <c r="F158" s="1678">
        <v>100</v>
      </c>
      <c r="G158" s="1679">
        <f t="shared" si="23"/>
        <v>1</v>
      </c>
      <c r="H158" s="1679">
        <f>PRODUCT(G$4:G158)</f>
        <v>1</v>
      </c>
      <c r="J158" s="1680">
        <v>0</v>
      </c>
      <c r="K158" s="1680">
        <v>0</v>
      </c>
      <c r="L158" s="1680">
        <v>0</v>
      </c>
      <c r="N158" s="1681"/>
      <c r="O158" s="1681"/>
      <c r="P158" s="1681"/>
      <c r="Q158" s="1681"/>
      <c r="R158" s="1681"/>
      <c r="T158" s="1681"/>
      <c r="U158" s="1681"/>
      <c r="W158" s="1681">
        <f t="shared" si="24"/>
        <v>0</v>
      </c>
      <c r="X158" s="1681"/>
      <c r="Y158" s="1681">
        <f t="shared" si="25"/>
        <v>0</v>
      </c>
      <c r="Z158" s="1681"/>
      <c r="AB158" s="1682"/>
      <c r="AC158" s="1682"/>
      <c r="AE158" s="1683"/>
      <c r="AF158" s="1683"/>
      <c r="AG158" s="1683"/>
      <c r="AH158" s="1683"/>
      <c r="AI158" s="1683"/>
      <c r="AJ158" s="1683"/>
      <c r="AK158" s="1683"/>
      <c r="AL158" s="1683"/>
      <c r="AM158" s="1683"/>
      <c r="AN158" s="1683"/>
      <c r="AO158" s="1683"/>
      <c r="AP158" s="1683"/>
      <c r="AQ158" s="1683"/>
      <c r="AR158" s="1683"/>
      <c r="AS158" s="1683"/>
      <c r="AT158" s="1683"/>
      <c r="AU158" s="1683"/>
      <c r="AV158" s="1683"/>
      <c r="AW158" s="1683"/>
      <c r="AX158" s="1683"/>
      <c r="AY158" s="1683"/>
      <c r="AZ158" s="1683"/>
      <c r="BA158" s="1683"/>
      <c r="BB158" s="1683"/>
    </row>
    <row r="159" spans="1:54">
      <c r="A159" s="326">
        <f t="shared" si="26"/>
        <v>38230</v>
      </c>
      <c r="B159" s="1678">
        <v>100.3</v>
      </c>
      <c r="C159" s="1679">
        <f t="shared" si="22"/>
        <v>1.003</v>
      </c>
      <c r="D159" s="1679">
        <f>PRODUCT(C$4:C159)</f>
        <v>2.99576412022416</v>
      </c>
      <c r="F159" s="1678">
        <v>100</v>
      </c>
      <c r="G159" s="1679">
        <f t="shared" si="23"/>
        <v>1</v>
      </c>
      <c r="H159" s="1679">
        <f>PRODUCT(G$4:G159)</f>
        <v>1</v>
      </c>
      <c r="J159" s="1680">
        <v>0</v>
      </c>
      <c r="K159" s="1680">
        <v>0</v>
      </c>
      <c r="L159" s="1680">
        <v>0</v>
      </c>
      <c r="N159" s="1681"/>
      <c r="O159" s="1681"/>
      <c r="P159" s="1681"/>
      <c r="Q159" s="1681"/>
      <c r="R159" s="1681"/>
      <c r="T159" s="1681"/>
      <c r="U159" s="1681"/>
      <c r="W159" s="1681">
        <f t="shared" si="24"/>
        <v>0</v>
      </c>
      <c r="X159" s="1681"/>
      <c r="Y159" s="1681">
        <f t="shared" si="25"/>
        <v>0</v>
      </c>
      <c r="Z159" s="1681"/>
      <c r="AB159" s="1682"/>
      <c r="AC159" s="1682"/>
      <c r="AE159" s="1683"/>
      <c r="AF159" s="1683"/>
      <c r="AG159" s="1683"/>
      <c r="AH159" s="1683"/>
      <c r="AI159" s="1683"/>
      <c r="AJ159" s="1683"/>
      <c r="AK159" s="1683"/>
      <c r="AL159" s="1683"/>
      <c r="AM159" s="1683"/>
      <c r="AN159" s="1683"/>
      <c r="AO159" s="1683"/>
      <c r="AP159" s="1683"/>
      <c r="AQ159" s="1683"/>
      <c r="AR159" s="1683"/>
      <c r="AS159" s="1683"/>
      <c r="AT159" s="1683"/>
      <c r="AU159" s="1683"/>
      <c r="AV159" s="1683"/>
      <c r="AW159" s="1683"/>
      <c r="AX159" s="1683"/>
      <c r="AY159" s="1683"/>
      <c r="AZ159" s="1683"/>
      <c r="BA159" s="1683"/>
      <c r="BB159" s="1683"/>
    </row>
    <row r="160" spans="1:54">
      <c r="A160" s="326">
        <f t="shared" si="26"/>
        <v>38260</v>
      </c>
      <c r="B160" s="1678">
        <v>101.3</v>
      </c>
      <c r="C160" s="1679">
        <f t="shared" si="22"/>
        <v>1.013</v>
      </c>
      <c r="D160" s="1679">
        <f>PRODUCT(C$4:C160)</f>
        <v>3.03470905378708</v>
      </c>
      <c r="F160" s="1678">
        <v>100</v>
      </c>
      <c r="G160" s="1679">
        <f t="shared" si="23"/>
        <v>1</v>
      </c>
      <c r="H160" s="1679">
        <f>PRODUCT(G$4:G160)</f>
        <v>1</v>
      </c>
      <c r="J160" s="1680">
        <v>0</v>
      </c>
      <c r="K160" s="1680">
        <v>0</v>
      </c>
      <c r="L160" s="1680">
        <v>0</v>
      </c>
      <c r="N160" s="1681"/>
      <c r="O160" s="1681"/>
      <c r="P160" s="1681"/>
      <c r="Q160" s="1681"/>
      <c r="R160" s="1681"/>
      <c r="T160" s="1681"/>
      <c r="U160" s="1681"/>
      <c r="W160" s="1681">
        <f t="shared" si="24"/>
        <v>0</v>
      </c>
      <c r="X160" s="1681"/>
      <c r="Y160" s="1681">
        <f t="shared" si="25"/>
        <v>0</v>
      </c>
      <c r="Z160" s="1681"/>
      <c r="AB160" s="1682"/>
      <c r="AC160" s="1682"/>
      <c r="AE160" s="1683"/>
      <c r="AF160" s="1683"/>
      <c r="AG160" s="1683"/>
      <c r="AH160" s="1683"/>
      <c r="AI160" s="1683"/>
      <c r="AJ160" s="1683"/>
      <c r="AK160" s="1683"/>
      <c r="AL160" s="1683"/>
      <c r="AM160" s="1683"/>
      <c r="AN160" s="1683"/>
      <c r="AO160" s="1683"/>
      <c r="AP160" s="1683"/>
      <c r="AQ160" s="1683"/>
      <c r="AR160" s="1683"/>
      <c r="AS160" s="1683"/>
      <c r="AT160" s="1683"/>
      <c r="AU160" s="1683"/>
      <c r="AV160" s="1683"/>
      <c r="AW160" s="1683"/>
      <c r="AX160" s="1683"/>
      <c r="AY160" s="1683"/>
      <c r="AZ160" s="1683"/>
      <c r="BA160" s="1683"/>
      <c r="BB160" s="1683"/>
    </row>
    <row r="161" spans="1:54">
      <c r="A161" s="326">
        <f t="shared" si="26"/>
        <v>38291</v>
      </c>
      <c r="B161" s="1678">
        <v>101.6</v>
      </c>
      <c r="C161" s="1679">
        <f t="shared" si="22"/>
        <v>1.016</v>
      </c>
      <c r="D161" s="1679">
        <f>PRODUCT(C$4:C161)</f>
        <v>3.08326439864767</v>
      </c>
      <c r="F161" s="1678">
        <v>100</v>
      </c>
      <c r="G161" s="1679">
        <f t="shared" si="23"/>
        <v>1</v>
      </c>
      <c r="H161" s="1679">
        <f>PRODUCT(G$4:G161)</f>
        <v>1</v>
      </c>
      <c r="J161" s="1680">
        <v>0</v>
      </c>
      <c r="K161" s="1680">
        <v>0</v>
      </c>
      <c r="L161" s="1680">
        <v>0</v>
      </c>
      <c r="N161" s="1681"/>
      <c r="O161" s="1681"/>
      <c r="P161" s="1681"/>
      <c r="Q161" s="1681"/>
      <c r="R161" s="1681"/>
      <c r="T161" s="1681"/>
      <c r="U161" s="1681"/>
      <c r="W161" s="1681">
        <f t="shared" si="24"/>
        <v>0</v>
      </c>
      <c r="X161" s="1681"/>
      <c r="Y161" s="1681">
        <f t="shared" si="25"/>
        <v>0</v>
      </c>
      <c r="Z161" s="1681"/>
      <c r="AB161" s="1682"/>
      <c r="AC161" s="1682"/>
      <c r="AE161" s="1683"/>
      <c r="AF161" s="1683"/>
      <c r="AG161" s="1683"/>
      <c r="AH161" s="1683"/>
      <c r="AI161" s="1683"/>
      <c r="AJ161" s="1683"/>
      <c r="AK161" s="1683"/>
      <c r="AL161" s="1683"/>
      <c r="AM161" s="1683"/>
      <c r="AN161" s="1683"/>
      <c r="AO161" s="1683"/>
      <c r="AP161" s="1683"/>
      <c r="AQ161" s="1683"/>
      <c r="AR161" s="1683"/>
      <c r="AS161" s="1683"/>
      <c r="AT161" s="1683"/>
      <c r="AU161" s="1683"/>
      <c r="AV161" s="1683"/>
      <c r="AW161" s="1683"/>
      <c r="AX161" s="1683"/>
      <c r="AY161" s="1683"/>
      <c r="AZ161" s="1683"/>
      <c r="BA161" s="1683"/>
      <c r="BB161" s="1683"/>
    </row>
    <row r="162" spans="1:54">
      <c r="A162" s="326">
        <f t="shared" si="26"/>
        <v>38321</v>
      </c>
      <c r="B162" s="1678">
        <v>100.5</v>
      </c>
      <c r="C162" s="1679">
        <f t="shared" si="22"/>
        <v>1.005</v>
      </c>
      <c r="D162" s="1679">
        <f>PRODUCT(C$4:C162)</f>
        <v>3.09868072064091</v>
      </c>
      <c r="F162" s="1678">
        <v>100</v>
      </c>
      <c r="G162" s="1679">
        <f t="shared" si="23"/>
        <v>1</v>
      </c>
      <c r="H162" s="1679">
        <f>PRODUCT(G$4:G162)</f>
        <v>1</v>
      </c>
      <c r="J162" s="1680">
        <v>0</v>
      </c>
      <c r="K162" s="1680">
        <v>0</v>
      </c>
      <c r="L162" s="1680">
        <v>0</v>
      </c>
      <c r="N162" s="1681"/>
      <c r="O162" s="1681"/>
      <c r="P162" s="1681"/>
      <c r="Q162" s="1681"/>
      <c r="R162" s="1681"/>
      <c r="T162" s="1681"/>
      <c r="U162" s="1681"/>
      <c r="W162" s="1681">
        <f t="shared" si="24"/>
        <v>0</v>
      </c>
      <c r="X162" s="1681"/>
      <c r="Y162" s="1681">
        <f t="shared" si="25"/>
        <v>0</v>
      </c>
      <c r="Z162" s="1681"/>
      <c r="AB162" s="1682"/>
      <c r="AC162" s="1682"/>
      <c r="AE162" s="1683"/>
      <c r="AF162" s="1683"/>
      <c r="AG162" s="1683"/>
      <c r="AH162" s="1683"/>
      <c r="AI162" s="1683"/>
      <c r="AJ162" s="1683"/>
      <c r="AK162" s="1683"/>
      <c r="AL162" s="1683"/>
      <c r="AM162" s="1683"/>
      <c r="AN162" s="1683"/>
      <c r="AO162" s="1683"/>
      <c r="AP162" s="1683"/>
      <c r="AQ162" s="1683"/>
      <c r="AR162" s="1683"/>
      <c r="AS162" s="1683"/>
      <c r="AT162" s="1683"/>
      <c r="AU162" s="1683"/>
      <c r="AV162" s="1683"/>
      <c r="AW162" s="1683"/>
      <c r="AX162" s="1683"/>
      <c r="AY162" s="1683"/>
      <c r="AZ162" s="1683"/>
      <c r="BA162" s="1683"/>
      <c r="BB162" s="1683"/>
    </row>
    <row r="163" spans="1:54">
      <c r="A163" s="326">
        <f t="shared" si="26"/>
        <v>38352</v>
      </c>
      <c r="B163" s="1678">
        <v>99</v>
      </c>
      <c r="C163" s="1679">
        <f t="shared" si="22"/>
        <v>0.99</v>
      </c>
      <c r="D163" s="1679">
        <f>PRODUCT(C$4:C163)</f>
        <v>3.0676939134345</v>
      </c>
      <c r="F163" s="1678">
        <v>100</v>
      </c>
      <c r="G163" s="1679">
        <v>1.05333601690651</v>
      </c>
      <c r="H163" s="1679">
        <f>PRODUCT(G$4:G163)</f>
        <v>1.05333601690651</v>
      </c>
      <c r="J163" s="1680">
        <v>0</v>
      </c>
      <c r="K163" s="1680">
        <v>0</v>
      </c>
      <c r="L163" s="1680">
        <v>0</v>
      </c>
      <c r="N163" s="1681"/>
      <c r="O163" s="1681"/>
      <c r="P163" s="1681"/>
      <c r="Q163" s="1681"/>
      <c r="R163" s="1681"/>
      <c r="T163" s="1681"/>
      <c r="U163" s="1681"/>
      <c r="W163" s="1681">
        <f t="shared" si="24"/>
        <v>0</v>
      </c>
      <c r="X163" s="1681"/>
      <c r="Y163" s="1681">
        <f t="shared" si="25"/>
        <v>0</v>
      </c>
      <c r="Z163" s="1681"/>
      <c r="AB163" s="1682"/>
      <c r="AC163" s="1682"/>
      <c r="AE163" s="1683"/>
      <c r="AF163" s="1683"/>
      <c r="AG163" s="1683"/>
      <c r="AH163" s="1683"/>
      <c r="AI163" s="1683"/>
      <c r="AJ163" s="1683"/>
      <c r="AK163" s="1683"/>
      <c r="AL163" s="1683"/>
      <c r="AM163" s="1683"/>
      <c r="AN163" s="1683"/>
      <c r="AO163" s="1683"/>
      <c r="AP163" s="1683"/>
      <c r="AQ163" s="1683"/>
      <c r="AR163" s="1683"/>
      <c r="AS163" s="1683"/>
      <c r="AT163" s="1683"/>
      <c r="AU163" s="1683"/>
      <c r="AV163" s="1683"/>
      <c r="AW163" s="1683"/>
      <c r="AX163" s="1683"/>
      <c r="AY163" s="1683"/>
      <c r="AZ163" s="1683"/>
      <c r="BA163" s="1683"/>
      <c r="BB163" s="1683"/>
    </row>
    <row r="164" spans="1:54">
      <c r="A164" s="326">
        <f t="shared" si="26"/>
        <v>38383</v>
      </c>
      <c r="B164" s="1678">
        <v>99.1</v>
      </c>
      <c r="C164" s="1679">
        <f t="shared" si="22"/>
        <v>0.991</v>
      </c>
      <c r="D164" s="1679">
        <f>PRODUCT(C$4:C164)</f>
        <v>3.04008466821359</v>
      </c>
      <c r="F164" s="1678">
        <v>99.37</v>
      </c>
      <c r="G164" s="1679">
        <f t="shared" si="23"/>
        <v>0.9937</v>
      </c>
      <c r="H164" s="1679">
        <f>PRODUCT(G$4:G164)</f>
        <v>1.0467</v>
      </c>
      <c r="J164" s="1680">
        <v>0</v>
      </c>
      <c r="K164" s="1680">
        <v>0</v>
      </c>
      <c r="L164" s="1680">
        <v>0</v>
      </c>
      <c r="N164" s="1681"/>
      <c r="O164" s="1681"/>
      <c r="P164" s="1681"/>
      <c r="Q164" s="1681"/>
      <c r="R164" s="1681"/>
      <c r="T164" s="1681"/>
      <c r="U164" s="1681"/>
      <c r="W164" s="1681">
        <f t="shared" si="24"/>
        <v>0</v>
      </c>
      <c r="X164" s="1681"/>
      <c r="Y164" s="1681">
        <f t="shared" si="25"/>
        <v>0</v>
      </c>
      <c r="Z164" s="1681"/>
      <c r="AB164" s="1682"/>
      <c r="AC164" s="1682"/>
      <c r="AE164" s="1683"/>
      <c r="AF164" s="1683"/>
      <c r="AG164" s="1683"/>
      <c r="AH164" s="1683"/>
      <c r="AI164" s="1683"/>
      <c r="AJ164" s="1683"/>
      <c r="AK164" s="1683"/>
      <c r="AL164" s="1683"/>
      <c r="AM164" s="1683"/>
      <c r="AN164" s="1683"/>
      <c r="AO164" s="1683"/>
      <c r="AP164" s="1683"/>
      <c r="AQ164" s="1683"/>
      <c r="AR164" s="1683"/>
      <c r="AS164" s="1683"/>
      <c r="AT164" s="1683"/>
      <c r="AU164" s="1683"/>
      <c r="AV164" s="1683"/>
      <c r="AW164" s="1683"/>
      <c r="AX164" s="1683"/>
      <c r="AY164" s="1683"/>
      <c r="AZ164" s="1683"/>
      <c r="BA164" s="1683"/>
      <c r="BB164" s="1683"/>
    </row>
    <row r="165" spans="1:54">
      <c r="A165" s="326">
        <f t="shared" si="26"/>
        <v>38411</v>
      </c>
      <c r="B165" s="1678">
        <v>100.7</v>
      </c>
      <c r="C165" s="1679">
        <f t="shared" si="22"/>
        <v>1.007</v>
      </c>
      <c r="D165" s="1679">
        <f>PRODUCT(C$4:C165)</f>
        <v>3.06136526089108</v>
      </c>
      <c r="F165" s="1678">
        <v>100.14</v>
      </c>
      <c r="G165" s="1679">
        <f t="shared" si="23"/>
        <v>1.0014</v>
      </c>
      <c r="H165" s="1679">
        <f>PRODUCT(G$4:G165)</f>
        <v>1.04816538</v>
      </c>
      <c r="J165" s="1680">
        <v>0</v>
      </c>
      <c r="K165" s="1680">
        <v>0</v>
      </c>
      <c r="L165" s="1680">
        <v>0</v>
      </c>
      <c r="N165" s="1681"/>
      <c r="O165" s="1681"/>
      <c r="P165" s="1681"/>
      <c r="Q165" s="1681"/>
      <c r="R165" s="1681"/>
      <c r="T165" s="1681"/>
      <c r="U165" s="1681"/>
      <c r="W165" s="1681">
        <f t="shared" si="24"/>
        <v>0</v>
      </c>
      <c r="X165" s="1681"/>
      <c r="Y165" s="1681">
        <f t="shared" si="25"/>
        <v>0</v>
      </c>
      <c r="Z165" s="1681"/>
      <c r="AB165" s="1682"/>
      <c r="AC165" s="1682"/>
      <c r="AE165" s="1683"/>
      <c r="AF165" s="1683"/>
      <c r="AG165" s="1683"/>
      <c r="AH165" s="1683"/>
      <c r="AI165" s="1683"/>
      <c r="AJ165" s="1683"/>
      <c r="AK165" s="1683"/>
      <c r="AL165" s="1683"/>
      <c r="AM165" s="1683"/>
      <c r="AN165" s="1683"/>
      <c r="AO165" s="1683"/>
      <c r="AP165" s="1683"/>
      <c r="AQ165" s="1683"/>
      <c r="AR165" s="1683"/>
      <c r="AS165" s="1683"/>
      <c r="AT165" s="1683"/>
      <c r="AU165" s="1683"/>
      <c r="AV165" s="1683"/>
      <c r="AW165" s="1683"/>
      <c r="AX165" s="1683"/>
      <c r="AY165" s="1683"/>
      <c r="AZ165" s="1683"/>
      <c r="BA165" s="1683"/>
      <c r="BB165" s="1683"/>
    </row>
    <row r="166" spans="1:54">
      <c r="A166" s="326">
        <f t="shared" si="26"/>
        <v>38442</v>
      </c>
      <c r="B166" s="1678">
        <v>100.7</v>
      </c>
      <c r="C166" s="1679">
        <f t="shared" si="22"/>
        <v>1.007</v>
      </c>
      <c r="D166" s="1679">
        <f>PRODUCT(C$4:C166)</f>
        <v>3.08279481771732</v>
      </c>
      <c r="F166" s="1678">
        <v>98.72</v>
      </c>
      <c r="G166" s="1679">
        <f t="shared" si="23"/>
        <v>0.9872</v>
      </c>
      <c r="H166" s="1679">
        <f>PRODUCT(G$4:G166)</f>
        <v>1.034748863136</v>
      </c>
      <c r="J166" s="1680">
        <v>0</v>
      </c>
      <c r="K166" s="1680">
        <v>0</v>
      </c>
      <c r="L166" s="1680">
        <v>0</v>
      </c>
      <c r="N166" s="1681"/>
      <c r="O166" s="1681"/>
      <c r="P166" s="1681"/>
      <c r="Q166" s="1681"/>
      <c r="R166" s="1681"/>
      <c r="T166" s="1681"/>
      <c r="U166" s="1681"/>
      <c r="W166" s="1681">
        <f t="shared" si="24"/>
        <v>0</v>
      </c>
      <c r="X166" s="1681"/>
      <c r="Y166" s="1681">
        <f t="shared" si="25"/>
        <v>0</v>
      </c>
      <c r="Z166" s="1681"/>
      <c r="AB166" s="1682"/>
      <c r="AC166" s="1682"/>
      <c r="AE166" s="1683"/>
      <c r="AF166" s="1683"/>
      <c r="AG166" s="1683"/>
      <c r="AH166" s="1683"/>
      <c r="AI166" s="1683"/>
      <c r="AJ166" s="1683"/>
      <c r="AK166" s="1683"/>
      <c r="AL166" s="1683"/>
      <c r="AM166" s="1683"/>
      <c r="AN166" s="1683"/>
      <c r="AO166" s="1683"/>
      <c r="AP166" s="1683"/>
      <c r="AQ166" s="1683"/>
      <c r="AR166" s="1683"/>
      <c r="AS166" s="1683"/>
      <c r="AT166" s="1683"/>
      <c r="AU166" s="1683"/>
      <c r="AV166" s="1683"/>
      <c r="AW166" s="1683"/>
      <c r="AX166" s="1683"/>
      <c r="AY166" s="1683"/>
      <c r="AZ166" s="1683"/>
      <c r="BA166" s="1683"/>
      <c r="BB166" s="1683"/>
    </row>
    <row r="167" spans="1:54">
      <c r="A167" s="326">
        <f t="shared" si="26"/>
        <v>38472</v>
      </c>
      <c r="B167" s="1678">
        <v>101</v>
      </c>
      <c r="C167" s="1679">
        <f t="shared" si="22"/>
        <v>1.01</v>
      </c>
      <c r="D167" s="1679">
        <f>PRODUCT(C$4:C167)</f>
        <v>3.11362276589449</v>
      </c>
      <c r="F167" s="1678">
        <v>99.35</v>
      </c>
      <c r="G167" s="1679">
        <f t="shared" si="23"/>
        <v>0.9935</v>
      </c>
      <c r="H167" s="1679">
        <f>PRODUCT(G$4:G167)</f>
        <v>1.02802299552562</v>
      </c>
      <c r="J167" s="1680">
        <v>0</v>
      </c>
      <c r="K167" s="1680">
        <v>0</v>
      </c>
      <c r="L167" s="1680">
        <v>0</v>
      </c>
      <c r="N167" s="1681"/>
      <c r="O167" s="1681"/>
      <c r="P167" s="1681"/>
      <c r="Q167" s="1681"/>
      <c r="R167" s="1681"/>
      <c r="T167" s="1681"/>
      <c r="U167" s="1681"/>
      <c r="W167" s="1681">
        <f t="shared" si="24"/>
        <v>0</v>
      </c>
      <c r="X167" s="1681"/>
      <c r="Y167" s="1681">
        <f t="shared" si="25"/>
        <v>0</v>
      </c>
      <c r="Z167" s="1681"/>
      <c r="AB167" s="1682"/>
      <c r="AC167" s="1682"/>
      <c r="AE167" s="1683"/>
      <c r="AF167" s="1683"/>
      <c r="AG167" s="1683"/>
      <c r="AH167" s="1683"/>
      <c r="AI167" s="1683"/>
      <c r="AJ167" s="1683"/>
      <c r="AK167" s="1683"/>
      <c r="AL167" s="1683"/>
      <c r="AM167" s="1683"/>
      <c r="AN167" s="1683"/>
      <c r="AO167" s="1683"/>
      <c r="AP167" s="1683"/>
      <c r="AQ167" s="1683"/>
      <c r="AR167" s="1683"/>
      <c r="AS167" s="1683"/>
      <c r="AT167" s="1683"/>
      <c r="AU167" s="1683"/>
      <c r="AV167" s="1683"/>
      <c r="AW167" s="1683"/>
      <c r="AX167" s="1683"/>
      <c r="AY167" s="1683"/>
      <c r="AZ167" s="1683"/>
      <c r="BA167" s="1683"/>
      <c r="BB167" s="1683"/>
    </row>
    <row r="168" spans="1:54">
      <c r="A168" s="326">
        <f t="shared" si="26"/>
        <v>38503</v>
      </c>
      <c r="B168" s="1678">
        <v>100.1</v>
      </c>
      <c r="C168" s="1679">
        <f t="shared" si="22"/>
        <v>1.001</v>
      </c>
      <c r="D168" s="1679">
        <f>PRODUCT(C$4:C168)</f>
        <v>3.11673638866039</v>
      </c>
      <c r="F168" s="1678">
        <v>100.34</v>
      </c>
      <c r="G168" s="1679">
        <f t="shared" si="23"/>
        <v>1.0034</v>
      </c>
      <c r="H168" s="1679">
        <f>PRODUCT(G$4:G168)</f>
        <v>1.0315182737104</v>
      </c>
      <c r="J168" s="1680">
        <v>0</v>
      </c>
      <c r="K168" s="1680">
        <v>0</v>
      </c>
      <c r="L168" s="1680">
        <v>0</v>
      </c>
      <c r="N168" s="1681"/>
      <c r="O168" s="1681"/>
      <c r="P168" s="1681"/>
      <c r="Q168" s="1681"/>
      <c r="R168" s="1681"/>
      <c r="T168" s="1681"/>
      <c r="U168" s="1681"/>
      <c r="W168" s="1681">
        <f t="shared" si="24"/>
        <v>0</v>
      </c>
      <c r="X168" s="1681"/>
      <c r="Y168" s="1681">
        <f t="shared" si="25"/>
        <v>0</v>
      </c>
      <c r="Z168" s="1681"/>
      <c r="AB168" s="1682"/>
      <c r="AC168" s="1682"/>
      <c r="AE168" s="1683"/>
      <c r="AF168" s="1683"/>
      <c r="AG168" s="1683"/>
      <c r="AH168" s="1683"/>
      <c r="AI168" s="1683"/>
      <c r="AJ168" s="1683"/>
      <c r="AK168" s="1683"/>
      <c r="AL168" s="1683"/>
      <c r="AM168" s="1683"/>
      <c r="AN168" s="1683"/>
      <c r="AO168" s="1683"/>
      <c r="AP168" s="1683"/>
      <c r="AQ168" s="1683"/>
      <c r="AR168" s="1683"/>
      <c r="AS168" s="1683"/>
      <c r="AT168" s="1683"/>
      <c r="AU168" s="1683"/>
      <c r="AV168" s="1683"/>
      <c r="AW168" s="1683"/>
      <c r="AX168" s="1683"/>
      <c r="AY168" s="1683"/>
      <c r="AZ168" s="1683"/>
      <c r="BA168" s="1683"/>
      <c r="BB168" s="1683"/>
    </row>
    <row r="169" spans="1:54">
      <c r="A169" s="326">
        <f t="shared" si="26"/>
        <v>38533</v>
      </c>
      <c r="B169" s="1678">
        <v>99.7</v>
      </c>
      <c r="C169" s="1679">
        <f t="shared" si="22"/>
        <v>0.997</v>
      </c>
      <c r="D169" s="1679">
        <f>PRODUCT(C$4:C169)</f>
        <v>3.10738617949441</v>
      </c>
      <c r="F169" s="1678">
        <v>99.85</v>
      </c>
      <c r="G169" s="1679">
        <f t="shared" si="23"/>
        <v>0.9985</v>
      </c>
      <c r="H169" s="1679">
        <f>PRODUCT(G$4:G169)</f>
        <v>1.02997099629984</v>
      </c>
      <c r="J169" s="1680">
        <v>0</v>
      </c>
      <c r="K169" s="1680">
        <v>0</v>
      </c>
      <c r="L169" s="1680">
        <v>0</v>
      </c>
      <c r="N169" s="1681"/>
      <c r="O169" s="1681"/>
      <c r="P169" s="1681"/>
      <c r="Q169" s="1681"/>
      <c r="R169" s="1681"/>
      <c r="T169" s="1681"/>
      <c r="U169" s="1681"/>
      <c r="W169" s="1681">
        <f t="shared" si="24"/>
        <v>0</v>
      </c>
      <c r="X169" s="1681"/>
      <c r="Y169" s="1681">
        <f t="shared" si="25"/>
        <v>0</v>
      </c>
      <c r="Z169" s="1681"/>
      <c r="AB169" s="1682"/>
      <c r="AC169" s="1682"/>
      <c r="AE169" s="1683"/>
      <c r="AF169" s="1683"/>
      <c r="AG169" s="1683"/>
      <c r="AH169" s="1683"/>
      <c r="AI169" s="1683"/>
      <c r="AJ169" s="1683"/>
      <c r="AK169" s="1683"/>
      <c r="AL169" s="1683"/>
      <c r="AM169" s="1683"/>
      <c r="AN169" s="1683"/>
      <c r="AO169" s="1683"/>
      <c r="AP169" s="1683"/>
      <c r="AQ169" s="1683"/>
      <c r="AR169" s="1683"/>
      <c r="AS169" s="1683"/>
      <c r="AT169" s="1683"/>
      <c r="AU169" s="1683"/>
      <c r="AV169" s="1683"/>
      <c r="AW169" s="1683"/>
      <c r="AX169" s="1683"/>
      <c r="AY169" s="1683"/>
      <c r="AZ169" s="1683"/>
      <c r="BA169" s="1683"/>
      <c r="BB169" s="1683"/>
    </row>
    <row r="170" spans="1:54">
      <c r="A170" s="326">
        <f t="shared" si="26"/>
        <v>38564</v>
      </c>
      <c r="B170" s="1678">
        <v>100.4</v>
      </c>
      <c r="C170" s="1679">
        <f t="shared" si="22"/>
        <v>1.004</v>
      </c>
      <c r="D170" s="1679">
        <f>PRODUCT(C$4:C170)</f>
        <v>3.11981572421238</v>
      </c>
      <c r="F170" s="1678">
        <v>99.72</v>
      </c>
      <c r="G170" s="1679">
        <f t="shared" si="23"/>
        <v>0.9972</v>
      </c>
      <c r="H170" s="1679">
        <f>PRODUCT(G$4:G170)</f>
        <v>1.0270870775102</v>
      </c>
      <c r="J170" s="1680">
        <v>0</v>
      </c>
      <c r="K170" s="1680">
        <v>0</v>
      </c>
      <c r="L170" s="1680">
        <v>0</v>
      </c>
      <c r="N170" s="1681"/>
      <c r="O170" s="1681"/>
      <c r="P170" s="1681"/>
      <c r="Q170" s="1681"/>
      <c r="R170" s="1681"/>
      <c r="T170" s="1681"/>
      <c r="U170" s="1681"/>
      <c r="W170" s="1681">
        <f t="shared" si="24"/>
        <v>0</v>
      </c>
      <c r="X170" s="1681"/>
      <c r="Y170" s="1681">
        <f t="shared" si="25"/>
        <v>0</v>
      </c>
      <c r="Z170" s="1681"/>
      <c r="AB170" s="1682"/>
      <c r="AC170" s="1682"/>
      <c r="AE170" s="1683"/>
      <c r="AF170" s="1683"/>
      <c r="AG170" s="1683"/>
      <c r="AH170" s="1683"/>
      <c r="AI170" s="1683"/>
      <c r="AJ170" s="1683"/>
      <c r="AK170" s="1683"/>
      <c r="AL170" s="1683"/>
      <c r="AM170" s="1683"/>
      <c r="AN170" s="1683"/>
      <c r="AO170" s="1683"/>
      <c r="AP170" s="1683"/>
      <c r="AQ170" s="1683"/>
      <c r="AR170" s="1683"/>
      <c r="AS170" s="1683"/>
      <c r="AT170" s="1683"/>
      <c r="AU170" s="1683"/>
      <c r="AV170" s="1683"/>
      <c r="AW170" s="1683"/>
      <c r="AX170" s="1683"/>
      <c r="AY170" s="1683"/>
      <c r="AZ170" s="1683"/>
      <c r="BA170" s="1683"/>
      <c r="BB170" s="1683"/>
    </row>
    <row r="171" spans="1:54">
      <c r="A171" s="326">
        <f t="shared" si="26"/>
        <v>38595</v>
      </c>
      <c r="B171" s="1678">
        <v>100.4</v>
      </c>
      <c r="C171" s="1679">
        <f t="shared" si="22"/>
        <v>1.004</v>
      </c>
      <c r="D171" s="1679">
        <f>PRODUCT(C$4:C171)</f>
        <v>3.13229498710923</v>
      </c>
      <c r="F171" s="1678">
        <v>99.43</v>
      </c>
      <c r="G171" s="1679">
        <f t="shared" si="23"/>
        <v>0.9943</v>
      </c>
      <c r="H171" s="1679">
        <f>PRODUCT(G$4:G171)</f>
        <v>1.02123268116839</v>
      </c>
      <c r="J171" s="1680">
        <v>0</v>
      </c>
      <c r="K171" s="1680">
        <v>0</v>
      </c>
      <c r="L171" s="1680">
        <v>0</v>
      </c>
      <c r="N171" s="1681"/>
      <c r="O171" s="1681"/>
      <c r="P171" s="1681"/>
      <c r="Q171" s="1681"/>
      <c r="R171" s="1681"/>
      <c r="T171" s="1681"/>
      <c r="U171" s="1681"/>
      <c r="W171" s="1681">
        <f t="shared" si="24"/>
        <v>0</v>
      </c>
      <c r="X171" s="1681"/>
      <c r="Y171" s="1681">
        <f t="shared" si="25"/>
        <v>0</v>
      </c>
      <c r="Z171" s="1681"/>
      <c r="AB171" s="1682"/>
      <c r="AC171" s="1682"/>
      <c r="AE171" s="1683"/>
      <c r="AF171" s="1683"/>
      <c r="AG171" s="1683"/>
      <c r="AH171" s="1683"/>
      <c r="AI171" s="1683"/>
      <c r="AJ171" s="1683"/>
      <c r="AK171" s="1683"/>
      <c r="AL171" s="1683"/>
      <c r="AM171" s="1683"/>
      <c r="AN171" s="1683"/>
      <c r="AO171" s="1683"/>
      <c r="AP171" s="1683"/>
      <c r="AQ171" s="1683"/>
      <c r="AR171" s="1683"/>
      <c r="AS171" s="1683"/>
      <c r="AT171" s="1683"/>
      <c r="AU171" s="1683"/>
      <c r="AV171" s="1683"/>
      <c r="AW171" s="1683"/>
      <c r="AX171" s="1683"/>
      <c r="AY171" s="1683"/>
      <c r="AZ171" s="1683"/>
      <c r="BA171" s="1683"/>
      <c r="BB171" s="1683"/>
    </row>
    <row r="172" spans="1:54">
      <c r="A172" s="326">
        <f t="shared" si="26"/>
        <v>38625</v>
      </c>
      <c r="B172" s="1678">
        <v>100.5</v>
      </c>
      <c r="C172" s="1679">
        <f t="shared" si="22"/>
        <v>1.005</v>
      </c>
      <c r="D172" s="1679">
        <f>PRODUCT(C$4:C172)</f>
        <v>3.14795646204478</v>
      </c>
      <c r="F172" s="1678">
        <v>99.31</v>
      </c>
      <c r="G172" s="1679">
        <f t="shared" si="23"/>
        <v>0.9931</v>
      </c>
      <c r="H172" s="1679">
        <f>PRODUCT(G$4:G172)</f>
        <v>1.01418617566833</v>
      </c>
      <c r="J172" s="1680">
        <v>0</v>
      </c>
      <c r="K172" s="1680">
        <v>0</v>
      </c>
      <c r="L172" s="1680">
        <v>0</v>
      </c>
      <c r="N172" s="1681"/>
      <c r="O172" s="1681"/>
      <c r="P172" s="1681"/>
      <c r="Q172" s="1681"/>
      <c r="R172" s="1681"/>
      <c r="T172" s="1681"/>
      <c r="U172" s="1681"/>
      <c r="W172" s="1681">
        <f t="shared" si="24"/>
        <v>0</v>
      </c>
      <c r="X172" s="1681"/>
      <c r="Y172" s="1681">
        <f t="shared" si="25"/>
        <v>0</v>
      </c>
      <c r="Z172" s="1681"/>
      <c r="AB172" s="1682"/>
      <c r="AC172" s="1682"/>
      <c r="AE172" s="1683"/>
      <c r="AF172" s="1683"/>
      <c r="AG172" s="1683"/>
      <c r="AH172" s="1683"/>
      <c r="AI172" s="1683"/>
      <c r="AJ172" s="1683"/>
      <c r="AK172" s="1683"/>
      <c r="AL172" s="1683"/>
      <c r="AM172" s="1683"/>
      <c r="AN172" s="1683"/>
      <c r="AO172" s="1683"/>
      <c r="AP172" s="1683"/>
      <c r="AQ172" s="1683"/>
      <c r="AR172" s="1683"/>
      <c r="AS172" s="1683"/>
      <c r="AT172" s="1683"/>
      <c r="AU172" s="1683"/>
      <c r="AV172" s="1683"/>
      <c r="AW172" s="1683"/>
      <c r="AX172" s="1683"/>
      <c r="AY172" s="1683"/>
      <c r="AZ172" s="1683"/>
      <c r="BA172" s="1683"/>
      <c r="BB172" s="1683"/>
    </row>
    <row r="173" spans="1:54">
      <c r="A173" s="326">
        <f t="shared" si="26"/>
        <v>38656</v>
      </c>
      <c r="B173" s="1678">
        <v>101.1</v>
      </c>
      <c r="C173" s="1679">
        <f t="shared" si="22"/>
        <v>1.011</v>
      </c>
      <c r="D173" s="1679">
        <f>PRODUCT(C$4:C173)</f>
        <v>3.18258398312727</v>
      </c>
      <c r="F173" s="1678">
        <v>99.51</v>
      </c>
      <c r="G173" s="1679">
        <f t="shared" si="23"/>
        <v>0.9951</v>
      </c>
      <c r="H173" s="1679">
        <f>PRODUCT(G$4:G173)</f>
        <v>1.00921666340755</v>
      </c>
      <c r="J173" s="1680">
        <v>0</v>
      </c>
      <c r="K173" s="1680">
        <v>0</v>
      </c>
      <c r="L173" s="1680">
        <v>0</v>
      </c>
      <c r="N173" s="1681"/>
      <c r="O173" s="1681"/>
      <c r="P173" s="1681"/>
      <c r="Q173" s="1681"/>
      <c r="R173" s="1681"/>
      <c r="T173" s="1681"/>
      <c r="U173" s="1681"/>
      <c r="W173" s="1681">
        <f t="shared" si="24"/>
        <v>0</v>
      </c>
      <c r="X173" s="1681"/>
      <c r="Y173" s="1681">
        <f t="shared" si="25"/>
        <v>0</v>
      </c>
      <c r="Z173" s="1681"/>
      <c r="AB173" s="1682"/>
      <c r="AC173" s="1682"/>
      <c r="AE173" s="1683"/>
      <c r="AF173" s="1683"/>
      <c r="AG173" s="1683"/>
      <c r="AH173" s="1683"/>
      <c r="AI173" s="1683"/>
      <c r="AJ173" s="1683"/>
      <c r="AK173" s="1683"/>
      <c r="AL173" s="1683"/>
      <c r="AM173" s="1683"/>
      <c r="AN173" s="1683"/>
      <c r="AO173" s="1683"/>
      <c r="AP173" s="1683"/>
      <c r="AQ173" s="1683"/>
      <c r="AR173" s="1683"/>
      <c r="AS173" s="1683"/>
      <c r="AT173" s="1683"/>
      <c r="AU173" s="1683"/>
      <c r="AV173" s="1683"/>
      <c r="AW173" s="1683"/>
      <c r="AX173" s="1683"/>
      <c r="AY173" s="1683"/>
      <c r="AZ173" s="1683"/>
      <c r="BA173" s="1683"/>
      <c r="BB173" s="1683"/>
    </row>
    <row r="174" spans="1:54">
      <c r="A174" s="326">
        <f t="shared" si="26"/>
        <v>38686</v>
      </c>
      <c r="B174" s="1678">
        <v>99.7</v>
      </c>
      <c r="C174" s="1679">
        <f t="shared" si="22"/>
        <v>0.997</v>
      </c>
      <c r="D174" s="1679">
        <f>PRODUCT(C$4:C174)</f>
        <v>3.17303623117789</v>
      </c>
      <c r="F174" s="1678">
        <v>99.78</v>
      </c>
      <c r="G174" s="1679">
        <f t="shared" si="23"/>
        <v>0.9978</v>
      </c>
      <c r="H174" s="1679">
        <f>PRODUCT(G$4:G174)</f>
        <v>1.00699638674806</v>
      </c>
      <c r="J174" s="1680">
        <v>0</v>
      </c>
      <c r="K174" s="1680">
        <v>0</v>
      </c>
      <c r="L174" s="1680">
        <v>0</v>
      </c>
      <c r="N174" s="1681"/>
      <c r="O174" s="1681"/>
      <c r="P174" s="1681"/>
      <c r="Q174" s="1681"/>
      <c r="R174" s="1681"/>
      <c r="T174" s="1681"/>
      <c r="U174" s="1681"/>
      <c r="W174" s="1681">
        <f t="shared" si="24"/>
        <v>0</v>
      </c>
      <c r="X174" s="1681"/>
      <c r="Y174" s="1681">
        <f t="shared" si="25"/>
        <v>0</v>
      </c>
      <c r="Z174" s="1681"/>
      <c r="AB174" s="1682"/>
      <c r="AC174" s="1682"/>
      <c r="AE174" s="1683"/>
      <c r="AF174" s="1683"/>
      <c r="AG174" s="1683"/>
      <c r="AH174" s="1683"/>
      <c r="AI174" s="1683"/>
      <c r="AJ174" s="1683"/>
      <c r="AK174" s="1683"/>
      <c r="AL174" s="1683"/>
      <c r="AM174" s="1683"/>
      <c r="AN174" s="1683"/>
      <c r="AO174" s="1683"/>
      <c r="AP174" s="1683"/>
      <c r="AQ174" s="1683"/>
      <c r="AR174" s="1683"/>
      <c r="AS174" s="1683"/>
      <c r="AT174" s="1683"/>
      <c r="AU174" s="1683"/>
      <c r="AV174" s="1683"/>
      <c r="AW174" s="1683"/>
      <c r="AX174" s="1683"/>
      <c r="AY174" s="1683"/>
      <c r="AZ174" s="1683"/>
      <c r="BA174" s="1683"/>
      <c r="BB174" s="1683"/>
    </row>
    <row r="175" spans="1:54">
      <c r="A175" s="326">
        <f t="shared" si="26"/>
        <v>38717</v>
      </c>
      <c r="B175" s="1678">
        <v>99</v>
      </c>
      <c r="C175" s="1679">
        <f t="shared" si="22"/>
        <v>0.99</v>
      </c>
      <c r="D175" s="1679">
        <f>PRODUCT(C$4:C175)</f>
        <v>3.14130586886611</v>
      </c>
      <c r="F175" s="1678">
        <v>100.05</v>
      </c>
      <c r="G175" s="1679">
        <f t="shared" si="23"/>
        <v>1.0005</v>
      </c>
      <c r="H175" s="1679">
        <f>PRODUCT(G$4:G175)</f>
        <v>1.00749988494143</v>
      </c>
      <c r="J175" s="1680">
        <v>0</v>
      </c>
      <c r="K175" s="1680">
        <v>0</v>
      </c>
      <c r="L175" s="1680">
        <v>0</v>
      </c>
      <c r="N175" s="1681"/>
      <c r="O175" s="1681"/>
      <c r="P175" s="1681"/>
      <c r="Q175" s="1681"/>
      <c r="R175" s="1681"/>
      <c r="T175" s="1681"/>
      <c r="U175" s="1681"/>
      <c r="W175" s="1681">
        <f t="shared" si="24"/>
        <v>0</v>
      </c>
      <c r="X175" s="1681"/>
      <c r="Y175" s="1681">
        <f t="shared" si="25"/>
        <v>0</v>
      </c>
      <c r="Z175" s="1681"/>
      <c r="AB175" s="1682"/>
      <c r="AC175" s="1682"/>
      <c r="AE175" s="1683"/>
      <c r="AF175" s="1683"/>
      <c r="AG175" s="1683"/>
      <c r="AH175" s="1683"/>
      <c r="AI175" s="1683"/>
      <c r="AJ175" s="1683"/>
      <c r="AK175" s="1683"/>
      <c r="AL175" s="1683"/>
      <c r="AM175" s="1683"/>
      <c r="AN175" s="1683"/>
      <c r="AO175" s="1683"/>
      <c r="AP175" s="1683"/>
      <c r="AQ175" s="1683"/>
      <c r="AR175" s="1683"/>
      <c r="AS175" s="1683"/>
      <c r="AT175" s="1683"/>
      <c r="AU175" s="1683"/>
      <c r="AV175" s="1683"/>
      <c r="AW175" s="1683"/>
      <c r="AX175" s="1683"/>
      <c r="AY175" s="1683"/>
      <c r="AZ175" s="1683"/>
      <c r="BA175" s="1683"/>
      <c r="BB175" s="1683"/>
    </row>
    <row r="176" spans="1:54">
      <c r="A176" s="326">
        <f t="shared" si="26"/>
        <v>38748</v>
      </c>
      <c r="B176" s="1678">
        <v>99</v>
      </c>
      <c r="C176" s="1679">
        <f t="shared" si="22"/>
        <v>0.99</v>
      </c>
      <c r="D176" s="1679">
        <f>PRODUCT(C$4:C176)</f>
        <v>3.10989281017745</v>
      </c>
      <c r="F176" s="1678">
        <v>100.35</v>
      </c>
      <c r="G176" s="1679">
        <f t="shared" si="23"/>
        <v>1.0035</v>
      </c>
      <c r="H176" s="1679">
        <f>PRODUCT(G$4:G176)</f>
        <v>1.01102613453873</v>
      </c>
      <c r="J176" s="1680">
        <v>0</v>
      </c>
      <c r="K176" s="1680">
        <v>0</v>
      </c>
      <c r="L176" s="1680">
        <v>0</v>
      </c>
      <c r="N176" s="1681"/>
      <c r="O176" s="1681"/>
      <c r="P176" s="1681"/>
      <c r="Q176" s="1681"/>
      <c r="R176" s="1681"/>
      <c r="T176" s="1681"/>
      <c r="U176" s="1681"/>
      <c r="W176" s="1681">
        <f t="shared" si="24"/>
        <v>0</v>
      </c>
      <c r="X176" s="1681"/>
      <c r="Y176" s="1681">
        <f t="shared" si="25"/>
        <v>0</v>
      </c>
      <c r="Z176" s="1681"/>
      <c r="AB176" s="1682"/>
      <c r="AC176" s="1682"/>
      <c r="AE176" s="1683"/>
      <c r="AF176" s="1683"/>
      <c r="AG176" s="1683"/>
      <c r="AH176" s="1683"/>
      <c r="AI176" s="1683"/>
      <c r="AJ176" s="1683"/>
      <c r="AK176" s="1683"/>
      <c r="AL176" s="1683"/>
      <c r="AM176" s="1683"/>
      <c r="AN176" s="1683"/>
      <c r="AO176" s="1683"/>
      <c r="AP176" s="1683"/>
      <c r="AQ176" s="1683"/>
      <c r="AR176" s="1683"/>
      <c r="AS176" s="1683"/>
      <c r="AT176" s="1683"/>
      <c r="AU176" s="1683"/>
      <c r="AV176" s="1683"/>
      <c r="AW176" s="1683"/>
      <c r="AX176" s="1683"/>
      <c r="AY176" s="1683"/>
      <c r="AZ176" s="1683"/>
      <c r="BA176" s="1683"/>
      <c r="BB176" s="1683"/>
    </row>
    <row r="177" spans="1:54">
      <c r="A177" s="326">
        <f t="shared" si="26"/>
        <v>38776</v>
      </c>
      <c r="B177" s="1678">
        <v>100.6</v>
      </c>
      <c r="C177" s="1679">
        <f t="shared" si="22"/>
        <v>1.006</v>
      </c>
      <c r="D177" s="1679">
        <f>PRODUCT(C$4:C177)</f>
        <v>3.12855216703851</v>
      </c>
      <c r="F177" s="1678">
        <v>99.6</v>
      </c>
      <c r="G177" s="1679">
        <f t="shared" si="23"/>
        <v>0.996</v>
      </c>
      <c r="H177" s="1679">
        <f>PRODUCT(G$4:G177)</f>
        <v>1.00698203000057</v>
      </c>
      <c r="J177" s="1680">
        <v>0</v>
      </c>
      <c r="K177" s="1680">
        <v>0</v>
      </c>
      <c r="L177" s="1680">
        <v>0</v>
      </c>
      <c r="N177" s="1681"/>
      <c r="O177" s="1681"/>
      <c r="P177" s="1681"/>
      <c r="Q177" s="1681"/>
      <c r="R177" s="1681"/>
      <c r="T177" s="1681"/>
      <c r="U177" s="1681"/>
      <c r="W177" s="1681">
        <f t="shared" si="24"/>
        <v>0</v>
      </c>
      <c r="X177" s="1681"/>
      <c r="Y177" s="1681">
        <f t="shared" si="25"/>
        <v>0</v>
      </c>
      <c r="Z177" s="1681"/>
      <c r="AB177" s="1682"/>
      <c r="AC177" s="1682"/>
      <c r="AE177" s="1683"/>
      <c r="AF177" s="1683"/>
      <c r="AG177" s="1683"/>
      <c r="AH177" s="1683"/>
      <c r="AI177" s="1683"/>
      <c r="AJ177" s="1683"/>
      <c r="AK177" s="1683"/>
      <c r="AL177" s="1683"/>
      <c r="AM177" s="1683"/>
      <c r="AN177" s="1683"/>
      <c r="AO177" s="1683"/>
      <c r="AP177" s="1683"/>
      <c r="AQ177" s="1683"/>
      <c r="AR177" s="1683"/>
      <c r="AS177" s="1683"/>
      <c r="AT177" s="1683"/>
      <c r="AU177" s="1683"/>
      <c r="AV177" s="1683"/>
      <c r="AW177" s="1683"/>
      <c r="AX177" s="1683"/>
      <c r="AY177" s="1683"/>
      <c r="AZ177" s="1683"/>
      <c r="BA177" s="1683"/>
      <c r="BB177" s="1683"/>
    </row>
    <row r="178" spans="1:54">
      <c r="A178" s="326">
        <f t="shared" si="26"/>
        <v>38807</v>
      </c>
      <c r="B178" s="1678">
        <v>100.2</v>
      </c>
      <c r="C178" s="1679">
        <f t="shared" si="22"/>
        <v>1.002</v>
      </c>
      <c r="D178" s="1679">
        <f>PRODUCT(C$4:C178)</f>
        <v>3.13480927137259</v>
      </c>
      <c r="F178" s="1678">
        <v>100.06</v>
      </c>
      <c r="G178" s="1679">
        <f t="shared" si="23"/>
        <v>1.0006</v>
      </c>
      <c r="H178" s="1679">
        <f>PRODUCT(G$4:G178)</f>
        <v>1.00758621921857</v>
      </c>
      <c r="J178" s="1680">
        <v>0</v>
      </c>
      <c r="K178" s="1680">
        <v>0</v>
      </c>
      <c r="L178" s="1680">
        <v>0</v>
      </c>
      <c r="N178" s="1681"/>
      <c r="O178" s="1681"/>
      <c r="P178" s="1681"/>
      <c r="Q178" s="1681"/>
      <c r="R178" s="1681"/>
      <c r="T178" s="1681"/>
      <c r="U178" s="1681"/>
      <c r="W178" s="1681">
        <f t="shared" si="24"/>
        <v>0</v>
      </c>
      <c r="X178" s="1681"/>
      <c r="Y178" s="1681">
        <f t="shared" si="25"/>
        <v>0</v>
      </c>
      <c r="Z178" s="1681"/>
      <c r="AB178" s="1682"/>
      <c r="AC178" s="1682"/>
      <c r="AE178" s="1683"/>
      <c r="AF178" s="1683"/>
      <c r="AG178" s="1683"/>
      <c r="AH178" s="1683"/>
      <c r="AI178" s="1683"/>
      <c r="AJ178" s="1683"/>
      <c r="AK178" s="1683"/>
      <c r="AL178" s="1683"/>
      <c r="AM178" s="1683"/>
      <c r="AN178" s="1683"/>
      <c r="AO178" s="1683"/>
      <c r="AP178" s="1683"/>
      <c r="AQ178" s="1683"/>
      <c r="AR178" s="1683"/>
      <c r="AS178" s="1683"/>
      <c r="AT178" s="1683"/>
      <c r="AU178" s="1683"/>
      <c r="AV178" s="1683"/>
      <c r="AW178" s="1683"/>
      <c r="AX178" s="1683"/>
      <c r="AY178" s="1683"/>
      <c r="AZ178" s="1683"/>
      <c r="BA178" s="1683"/>
      <c r="BB178" s="1683"/>
    </row>
    <row r="179" spans="1:54">
      <c r="A179" s="326">
        <f t="shared" si="26"/>
        <v>38837</v>
      </c>
      <c r="B179" s="1678">
        <v>100.4</v>
      </c>
      <c r="C179" s="1679">
        <f t="shared" si="22"/>
        <v>1.004</v>
      </c>
      <c r="D179" s="1679">
        <f>PRODUCT(C$4:C179)</f>
        <v>3.14734850845808</v>
      </c>
      <c r="F179" s="1678">
        <v>100.23</v>
      </c>
      <c r="G179" s="1679">
        <f t="shared" si="23"/>
        <v>1.0023</v>
      </c>
      <c r="H179" s="1679">
        <f>PRODUCT(G$4:G179)</f>
        <v>1.00990366752277</v>
      </c>
      <c r="J179" s="1680">
        <v>0</v>
      </c>
      <c r="K179" s="1680">
        <v>0</v>
      </c>
      <c r="L179" s="1680">
        <v>0</v>
      </c>
      <c r="N179" s="1681"/>
      <c r="O179" s="1681"/>
      <c r="P179" s="1681"/>
      <c r="Q179" s="1681"/>
      <c r="R179" s="1681"/>
      <c r="T179" s="1681"/>
      <c r="U179" s="1681"/>
      <c r="W179" s="1681">
        <f t="shared" si="24"/>
        <v>0</v>
      </c>
      <c r="X179" s="1681"/>
      <c r="Y179" s="1681">
        <f t="shared" si="25"/>
        <v>0</v>
      </c>
      <c r="Z179" s="1681"/>
      <c r="AB179" s="1682"/>
      <c r="AC179" s="1682"/>
      <c r="AE179" s="1683"/>
      <c r="AF179" s="1683"/>
      <c r="AG179" s="1683"/>
      <c r="AH179" s="1683"/>
      <c r="AI179" s="1683"/>
      <c r="AJ179" s="1683"/>
      <c r="AK179" s="1683"/>
      <c r="AL179" s="1683"/>
      <c r="AM179" s="1683"/>
      <c r="AN179" s="1683"/>
      <c r="AO179" s="1683"/>
      <c r="AP179" s="1683"/>
      <c r="AQ179" s="1683"/>
      <c r="AR179" s="1683"/>
      <c r="AS179" s="1683"/>
      <c r="AT179" s="1683"/>
      <c r="AU179" s="1683"/>
      <c r="AV179" s="1683"/>
      <c r="AW179" s="1683"/>
      <c r="AX179" s="1683"/>
      <c r="AY179" s="1683"/>
      <c r="AZ179" s="1683"/>
      <c r="BA179" s="1683"/>
      <c r="BB179" s="1683"/>
    </row>
    <row r="180" spans="1:54">
      <c r="A180" s="326">
        <f t="shared" si="26"/>
        <v>38868</v>
      </c>
      <c r="B180" s="1678">
        <v>100.6</v>
      </c>
      <c r="C180" s="1679">
        <f t="shared" si="22"/>
        <v>1.006</v>
      </c>
      <c r="D180" s="1679">
        <f>PRODUCT(C$4:C180)</f>
        <v>3.16623259950883</v>
      </c>
      <c r="F180" s="1678">
        <v>100.5</v>
      </c>
      <c r="G180" s="1679">
        <f t="shared" si="23"/>
        <v>1.005</v>
      </c>
      <c r="H180" s="1679">
        <f>PRODUCT(G$4:G180)</f>
        <v>1.01495318586039</v>
      </c>
      <c r="J180" s="1680">
        <v>0</v>
      </c>
      <c r="K180" s="1680">
        <v>0</v>
      </c>
      <c r="L180" s="1680">
        <v>0</v>
      </c>
      <c r="N180" s="1681"/>
      <c r="O180" s="1681"/>
      <c r="P180" s="1681"/>
      <c r="Q180" s="1681"/>
      <c r="R180" s="1681"/>
      <c r="T180" s="1681"/>
      <c r="U180" s="1681"/>
      <c r="W180" s="1681">
        <f t="shared" si="24"/>
        <v>0</v>
      </c>
      <c r="X180" s="1681"/>
      <c r="Y180" s="1681">
        <f t="shared" si="25"/>
        <v>0</v>
      </c>
      <c r="Z180" s="1681"/>
      <c r="AB180" s="1682"/>
      <c r="AC180" s="1682"/>
      <c r="AE180" s="1683"/>
      <c r="AF180" s="1683"/>
      <c r="AG180" s="1683"/>
      <c r="AH180" s="1683"/>
      <c r="AI180" s="1683"/>
      <c r="AJ180" s="1683"/>
      <c r="AK180" s="1683"/>
      <c r="AL180" s="1683"/>
      <c r="AM180" s="1683"/>
      <c r="AN180" s="1683"/>
      <c r="AO180" s="1683"/>
      <c r="AP180" s="1683"/>
      <c r="AQ180" s="1683"/>
      <c r="AR180" s="1683"/>
      <c r="AS180" s="1683"/>
      <c r="AT180" s="1683"/>
      <c r="AU180" s="1683"/>
      <c r="AV180" s="1683"/>
      <c r="AW180" s="1683"/>
      <c r="AX180" s="1683"/>
      <c r="AY180" s="1683"/>
      <c r="AZ180" s="1683"/>
      <c r="BA180" s="1683"/>
      <c r="BB180" s="1683"/>
    </row>
    <row r="181" spans="1:54">
      <c r="A181" s="326">
        <f t="shared" si="26"/>
        <v>38898</v>
      </c>
      <c r="B181" s="1678">
        <v>100.8</v>
      </c>
      <c r="C181" s="1679">
        <f t="shared" si="22"/>
        <v>1.008</v>
      </c>
      <c r="D181" s="1679">
        <f>PRODUCT(C$4:C181)</f>
        <v>3.1915624603049</v>
      </c>
      <c r="F181" s="1678">
        <v>100.79</v>
      </c>
      <c r="G181" s="1679">
        <f t="shared" si="23"/>
        <v>1.0079</v>
      </c>
      <c r="H181" s="1679">
        <f>PRODUCT(G$4:G181)</f>
        <v>1.02297131602868</v>
      </c>
      <c r="J181" s="1680">
        <v>0</v>
      </c>
      <c r="K181" s="1680">
        <v>0</v>
      </c>
      <c r="L181" s="1680">
        <v>0</v>
      </c>
      <c r="N181" s="1681"/>
      <c r="O181" s="1681"/>
      <c r="P181" s="1681"/>
      <c r="Q181" s="1681"/>
      <c r="R181" s="1681"/>
      <c r="T181" s="1681"/>
      <c r="U181" s="1681"/>
      <c r="W181" s="1681">
        <f t="shared" si="24"/>
        <v>0</v>
      </c>
      <c r="X181" s="1681"/>
      <c r="Y181" s="1681">
        <f t="shared" si="25"/>
        <v>0</v>
      </c>
      <c r="Z181" s="1681"/>
      <c r="AB181" s="1682"/>
      <c r="AC181" s="1682"/>
      <c r="AE181" s="1683"/>
      <c r="AF181" s="1683"/>
      <c r="AG181" s="1683"/>
      <c r="AH181" s="1683"/>
      <c r="AI181" s="1683"/>
      <c r="AJ181" s="1683"/>
      <c r="AK181" s="1683"/>
      <c r="AL181" s="1683"/>
      <c r="AM181" s="1683"/>
      <c r="AN181" s="1683"/>
      <c r="AO181" s="1683"/>
      <c r="AP181" s="1683"/>
      <c r="AQ181" s="1683"/>
      <c r="AR181" s="1683"/>
      <c r="AS181" s="1683"/>
      <c r="AT181" s="1683"/>
      <c r="AU181" s="1683"/>
      <c r="AV181" s="1683"/>
      <c r="AW181" s="1683"/>
      <c r="AX181" s="1683"/>
      <c r="AY181" s="1683"/>
      <c r="AZ181" s="1683"/>
      <c r="BA181" s="1683"/>
      <c r="BB181" s="1683"/>
    </row>
    <row r="182" spans="1:54">
      <c r="A182" s="326">
        <f t="shared" si="26"/>
        <v>38929</v>
      </c>
      <c r="B182" s="1678">
        <v>100.5</v>
      </c>
      <c r="C182" s="1679">
        <f t="shared" si="22"/>
        <v>1.005</v>
      </c>
      <c r="D182" s="1679">
        <f>PRODUCT(C$4:C182)</f>
        <v>3.20752027260642</v>
      </c>
      <c r="F182" s="1678">
        <v>100.2</v>
      </c>
      <c r="G182" s="1679">
        <f t="shared" si="23"/>
        <v>1.002</v>
      </c>
      <c r="H182" s="1679">
        <f>PRODUCT(G$4:G182)</f>
        <v>1.02501725866074</v>
      </c>
      <c r="J182" s="1680">
        <v>0</v>
      </c>
      <c r="K182" s="1680">
        <v>0</v>
      </c>
      <c r="L182" s="1680">
        <v>0</v>
      </c>
      <c r="N182" s="1681"/>
      <c r="O182" s="1681"/>
      <c r="P182" s="1681"/>
      <c r="Q182" s="1681"/>
      <c r="R182" s="1681"/>
      <c r="T182" s="1681"/>
      <c r="U182" s="1681"/>
      <c r="W182" s="1681">
        <f t="shared" si="24"/>
        <v>0</v>
      </c>
      <c r="X182" s="1681"/>
      <c r="Y182" s="1681">
        <f t="shared" si="25"/>
        <v>0</v>
      </c>
      <c r="Z182" s="1681"/>
      <c r="AB182" s="1682"/>
      <c r="AC182" s="1682"/>
      <c r="AE182" s="1683"/>
      <c r="AF182" s="1683"/>
      <c r="AG182" s="1683"/>
      <c r="AH182" s="1683"/>
      <c r="AI182" s="1683"/>
      <c r="AJ182" s="1683"/>
      <c r="AK182" s="1683"/>
      <c r="AL182" s="1683"/>
      <c r="AM182" s="1683"/>
      <c r="AN182" s="1683"/>
      <c r="AO182" s="1683"/>
      <c r="AP182" s="1683"/>
      <c r="AQ182" s="1683"/>
      <c r="AR182" s="1683"/>
      <c r="AS182" s="1683"/>
      <c r="AT182" s="1683"/>
      <c r="AU182" s="1683"/>
      <c r="AV182" s="1683"/>
      <c r="AW182" s="1683"/>
      <c r="AX182" s="1683"/>
      <c r="AY182" s="1683"/>
      <c r="AZ182" s="1683"/>
      <c r="BA182" s="1683"/>
      <c r="BB182" s="1683"/>
    </row>
    <row r="183" spans="1:54">
      <c r="A183" s="326">
        <f t="shared" si="26"/>
        <v>38960</v>
      </c>
      <c r="B183" s="1678">
        <v>100.2</v>
      </c>
      <c r="C183" s="1679">
        <f t="shared" si="22"/>
        <v>1.002</v>
      </c>
      <c r="D183" s="1679">
        <f>PRODUCT(C$4:C183)</f>
        <v>3.21393531315164</v>
      </c>
      <c r="F183" s="1678">
        <v>100.39</v>
      </c>
      <c r="G183" s="1679">
        <f t="shared" si="23"/>
        <v>1.0039</v>
      </c>
      <c r="H183" s="1679">
        <f>PRODUCT(G$4:G183)</f>
        <v>1.02901482596952</v>
      </c>
      <c r="J183" s="1680">
        <v>0</v>
      </c>
      <c r="K183" s="1680">
        <v>0</v>
      </c>
      <c r="L183" s="1680">
        <v>0</v>
      </c>
      <c r="N183" s="1681"/>
      <c r="O183" s="1681"/>
      <c r="P183" s="1681"/>
      <c r="Q183" s="1681"/>
      <c r="R183" s="1681"/>
      <c r="T183" s="1681"/>
      <c r="U183" s="1681"/>
      <c r="W183" s="1681">
        <f t="shared" si="24"/>
        <v>0</v>
      </c>
      <c r="X183" s="1681"/>
      <c r="Y183" s="1681">
        <f t="shared" si="25"/>
        <v>0</v>
      </c>
      <c r="Z183" s="1681"/>
      <c r="AB183" s="1682"/>
      <c r="AC183" s="1682"/>
      <c r="AE183" s="1683"/>
      <c r="AF183" s="1683"/>
      <c r="AG183" s="1683"/>
      <c r="AH183" s="1683"/>
      <c r="AI183" s="1683"/>
      <c r="AJ183" s="1683"/>
      <c r="AK183" s="1683"/>
      <c r="AL183" s="1683"/>
      <c r="AM183" s="1683"/>
      <c r="AN183" s="1683"/>
      <c r="AO183" s="1683"/>
      <c r="AP183" s="1683"/>
      <c r="AQ183" s="1683"/>
      <c r="AR183" s="1683"/>
      <c r="AS183" s="1683"/>
      <c r="AT183" s="1683"/>
      <c r="AU183" s="1683"/>
      <c r="AV183" s="1683"/>
      <c r="AW183" s="1683"/>
      <c r="AX183" s="1683"/>
      <c r="AY183" s="1683"/>
      <c r="AZ183" s="1683"/>
      <c r="BA183" s="1683"/>
      <c r="BB183" s="1683"/>
    </row>
    <row r="184" spans="1:54">
      <c r="A184" s="326">
        <f t="shared" si="26"/>
        <v>38990</v>
      </c>
      <c r="B184" s="1678">
        <v>100.6</v>
      </c>
      <c r="C184" s="1679">
        <f t="shared" si="22"/>
        <v>1.006</v>
      </c>
      <c r="D184" s="1679">
        <f>PRODUCT(C$4:C184)</f>
        <v>3.23321892503055</v>
      </c>
      <c r="F184" s="1678">
        <v>100.68</v>
      </c>
      <c r="G184" s="1679">
        <f t="shared" si="23"/>
        <v>1.0068</v>
      </c>
      <c r="H184" s="1679">
        <f>PRODUCT(G$4:G184)</f>
        <v>1.03601212678611</v>
      </c>
      <c r="J184" s="1680">
        <v>0</v>
      </c>
      <c r="K184" s="1680">
        <v>0</v>
      </c>
      <c r="L184" s="1680">
        <v>0</v>
      </c>
      <c r="N184" s="1681"/>
      <c r="O184" s="1681"/>
      <c r="P184" s="1681"/>
      <c r="Q184" s="1681"/>
      <c r="R184" s="1681"/>
      <c r="T184" s="1681"/>
      <c r="U184" s="1681"/>
      <c r="W184" s="1681">
        <f t="shared" si="24"/>
        <v>0</v>
      </c>
      <c r="X184" s="1681"/>
      <c r="Y184" s="1681">
        <f t="shared" si="25"/>
        <v>0</v>
      </c>
      <c r="Z184" s="1681"/>
      <c r="AB184" s="1682"/>
      <c r="AC184" s="1682"/>
      <c r="AE184" s="1683"/>
      <c r="AF184" s="1683"/>
      <c r="AG184" s="1683"/>
      <c r="AH184" s="1683"/>
      <c r="AI184" s="1683"/>
      <c r="AJ184" s="1683"/>
      <c r="AK184" s="1683"/>
      <c r="AL184" s="1683"/>
      <c r="AM184" s="1683"/>
      <c r="AN184" s="1683"/>
      <c r="AO184" s="1683"/>
      <c r="AP184" s="1683"/>
      <c r="AQ184" s="1683"/>
      <c r="AR184" s="1683"/>
      <c r="AS184" s="1683"/>
      <c r="AT184" s="1683"/>
      <c r="AU184" s="1683"/>
      <c r="AV184" s="1683"/>
      <c r="AW184" s="1683"/>
      <c r="AX184" s="1683"/>
      <c r="AY184" s="1683"/>
      <c r="AZ184" s="1683"/>
      <c r="BA184" s="1683"/>
      <c r="BB184" s="1683"/>
    </row>
    <row r="185" spans="1:54">
      <c r="A185" s="326">
        <f t="shared" si="26"/>
        <v>39021</v>
      </c>
      <c r="B185" s="1678">
        <v>100.5</v>
      </c>
      <c r="C185" s="1679">
        <f t="shared" si="22"/>
        <v>1.005</v>
      </c>
      <c r="D185" s="1679">
        <f>PRODUCT(C$4:C185)</f>
        <v>3.2493850196557</v>
      </c>
      <c r="F185" s="1678">
        <v>100.19</v>
      </c>
      <c r="G185" s="1679">
        <f t="shared" si="23"/>
        <v>1.0019</v>
      </c>
      <c r="H185" s="1679">
        <f>PRODUCT(G$4:G185)</f>
        <v>1.03798054982701</v>
      </c>
      <c r="J185" s="1680">
        <v>0</v>
      </c>
      <c r="K185" s="1680">
        <v>0</v>
      </c>
      <c r="L185" s="1680">
        <v>0</v>
      </c>
      <c r="N185" s="1681"/>
      <c r="O185" s="1681"/>
      <c r="P185" s="1681"/>
      <c r="Q185" s="1681"/>
      <c r="R185" s="1681"/>
      <c r="T185" s="1681"/>
      <c r="U185" s="1681"/>
      <c r="W185" s="1681">
        <f t="shared" si="24"/>
        <v>0</v>
      </c>
      <c r="X185" s="1681"/>
      <c r="Y185" s="1681">
        <f t="shared" si="25"/>
        <v>0</v>
      </c>
      <c r="Z185" s="1681"/>
      <c r="AB185" s="1682"/>
      <c r="AC185" s="1682"/>
      <c r="AE185" s="1683"/>
      <c r="AF185" s="1683"/>
      <c r="AG185" s="1683"/>
      <c r="AH185" s="1683"/>
      <c r="AI185" s="1683"/>
      <c r="AJ185" s="1683"/>
      <c r="AK185" s="1683"/>
      <c r="AL185" s="1683"/>
      <c r="AM185" s="1683"/>
      <c r="AN185" s="1683"/>
      <c r="AO185" s="1683"/>
      <c r="AP185" s="1683"/>
      <c r="AQ185" s="1683"/>
      <c r="AR185" s="1683"/>
      <c r="AS185" s="1683"/>
      <c r="AT185" s="1683"/>
      <c r="AU185" s="1683"/>
      <c r="AV185" s="1683"/>
      <c r="AW185" s="1683"/>
      <c r="AX185" s="1683"/>
      <c r="AY185" s="1683"/>
      <c r="AZ185" s="1683"/>
      <c r="BA185" s="1683"/>
      <c r="BB185" s="1683"/>
    </row>
    <row r="186" spans="1:54">
      <c r="A186" s="326">
        <f t="shared" si="26"/>
        <v>39051</v>
      </c>
      <c r="B186" s="1678">
        <v>99.6</v>
      </c>
      <c r="C186" s="1679">
        <f t="shared" si="22"/>
        <v>0.996</v>
      </c>
      <c r="D186" s="1679">
        <f>PRODUCT(C$4:C186)</f>
        <v>3.23638747957708</v>
      </c>
      <c r="F186" s="1678">
        <v>100.29</v>
      </c>
      <c r="G186" s="1679">
        <f t="shared" si="23"/>
        <v>1.0029</v>
      </c>
      <c r="H186" s="1679">
        <f>PRODUCT(G$4:G186)</f>
        <v>1.0409906934215</v>
      </c>
      <c r="J186" s="1680">
        <v>0</v>
      </c>
      <c r="K186" s="1680">
        <v>0</v>
      </c>
      <c r="L186" s="1680">
        <v>0</v>
      </c>
      <c r="N186" s="1681"/>
      <c r="O186" s="1681"/>
      <c r="P186" s="1681"/>
      <c r="Q186" s="1681"/>
      <c r="R186" s="1681"/>
      <c r="T186" s="1681"/>
      <c r="U186" s="1681"/>
      <c r="W186" s="1681">
        <f t="shared" si="24"/>
        <v>0</v>
      </c>
      <c r="X186" s="1681"/>
      <c r="Y186" s="1681">
        <f t="shared" si="25"/>
        <v>0</v>
      </c>
      <c r="Z186" s="1681"/>
      <c r="AB186" s="1682"/>
      <c r="AC186" s="1682"/>
      <c r="AE186" s="1683"/>
      <c r="AF186" s="1683"/>
      <c r="AG186" s="1683"/>
      <c r="AH186" s="1683"/>
      <c r="AI186" s="1683"/>
      <c r="AJ186" s="1683"/>
      <c r="AK186" s="1683"/>
      <c r="AL186" s="1683"/>
      <c r="AM186" s="1683"/>
      <c r="AN186" s="1683"/>
      <c r="AO186" s="1683"/>
      <c r="AP186" s="1683"/>
      <c r="AQ186" s="1683"/>
      <c r="AR186" s="1683"/>
      <c r="AS186" s="1683"/>
      <c r="AT186" s="1683"/>
      <c r="AU186" s="1683"/>
      <c r="AV186" s="1683"/>
      <c r="AW186" s="1683"/>
      <c r="AX186" s="1683"/>
      <c r="AY186" s="1683"/>
      <c r="AZ186" s="1683"/>
      <c r="BA186" s="1683"/>
      <c r="BB186" s="1683"/>
    </row>
    <row r="187" spans="1:54">
      <c r="A187" s="326">
        <f t="shared" si="26"/>
        <v>39082</v>
      </c>
      <c r="B187" s="1678">
        <v>99.3</v>
      </c>
      <c r="C187" s="1679">
        <f t="shared" si="22"/>
        <v>0.993</v>
      </c>
      <c r="D187" s="1679">
        <f>PRODUCT(C$4:C187)</f>
        <v>3.21373276722004</v>
      </c>
      <c r="F187" s="1678">
        <v>100.96</v>
      </c>
      <c r="G187" s="1679">
        <f t="shared" si="23"/>
        <v>1.0096</v>
      </c>
      <c r="H187" s="1679">
        <f>PRODUCT(G$4:G187)</f>
        <v>1.05098420407835</v>
      </c>
      <c r="J187" s="1680">
        <v>0</v>
      </c>
      <c r="K187" s="1680">
        <v>0</v>
      </c>
      <c r="L187" s="1680">
        <v>0</v>
      </c>
      <c r="N187" s="1681"/>
      <c r="O187" s="1681"/>
      <c r="P187" s="1681"/>
      <c r="Q187" s="1681"/>
      <c r="R187" s="1681"/>
      <c r="T187" s="1681"/>
      <c r="U187" s="1681"/>
      <c r="W187" s="1681">
        <f t="shared" si="24"/>
        <v>0</v>
      </c>
      <c r="X187" s="1681"/>
      <c r="Y187" s="1681">
        <f t="shared" si="25"/>
        <v>0</v>
      </c>
      <c r="Z187" s="1681"/>
      <c r="AB187" s="1682"/>
      <c r="AC187" s="1682"/>
      <c r="AE187" s="1683"/>
      <c r="AF187" s="1683"/>
      <c r="AG187" s="1683"/>
      <c r="AH187" s="1683"/>
      <c r="AI187" s="1683"/>
      <c r="AJ187" s="1683"/>
      <c r="AK187" s="1683"/>
      <c r="AL187" s="1683"/>
      <c r="AM187" s="1683"/>
      <c r="AN187" s="1683"/>
      <c r="AO187" s="1683"/>
      <c r="AP187" s="1683"/>
      <c r="AQ187" s="1683"/>
      <c r="AR187" s="1683"/>
      <c r="AS187" s="1683"/>
      <c r="AT187" s="1683"/>
      <c r="AU187" s="1683"/>
      <c r="AV187" s="1683"/>
      <c r="AW187" s="1683"/>
      <c r="AX187" s="1683"/>
      <c r="AY187" s="1683"/>
      <c r="AZ187" s="1683"/>
      <c r="BA187" s="1683"/>
      <c r="BB187" s="1683"/>
    </row>
    <row r="188" spans="1:54">
      <c r="A188" s="326">
        <f t="shared" si="26"/>
        <v>39113</v>
      </c>
      <c r="B188" s="1678">
        <v>99.2</v>
      </c>
      <c r="C188" s="1679">
        <f t="shared" si="22"/>
        <v>0.992</v>
      </c>
      <c r="D188" s="1679">
        <f>PRODUCT(C$4:C188)</f>
        <v>3.18802290508228</v>
      </c>
      <c r="F188" s="1678">
        <v>99.52</v>
      </c>
      <c r="G188" s="1679">
        <f t="shared" si="23"/>
        <v>0.9952</v>
      </c>
      <c r="H188" s="1679">
        <f>PRODUCT(G$4:G188)</f>
        <v>1.04593947989877</v>
      </c>
      <c r="J188" s="1680">
        <v>0</v>
      </c>
      <c r="K188" s="1680">
        <v>0</v>
      </c>
      <c r="L188" s="1680">
        <v>0</v>
      </c>
      <c r="N188" s="1681"/>
      <c r="O188" s="1681"/>
      <c r="P188" s="1681"/>
      <c r="Q188" s="1681"/>
      <c r="R188" s="1681"/>
      <c r="T188" s="1681"/>
      <c r="U188" s="1681"/>
      <c r="W188" s="1681">
        <f t="shared" si="24"/>
        <v>0</v>
      </c>
      <c r="X188" s="1681"/>
      <c r="Y188" s="1681">
        <f t="shared" si="25"/>
        <v>0</v>
      </c>
      <c r="Z188" s="1681"/>
      <c r="AB188" s="1682"/>
      <c r="AC188" s="1682"/>
      <c r="AE188" s="1683"/>
      <c r="AF188" s="1683"/>
      <c r="AG188" s="1683"/>
      <c r="AH188" s="1683"/>
      <c r="AI188" s="1683"/>
      <c r="AJ188" s="1683"/>
      <c r="AK188" s="1683"/>
      <c r="AL188" s="1683"/>
      <c r="AM188" s="1683"/>
      <c r="AN188" s="1683"/>
      <c r="AO188" s="1683"/>
      <c r="AP188" s="1683"/>
      <c r="AQ188" s="1683"/>
      <c r="AR188" s="1683"/>
      <c r="AS188" s="1683"/>
      <c r="AT188" s="1683"/>
      <c r="AU188" s="1683"/>
      <c r="AV188" s="1683"/>
      <c r="AW188" s="1683"/>
      <c r="AX188" s="1683"/>
      <c r="AY188" s="1683"/>
      <c r="AZ188" s="1683"/>
      <c r="BA188" s="1683"/>
      <c r="BB188" s="1683"/>
    </row>
    <row r="189" spans="1:54">
      <c r="A189" s="326">
        <f t="shared" si="26"/>
        <v>39141</v>
      </c>
      <c r="B189" s="1678">
        <v>99.9</v>
      </c>
      <c r="C189" s="1679">
        <f t="shared" si="22"/>
        <v>0.999</v>
      </c>
      <c r="D189" s="1679">
        <f>PRODUCT(C$4:C189)</f>
        <v>3.1848348821772</v>
      </c>
      <c r="F189" s="1678">
        <v>99.9</v>
      </c>
      <c r="G189" s="1679">
        <f t="shared" si="23"/>
        <v>0.999</v>
      </c>
      <c r="H189" s="1679">
        <f>PRODUCT(G$4:G189)</f>
        <v>1.04489354041888</v>
      </c>
      <c r="J189" s="1680">
        <v>0</v>
      </c>
      <c r="K189" s="1680">
        <v>0</v>
      </c>
      <c r="L189" s="1680">
        <v>0</v>
      </c>
      <c r="N189" s="1681"/>
      <c r="O189" s="1681"/>
      <c r="P189" s="1681"/>
      <c r="Q189" s="1681"/>
      <c r="R189" s="1681"/>
      <c r="T189" s="1681"/>
      <c r="U189" s="1681"/>
      <c r="W189" s="1681">
        <f t="shared" si="24"/>
        <v>0</v>
      </c>
      <c r="X189" s="1681"/>
      <c r="Y189" s="1681">
        <f t="shared" si="25"/>
        <v>0</v>
      </c>
      <c r="Z189" s="1681"/>
      <c r="AB189" s="1682"/>
      <c r="AC189" s="1682"/>
      <c r="AE189" s="1683"/>
      <c r="AF189" s="1683"/>
      <c r="AG189" s="1683"/>
      <c r="AH189" s="1683"/>
      <c r="AI189" s="1683"/>
      <c r="AJ189" s="1683"/>
      <c r="AK189" s="1683"/>
      <c r="AL189" s="1683"/>
      <c r="AM189" s="1683"/>
      <c r="AN189" s="1683"/>
      <c r="AO189" s="1683"/>
      <c r="AP189" s="1683"/>
      <c r="AQ189" s="1683"/>
      <c r="AR189" s="1683"/>
      <c r="AS189" s="1683"/>
      <c r="AT189" s="1683"/>
      <c r="AU189" s="1683"/>
      <c r="AV189" s="1683"/>
      <c r="AW189" s="1683"/>
      <c r="AX189" s="1683"/>
      <c r="AY189" s="1683"/>
      <c r="AZ189" s="1683"/>
      <c r="BA189" s="1683"/>
      <c r="BB189" s="1683"/>
    </row>
    <row r="190" spans="1:54">
      <c r="A190" s="326">
        <f t="shared" si="26"/>
        <v>39172</v>
      </c>
      <c r="B190" s="1678">
        <v>100.3</v>
      </c>
      <c r="C190" s="1679">
        <f t="shared" si="22"/>
        <v>1.003</v>
      </c>
      <c r="D190" s="1679">
        <f>PRODUCT(C$4:C190)</f>
        <v>3.19438938682373</v>
      </c>
      <c r="F190" s="1678">
        <v>99.71</v>
      </c>
      <c r="G190" s="1679">
        <f t="shared" si="23"/>
        <v>0.9971</v>
      </c>
      <c r="H190" s="1679">
        <f>PRODUCT(G$4:G190)</f>
        <v>1.04186334915166</v>
      </c>
      <c r="J190" s="1680">
        <v>0</v>
      </c>
      <c r="K190" s="1680">
        <v>0</v>
      </c>
      <c r="L190" s="1680">
        <v>0</v>
      </c>
      <c r="N190" s="1681"/>
      <c r="O190" s="1681"/>
      <c r="P190" s="1681"/>
      <c r="Q190" s="1681"/>
      <c r="R190" s="1681"/>
      <c r="T190" s="1681"/>
      <c r="U190" s="1681"/>
      <c r="W190" s="1681">
        <f t="shared" si="24"/>
        <v>0</v>
      </c>
      <c r="X190" s="1681"/>
      <c r="Y190" s="1681">
        <f t="shared" si="25"/>
        <v>0</v>
      </c>
      <c r="Z190" s="1681"/>
      <c r="AB190" s="1682"/>
      <c r="AC190" s="1682"/>
      <c r="AE190" s="1683"/>
      <c r="AF190" s="1683"/>
      <c r="AG190" s="1683"/>
      <c r="AH190" s="1683"/>
      <c r="AI190" s="1683"/>
      <c r="AJ190" s="1683"/>
      <c r="AK190" s="1683"/>
      <c r="AL190" s="1683"/>
      <c r="AM190" s="1683"/>
      <c r="AN190" s="1683"/>
      <c r="AO190" s="1683"/>
      <c r="AP190" s="1683"/>
      <c r="AQ190" s="1683"/>
      <c r="AR190" s="1683"/>
      <c r="AS190" s="1683"/>
      <c r="AT190" s="1683"/>
      <c r="AU190" s="1683"/>
      <c r="AV190" s="1683"/>
      <c r="AW190" s="1683"/>
      <c r="AX190" s="1683"/>
      <c r="AY190" s="1683"/>
      <c r="AZ190" s="1683"/>
      <c r="BA190" s="1683"/>
      <c r="BB190" s="1683"/>
    </row>
    <row r="191" spans="1:54">
      <c r="A191" s="326">
        <f t="shared" si="26"/>
        <v>39202</v>
      </c>
      <c r="B191" s="1678">
        <v>100.6</v>
      </c>
      <c r="C191" s="1679">
        <f t="shared" si="22"/>
        <v>1.006</v>
      </c>
      <c r="D191" s="1679">
        <f>PRODUCT(C$4:C191)</f>
        <v>3.21355572314467</v>
      </c>
      <c r="F191" s="1678">
        <v>100.38</v>
      </c>
      <c r="G191" s="1679">
        <f t="shared" si="23"/>
        <v>1.0038</v>
      </c>
      <c r="H191" s="1679">
        <f>PRODUCT(G$4:G191)</f>
        <v>1.04582242987844</v>
      </c>
      <c r="J191" s="1680">
        <v>0</v>
      </c>
      <c r="K191" s="1680">
        <v>0</v>
      </c>
      <c r="L191" s="1680">
        <v>0</v>
      </c>
      <c r="N191" s="1681"/>
      <c r="O191" s="1681"/>
      <c r="P191" s="1681"/>
      <c r="Q191" s="1681"/>
      <c r="R191" s="1681"/>
      <c r="T191" s="1681"/>
      <c r="U191" s="1681"/>
      <c r="W191" s="1681">
        <f t="shared" si="24"/>
        <v>0</v>
      </c>
      <c r="X191" s="1681"/>
      <c r="Y191" s="1681">
        <f t="shared" si="25"/>
        <v>0</v>
      </c>
      <c r="Z191" s="1681"/>
      <c r="AB191" s="1682"/>
      <c r="AC191" s="1682"/>
      <c r="AE191" s="1683"/>
      <c r="AF191" s="1683"/>
      <c r="AG191" s="1683"/>
      <c r="AH191" s="1683"/>
      <c r="AI191" s="1683"/>
      <c r="AJ191" s="1683"/>
      <c r="AK191" s="1683"/>
      <c r="AL191" s="1683"/>
      <c r="AM191" s="1683"/>
      <c r="AN191" s="1683"/>
      <c r="AO191" s="1683"/>
      <c r="AP191" s="1683"/>
      <c r="AQ191" s="1683"/>
      <c r="AR191" s="1683"/>
      <c r="AS191" s="1683"/>
      <c r="AT191" s="1683"/>
      <c r="AU191" s="1683"/>
      <c r="AV191" s="1683"/>
      <c r="AW191" s="1683"/>
      <c r="AX191" s="1683"/>
      <c r="AY191" s="1683"/>
      <c r="AZ191" s="1683"/>
      <c r="BA191" s="1683"/>
      <c r="BB191" s="1683"/>
    </row>
    <row r="192" spans="1:54">
      <c r="A192" s="326">
        <f t="shared" si="26"/>
        <v>39233</v>
      </c>
      <c r="B192" s="1678">
        <v>100.5</v>
      </c>
      <c r="C192" s="1679">
        <f t="shared" si="22"/>
        <v>1.005</v>
      </c>
      <c r="D192" s="1679">
        <f>PRODUCT(C$4:C192)</f>
        <v>3.22962350176039</v>
      </c>
      <c r="F192" s="1678">
        <v>100.48</v>
      </c>
      <c r="G192" s="1679">
        <f t="shared" si="23"/>
        <v>1.0048</v>
      </c>
      <c r="H192" s="1679">
        <f>PRODUCT(G$4:G192)</f>
        <v>1.05084237754185</v>
      </c>
      <c r="J192" s="1680">
        <v>0</v>
      </c>
      <c r="K192" s="1680">
        <v>0</v>
      </c>
      <c r="L192" s="1680">
        <v>0</v>
      </c>
      <c r="N192" s="1681"/>
      <c r="O192" s="1681"/>
      <c r="P192" s="1681"/>
      <c r="Q192" s="1681"/>
      <c r="R192" s="1681"/>
      <c r="T192" s="1681"/>
      <c r="U192" s="1681"/>
      <c r="W192" s="1681">
        <f t="shared" si="24"/>
        <v>0</v>
      </c>
      <c r="X192" s="1681"/>
      <c r="Y192" s="1681">
        <f t="shared" si="25"/>
        <v>0</v>
      </c>
      <c r="Z192" s="1681"/>
      <c r="AB192" s="1682"/>
      <c r="AC192" s="1682"/>
      <c r="AE192" s="1683"/>
      <c r="AF192" s="1683"/>
      <c r="AG192" s="1683"/>
      <c r="AH192" s="1683"/>
      <c r="AI192" s="1683"/>
      <c r="AJ192" s="1683"/>
      <c r="AK192" s="1683"/>
      <c r="AL192" s="1683"/>
      <c r="AM192" s="1683"/>
      <c r="AN192" s="1683"/>
      <c r="AO192" s="1683"/>
      <c r="AP192" s="1683"/>
      <c r="AQ192" s="1683"/>
      <c r="AR192" s="1683"/>
      <c r="AS192" s="1683"/>
      <c r="AT192" s="1683"/>
      <c r="AU192" s="1683"/>
      <c r="AV192" s="1683"/>
      <c r="AW192" s="1683"/>
      <c r="AX192" s="1683"/>
      <c r="AY192" s="1683"/>
      <c r="AZ192" s="1683"/>
      <c r="BA192" s="1683"/>
      <c r="BB192" s="1683"/>
    </row>
    <row r="193" spans="1:54">
      <c r="A193" s="326">
        <f t="shared" si="26"/>
        <v>39263</v>
      </c>
      <c r="B193" s="1678">
        <v>100.5</v>
      </c>
      <c r="C193" s="1679">
        <f t="shared" si="22"/>
        <v>1.005</v>
      </c>
      <c r="D193" s="1679">
        <f>PRODUCT(C$4:C193)</f>
        <v>3.24577161926919</v>
      </c>
      <c r="F193" s="1678">
        <v>100.29</v>
      </c>
      <c r="G193" s="1679">
        <f t="shared" si="23"/>
        <v>1.0029</v>
      </c>
      <c r="H193" s="1679">
        <f>PRODUCT(G$4:G193)</f>
        <v>1.05388982043672</v>
      </c>
      <c r="J193" s="1680">
        <v>0</v>
      </c>
      <c r="K193" s="1680">
        <v>0</v>
      </c>
      <c r="L193" s="1680">
        <v>0</v>
      </c>
      <c r="N193" s="1681"/>
      <c r="O193" s="1681"/>
      <c r="P193" s="1681"/>
      <c r="Q193" s="1681"/>
      <c r="R193" s="1681"/>
      <c r="T193" s="1681"/>
      <c r="U193" s="1681"/>
      <c r="W193" s="1681">
        <f t="shared" si="24"/>
        <v>0</v>
      </c>
      <c r="X193" s="1681"/>
      <c r="Y193" s="1681">
        <f t="shared" si="25"/>
        <v>0</v>
      </c>
      <c r="Z193" s="1681"/>
      <c r="AB193" s="1682"/>
      <c r="AC193" s="1682"/>
      <c r="AE193" s="1683"/>
      <c r="AF193" s="1683"/>
      <c r="AG193" s="1683"/>
      <c r="AH193" s="1683"/>
      <c r="AI193" s="1683"/>
      <c r="AJ193" s="1683"/>
      <c r="AK193" s="1683"/>
      <c r="AL193" s="1683"/>
      <c r="AM193" s="1683"/>
      <c r="AN193" s="1683"/>
      <c r="AO193" s="1683"/>
      <c r="AP193" s="1683"/>
      <c r="AQ193" s="1683"/>
      <c r="AR193" s="1683"/>
      <c r="AS193" s="1683"/>
      <c r="AT193" s="1683"/>
      <c r="AU193" s="1683"/>
      <c r="AV193" s="1683"/>
      <c r="AW193" s="1683"/>
      <c r="AX193" s="1683"/>
      <c r="AY193" s="1683"/>
      <c r="AZ193" s="1683"/>
      <c r="BA193" s="1683"/>
      <c r="BB193" s="1683"/>
    </row>
    <row r="194" spans="1:54">
      <c r="A194" s="326">
        <f t="shared" si="26"/>
        <v>39294</v>
      </c>
      <c r="B194" s="1678">
        <v>100.4</v>
      </c>
      <c r="C194" s="1679">
        <f t="shared" si="22"/>
        <v>1.004</v>
      </c>
      <c r="D194" s="1679">
        <f>PRODUCT(C$4:C194)</f>
        <v>3.25875470574627</v>
      </c>
      <c r="F194" s="1678">
        <v>100.66</v>
      </c>
      <c r="G194" s="1679">
        <f t="shared" si="23"/>
        <v>1.0066</v>
      </c>
      <c r="H194" s="1679">
        <f>PRODUCT(G$4:G194)</f>
        <v>1.06084549325161</v>
      </c>
      <c r="J194" s="1680">
        <v>0</v>
      </c>
      <c r="K194" s="1680">
        <v>0</v>
      </c>
      <c r="L194" s="1680">
        <v>0</v>
      </c>
      <c r="N194" s="1681"/>
      <c r="O194" s="1681"/>
      <c r="P194" s="1681"/>
      <c r="Q194" s="1681"/>
      <c r="R194" s="1681"/>
      <c r="T194" s="1681"/>
      <c r="U194" s="1681"/>
      <c r="W194" s="1681">
        <f t="shared" si="24"/>
        <v>0</v>
      </c>
      <c r="X194" s="1681"/>
      <c r="Y194" s="1681">
        <f t="shared" si="25"/>
        <v>0</v>
      </c>
      <c r="Z194" s="1681"/>
      <c r="AB194" s="1682"/>
      <c r="AC194" s="1682"/>
      <c r="AE194" s="1683"/>
      <c r="AF194" s="1683"/>
      <c r="AG194" s="1683"/>
      <c r="AH194" s="1683"/>
      <c r="AI194" s="1683"/>
      <c r="AJ194" s="1683"/>
      <c r="AK194" s="1683"/>
      <c r="AL194" s="1683"/>
      <c r="AM194" s="1683"/>
      <c r="AN194" s="1683"/>
      <c r="AO194" s="1683"/>
      <c r="AP194" s="1683"/>
      <c r="AQ194" s="1683"/>
      <c r="AR194" s="1683"/>
      <c r="AS194" s="1683"/>
      <c r="AT194" s="1683"/>
      <c r="AU194" s="1683"/>
      <c r="AV194" s="1683"/>
      <c r="AW194" s="1683"/>
      <c r="AX194" s="1683"/>
      <c r="AY194" s="1683"/>
      <c r="AZ194" s="1683"/>
      <c r="BA194" s="1683"/>
      <c r="BB194" s="1683"/>
    </row>
    <row r="195" spans="1:54">
      <c r="A195" s="326">
        <f t="shared" si="26"/>
        <v>39325</v>
      </c>
      <c r="B195" s="1678">
        <v>100.4</v>
      </c>
      <c r="C195" s="1679">
        <f t="shared" si="22"/>
        <v>1.004</v>
      </c>
      <c r="D195" s="1679">
        <f>PRODUCT(C$4:C195)</f>
        <v>3.27178972456926</v>
      </c>
      <c r="F195" s="1678">
        <v>100.38</v>
      </c>
      <c r="G195" s="1679">
        <f t="shared" si="23"/>
        <v>1.0038</v>
      </c>
      <c r="H195" s="1679">
        <f>PRODUCT(G$4:G195)</f>
        <v>1.06487670612596</v>
      </c>
      <c r="J195" s="1680">
        <v>0</v>
      </c>
      <c r="K195" s="1680">
        <v>0</v>
      </c>
      <c r="L195" s="1680">
        <v>0</v>
      </c>
      <c r="N195" s="1681"/>
      <c r="O195" s="1681"/>
      <c r="P195" s="1681"/>
      <c r="Q195" s="1681"/>
      <c r="R195" s="1681"/>
      <c r="T195" s="1681"/>
      <c r="U195" s="1681"/>
      <c r="W195" s="1681">
        <f t="shared" si="24"/>
        <v>0</v>
      </c>
      <c r="X195" s="1681"/>
      <c r="Y195" s="1681">
        <f t="shared" si="25"/>
        <v>0</v>
      </c>
      <c r="Z195" s="1681"/>
      <c r="AB195" s="1682"/>
      <c r="AC195" s="1682"/>
      <c r="AE195" s="1683"/>
      <c r="AF195" s="1683"/>
      <c r="AG195" s="1683"/>
      <c r="AH195" s="1683"/>
      <c r="AI195" s="1683"/>
      <c r="AJ195" s="1683"/>
      <c r="AK195" s="1683"/>
      <c r="AL195" s="1683"/>
      <c r="AM195" s="1683"/>
      <c r="AN195" s="1683"/>
      <c r="AO195" s="1683"/>
      <c r="AP195" s="1683"/>
      <c r="AQ195" s="1683"/>
      <c r="AR195" s="1683"/>
      <c r="AS195" s="1683"/>
      <c r="AT195" s="1683"/>
      <c r="AU195" s="1683"/>
      <c r="AV195" s="1683"/>
      <c r="AW195" s="1683"/>
      <c r="AX195" s="1683"/>
      <c r="AY195" s="1683"/>
      <c r="AZ195" s="1683"/>
      <c r="BA195" s="1683"/>
      <c r="BB195" s="1683"/>
    </row>
    <row r="196" spans="1:54">
      <c r="A196" s="326">
        <f t="shared" si="26"/>
        <v>39355</v>
      </c>
      <c r="B196" s="1678">
        <v>100.7</v>
      </c>
      <c r="C196" s="1679">
        <f t="shared" si="22"/>
        <v>1.007</v>
      </c>
      <c r="D196" s="1679">
        <f>PRODUCT(C$4:C196)</f>
        <v>3.29469225264124</v>
      </c>
      <c r="F196" s="1678">
        <v>99.72</v>
      </c>
      <c r="G196" s="1679">
        <f t="shared" si="23"/>
        <v>0.9972</v>
      </c>
      <c r="H196" s="1679">
        <f>PRODUCT(G$4:G196)</f>
        <v>1.06189505134881</v>
      </c>
      <c r="J196" s="1680">
        <v>0</v>
      </c>
      <c r="K196" s="1680">
        <v>0</v>
      </c>
      <c r="L196" s="1680">
        <v>0</v>
      </c>
      <c r="N196" s="1681"/>
      <c r="O196" s="1681"/>
      <c r="P196" s="1681"/>
      <c r="Q196" s="1681"/>
      <c r="R196" s="1681"/>
      <c r="T196" s="1681"/>
      <c r="U196" s="1681"/>
      <c r="W196" s="1681">
        <f t="shared" si="24"/>
        <v>0</v>
      </c>
      <c r="X196" s="1681"/>
      <c r="Y196" s="1681">
        <f t="shared" si="25"/>
        <v>0</v>
      </c>
      <c r="Z196" s="1681"/>
      <c r="AB196" s="1682"/>
      <c r="AC196" s="1682"/>
      <c r="AE196" s="1683"/>
      <c r="AF196" s="1683"/>
      <c r="AG196" s="1683"/>
      <c r="AH196" s="1683"/>
      <c r="AI196" s="1683"/>
      <c r="AJ196" s="1683"/>
      <c r="AK196" s="1683"/>
      <c r="AL196" s="1683"/>
      <c r="AM196" s="1683"/>
      <c r="AN196" s="1683"/>
      <c r="AO196" s="1683"/>
      <c r="AP196" s="1683"/>
      <c r="AQ196" s="1683"/>
      <c r="AR196" s="1683"/>
      <c r="AS196" s="1683"/>
      <c r="AT196" s="1683"/>
      <c r="AU196" s="1683"/>
      <c r="AV196" s="1683"/>
      <c r="AW196" s="1683"/>
      <c r="AX196" s="1683"/>
      <c r="AY196" s="1683"/>
      <c r="AZ196" s="1683"/>
      <c r="BA196" s="1683"/>
      <c r="BB196" s="1683"/>
    </row>
    <row r="197" spans="1:54">
      <c r="A197" s="326">
        <f t="shared" si="26"/>
        <v>39386</v>
      </c>
      <c r="B197" s="1678">
        <v>101</v>
      </c>
      <c r="C197" s="1679">
        <f t="shared" ref="C197:C260" si="27">B197/100</f>
        <v>1.01</v>
      </c>
      <c r="D197" s="1679">
        <f>PRODUCT(C$4:C197)</f>
        <v>3.32763917516765</v>
      </c>
      <c r="F197" s="1678">
        <v>100.28</v>
      </c>
      <c r="G197" s="1679">
        <f t="shared" ref="G197:G260" si="28">F197/100</f>
        <v>1.0028</v>
      </c>
      <c r="H197" s="1679">
        <f>PRODUCT(G$4:G197)</f>
        <v>1.06486835749259</v>
      </c>
      <c r="J197" s="1680">
        <v>0</v>
      </c>
      <c r="K197" s="1680">
        <v>0</v>
      </c>
      <c r="L197" s="1680">
        <v>0</v>
      </c>
      <c r="N197" s="1681"/>
      <c r="O197" s="1681"/>
      <c r="P197" s="1681"/>
      <c r="Q197" s="1681"/>
      <c r="R197" s="1681"/>
      <c r="T197" s="1681"/>
      <c r="U197" s="1681"/>
      <c r="W197" s="1681">
        <f t="shared" ref="W197:W260" si="29">Q197</f>
        <v>0</v>
      </c>
      <c r="X197" s="1681"/>
      <c r="Y197" s="1681">
        <f t="shared" ref="Y197:Y260" si="30">R197</f>
        <v>0</v>
      </c>
      <c r="Z197" s="1681"/>
      <c r="AB197" s="1682"/>
      <c r="AC197" s="1682"/>
      <c r="AE197" s="1683"/>
      <c r="AF197" s="1683"/>
      <c r="AG197" s="1683"/>
      <c r="AH197" s="1683"/>
      <c r="AI197" s="1683"/>
      <c r="AJ197" s="1683"/>
      <c r="AK197" s="1683"/>
      <c r="AL197" s="1683"/>
      <c r="AM197" s="1683"/>
      <c r="AN197" s="1683"/>
      <c r="AO197" s="1683"/>
      <c r="AP197" s="1683"/>
      <c r="AQ197" s="1683"/>
      <c r="AR197" s="1683"/>
      <c r="AS197" s="1683"/>
      <c r="AT197" s="1683"/>
      <c r="AU197" s="1683"/>
      <c r="AV197" s="1683"/>
      <c r="AW197" s="1683"/>
      <c r="AX197" s="1683"/>
      <c r="AY197" s="1683"/>
      <c r="AZ197" s="1683"/>
      <c r="BA197" s="1683"/>
      <c r="BB197" s="1683"/>
    </row>
    <row r="198" spans="1:54">
      <c r="A198" s="326">
        <f t="shared" si="26"/>
        <v>39416</v>
      </c>
      <c r="B198" s="1678">
        <v>101</v>
      </c>
      <c r="C198" s="1679">
        <f t="shared" si="27"/>
        <v>1.01</v>
      </c>
      <c r="D198" s="1679">
        <f>PRODUCT(C$4:C198)</f>
        <v>3.36091556691933</v>
      </c>
      <c r="F198" s="1678">
        <v>100.85</v>
      </c>
      <c r="G198" s="1679">
        <f t="shared" si="28"/>
        <v>1.0085</v>
      </c>
      <c r="H198" s="1679">
        <f>PRODUCT(G$4:G198)</f>
        <v>1.07391973853127</v>
      </c>
      <c r="J198" s="1680">
        <v>0</v>
      </c>
      <c r="K198" s="1680">
        <v>0</v>
      </c>
      <c r="L198" s="1680">
        <v>0</v>
      </c>
      <c r="N198" s="1681"/>
      <c r="O198" s="1681"/>
      <c r="P198" s="1681"/>
      <c r="Q198" s="1681"/>
      <c r="R198" s="1681"/>
      <c r="T198" s="1681"/>
      <c r="U198" s="1681"/>
      <c r="W198" s="1681">
        <f t="shared" si="29"/>
        <v>0</v>
      </c>
      <c r="X198" s="1681"/>
      <c r="Y198" s="1681">
        <f t="shared" si="30"/>
        <v>0</v>
      </c>
      <c r="Z198" s="1681"/>
      <c r="AB198" s="1682"/>
      <c r="AC198" s="1682"/>
      <c r="AE198" s="1683"/>
      <c r="AF198" s="1683"/>
      <c r="AG198" s="1683"/>
      <c r="AH198" s="1683"/>
      <c r="AI198" s="1683"/>
      <c r="AJ198" s="1683"/>
      <c r="AK198" s="1683"/>
      <c r="AL198" s="1683"/>
      <c r="AM198" s="1683"/>
      <c r="AN198" s="1683"/>
      <c r="AO198" s="1683"/>
      <c r="AP198" s="1683"/>
      <c r="AQ198" s="1683"/>
      <c r="AR198" s="1683"/>
      <c r="AS198" s="1683"/>
      <c r="AT198" s="1683"/>
      <c r="AU198" s="1683"/>
      <c r="AV198" s="1683"/>
      <c r="AW198" s="1683"/>
      <c r="AX198" s="1683"/>
      <c r="AY198" s="1683"/>
      <c r="AZ198" s="1683"/>
      <c r="BA198" s="1683"/>
      <c r="BB198" s="1683"/>
    </row>
    <row r="199" spans="1:54">
      <c r="A199" s="326">
        <f t="shared" si="26"/>
        <v>39447</v>
      </c>
      <c r="B199" s="1678">
        <v>100.1</v>
      </c>
      <c r="C199" s="1679">
        <f t="shared" si="27"/>
        <v>1.001</v>
      </c>
      <c r="D199" s="1679">
        <f>PRODUCT(C$4:C199)</f>
        <v>3.36427648248625</v>
      </c>
      <c r="F199" s="1678">
        <v>100.19</v>
      </c>
      <c r="G199" s="1679">
        <f t="shared" si="28"/>
        <v>1.0019</v>
      </c>
      <c r="H199" s="1679">
        <f>PRODUCT(G$4:G199)</f>
        <v>1.07596018603448</v>
      </c>
      <c r="J199" s="1680">
        <v>0</v>
      </c>
      <c r="K199" s="1680">
        <v>0</v>
      </c>
      <c r="L199" s="1680">
        <v>0</v>
      </c>
      <c r="N199" s="1681"/>
      <c r="O199" s="1681"/>
      <c r="P199" s="1681"/>
      <c r="Q199" s="1681"/>
      <c r="R199" s="1681"/>
      <c r="T199" s="1681"/>
      <c r="U199" s="1681"/>
      <c r="W199" s="1681">
        <f t="shared" si="29"/>
        <v>0</v>
      </c>
      <c r="X199" s="1681"/>
      <c r="Y199" s="1681">
        <f t="shared" si="30"/>
        <v>0</v>
      </c>
      <c r="Z199" s="1681"/>
      <c r="AB199" s="1682"/>
      <c r="AC199" s="1682"/>
      <c r="AE199" s="1683"/>
      <c r="AF199" s="1683"/>
      <c r="AG199" s="1683"/>
      <c r="AH199" s="1683"/>
      <c r="AI199" s="1683"/>
      <c r="AJ199" s="1683"/>
      <c r="AK199" s="1683"/>
      <c r="AL199" s="1683"/>
      <c r="AM199" s="1683"/>
      <c r="AN199" s="1683"/>
      <c r="AO199" s="1683"/>
      <c r="AP199" s="1683"/>
      <c r="AQ199" s="1683"/>
      <c r="AR199" s="1683"/>
      <c r="AS199" s="1683"/>
      <c r="AT199" s="1683"/>
      <c r="AU199" s="1683"/>
      <c r="AV199" s="1683"/>
      <c r="AW199" s="1683"/>
      <c r="AX199" s="1683"/>
      <c r="AY199" s="1683"/>
      <c r="AZ199" s="1683"/>
      <c r="BA199" s="1683"/>
      <c r="BB199" s="1683"/>
    </row>
    <row r="200" spans="1:54">
      <c r="A200" s="326">
        <f t="shared" si="26"/>
        <v>39478</v>
      </c>
      <c r="B200" s="1678">
        <v>99.9</v>
      </c>
      <c r="C200" s="1679">
        <f t="shared" si="27"/>
        <v>0.999</v>
      </c>
      <c r="D200" s="1679">
        <f>PRODUCT(C$4:C200)</f>
        <v>3.36091220600376</v>
      </c>
      <c r="F200" s="1678">
        <v>100.71</v>
      </c>
      <c r="G200" s="1679">
        <f t="shared" si="28"/>
        <v>1.0071</v>
      </c>
      <c r="H200" s="1679">
        <f>PRODUCT(G$4:G200)</f>
        <v>1.08359950335533</v>
      </c>
      <c r="J200" s="1680">
        <v>0</v>
      </c>
      <c r="K200" s="1680">
        <v>0</v>
      </c>
      <c r="L200" s="1680">
        <v>0</v>
      </c>
      <c r="N200" s="1681"/>
      <c r="O200" s="1681"/>
      <c r="P200" s="1681"/>
      <c r="Q200" s="1681"/>
      <c r="R200" s="1681"/>
      <c r="T200" s="1681"/>
      <c r="U200" s="1681"/>
      <c r="W200" s="1681">
        <f t="shared" si="29"/>
        <v>0</v>
      </c>
      <c r="X200" s="1681"/>
      <c r="Y200" s="1681">
        <f t="shared" si="30"/>
        <v>0</v>
      </c>
      <c r="Z200" s="1681"/>
      <c r="AB200" s="1682"/>
      <c r="AC200" s="1682"/>
      <c r="AE200" s="1683"/>
      <c r="AF200" s="1683"/>
      <c r="AG200" s="1683"/>
      <c r="AH200" s="1683"/>
      <c r="AI200" s="1683"/>
      <c r="AJ200" s="1683"/>
      <c r="AK200" s="1683"/>
      <c r="AL200" s="1683"/>
      <c r="AM200" s="1683"/>
      <c r="AN200" s="1683"/>
      <c r="AO200" s="1683"/>
      <c r="AP200" s="1683"/>
      <c r="AQ200" s="1683"/>
      <c r="AR200" s="1683"/>
      <c r="AS200" s="1683"/>
      <c r="AT200" s="1683"/>
      <c r="AU200" s="1683"/>
      <c r="AV200" s="1683"/>
      <c r="AW200" s="1683"/>
      <c r="AX200" s="1683"/>
      <c r="AY200" s="1683"/>
      <c r="AZ200" s="1683"/>
      <c r="BA200" s="1683"/>
      <c r="BB200" s="1683"/>
    </row>
    <row r="201" spans="1:54">
      <c r="A201" s="326">
        <f t="shared" si="26"/>
        <v>39507</v>
      </c>
      <c r="B201" s="1678">
        <v>100.4</v>
      </c>
      <c r="C201" s="1679">
        <f t="shared" si="27"/>
        <v>1.004</v>
      </c>
      <c r="D201" s="1679">
        <f>PRODUCT(C$4:C201)</f>
        <v>3.37435585482778</v>
      </c>
      <c r="F201" s="1678">
        <v>100.78</v>
      </c>
      <c r="G201" s="1679">
        <f t="shared" si="28"/>
        <v>1.0078</v>
      </c>
      <c r="H201" s="1679">
        <f>PRODUCT(G$4:G201)</f>
        <v>1.0920515794815</v>
      </c>
      <c r="J201" s="1680">
        <v>0</v>
      </c>
      <c r="K201" s="1680">
        <v>0</v>
      </c>
      <c r="L201" s="1680">
        <v>0</v>
      </c>
      <c r="N201" s="1681"/>
      <c r="O201" s="1681"/>
      <c r="P201" s="1681"/>
      <c r="Q201" s="1681"/>
      <c r="R201" s="1681"/>
      <c r="T201" s="1681"/>
      <c r="U201" s="1681"/>
      <c r="W201" s="1681">
        <f t="shared" si="29"/>
        <v>0</v>
      </c>
      <c r="X201" s="1681"/>
      <c r="Y201" s="1681">
        <f t="shared" si="30"/>
        <v>0</v>
      </c>
      <c r="Z201" s="1681"/>
      <c r="AB201" s="1682"/>
      <c r="AC201" s="1682"/>
      <c r="AE201" s="1683"/>
      <c r="AF201" s="1683"/>
      <c r="AG201" s="1683"/>
      <c r="AH201" s="1683"/>
      <c r="AI201" s="1683"/>
      <c r="AJ201" s="1683"/>
      <c r="AK201" s="1683"/>
      <c r="AL201" s="1683"/>
      <c r="AM201" s="1683"/>
      <c r="AN201" s="1683"/>
      <c r="AO201" s="1683"/>
      <c r="AP201" s="1683"/>
      <c r="AQ201" s="1683"/>
      <c r="AR201" s="1683"/>
      <c r="AS201" s="1683"/>
      <c r="AT201" s="1683"/>
      <c r="AU201" s="1683"/>
      <c r="AV201" s="1683"/>
      <c r="AW201" s="1683"/>
      <c r="AX201" s="1683"/>
      <c r="AY201" s="1683"/>
      <c r="AZ201" s="1683"/>
      <c r="BA201" s="1683"/>
      <c r="BB201" s="1683"/>
    </row>
    <row r="202" spans="1:54">
      <c r="A202" s="326">
        <f t="shared" si="26"/>
        <v>39538</v>
      </c>
      <c r="B202" s="1678">
        <v>101.6</v>
      </c>
      <c r="C202" s="1679">
        <f t="shared" si="27"/>
        <v>1.016</v>
      </c>
      <c r="D202" s="1679">
        <f>PRODUCT(C$4:C202)</f>
        <v>3.42834554850502</v>
      </c>
      <c r="F202" s="1678">
        <v>100.92</v>
      </c>
      <c r="G202" s="1679">
        <f t="shared" si="28"/>
        <v>1.0092</v>
      </c>
      <c r="H202" s="1679">
        <f>PRODUCT(G$4:G202)</f>
        <v>1.10209845401273</v>
      </c>
      <c r="J202" s="1680">
        <v>0</v>
      </c>
      <c r="K202" s="1680">
        <v>0</v>
      </c>
      <c r="L202" s="1680">
        <v>0</v>
      </c>
      <c r="N202" s="1681"/>
      <c r="O202" s="1681"/>
      <c r="P202" s="1681"/>
      <c r="Q202" s="1681"/>
      <c r="R202" s="1681"/>
      <c r="T202" s="1681"/>
      <c r="U202" s="1681"/>
      <c r="W202" s="1681">
        <f t="shared" si="29"/>
        <v>0</v>
      </c>
      <c r="X202" s="1681"/>
      <c r="Y202" s="1681">
        <f t="shared" si="30"/>
        <v>0</v>
      </c>
      <c r="Z202" s="1681"/>
      <c r="AB202" s="1682"/>
      <c r="AC202" s="1682"/>
      <c r="AE202" s="1683"/>
      <c r="AF202" s="1683"/>
      <c r="AG202" s="1683"/>
      <c r="AH202" s="1683"/>
      <c r="AI202" s="1683"/>
      <c r="AJ202" s="1683"/>
      <c r="AK202" s="1683"/>
      <c r="AL202" s="1683"/>
      <c r="AM202" s="1683"/>
      <c r="AN202" s="1683"/>
      <c r="AO202" s="1683"/>
      <c r="AP202" s="1683"/>
      <c r="AQ202" s="1683"/>
      <c r="AR202" s="1683"/>
      <c r="AS202" s="1683"/>
      <c r="AT202" s="1683"/>
      <c r="AU202" s="1683"/>
      <c r="AV202" s="1683"/>
      <c r="AW202" s="1683"/>
      <c r="AX202" s="1683"/>
      <c r="AY202" s="1683"/>
      <c r="AZ202" s="1683"/>
      <c r="BA202" s="1683"/>
      <c r="BB202" s="1683"/>
    </row>
    <row r="203" spans="1:54">
      <c r="A203" s="326">
        <f t="shared" si="26"/>
        <v>39568</v>
      </c>
      <c r="B203" s="1678">
        <v>100.7</v>
      </c>
      <c r="C203" s="1679">
        <f t="shared" si="27"/>
        <v>1.007</v>
      </c>
      <c r="D203" s="1679">
        <f>PRODUCT(C$4:C203)</f>
        <v>3.45234396734456</v>
      </c>
      <c r="F203" s="1678">
        <v>100.09</v>
      </c>
      <c r="G203" s="1679">
        <f t="shared" si="28"/>
        <v>1.0009</v>
      </c>
      <c r="H203" s="1679">
        <f>PRODUCT(G$4:G203)</f>
        <v>1.10309034262134</v>
      </c>
      <c r="J203" s="1680">
        <v>0</v>
      </c>
      <c r="K203" s="1680">
        <v>0</v>
      </c>
      <c r="L203" s="1680">
        <v>0</v>
      </c>
      <c r="N203" s="1681"/>
      <c r="O203" s="1681"/>
      <c r="P203" s="1681"/>
      <c r="Q203" s="1681"/>
      <c r="R203" s="1681"/>
      <c r="T203" s="1681"/>
      <c r="U203" s="1681"/>
      <c r="W203" s="1681">
        <f t="shared" si="29"/>
        <v>0</v>
      </c>
      <c r="X203" s="1681"/>
      <c r="Y203" s="1681">
        <f t="shared" si="30"/>
        <v>0</v>
      </c>
      <c r="Z203" s="1681"/>
      <c r="AB203" s="1682"/>
      <c r="AC203" s="1682"/>
      <c r="AE203" s="1683"/>
      <c r="AF203" s="1683"/>
      <c r="AG203" s="1683"/>
      <c r="AH203" s="1683"/>
      <c r="AI203" s="1683"/>
      <c r="AJ203" s="1683"/>
      <c r="AK203" s="1683"/>
      <c r="AL203" s="1683"/>
      <c r="AM203" s="1683"/>
      <c r="AN203" s="1683"/>
      <c r="AO203" s="1683"/>
      <c r="AP203" s="1683"/>
      <c r="AQ203" s="1683"/>
      <c r="AR203" s="1683"/>
      <c r="AS203" s="1683"/>
      <c r="AT203" s="1683"/>
      <c r="AU203" s="1683"/>
      <c r="AV203" s="1683"/>
      <c r="AW203" s="1683"/>
      <c r="AX203" s="1683"/>
      <c r="AY203" s="1683"/>
      <c r="AZ203" s="1683"/>
      <c r="BA203" s="1683"/>
      <c r="BB203" s="1683"/>
    </row>
    <row r="204" spans="1:54">
      <c r="A204" s="326">
        <f t="shared" si="26"/>
        <v>39599</v>
      </c>
      <c r="B204" s="1678">
        <v>100.6</v>
      </c>
      <c r="C204" s="1679">
        <f t="shared" si="27"/>
        <v>1.006</v>
      </c>
      <c r="D204" s="1679">
        <f>PRODUCT(C$4:C204)</f>
        <v>3.47305803114863</v>
      </c>
      <c r="F204" s="1678">
        <v>99.39</v>
      </c>
      <c r="G204" s="1679">
        <f t="shared" si="28"/>
        <v>0.9939</v>
      </c>
      <c r="H204" s="1679">
        <f>PRODUCT(G$4:G204)</f>
        <v>1.09636149153135</v>
      </c>
      <c r="J204" s="1680">
        <v>0</v>
      </c>
      <c r="K204" s="1680">
        <v>0</v>
      </c>
      <c r="L204" s="1680">
        <v>0</v>
      </c>
      <c r="N204" s="1681"/>
      <c r="O204" s="1681"/>
      <c r="P204" s="1681"/>
      <c r="Q204" s="1681"/>
      <c r="R204" s="1681"/>
      <c r="T204" s="1681"/>
      <c r="U204" s="1681"/>
      <c r="W204" s="1681">
        <f t="shared" si="29"/>
        <v>0</v>
      </c>
      <c r="X204" s="1681"/>
      <c r="Y204" s="1681">
        <f t="shared" si="30"/>
        <v>0</v>
      </c>
      <c r="Z204" s="1681"/>
      <c r="AB204" s="1682"/>
      <c r="AC204" s="1682"/>
      <c r="AE204" s="1683"/>
      <c r="AF204" s="1683"/>
      <c r="AG204" s="1683"/>
      <c r="AH204" s="1683"/>
      <c r="AI204" s="1683"/>
      <c r="AJ204" s="1683"/>
      <c r="AK204" s="1683"/>
      <c r="AL204" s="1683"/>
      <c r="AM204" s="1683"/>
      <c r="AN204" s="1683"/>
      <c r="AO204" s="1683"/>
      <c r="AP204" s="1683"/>
      <c r="AQ204" s="1683"/>
      <c r="AR204" s="1683"/>
      <c r="AS204" s="1683"/>
      <c r="AT204" s="1683"/>
      <c r="AU204" s="1683"/>
      <c r="AV204" s="1683"/>
      <c r="AW204" s="1683"/>
      <c r="AX204" s="1683"/>
      <c r="AY204" s="1683"/>
      <c r="AZ204" s="1683"/>
      <c r="BA204" s="1683"/>
      <c r="BB204" s="1683"/>
    </row>
    <row r="205" spans="1:54">
      <c r="A205" s="326">
        <f t="shared" si="26"/>
        <v>39629</v>
      </c>
      <c r="B205" s="1678">
        <v>101.1</v>
      </c>
      <c r="C205" s="1679">
        <f t="shared" si="27"/>
        <v>1.011</v>
      </c>
      <c r="D205" s="1679">
        <f>PRODUCT(C$4:C205)</f>
        <v>3.51126166949126</v>
      </c>
      <c r="F205" s="1678">
        <v>99.88</v>
      </c>
      <c r="G205" s="1679">
        <f t="shared" si="28"/>
        <v>0.9988</v>
      </c>
      <c r="H205" s="1679">
        <f>PRODUCT(G$4:G205)</f>
        <v>1.09504585774151</v>
      </c>
      <c r="J205" s="1680">
        <v>0</v>
      </c>
      <c r="K205" s="1680">
        <v>0</v>
      </c>
      <c r="L205" s="1680">
        <v>0</v>
      </c>
      <c r="N205" s="1681"/>
      <c r="O205" s="1681"/>
      <c r="P205" s="1681"/>
      <c r="Q205" s="1681"/>
      <c r="R205" s="1681"/>
      <c r="T205" s="1681"/>
      <c r="U205" s="1681"/>
      <c r="W205" s="1681">
        <f t="shared" si="29"/>
        <v>0</v>
      </c>
      <c r="X205" s="1681"/>
      <c r="Y205" s="1681">
        <f t="shared" si="30"/>
        <v>0</v>
      </c>
      <c r="Z205" s="1681"/>
      <c r="AB205" s="1682"/>
      <c r="AC205" s="1682"/>
      <c r="AE205" s="1683"/>
      <c r="AF205" s="1683"/>
      <c r="AG205" s="1683"/>
      <c r="AH205" s="1683"/>
      <c r="AI205" s="1683"/>
      <c r="AJ205" s="1683"/>
      <c r="AK205" s="1683"/>
      <c r="AL205" s="1683"/>
      <c r="AM205" s="1683"/>
      <c r="AN205" s="1683"/>
      <c r="AO205" s="1683"/>
      <c r="AP205" s="1683"/>
      <c r="AQ205" s="1683"/>
      <c r="AR205" s="1683"/>
      <c r="AS205" s="1683"/>
      <c r="AT205" s="1683"/>
      <c r="AU205" s="1683"/>
      <c r="AV205" s="1683"/>
      <c r="AW205" s="1683"/>
      <c r="AX205" s="1683"/>
      <c r="AY205" s="1683"/>
      <c r="AZ205" s="1683"/>
      <c r="BA205" s="1683"/>
      <c r="BB205" s="1683"/>
    </row>
    <row r="206" spans="1:54">
      <c r="A206" s="326">
        <f t="shared" si="26"/>
        <v>39660</v>
      </c>
      <c r="B206" s="1678">
        <v>101.5</v>
      </c>
      <c r="C206" s="1679">
        <f t="shared" si="27"/>
        <v>1.015</v>
      </c>
      <c r="D206" s="1679">
        <f>PRODUCT(C$4:C206)</f>
        <v>3.56393059453363</v>
      </c>
      <c r="F206" s="1678">
        <v>99.91</v>
      </c>
      <c r="G206" s="1679">
        <f t="shared" si="28"/>
        <v>0.9991</v>
      </c>
      <c r="H206" s="1679">
        <f>PRODUCT(G$4:G206)</f>
        <v>1.09406031646955</v>
      </c>
      <c r="J206" s="1680">
        <v>0</v>
      </c>
      <c r="K206" s="1680">
        <v>0</v>
      </c>
      <c r="L206" s="1680">
        <v>0</v>
      </c>
      <c r="N206" s="1681"/>
      <c r="O206" s="1681"/>
      <c r="P206" s="1681"/>
      <c r="Q206" s="1681"/>
      <c r="R206" s="1681"/>
      <c r="T206" s="1681"/>
      <c r="U206" s="1681"/>
      <c r="W206" s="1681">
        <f t="shared" si="29"/>
        <v>0</v>
      </c>
      <c r="X206" s="1681"/>
      <c r="Y206" s="1681">
        <f t="shared" si="30"/>
        <v>0</v>
      </c>
      <c r="Z206" s="1681"/>
      <c r="AB206" s="1682"/>
      <c r="AC206" s="1682"/>
      <c r="AE206" s="1683"/>
      <c r="AF206" s="1683"/>
      <c r="AG206" s="1683"/>
      <c r="AH206" s="1683"/>
      <c r="AI206" s="1683"/>
      <c r="AJ206" s="1683"/>
      <c r="AK206" s="1683"/>
      <c r="AL206" s="1683"/>
      <c r="AM206" s="1683"/>
      <c r="AN206" s="1683"/>
      <c r="AO206" s="1683"/>
      <c r="AP206" s="1683"/>
      <c r="AQ206" s="1683"/>
      <c r="AR206" s="1683"/>
      <c r="AS206" s="1683"/>
      <c r="AT206" s="1683"/>
      <c r="AU206" s="1683"/>
      <c r="AV206" s="1683"/>
      <c r="AW206" s="1683"/>
      <c r="AX206" s="1683"/>
      <c r="AY206" s="1683"/>
      <c r="AZ206" s="1683"/>
      <c r="BA206" s="1683"/>
      <c r="BB206" s="1683"/>
    </row>
    <row r="207" spans="1:54">
      <c r="A207" s="326">
        <f t="shared" si="26"/>
        <v>39691</v>
      </c>
      <c r="B207" s="1678">
        <v>100.5</v>
      </c>
      <c r="C207" s="1679">
        <f t="shared" si="27"/>
        <v>1.005</v>
      </c>
      <c r="D207" s="1679">
        <f>PRODUCT(C$4:C207)</f>
        <v>3.5817502475063</v>
      </c>
      <c r="F207" s="1678">
        <v>98.86</v>
      </c>
      <c r="G207" s="1679">
        <f t="shared" si="28"/>
        <v>0.9886</v>
      </c>
      <c r="H207" s="1679">
        <f>PRODUCT(G$4:G207)</f>
        <v>1.08158802886179</v>
      </c>
      <c r="J207" s="1680">
        <v>0</v>
      </c>
      <c r="K207" s="1680">
        <v>0</v>
      </c>
      <c r="L207" s="1680">
        <v>0</v>
      </c>
      <c r="N207" s="1681"/>
      <c r="O207" s="1681"/>
      <c r="P207" s="1681"/>
      <c r="Q207" s="1681"/>
      <c r="R207" s="1681"/>
      <c r="T207" s="1681"/>
      <c r="U207" s="1681"/>
      <c r="W207" s="1681">
        <f t="shared" si="29"/>
        <v>0</v>
      </c>
      <c r="X207" s="1681"/>
      <c r="Y207" s="1681">
        <f t="shared" si="30"/>
        <v>0</v>
      </c>
      <c r="Z207" s="1681"/>
      <c r="AB207" s="1682"/>
      <c r="AC207" s="1682"/>
      <c r="AE207" s="1683"/>
      <c r="AF207" s="1683"/>
      <c r="AG207" s="1683"/>
      <c r="AH207" s="1683"/>
      <c r="AI207" s="1683"/>
      <c r="AJ207" s="1683"/>
      <c r="AK207" s="1683"/>
      <c r="AL207" s="1683"/>
      <c r="AM207" s="1683"/>
      <c r="AN207" s="1683"/>
      <c r="AO207" s="1683"/>
      <c r="AP207" s="1683"/>
      <c r="AQ207" s="1683"/>
      <c r="AR207" s="1683"/>
      <c r="AS207" s="1683"/>
      <c r="AT207" s="1683"/>
      <c r="AU207" s="1683"/>
      <c r="AV207" s="1683"/>
      <c r="AW207" s="1683"/>
      <c r="AX207" s="1683"/>
      <c r="AY207" s="1683"/>
      <c r="AZ207" s="1683"/>
      <c r="BA207" s="1683"/>
      <c r="BB207" s="1683"/>
    </row>
    <row r="208" spans="1:54">
      <c r="A208" s="326">
        <f t="shared" si="26"/>
        <v>39721</v>
      </c>
      <c r="B208" s="1678">
        <v>99.8</v>
      </c>
      <c r="C208" s="1679">
        <f t="shared" si="27"/>
        <v>0.998</v>
      </c>
      <c r="D208" s="1679">
        <f>PRODUCT(C$4:C208)</f>
        <v>3.57458674701128</v>
      </c>
      <c r="F208" s="1678">
        <v>98.94</v>
      </c>
      <c r="G208" s="1679">
        <f t="shared" si="28"/>
        <v>0.9894</v>
      </c>
      <c r="H208" s="1679">
        <f>PRODUCT(G$4:G208)</f>
        <v>1.07012319575586</v>
      </c>
      <c r="J208" s="1680">
        <v>0</v>
      </c>
      <c r="K208" s="1680">
        <v>0</v>
      </c>
      <c r="L208" s="1680">
        <v>0</v>
      </c>
      <c r="N208" s="1681"/>
      <c r="O208" s="1681"/>
      <c r="P208" s="1681"/>
      <c r="Q208" s="1681"/>
      <c r="R208" s="1681"/>
      <c r="T208" s="1681"/>
      <c r="U208" s="1681"/>
      <c r="W208" s="1681">
        <f t="shared" si="29"/>
        <v>0</v>
      </c>
      <c r="X208" s="1681"/>
      <c r="Y208" s="1681">
        <f t="shared" si="30"/>
        <v>0</v>
      </c>
      <c r="Z208" s="1681"/>
      <c r="AB208" s="1682"/>
      <c r="AC208" s="1682"/>
      <c r="AE208" s="1683"/>
      <c r="AF208" s="1683"/>
      <c r="AG208" s="1683"/>
      <c r="AH208" s="1683"/>
      <c r="AI208" s="1683"/>
      <c r="AJ208" s="1683"/>
      <c r="AK208" s="1683"/>
      <c r="AL208" s="1683"/>
      <c r="AM208" s="1683"/>
      <c r="AN208" s="1683"/>
      <c r="AO208" s="1683"/>
      <c r="AP208" s="1683"/>
      <c r="AQ208" s="1683"/>
      <c r="AR208" s="1683"/>
      <c r="AS208" s="1683"/>
      <c r="AT208" s="1683"/>
      <c r="AU208" s="1683"/>
      <c r="AV208" s="1683"/>
      <c r="AW208" s="1683"/>
      <c r="AX208" s="1683"/>
      <c r="AY208" s="1683"/>
      <c r="AZ208" s="1683"/>
      <c r="BA208" s="1683"/>
      <c r="BB208" s="1683"/>
    </row>
    <row r="209" spans="1:54">
      <c r="A209" s="326">
        <f t="shared" si="26"/>
        <v>39752</v>
      </c>
      <c r="B209" s="1678">
        <v>98.7</v>
      </c>
      <c r="C209" s="1679">
        <f t="shared" si="27"/>
        <v>0.987</v>
      </c>
      <c r="D209" s="1679">
        <f>PRODUCT(C$4:C209)</f>
        <v>3.52811711930014</v>
      </c>
      <c r="F209" s="1678">
        <v>97.22</v>
      </c>
      <c r="G209" s="1679">
        <f t="shared" si="28"/>
        <v>0.9722</v>
      </c>
      <c r="H209" s="1679">
        <f>PRODUCT(G$4:G209)</f>
        <v>1.04037377091384</v>
      </c>
      <c r="J209" s="1680">
        <v>0</v>
      </c>
      <c r="K209" s="1680">
        <v>0</v>
      </c>
      <c r="L209" s="1680">
        <v>0</v>
      </c>
      <c r="N209" s="1681"/>
      <c r="O209" s="1681"/>
      <c r="P209" s="1681"/>
      <c r="Q209" s="1681"/>
      <c r="R209" s="1681"/>
      <c r="T209" s="1681"/>
      <c r="U209" s="1681"/>
      <c r="W209" s="1681">
        <f t="shared" si="29"/>
        <v>0</v>
      </c>
      <c r="X209" s="1681"/>
      <c r="Y209" s="1681">
        <f t="shared" si="30"/>
        <v>0</v>
      </c>
      <c r="Z209" s="1681"/>
      <c r="AB209" s="1682"/>
      <c r="AC209" s="1682"/>
      <c r="AE209" s="1683"/>
      <c r="AF209" s="1683"/>
      <c r="AG209" s="1683"/>
      <c r="AH209" s="1683"/>
      <c r="AI209" s="1683"/>
      <c r="AJ209" s="1683"/>
      <c r="AK209" s="1683"/>
      <c r="AL209" s="1683"/>
      <c r="AM209" s="1683"/>
      <c r="AN209" s="1683"/>
      <c r="AO209" s="1683"/>
      <c r="AP209" s="1683"/>
      <c r="AQ209" s="1683"/>
      <c r="AR209" s="1683"/>
      <c r="AS209" s="1683"/>
      <c r="AT209" s="1683"/>
      <c r="AU209" s="1683"/>
      <c r="AV209" s="1683"/>
      <c r="AW209" s="1683"/>
      <c r="AX209" s="1683"/>
      <c r="AY209" s="1683"/>
      <c r="AZ209" s="1683"/>
      <c r="BA209" s="1683"/>
      <c r="BB209" s="1683"/>
    </row>
    <row r="210" spans="1:54">
      <c r="A210" s="326">
        <f t="shared" si="26"/>
        <v>39782</v>
      </c>
      <c r="B210" s="1678">
        <v>96.6</v>
      </c>
      <c r="C210" s="1679">
        <f t="shared" si="27"/>
        <v>0.966</v>
      </c>
      <c r="D210" s="1679">
        <f>PRODUCT(C$4:C210)</f>
        <v>3.40816113724393</v>
      </c>
      <c r="F210" s="1678">
        <v>95.73</v>
      </c>
      <c r="G210" s="1679">
        <f t="shared" si="28"/>
        <v>0.9573</v>
      </c>
      <c r="H210" s="1679">
        <f>PRODUCT(G$4:G210)</f>
        <v>0.995949810895824</v>
      </c>
      <c r="J210" s="1680">
        <v>0</v>
      </c>
      <c r="K210" s="1680">
        <v>0</v>
      </c>
      <c r="L210" s="1680">
        <v>0</v>
      </c>
      <c r="N210" s="1681"/>
      <c r="O210" s="1681"/>
      <c r="P210" s="1681"/>
      <c r="Q210" s="1681"/>
      <c r="R210" s="1681"/>
      <c r="T210" s="1681"/>
      <c r="U210" s="1681"/>
      <c r="W210" s="1681">
        <f t="shared" si="29"/>
        <v>0</v>
      </c>
      <c r="X210" s="1681"/>
      <c r="Y210" s="1681">
        <f t="shared" si="30"/>
        <v>0</v>
      </c>
      <c r="Z210" s="1681"/>
      <c r="AB210" s="1682"/>
      <c r="AC210" s="1682"/>
      <c r="AE210" s="1683"/>
      <c r="AF210" s="1683"/>
      <c r="AG210" s="1683"/>
      <c r="AH210" s="1683"/>
      <c r="AI210" s="1683"/>
      <c r="AJ210" s="1683"/>
      <c r="AK210" s="1683"/>
      <c r="AL210" s="1683"/>
      <c r="AM210" s="1683"/>
      <c r="AN210" s="1683"/>
      <c r="AO210" s="1683"/>
      <c r="AP210" s="1683"/>
      <c r="AQ210" s="1683"/>
      <c r="AR210" s="1683"/>
      <c r="AS210" s="1683"/>
      <c r="AT210" s="1683"/>
      <c r="AU210" s="1683"/>
      <c r="AV210" s="1683"/>
      <c r="AW210" s="1683"/>
      <c r="AX210" s="1683"/>
      <c r="AY210" s="1683"/>
      <c r="AZ210" s="1683"/>
      <c r="BA210" s="1683"/>
      <c r="BB210" s="1683"/>
    </row>
    <row r="211" spans="1:54">
      <c r="A211" s="326">
        <f t="shared" si="26"/>
        <v>39813</v>
      </c>
      <c r="B211" s="1678">
        <v>97.1</v>
      </c>
      <c r="C211" s="1679">
        <f t="shared" si="27"/>
        <v>0.971</v>
      </c>
      <c r="D211" s="1679">
        <f>PRODUCT(C$4:C211)</f>
        <v>3.30932446426386</v>
      </c>
      <c r="F211" s="1678">
        <v>97.32</v>
      </c>
      <c r="G211" s="1679">
        <f t="shared" si="28"/>
        <v>0.9732</v>
      </c>
      <c r="H211" s="1679">
        <f>PRODUCT(G$4:G211)</f>
        <v>0.969258355963815</v>
      </c>
      <c r="J211" s="1680">
        <v>0</v>
      </c>
      <c r="K211" s="1680">
        <v>0</v>
      </c>
      <c r="L211" s="1680">
        <v>0</v>
      </c>
      <c r="N211" s="1681"/>
      <c r="O211" s="1681"/>
      <c r="P211" s="1681"/>
      <c r="Q211" s="1681"/>
      <c r="R211" s="1681"/>
      <c r="T211" s="1681"/>
      <c r="U211" s="1681"/>
      <c r="W211" s="1681">
        <f t="shared" si="29"/>
        <v>0</v>
      </c>
      <c r="X211" s="1681"/>
      <c r="Y211" s="1681">
        <f t="shared" si="30"/>
        <v>0</v>
      </c>
      <c r="Z211" s="1681"/>
      <c r="AB211" s="1682"/>
      <c r="AC211" s="1682"/>
      <c r="AE211" s="1683"/>
      <c r="AF211" s="1683"/>
      <c r="AG211" s="1683"/>
      <c r="AH211" s="1683"/>
      <c r="AI211" s="1683"/>
      <c r="AJ211" s="1683"/>
      <c r="AK211" s="1683"/>
      <c r="AL211" s="1683"/>
      <c r="AM211" s="1683"/>
      <c r="AN211" s="1683"/>
      <c r="AO211" s="1683"/>
      <c r="AP211" s="1683"/>
      <c r="AQ211" s="1683"/>
      <c r="AR211" s="1683"/>
      <c r="AS211" s="1683"/>
      <c r="AT211" s="1683"/>
      <c r="AU211" s="1683"/>
      <c r="AV211" s="1683"/>
      <c r="AW211" s="1683"/>
      <c r="AX211" s="1683"/>
      <c r="AY211" s="1683"/>
      <c r="AZ211" s="1683"/>
      <c r="BA211" s="1683"/>
      <c r="BB211" s="1683"/>
    </row>
    <row r="212" spans="1:54">
      <c r="A212" s="326">
        <f t="shared" si="26"/>
        <v>39844</v>
      </c>
      <c r="B212" s="1678">
        <v>97.7</v>
      </c>
      <c r="C212" s="1679">
        <f t="shared" si="27"/>
        <v>0.977</v>
      </c>
      <c r="D212" s="1679">
        <f>PRODUCT(C$4:C212)</f>
        <v>3.23321000158579</v>
      </c>
      <c r="F212" s="1678">
        <v>98.88</v>
      </c>
      <c r="G212" s="1679">
        <f t="shared" si="28"/>
        <v>0.9888</v>
      </c>
      <c r="H212" s="1679">
        <f>PRODUCT(G$4:G212)</f>
        <v>0.958402662377021</v>
      </c>
      <c r="J212" s="1688">
        <v>0.17</v>
      </c>
      <c r="K212" s="1688">
        <v>0</v>
      </c>
      <c r="L212" s="1688">
        <v>0</v>
      </c>
      <c r="N212" s="1681"/>
      <c r="O212" s="1681"/>
      <c r="P212" s="1681"/>
      <c r="Q212" s="1681"/>
      <c r="R212" s="1681"/>
      <c r="T212" s="1681"/>
      <c r="U212" s="1681"/>
      <c r="W212" s="1681">
        <f t="shared" si="29"/>
        <v>0</v>
      </c>
      <c r="X212" s="1681"/>
      <c r="Y212" s="1681">
        <f t="shared" si="30"/>
        <v>0</v>
      </c>
      <c r="Z212" s="1681"/>
      <c r="AB212" s="1682"/>
      <c r="AC212" s="1682"/>
      <c r="AE212" s="1683"/>
      <c r="AF212" s="1683"/>
      <c r="AG212" s="1683"/>
      <c r="AH212" s="1683"/>
      <c r="AI212" s="1683"/>
      <c r="AJ212" s="1683"/>
      <c r="AK212" s="1683"/>
      <c r="AL212" s="1683"/>
      <c r="AM212" s="1683"/>
      <c r="AN212" s="1683"/>
      <c r="AO212" s="1683"/>
      <c r="AP212" s="1683"/>
      <c r="AQ212" s="1683"/>
      <c r="AR212" s="1683"/>
      <c r="AS212" s="1683"/>
      <c r="AT212" s="1683"/>
      <c r="AU212" s="1683"/>
      <c r="AV212" s="1683"/>
      <c r="AW212" s="1683"/>
      <c r="AX212" s="1683"/>
      <c r="AY212" s="1683"/>
      <c r="AZ212" s="1683"/>
      <c r="BA212" s="1683"/>
      <c r="BB212" s="1683"/>
    </row>
    <row r="213" spans="1:54">
      <c r="A213" s="326">
        <f t="shared" si="26"/>
        <v>39872</v>
      </c>
      <c r="B213" s="1678">
        <v>99.2</v>
      </c>
      <c r="C213" s="1679">
        <f t="shared" si="27"/>
        <v>0.992</v>
      </c>
      <c r="D213" s="1679">
        <f>PRODUCT(C$4:C213)</f>
        <v>3.2073443215731</v>
      </c>
      <c r="F213" s="1678">
        <v>98.09</v>
      </c>
      <c r="G213" s="1679">
        <f t="shared" si="28"/>
        <v>0.9809</v>
      </c>
      <c r="H213" s="1679">
        <f>PRODUCT(G$4:G213)</f>
        <v>0.94009717152562</v>
      </c>
      <c r="J213" s="1680">
        <v>0.17</v>
      </c>
      <c r="K213" s="1680">
        <v>0</v>
      </c>
      <c r="L213" s="1680">
        <v>0</v>
      </c>
      <c r="N213" s="1681"/>
      <c r="O213" s="1681"/>
      <c r="P213" s="1681"/>
      <c r="Q213" s="1681"/>
      <c r="R213" s="1681"/>
      <c r="T213" s="1681"/>
      <c r="U213" s="1681"/>
      <c r="W213" s="1681">
        <f t="shared" si="29"/>
        <v>0</v>
      </c>
      <c r="X213" s="1681"/>
      <c r="Y213" s="1681">
        <f t="shared" si="30"/>
        <v>0</v>
      </c>
      <c r="Z213" s="1681"/>
      <c r="AB213" s="1682"/>
      <c r="AC213" s="1682"/>
      <c r="AE213" s="1683"/>
      <c r="AF213" s="1683"/>
      <c r="AG213" s="1683"/>
      <c r="AH213" s="1683"/>
      <c r="AI213" s="1683"/>
      <c r="AJ213" s="1683"/>
      <c r="AK213" s="1683"/>
      <c r="AL213" s="1683"/>
      <c r="AM213" s="1683"/>
      <c r="AN213" s="1683"/>
      <c r="AO213" s="1683"/>
      <c r="AP213" s="1683"/>
      <c r="AQ213" s="1683"/>
      <c r="AR213" s="1683"/>
      <c r="AS213" s="1683"/>
      <c r="AT213" s="1683"/>
      <c r="AU213" s="1683"/>
      <c r="AV213" s="1683"/>
      <c r="AW213" s="1683"/>
      <c r="AX213" s="1683"/>
      <c r="AY213" s="1683"/>
      <c r="AZ213" s="1683"/>
      <c r="BA213" s="1683"/>
      <c r="BB213" s="1683"/>
    </row>
    <row r="214" spans="1:54">
      <c r="A214" s="326">
        <f t="shared" ref="A214:A277" si="31">DATE(IF(MONTH(A213)=12,YEAR(A213)+1,YEAR(A213)),MONTH(A213+1)+1,1)-1</f>
        <v>39903</v>
      </c>
      <c r="B214" s="1678">
        <v>100</v>
      </c>
      <c r="C214" s="1679">
        <f t="shared" si="27"/>
        <v>1</v>
      </c>
      <c r="D214" s="1679">
        <f>PRODUCT(C$4:C214)</f>
        <v>3.2073443215731</v>
      </c>
      <c r="F214" s="1678">
        <v>99.36</v>
      </c>
      <c r="G214" s="1679">
        <f t="shared" si="28"/>
        <v>0.9936</v>
      </c>
      <c r="H214" s="1679">
        <f>PRODUCT(G$4:G214)</f>
        <v>0.934080549627856</v>
      </c>
      <c r="J214" s="1680">
        <v>0.17</v>
      </c>
      <c r="K214" s="1680">
        <v>0</v>
      </c>
      <c r="L214" s="1680">
        <v>0</v>
      </c>
      <c r="N214" s="1681"/>
      <c r="O214" s="1681"/>
      <c r="P214" s="1681"/>
      <c r="Q214" s="1681"/>
      <c r="R214" s="1681"/>
      <c r="T214" s="1681"/>
      <c r="U214" s="1681"/>
      <c r="W214" s="1681">
        <f t="shared" si="29"/>
        <v>0</v>
      </c>
      <c r="X214" s="1681"/>
      <c r="Y214" s="1681">
        <f t="shared" si="30"/>
        <v>0</v>
      </c>
      <c r="Z214" s="1681"/>
      <c r="AB214" s="1682"/>
      <c r="AC214" s="1682"/>
      <c r="AE214" s="1683"/>
      <c r="AF214" s="1683"/>
      <c r="AG214" s="1683"/>
      <c r="AH214" s="1683"/>
      <c r="AI214" s="1683"/>
      <c r="AJ214" s="1683"/>
      <c r="AK214" s="1683"/>
      <c r="AL214" s="1683"/>
      <c r="AM214" s="1683"/>
      <c r="AN214" s="1683"/>
      <c r="AO214" s="1683"/>
      <c r="AP214" s="1683"/>
      <c r="AQ214" s="1683"/>
      <c r="AR214" s="1683"/>
      <c r="AS214" s="1683"/>
      <c r="AT214" s="1683"/>
      <c r="AU214" s="1683"/>
      <c r="AV214" s="1683"/>
      <c r="AW214" s="1683"/>
      <c r="AX214" s="1683"/>
      <c r="AY214" s="1683"/>
      <c r="AZ214" s="1683"/>
      <c r="BA214" s="1683"/>
      <c r="BB214" s="1683"/>
    </row>
    <row r="215" spans="1:54">
      <c r="A215" s="326">
        <f t="shared" si="31"/>
        <v>39933</v>
      </c>
      <c r="B215" s="1678">
        <v>100.1</v>
      </c>
      <c r="C215" s="1679">
        <f t="shared" si="27"/>
        <v>1.001</v>
      </c>
      <c r="D215" s="1679">
        <f>PRODUCT(C$4:C215)</f>
        <v>3.21055166589468</v>
      </c>
      <c r="F215" s="1678">
        <v>99.46</v>
      </c>
      <c r="G215" s="1679">
        <f t="shared" si="28"/>
        <v>0.9946</v>
      </c>
      <c r="H215" s="1679">
        <f>PRODUCT(G$4:G215)</f>
        <v>0.929036514659865</v>
      </c>
      <c r="J215" s="1680">
        <v>0.17</v>
      </c>
      <c r="K215" s="1680">
        <v>0</v>
      </c>
      <c r="L215" s="1680">
        <v>0</v>
      </c>
      <c r="N215" s="1681"/>
      <c r="O215" s="1681"/>
      <c r="P215" s="1681"/>
      <c r="Q215" s="1681"/>
      <c r="R215" s="1681"/>
      <c r="T215" s="1681"/>
      <c r="U215" s="1681"/>
      <c r="W215" s="1681">
        <f t="shared" si="29"/>
        <v>0</v>
      </c>
      <c r="X215" s="1681"/>
      <c r="Y215" s="1681">
        <f t="shared" si="30"/>
        <v>0</v>
      </c>
      <c r="Z215" s="1681"/>
      <c r="AB215" s="1682"/>
      <c r="AC215" s="1682"/>
      <c r="AE215" s="1683"/>
      <c r="AF215" s="1683"/>
      <c r="AG215" s="1683"/>
      <c r="AH215" s="1683"/>
      <c r="AI215" s="1683"/>
      <c r="AJ215" s="1683"/>
      <c r="AK215" s="1683"/>
      <c r="AL215" s="1683"/>
      <c r="AM215" s="1683"/>
      <c r="AN215" s="1683"/>
      <c r="AO215" s="1683"/>
      <c r="AP215" s="1683"/>
      <c r="AQ215" s="1683"/>
      <c r="AR215" s="1683"/>
      <c r="AS215" s="1683"/>
      <c r="AT215" s="1683"/>
      <c r="AU215" s="1683"/>
      <c r="AV215" s="1683"/>
      <c r="AW215" s="1683"/>
      <c r="AX215" s="1683"/>
      <c r="AY215" s="1683"/>
      <c r="AZ215" s="1683"/>
      <c r="BA215" s="1683"/>
      <c r="BB215" s="1683"/>
    </row>
    <row r="216" spans="1:54">
      <c r="A216" s="326">
        <f t="shared" si="31"/>
        <v>39964</v>
      </c>
      <c r="B216" s="1678">
        <v>100</v>
      </c>
      <c r="C216" s="1679">
        <f t="shared" si="27"/>
        <v>1</v>
      </c>
      <c r="D216" s="1679">
        <f>PRODUCT(C$4:C216)</f>
        <v>3.21055166589468</v>
      </c>
      <c r="F216" s="1678">
        <v>99.46</v>
      </c>
      <c r="G216" s="1679">
        <f t="shared" si="28"/>
        <v>0.9946</v>
      </c>
      <c r="H216" s="1679">
        <f>PRODUCT(G$4:G216)</f>
        <v>0.924019717480702</v>
      </c>
      <c r="J216" s="1680">
        <v>0.17</v>
      </c>
      <c r="K216" s="1680">
        <v>0</v>
      </c>
      <c r="L216" s="1680">
        <v>0</v>
      </c>
      <c r="N216" s="1681"/>
      <c r="O216" s="1681"/>
      <c r="P216" s="1681"/>
      <c r="Q216" s="1681"/>
      <c r="R216" s="1681"/>
      <c r="T216" s="1681"/>
      <c r="U216" s="1681"/>
      <c r="W216" s="1681">
        <f t="shared" si="29"/>
        <v>0</v>
      </c>
      <c r="X216" s="1681"/>
      <c r="Y216" s="1681">
        <f t="shared" si="30"/>
        <v>0</v>
      </c>
      <c r="Z216" s="1681"/>
      <c r="AB216" s="1682"/>
      <c r="AC216" s="1682"/>
      <c r="AE216" s="1683"/>
      <c r="AF216" s="1683"/>
      <c r="AG216" s="1683"/>
      <c r="AH216" s="1683"/>
      <c r="AI216" s="1683"/>
      <c r="AJ216" s="1683"/>
      <c r="AK216" s="1683"/>
      <c r="AL216" s="1683"/>
      <c r="AM216" s="1683"/>
      <c r="AN216" s="1683"/>
      <c r="AO216" s="1683"/>
      <c r="AP216" s="1683"/>
      <c r="AQ216" s="1683"/>
      <c r="AR216" s="1683"/>
      <c r="AS216" s="1683"/>
      <c r="AT216" s="1683"/>
      <c r="AU216" s="1683"/>
      <c r="AV216" s="1683"/>
      <c r="AW216" s="1683"/>
      <c r="AX216" s="1683"/>
      <c r="AY216" s="1683"/>
      <c r="AZ216" s="1683"/>
      <c r="BA216" s="1683"/>
      <c r="BB216" s="1683"/>
    </row>
    <row r="217" spans="1:54">
      <c r="A217" s="326">
        <f t="shared" si="31"/>
        <v>39994</v>
      </c>
      <c r="B217" s="1678">
        <v>100.4</v>
      </c>
      <c r="C217" s="1679">
        <f t="shared" si="27"/>
        <v>1.004</v>
      </c>
      <c r="D217" s="1679">
        <f>PRODUCT(C$4:C217)</f>
        <v>3.22339387255825</v>
      </c>
      <c r="F217" s="1678">
        <v>99.57</v>
      </c>
      <c r="G217" s="1679">
        <f t="shared" si="28"/>
        <v>0.9957</v>
      </c>
      <c r="H217" s="1679">
        <f>PRODUCT(G$4:G217)</f>
        <v>0.920046432695535</v>
      </c>
      <c r="J217" s="1680">
        <v>0.17</v>
      </c>
      <c r="K217" s="1680">
        <v>0</v>
      </c>
      <c r="L217" s="1680">
        <v>0</v>
      </c>
      <c r="N217" s="1681"/>
      <c r="O217" s="1681"/>
      <c r="P217" s="1681"/>
      <c r="Q217" s="1681"/>
      <c r="R217" s="1681"/>
      <c r="T217" s="1681"/>
      <c r="U217" s="1681"/>
      <c r="W217" s="1681">
        <f t="shared" si="29"/>
        <v>0</v>
      </c>
      <c r="X217" s="1681"/>
      <c r="Y217" s="1681">
        <f t="shared" si="30"/>
        <v>0</v>
      </c>
      <c r="Z217" s="1681"/>
      <c r="AB217" s="1682"/>
      <c r="AC217" s="1682"/>
      <c r="AE217" s="1683"/>
      <c r="AF217" s="1683"/>
      <c r="AG217" s="1683"/>
      <c r="AH217" s="1683"/>
      <c r="AI217" s="1683"/>
      <c r="AJ217" s="1683"/>
      <c r="AK217" s="1683"/>
      <c r="AL217" s="1683"/>
      <c r="AM217" s="1683"/>
      <c r="AN217" s="1683"/>
      <c r="AO217" s="1683"/>
      <c r="AP217" s="1683"/>
      <c r="AQ217" s="1683"/>
      <c r="AR217" s="1683"/>
      <c r="AS217" s="1683"/>
      <c r="AT217" s="1683"/>
      <c r="AU217" s="1683"/>
      <c r="AV217" s="1683"/>
      <c r="AW217" s="1683"/>
      <c r="AX217" s="1683"/>
      <c r="AY217" s="1683"/>
      <c r="AZ217" s="1683"/>
      <c r="BA217" s="1683"/>
      <c r="BB217" s="1683"/>
    </row>
    <row r="218" spans="1:54">
      <c r="A218" s="326">
        <f t="shared" si="31"/>
        <v>40025</v>
      </c>
      <c r="B218" s="1678">
        <v>101.1</v>
      </c>
      <c r="C218" s="1679">
        <f t="shared" si="27"/>
        <v>1.011</v>
      </c>
      <c r="D218" s="1679">
        <f>PRODUCT(C$4:C218)</f>
        <v>3.2588512051564</v>
      </c>
      <c r="F218" s="1678">
        <v>100</v>
      </c>
      <c r="G218" s="1679">
        <f t="shared" si="28"/>
        <v>1</v>
      </c>
      <c r="H218" s="1679">
        <f>PRODUCT(G$4:G218)</f>
        <v>0.920046432695535</v>
      </c>
      <c r="J218" s="1680">
        <v>0.17</v>
      </c>
      <c r="K218" s="1680">
        <v>0</v>
      </c>
      <c r="L218" s="1680">
        <v>0</v>
      </c>
      <c r="N218" s="1681"/>
      <c r="O218" s="1681"/>
      <c r="P218" s="1681"/>
      <c r="Q218" s="1681"/>
      <c r="R218" s="1681"/>
      <c r="T218" s="1681"/>
      <c r="U218" s="1681"/>
      <c r="W218" s="1681">
        <f t="shared" si="29"/>
        <v>0</v>
      </c>
      <c r="X218" s="1681"/>
      <c r="Y218" s="1681">
        <f t="shared" si="30"/>
        <v>0</v>
      </c>
      <c r="Z218" s="1681"/>
      <c r="AB218" s="1682"/>
      <c r="AC218" s="1682"/>
      <c r="AE218" s="1683"/>
      <c r="AF218" s="1683"/>
      <c r="AG218" s="1683"/>
      <c r="AH218" s="1683"/>
      <c r="AI218" s="1683"/>
      <c r="AJ218" s="1683"/>
      <c r="AK218" s="1683"/>
      <c r="AL218" s="1683"/>
      <c r="AM218" s="1683"/>
      <c r="AN218" s="1683"/>
      <c r="AO218" s="1683"/>
      <c r="AP218" s="1683"/>
      <c r="AQ218" s="1683"/>
      <c r="AR218" s="1683"/>
      <c r="AS218" s="1683"/>
      <c r="AT218" s="1683"/>
      <c r="AU218" s="1683"/>
      <c r="AV218" s="1683"/>
      <c r="AW218" s="1683"/>
      <c r="AX218" s="1683"/>
      <c r="AY218" s="1683"/>
      <c r="AZ218" s="1683"/>
      <c r="BA218" s="1683"/>
      <c r="BB218" s="1683"/>
    </row>
    <row r="219" spans="1:54">
      <c r="A219" s="326">
        <f t="shared" si="31"/>
        <v>40056</v>
      </c>
      <c r="B219" s="1678">
        <v>100.8</v>
      </c>
      <c r="C219" s="1679">
        <f t="shared" si="27"/>
        <v>1.008</v>
      </c>
      <c r="D219" s="1679">
        <f>PRODUCT(C$4:C219)</f>
        <v>3.28492201479765</v>
      </c>
      <c r="F219" s="1678">
        <v>100.98</v>
      </c>
      <c r="G219" s="1679">
        <f t="shared" si="28"/>
        <v>1.0098</v>
      </c>
      <c r="H219" s="1679">
        <f>PRODUCT(G$4:G219)</f>
        <v>0.929062887735951</v>
      </c>
      <c r="J219" s="1680">
        <v>0.17</v>
      </c>
      <c r="K219" s="1680">
        <v>0</v>
      </c>
      <c r="L219" s="1680">
        <v>0</v>
      </c>
      <c r="N219" s="1681"/>
      <c r="O219" s="1681"/>
      <c r="P219" s="1681"/>
      <c r="Q219" s="1681"/>
      <c r="R219" s="1681"/>
      <c r="T219" s="1681"/>
      <c r="U219" s="1681"/>
      <c r="W219" s="1681">
        <f t="shared" si="29"/>
        <v>0</v>
      </c>
      <c r="X219" s="1681"/>
      <c r="Y219" s="1681">
        <f t="shared" si="30"/>
        <v>0</v>
      </c>
      <c r="Z219" s="1681"/>
      <c r="AB219" s="1682"/>
      <c r="AC219" s="1682"/>
      <c r="AE219" s="1683"/>
      <c r="AF219" s="1683"/>
      <c r="AG219" s="1683"/>
      <c r="AH219" s="1683"/>
      <c r="AI219" s="1683"/>
      <c r="AJ219" s="1683"/>
      <c r="AK219" s="1683"/>
      <c r="AL219" s="1683"/>
      <c r="AM219" s="1683"/>
      <c r="AN219" s="1683"/>
      <c r="AO219" s="1683"/>
      <c r="AP219" s="1683"/>
      <c r="AQ219" s="1683"/>
      <c r="AR219" s="1683"/>
      <c r="AS219" s="1683"/>
      <c r="AT219" s="1683"/>
      <c r="AU219" s="1683"/>
      <c r="AV219" s="1683"/>
      <c r="AW219" s="1683"/>
      <c r="AX219" s="1683"/>
      <c r="AY219" s="1683"/>
      <c r="AZ219" s="1683"/>
      <c r="BA219" s="1683"/>
      <c r="BB219" s="1683"/>
    </row>
    <row r="220" spans="1:54">
      <c r="A220" s="326">
        <f t="shared" si="31"/>
        <v>40086</v>
      </c>
      <c r="B220" s="1678">
        <v>100.8</v>
      </c>
      <c r="C220" s="1679">
        <f t="shared" si="27"/>
        <v>1.008</v>
      </c>
      <c r="D220" s="1679">
        <f>PRODUCT(C$4:C220)</f>
        <v>3.31120139091603</v>
      </c>
      <c r="F220" s="1678">
        <v>101.26</v>
      </c>
      <c r="G220" s="1679">
        <f t="shared" si="28"/>
        <v>1.0126</v>
      </c>
      <c r="H220" s="1679">
        <f>PRODUCT(G$4:G220)</f>
        <v>0.940769080121424</v>
      </c>
      <c r="J220" s="1680">
        <v>0.17</v>
      </c>
      <c r="K220" s="1680">
        <v>0</v>
      </c>
      <c r="L220" s="1680">
        <v>0</v>
      </c>
      <c r="N220" s="1681"/>
      <c r="O220" s="1681"/>
      <c r="P220" s="1681"/>
      <c r="Q220" s="1681"/>
      <c r="R220" s="1681"/>
      <c r="T220" s="1681"/>
      <c r="U220" s="1681"/>
      <c r="W220" s="1681">
        <f t="shared" si="29"/>
        <v>0</v>
      </c>
      <c r="X220" s="1681"/>
      <c r="Y220" s="1681">
        <f t="shared" si="30"/>
        <v>0</v>
      </c>
      <c r="Z220" s="1681"/>
      <c r="AB220" s="1682"/>
      <c r="AC220" s="1682"/>
      <c r="AE220" s="1683"/>
      <c r="AF220" s="1683"/>
      <c r="AG220" s="1683"/>
      <c r="AH220" s="1683"/>
      <c r="AI220" s="1683"/>
      <c r="AJ220" s="1683"/>
      <c r="AK220" s="1683"/>
      <c r="AL220" s="1683"/>
      <c r="AM220" s="1683"/>
      <c r="AN220" s="1683"/>
      <c r="AO220" s="1683"/>
      <c r="AP220" s="1683"/>
      <c r="AQ220" s="1683"/>
      <c r="AR220" s="1683"/>
      <c r="AS220" s="1683"/>
      <c r="AT220" s="1683"/>
      <c r="AU220" s="1683"/>
      <c r="AV220" s="1683"/>
      <c r="AW220" s="1683"/>
      <c r="AX220" s="1683"/>
      <c r="AY220" s="1683"/>
      <c r="AZ220" s="1683"/>
      <c r="BA220" s="1683"/>
      <c r="BB220" s="1683"/>
    </row>
    <row r="221" spans="1:54">
      <c r="A221" s="326">
        <f t="shared" si="31"/>
        <v>40117</v>
      </c>
      <c r="B221" s="1678">
        <v>100</v>
      </c>
      <c r="C221" s="1679">
        <f t="shared" si="27"/>
        <v>1</v>
      </c>
      <c r="D221" s="1679">
        <f>PRODUCT(C$4:C221)</f>
        <v>3.31120139091603</v>
      </c>
      <c r="F221" s="1678">
        <v>102.37</v>
      </c>
      <c r="G221" s="1679">
        <f t="shared" si="28"/>
        <v>1.0237</v>
      </c>
      <c r="H221" s="1679">
        <f>PRODUCT(G$4:G221)</f>
        <v>0.963065307320302</v>
      </c>
      <c r="J221" s="1680">
        <v>0.17</v>
      </c>
      <c r="K221" s="1680">
        <v>0</v>
      </c>
      <c r="L221" s="1680">
        <v>0</v>
      </c>
      <c r="N221" s="1681"/>
      <c r="O221" s="1681"/>
      <c r="P221" s="1681"/>
      <c r="Q221" s="1681"/>
      <c r="R221" s="1681"/>
      <c r="T221" s="1681"/>
      <c r="U221" s="1681"/>
      <c r="W221" s="1681">
        <f t="shared" si="29"/>
        <v>0</v>
      </c>
      <c r="X221" s="1681"/>
      <c r="Y221" s="1681">
        <f t="shared" si="30"/>
        <v>0</v>
      </c>
      <c r="Z221" s="1681"/>
      <c r="AB221" s="1682"/>
      <c r="AC221" s="1682"/>
      <c r="AE221" s="1683"/>
      <c r="AF221" s="1683"/>
      <c r="AG221" s="1683"/>
      <c r="AH221" s="1683"/>
      <c r="AI221" s="1683"/>
      <c r="AJ221" s="1683"/>
      <c r="AK221" s="1683"/>
      <c r="AL221" s="1683"/>
      <c r="AM221" s="1683"/>
      <c r="AN221" s="1683"/>
      <c r="AO221" s="1683"/>
      <c r="AP221" s="1683"/>
      <c r="AQ221" s="1683"/>
      <c r="AR221" s="1683"/>
      <c r="AS221" s="1683"/>
      <c r="AT221" s="1683"/>
      <c r="AU221" s="1683"/>
      <c r="AV221" s="1683"/>
      <c r="AW221" s="1683"/>
      <c r="AX221" s="1683"/>
      <c r="AY221" s="1683"/>
      <c r="AZ221" s="1683"/>
      <c r="BA221" s="1683"/>
      <c r="BB221" s="1683"/>
    </row>
    <row r="222" spans="1:54">
      <c r="A222" s="326">
        <f t="shared" si="31"/>
        <v>40147</v>
      </c>
      <c r="B222" s="1678">
        <v>100.4</v>
      </c>
      <c r="C222" s="1679">
        <f t="shared" si="27"/>
        <v>1.004</v>
      </c>
      <c r="D222" s="1679">
        <f>PRODUCT(C$4:C222)</f>
        <v>3.32444619647969</v>
      </c>
      <c r="F222" s="1678">
        <v>104.25</v>
      </c>
      <c r="G222" s="1679">
        <f t="shared" si="28"/>
        <v>1.0425</v>
      </c>
      <c r="H222" s="1679">
        <f>PRODUCT(G$4:G222)</f>
        <v>1.00399558288141</v>
      </c>
      <c r="J222" s="1680">
        <v>0.17</v>
      </c>
      <c r="K222" s="1680">
        <v>0</v>
      </c>
      <c r="L222" s="1680">
        <v>0</v>
      </c>
      <c r="N222" s="1681"/>
      <c r="O222" s="1681"/>
      <c r="P222" s="1681"/>
      <c r="Q222" s="1681"/>
      <c r="R222" s="1681"/>
      <c r="T222" s="1681"/>
      <c r="U222" s="1681"/>
      <c r="W222" s="1681">
        <f t="shared" si="29"/>
        <v>0</v>
      </c>
      <c r="X222" s="1681"/>
      <c r="Y222" s="1681">
        <f t="shared" si="30"/>
        <v>0</v>
      </c>
      <c r="Z222" s="1681"/>
      <c r="AB222" s="1682"/>
      <c r="AC222" s="1682"/>
      <c r="AE222" s="1683"/>
      <c r="AF222" s="1683"/>
      <c r="AG222" s="1683"/>
      <c r="AH222" s="1683"/>
      <c r="AI222" s="1683"/>
      <c r="AJ222" s="1683"/>
      <c r="AK222" s="1683"/>
      <c r="AL222" s="1683"/>
      <c r="AM222" s="1683"/>
      <c r="AN222" s="1683"/>
      <c r="AO222" s="1683"/>
      <c r="AP222" s="1683"/>
      <c r="AQ222" s="1683"/>
      <c r="AR222" s="1683"/>
      <c r="AS222" s="1683"/>
      <c r="AT222" s="1683"/>
      <c r="AU222" s="1683"/>
      <c r="AV222" s="1683"/>
      <c r="AW222" s="1683"/>
      <c r="AX222" s="1683"/>
      <c r="AY222" s="1683"/>
      <c r="AZ222" s="1683"/>
      <c r="BA222" s="1683"/>
      <c r="BB222" s="1683"/>
    </row>
    <row r="223" spans="1:54">
      <c r="A223" s="326">
        <f t="shared" si="31"/>
        <v>40178</v>
      </c>
      <c r="B223" s="1678">
        <v>100.9</v>
      </c>
      <c r="C223" s="1679">
        <f t="shared" si="27"/>
        <v>1.009</v>
      </c>
      <c r="D223" s="1679">
        <f>PRODUCT(C$4:C223)</f>
        <v>3.35436621224801</v>
      </c>
      <c r="F223" s="1678">
        <v>102.96</v>
      </c>
      <c r="G223" s="1679">
        <f t="shared" si="28"/>
        <v>1.0296</v>
      </c>
      <c r="H223" s="1679">
        <f>PRODUCT(G$4:G223)</f>
        <v>1.0337138521347</v>
      </c>
      <c r="J223" s="1680">
        <v>0.17</v>
      </c>
      <c r="K223" s="1680">
        <v>0</v>
      </c>
      <c r="L223" s="1680">
        <v>0</v>
      </c>
      <c r="N223" s="1681"/>
      <c r="O223" s="1681"/>
      <c r="P223" s="1681"/>
      <c r="Q223" s="1681"/>
      <c r="R223" s="1681"/>
      <c r="T223" s="1681"/>
      <c r="U223" s="1681"/>
      <c r="W223" s="1681">
        <f t="shared" si="29"/>
        <v>0</v>
      </c>
      <c r="X223" s="1681"/>
      <c r="Y223" s="1681">
        <f t="shared" si="30"/>
        <v>0</v>
      </c>
      <c r="Z223" s="1681"/>
      <c r="AB223" s="1682"/>
      <c r="AC223" s="1682"/>
      <c r="AE223" s="1683"/>
      <c r="AF223" s="1683"/>
      <c r="AG223" s="1683"/>
      <c r="AH223" s="1683"/>
      <c r="AI223" s="1683"/>
      <c r="AJ223" s="1683"/>
      <c r="AK223" s="1683"/>
      <c r="AL223" s="1683"/>
      <c r="AM223" s="1683"/>
      <c r="AN223" s="1683"/>
      <c r="AO223" s="1683"/>
      <c r="AP223" s="1683"/>
      <c r="AQ223" s="1683"/>
      <c r="AR223" s="1683"/>
      <c r="AS223" s="1683"/>
      <c r="AT223" s="1683"/>
      <c r="AU223" s="1683"/>
      <c r="AV223" s="1683"/>
      <c r="AW223" s="1683"/>
      <c r="AX223" s="1683"/>
      <c r="AY223" s="1683"/>
      <c r="AZ223" s="1683"/>
      <c r="BA223" s="1683"/>
      <c r="BB223" s="1683"/>
    </row>
    <row r="224" spans="1:54">
      <c r="A224" s="326">
        <f t="shared" si="31"/>
        <v>40209</v>
      </c>
      <c r="B224" s="1678">
        <v>100.2</v>
      </c>
      <c r="C224" s="1679">
        <f t="shared" si="27"/>
        <v>1.002</v>
      </c>
      <c r="D224" s="1679">
        <f>PRODUCT(C$4:C224)</f>
        <v>3.36107494467251</v>
      </c>
      <c r="F224" s="1678">
        <v>101.08</v>
      </c>
      <c r="G224" s="1679">
        <f t="shared" si="28"/>
        <v>1.0108</v>
      </c>
      <c r="H224" s="1679">
        <f>PRODUCT(G$4:G224)</f>
        <v>1.04487796173776</v>
      </c>
      <c r="J224" s="1680">
        <v>0.17</v>
      </c>
      <c r="K224" s="1680">
        <v>0</v>
      </c>
      <c r="L224" s="1680">
        <v>0</v>
      </c>
      <c r="N224" s="1681"/>
      <c r="O224" s="1681"/>
      <c r="P224" s="1681"/>
      <c r="Q224" s="1681"/>
      <c r="R224" s="1681"/>
      <c r="T224" s="1681"/>
      <c r="U224" s="1681"/>
      <c r="W224" s="1681">
        <f t="shared" si="29"/>
        <v>0</v>
      </c>
      <c r="X224" s="1681"/>
      <c r="Y224" s="1681">
        <f t="shared" si="30"/>
        <v>0</v>
      </c>
      <c r="Z224" s="1681"/>
      <c r="AB224" s="1682"/>
      <c r="AC224" s="1682"/>
      <c r="AE224" s="1683"/>
      <c r="AF224" s="1683"/>
      <c r="AG224" s="1683"/>
      <c r="AH224" s="1683"/>
      <c r="AI224" s="1683"/>
      <c r="AJ224" s="1683"/>
      <c r="AK224" s="1683"/>
      <c r="AL224" s="1683"/>
      <c r="AM224" s="1683"/>
      <c r="AN224" s="1683"/>
      <c r="AO224" s="1683"/>
      <c r="AP224" s="1683"/>
      <c r="AQ224" s="1683"/>
      <c r="AR224" s="1683"/>
      <c r="AS224" s="1683"/>
      <c r="AT224" s="1683"/>
      <c r="AU224" s="1683"/>
      <c r="AV224" s="1683"/>
      <c r="AW224" s="1683"/>
      <c r="AX224" s="1683"/>
      <c r="AY224" s="1683"/>
      <c r="AZ224" s="1683"/>
      <c r="BA224" s="1683"/>
      <c r="BB224" s="1683"/>
    </row>
    <row r="225" spans="1:54">
      <c r="A225" s="326">
        <f t="shared" si="31"/>
        <v>40237</v>
      </c>
      <c r="B225" s="1678">
        <v>100.2</v>
      </c>
      <c r="C225" s="1679">
        <f t="shared" si="27"/>
        <v>1.002</v>
      </c>
      <c r="D225" s="1679">
        <f>PRODUCT(C$4:C225)</f>
        <v>3.36779709456185</v>
      </c>
      <c r="F225" s="1678">
        <v>101.17</v>
      </c>
      <c r="G225" s="1679">
        <f t="shared" si="28"/>
        <v>1.0117</v>
      </c>
      <c r="H225" s="1679">
        <f>PRODUCT(G$4:G225)</f>
        <v>1.05710303389009</v>
      </c>
      <c r="J225" s="1680">
        <v>0.17</v>
      </c>
      <c r="K225" s="1680">
        <v>0</v>
      </c>
      <c r="L225" s="1680">
        <v>0</v>
      </c>
      <c r="N225" s="1681"/>
      <c r="O225" s="1681"/>
      <c r="P225" s="1681"/>
      <c r="Q225" s="1681"/>
      <c r="R225" s="1681"/>
      <c r="T225" s="1681"/>
      <c r="U225" s="1681"/>
      <c r="W225" s="1681">
        <f t="shared" si="29"/>
        <v>0</v>
      </c>
      <c r="X225" s="1681"/>
      <c r="Y225" s="1681">
        <f t="shared" si="30"/>
        <v>0</v>
      </c>
      <c r="Z225" s="1681"/>
      <c r="AB225" s="1682"/>
      <c r="AC225" s="1682"/>
      <c r="AE225" s="1683"/>
      <c r="AF225" s="1683"/>
      <c r="AG225" s="1683"/>
      <c r="AH225" s="1683"/>
      <c r="AI225" s="1683"/>
      <c r="AJ225" s="1683"/>
      <c r="AK225" s="1683"/>
      <c r="AL225" s="1683"/>
      <c r="AM225" s="1683"/>
      <c r="AN225" s="1683"/>
      <c r="AO225" s="1683"/>
      <c r="AP225" s="1683"/>
      <c r="AQ225" s="1683"/>
      <c r="AR225" s="1683"/>
      <c r="AS225" s="1683"/>
      <c r="AT225" s="1683"/>
      <c r="AU225" s="1683"/>
      <c r="AV225" s="1683"/>
      <c r="AW225" s="1683"/>
      <c r="AX225" s="1683"/>
      <c r="AY225" s="1683"/>
      <c r="AZ225" s="1683"/>
      <c r="BA225" s="1683"/>
      <c r="BB225" s="1683"/>
    </row>
    <row r="226" spans="1:54">
      <c r="A226" s="326">
        <f t="shared" si="31"/>
        <v>40268</v>
      </c>
      <c r="B226" s="1678">
        <v>100.5</v>
      </c>
      <c r="C226" s="1679">
        <f t="shared" si="27"/>
        <v>1.005</v>
      </c>
      <c r="D226" s="1679">
        <f>PRODUCT(C$4:C226)</f>
        <v>3.38463608003466</v>
      </c>
      <c r="F226" s="1678">
        <v>99.91</v>
      </c>
      <c r="G226" s="1679">
        <f t="shared" si="28"/>
        <v>0.9991</v>
      </c>
      <c r="H226" s="1679">
        <f>PRODUCT(G$4:G226)</f>
        <v>1.05615164115959</v>
      </c>
      <c r="J226" s="1680">
        <v>0.17</v>
      </c>
      <c r="K226" s="1680">
        <v>0</v>
      </c>
      <c r="L226" s="1680">
        <v>0</v>
      </c>
      <c r="N226" s="1681"/>
      <c r="O226" s="1681"/>
      <c r="P226" s="1681"/>
      <c r="Q226" s="1681"/>
      <c r="R226" s="1681"/>
      <c r="T226" s="1681"/>
      <c r="U226" s="1681"/>
      <c r="W226" s="1681">
        <f t="shared" si="29"/>
        <v>0</v>
      </c>
      <c r="X226" s="1681"/>
      <c r="Y226" s="1681">
        <f t="shared" si="30"/>
        <v>0</v>
      </c>
      <c r="Z226" s="1681"/>
      <c r="AB226" s="1682"/>
      <c r="AC226" s="1682"/>
      <c r="AE226" s="1683"/>
      <c r="AF226" s="1683"/>
      <c r="AG226" s="1683"/>
      <c r="AH226" s="1683"/>
      <c r="AI226" s="1683"/>
      <c r="AJ226" s="1683"/>
      <c r="AK226" s="1683"/>
      <c r="AL226" s="1683"/>
      <c r="AM226" s="1683"/>
      <c r="AN226" s="1683"/>
      <c r="AO226" s="1683"/>
      <c r="AP226" s="1683"/>
      <c r="AQ226" s="1683"/>
      <c r="AR226" s="1683"/>
      <c r="AS226" s="1683"/>
      <c r="AT226" s="1683"/>
      <c r="AU226" s="1683"/>
      <c r="AV226" s="1683"/>
      <c r="AW226" s="1683"/>
      <c r="AX226" s="1683"/>
      <c r="AY226" s="1683"/>
      <c r="AZ226" s="1683"/>
      <c r="BA226" s="1683"/>
      <c r="BB226" s="1683"/>
    </row>
    <row r="227" spans="1:54">
      <c r="A227" s="326">
        <f t="shared" si="31"/>
        <v>40298</v>
      </c>
      <c r="B227" s="1678">
        <v>101</v>
      </c>
      <c r="C227" s="1679">
        <f t="shared" si="27"/>
        <v>1.01</v>
      </c>
      <c r="D227" s="1679">
        <f>PRODUCT(C$4:C227)</f>
        <v>3.41848244083501</v>
      </c>
      <c r="F227" s="1678">
        <v>100.95</v>
      </c>
      <c r="G227" s="1679">
        <f t="shared" si="28"/>
        <v>1.0095</v>
      </c>
      <c r="H227" s="1679">
        <f>PRODUCT(G$4:G227)</f>
        <v>1.06618508175061</v>
      </c>
      <c r="J227" s="1680">
        <v>0.17</v>
      </c>
      <c r="K227" s="1680">
        <v>0</v>
      </c>
      <c r="L227" s="1680">
        <v>0</v>
      </c>
      <c r="N227" s="1681"/>
      <c r="O227" s="1681"/>
      <c r="P227" s="1681"/>
      <c r="Q227" s="1681"/>
      <c r="R227" s="1681"/>
      <c r="T227" s="1681"/>
      <c r="U227" s="1681"/>
      <c r="W227" s="1681">
        <f t="shared" si="29"/>
        <v>0</v>
      </c>
      <c r="X227" s="1681"/>
      <c r="Y227" s="1681">
        <f t="shared" si="30"/>
        <v>0</v>
      </c>
      <c r="Z227" s="1681"/>
      <c r="AB227" s="1682"/>
      <c r="AC227" s="1682"/>
      <c r="AE227" s="1683"/>
      <c r="AF227" s="1683"/>
      <c r="AG227" s="1683"/>
      <c r="AH227" s="1683"/>
      <c r="AI227" s="1683"/>
      <c r="AJ227" s="1683"/>
      <c r="AK227" s="1683"/>
      <c r="AL227" s="1683"/>
      <c r="AM227" s="1683"/>
      <c r="AN227" s="1683"/>
      <c r="AO227" s="1683"/>
      <c r="AP227" s="1683"/>
      <c r="AQ227" s="1683"/>
      <c r="AR227" s="1683"/>
      <c r="AS227" s="1683"/>
      <c r="AT227" s="1683"/>
      <c r="AU227" s="1683"/>
      <c r="AV227" s="1683"/>
      <c r="AW227" s="1683"/>
      <c r="AX227" s="1683"/>
      <c r="AY227" s="1683"/>
      <c r="AZ227" s="1683"/>
      <c r="BA227" s="1683"/>
      <c r="BB227" s="1683"/>
    </row>
    <row r="228" spans="1:54">
      <c r="A228" s="326">
        <f t="shared" si="31"/>
        <v>40329</v>
      </c>
      <c r="B228" s="1678">
        <v>100.3</v>
      </c>
      <c r="C228" s="1679">
        <f t="shared" si="27"/>
        <v>1.003</v>
      </c>
      <c r="D228" s="1679">
        <f>PRODUCT(C$4:C228)</f>
        <v>3.42873788815751</v>
      </c>
      <c r="F228" s="1678">
        <v>100.47</v>
      </c>
      <c r="G228" s="1679">
        <f t="shared" si="28"/>
        <v>1.0047</v>
      </c>
      <c r="H228" s="1679">
        <f>PRODUCT(G$4:G228)</f>
        <v>1.07119615163483</v>
      </c>
      <c r="J228" s="1680">
        <v>0.17</v>
      </c>
      <c r="K228" s="1680">
        <v>0</v>
      </c>
      <c r="L228" s="1680">
        <v>0</v>
      </c>
      <c r="N228" s="1681"/>
      <c r="O228" s="1681"/>
      <c r="P228" s="1681"/>
      <c r="Q228" s="1681"/>
      <c r="R228" s="1681"/>
      <c r="T228" s="1681"/>
      <c r="U228" s="1681"/>
      <c r="W228" s="1681">
        <f t="shared" si="29"/>
        <v>0</v>
      </c>
      <c r="X228" s="1681"/>
      <c r="Y228" s="1681">
        <f t="shared" si="30"/>
        <v>0</v>
      </c>
      <c r="Z228" s="1681"/>
      <c r="AB228" s="1682"/>
      <c r="AC228" s="1682"/>
      <c r="AE228" s="1683"/>
      <c r="AF228" s="1683"/>
      <c r="AG228" s="1683"/>
      <c r="AH228" s="1683"/>
      <c r="AI228" s="1683"/>
      <c r="AJ228" s="1683"/>
      <c r="AK228" s="1683"/>
      <c r="AL228" s="1683"/>
      <c r="AM228" s="1683"/>
      <c r="AN228" s="1683"/>
      <c r="AO228" s="1683"/>
      <c r="AP228" s="1683"/>
      <c r="AQ228" s="1683"/>
      <c r="AR228" s="1683"/>
      <c r="AS228" s="1683"/>
      <c r="AT228" s="1683"/>
      <c r="AU228" s="1683"/>
      <c r="AV228" s="1683"/>
      <c r="AW228" s="1683"/>
      <c r="AX228" s="1683"/>
      <c r="AY228" s="1683"/>
      <c r="AZ228" s="1683"/>
      <c r="BA228" s="1683"/>
      <c r="BB228" s="1683"/>
    </row>
    <row r="229" spans="1:54">
      <c r="A229" s="326">
        <f t="shared" si="31"/>
        <v>40359</v>
      </c>
      <c r="B229" s="1678">
        <v>99.7</v>
      </c>
      <c r="C229" s="1679">
        <f t="shared" si="27"/>
        <v>0.997</v>
      </c>
      <c r="D229" s="1679">
        <f>PRODUCT(C$4:C229)</f>
        <v>3.41845167449304</v>
      </c>
      <c r="F229" s="1678">
        <v>99.53</v>
      </c>
      <c r="G229" s="1679">
        <f t="shared" si="28"/>
        <v>0.9953</v>
      </c>
      <c r="H229" s="1679">
        <f>PRODUCT(G$4:G229)</f>
        <v>1.06616152972215</v>
      </c>
      <c r="J229" s="1680">
        <v>0.17</v>
      </c>
      <c r="K229" s="1680">
        <v>0</v>
      </c>
      <c r="L229" s="1680">
        <v>0</v>
      </c>
      <c r="N229" s="1681"/>
      <c r="O229" s="1681"/>
      <c r="P229" s="1681"/>
      <c r="Q229" s="1681"/>
      <c r="R229" s="1681"/>
      <c r="T229" s="1681"/>
      <c r="U229" s="1681"/>
      <c r="W229" s="1681">
        <f t="shared" si="29"/>
        <v>0</v>
      </c>
      <c r="X229" s="1681"/>
      <c r="Y229" s="1681">
        <f t="shared" si="30"/>
        <v>0</v>
      </c>
      <c r="Z229" s="1681"/>
      <c r="AB229" s="1682"/>
      <c r="AC229" s="1682"/>
      <c r="AE229" s="1683"/>
      <c r="AF229" s="1683"/>
      <c r="AG229" s="1683"/>
      <c r="AH229" s="1683"/>
      <c r="AI229" s="1683"/>
      <c r="AJ229" s="1683"/>
      <c r="AK229" s="1683"/>
      <c r="AL229" s="1683"/>
      <c r="AM229" s="1683"/>
      <c r="AN229" s="1683"/>
      <c r="AO229" s="1683"/>
      <c r="AP229" s="1683"/>
      <c r="AQ229" s="1683"/>
      <c r="AR229" s="1683"/>
      <c r="AS229" s="1683"/>
      <c r="AT229" s="1683"/>
      <c r="AU229" s="1683"/>
      <c r="AV229" s="1683"/>
      <c r="AW229" s="1683"/>
      <c r="AX229" s="1683"/>
      <c r="AY229" s="1683"/>
      <c r="AZ229" s="1683"/>
      <c r="BA229" s="1683"/>
      <c r="BB229" s="1683"/>
    </row>
    <row r="230" spans="1:54">
      <c r="A230" s="326">
        <f t="shared" si="31"/>
        <v>40390</v>
      </c>
      <c r="B230" s="1678">
        <v>99.6</v>
      </c>
      <c r="C230" s="1679">
        <f t="shared" si="27"/>
        <v>0.996</v>
      </c>
      <c r="D230" s="1679">
        <f>PRODUCT(C$4:C230)</f>
        <v>3.40477786779507</v>
      </c>
      <c r="F230" s="1678">
        <v>99.34</v>
      </c>
      <c r="G230" s="1679">
        <f t="shared" si="28"/>
        <v>0.9934</v>
      </c>
      <c r="H230" s="1679">
        <f>PRODUCT(G$4:G230)</f>
        <v>1.05912486362598</v>
      </c>
      <c r="J230" s="1680">
        <v>0.17</v>
      </c>
      <c r="K230" s="1680">
        <v>0</v>
      </c>
      <c r="L230" s="1680">
        <v>0</v>
      </c>
      <c r="N230" s="1681"/>
      <c r="O230" s="1681"/>
      <c r="P230" s="1681"/>
      <c r="Q230" s="1681"/>
      <c r="R230" s="1681"/>
      <c r="T230" s="1681"/>
      <c r="U230" s="1681"/>
      <c r="W230" s="1681">
        <f t="shared" si="29"/>
        <v>0</v>
      </c>
      <c r="X230" s="1681"/>
      <c r="Y230" s="1681">
        <f t="shared" si="30"/>
        <v>0</v>
      </c>
      <c r="Z230" s="1681"/>
      <c r="AB230" s="1682"/>
      <c r="AC230" s="1682"/>
      <c r="AE230" s="1683"/>
      <c r="AF230" s="1683"/>
      <c r="AG230" s="1683"/>
      <c r="AH230" s="1683"/>
      <c r="AI230" s="1683"/>
      <c r="AJ230" s="1683"/>
      <c r="AK230" s="1683"/>
      <c r="AL230" s="1683"/>
      <c r="AM230" s="1683"/>
      <c r="AN230" s="1683"/>
      <c r="AO230" s="1683"/>
      <c r="AP230" s="1683"/>
      <c r="AQ230" s="1683"/>
      <c r="AR230" s="1683"/>
      <c r="AS230" s="1683"/>
      <c r="AT230" s="1683"/>
      <c r="AU230" s="1683"/>
      <c r="AV230" s="1683"/>
      <c r="AW230" s="1683"/>
      <c r="AX230" s="1683"/>
      <c r="AY230" s="1683"/>
      <c r="AZ230" s="1683"/>
      <c r="BA230" s="1683"/>
      <c r="BB230" s="1683"/>
    </row>
    <row r="231" spans="1:54">
      <c r="A231" s="326">
        <f t="shared" si="31"/>
        <v>40421</v>
      </c>
      <c r="B231" s="1678">
        <v>100.3</v>
      </c>
      <c r="C231" s="1679">
        <f t="shared" si="27"/>
        <v>1.003</v>
      </c>
      <c r="D231" s="1679">
        <f>PRODUCT(C$4:C231)</f>
        <v>3.41499220139845</v>
      </c>
      <c r="F231" s="1678">
        <v>100.09</v>
      </c>
      <c r="G231" s="1679">
        <f t="shared" si="28"/>
        <v>1.0009</v>
      </c>
      <c r="H231" s="1679">
        <f>PRODUCT(G$4:G231)</f>
        <v>1.06007807600325</v>
      </c>
      <c r="J231" s="1680">
        <v>0.17</v>
      </c>
      <c r="K231" s="1680">
        <v>0</v>
      </c>
      <c r="L231" s="1680">
        <v>0</v>
      </c>
      <c r="N231" s="1681"/>
      <c r="O231" s="1681"/>
      <c r="P231" s="1681"/>
      <c r="Q231" s="1681"/>
      <c r="R231" s="1681"/>
      <c r="T231" s="1681"/>
      <c r="U231" s="1681"/>
      <c r="W231" s="1681">
        <f t="shared" si="29"/>
        <v>0</v>
      </c>
      <c r="X231" s="1681"/>
      <c r="Y231" s="1681">
        <f t="shared" si="30"/>
        <v>0</v>
      </c>
      <c r="Z231" s="1681"/>
      <c r="AB231" s="1682"/>
      <c r="AC231" s="1682"/>
      <c r="AE231" s="1683"/>
      <c r="AF231" s="1683"/>
      <c r="AG231" s="1683"/>
      <c r="AH231" s="1683"/>
      <c r="AI231" s="1683"/>
      <c r="AJ231" s="1683"/>
      <c r="AK231" s="1683"/>
      <c r="AL231" s="1683"/>
      <c r="AM231" s="1683"/>
      <c r="AN231" s="1683"/>
      <c r="AO231" s="1683"/>
      <c r="AP231" s="1683"/>
      <c r="AQ231" s="1683"/>
      <c r="AR231" s="1683"/>
      <c r="AS231" s="1683"/>
      <c r="AT231" s="1683"/>
      <c r="AU231" s="1683"/>
      <c r="AV231" s="1683"/>
      <c r="AW231" s="1683"/>
      <c r="AX231" s="1683"/>
      <c r="AY231" s="1683"/>
      <c r="AZ231" s="1683"/>
      <c r="BA231" s="1683"/>
      <c r="BB231" s="1683"/>
    </row>
    <row r="232" spans="1:54">
      <c r="A232" s="326">
        <f t="shared" si="31"/>
        <v>40451</v>
      </c>
      <c r="B232" s="1678">
        <v>100.8</v>
      </c>
      <c r="C232" s="1679">
        <f t="shared" si="27"/>
        <v>1.008</v>
      </c>
      <c r="D232" s="1679">
        <f>PRODUCT(C$4:C232)</f>
        <v>3.44231213900964</v>
      </c>
      <c r="F232" s="1678">
        <v>100.09</v>
      </c>
      <c r="G232" s="1679">
        <f t="shared" si="28"/>
        <v>1.0009</v>
      </c>
      <c r="H232" s="1679">
        <f>PRODUCT(G$4:G232)</f>
        <v>1.06103214627165</v>
      </c>
      <c r="J232" s="1680">
        <v>0.17</v>
      </c>
      <c r="K232" s="1680">
        <v>0</v>
      </c>
      <c r="L232" s="1680">
        <v>0</v>
      </c>
      <c r="N232" s="1681"/>
      <c r="O232" s="1681"/>
      <c r="P232" s="1681"/>
      <c r="Q232" s="1681"/>
      <c r="R232" s="1681"/>
      <c r="T232" s="1681"/>
      <c r="U232" s="1681"/>
      <c r="W232" s="1681">
        <f t="shared" si="29"/>
        <v>0</v>
      </c>
      <c r="X232" s="1681"/>
      <c r="Y232" s="1681">
        <f t="shared" si="30"/>
        <v>0</v>
      </c>
      <c r="Z232" s="1681"/>
      <c r="AB232" s="1682"/>
      <c r="AC232" s="1682"/>
      <c r="AE232" s="1683"/>
      <c r="AF232" s="1683"/>
      <c r="AG232" s="1683"/>
      <c r="AH232" s="1683"/>
      <c r="AI232" s="1683"/>
      <c r="AJ232" s="1683"/>
      <c r="AK232" s="1683"/>
      <c r="AL232" s="1683"/>
      <c r="AM232" s="1683"/>
      <c r="AN232" s="1683"/>
      <c r="AO232" s="1683"/>
      <c r="AP232" s="1683"/>
      <c r="AQ232" s="1683"/>
      <c r="AR232" s="1683"/>
      <c r="AS232" s="1683"/>
      <c r="AT232" s="1683"/>
      <c r="AU232" s="1683"/>
      <c r="AV232" s="1683"/>
      <c r="AW232" s="1683"/>
      <c r="AX232" s="1683"/>
      <c r="AY232" s="1683"/>
      <c r="AZ232" s="1683"/>
      <c r="BA232" s="1683"/>
      <c r="BB232" s="1683"/>
    </row>
    <row r="233" spans="1:54">
      <c r="A233" s="326">
        <f t="shared" si="31"/>
        <v>40482</v>
      </c>
      <c r="B233" s="1678">
        <v>100.7</v>
      </c>
      <c r="C233" s="1679">
        <f t="shared" si="27"/>
        <v>1.007</v>
      </c>
      <c r="D233" s="1679">
        <f>PRODUCT(C$4:C233)</f>
        <v>3.46640832398271</v>
      </c>
      <c r="F233" s="1678">
        <v>101.6</v>
      </c>
      <c r="G233" s="1679">
        <f t="shared" si="28"/>
        <v>1.016</v>
      </c>
      <c r="H233" s="1679">
        <f>PRODUCT(G$4:G233)</f>
        <v>1.078008660612</v>
      </c>
      <c r="J233" s="1680">
        <v>0.17</v>
      </c>
      <c r="K233" s="1680">
        <v>0</v>
      </c>
      <c r="L233" s="1680">
        <v>0</v>
      </c>
      <c r="N233" s="1681"/>
      <c r="O233" s="1681"/>
      <c r="P233" s="1681"/>
      <c r="Q233" s="1681"/>
      <c r="R233" s="1681"/>
      <c r="T233" s="1681"/>
      <c r="U233" s="1681"/>
      <c r="W233" s="1681">
        <f t="shared" si="29"/>
        <v>0</v>
      </c>
      <c r="X233" s="1681"/>
      <c r="Y233" s="1681">
        <f t="shared" si="30"/>
        <v>0</v>
      </c>
      <c r="Z233" s="1681"/>
      <c r="AB233" s="1682"/>
      <c r="AC233" s="1682"/>
      <c r="AE233" s="1683"/>
      <c r="AF233" s="1683"/>
      <c r="AG233" s="1683"/>
      <c r="AH233" s="1683"/>
      <c r="AI233" s="1683"/>
      <c r="AJ233" s="1683"/>
      <c r="AK233" s="1683"/>
      <c r="AL233" s="1683"/>
      <c r="AM233" s="1683"/>
      <c r="AN233" s="1683"/>
      <c r="AO233" s="1683"/>
      <c r="AP233" s="1683"/>
      <c r="AQ233" s="1683"/>
      <c r="AR233" s="1683"/>
      <c r="AS233" s="1683"/>
      <c r="AT233" s="1683"/>
      <c r="AU233" s="1683"/>
      <c r="AV233" s="1683"/>
      <c r="AW233" s="1683"/>
      <c r="AX233" s="1683"/>
      <c r="AY233" s="1683"/>
      <c r="AZ233" s="1683"/>
      <c r="BA233" s="1683"/>
      <c r="BB233" s="1683"/>
    </row>
    <row r="234" spans="1:54">
      <c r="A234" s="326">
        <f t="shared" si="31"/>
        <v>40512</v>
      </c>
      <c r="B234" s="1678">
        <v>101.5</v>
      </c>
      <c r="C234" s="1679">
        <f t="shared" si="27"/>
        <v>1.015</v>
      </c>
      <c r="D234" s="1679">
        <f>PRODUCT(C$4:C234)</f>
        <v>3.51840444884245</v>
      </c>
      <c r="F234" s="1678">
        <v>100.74</v>
      </c>
      <c r="G234" s="1679">
        <f t="shared" si="28"/>
        <v>1.0074</v>
      </c>
      <c r="H234" s="1679">
        <f>PRODUCT(G$4:G234)</f>
        <v>1.08598592470053</v>
      </c>
      <c r="J234" s="1680">
        <v>0.17</v>
      </c>
      <c r="K234" s="1680">
        <v>0</v>
      </c>
      <c r="L234" s="1680">
        <v>0</v>
      </c>
      <c r="N234" s="1681"/>
      <c r="O234" s="1681"/>
      <c r="P234" s="1681"/>
      <c r="Q234" s="1681"/>
      <c r="R234" s="1681"/>
      <c r="T234" s="1681"/>
      <c r="U234" s="1681"/>
      <c r="W234" s="1681">
        <f t="shared" si="29"/>
        <v>0</v>
      </c>
      <c r="X234" s="1681"/>
      <c r="Y234" s="1681">
        <f t="shared" si="30"/>
        <v>0</v>
      </c>
      <c r="Z234" s="1681"/>
      <c r="AB234" s="1682"/>
      <c r="AC234" s="1682"/>
      <c r="AE234" s="1683"/>
      <c r="AF234" s="1683"/>
      <c r="AG234" s="1683"/>
      <c r="AH234" s="1683"/>
      <c r="AI234" s="1683"/>
      <c r="AJ234" s="1683"/>
      <c r="AK234" s="1683"/>
      <c r="AL234" s="1683"/>
      <c r="AM234" s="1683"/>
      <c r="AN234" s="1683"/>
      <c r="AO234" s="1683"/>
      <c r="AP234" s="1683"/>
      <c r="AQ234" s="1683"/>
      <c r="AR234" s="1683"/>
      <c r="AS234" s="1683"/>
      <c r="AT234" s="1683"/>
      <c r="AU234" s="1683"/>
      <c r="AV234" s="1683"/>
      <c r="AW234" s="1683"/>
      <c r="AX234" s="1683"/>
      <c r="AY234" s="1683"/>
      <c r="AZ234" s="1683"/>
      <c r="BA234" s="1683"/>
      <c r="BB234" s="1683"/>
    </row>
    <row r="235" spans="1:54">
      <c r="A235" s="326">
        <f t="shared" si="31"/>
        <v>40543</v>
      </c>
      <c r="B235" s="1678">
        <v>100.7</v>
      </c>
      <c r="C235" s="1679">
        <f t="shared" si="27"/>
        <v>1.007</v>
      </c>
      <c r="D235" s="1679">
        <f>PRODUCT(C$4:C235)</f>
        <v>3.54303327998434</v>
      </c>
      <c r="F235" s="1678">
        <v>99.36</v>
      </c>
      <c r="G235" s="1679">
        <f t="shared" si="28"/>
        <v>0.9936</v>
      </c>
      <c r="H235" s="1679">
        <f>PRODUCT(G$4:G235)</f>
        <v>1.07903561478244</v>
      </c>
      <c r="J235" s="1680">
        <v>0.17</v>
      </c>
      <c r="K235" s="1680">
        <v>0</v>
      </c>
      <c r="L235" s="1680">
        <v>0</v>
      </c>
      <c r="N235" s="1681"/>
      <c r="O235" s="1681"/>
      <c r="P235" s="1681"/>
      <c r="Q235" s="1681"/>
      <c r="R235" s="1681"/>
      <c r="T235" s="1681"/>
      <c r="U235" s="1681"/>
      <c r="W235" s="1681">
        <f t="shared" si="29"/>
        <v>0</v>
      </c>
      <c r="X235" s="1681"/>
      <c r="Y235" s="1681">
        <f t="shared" si="30"/>
        <v>0</v>
      </c>
      <c r="Z235" s="1681"/>
      <c r="AB235" s="1682"/>
      <c r="AC235" s="1682"/>
      <c r="AE235" s="1683"/>
      <c r="AF235" s="1683"/>
      <c r="AG235" s="1683"/>
      <c r="AH235" s="1683"/>
      <c r="AI235" s="1683"/>
      <c r="AJ235" s="1683"/>
      <c r="AK235" s="1683"/>
      <c r="AL235" s="1683"/>
      <c r="AM235" s="1683"/>
      <c r="AN235" s="1683"/>
      <c r="AO235" s="1683"/>
      <c r="AP235" s="1683"/>
      <c r="AQ235" s="1683"/>
      <c r="AR235" s="1683"/>
      <c r="AS235" s="1683"/>
      <c r="AT235" s="1683"/>
      <c r="AU235" s="1683"/>
      <c r="AV235" s="1683"/>
      <c r="AW235" s="1683"/>
      <c r="AX235" s="1683"/>
      <c r="AY235" s="1683"/>
      <c r="AZ235" s="1683"/>
      <c r="BA235" s="1683"/>
      <c r="BB235" s="1683"/>
    </row>
    <row r="236" spans="1:54">
      <c r="A236" s="326">
        <f t="shared" si="31"/>
        <v>40574</v>
      </c>
      <c r="B236" s="1678">
        <v>100.9</v>
      </c>
      <c r="C236" s="1679">
        <f t="shared" si="27"/>
        <v>1.009</v>
      </c>
      <c r="D236" s="1679">
        <f>PRODUCT(C$4:C236)</f>
        <v>3.5749205795042</v>
      </c>
      <c r="F236" s="1678">
        <v>100.09</v>
      </c>
      <c r="G236" s="1679">
        <f t="shared" si="28"/>
        <v>1.0009</v>
      </c>
      <c r="H236" s="1679">
        <f>PRODUCT(G$4:G236)</f>
        <v>1.08000674683575</v>
      </c>
      <c r="J236" s="1680">
        <v>0.17</v>
      </c>
      <c r="K236" s="1680">
        <v>0</v>
      </c>
      <c r="L236" s="1680">
        <v>0</v>
      </c>
      <c r="N236" s="1681"/>
      <c r="O236" s="1681"/>
      <c r="P236" s="1681"/>
      <c r="Q236" s="1681"/>
      <c r="R236" s="1681"/>
      <c r="T236" s="1681"/>
      <c r="U236" s="1681"/>
      <c r="W236" s="1681">
        <f t="shared" si="29"/>
        <v>0</v>
      </c>
      <c r="X236" s="1681"/>
      <c r="Y236" s="1681">
        <f t="shared" si="30"/>
        <v>0</v>
      </c>
      <c r="Z236" s="1681"/>
      <c r="AB236" s="1682"/>
      <c r="AC236" s="1682"/>
      <c r="AE236" s="1683"/>
      <c r="AF236" s="1683"/>
      <c r="AG236" s="1683"/>
      <c r="AH236" s="1683"/>
      <c r="AI236" s="1683"/>
      <c r="AJ236" s="1683"/>
      <c r="AK236" s="1683"/>
      <c r="AL236" s="1683"/>
      <c r="AM236" s="1683"/>
      <c r="AN236" s="1683"/>
      <c r="AO236" s="1683"/>
      <c r="AP236" s="1683"/>
      <c r="AQ236" s="1683"/>
      <c r="AR236" s="1683"/>
      <c r="AS236" s="1683"/>
      <c r="AT236" s="1683"/>
      <c r="AU236" s="1683"/>
      <c r="AV236" s="1683"/>
      <c r="AW236" s="1683"/>
      <c r="AX236" s="1683"/>
      <c r="AY236" s="1683"/>
      <c r="AZ236" s="1683"/>
      <c r="BA236" s="1683"/>
      <c r="BB236" s="1683"/>
    </row>
    <row r="237" spans="1:54">
      <c r="A237" s="326">
        <f t="shared" si="31"/>
        <v>40602</v>
      </c>
      <c r="B237" s="1678">
        <v>100.8</v>
      </c>
      <c r="C237" s="1679">
        <f t="shared" si="27"/>
        <v>1.008</v>
      </c>
      <c r="D237" s="1679">
        <f>PRODUCT(C$4:C237)</f>
        <v>3.60351994414024</v>
      </c>
      <c r="F237" s="1678">
        <v>100.65</v>
      </c>
      <c r="G237" s="1679">
        <f t="shared" si="28"/>
        <v>1.0065</v>
      </c>
      <c r="H237" s="1679">
        <f>PRODUCT(G$4:G237)</f>
        <v>1.08702679069018</v>
      </c>
      <c r="J237" s="1680">
        <v>0.17</v>
      </c>
      <c r="K237" s="1680">
        <v>0</v>
      </c>
      <c r="L237" s="1680">
        <v>0</v>
      </c>
      <c r="N237" s="1681"/>
      <c r="O237" s="1681"/>
      <c r="P237" s="1681"/>
      <c r="Q237" s="1681"/>
      <c r="R237" s="1681"/>
      <c r="T237" s="1681"/>
      <c r="U237" s="1681"/>
      <c r="W237" s="1681">
        <f t="shared" si="29"/>
        <v>0</v>
      </c>
      <c r="X237" s="1681"/>
      <c r="Y237" s="1681">
        <f t="shared" si="30"/>
        <v>0</v>
      </c>
      <c r="Z237" s="1681"/>
      <c r="AB237" s="1682"/>
      <c r="AC237" s="1682"/>
      <c r="AE237" s="1683"/>
      <c r="AF237" s="1683"/>
      <c r="AG237" s="1683"/>
      <c r="AH237" s="1683"/>
      <c r="AI237" s="1683"/>
      <c r="AJ237" s="1683"/>
      <c r="AK237" s="1683"/>
      <c r="AL237" s="1683"/>
      <c r="AM237" s="1683"/>
      <c r="AN237" s="1683"/>
      <c r="AO237" s="1683"/>
      <c r="AP237" s="1683"/>
      <c r="AQ237" s="1683"/>
      <c r="AR237" s="1683"/>
      <c r="AS237" s="1683"/>
      <c r="AT237" s="1683"/>
      <c r="AU237" s="1683"/>
      <c r="AV237" s="1683"/>
      <c r="AW237" s="1683"/>
      <c r="AX237" s="1683"/>
      <c r="AY237" s="1683"/>
      <c r="AZ237" s="1683"/>
      <c r="BA237" s="1683"/>
      <c r="BB237" s="1683"/>
    </row>
    <row r="238" spans="1:54">
      <c r="A238" s="326">
        <f t="shared" si="31"/>
        <v>40633</v>
      </c>
      <c r="B238" s="1678">
        <v>100.6</v>
      </c>
      <c r="C238" s="1679">
        <f t="shared" si="27"/>
        <v>1.006</v>
      </c>
      <c r="D238" s="1679">
        <f>PRODUCT(C$4:C238)</f>
        <v>3.62514106380508</v>
      </c>
      <c r="F238" s="1678">
        <v>100.55</v>
      </c>
      <c r="G238" s="1679">
        <f t="shared" si="28"/>
        <v>1.0055</v>
      </c>
      <c r="H238" s="1679">
        <f>PRODUCT(G$4:G238)</f>
        <v>1.09300543803897</v>
      </c>
      <c r="J238" s="1680">
        <v>0.17</v>
      </c>
      <c r="K238" s="1680">
        <v>0</v>
      </c>
      <c r="L238" s="1680">
        <v>0</v>
      </c>
      <c r="N238" s="1681"/>
      <c r="O238" s="1681"/>
      <c r="P238" s="1681"/>
      <c r="Q238" s="1681"/>
      <c r="R238" s="1681"/>
      <c r="T238" s="1681"/>
      <c r="U238" s="1681"/>
      <c r="W238" s="1681">
        <f t="shared" si="29"/>
        <v>0</v>
      </c>
      <c r="X238" s="1681"/>
      <c r="Y238" s="1681">
        <f t="shared" si="30"/>
        <v>0</v>
      </c>
      <c r="Z238" s="1681"/>
      <c r="AB238" s="1682"/>
      <c r="AC238" s="1682"/>
      <c r="AE238" s="1683"/>
      <c r="AF238" s="1683"/>
      <c r="AG238" s="1683"/>
      <c r="AH238" s="1683"/>
      <c r="AI238" s="1683"/>
      <c r="AJ238" s="1683"/>
      <c r="AK238" s="1683"/>
      <c r="AL238" s="1683"/>
      <c r="AM238" s="1683"/>
      <c r="AN238" s="1683"/>
      <c r="AO238" s="1683"/>
      <c r="AP238" s="1683"/>
      <c r="AQ238" s="1683"/>
      <c r="AR238" s="1683"/>
      <c r="AS238" s="1683"/>
      <c r="AT238" s="1683"/>
      <c r="AU238" s="1683"/>
      <c r="AV238" s="1683"/>
      <c r="AW238" s="1683"/>
      <c r="AX238" s="1683"/>
      <c r="AY238" s="1683"/>
      <c r="AZ238" s="1683"/>
      <c r="BA238" s="1683"/>
      <c r="BB238" s="1683"/>
    </row>
    <row r="239" spans="1:54">
      <c r="A239" s="326">
        <f t="shared" si="31"/>
        <v>40663</v>
      </c>
      <c r="B239" s="1678">
        <v>100.5</v>
      </c>
      <c r="C239" s="1679">
        <f t="shared" si="27"/>
        <v>1.005</v>
      </c>
      <c r="D239" s="1679">
        <f>PRODUCT(C$4:C239)</f>
        <v>3.6432667691241</v>
      </c>
      <c r="F239" s="1678">
        <v>99.27</v>
      </c>
      <c r="G239" s="1679">
        <f t="shared" si="28"/>
        <v>0.9927</v>
      </c>
      <c r="H239" s="1679">
        <f>PRODUCT(G$4:G239)</f>
        <v>1.08502649834129</v>
      </c>
      <c r="J239" s="1680">
        <v>0.17</v>
      </c>
      <c r="K239" s="1680">
        <v>0</v>
      </c>
      <c r="L239" s="1680">
        <v>0</v>
      </c>
      <c r="N239" s="1681"/>
      <c r="O239" s="1681"/>
      <c r="P239" s="1681"/>
      <c r="Q239" s="1681"/>
      <c r="R239" s="1681"/>
      <c r="T239" s="1681"/>
      <c r="U239" s="1681"/>
      <c r="W239" s="1681">
        <f t="shared" si="29"/>
        <v>0</v>
      </c>
      <c r="X239" s="1681"/>
      <c r="Y239" s="1681">
        <f t="shared" si="30"/>
        <v>0</v>
      </c>
      <c r="Z239" s="1681"/>
      <c r="AB239" s="1682"/>
      <c r="AC239" s="1682"/>
      <c r="AE239" s="1683"/>
      <c r="AF239" s="1683"/>
      <c r="AG239" s="1683"/>
      <c r="AH239" s="1683"/>
      <c r="AI239" s="1683"/>
      <c r="AJ239" s="1683"/>
      <c r="AK239" s="1683"/>
      <c r="AL239" s="1683"/>
      <c r="AM239" s="1683"/>
      <c r="AN239" s="1683"/>
      <c r="AO239" s="1683"/>
      <c r="AP239" s="1683"/>
      <c r="AQ239" s="1683"/>
      <c r="AR239" s="1683"/>
      <c r="AS239" s="1683"/>
      <c r="AT239" s="1683"/>
      <c r="AU239" s="1683"/>
      <c r="AV239" s="1683"/>
      <c r="AW239" s="1683"/>
      <c r="AX239" s="1683"/>
      <c r="AY239" s="1683"/>
      <c r="AZ239" s="1683"/>
      <c r="BA239" s="1683"/>
      <c r="BB239" s="1683"/>
    </row>
    <row r="240" spans="1:54">
      <c r="A240" s="326">
        <f t="shared" si="31"/>
        <v>40694</v>
      </c>
      <c r="B240" s="1678">
        <v>100.3</v>
      </c>
      <c r="C240" s="1679">
        <f t="shared" si="27"/>
        <v>1.003</v>
      </c>
      <c r="D240" s="1679">
        <f>PRODUCT(C$4:C240)</f>
        <v>3.65419656943147</v>
      </c>
      <c r="F240" s="1678">
        <v>100.28</v>
      </c>
      <c r="G240" s="1679">
        <f t="shared" si="28"/>
        <v>1.0028</v>
      </c>
      <c r="H240" s="1679">
        <f>PRODUCT(G$4:G240)</f>
        <v>1.08806457253665</v>
      </c>
      <c r="J240" s="1680">
        <v>0.17</v>
      </c>
      <c r="K240" s="1680">
        <v>0</v>
      </c>
      <c r="L240" s="1680">
        <v>0</v>
      </c>
      <c r="N240" s="1681"/>
      <c r="O240" s="1681"/>
      <c r="P240" s="1681"/>
      <c r="Q240" s="1681"/>
      <c r="R240" s="1681"/>
      <c r="T240" s="1681"/>
      <c r="U240" s="1681"/>
      <c r="W240" s="1681">
        <f t="shared" si="29"/>
        <v>0</v>
      </c>
      <c r="X240" s="1681"/>
      <c r="Y240" s="1681">
        <f t="shared" si="30"/>
        <v>0</v>
      </c>
      <c r="Z240" s="1681"/>
      <c r="AB240" s="1682"/>
      <c r="AC240" s="1682"/>
      <c r="AE240" s="1683"/>
      <c r="AF240" s="1683"/>
      <c r="AG240" s="1683"/>
      <c r="AH240" s="1683"/>
      <c r="AI240" s="1683"/>
      <c r="AJ240" s="1683"/>
      <c r="AK240" s="1683"/>
      <c r="AL240" s="1683"/>
      <c r="AM240" s="1683"/>
      <c r="AN240" s="1683"/>
      <c r="AO240" s="1683"/>
      <c r="AP240" s="1683"/>
      <c r="AQ240" s="1683"/>
      <c r="AR240" s="1683"/>
      <c r="AS240" s="1683"/>
      <c r="AT240" s="1683"/>
      <c r="AU240" s="1683"/>
      <c r="AV240" s="1683"/>
      <c r="AW240" s="1683"/>
      <c r="AX240" s="1683"/>
      <c r="AY240" s="1683"/>
      <c r="AZ240" s="1683"/>
      <c r="BA240" s="1683"/>
      <c r="BB240" s="1683"/>
    </row>
    <row r="241" spans="1:54">
      <c r="A241" s="326">
        <f t="shared" si="31"/>
        <v>40724</v>
      </c>
      <c r="B241" s="1678">
        <v>100</v>
      </c>
      <c r="C241" s="1679">
        <f t="shared" si="27"/>
        <v>1</v>
      </c>
      <c r="D241" s="1679">
        <f>PRODUCT(C$4:C241)</f>
        <v>3.65419656943147</v>
      </c>
      <c r="F241" s="1678">
        <v>100.64</v>
      </c>
      <c r="G241" s="1679">
        <f t="shared" si="28"/>
        <v>1.0064</v>
      </c>
      <c r="H241" s="1679">
        <f>PRODUCT(G$4:G241)</f>
        <v>1.09502818580088</v>
      </c>
      <c r="J241" s="1680">
        <v>0.17</v>
      </c>
      <c r="K241" s="1680">
        <v>0</v>
      </c>
      <c r="L241" s="1680">
        <v>0</v>
      </c>
      <c r="N241" s="1681"/>
      <c r="O241" s="1681"/>
      <c r="P241" s="1681"/>
      <c r="Q241" s="1681"/>
      <c r="R241" s="1681"/>
      <c r="T241" s="1681"/>
      <c r="U241" s="1681"/>
      <c r="W241" s="1681">
        <f t="shared" si="29"/>
        <v>0</v>
      </c>
      <c r="X241" s="1681"/>
      <c r="Y241" s="1681">
        <f t="shared" si="30"/>
        <v>0</v>
      </c>
      <c r="Z241" s="1681"/>
      <c r="AB241" s="1682"/>
      <c r="AC241" s="1682"/>
      <c r="AE241" s="1683"/>
      <c r="AF241" s="1683"/>
      <c r="AG241" s="1683"/>
      <c r="AH241" s="1683"/>
      <c r="AI241" s="1683"/>
      <c r="AJ241" s="1683"/>
      <c r="AK241" s="1683"/>
      <c r="AL241" s="1683"/>
      <c r="AM241" s="1683"/>
      <c r="AN241" s="1683"/>
      <c r="AO241" s="1683"/>
      <c r="AP241" s="1683"/>
      <c r="AQ241" s="1683"/>
      <c r="AR241" s="1683"/>
      <c r="AS241" s="1683"/>
      <c r="AT241" s="1683"/>
      <c r="AU241" s="1683"/>
      <c r="AV241" s="1683"/>
      <c r="AW241" s="1683"/>
      <c r="AX241" s="1683"/>
      <c r="AY241" s="1683"/>
      <c r="AZ241" s="1683"/>
      <c r="BA241" s="1683"/>
      <c r="BB241" s="1683"/>
    </row>
    <row r="242" spans="1:54">
      <c r="A242" s="326">
        <f t="shared" si="31"/>
        <v>40755</v>
      </c>
      <c r="B242" s="1678">
        <v>100</v>
      </c>
      <c r="C242" s="1679">
        <f t="shared" si="27"/>
        <v>1</v>
      </c>
      <c r="D242" s="1679">
        <f>PRODUCT(C$4:C242)</f>
        <v>3.65419656943147</v>
      </c>
      <c r="F242" s="1678">
        <v>100.18</v>
      </c>
      <c r="G242" s="1679">
        <f t="shared" si="28"/>
        <v>1.0018</v>
      </c>
      <c r="H242" s="1679">
        <f>PRODUCT(G$4:G242)</f>
        <v>1.09699923653532</v>
      </c>
      <c r="J242" s="1680">
        <v>0.17</v>
      </c>
      <c r="K242" s="1680">
        <v>0</v>
      </c>
      <c r="L242" s="1680">
        <v>0</v>
      </c>
      <c r="N242" s="1681"/>
      <c r="O242" s="1681"/>
      <c r="P242" s="1681"/>
      <c r="Q242" s="1681"/>
      <c r="R242" s="1681"/>
      <c r="T242" s="1681"/>
      <c r="U242" s="1681"/>
      <c r="W242" s="1681">
        <f t="shared" si="29"/>
        <v>0</v>
      </c>
      <c r="X242" s="1681"/>
      <c r="Y242" s="1681">
        <f t="shared" si="30"/>
        <v>0</v>
      </c>
      <c r="Z242" s="1681"/>
      <c r="AB242" s="1682"/>
      <c r="AC242" s="1682"/>
      <c r="AE242" s="1683"/>
      <c r="AF242" s="1683"/>
      <c r="AG242" s="1683"/>
      <c r="AH242" s="1683"/>
      <c r="AI242" s="1683"/>
      <c r="AJ242" s="1683"/>
      <c r="AK242" s="1683"/>
      <c r="AL242" s="1683"/>
      <c r="AM242" s="1683"/>
      <c r="AN242" s="1683"/>
      <c r="AO242" s="1683"/>
      <c r="AP242" s="1683"/>
      <c r="AQ242" s="1683"/>
      <c r="AR242" s="1683"/>
      <c r="AS242" s="1683"/>
      <c r="AT242" s="1683"/>
      <c r="AU242" s="1683"/>
      <c r="AV242" s="1683"/>
      <c r="AW242" s="1683"/>
      <c r="AX242" s="1683"/>
      <c r="AY242" s="1683"/>
      <c r="AZ242" s="1683"/>
      <c r="BA242" s="1683"/>
      <c r="BB242" s="1683"/>
    </row>
    <row r="243" spans="1:54">
      <c r="A243" s="326">
        <f t="shared" si="31"/>
        <v>40786</v>
      </c>
      <c r="B243" s="1678">
        <v>100.1</v>
      </c>
      <c r="C243" s="1679">
        <f t="shared" si="27"/>
        <v>1.001</v>
      </c>
      <c r="D243" s="1679">
        <f>PRODUCT(C$4:C243)</f>
        <v>3.65785076600091</v>
      </c>
      <c r="F243" s="1678">
        <v>99.27</v>
      </c>
      <c r="G243" s="1679">
        <f t="shared" si="28"/>
        <v>0.9927</v>
      </c>
      <c r="H243" s="1679">
        <f>PRODUCT(G$4:G243)</f>
        <v>1.08899114210861</v>
      </c>
      <c r="J243" s="1680">
        <v>0.17</v>
      </c>
      <c r="K243" s="1680">
        <v>0</v>
      </c>
      <c r="L243" s="1680">
        <v>0</v>
      </c>
      <c r="N243" s="1681"/>
      <c r="O243" s="1681"/>
      <c r="P243" s="1681"/>
      <c r="Q243" s="1681"/>
      <c r="R243" s="1681"/>
      <c r="T243" s="1681"/>
      <c r="U243" s="1681"/>
      <c r="W243" s="1681">
        <f t="shared" si="29"/>
        <v>0</v>
      </c>
      <c r="X243" s="1681"/>
      <c r="Y243" s="1681">
        <f t="shared" si="30"/>
        <v>0</v>
      </c>
      <c r="Z243" s="1681"/>
      <c r="AB243" s="1682"/>
      <c r="AC243" s="1682"/>
      <c r="AE243" s="1683"/>
      <c r="AF243" s="1683"/>
      <c r="AG243" s="1683"/>
      <c r="AH243" s="1683"/>
      <c r="AI243" s="1683"/>
      <c r="AJ243" s="1683"/>
      <c r="AK243" s="1683"/>
      <c r="AL243" s="1683"/>
      <c r="AM243" s="1683"/>
      <c r="AN243" s="1683"/>
      <c r="AO243" s="1683"/>
      <c r="AP243" s="1683"/>
      <c r="AQ243" s="1683"/>
      <c r="AR243" s="1683"/>
      <c r="AS243" s="1683"/>
      <c r="AT243" s="1683"/>
      <c r="AU243" s="1683"/>
      <c r="AV243" s="1683"/>
      <c r="AW243" s="1683"/>
      <c r="AX243" s="1683"/>
      <c r="AY243" s="1683"/>
      <c r="AZ243" s="1683"/>
      <c r="BA243" s="1683"/>
      <c r="BB243" s="1683"/>
    </row>
    <row r="244" spans="1:54">
      <c r="A244" s="326">
        <f t="shared" si="31"/>
        <v>40816</v>
      </c>
      <c r="B244" s="1678">
        <v>100</v>
      </c>
      <c r="C244" s="1679">
        <f t="shared" si="27"/>
        <v>1</v>
      </c>
      <c r="D244" s="1679">
        <f>PRODUCT(C$4:C244)</f>
        <v>3.65785076600091</v>
      </c>
      <c r="F244" s="1678">
        <v>99.54</v>
      </c>
      <c r="G244" s="1679">
        <f t="shared" si="28"/>
        <v>0.9954</v>
      </c>
      <c r="H244" s="1679">
        <f>PRODUCT(G$4:G244)</f>
        <v>1.08398178285491</v>
      </c>
      <c r="J244" s="1680">
        <v>0.17</v>
      </c>
      <c r="K244" s="1680">
        <v>0</v>
      </c>
      <c r="L244" s="1680">
        <v>0</v>
      </c>
      <c r="N244" s="1681"/>
      <c r="O244" s="1681"/>
      <c r="P244" s="1681"/>
      <c r="Q244" s="1681"/>
      <c r="R244" s="1681"/>
      <c r="T244" s="1681"/>
      <c r="U244" s="1681"/>
      <c r="W244" s="1681">
        <f t="shared" si="29"/>
        <v>0</v>
      </c>
      <c r="X244" s="1681"/>
      <c r="Y244" s="1681">
        <f t="shared" si="30"/>
        <v>0</v>
      </c>
      <c r="Z244" s="1681"/>
      <c r="AB244" s="1682"/>
      <c r="AC244" s="1682"/>
      <c r="AE244" s="1683"/>
      <c r="AF244" s="1683"/>
      <c r="AG244" s="1683"/>
      <c r="AH244" s="1683"/>
      <c r="AI244" s="1683"/>
      <c r="AJ244" s="1683"/>
      <c r="AK244" s="1683"/>
      <c r="AL244" s="1683"/>
      <c r="AM244" s="1683"/>
      <c r="AN244" s="1683"/>
      <c r="AO244" s="1683"/>
      <c r="AP244" s="1683"/>
      <c r="AQ244" s="1683"/>
      <c r="AR244" s="1683"/>
      <c r="AS244" s="1683"/>
      <c r="AT244" s="1683"/>
      <c r="AU244" s="1683"/>
      <c r="AV244" s="1683"/>
      <c r="AW244" s="1683"/>
      <c r="AX244" s="1683"/>
      <c r="AY244" s="1683"/>
      <c r="AZ244" s="1683"/>
      <c r="BA244" s="1683"/>
      <c r="BB244" s="1683"/>
    </row>
    <row r="245" spans="1:54">
      <c r="A245" s="326">
        <f t="shared" si="31"/>
        <v>40847</v>
      </c>
      <c r="B245" s="1678">
        <v>99.3</v>
      </c>
      <c r="C245" s="1679">
        <f t="shared" si="27"/>
        <v>0.993</v>
      </c>
      <c r="D245" s="1679">
        <f>PRODUCT(C$4:C245)</f>
        <v>3.6322458106389</v>
      </c>
      <c r="F245" s="1678">
        <v>97.66</v>
      </c>
      <c r="G245" s="1679">
        <f t="shared" si="28"/>
        <v>0.9766</v>
      </c>
      <c r="H245" s="1679">
        <f>PRODUCT(G$4:G245)</f>
        <v>1.05861660913611</v>
      </c>
      <c r="J245" s="1680">
        <v>0.17</v>
      </c>
      <c r="K245" s="1680">
        <v>0</v>
      </c>
      <c r="L245" s="1680">
        <v>0</v>
      </c>
      <c r="N245" s="1681"/>
      <c r="O245" s="1681"/>
      <c r="P245" s="1681"/>
      <c r="Q245" s="1681"/>
      <c r="R245" s="1681"/>
      <c r="T245" s="1681"/>
      <c r="U245" s="1681"/>
      <c r="W245" s="1681">
        <f t="shared" si="29"/>
        <v>0</v>
      </c>
      <c r="X245" s="1681"/>
      <c r="Y245" s="1681">
        <f t="shared" si="30"/>
        <v>0</v>
      </c>
      <c r="Z245" s="1681"/>
      <c r="AB245" s="1682"/>
      <c r="AC245" s="1682"/>
      <c r="AE245" s="1683"/>
      <c r="AF245" s="1683"/>
      <c r="AG245" s="1683"/>
      <c r="AH245" s="1683"/>
      <c r="AI245" s="1683"/>
      <c r="AJ245" s="1683"/>
      <c r="AK245" s="1683"/>
      <c r="AL245" s="1683"/>
      <c r="AM245" s="1683"/>
      <c r="AN245" s="1683"/>
      <c r="AO245" s="1683"/>
      <c r="AP245" s="1683"/>
      <c r="AQ245" s="1683"/>
      <c r="AR245" s="1683"/>
      <c r="AS245" s="1683"/>
      <c r="AT245" s="1683"/>
      <c r="AU245" s="1683"/>
      <c r="AV245" s="1683"/>
      <c r="AW245" s="1683"/>
      <c r="AX245" s="1683"/>
      <c r="AY245" s="1683"/>
      <c r="AZ245" s="1683"/>
      <c r="BA245" s="1683"/>
      <c r="BB245" s="1683"/>
    </row>
    <row r="246" spans="1:54">
      <c r="A246" s="326">
        <f t="shared" si="31"/>
        <v>40877</v>
      </c>
      <c r="B246" s="1678">
        <v>99.3</v>
      </c>
      <c r="C246" s="1679">
        <f t="shared" si="27"/>
        <v>0.993</v>
      </c>
      <c r="D246" s="1679">
        <f>PRODUCT(C$4:C246)</f>
        <v>3.60682008996443</v>
      </c>
      <c r="F246" s="1678">
        <v>97.48</v>
      </c>
      <c r="G246" s="1679">
        <f t="shared" si="28"/>
        <v>0.9748</v>
      </c>
      <c r="H246" s="1679">
        <f>PRODUCT(G$4:G246)</f>
        <v>1.03193947058588</v>
      </c>
      <c r="J246" s="1680">
        <v>0.17</v>
      </c>
      <c r="K246" s="1680">
        <v>0</v>
      </c>
      <c r="L246" s="1680">
        <v>0</v>
      </c>
      <c r="N246" s="1681"/>
      <c r="O246" s="1681"/>
      <c r="P246" s="1681"/>
      <c r="Q246" s="1681"/>
      <c r="R246" s="1681"/>
      <c r="T246" s="1681"/>
      <c r="U246" s="1681"/>
      <c r="W246" s="1681">
        <f t="shared" si="29"/>
        <v>0</v>
      </c>
      <c r="X246" s="1681"/>
      <c r="Y246" s="1681">
        <f t="shared" si="30"/>
        <v>0</v>
      </c>
      <c r="Z246" s="1681"/>
      <c r="AB246" s="1682"/>
      <c r="AC246" s="1682"/>
      <c r="AE246" s="1683"/>
      <c r="AF246" s="1683"/>
      <c r="AG246" s="1683"/>
      <c r="AH246" s="1683"/>
      <c r="AI246" s="1683"/>
      <c r="AJ246" s="1683"/>
      <c r="AK246" s="1683"/>
      <c r="AL246" s="1683"/>
      <c r="AM246" s="1683"/>
      <c r="AN246" s="1683"/>
      <c r="AO246" s="1683"/>
      <c r="AP246" s="1683"/>
      <c r="AQ246" s="1683"/>
      <c r="AR246" s="1683"/>
      <c r="AS246" s="1683"/>
      <c r="AT246" s="1683"/>
      <c r="AU246" s="1683"/>
      <c r="AV246" s="1683"/>
      <c r="AW246" s="1683"/>
      <c r="AX246" s="1683"/>
      <c r="AY246" s="1683"/>
      <c r="AZ246" s="1683"/>
      <c r="BA246" s="1683"/>
      <c r="BB246" s="1683"/>
    </row>
    <row r="247" spans="1:54">
      <c r="A247" s="326">
        <f t="shared" si="31"/>
        <v>40908</v>
      </c>
      <c r="B247" s="1678">
        <v>99.7</v>
      </c>
      <c r="C247" s="1679">
        <f t="shared" si="27"/>
        <v>0.997</v>
      </c>
      <c r="D247" s="1679">
        <f>PRODUCT(C$4:C247)</f>
        <v>3.59599962969453</v>
      </c>
      <c r="F247" s="1678">
        <v>99.1</v>
      </c>
      <c r="G247" s="1679">
        <f t="shared" si="28"/>
        <v>0.991</v>
      </c>
      <c r="H247" s="1679">
        <f>PRODUCT(G$4:G247)</f>
        <v>1.02265201535061</v>
      </c>
      <c r="J247" s="1680">
        <v>0.17</v>
      </c>
      <c r="K247" s="1680">
        <v>0</v>
      </c>
      <c r="L247" s="1680">
        <v>0</v>
      </c>
      <c r="N247" s="1681"/>
      <c r="O247" s="1681"/>
      <c r="P247" s="1681"/>
      <c r="Q247" s="1681"/>
      <c r="R247" s="1681"/>
      <c r="T247" s="1681"/>
      <c r="U247" s="1681"/>
      <c r="W247" s="1681">
        <f t="shared" si="29"/>
        <v>0</v>
      </c>
      <c r="X247" s="1681"/>
      <c r="Y247" s="1681">
        <f t="shared" si="30"/>
        <v>0</v>
      </c>
      <c r="Z247" s="1681"/>
      <c r="AB247" s="1682"/>
      <c r="AC247" s="1682"/>
      <c r="AE247" s="1683"/>
      <c r="AF247" s="1683"/>
      <c r="AG247" s="1683"/>
      <c r="AH247" s="1683"/>
      <c r="AI247" s="1683"/>
      <c r="AJ247" s="1683"/>
      <c r="AK247" s="1683"/>
      <c r="AL247" s="1683"/>
      <c r="AM247" s="1683"/>
      <c r="AN247" s="1683"/>
      <c r="AO247" s="1683"/>
      <c r="AP247" s="1683"/>
      <c r="AQ247" s="1683"/>
      <c r="AR247" s="1683"/>
      <c r="AS247" s="1683"/>
      <c r="AT247" s="1683"/>
      <c r="AU247" s="1683"/>
      <c r="AV247" s="1683"/>
      <c r="AW247" s="1683"/>
      <c r="AX247" s="1683"/>
      <c r="AY247" s="1683"/>
      <c r="AZ247" s="1683"/>
      <c r="BA247" s="1683"/>
      <c r="BB247" s="1683"/>
    </row>
    <row r="248" spans="1:54">
      <c r="A248" s="326">
        <f t="shared" si="31"/>
        <v>40939</v>
      </c>
      <c r="B248" s="1678">
        <v>99.9</v>
      </c>
      <c r="C248" s="1679">
        <f t="shared" si="27"/>
        <v>0.999</v>
      </c>
      <c r="D248" s="1679">
        <f>PRODUCT(C$4:C248)</f>
        <v>3.59240363006484</v>
      </c>
      <c r="F248" s="1678">
        <v>99.05</v>
      </c>
      <c r="G248" s="1679">
        <f t="shared" si="28"/>
        <v>0.9905</v>
      </c>
      <c r="H248" s="1679">
        <f>PRODUCT(G$4:G248)</f>
        <v>1.01293682120478</v>
      </c>
      <c r="J248" s="1680">
        <v>0.17</v>
      </c>
      <c r="K248" s="1680">
        <v>0</v>
      </c>
      <c r="L248" s="1680">
        <v>0</v>
      </c>
      <c r="N248" s="1681"/>
      <c r="O248" s="1681"/>
      <c r="P248" s="1681"/>
      <c r="Q248" s="1681"/>
      <c r="R248" s="1681"/>
      <c r="T248" s="1681"/>
      <c r="U248" s="1681"/>
      <c r="W248" s="1681">
        <f t="shared" si="29"/>
        <v>0</v>
      </c>
      <c r="X248" s="1681"/>
      <c r="Y248" s="1681">
        <f t="shared" si="30"/>
        <v>0</v>
      </c>
      <c r="Z248" s="1681"/>
      <c r="AB248" s="1682"/>
      <c r="AC248" s="1682"/>
      <c r="AE248" s="1683"/>
      <c r="AF248" s="1683"/>
      <c r="AG248" s="1683"/>
      <c r="AH248" s="1683"/>
      <c r="AI248" s="1683"/>
      <c r="AJ248" s="1683"/>
      <c r="AK248" s="1683"/>
      <c r="AL248" s="1683"/>
      <c r="AM248" s="1683"/>
      <c r="AN248" s="1683"/>
      <c r="AO248" s="1683"/>
      <c r="AP248" s="1683"/>
      <c r="AQ248" s="1683"/>
      <c r="AR248" s="1683"/>
      <c r="AS248" s="1683"/>
      <c r="AT248" s="1683"/>
      <c r="AU248" s="1683"/>
      <c r="AV248" s="1683"/>
      <c r="AW248" s="1683"/>
      <c r="AX248" s="1683"/>
      <c r="AY248" s="1683"/>
      <c r="AZ248" s="1683"/>
      <c r="BA248" s="1683"/>
      <c r="BB248" s="1683"/>
    </row>
    <row r="249" spans="1:54">
      <c r="A249" s="326">
        <f t="shared" si="31"/>
        <v>40968</v>
      </c>
      <c r="B249" s="1678">
        <v>100.1</v>
      </c>
      <c r="C249" s="1679">
        <f t="shared" si="27"/>
        <v>1.001</v>
      </c>
      <c r="D249" s="1679">
        <f>PRODUCT(C$4:C249)</f>
        <v>3.5959960336949</v>
      </c>
      <c r="F249" s="1678">
        <v>99.31</v>
      </c>
      <c r="G249" s="1679">
        <f t="shared" si="28"/>
        <v>0.9931</v>
      </c>
      <c r="H249" s="1679">
        <f>PRODUCT(G$4:G249)</f>
        <v>1.00594755713846</v>
      </c>
      <c r="J249" s="1680">
        <v>0.17</v>
      </c>
      <c r="K249" s="1680">
        <v>0</v>
      </c>
      <c r="L249" s="1680">
        <v>0</v>
      </c>
      <c r="N249" s="1681"/>
      <c r="O249" s="1681"/>
      <c r="P249" s="1681"/>
      <c r="Q249" s="1681"/>
      <c r="R249" s="1681"/>
      <c r="T249" s="1681"/>
      <c r="U249" s="1681"/>
      <c r="W249" s="1681">
        <f t="shared" si="29"/>
        <v>0</v>
      </c>
      <c r="X249" s="1681"/>
      <c r="Y249" s="1681">
        <f t="shared" si="30"/>
        <v>0</v>
      </c>
      <c r="Z249" s="1681"/>
      <c r="AB249" s="1682"/>
      <c r="AC249" s="1682"/>
      <c r="AE249" s="1683"/>
      <c r="AF249" s="1683"/>
      <c r="AG249" s="1683"/>
      <c r="AH249" s="1683"/>
      <c r="AI249" s="1683"/>
      <c r="AJ249" s="1683"/>
      <c r="AK249" s="1683"/>
      <c r="AL249" s="1683"/>
      <c r="AM249" s="1683"/>
      <c r="AN249" s="1683"/>
      <c r="AO249" s="1683"/>
      <c r="AP249" s="1683"/>
      <c r="AQ249" s="1683"/>
      <c r="AR249" s="1683"/>
      <c r="AS249" s="1683"/>
      <c r="AT249" s="1683"/>
      <c r="AU249" s="1683"/>
      <c r="AV249" s="1683"/>
      <c r="AW249" s="1683"/>
      <c r="AX249" s="1683"/>
      <c r="AY249" s="1683"/>
      <c r="AZ249" s="1683"/>
      <c r="BA249" s="1683"/>
      <c r="BB249" s="1683"/>
    </row>
    <row r="250" spans="1:54">
      <c r="A250" s="326">
        <f t="shared" si="31"/>
        <v>40999</v>
      </c>
      <c r="B250" s="1678">
        <v>100.3</v>
      </c>
      <c r="C250" s="1679">
        <f t="shared" si="27"/>
        <v>1.003</v>
      </c>
      <c r="D250" s="1679">
        <f>PRODUCT(C$4:C250)</f>
        <v>3.60678402179599</v>
      </c>
      <c r="F250" s="1678">
        <v>99.7</v>
      </c>
      <c r="G250" s="1679">
        <f t="shared" si="28"/>
        <v>0.997</v>
      </c>
      <c r="H250" s="1679">
        <f>PRODUCT(G$4:G250)</f>
        <v>1.00292971446705</v>
      </c>
      <c r="J250" s="1680">
        <v>0.17</v>
      </c>
      <c r="K250" s="1680">
        <v>0</v>
      </c>
      <c r="L250" s="1680">
        <v>0</v>
      </c>
      <c r="N250" s="1681"/>
      <c r="O250" s="1681"/>
      <c r="P250" s="1681"/>
      <c r="Q250" s="1681"/>
      <c r="R250" s="1681"/>
      <c r="T250" s="1681"/>
      <c r="U250" s="1681"/>
      <c r="W250" s="1681">
        <f t="shared" si="29"/>
        <v>0</v>
      </c>
      <c r="X250" s="1681"/>
      <c r="Y250" s="1681">
        <f t="shared" si="30"/>
        <v>0</v>
      </c>
      <c r="Z250" s="1681"/>
      <c r="AB250" s="1682"/>
      <c r="AC250" s="1682"/>
      <c r="AE250" s="1683"/>
      <c r="AF250" s="1683"/>
      <c r="AG250" s="1683"/>
      <c r="AH250" s="1683"/>
      <c r="AI250" s="1683"/>
      <c r="AJ250" s="1683"/>
      <c r="AK250" s="1683"/>
      <c r="AL250" s="1683"/>
      <c r="AM250" s="1683"/>
      <c r="AN250" s="1683"/>
      <c r="AO250" s="1683"/>
      <c r="AP250" s="1683"/>
      <c r="AQ250" s="1683"/>
      <c r="AR250" s="1683"/>
      <c r="AS250" s="1683"/>
      <c r="AT250" s="1683"/>
      <c r="AU250" s="1683"/>
      <c r="AV250" s="1683"/>
      <c r="AW250" s="1683"/>
      <c r="AX250" s="1683"/>
      <c r="AY250" s="1683"/>
      <c r="AZ250" s="1683"/>
      <c r="BA250" s="1683"/>
      <c r="BB250" s="1683"/>
    </row>
    <row r="251" spans="1:54">
      <c r="A251" s="326">
        <f t="shared" si="31"/>
        <v>41029</v>
      </c>
      <c r="B251" s="1678">
        <v>100.2</v>
      </c>
      <c r="C251" s="1679">
        <f t="shared" si="27"/>
        <v>1.002</v>
      </c>
      <c r="D251" s="1679">
        <f>PRODUCT(C$4:C251)</f>
        <v>3.61399758983958</v>
      </c>
      <c r="F251" s="1678">
        <v>99.6</v>
      </c>
      <c r="G251" s="1679">
        <f t="shared" si="28"/>
        <v>0.996</v>
      </c>
      <c r="H251" s="1679">
        <f>PRODUCT(G$4:G251)</f>
        <v>0.998917995609179</v>
      </c>
      <c r="J251" s="1680">
        <v>0.17</v>
      </c>
      <c r="K251" s="1680">
        <v>0</v>
      </c>
      <c r="L251" s="1680">
        <v>0</v>
      </c>
      <c r="N251" s="1681"/>
      <c r="O251" s="1681"/>
      <c r="P251" s="1681"/>
      <c r="Q251" s="1681"/>
      <c r="R251" s="1681"/>
      <c r="T251" s="1681"/>
      <c r="U251" s="1681"/>
      <c r="W251" s="1681">
        <f t="shared" si="29"/>
        <v>0</v>
      </c>
      <c r="X251" s="1681"/>
      <c r="Y251" s="1681">
        <f t="shared" si="30"/>
        <v>0</v>
      </c>
      <c r="Z251" s="1681"/>
      <c r="AB251" s="1682"/>
      <c r="AC251" s="1682"/>
      <c r="AE251" s="1683"/>
      <c r="AF251" s="1683"/>
      <c r="AG251" s="1683"/>
      <c r="AH251" s="1683"/>
      <c r="AI251" s="1683"/>
      <c r="AJ251" s="1683"/>
      <c r="AK251" s="1683"/>
      <c r="AL251" s="1683"/>
      <c r="AM251" s="1683"/>
      <c r="AN251" s="1683"/>
      <c r="AO251" s="1683"/>
      <c r="AP251" s="1683"/>
      <c r="AQ251" s="1683"/>
      <c r="AR251" s="1683"/>
      <c r="AS251" s="1683"/>
      <c r="AT251" s="1683"/>
      <c r="AU251" s="1683"/>
      <c r="AV251" s="1683"/>
      <c r="AW251" s="1683"/>
      <c r="AX251" s="1683"/>
      <c r="AY251" s="1683"/>
      <c r="AZ251" s="1683"/>
      <c r="BA251" s="1683"/>
      <c r="BB251" s="1683"/>
    </row>
    <row r="252" spans="1:54">
      <c r="A252" s="326">
        <f t="shared" si="31"/>
        <v>41060</v>
      </c>
      <c r="B252" s="1678">
        <v>99.6</v>
      </c>
      <c r="C252" s="1679">
        <f t="shared" si="27"/>
        <v>0.996</v>
      </c>
      <c r="D252" s="1679">
        <f>PRODUCT(C$4:C252)</f>
        <v>3.59954159948022</v>
      </c>
      <c r="F252" s="1678">
        <v>99</v>
      </c>
      <c r="G252" s="1679">
        <f t="shared" si="28"/>
        <v>0.99</v>
      </c>
      <c r="H252" s="1679">
        <f>PRODUCT(G$4:G252)</f>
        <v>0.988928815653087</v>
      </c>
      <c r="J252" s="1680">
        <v>0.17</v>
      </c>
      <c r="K252" s="1680">
        <v>0</v>
      </c>
      <c r="L252" s="1680">
        <v>0</v>
      </c>
      <c r="N252" s="1681"/>
      <c r="O252" s="1681"/>
      <c r="P252" s="1681"/>
      <c r="Q252" s="1681"/>
      <c r="R252" s="1681"/>
      <c r="T252" s="1681"/>
      <c r="U252" s="1681"/>
      <c r="W252" s="1681">
        <f t="shared" si="29"/>
        <v>0</v>
      </c>
      <c r="X252" s="1681"/>
      <c r="Y252" s="1681">
        <f t="shared" si="30"/>
        <v>0</v>
      </c>
      <c r="Z252" s="1681"/>
      <c r="AB252" s="1682"/>
      <c r="AC252" s="1682"/>
      <c r="AE252" s="1683"/>
      <c r="AF252" s="1683"/>
      <c r="AG252" s="1683"/>
      <c r="AH252" s="1683"/>
      <c r="AI252" s="1683"/>
      <c r="AJ252" s="1683"/>
      <c r="AK252" s="1683"/>
      <c r="AL252" s="1683"/>
      <c r="AM252" s="1683"/>
      <c r="AN252" s="1683"/>
      <c r="AO252" s="1683"/>
      <c r="AP252" s="1683"/>
      <c r="AQ252" s="1683"/>
      <c r="AR252" s="1683"/>
      <c r="AS252" s="1683"/>
      <c r="AT252" s="1683"/>
      <c r="AU252" s="1683"/>
      <c r="AV252" s="1683"/>
      <c r="AW252" s="1683"/>
      <c r="AX252" s="1683"/>
      <c r="AY252" s="1683"/>
      <c r="AZ252" s="1683"/>
      <c r="BA252" s="1683"/>
      <c r="BB252" s="1683"/>
    </row>
    <row r="253" spans="1:54">
      <c r="A253" s="326">
        <f t="shared" si="31"/>
        <v>41090</v>
      </c>
      <c r="B253" s="1678">
        <v>99.3</v>
      </c>
      <c r="C253" s="1679">
        <f t="shared" si="27"/>
        <v>0.993</v>
      </c>
      <c r="D253" s="1679">
        <f>PRODUCT(C$4:C253)</f>
        <v>3.57434480828386</v>
      </c>
      <c r="F253" s="1678">
        <v>98.58</v>
      </c>
      <c r="G253" s="1679">
        <f t="shared" si="28"/>
        <v>0.9858</v>
      </c>
      <c r="H253" s="1679">
        <f>PRODUCT(G$4:G253)</f>
        <v>0.974886026470813</v>
      </c>
      <c r="J253" s="1680">
        <v>0.17</v>
      </c>
      <c r="K253" s="1680">
        <v>0</v>
      </c>
      <c r="L253" s="1680">
        <v>0</v>
      </c>
      <c r="N253" s="1681"/>
      <c r="O253" s="1681"/>
      <c r="P253" s="1681"/>
      <c r="Q253" s="1681"/>
      <c r="R253" s="1681"/>
      <c r="T253" s="1681"/>
      <c r="U253" s="1681"/>
      <c r="W253" s="1681">
        <f t="shared" si="29"/>
        <v>0</v>
      </c>
      <c r="X253" s="1681"/>
      <c r="Y253" s="1681">
        <f t="shared" si="30"/>
        <v>0</v>
      </c>
      <c r="Z253" s="1681"/>
      <c r="AB253" s="1682"/>
      <c r="AC253" s="1682"/>
      <c r="AE253" s="1683"/>
      <c r="AF253" s="1683"/>
      <c r="AG253" s="1683"/>
      <c r="AH253" s="1683"/>
      <c r="AI253" s="1683"/>
      <c r="AJ253" s="1683"/>
      <c r="AK253" s="1683"/>
      <c r="AL253" s="1683"/>
      <c r="AM253" s="1683"/>
      <c r="AN253" s="1683"/>
      <c r="AO253" s="1683"/>
      <c r="AP253" s="1683"/>
      <c r="AQ253" s="1683"/>
      <c r="AR253" s="1683"/>
      <c r="AS253" s="1683"/>
      <c r="AT253" s="1683"/>
      <c r="AU253" s="1683"/>
      <c r="AV253" s="1683"/>
      <c r="AW253" s="1683"/>
      <c r="AX253" s="1683"/>
      <c r="AY253" s="1683"/>
      <c r="AZ253" s="1683"/>
      <c r="BA253" s="1683"/>
      <c r="BB253" s="1683"/>
    </row>
    <row r="254" spans="1:54">
      <c r="A254" s="326">
        <f t="shared" si="31"/>
        <v>41121</v>
      </c>
      <c r="B254" s="1678">
        <v>99.2</v>
      </c>
      <c r="C254" s="1679">
        <f t="shared" si="27"/>
        <v>0.992</v>
      </c>
      <c r="D254" s="1679">
        <f>PRODUCT(C$4:C254)</f>
        <v>3.54575004981759</v>
      </c>
      <c r="F254" s="1678">
        <v>98.77</v>
      </c>
      <c r="G254" s="1679">
        <f t="shared" si="28"/>
        <v>0.9877</v>
      </c>
      <c r="H254" s="1679">
        <f>PRODUCT(G$4:G254)</f>
        <v>0.962894928345222</v>
      </c>
      <c r="J254" s="1680">
        <v>0.17</v>
      </c>
      <c r="K254" s="1680">
        <v>0</v>
      </c>
      <c r="L254" s="1680">
        <v>0</v>
      </c>
      <c r="N254" s="1681"/>
      <c r="O254" s="1681"/>
      <c r="P254" s="1681"/>
      <c r="Q254" s="1681"/>
      <c r="R254" s="1681"/>
      <c r="T254" s="1681"/>
      <c r="U254" s="1681"/>
      <c r="W254" s="1681">
        <f t="shared" si="29"/>
        <v>0</v>
      </c>
      <c r="X254" s="1681"/>
      <c r="Y254" s="1681">
        <f t="shared" si="30"/>
        <v>0</v>
      </c>
      <c r="Z254" s="1681"/>
      <c r="AB254" s="1682"/>
      <c r="AC254" s="1682"/>
      <c r="AE254" s="1683"/>
      <c r="AF254" s="1683"/>
      <c r="AG254" s="1683"/>
      <c r="AH254" s="1683"/>
      <c r="AI254" s="1683"/>
      <c r="AJ254" s="1683"/>
      <c r="AK254" s="1683"/>
      <c r="AL254" s="1683"/>
      <c r="AM254" s="1683"/>
      <c r="AN254" s="1683"/>
      <c r="AO254" s="1683"/>
      <c r="AP254" s="1683"/>
      <c r="AQ254" s="1683"/>
      <c r="AR254" s="1683"/>
      <c r="AS254" s="1683"/>
      <c r="AT254" s="1683"/>
      <c r="AU254" s="1683"/>
      <c r="AV254" s="1683"/>
      <c r="AW254" s="1683"/>
      <c r="AX254" s="1683"/>
      <c r="AY254" s="1683"/>
      <c r="AZ254" s="1683"/>
      <c r="BA254" s="1683"/>
      <c r="BB254" s="1683"/>
    </row>
    <row r="255" spans="1:54">
      <c r="A255" s="326">
        <f t="shared" si="31"/>
        <v>41152</v>
      </c>
      <c r="B255" s="1678">
        <v>99.5</v>
      </c>
      <c r="C255" s="1679">
        <f t="shared" si="27"/>
        <v>0.995</v>
      </c>
      <c r="D255" s="1679">
        <f>PRODUCT(C$4:C255)</f>
        <v>3.5280212995685</v>
      </c>
      <c r="F255" s="1678">
        <v>99.8</v>
      </c>
      <c r="G255" s="1679">
        <f t="shared" si="28"/>
        <v>0.998</v>
      </c>
      <c r="H255" s="1679">
        <f>PRODUCT(G$4:G255)</f>
        <v>0.960969138488532</v>
      </c>
      <c r="J255" s="1680">
        <v>0.17</v>
      </c>
      <c r="K255" s="1680">
        <v>0</v>
      </c>
      <c r="L255" s="1680">
        <v>0</v>
      </c>
      <c r="N255" s="1681"/>
      <c r="O255" s="1681"/>
      <c r="P255" s="1681"/>
      <c r="Q255" s="1681"/>
      <c r="R255" s="1681"/>
      <c r="T255" s="1681"/>
      <c r="U255" s="1681"/>
      <c r="W255" s="1681">
        <f t="shared" si="29"/>
        <v>0</v>
      </c>
      <c r="X255" s="1681"/>
      <c r="Y255" s="1681">
        <f t="shared" si="30"/>
        <v>0</v>
      </c>
      <c r="Z255" s="1681"/>
      <c r="AB255" s="1682"/>
      <c r="AC255" s="1682"/>
      <c r="AE255" s="1683"/>
      <c r="AF255" s="1683"/>
      <c r="AG255" s="1683"/>
      <c r="AH255" s="1683"/>
      <c r="AI255" s="1683"/>
      <c r="AJ255" s="1683"/>
      <c r="AK255" s="1683"/>
      <c r="AL255" s="1683"/>
      <c r="AM255" s="1683"/>
      <c r="AN255" s="1683"/>
      <c r="AO255" s="1683"/>
      <c r="AP255" s="1683"/>
      <c r="AQ255" s="1683"/>
      <c r="AR255" s="1683"/>
      <c r="AS255" s="1683"/>
      <c r="AT255" s="1683"/>
      <c r="AU255" s="1683"/>
      <c r="AV255" s="1683"/>
      <c r="AW255" s="1683"/>
      <c r="AX255" s="1683"/>
      <c r="AY255" s="1683"/>
      <c r="AZ255" s="1683"/>
      <c r="BA255" s="1683"/>
      <c r="BB255" s="1683"/>
    </row>
    <row r="256" spans="1:54">
      <c r="A256" s="326">
        <f t="shared" si="31"/>
        <v>41182</v>
      </c>
      <c r="B256" s="1678">
        <v>99.9</v>
      </c>
      <c r="C256" s="1679">
        <f t="shared" si="27"/>
        <v>0.999</v>
      </c>
      <c r="D256" s="1679">
        <f>PRODUCT(C$4:C256)</f>
        <v>3.52449327826893</v>
      </c>
      <c r="F256" s="1678">
        <v>100.1</v>
      </c>
      <c r="G256" s="1679">
        <f t="shared" si="28"/>
        <v>1.001</v>
      </c>
      <c r="H256" s="1679">
        <f>PRODUCT(G$4:G256)</f>
        <v>0.96193010762702</v>
      </c>
      <c r="J256" s="1680">
        <v>0.17</v>
      </c>
      <c r="K256" s="1680">
        <v>0</v>
      </c>
      <c r="L256" s="1680">
        <v>0</v>
      </c>
      <c r="N256" s="1681"/>
      <c r="O256" s="1681"/>
      <c r="P256" s="1681"/>
      <c r="Q256" s="1681"/>
      <c r="R256" s="1681"/>
      <c r="T256" s="1681"/>
      <c r="U256" s="1681"/>
      <c r="W256" s="1681">
        <f t="shared" si="29"/>
        <v>0</v>
      </c>
      <c r="X256" s="1681"/>
      <c r="Y256" s="1681">
        <f t="shared" si="30"/>
        <v>0</v>
      </c>
      <c r="Z256" s="1681"/>
      <c r="AB256" s="1682"/>
      <c r="AC256" s="1682"/>
      <c r="AE256" s="1683"/>
      <c r="AF256" s="1683"/>
      <c r="AG256" s="1683"/>
      <c r="AH256" s="1683"/>
      <c r="AI256" s="1683"/>
      <c r="AJ256" s="1683"/>
      <c r="AK256" s="1683"/>
      <c r="AL256" s="1683"/>
      <c r="AM256" s="1683"/>
      <c r="AN256" s="1683"/>
      <c r="AO256" s="1683"/>
      <c r="AP256" s="1683"/>
      <c r="AQ256" s="1683"/>
      <c r="AR256" s="1683"/>
      <c r="AS256" s="1683"/>
      <c r="AT256" s="1683"/>
      <c r="AU256" s="1683"/>
      <c r="AV256" s="1683"/>
      <c r="AW256" s="1683"/>
      <c r="AX256" s="1683"/>
      <c r="AY256" s="1683"/>
      <c r="AZ256" s="1683"/>
      <c r="BA256" s="1683"/>
      <c r="BB256" s="1683"/>
    </row>
    <row r="257" spans="1:54">
      <c r="A257" s="326">
        <f t="shared" si="31"/>
        <v>41213</v>
      </c>
      <c r="B257" s="1678">
        <v>100.2</v>
      </c>
      <c r="C257" s="1679">
        <f t="shared" si="27"/>
        <v>1.002</v>
      </c>
      <c r="D257" s="1679">
        <f>PRODUCT(C$4:C257)</f>
        <v>3.53154226482547</v>
      </c>
      <c r="F257" s="1678">
        <v>101.14</v>
      </c>
      <c r="G257" s="1679">
        <f t="shared" si="28"/>
        <v>1.0114</v>
      </c>
      <c r="H257" s="1679">
        <f>PRODUCT(G$4:G257)</f>
        <v>0.972896110853968</v>
      </c>
      <c r="J257" s="1680">
        <v>0.17</v>
      </c>
      <c r="K257" s="1680">
        <v>0</v>
      </c>
      <c r="L257" s="1680">
        <v>0</v>
      </c>
      <c r="N257" s="1681"/>
      <c r="O257" s="1681"/>
      <c r="P257" s="1681"/>
      <c r="Q257" s="1681"/>
      <c r="R257" s="1681"/>
      <c r="T257" s="1681"/>
      <c r="U257" s="1681"/>
      <c r="W257" s="1681">
        <f t="shared" si="29"/>
        <v>0</v>
      </c>
      <c r="X257" s="1681"/>
      <c r="Y257" s="1681">
        <f t="shared" si="30"/>
        <v>0</v>
      </c>
      <c r="Z257" s="1681"/>
      <c r="AB257" s="1682"/>
      <c r="AC257" s="1682"/>
      <c r="AE257" s="1683"/>
      <c r="AF257" s="1683"/>
      <c r="AG257" s="1683"/>
      <c r="AH257" s="1683"/>
      <c r="AI257" s="1683"/>
      <c r="AJ257" s="1683"/>
      <c r="AK257" s="1683"/>
      <c r="AL257" s="1683"/>
      <c r="AM257" s="1683"/>
      <c r="AN257" s="1683"/>
      <c r="AO257" s="1683"/>
      <c r="AP257" s="1683"/>
      <c r="AQ257" s="1683"/>
      <c r="AR257" s="1683"/>
      <c r="AS257" s="1683"/>
      <c r="AT257" s="1683"/>
      <c r="AU257" s="1683"/>
      <c r="AV257" s="1683"/>
      <c r="AW257" s="1683"/>
      <c r="AX257" s="1683"/>
      <c r="AY257" s="1683"/>
      <c r="AZ257" s="1683"/>
      <c r="BA257" s="1683"/>
      <c r="BB257" s="1683"/>
    </row>
    <row r="258" spans="1:54">
      <c r="A258" s="326">
        <f t="shared" si="31"/>
        <v>41243</v>
      </c>
      <c r="B258" s="1678">
        <v>99.9</v>
      </c>
      <c r="C258" s="1679">
        <f t="shared" si="27"/>
        <v>0.999</v>
      </c>
      <c r="D258" s="1679">
        <f>PRODUCT(C$4:C258)</f>
        <v>3.52801072256065</v>
      </c>
      <c r="F258" s="1678">
        <v>100.71</v>
      </c>
      <c r="G258" s="1679">
        <f t="shared" si="28"/>
        <v>1.0071</v>
      </c>
      <c r="H258" s="1679">
        <f>PRODUCT(G$4:G258)</f>
        <v>0.979803673241031</v>
      </c>
      <c r="J258" s="1680">
        <v>0.17</v>
      </c>
      <c r="K258" s="1680">
        <v>0</v>
      </c>
      <c r="L258" s="1680">
        <v>0</v>
      </c>
      <c r="N258" s="1681"/>
      <c r="O258" s="1681"/>
      <c r="P258" s="1681"/>
      <c r="Q258" s="1681"/>
      <c r="R258" s="1681"/>
      <c r="T258" s="1681"/>
      <c r="U258" s="1681"/>
      <c r="W258" s="1681">
        <f t="shared" si="29"/>
        <v>0</v>
      </c>
      <c r="X258" s="1681"/>
      <c r="Y258" s="1681">
        <f t="shared" si="30"/>
        <v>0</v>
      </c>
      <c r="Z258" s="1681"/>
      <c r="AB258" s="1682"/>
      <c r="AC258" s="1682"/>
      <c r="AE258" s="1683"/>
      <c r="AF258" s="1683"/>
      <c r="AG258" s="1683"/>
      <c r="AH258" s="1683"/>
      <c r="AI258" s="1683"/>
      <c r="AJ258" s="1683"/>
      <c r="AK258" s="1683"/>
      <c r="AL258" s="1683"/>
      <c r="AM258" s="1683"/>
      <c r="AN258" s="1683"/>
      <c r="AO258" s="1683"/>
      <c r="AP258" s="1683"/>
      <c r="AQ258" s="1683"/>
      <c r="AR258" s="1683"/>
      <c r="AS258" s="1683"/>
      <c r="AT258" s="1683"/>
      <c r="AU258" s="1683"/>
      <c r="AV258" s="1683"/>
      <c r="AW258" s="1683"/>
      <c r="AX258" s="1683"/>
      <c r="AY258" s="1683"/>
      <c r="AZ258" s="1683"/>
      <c r="BA258" s="1683"/>
      <c r="BB258" s="1683"/>
    </row>
    <row r="259" spans="1:54">
      <c r="A259" s="326">
        <f t="shared" si="31"/>
        <v>41274</v>
      </c>
      <c r="B259" s="1678">
        <v>99.9</v>
      </c>
      <c r="C259" s="1679">
        <f t="shared" si="27"/>
        <v>0.999</v>
      </c>
      <c r="D259" s="1679">
        <f>PRODUCT(C$4:C259)</f>
        <v>3.52448271183809</v>
      </c>
      <c r="F259" s="1678">
        <v>100.42</v>
      </c>
      <c r="G259" s="1679">
        <f t="shared" si="28"/>
        <v>1.0042</v>
      </c>
      <c r="H259" s="1679">
        <f>PRODUCT(G$4:G259)</f>
        <v>0.983918848668644</v>
      </c>
      <c r="J259" s="1680">
        <v>0.17</v>
      </c>
      <c r="K259" s="1680">
        <v>0</v>
      </c>
      <c r="L259" s="1680">
        <v>0</v>
      </c>
      <c r="N259" s="1681"/>
      <c r="O259" s="1681"/>
      <c r="P259" s="1681"/>
      <c r="Q259" s="1681"/>
      <c r="R259" s="1681"/>
      <c r="T259" s="1681"/>
      <c r="U259" s="1681"/>
      <c r="W259" s="1681">
        <f t="shared" si="29"/>
        <v>0</v>
      </c>
      <c r="X259" s="1681"/>
      <c r="Y259" s="1681">
        <f t="shared" si="30"/>
        <v>0</v>
      </c>
      <c r="Z259" s="1681"/>
      <c r="AB259" s="1682"/>
      <c r="AC259" s="1682"/>
      <c r="AE259" s="1683"/>
      <c r="AF259" s="1683"/>
      <c r="AG259" s="1683"/>
      <c r="AH259" s="1683"/>
      <c r="AI259" s="1683"/>
      <c r="AJ259" s="1683"/>
      <c r="AK259" s="1683"/>
      <c r="AL259" s="1683"/>
      <c r="AM259" s="1683"/>
      <c r="AN259" s="1683"/>
      <c r="AO259" s="1683"/>
      <c r="AP259" s="1683"/>
      <c r="AQ259" s="1683"/>
      <c r="AR259" s="1683"/>
      <c r="AS259" s="1683"/>
      <c r="AT259" s="1683"/>
      <c r="AU259" s="1683"/>
      <c r="AV259" s="1683"/>
      <c r="AW259" s="1683"/>
      <c r="AX259" s="1683"/>
      <c r="AY259" s="1683"/>
      <c r="AZ259" s="1683"/>
      <c r="BA259" s="1683"/>
      <c r="BB259" s="1683"/>
    </row>
    <row r="260" spans="1:54">
      <c r="A260" s="326">
        <f t="shared" si="31"/>
        <v>41305</v>
      </c>
      <c r="B260" s="1678">
        <v>100.2</v>
      </c>
      <c r="C260" s="1679">
        <f t="shared" si="27"/>
        <v>1.002</v>
      </c>
      <c r="D260" s="1679">
        <f>PRODUCT(C$4:C260)</f>
        <v>3.53153167726176</v>
      </c>
      <c r="F260" s="1678">
        <v>100.51</v>
      </c>
      <c r="G260" s="1679">
        <f t="shared" si="28"/>
        <v>1.0051</v>
      </c>
      <c r="H260" s="1679">
        <f>PRODUCT(G$4:G260)</f>
        <v>0.988936834796854</v>
      </c>
      <c r="J260" s="1680">
        <v>0.17</v>
      </c>
      <c r="K260" s="1680">
        <v>0</v>
      </c>
      <c r="L260" s="1680">
        <v>0</v>
      </c>
      <c r="N260" s="1681"/>
      <c r="O260" s="1681"/>
      <c r="P260" s="1681"/>
      <c r="Q260" s="1681"/>
      <c r="R260" s="1681"/>
      <c r="T260" s="1681"/>
      <c r="U260" s="1681"/>
      <c r="W260" s="1681">
        <f t="shared" si="29"/>
        <v>0</v>
      </c>
      <c r="X260" s="1681"/>
      <c r="Y260" s="1681">
        <f t="shared" si="30"/>
        <v>0</v>
      </c>
      <c r="Z260" s="1681"/>
      <c r="AB260" s="1682"/>
      <c r="AC260" s="1682"/>
      <c r="AE260" s="1683"/>
      <c r="AF260" s="1683"/>
      <c r="AG260" s="1683"/>
      <c r="AH260" s="1683"/>
      <c r="AI260" s="1683"/>
      <c r="AJ260" s="1683"/>
      <c r="AK260" s="1683"/>
      <c r="AL260" s="1683"/>
      <c r="AM260" s="1683"/>
      <c r="AN260" s="1683"/>
      <c r="AO260" s="1683"/>
      <c r="AP260" s="1683"/>
      <c r="AQ260" s="1683"/>
      <c r="AR260" s="1683"/>
      <c r="AS260" s="1683"/>
      <c r="AT260" s="1683"/>
      <c r="AU260" s="1683"/>
      <c r="AV260" s="1683"/>
      <c r="AW260" s="1683"/>
      <c r="AX260" s="1683"/>
      <c r="AY260" s="1683"/>
      <c r="AZ260" s="1683"/>
      <c r="BA260" s="1683"/>
      <c r="BB260" s="1683"/>
    </row>
    <row r="261" spans="1:54">
      <c r="A261" s="326">
        <f t="shared" si="31"/>
        <v>41333</v>
      </c>
      <c r="B261" s="1678">
        <v>100.2</v>
      </c>
      <c r="C261" s="1679">
        <f t="shared" ref="C261:C324" si="32">B261/100</f>
        <v>1.002</v>
      </c>
      <c r="D261" s="1679">
        <f>PRODUCT(C$4:C261)</f>
        <v>3.53859474061629</v>
      </c>
      <c r="F261" s="1678">
        <v>100</v>
      </c>
      <c r="G261" s="1679">
        <f t="shared" ref="G261:G324" si="33">F261/100</f>
        <v>1</v>
      </c>
      <c r="H261" s="1679">
        <f>PRODUCT(G$4:G261)</f>
        <v>0.988936834796854</v>
      </c>
      <c r="J261" s="1680">
        <v>0.17</v>
      </c>
      <c r="K261" s="1680">
        <v>0</v>
      </c>
      <c r="L261" s="1680">
        <v>0</v>
      </c>
      <c r="N261" s="1681"/>
      <c r="O261" s="1681"/>
      <c r="P261" s="1681"/>
      <c r="Q261" s="1681"/>
      <c r="R261" s="1681"/>
      <c r="T261" s="1681"/>
      <c r="U261" s="1681"/>
      <c r="W261" s="1681">
        <f t="shared" ref="W261:W324" si="34">Q261</f>
        <v>0</v>
      </c>
      <c r="X261" s="1681"/>
      <c r="Y261" s="1681">
        <f t="shared" ref="Y261:Y324" si="35">R261</f>
        <v>0</v>
      </c>
      <c r="Z261" s="1681"/>
      <c r="AB261" s="1682"/>
      <c r="AC261" s="1682"/>
      <c r="AE261" s="1683"/>
      <c r="AF261" s="1683"/>
      <c r="AG261" s="1683"/>
      <c r="AH261" s="1683"/>
      <c r="AI261" s="1683"/>
      <c r="AJ261" s="1683"/>
      <c r="AK261" s="1683"/>
      <c r="AL261" s="1683"/>
      <c r="AM261" s="1683"/>
      <c r="AN261" s="1683"/>
      <c r="AO261" s="1683"/>
      <c r="AP261" s="1683"/>
      <c r="AQ261" s="1683"/>
      <c r="AR261" s="1683"/>
      <c r="AS261" s="1683"/>
      <c r="AT261" s="1683"/>
      <c r="AU261" s="1683"/>
      <c r="AV261" s="1683"/>
      <c r="AW261" s="1683"/>
      <c r="AX261" s="1683"/>
      <c r="AY261" s="1683"/>
      <c r="AZ261" s="1683"/>
      <c r="BA261" s="1683"/>
      <c r="BB261" s="1683"/>
    </row>
    <row r="262" spans="1:54">
      <c r="A262" s="326">
        <f t="shared" si="31"/>
        <v>41364</v>
      </c>
      <c r="B262" s="1678">
        <v>100</v>
      </c>
      <c r="C262" s="1679">
        <f t="shared" si="32"/>
        <v>1</v>
      </c>
      <c r="D262" s="1679">
        <f>PRODUCT(C$4:C262)</f>
        <v>3.53859474061629</v>
      </c>
      <c r="F262" s="1678">
        <v>99.39</v>
      </c>
      <c r="G262" s="1679">
        <f t="shared" si="33"/>
        <v>0.9939</v>
      </c>
      <c r="H262" s="1679">
        <f>PRODUCT(G$4:G262)</f>
        <v>0.982904320104593</v>
      </c>
      <c r="J262" s="1680">
        <v>0.17</v>
      </c>
      <c r="K262" s="1680">
        <v>0</v>
      </c>
      <c r="L262" s="1680">
        <v>0</v>
      </c>
      <c r="N262" s="1681"/>
      <c r="O262" s="1681"/>
      <c r="P262" s="1681"/>
      <c r="Q262" s="1681"/>
      <c r="R262" s="1681"/>
      <c r="T262" s="1681"/>
      <c r="U262" s="1681"/>
      <c r="W262" s="1681">
        <f t="shared" si="34"/>
        <v>0</v>
      </c>
      <c r="X262" s="1681"/>
      <c r="Y262" s="1681">
        <f t="shared" si="35"/>
        <v>0</v>
      </c>
      <c r="Z262" s="1681"/>
      <c r="AB262" s="1682"/>
      <c r="AC262" s="1682"/>
      <c r="AE262" s="1683"/>
      <c r="AF262" s="1683"/>
      <c r="AG262" s="1683"/>
      <c r="AH262" s="1683"/>
      <c r="AI262" s="1683"/>
      <c r="AJ262" s="1683"/>
      <c r="AK262" s="1683"/>
      <c r="AL262" s="1683"/>
      <c r="AM262" s="1683"/>
      <c r="AN262" s="1683"/>
      <c r="AO262" s="1683"/>
      <c r="AP262" s="1683"/>
      <c r="AQ262" s="1683"/>
      <c r="AR262" s="1683"/>
      <c r="AS262" s="1683"/>
      <c r="AT262" s="1683"/>
      <c r="AU262" s="1683"/>
      <c r="AV262" s="1683"/>
      <c r="AW262" s="1683"/>
      <c r="AX262" s="1683"/>
      <c r="AY262" s="1683"/>
      <c r="AZ262" s="1683"/>
      <c r="BA262" s="1683"/>
      <c r="BB262" s="1683"/>
    </row>
    <row r="263" spans="1:54">
      <c r="A263" s="326">
        <f t="shared" si="31"/>
        <v>41394</v>
      </c>
      <c r="B263" s="1678">
        <v>99.4</v>
      </c>
      <c r="C263" s="1679">
        <f t="shared" si="32"/>
        <v>0.994</v>
      </c>
      <c r="D263" s="1679">
        <f>PRODUCT(C$4:C263)</f>
        <v>3.51736317217259</v>
      </c>
      <c r="F263" s="1678">
        <v>99.59</v>
      </c>
      <c r="G263" s="1679">
        <f t="shared" si="33"/>
        <v>0.9959</v>
      </c>
      <c r="H263" s="1679">
        <f>PRODUCT(G$4:G263)</f>
        <v>0.978874412392164</v>
      </c>
      <c r="J263" s="1680">
        <v>0.17</v>
      </c>
      <c r="K263" s="1680">
        <v>0</v>
      </c>
      <c r="L263" s="1680">
        <v>0</v>
      </c>
      <c r="N263" s="1681"/>
      <c r="O263" s="1681"/>
      <c r="P263" s="1681"/>
      <c r="Q263" s="1681"/>
      <c r="R263" s="1681"/>
      <c r="T263" s="1681"/>
      <c r="U263" s="1681"/>
      <c r="W263" s="1681">
        <f t="shared" si="34"/>
        <v>0</v>
      </c>
      <c r="X263" s="1681"/>
      <c r="Y263" s="1681">
        <f t="shared" si="35"/>
        <v>0</v>
      </c>
      <c r="Z263" s="1681"/>
      <c r="AB263" s="1682"/>
      <c r="AC263" s="1682"/>
      <c r="AE263" s="1683"/>
      <c r="AF263" s="1683"/>
      <c r="AG263" s="1683"/>
      <c r="AH263" s="1683"/>
      <c r="AI263" s="1683"/>
      <c r="AJ263" s="1683"/>
      <c r="AK263" s="1683"/>
      <c r="AL263" s="1683"/>
      <c r="AM263" s="1683"/>
      <c r="AN263" s="1683"/>
      <c r="AO263" s="1683"/>
      <c r="AP263" s="1683"/>
      <c r="AQ263" s="1683"/>
      <c r="AR263" s="1683"/>
      <c r="AS263" s="1683"/>
      <c r="AT263" s="1683"/>
      <c r="AU263" s="1683"/>
      <c r="AV263" s="1683"/>
      <c r="AW263" s="1683"/>
      <c r="AX263" s="1683"/>
      <c r="AY263" s="1683"/>
      <c r="AZ263" s="1683"/>
      <c r="BA263" s="1683"/>
      <c r="BB263" s="1683"/>
    </row>
    <row r="264" spans="1:54">
      <c r="A264" s="326">
        <f t="shared" si="31"/>
        <v>41425</v>
      </c>
      <c r="B264" s="1678">
        <v>99.4</v>
      </c>
      <c r="C264" s="1679">
        <f t="shared" si="32"/>
        <v>0.994</v>
      </c>
      <c r="D264" s="1679">
        <f>PRODUCT(C$4:C264)</f>
        <v>3.49625899313955</v>
      </c>
      <c r="F264" s="1678">
        <v>99.8</v>
      </c>
      <c r="G264" s="1679">
        <f t="shared" si="33"/>
        <v>0.998</v>
      </c>
      <c r="H264" s="1679">
        <f>PRODUCT(G$4:G264)</f>
        <v>0.97691666356738</v>
      </c>
      <c r="J264" s="1680">
        <v>0.17</v>
      </c>
      <c r="K264" s="1680">
        <v>0</v>
      </c>
      <c r="L264" s="1680">
        <v>0</v>
      </c>
      <c r="N264" s="1681"/>
      <c r="O264" s="1681"/>
      <c r="P264" s="1681"/>
      <c r="Q264" s="1681"/>
      <c r="R264" s="1681"/>
      <c r="T264" s="1681"/>
      <c r="U264" s="1681"/>
      <c r="W264" s="1681">
        <f t="shared" si="34"/>
        <v>0</v>
      </c>
      <c r="X264" s="1681"/>
      <c r="Y264" s="1681">
        <f t="shared" si="35"/>
        <v>0</v>
      </c>
      <c r="Z264" s="1681"/>
      <c r="AB264" s="1682"/>
      <c r="AC264" s="1682"/>
      <c r="AE264" s="1683"/>
      <c r="AF264" s="1683"/>
      <c r="AG264" s="1683"/>
      <c r="AH264" s="1683"/>
      <c r="AI264" s="1683"/>
      <c r="AJ264" s="1683"/>
      <c r="AK264" s="1683"/>
      <c r="AL264" s="1683"/>
      <c r="AM264" s="1683"/>
      <c r="AN264" s="1683"/>
      <c r="AO264" s="1683"/>
      <c r="AP264" s="1683"/>
      <c r="AQ264" s="1683"/>
      <c r="AR264" s="1683"/>
      <c r="AS264" s="1683"/>
      <c r="AT264" s="1683"/>
      <c r="AU264" s="1683"/>
      <c r="AV264" s="1683"/>
      <c r="AW264" s="1683"/>
      <c r="AX264" s="1683"/>
      <c r="AY264" s="1683"/>
      <c r="AZ264" s="1683"/>
      <c r="BA264" s="1683"/>
      <c r="BB264" s="1683"/>
    </row>
    <row r="265" spans="1:54">
      <c r="A265" s="326">
        <f t="shared" si="31"/>
        <v>41455</v>
      </c>
      <c r="B265" s="1678">
        <v>99.4</v>
      </c>
      <c r="C265" s="1679">
        <f t="shared" si="32"/>
        <v>0.994</v>
      </c>
      <c r="D265" s="1679">
        <f>PRODUCT(C$4:C265)</f>
        <v>3.47528143918072</v>
      </c>
      <c r="F265" s="1678">
        <v>100.41</v>
      </c>
      <c r="G265" s="1679">
        <f t="shared" si="33"/>
        <v>1.0041</v>
      </c>
      <c r="H265" s="1679">
        <f>PRODUCT(G$4:G265)</f>
        <v>0.980922021888006</v>
      </c>
      <c r="J265" s="1680">
        <v>0.17</v>
      </c>
      <c r="K265" s="1680">
        <v>0</v>
      </c>
      <c r="L265" s="1680">
        <v>0</v>
      </c>
      <c r="N265" s="1681"/>
      <c r="O265" s="1681"/>
      <c r="P265" s="1681"/>
      <c r="Q265" s="1681"/>
      <c r="R265" s="1681"/>
      <c r="T265" s="1681"/>
      <c r="U265" s="1681"/>
      <c r="W265" s="1681">
        <f t="shared" si="34"/>
        <v>0</v>
      </c>
      <c r="X265" s="1681"/>
      <c r="Y265" s="1681">
        <f t="shared" si="35"/>
        <v>0</v>
      </c>
      <c r="Z265" s="1681"/>
      <c r="AB265" s="1682"/>
      <c r="AC265" s="1682"/>
      <c r="AE265" s="1683"/>
      <c r="AF265" s="1683"/>
      <c r="AG265" s="1683"/>
      <c r="AH265" s="1683"/>
      <c r="AI265" s="1683"/>
      <c r="AJ265" s="1683"/>
      <c r="AK265" s="1683"/>
      <c r="AL265" s="1683"/>
      <c r="AM265" s="1683"/>
      <c r="AN265" s="1683"/>
      <c r="AO265" s="1683"/>
      <c r="AP265" s="1683"/>
      <c r="AQ265" s="1683"/>
      <c r="AR265" s="1683"/>
      <c r="AS265" s="1683"/>
      <c r="AT265" s="1683"/>
      <c r="AU265" s="1683"/>
      <c r="AV265" s="1683"/>
      <c r="AW265" s="1683"/>
      <c r="AX265" s="1683"/>
      <c r="AY265" s="1683"/>
      <c r="AZ265" s="1683"/>
      <c r="BA265" s="1683"/>
      <c r="BB265" s="1683"/>
    </row>
    <row r="266" spans="1:54">
      <c r="A266" s="326">
        <f t="shared" si="31"/>
        <v>41486</v>
      </c>
      <c r="B266" s="1678">
        <v>99.7</v>
      </c>
      <c r="C266" s="1679">
        <f t="shared" si="32"/>
        <v>0.997</v>
      </c>
      <c r="D266" s="1679">
        <f>PRODUCT(C$4:C266)</f>
        <v>3.46485559486317</v>
      </c>
      <c r="F266" s="1678">
        <v>100.75</v>
      </c>
      <c r="G266" s="1679">
        <f t="shared" si="33"/>
        <v>1.0075</v>
      </c>
      <c r="H266" s="1679">
        <f>PRODUCT(G$4:G266)</f>
        <v>0.988278937052166</v>
      </c>
      <c r="J266" s="1680">
        <v>0.17</v>
      </c>
      <c r="K266" s="1680">
        <v>0</v>
      </c>
      <c r="L266" s="1680">
        <v>0</v>
      </c>
      <c r="N266" s="1681"/>
      <c r="O266" s="1681"/>
      <c r="P266" s="1681"/>
      <c r="Q266" s="1681"/>
      <c r="R266" s="1681"/>
      <c r="T266" s="1681"/>
      <c r="U266" s="1681"/>
      <c r="W266" s="1681">
        <f t="shared" si="34"/>
        <v>0</v>
      </c>
      <c r="X266" s="1681"/>
      <c r="Y266" s="1681">
        <f t="shared" si="35"/>
        <v>0</v>
      </c>
      <c r="Z266" s="1681"/>
      <c r="AB266" s="1682"/>
      <c r="AC266" s="1682"/>
      <c r="AE266" s="1683"/>
      <c r="AF266" s="1683"/>
      <c r="AG266" s="1683"/>
      <c r="AH266" s="1683"/>
      <c r="AI266" s="1683"/>
      <c r="AJ266" s="1683"/>
      <c r="AK266" s="1683"/>
      <c r="AL266" s="1683"/>
      <c r="AM266" s="1683"/>
      <c r="AN266" s="1683"/>
      <c r="AO266" s="1683"/>
      <c r="AP266" s="1683"/>
      <c r="AQ266" s="1683"/>
      <c r="AR266" s="1683"/>
      <c r="AS266" s="1683"/>
      <c r="AT266" s="1683"/>
      <c r="AU266" s="1683"/>
      <c r="AV266" s="1683"/>
      <c r="AW266" s="1683"/>
      <c r="AX266" s="1683"/>
      <c r="AY266" s="1683"/>
      <c r="AZ266" s="1683"/>
      <c r="BA266" s="1683"/>
      <c r="BB266" s="1683"/>
    </row>
    <row r="267" spans="1:54">
      <c r="A267" s="326">
        <f t="shared" si="31"/>
        <v>41517</v>
      </c>
      <c r="B267" s="1678">
        <v>100.1</v>
      </c>
      <c r="C267" s="1679">
        <f t="shared" si="32"/>
        <v>1.001</v>
      </c>
      <c r="D267" s="1679">
        <f>PRODUCT(C$4:C267)</f>
        <v>3.46832045045804</v>
      </c>
      <c r="F267" s="1678">
        <v>100.48</v>
      </c>
      <c r="G267" s="1679">
        <f t="shared" si="33"/>
        <v>1.0048</v>
      </c>
      <c r="H267" s="1679">
        <f>PRODUCT(G$4:G267)</f>
        <v>0.993022675950016</v>
      </c>
      <c r="J267" s="1680">
        <v>0.17</v>
      </c>
      <c r="K267" s="1680">
        <v>0</v>
      </c>
      <c r="L267" s="1680">
        <v>0</v>
      </c>
      <c r="N267" s="1681"/>
      <c r="O267" s="1681"/>
      <c r="P267" s="1681"/>
      <c r="Q267" s="1681"/>
      <c r="R267" s="1681"/>
      <c r="T267" s="1681"/>
      <c r="U267" s="1681"/>
      <c r="W267" s="1681">
        <f t="shared" si="34"/>
        <v>0</v>
      </c>
      <c r="X267" s="1681"/>
      <c r="Y267" s="1681">
        <f t="shared" si="35"/>
        <v>0</v>
      </c>
      <c r="Z267" s="1681"/>
      <c r="AB267" s="1682"/>
      <c r="AC267" s="1682"/>
      <c r="AE267" s="1683"/>
      <c r="AF267" s="1683"/>
      <c r="AG267" s="1683"/>
      <c r="AH267" s="1683"/>
      <c r="AI267" s="1683"/>
      <c r="AJ267" s="1683"/>
      <c r="AK267" s="1683"/>
      <c r="AL267" s="1683"/>
      <c r="AM267" s="1683"/>
      <c r="AN267" s="1683"/>
      <c r="AO267" s="1683"/>
      <c r="AP267" s="1683"/>
      <c r="AQ267" s="1683"/>
      <c r="AR267" s="1683"/>
      <c r="AS267" s="1683"/>
      <c r="AT267" s="1683"/>
      <c r="AU267" s="1683"/>
      <c r="AV267" s="1683"/>
      <c r="AW267" s="1683"/>
      <c r="AX267" s="1683"/>
      <c r="AY267" s="1683"/>
      <c r="AZ267" s="1683"/>
      <c r="BA267" s="1683"/>
      <c r="BB267" s="1683"/>
    </row>
    <row r="268" spans="1:54">
      <c r="A268" s="326">
        <f t="shared" si="31"/>
        <v>41547</v>
      </c>
      <c r="B268" s="1678">
        <v>100.2</v>
      </c>
      <c r="C268" s="1679">
        <f t="shared" si="32"/>
        <v>1.002</v>
      </c>
      <c r="D268" s="1679">
        <f>PRODUCT(C$4:C268)</f>
        <v>3.47525709135895</v>
      </c>
      <c r="F268" s="1678">
        <v>100.29</v>
      </c>
      <c r="G268" s="1679">
        <f t="shared" si="33"/>
        <v>1.0029</v>
      </c>
      <c r="H268" s="1679">
        <f>PRODUCT(G$4:G268)</f>
        <v>0.995902441710271</v>
      </c>
      <c r="J268" s="1680">
        <v>0.17</v>
      </c>
      <c r="K268" s="1680">
        <v>0</v>
      </c>
      <c r="L268" s="1680">
        <v>0</v>
      </c>
      <c r="N268" s="1681"/>
      <c r="O268" s="1681"/>
      <c r="P268" s="1681"/>
      <c r="Q268" s="1681"/>
      <c r="R268" s="1681"/>
      <c r="T268" s="1681"/>
      <c r="U268" s="1681"/>
      <c r="W268" s="1681">
        <f t="shared" si="34"/>
        <v>0</v>
      </c>
      <c r="X268" s="1681"/>
      <c r="Y268" s="1681">
        <f t="shared" si="35"/>
        <v>0</v>
      </c>
      <c r="Z268" s="1681"/>
      <c r="AB268" s="1682"/>
      <c r="AC268" s="1682"/>
      <c r="AE268" s="1683"/>
      <c r="AF268" s="1683"/>
      <c r="AG268" s="1683"/>
      <c r="AH268" s="1683"/>
      <c r="AI268" s="1683"/>
      <c r="AJ268" s="1683"/>
      <c r="AK268" s="1683"/>
      <c r="AL268" s="1683"/>
      <c r="AM268" s="1683"/>
      <c r="AN268" s="1683"/>
      <c r="AO268" s="1683"/>
      <c r="AP268" s="1683"/>
      <c r="AQ268" s="1683"/>
      <c r="AR268" s="1683"/>
      <c r="AS268" s="1683"/>
      <c r="AT268" s="1683"/>
      <c r="AU268" s="1683"/>
      <c r="AV268" s="1683"/>
      <c r="AW268" s="1683"/>
      <c r="AX268" s="1683"/>
      <c r="AY268" s="1683"/>
      <c r="AZ268" s="1683"/>
      <c r="BA268" s="1683"/>
      <c r="BB268" s="1683"/>
    </row>
    <row r="269" spans="1:54">
      <c r="A269" s="326">
        <f t="shared" si="31"/>
        <v>41578</v>
      </c>
      <c r="B269" s="1678">
        <v>100</v>
      </c>
      <c r="C269" s="1679">
        <f t="shared" si="32"/>
        <v>1</v>
      </c>
      <c r="D269" s="1679">
        <f>PRODUCT(C$4:C269)</f>
        <v>3.47525709135895</v>
      </c>
      <c r="F269" s="1678">
        <v>100.1</v>
      </c>
      <c r="G269" s="1679">
        <f t="shared" si="33"/>
        <v>1.001</v>
      </c>
      <c r="H269" s="1679">
        <f>PRODUCT(G$4:G269)</f>
        <v>0.996898344151982</v>
      </c>
      <c r="J269" s="1680">
        <v>0.17</v>
      </c>
      <c r="K269" s="1680">
        <v>0</v>
      </c>
      <c r="L269" s="1680">
        <v>0</v>
      </c>
      <c r="N269" s="1681"/>
      <c r="O269" s="1681"/>
      <c r="P269" s="1681"/>
      <c r="Q269" s="1681"/>
      <c r="R269" s="1681"/>
      <c r="T269" s="1681"/>
      <c r="U269" s="1681"/>
      <c r="W269" s="1681">
        <f t="shared" si="34"/>
        <v>0</v>
      </c>
      <c r="X269" s="1681"/>
      <c r="Y269" s="1681">
        <f t="shared" si="35"/>
        <v>0</v>
      </c>
      <c r="Z269" s="1681"/>
      <c r="AB269" s="1682"/>
      <c r="AC269" s="1682"/>
      <c r="AE269" s="1683"/>
      <c r="AF269" s="1683"/>
      <c r="AG269" s="1683"/>
      <c r="AH269" s="1683"/>
      <c r="AI269" s="1683"/>
      <c r="AJ269" s="1683"/>
      <c r="AK269" s="1683"/>
      <c r="AL269" s="1683"/>
      <c r="AM269" s="1683"/>
      <c r="AN269" s="1683"/>
      <c r="AO269" s="1683"/>
      <c r="AP269" s="1683"/>
      <c r="AQ269" s="1683"/>
      <c r="AR269" s="1683"/>
      <c r="AS269" s="1683"/>
      <c r="AT269" s="1683"/>
      <c r="AU269" s="1683"/>
      <c r="AV269" s="1683"/>
      <c r="AW269" s="1683"/>
      <c r="AX269" s="1683"/>
      <c r="AY269" s="1683"/>
      <c r="AZ269" s="1683"/>
      <c r="BA269" s="1683"/>
      <c r="BB269" s="1683"/>
    </row>
    <row r="270" spans="1:54">
      <c r="A270" s="326">
        <f t="shared" si="31"/>
        <v>41608</v>
      </c>
      <c r="B270" s="1678">
        <v>100</v>
      </c>
      <c r="C270" s="1679">
        <f t="shared" si="32"/>
        <v>1</v>
      </c>
      <c r="D270" s="1679">
        <f>PRODUCT(C$4:C270)</f>
        <v>3.47525709135895</v>
      </c>
      <c r="F270" s="1678">
        <v>99.9</v>
      </c>
      <c r="G270" s="1679">
        <f t="shared" si="33"/>
        <v>0.999</v>
      </c>
      <c r="H270" s="1679">
        <f>PRODUCT(G$4:G270)</f>
        <v>0.99590144580783</v>
      </c>
      <c r="J270" s="1680">
        <v>0.17</v>
      </c>
      <c r="K270" s="1680">
        <v>0</v>
      </c>
      <c r="L270" s="1680">
        <v>0</v>
      </c>
      <c r="N270" s="1681"/>
      <c r="O270" s="1681"/>
      <c r="P270" s="1681"/>
      <c r="Q270" s="1681"/>
      <c r="R270" s="1681"/>
      <c r="T270" s="1681"/>
      <c r="U270" s="1681"/>
      <c r="W270" s="1681">
        <f t="shared" si="34"/>
        <v>0</v>
      </c>
      <c r="X270" s="1681"/>
      <c r="Y270" s="1681">
        <f t="shared" si="35"/>
        <v>0</v>
      </c>
      <c r="Z270" s="1681"/>
      <c r="AB270" s="1682"/>
      <c r="AC270" s="1682"/>
      <c r="AE270" s="1683"/>
      <c r="AF270" s="1683"/>
      <c r="AG270" s="1683"/>
      <c r="AH270" s="1683"/>
      <c r="AI270" s="1683"/>
      <c r="AJ270" s="1683"/>
      <c r="AK270" s="1683"/>
      <c r="AL270" s="1683"/>
      <c r="AM270" s="1683"/>
      <c r="AN270" s="1683"/>
      <c r="AO270" s="1683"/>
      <c r="AP270" s="1683"/>
      <c r="AQ270" s="1683"/>
      <c r="AR270" s="1683"/>
      <c r="AS270" s="1683"/>
      <c r="AT270" s="1683"/>
      <c r="AU270" s="1683"/>
      <c r="AV270" s="1683"/>
      <c r="AW270" s="1683"/>
      <c r="AX270" s="1683"/>
      <c r="AY270" s="1683"/>
      <c r="AZ270" s="1683"/>
      <c r="BA270" s="1683"/>
      <c r="BB270" s="1683"/>
    </row>
    <row r="271" spans="1:54">
      <c r="A271" s="326">
        <f t="shared" si="31"/>
        <v>41639</v>
      </c>
      <c r="B271" s="1678">
        <v>100</v>
      </c>
      <c r="C271" s="1679">
        <f t="shared" si="32"/>
        <v>1</v>
      </c>
      <c r="D271" s="1679">
        <f>PRODUCT(C$4:C271)</f>
        <v>3.47525709135895</v>
      </c>
      <c r="F271" s="1678">
        <v>99.7</v>
      </c>
      <c r="G271" s="1679">
        <f t="shared" si="33"/>
        <v>0.997</v>
      </c>
      <c r="H271" s="1679">
        <f>PRODUCT(G$4:G271)</f>
        <v>0.992913741470406</v>
      </c>
      <c r="J271" s="1680">
        <v>0.17</v>
      </c>
      <c r="K271" s="1680">
        <v>0</v>
      </c>
      <c r="L271" s="1680">
        <v>0</v>
      </c>
      <c r="N271" s="1681"/>
      <c r="O271" s="1681"/>
      <c r="P271" s="1681"/>
      <c r="Q271" s="1681"/>
      <c r="R271" s="1681"/>
      <c r="T271" s="1681"/>
      <c r="U271" s="1681"/>
      <c r="W271" s="1681">
        <f t="shared" si="34"/>
        <v>0</v>
      </c>
      <c r="X271" s="1681"/>
      <c r="Y271" s="1681">
        <f t="shared" si="35"/>
        <v>0</v>
      </c>
      <c r="Z271" s="1681"/>
      <c r="AB271" s="1682"/>
      <c r="AC271" s="1682"/>
      <c r="AE271" s="1683"/>
      <c r="AF271" s="1683"/>
      <c r="AG271" s="1683"/>
      <c r="AH271" s="1683"/>
      <c r="AI271" s="1683"/>
      <c r="AJ271" s="1683"/>
      <c r="AK271" s="1683"/>
      <c r="AL271" s="1683"/>
      <c r="AM271" s="1683"/>
      <c r="AN271" s="1683"/>
      <c r="AO271" s="1683"/>
      <c r="AP271" s="1683"/>
      <c r="AQ271" s="1683"/>
      <c r="AR271" s="1683"/>
      <c r="AS271" s="1683"/>
      <c r="AT271" s="1683"/>
      <c r="AU271" s="1683"/>
      <c r="AV271" s="1683"/>
      <c r="AW271" s="1683"/>
      <c r="AX271" s="1683"/>
      <c r="AY271" s="1683"/>
      <c r="AZ271" s="1683"/>
      <c r="BA271" s="1683"/>
      <c r="BB271" s="1683"/>
    </row>
    <row r="272" spans="1:54">
      <c r="A272" s="326">
        <f t="shared" si="31"/>
        <v>41670</v>
      </c>
      <c r="B272" s="1678">
        <v>99.9</v>
      </c>
      <c r="C272" s="1679">
        <f t="shared" si="32"/>
        <v>0.999</v>
      </c>
      <c r="D272" s="1679">
        <f>PRODUCT(C$4:C272)</f>
        <v>3.47178183426759</v>
      </c>
      <c r="F272" s="1678">
        <v>99.3</v>
      </c>
      <c r="G272" s="1679">
        <f t="shared" si="33"/>
        <v>0.993</v>
      </c>
      <c r="H272" s="1679">
        <f>PRODUCT(G$4:G272)</f>
        <v>0.985963345280114</v>
      </c>
      <c r="J272" s="1680">
        <v>0.17</v>
      </c>
      <c r="K272" s="1680">
        <v>0</v>
      </c>
      <c r="L272" s="1680">
        <v>0</v>
      </c>
      <c r="N272" s="1681"/>
      <c r="O272" s="1681"/>
      <c r="P272" s="1681"/>
      <c r="Q272" s="1681"/>
      <c r="R272" s="1681"/>
      <c r="T272" s="1681"/>
      <c r="U272" s="1681"/>
      <c r="W272" s="1681">
        <f t="shared" si="34"/>
        <v>0</v>
      </c>
      <c r="X272" s="1681"/>
      <c r="Y272" s="1681">
        <f t="shared" si="35"/>
        <v>0</v>
      </c>
      <c r="Z272" s="1681"/>
      <c r="AB272" s="1682"/>
      <c r="AC272" s="1682"/>
      <c r="AE272" s="1683"/>
      <c r="AF272" s="1683"/>
      <c r="AG272" s="1683"/>
      <c r="AH272" s="1683"/>
      <c r="AI272" s="1683"/>
      <c r="AJ272" s="1683"/>
      <c r="AK272" s="1683"/>
      <c r="AL272" s="1683"/>
      <c r="AM272" s="1683"/>
      <c r="AN272" s="1683"/>
      <c r="AO272" s="1683"/>
      <c r="AP272" s="1683"/>
      <c r="AQ272" s="1683"/>
      <c r="AR272" s="1683"/>
      <c r="AS272" s="1683"/>
      <c r="AT272" s="1683"/>
      <c r="AU272" s="1683"/>
      <c r="AV272" s="1683"/>
      <c r="AW272" s="1683"/>
      <c r="AX272" s="1683"/>
      <c r="AY272" s="1683"/>
      <c r="AZ272" s="1683"/>
      <c r="BA272" s="1683"/>
      <c r="BB272" s="1683"/>
    </row>
    <row r="273" spans="1:54">
      <c r="A273" s="326">
        <f t="shared" si="31"/>
        <v>41698</v>
      </c>
      <c r="B273" s="1678">
        <v>99.8</v>
      </c>
      <c r="C273" s="1679">
        <f t="shared" si="32"/>
        <v>0.998</v>
      </c>
      <c r="D273" s="1679">
        <f>PRODUCT(C$4:C273)</f>
        <v>3.46483827059906</v>
      </c>
      <c r="F273" s="1678">
        <v>99.09</v>
      </c>
      <c r="G273" s="1679">
        <f t="shared" si="33"/>
        <v>0.9909</v>
      </c>
      <c r="H273" s="1679">
        <f>PRODUCT(G$4:G273)</f>
        <v>0.976991078838064</v>
      </c>
      <c r="J273" s="1680">
        <v>0.17</v>
      </c>
      <c r="K273" s="1680">
        <v>0</v>
      </c>
      <c r="L273" s="1680">
        <v>0</v>
      </c>
      <c r="N273" s="1681"/>
      <c r="O273" s="1681"/>
      <c r="P273" s="1681"/>
      <c r="Q273" s="1681"/>
      <c r="R273" s="1681"/>
      <c r="T273" s="1681"/>
      <c r="U273" s="1681"/>
      <c r="W273" s="1681">
        <f t="shared" si="34"/>
        <v>0</v>
      </c>
      <c r="X273" s="1681"/>
      <c r="Y273" s="1681">
        <f t="shared" si="35"/>
        <v>0</v>
      </c>
      <c r="Z273" s="1681"/>
      <c r="AB273" s="1682"/>
      <c r="AC273" s="1682"/>
      <c r="AE273" s="1683"/>
      <c r="AF273" s="1683"/>
      <c r="AG273" s="1683"/>
      <c r="AH273" s="1683"/>
      <c r="AI273" s="1683"/>
      <c r="AJ273" s="1683"/>
      <c r="AK273" s="1683"/>
      <c r="AL273" s="1683"/>
      <c r="AM273" s="1683"/>
      <c r="AN273" s="1683"/>
      <c r="AO273" s="1683"/>
      <c r="AP273" s="1683"/>
      <c r="AQ273" s="1683"/>
      <c r="AR273" s="1683"/>
      <c r="AS273" s="1683"/>
      <c r="AT273" s="1683"/>
      <c r="AU273" s="1683"/>
      <c r="AV273" s="1683"/>
      <c r="AW273" s="1683"/>
      <c r="AX273" s="1683"/>
      <c r="AY273" s="1683"/>
      <c r="AZ273" s="1683"/>
      <c r="BA273" s="1683"/>
      <c r="BB273" s="1683"/>
    </row>
    <row r="274" spans="1:54">
      <c r="A274" s="326">
        <f t="shared" si="31"/>
        <v>41729</v>
      </c>
      <c r="B274" s="1678">
        <v>99.7</v>
      </c>
      <c r="C274" s="1679">
        <f t="shared" si="32"/>
        <v>0.997</v>
      </c>
      <c r="D274" s="1679">
        <f>PRODUCT(C$4:C274)</f>
        <v>3.45444375578726</v>
      </c>
      <c r="F274" s="1678">
        <v>99.91</v>
      </c>
      <c r="G274" s="1679">
        <f t="shared" si="33"/>
        <v>0.9991</v>
      </c>
      <c r="H274" s="1679">
        <f>PRODUCT(G$4:G274)</f>
        <v>0.97611178686711</v>
      </c>
      <c r="J274" s="1680">
        <v>0.17</v>
      </c>
      <c r="K274" s="1680">
        <v>0</v>
      </c>
      <c r="L274" s="1680">
        <v>0</v>
      </c>
      <c r="N274" s="1681"/>
      <c r="O274" s="1681"/>
      <c r="P274" s="1681"/>
      <c r="Q274" s="1681"/>
      <c r="R274" s="1681"/>
      <c r="T274" s="1681"/>
      <c r="U274" s="1681"/>
      <c r="W274" s="1681">
        <f t="shared" si="34"/>
        <v>0</v>
      </c>
      <c r="X274" s="1681"/>
      <c r="Y274" s="1681">
        <f t="shared" si="35"/>
        <v>0</v>
      </c>
      <c r="Z274" s="1681"/>
      <c r="AB274" s="1682"/>
      <c r="AC274" s="1682"/>
      <c r="AE274" s="1683"/>
      <c r="AF274" s="1683"/>
      <c r="AG274" s="1683"/>
      <c r="AH274" s="1683"/>
      <c r="AI274" s="1683"/>
      <c r="AJ274" s="1683"/>
      <c r="AK274" s="1683"/>
      <c r="AL274" s="1683"/>
      <c r="AM274" s="1683"/>
      <c r="AN274" s="1683"/>
      <c r="AO274" s="1683"/>
      <c r="AP274" s="1683"/>
      <c r="AQ274" s="1683"/>
      <c r="AR274" s="1683"/>
      <c r="AS274" s="1683"/>
      <c r="AT274" s="1683"/>
      <c r="AU274" s="1683"/>
      <c r="AV274" s="1683"/>
      <c r="AW274" s="1683"/>
      <c r="AX274" s="1683"/>
      <c r="AY274" s="1683"/>
      <c r="AZ274" s="1683"/>
      <c r="BA274" s="1683"/>
      <c r="BB274" s="1683"/>
    </row>
    <row r="275" spans="1:54">
      <c r="A275" s="326">
        <f t="shared" si="31"/>
        <v>41759</v>
      </c>
      <c r="B275" s="1678">
        <v>99.8</v>
      </c>
      <c r="C275" s="1679">
        <f t="shared" si="32"/>
        <v>0.998</v>
      </c>
      <c r="D275" s="1679">
        <f>PRODUCT(C$4:C275)</f>
        <v>3.44753486827569</v>
      </c>
      <c r="F275" s="1678">
        <v>100.19</v>
      </c>
      <c r="G275" s="1679">
        <f t="shared" si="33"/>
        <v>1.0019</v>
      </c>
      <c r="H275" s="1679">
        <f>PRODUCT(G$4:G275)</f>
        <v>0.977966399262158</v>
      </c>
      <c r="J275" s="1680">
        <v>0.17</v>
      </c>
      <c r="K275" s="1680">
        <v>0</v>
      </c>
      <c r="L275" s="1680">
        <v>0</v>
      </c>
      <c r="N275" s="1681"/>
      <c r="O275" s="1681"/>
      <c r="P275" s="1681"/>
      <c r="Q275" s="1681"/>
      <c r="R275" s="1681"/>
      <c r="T275" s="1681"/>
      <c r="U275" s="1681"/>
      <c r="W275" s="1681">
        <f t="shared" si="34"/>
        <v>0</v>
      </c>
      <c r="X275" s="1681"/>
      <c r="Y275" s="1681">
        <f t="shared" si="35"/>
        <v>0</v>
      </c>
      <c r="Z275" s="1681"/>
      <c r="AB275" s="1682"/>
      <c r="AC275" s="1682"/>
      <c r="AE275" s="1683"/>
      <c r="AF275" s="1683"/>
      <c r="AG275" s="1683"/>
      <c r="AH275" s="1683"/>
      <c r="AI275" s="1683"/>
      <c r="AJ275" s="1683"/>
      <c r="AK275" s="1683"/>
      <c r="AL275" s="1683"/>
      <c r="AM275" s="1683"/>
      <c r="AN275" s="1683"/>
      <c r="AO275" s="1683"/>
      <c r="AP275" s="1683"/>
      <c r="AQ275" s="1683"/>
      <c r="AR275" s="1683"/>
      <c r="AS275" s="1683"/>
      <c r="AT275" s="1683"/>
      <c r="AU275" s="1683"/>
      <c r="AV275" s="1683"/>
      <c r="AW275" s="1683"/>
      <c r="AX275" s="1683"/>
      <c r="AY275" s="1683"/>
      <c r="AZ275" s="1683"/>
      <c r="BA275" s="1683"/>
      <c r="BB275" s="1683"/>
    </row>
    <row r="276" spans="1:54">
      <c r="A276" s="326">
        <f t="shared" si="31"/>
        <v>41790</v>
      </c>
      <c r="B276" s="1678">
        <v>99.9</v>
      </c>
      <c r="C276" s="1679">
        <f t="shared" si="32"/>
        <v>0.999</v>
      </c>
      <c r="D276" s="1679">
        <f>PRODUCT(C$4:C276)</f>
        <v>3.44408733340741</v>
      </c>
      <c r="F276" s="1678">
        <v>100.82</v>
      </c>
      <c r="G276" s="1679">
        <f t="shared" si="33"/>
        <v>1.0082</v>
      </c>
      <c r="H276" s="1679">
        <f>PRODUCT(G$4:G276)</f>
        <v>0.985985723736107</v>
      </c>
      <c r="J276" s="1680">
        <v>0.17</v>
      </c>
      <c r="K276" s="1680">
        <v>0</v>
      </c>
      <c r="L276" s="1680">
        <v>0</v>
      </c>
      <c r="N276" s="1681"/>
      <c r="O276" s="1681"/>
      <c r="P276" s="1681"/>
      <c r="Q276" s="1681"/>
      <c r="R276" s="1681"/>
      <c r="T276" s="1681"/>
      <c r="U276" s="1681"/>
      <c r="W276" s="1681">
        <f t="shared" si="34"/>
        <v>0</v>
      </c>
      <c r="X276" s="1681"/>
      <c r="Y276" s="1681">
        <f t="shared" si="35"/>
        <v>0</v>
      </c>
      <c r="Z276" s="1681"/>
      <c r="AB276" s="1682"/>
      <c r="AC276" s="1682"/>
      <c r="AE276" s="1683"/>
      <c r="AF276" s="1683"/>
      <c r="AG276" s="1683"/>
      <c r="AH276" s="1683"/>
      <c r="AI276" s="1683"/>
      <c r="AJ276" s="1683"/>
      <c r="AK276" s="1683"/>
      <c r="AL276" s="1683"/>
      <c r="AM276" s="1683"/>
      <c r="AN276" s="1683"/>
      <c r="AO276" s="1683"/>
      <c r="AP276" s="1683"/>
      <c r="AQ276" s="1683"/>
      <c r="AR276" s="1683"/>
      <c r="AS276" s="1683"/>
      <c r="AT276" s="1683"/>
      <c r="AU276" s="1683"/>
      <c r="AV276" s="1683"/>
      <c r="AW276" s="1683"/>
      <c r="AX276" s="1683"/>
      <c r="AY276" s="1683"/>
      <c r="AZ276" s="1683"/>
      <c r="BA276" s="1683"/>
      <c r="BB276" s="1683"/>
    </row>
    <row r="277" spans="1:54">
      <c r="A277" s="326">
        <f t="shared" si="31"/>
        <v>41820</v>
      </c>
      <c r="B277" s="1678">
        <v>99.8</v>
      </c>
      <c r="C277" s="1679">
        <f t="shared" si="32"/>
        <v>0.998</v>
      </c>
      <c r="D277" s="1679">
        <f>PRODUCT(C$4:C277)</f>
        <v>3.4371991587406</v>
      </c>
      <c r="F277" s="1678">
        <v>100.3</v>
      </c>
      <c r="G277" s="1679">
        <f t="shared" si="33"/>
        <v>1.003</v>
      </c>
      <c r="H277" s="1679">
        <f>PRODUCT(G$4:G277)</f>
        <v>0.988943680907316</v>
      </c>
      <c r="J277" s="1680">
        <v>0.17</v>
      </c>
      <c r="K277" s="1680">
        <v>0</v>
      </c>
      <c r="L277" s="1680">
        <v>0</v>
      </c>
      <c r="N277" s="1681"/>
      <c r="O277" s="1681"/>
      <c r="P277" s="1681"/>
      <c r="Q277" s="1681"/>
      <c r="R277" s="1681"/>
      <c r="T277" s="1681"/>
      <c r="U277" s="1681"/>
      <c r="W277" s="1681">
        <f t="shared" si="34"/>
        <v>0</v>
      </c>
      <c r="X277" s="1681"/>
      <c r="Y277" s="1681">
        <f t="shared" si="35"/>
        <v>0</v>
      </c>
      <c r="Z277" s="1681"/>
      <c r="AB277" s="1682"/>
      <c r="AC277" s="1682"/>
      <c r="AE277" s="1683"/>
      <c r="AF277" s="1683"/>
      <c r="AG277" s="1683"/>
      <c r="AH277" s="1683"/>
      <c r="AI277" s="1683"/>
      <c r="AJ277" s="1683"/>
      <c r="AK277" s="1683"/>
      <c r="AL277" s="1683"/>
      <c r="AM277" s="1683"/>
      <c r="AN277" s="1683"/>
      <c r="AO277" s="1683"/>
      <c r="AP277" s="1683"/>
      <c r="AQ277" s="1683"/>
      <c r="AR277" s="1683"/>
      <c r="AS277" s="1683"/>
      <c r="AT277" s="1683"/>
      <c r="AU277" s="1683"/>
      <c r="AV277" s="1683"/>
      <c r="AW277" s="1683"/>
      <c r="AX277" s="1683"/>
      <c r="AY277" s="1683"/>
      <c r="AZ277" s="1683"/>
      <c r="BA277" s="1683"/>
      <c r="BB277" s="1683"/>
    </row>
    <row r="278" spans="1:54">
      <c r="A278" s="326">
        <f t="shared" ref="A278:A341" si="36">DATE(IF(MONTH(A277)=12,YEAR(A277)+1,YEAR(A277)),MONTH(A277+1)+1,1)-1</f>
        <v>41851</v>
      </c>
      <c r="B278" s="1678">
        <v>99.9</v>
      </c>
      <c r="C278" s="1679">
        <f t="shared" si="32"/>
        <v>0.999</v>
      </c>
      <c r="D278" s="1679">
        <f>PRODUCT(C$4:C278)</f>
        <v>3.43376195958186</v>
      </c>
      <c r="F278" s="1678">
        <v>100.2</v>
      </c>
      <c r="G278" s="1679">
        <f t="shared" si="33"/>
        <v>1.002</v>
      </c>
      <c r="H278" s="1679">
        <f>PRODUCT(G$4:G278)</f>
        <v>0.99092156826913</v>
      </c>
      <c r="J278" s="1680">
        <v>0.17</v>
      </c>
      <c r="K278" s="1680">
        <v>0</v>
      </c>
      <c r="L278" s="1680">
        <v>0</v>
      </c>
      <c r="N278" s="1681"/>
      <c r="O278" s="1681"/>
      <c r="P278" s="1681"/>
      <c r="Q278" s="1681"/>
      <c r="R278" s="1681"/>
      <c r="T278" s="1681"/>
      <c r="U278" s="1681"/>
      <c r="W278" s="1681">
        <f t="shared" si="34"/>
        <v>0</v>
      </c>
      <c r="X278" s="1681"/>
      <c r="Y278" s="1681">
        <f t="shared" si="35"/>
        <v>0</v>
      </c>
      <c r="Z278" s="1681"/>
      <c r="AB278" s="1682"/>
      <c r="AC278" s="1682"/>
      <c r="AE278" s="1683"/>
      <c r="AF278" s="1683"/>
      <c r="AG278" s="1683"/>
      <c r="AH278" s="1683"/>
      <c r="AI278" s="1683"/>
      <c r="AJ278" s="1683"/>
      <c r="AK278" s="1683"/>
      <c r="AL278" s="1683"/>
      <c r="AM278" s="1683"/>
      <c r="AN278" s="1683"/>
      <c r="AO278" s="1683"/>
      <c r="AP278" s="1683"/>
      <c r="AQ278" s="1683"/>
      <c r="AR278" s="1683"/>
      <c r="AS278" s="1683"/>
      <c r="AT278" s="1683"/>
      <c r="AU278" s="1683"/>
      <c r="AV278" s="1683"/>
      <c r="AW278" s="1683"/>
      <c r="AX278" s="1683"/>
      <c r="AY278" s="1683"/>
      <c r="AZ278" s="1683"/>
      <c r="BA278" s="1683"/>
      <c r="BB278" s="1683"/>
    </row>
    <row r="279" spans="1:54">
      <c r="A279" s="326">
        <f t="shared" si="36"/>
        <v>41882</v>
      </c>
      <c r="B279" s="1678">
        <v>99.8</v>
      </c>
      <c r="C279" s="1679">
        <f t="shared" si="32"/>
        <v>0.998</v>
      </c>
      <c r="D279" s="1679">
        <f>PRODUCT(C$4:C279)</f>
        <v>3.42689443566269</v>
      </c>
      <c r="F279" s="1678">
        <v>99.5</v>
      </c>
      <c r="G279" s="1679">
        <f t="shared" si="33"/>
        <v>0.995</v>
      </c>
      <c r="H279" s="1679">
        <f>PRODUCT(G$4:G279)</f>
        <v>0.985966960427785</v>
      </c>
      <c r="J279" s="1680">
        <v>0.17</v>
      </c>
      <c r="K279" s="1680">
        <v>0</v>
      </c>
      <c r="L279" s="1680">
        <v>0</v>
      </c>
      <c r="N279" s="1681"/>
      <c r="O279" s="1681"/>
      <c r="P279" s="1681"/>
      <c r="Q279" s="1681"/>
      <c r="R279" s="1681"/>
      <c r="T279" s="1681"/>
      <c r="U279" s="1681"/>
      <c r="W279" s="1681">
        <f t="shared" si="34"/>
        <v>0</v>
      </c>
      <c r="X279" s="1681"/>
      <c r="Y279" s="1681">
        <f t="shared" si="35"/>
        <v>0</v>
      </c>
      <c r="Z279" s="1681"/>
      <c r="AB279" s="1682"/>
      <c r="AC279" s="1682"/>
      <c r="AE279" s="1683"/>
      <c r="AF279" s="1683"/>
      <c r="AG279" s="1683"/>
      <c r="AH279" s="1683"/>
      <c r="AI279" s="1683"/>
      <c r="AJ279" s="1683"/>
      <c r="AK279" s="1683"/>
      <c r="AL279" s="1683"/>
      <c r="AM279" s="1683"/>
      <c r="AN279" s="1683"/>
      <c r="AO279" s="1683"/>
      <c r="AP279" s="1683"/>
      <c r="AQ279" s="1683"/>
      <c r="AR279" s="1683"/>
      <c r="AS279" s="1683"/>
      <c r="AT279" s="1683"/>
      <c r="AU279" s="1683"/>
      <c r="AV279" s="1683"/>
      <c r="AW279" s="1683"/>
      <c r="AX279" s="1683"/>
      <c r="AY279" s="1683"/>
      <c r="AZ279" s="1683"/>
      <c r="BA279" s="1683"/>
      <c r="BB279" s="1683"/>
    </row>
    <row r="280" spans="1:54">
      <c r="A280" s="326">
        <f t="shared" si="36"/>
        <v>41912</v>
      </c>
      <c r="B280" s="1678">
        <v>99.6</v>
      </c>
      <c r="C280" s="1679">
        <f t="shared" si="32"/>
        <v>0.996</v>
      </c>
      <c r="D280" s="1679">
        <f>PRODUCT(C$4:C280)</f>
        <v>3.41318685792004</v>
      </c>
      <c r="F280" s="1678">
        <v>99.03</v>
      </c>
      <c r="G280" s="1679">
        <f t="shared" si="33"/>
        <v>0.9903</v>
      </c>
      <c r="H280" s="1679">
        <f>PRODUCT(G$4:G280)</f>
        <v>0.976403080911635</v>
      </c>
      <c r="J280" s="1680">
        <v>0.17</v>
      </c>
      <c r="K280" s="1680">
        <v>0</v>
      </c>
      <c r="L280" s="1680">
        <v>0</v>
      </c>
      <c r="N280" s="1681"/>
      <c r="O280" s="1681"/>
      <c r="P280" s="1681"/>
      <c r="Q280" s="1681"/>
      <c r="R280" s="1681"/>
      <c r="T280" s="1681"/>
      <c r="U280" s="1681"/>
      <c r="W280" s="1681">
        <f t="shared" si="34"/>
        <v>0</v>
      </c>
      <c r="X280" s="1681"/>
      <c r="Y280" s="1681">
        <f t="shared" si="35"/>
        <v>0</v>
      </c>
      <c r="Z280" s="1681"/>
      <c r="AB280" s="1682"/>
      <c r="AC280" s="1682"/>
      <c r="AE280" s="1683"/>
      <c r="AF280" s="1683"/>
      <c r="AG280" s="1683"/>
      <c r="AH280" s="1683"/>
      <c r="AI280" s="1683"/>
      <c r="AJ280" s="1683"/>
      <c r="AK280" s="1683"/>
      <c r="AL280" s="1683"/>
      <c r="AM280" s="1683"/>
      <c r="AN280" s="1683"/>
      <c r="AO280" s="1683"/>
      <c r="AP280" s="1683"/>
      <c r="AQ280" s="1683"/>
      <c r="AR280" s="1683"/>
      <c r="AS280" s="1683"/>
      <c r="AT280" s="1683"/>
      <c r="AU280" s="1683"/>
      <c r="AV280" s="1683"/>
      <c r="AW280" s="1683"/>
      <c r="AX280" s="1683"/>
      <c r="AY280" s="1683"/>
      <c r="AZ280" s="1683"/>
      <c r="BA280" s="1683"/>
      <c r="BB280" s="1683"/>
    </row>
    <row r="281" spans="1:54">
      <c r="A281" s="326">
        <f t="shared" si="36"/>
        <v>41943</v>
      </c>
      <c r="B281" s="1678">
        <v>99.6</v>
      </c>
      <c r="C281" s="1679">
        <f t="shared" si="32"/>
        <v>0.996</v>
      </c>
      <c r="D281" s="1679">
        <f>PRODUCT(C$4:C281)</f>
        <v>3.39953411048836</v>
      </c>
      <c r="F281" s="1678">
        <v>99.24</v>
      </c>
      <c r="G281" s="1679">
        <f t="shared" si="33"/>
        <v>0.9924</v>
      </c>
      <c r="H281" s="1679">
        <f>PRODUCT(G$4:G281)</f>
        <v>0.968982417496706</v>
      </c>
      <c r="J281" s="1680">
        <v>0.17</v>
      </c>
      <c r="K281" s="1680">
        <v>0</v>
      </c>
      <c r="L281" s="1680">
        <v>0</v>
      </c>
      <c r="N281" s="1681"/>
      <c r="O281" s="1681"/>
      <c r="P281" s="1681"/>
      <c r="Q281" s="1681"/>
      <c r="R281" s="1681"/>
      <c r="T281" s="1681"/>
      <c r="U281" s="1681"/>
      <c r="W281" s="1681">
        <f t="shared" si="34"/>
        <v>0</v>
      </c>
      <c r="X281" s="1681"/>
      <c r="Y281" s="1681">
        <f t="shared" si="35"/>
        <v>0</v>
      </c>
      <c r="Z281" s="1681"/>
      <c r="AB281" s="1682"/>
      <c r="AC281" s="1682"/>
      <c r="AE281" s="1683"/>
      <c r="AF281" s="1683"/>
      <c r="AG281" s="1683"/>
      <c r="AH281" s="1683"/>
      <c r="AI281" s="1683"/>
      <c r="AJ281" s="1683"/>
      <c r="AK281" s="1683"/>
      <c r="AL281" s="1683"/>
      <c r="AM281" s="1683"/>
      <c r="AN281" s="1683"/>
      <c r="AO281" s="1683"/>
      <c r="AP281" s="1683"/>
      <c r="AQ281" s="1683"/>
      <c r="AR281" s="1683"/>
      <c r="AS281" s="1683"/>
      <c r="AT281" s="1683"/>
      <c r="AU281" s="1683"/>
      <c r="AV281" s="1683"/>
      <c r="AW281" s="1683"/>
      <c r="AX281" s="1683"/>
      <c r="AY281" s="1683"/>
      <c r="AZ281" s="1683"/>
      <c r="BA281" s="1683"/>
      <c r="BB281" s="1683"/>
    </row>
    <row r="282" spans="1:54">
      <c r="A282" s="326">
        <f t="shared" si="36"/>
        <v>41973</v>
      </c>
      <c r="B282" s="1678">
        <v>99.5</v>
      </c>
      <c r="C282" s="1679">
        <f t="shared" si="32"/>
        <v>0.995</v>
      </c>
      <c r="D282" s="1679">
        <f>PRODUCT(C$4:C282)</f>
        <v>3.38253643993592</v>
      </c>
      <c r="F282" s="1678">
        <v>99.48</v>
      </c>
      <c r="G282" s="1679">
        <f t="shared" si="33"/>
        <v>0.9948</v>
      </c>
      <c r="H282" s="1679">
        <f>PRODUCT(G$4:G282)</f>
        <v>0.963943708925724</v>
      </c>
      <c r="J282" s="1680">
        <v>0.17</v>
      </c>
      <c r="K282" s="1680">
        <v>0</v>
      </c>
      <c r="L282" s="1680">
        <v>0</v>
      </c>
      <c r="N282" s="1681"/>
      <c r="O282" s="1681"/>
      <c r="P282" s="1681"/>
      <c r="Q282" s="1681"/>
      <c r="R282" s="1681"/>
      <c r="T282" s="1681"/>
      <c r="U282" s="1681"/>
      <c r="W282" s="1681">
        <f t="shared" si="34"/>
        <v>0</v>
      </c>
      <c r="X282" s="1681"/>
      <c r="Y282" s="1681">
        <f t="shared" si="35"/>
        <v>0</v>
      </c>
      <c r="Z282" s="1681"/>
      <c r="AB282" s="1682"/>
      <c r="AC282" s="1682"/>
      <c r="AE282" s="1683"/>
      <c r="AF282" s="1683"/>
      <c r="AG282" s="1683"/>
      <c r="AH282" s="1683"/>
      <c r="AI282" s="1683"/>
      <c r="AJ282" s="1683"/>
      <c r="AK282" s="1683"/>
      <c r="AL282" s="1683"/>
      <c r="AM282" s="1683"/>
      <c r="AN282" s="1683"/>
      <c r="AO282" s="1683"/>
      <c r="AP282" s="1683"/>
      <c r="AQ282" s="1683"/>
      <c r="AR282" s="1683"/>
      <c r="AS282" s="1683"/>
      <c r="AT282" s="1683"/>
      <c r="AU282" s="1683"/>
      <c r="AV282" s="1683"/>
      <c r="AW282" s="1683"/>
      <c r="AX282" s="1683"/>
      <c r="AY282" s="1683"/>
      <c r="AZ282" s="1683"/>
      <c r="BA282" s="1683"/>
      <c r="BB282" s="1683"/>
    </row>
    <row r="283" spans="1:54">
      <c r="A283" s="326">
        <f t="shared" si="36"/>
        <v>42004</v>
      </c>
      <c r="B283" s="1678">
        <v>99.4</v>
      </c>
      <c r="C283" s="1679">
        <f t="shared" si="32"/>
        <v>0.994</v>
      </c>
      <c r="D283" s="1679">
        <f>PRODUCT(C$4:C283)</f>
        <v>3.3622412212963</v>
      </c>
      <c r="F283" s="1678">
        <v>99.17</v>
      </c>
      <c r="G283" s="1679">
        <f t="shared" si="33"/>
        <v>0.9917</v>
      </c>
      <c r="H283" s="1679">
        <f>PRODUCT(G$4:G283)</f>
        <v>0.95594297614164</v>
      </c>
      <c r="J283" s="1680">
        <v>0.17</v>
      </c>
      <c r="K283" s="1680">
        <v>0</v>
      </c>
      <c r="L283" s="1680">
        <v>0</v>
      </c>
      <c r="N283" s="1681"/>
      <c r="O283" s="1681"/>
      <c r="P283" s="1681"/>
      <c r="Q283" s="1681"/>
      <c r="R283" s="1681"/>
      <c r="T283" s="1681"/>
      <c r="U283" s="1681"/>
      <c r="W283" s="1681">
        <f t="shared" si="34"/>
        <v>0</v>
      </c>
      <c r="X283" s="1681"/>
      <c r="Y283" s="1681">
        <f t="shared" si="35"/>
        <v>0</v>
      </c>
      <c r="Z283" s="1681"/>
      <c r="AB283" s="1682"/>
      <c r="AC283" s="1682"/>
      <c r="AE283" s="1683"/>
      <c r="AF283" s="1683"/>
      <c r="AG283" s="1683"/>
      <c r="AH283" s="1683"/>
      <c r="AI283" s="1683"/>
      <c r="AJ283" s="1683"/>
      <c r="AK283" s="1683"/>
      <c r="AL283" s="1683"/>
      <c r="AM283" s="1683"/>
      <c r="AN283" s="1683"/>
      <c r="AO283" s="1683"/>
      <c r="AP283" s="1683"/>
      <c r="AQ283" s="1683"/>
      <c r="AR283" s="1683"/>
      <c r="AS283" s="1683"/>
      <c r="AT283" s="1683"/>
      <c r="AU283" s="1683"/>
      <c r="AV283" s="1683"/>
      <c r="AW283" s="1683"/>
      <c r="AX283" s="1683"/>
      <c r="AY283" s="1683"/>
      <c r="AZ283" s="1683"/>
      <c r="BA283" s="1683"/>
      <c r="BB283" s="1683"/>
    </row>
    <row r="284" spans="1:54">
      <c r="A284" s="326">
        <f t="shared" si="36"/>
        <v>42035</v>
      </c>
      <c r="B284" s="1678">
        <v>99.9</v>
      </c>
      <c r="C284" s="1679">
        <f t="shared" si="32"/>
        <v>0.999</v>
      </c>
      <c r="D284" s="1679">
        <f>PRODUCT(C$4:C284)</f>
        <v>3.35887898007501</v>
      </c>
      <c r="F284" s="1678">
        <v>98.74</v>
      </c>
      <c r="G284" s="1679">
        <f t="shared" si="33"/>
        <v>0.9874</v>
      </c>
      <c r="H284" s="1679">
        <f>PRODUCT(G$4:G284)</f>
        <v>0.943898094642255</v>
      </c>
      <c r="J284" s="1680">
        <v>0.17</v>
      </c>
      <c r="K284" s="1680">
        <v>0</v>
      </c>
      <c r="L284" s="1680">
        <v>0</v>
      </c>
      <c r="N284" s="1681"/>
      <c r="O284" s="1681"/>
      <c r="P284" s="1681"/>
      <c r="Q284" s="1681"/>
      <c r="R284" s="1681"/>
      <c r="T284" s="1681"/>
      <c r="U284" s="1681"/>
      <c r="W284" s="1681">
        <f t="shared" si="34"/>
        <v>0</v>
      </c>
      <c r="X284" s="1681"/>
      <c r="Y284" s="1681">
        <f t="shared" si="35"/>
        <v>0</v>
      </c>
      <c r="Z284" s="1681"/>
      <c r="AB284" s="1682"/>
      <c r="AC284" s="1682"/>
      <c r="AE284" s="1683"/>
      <c r="AF284" s="1683"/>
      <c r="AG284" s="1683"/>
      <c r="AH284" s="1683"/>
      <c r="AI284" s="1683"/>
      <c r="AJ284" s="1683"/>
      <c r="AK284" s="1683"/>
      <c r="AL284" s="1683"/>
      <c r="AM284" s="1683"/>
      <c r="AN284" s="1683"/>
      <c r="AO284" s="1683"/>
      <c r="AP284" s="1683"/>
      <c r="AQ284" s="1683"/>
      <c r="AR284" s="1683"/>
      <c r="AS284" s="1683"/>
      <c r="AT284" s="1683"/>
      <c r="AU284" s="1683"/>
      <c r="AV284" s="1683"/>
      <c r="AW284" s="1683"/>
      <c r="AX284" s="1683"/>
      <c r="AY284" s="1683"/>
      <c r="AZ284" s="1683"/>
      <c r="BA284" s="1683"/>
      <c r="BB284" s="1683"/>
    </row>
    <row r="285" spans="1:54">
      <c r="A285" s="326">
        <f t="shared" si="36"/>
        <v>42063</v>
      </c>
      <c r="B285" s="1678">
        <v>99.3</v>
      </c>
      <c r="C285" s="1679">
        <f t="shared" si="32"/>
        <v>0.993</v>
      </c>
      <c r="D285" s="1679">
        <f>PRODUCT(C$4:C285)</f>
        <v>3.33536682721448</v>
      </c>
      <c r="F285" s="1678">
        <v>99.79</v>
      </c>
      <c r="G285" s="1679">
        <f t="shared" si="33"/>
        <v>0.9979</v>
      </c>
      <c r="H285" s="1679">
        <f>PRODUCT(G$4:G285)</f>
        <v>0.941915908643507</v>
      </c>
      <c r="J285" s="1680">
        <v>0.17</v>
      </c>
      <c r="K285" s="1680">
        <v>0</v>
      </c>
      <c r="L285" s="1680">
        <v>0</v>
      </c>
      <c r="N285" s="1681"/>
      <c r="O285" s="1681"/>
      <c r="P285" s="1681"/>
      <c r="Q285" s="1681"/>
      <c r="R285" s="1681"/>
      <c r="T285" s="1681"/>
      <c r="U285" s="1681"/>
      <c r="W285" s="1681">
        <f t="shared" si="34"/>
        <v>0</v>
      </c>
      <c r="X285" s="1681"/>
      <c r="Y285" s="1681">
        <f t="shared" si="35"/>
        <v>0</v>
      </c>
      <c r="Z285" s="1681"/>
      <c r="AB285" s="1682"/>
      <c r="AC285" s="1682"/>
      <c r="AE285" s="1683"/>
      <c r="AF285" s="1683"/>
      <c r="AG285" s="1683"/>
      <c r="AH285" s="1683"/>
      <c r="AI285" s="1683"/>
      <c r="AJ285" s="1683"/>
      <c r="AK285" s="1683"/>
      <c r="AL285" s="1683"/>
      <c r="AM285" s="1683"/>
      <c r="AN285" s="1683"/>
      <c r="AO285" s="1683"/>
      <c r="AP285" s="1683"/>
      <c r="AQ285" s="1683"/>
      <c r="AR285" s="1683"/>
      <c r="AS285" s="1683"/>
      <c r="AT285" s="1683"/>
      <c r="AU285" s="1683"/>
      <c r="AV285" s="1683"/>
      <c r="AW285" s="1683"/>
      <c r="AX285" s="1683"/>
      <c r="AY285" s="1683"/>
      <c r="AZ285" s="1683"/>
      <c r="BA285" s="1683"/>
      <c r="BB285" s="1683"/>
    </row>
    <row r="286" spans="1:54">
      <c r="A286" s="326">
        <f t="shared" si="36"/>
        <v>42094</v>
      </c>
      <c r="B286" s="1678">
        <v>99.9</v>
      </c>
      <c r="C286" s="1679">
        <f t="shared" si="32"/>
        <v>0.999</v>
      </c>
      <c r="D286" s="1679">
        <f>PRODUCT(C$4:C286)</f>
        <v>3.33203146038727</v>
      </c>
      <c r="F286" s="1678">
        <v>100.42</v>
      </c>
      <c r="G286" s="1679">
        <f t="shared" si="33"/>
        <v>1.0042</v>
      </c>
      <c r="H286" s="1679">
        <f>PRODUCT(G$4:G286)</f>
        <v>0.945871955459809</v>
      </c>
      <c r="J286" s="1680">
        <v>0.17</v>
      </c>
      <c r="K286" s="1680">
        <v>0</v>
      </c>
      <c r="L286" s="1680">
        <v>0</v>
      </c>
      <c r="N286" s="1681"/>
      <c r="O286" s="1681"/>
      <c r="P286" s="1681"/>
      <c r="Q286" s="1681"/>
      <c r="R286" s="1681"/>
      <c r="T286" s="1681"/>
      <c r="U286" s="1681"/>
      <c r="W286" s="1681">
        <f t="shared" si="34"/>
        <v>0</v>
      </c>
      <c r="X286" s="1681"/>
      <c r="Y286" s="1681">
        <f t="shared" si="35"/>
        <v>0</v>
      </c>
      <c r="Z286" s="1681"/>
      <c r="AB286" s="1682"/>
      <c r="AC286" s="1682"/>
      <c r="AE286" s="1683"/>
      <c r="AF286" s="1683"/>
      <c r="AG286" s="1683"/>
      <c r="AH286" s="1683"/>
      <c r="AI286" s="1683"/>
      <c r="AJ286" s="1683"/>
      <c r="AK286" s="1683"/>
      <c r="AL286" s="1683"/>
      <c r="AM286" s="1683"/>
      <c r="AN286" s="1683"/>
      <c r="AO286" s="1683"/>
      <c r="AP286" s="1683"/>
      <c r="AQ286" s="1683"/>
      <c r="AR286" s="1683"/>
      <c r="AS286" s="1683"/>
      <c r="AT286" s="1683"/>
      <c r="AU286" s="1683"/>
      <c r="AV286" s="1683"/>
      <c r="AW286" s="1683"/>
      <c r="AX286" s="1683"/>
      <c r="AY286" s="1683"/>
      <c r="AZ286" s="1683"/>
      <c r="BA286" s="1683"/>
      <c r="BB286" s="1683"/>
    </row>
    <row r="287" spans="1:54">
      <c r="A287" s="326">
        <f t="shared" si="36"/>
        <v>42124</v>
      </c>
      <c r="B287" s="1678">
        <v>99.7</v>
      </c>
      <c r="C287" s="1679">
        <f t="shared" si="32"/>
        <v>0.997</v>
      </c>
      <c r="D287" s="1679">
        <f>PRODUCT(C$4:C287)</f>
        <v>3.32203536600611</v>
      </c>
      <c r="F287" s="1678">
        <v>100.11</v>
      </c>
      <c r="G287" s="1679">
        <f t="shared" si="33"/>
        <v>1.0011</v>
      </c>
      <c r="H287" s="1679">
        <f>PRODUCT(G$4:G287)</f>
        <v>0.946912414610815</v>
      </c>
      <c r="J287" s="1680">
        <v>0.17</v>
      </c>
      <c r="K287" s="1680">
        <v>0</v>
      </c>
      <c r="L287" s="1680">
        <v>0</v>
      </c>
      <c r="N287" s="1681"/>
      <c r="O287" s="1681"/>
      <c r="P287" s="1681"/>
      <c r="Q287" s="1681"/>
      <c r="R287" s="1681"/>
      <c r="T287" s="1681"/>
      <c r="U287" s="1681"/>
      <c r="W287" s="1681">
        <f t="shared" si="34"/>
        <v>0</v>
      </c>
      <c r="X287" s="1681"/>
      <c r="Y287" s="1681">
        <f t="shared" si="35"/>
        <v>0</v>
      </c>
      <c r="Z287" s="1681"/>
      <c r="AB287" s="1682"/>
      <c r="AC287" s="1682"/>
      <c r="AE287" s="1683"/>
      <c r="AF287" s="1683"/>
      <c r="AG287" s="1683"/>
      <c r="AH287" s="1683"/>
      <c r="AI287" s="1683"/>
      <c r="AJ287" s="1683"/>
      <c r="AK287" s="1683"/>
      <c r="AL287" s="1683"/>
      <c r="AM287" s="1683"/>
      <c r="AN287" s="1683"/>
      <c r="AO287" s="1683"/>
      <c r="AP287" s="1683"/>
      <c r="AQ287" s="1683"/>
      <c r="AR287" s="1683"/>
      <c r="AS287" s="1683"/>
      <c r="AT287" s="1683"/>
      <c r="AU287" s="1683"/>
      <c r="AV287" s="1683"/>
      <c r="AW287" s="1683"/>
      <c r="AX287" s="1683"/>
      <c r="AY287" s="1683"/>
      <c r="AZ287" s="1683"/>
      <c r="BA287" s="1683"/>
      <c r="BB287" s="1683"/>
    </row>
    <row r="288" spans="1:54">
      <c r="A288" s="326">
        <f t="shared" si="36"/>
        <v>42155</v>
      </c>
      <c r="B288" s="1678">
        <v>99.9</v>
      </c>
      <c r="C288" s="1679">
        <f t="shared" si="32"/>
        <v>0.999</v>
      </c>
      <c r="D288" s="1679">
        <f>PRODUCT(C$4:C288)</f>
        <v>3.3187133306401</v>
      </c>
      <c r="F288" s="1678">
        <v>99.79</v>
      </c>
      <c r="G288" s="1679">
        <f t="shared" si="33"/>
        <v>0.9979</v>
      </c>
      <c r="H288" s="1679">
        <f>PRODUCT(G$4:G288)</f>
        <v>0.944923898540132</v>
      </c>
      <c r="J288" s="1680">
        <v>0.17</v>
      </c>
      <c r="K288" s="1680">
        <v>0</v>
      </c>
      <c r="L288" s="1680">
        <v>0</v>
      </c>
      <c r="N288" s="1681"/>
      <c r="O288" s="1681"/>
      <c r="P288" s="1681"/>
      <c r="Q288" s="1681"/>
      <c r="R288" s="1681"/>
      <c r="T288" s="1681"/>
      <c r="U288" s="1681"/>
      <c r="W288" s="1681">
        <f t="shared" si="34"/>
        <v>0</v>
      </c>
      <c r="X288" s="1681"/>
      <c r="Y288" s="1681">
        <f t="shared" si="35"/>
        <v>0</v>
      </c>
      <c r="Z288" s="1681"/>
      <c r="AB288" s="1682"/>
      <c r="AC288" s="1682"/>
      <c r="AE288" s="1683"/>
      <c r="AF288" s="1683"/>
      <c r="AG288" s="1683"/>
      <c r="AH288" s="1683"/>
      <c r="AI288" s="1683"/>
      <c r="AJ288" s="1683"/>
      <c r="AK288" s="1683"/>
      <c r="AL288" s="1683"/>
      <c r="AM288" s="1683"/>
      <c r="AN288" s="1683"/>
      <c r="AO288" s="1683"/>
      <c r="AP288" s="1683"/>
      <c r="AQ288" s="1683"/>
      <c r="AR288" s="1683"/>
      <c r="AS288" s="1683"/>
      <c r="AT288" s="1683"/>
      <c r="AU288" s="1683"/>
      <c r="AV288" s="1683"/>
      <c r="AW288" s="1683"/>
      <c r="AX288" s="1683"/>
      <c r="AY288" s="1683"/>
      <c r="AZ288" s="1683"/>
      <c r="BA288" s="1683"/>
      <c r="BB288" s="1683"/>
    </row>
    <row r="289" spans="1:54">
      <c r="A289" s="326">
        <f t="shared" si="36"/>
        <v>42185</v>
      </c>
      <c r="B289" s="1678">
        <v>99.6</v>
      </c>
      <c r="C289" s="1679">
        <f t="shared" si="32"/>
        <v>0.996</v>
      </c>
      <c r="D289" s="1679">
        <f>PRODUCT(C$4:C289)</f>
        <v>3.30543847731754</v>
      </c>
      <c r="F289" s="1678">
        <v>99.68</v>
      </c>
      <c r="G289" s="1679">
        <f t="shared" si="33"/>
        <v>0.9968</v>
      </c>
      <c r="H289" s="1679">
        <f>PRODUCT(G$4:G289)</f>
        <v>0.941900142064804</v>
      </c>
      <c r="J289" s="1680">
        <v>0.17</v>
      </c>
      <c r="K289" s="1680">
        <v>0</v>
      </c>
      <c r="L289" s="1680">
        <v>0</v>
      </c>
      <c r="N289" s="1681"/>
      <c r="O289" s="1681"/>
      <c r="P289" s="1681"/>
      <c r="Q289" s="1681"/>
      <c r="R289" s="1681"/>
      <c r="T289" s="1681"/>
      <c r="U289" s="1681"/>
      <c r="W289" s="1681">
        <f t="shared" si="34"/>
        <v>0</v>
      </c>
      <c r="X289" s="1681"/>
      <c r="Y289" s="1681">
        <f t="shared" si="35"/>
        <v>0</v>
      </c>
      <c r="Z289" s="1681"/>
      <c r="AB289" s="1682"/>
      <c r="AC289" s="1682"/>
      <c r="AE289" s="1683"/>
      <c r="AF289" s="1683"/>
      <c r="AG289" s="1683"/>
      <c r="AH289" s="1683"/>
      <c r="AI289" s="1683"/>
      <c r="AJ289" s="1683"/>
      <c r="AK289" s="1683"/>
      <c r="AL289" s="1683"/>
      <c r="AM289" s="1683"/>
      <c r="AN289" s="1683"/>
      <c r="AO289" s="1683"/>
      <c r="AP289" s="1683"/>
      <c r="AQ289" s="1683"/>
      <c r="AR289" s="1683"/>
      <c r="AS289" s="1683"/>
      <c r="AT289" s="1683"/>
      <c r="AU289" s="1683"/>
      <c r="AV289" s="1683"/>
      <c r="AW289" s="1683"/>
      <c r="AX289" s="1683"/>
      <c r="AY289" s="1683"/>
      <c r="AZ289" s="1683"/>
      <c r="BA289" s="1683"/>
      <c r="BB289" s="1683"/>
    </row>
    <row r="290" spans="1:54">
      <c r="A290" s="326">
        <f t="shared" si="36"/>
        <v>42216</v>
      </c>
      <c r="B290" s="1678">
        <v>99.3</v>
      </c>
      <c r="C290" s="1679">
        <f t="shared" si="32"/>
        <v>0.993</v>
      </c>
      <c r="D290" s="1679">
        <f>PRODUCT(C$4:C290)</f>
        <v>3.28230040797632</v>
      </c>
      <c r="F290" s="1678">
        <v>99.04</v>
      </c>
      <c r="G290" s="1679">
        <f t="shared" si="33"/>
        <v>0.9904</v>
      </c>
      <c r="H290" s="1679">
        <f>PRODUCT(G$4:G290)</f>
        <v>0.932857900700982</v>
      </c>
      <c r="J290" s="1680">
        <v>0.17</v>
      </c>
      <c r="K290" s="1680">
        <v>0</v>
      </c>
      <c r="L290" s="1680">
        <v>0</v>
      </c>
      <c r="N290" s="1681"/>
      <c r="O290" s="1681"/>
      <c r="P290" s="1681"/>
      <c r="Q290" s="1681"/>
      <c r="R290" s="1681"/>
      <c r="T290" s="1681"/>
      <c r="U290" s="1681"/>
      <c r="W290" s="1681">
        <f t="shared" si="34"/>
        <v>0</v>
      </c>
      <c r="X290" s="1681"/>
      <c r="Y290" s="1681">
        <f t="shared" si="35"/>
        <v>0</v>
      </c>
      <c r="Z290" s="1681"/>
      <c r="AB290" s="1682"/>
      <c r="AC290" s="1682"/>
      <c r="AE290" s="1683"/>
      <c r="AF290" s="1683"/>
      <c r="AG290" s="1683"/>
      <c r="AH290" s="1683"/>
      <c r="AI290" s="1683"/>
      <c r="AJ290" s="1683"/>
      <c r="AK290" s="1683"/>
      <c r="AL290" s="1683"/>
      <c r="AM290" s="1683"/>
      <c r="AN290" s="1683"/>
      <c r="AO290" s="1683"/>
      <c r="AP290" s="1683"/>
      <c r="AQ290" s="1683"/>
      <c r="AR290" s="1683"/>
      <c r="AS290" s="1683"/>
      <c r="AT290" s="1683"/>
      <c r="AU290" s="1683"/>
      <c r="AV290" s="1683"/>
      <c r="AW290" s="1683"/>
      <c r="AX290" s="1683"/>
      <c r="AY290" s="1683"/>
      <c r="AZ290" s="1683"/>
      <c r="BA290" s="1683"/>
      <c r="BB290" s="1683"/>
    </row>
    <row r="291" spans="1:54">
      <c r="A291" s="326">
        <f t="shared" si="36"/>
        <v>42247</v>
      </c>
      <c r="B291" s="1678">
        <v>99.2</v>
      </c>
      <c r="C291" s="1679">
        <f t="shared" si="32"/>
        <v>0.992</v>
      </c>
      <c r="D291" s="1679">
        <f>PRODUCT(C$4:C291)</f>
        <v>3.25604200471251</v>
      </c>
      <c r="F291" s="1678">
        <v>99.68</v>
      </c>
      <c r="G291" s="1679">
        <f t="shared" si="33"/>
        <v>0.9968</v>
      </c>
      <c r="H291" s="1679">
        <f>PRODUCT(G$4:G291)</f>
        <v>0.929872755418739</v>
      </c>
      <c r="J291" s="1680">
        <v>0.17</v>
      </c>
      <c r="K291" s="1680">
        <v>0</v>
      </c>
      <c r="L291" s="1680">
        <v>0</v>
      </c>
      <c r="N291" s="1681"/>
      <c r="O291" s="1681"/>
      <c r="P291" s="1681"/>
      <c r="Q291" s="1681"/>
      <c r="R291" s="1681"/>
      <c r="T291" s="1681"/>
      <c r="U291" s="1681"/>
      <c r="W291" s="1681">
        <f t="shared" si="34"/>
        <v>0</v>
      </c>
      <c r="X291" s="1681"/>
      <c r="Y291" s="1681">
        <f t="shared" si="35"/>
        <v>0</v>
      </c>
      <c r="Z291" s="1681"/>
      <c r="AB291" s="1682"/>
      <c r="AC291" s="1682"/>
      <c r="AE291" s="1683"/>
      <c r="AF291" s="1683"/>
      <c r="AG291" s="1683"/>
      <c r="AH291" s="1683"/>
      <c r="AI291" s="1683"/>
      <c r="AJ291" s="1683"/>
      <c r="AK291" s="1683"/>
      <c r="AL291" s="1683"/>
      <c r="AM291" s="1683"/>
      <c r="AN291" s="1683"/>
      <c r="AO291" s="1683"/>
      <c r="AP291" s="1683"/>
      <c r="AQ291" s="1683"/>
      <c r="AR291" s="1683"/>
      <c r="AS291" s="1683"/>
      <c r="AT291" s="1683"/>
      <c r="AU291" s="1683"/>
      <c r="AV291" s="1683"/>
      <c r="AW291" s="1683"/>
      <c r="AX291" s="1683"/>
      <c r="AY291" s="1683"/>
      <c r="AZ291" s="1683"/>
      <c r="BA291" s="1683"/>
      <c r="BB291" s="1683"/>
    </row>
    <row r="292" spans="1:54">
      <c r="A292" s="326">
        <f t="shared" si="36"/>
        <v>42277</v>
      </c>
      <c r="B292" s="1678">
        <v>99.6</v>
      </c>
      <c r="C292" s="1679">
        <f t="shared" si="32"/>
        <v>0.996</v>
      </c>
      <c r="D292" s="1679">
        <f>PRODUCT(C$4:C292)</f>
        <v>3.24301783669366</v>
      </c>
      <c r="F292" s="1678">
        <v>99.68</v>
      </c>
      <c r="G292" s="1679">
        <f t="shared" si="33"/>
        <v>0.9968</v>
      </c>
      <c r="H292" s="1679">
        <f>PRODUCT(G$4:G292)</f>
        <v>0.926897162601399</v>
      </c>
      <c r="J292" s="1680">
        <v>0.17</v>
      </c>
      <c r="K292" s="1680">
        <v>0</v>
      </c>
      <c r="L292" s="1680">
        <v>0</v>
      </c>
      <c r="N292" s="1681"/>
      <c r="O292" s="1681"/>
      <c r="P292" s="1681"/>
      <c r="Q292" s="1681"/>
      <c r="R292" s="1681"/>
      <c r="T292" s="1681"/>
      <c r="U292" s="1681"/>
      <c r="W292" s="1681">
        <f t="shared" si="34"/>
        <v>0</v>
      </c>
      <c r="X292" s="1681"/>
      <c r="Y292" s="1681">
        <f t="shared" si="35"/>
        <v>0</v>
      </c>
      <c r="Z292" s="1681"/>
      <c r="AB292" s="1682"/>
      <c r="AC292" s="1682"/>
      <c r="AE292" s="1683"/>
      <c r="AF292" s="1683"/>
      <c r="AG292" s="1683"/>
      <c r="AH292" s="1683"/>
      <c r="AI292" s="1683"/>
      <c r="AJ292" s="1683"/>
      <c r="AK292" s="1683"/>
      <c r="AL292" s="1683"/>
      <c r="AM292" s="1683"/>
      <c r="AN292" s="1683"/>
      <c r="AO292" s="1683"/>
      <c r="AP292" s="1683"/>
      <c r="AQ292" s="1683"/>
      <c r="AR292" s="1683"/>
      <c r="AS292" s="1683"/>
      <c r="AT292" s="1683"/>
      <c r="AU292" s="1683"/>
      <c r="AV292" s="1683"/>
      <c r="AW292" s="1683"/>
      <c r="AX292" s="1683"/>
      <c r="AY292" s="1683"/>
      <c r="AZ292" s="1683"/>
      <c r="BA292" s="1683"/>
      <c r="BB292" s="1683"/>
    </row>
    <row r="293" spans="1:54">
      <c r="A293" s="326">
        <f t="shared" si="36"/>
        <v>42308</v>
      </c>
      <c r="B293" s="1678">
        <v>99.6</v>
      </c>
      <c r="C293" s="1679">
        <f t="shared" si="32"/>
        <v>0.996</v>
      </c>
      <c r="D293" s="1679">
        <f>PRODUCT(C$4:C293)</f>
        <v>3.23004576534688</v>
      </c>
      <c r="F293" s="1678">
        <v>99.89</v>
      </c>
      <c r="G293" s="1679">
        <f t="shared" si="33"/>
        <v>0.9989</v>
      </c>
      <c r="H293" s="1679">
        <f>PRODUCT(G$4:G293)</f>
        <v>0.925877575722537</v>
      </c>
      <c r="J293" s="1680">
        <v>0.17</v>
      </c>
      <c r="K293" s="1680">
        <v>0</v>
      </c>
      <c r="L293" s="1680">
        <v>0</v>
      </c>
      <c r="N293" s="1681"/>
      <c r="O293" s="1681"/>
      <c r="P293" s="1681"/>
      <c r="Q293" s="1681"/>
      <c r="R293" s="1681"/>
      <c r="T293" s="1681"/>
      <c r="U293" s="1681"/>
      <c r="W293" s="1681">
        <f t="shared" si="34"/>
        <v>0</v>
      </c>
      <c r="X293" s="1681"/>
      <c r="Y293" s="1681">
        <f t="shared" si="35"/>
        <v>0</v>
      </c>
      <c r="Z293" s="1681"/>
      <c r="AB293" s="1682"/>
      <c r="AC293" s="1682"/>
      <c r="AE293" s="1683"/>
      <c r="AF293" s="1683"/>
      <c r="AG293" s="1683"/>
      <c r="AH293" s="1683"/>
      <c r="AI293" s="1683"/>
      <c r="AJ293" s="1683"/>
      <c r="AK293" s="1683"/>
      <c r="AL293" s="1683"/>
      <c r="AM293" s="1683"/>
      <c r="AN293" s="1683"/>
      <c r="AO293" s="1683"/>
      <c r="AP293" s="1683"/>
      <c r="AQ293" s="1683"/>
      <c r="AR293" s="1683"/>
      <c r="AS293" s="1683"/>
      <c r="AT293" s="1683"/>
      <c r="AU293" s="1683"/>
      <c r="AV293" s="1683"/>
      <c r="AW293" s="1683"/>
      <c r="AX293" s="1683"/>
      <c r="AY293" s="1683"/>
      <c r="AZ293" s="1683"/>
      <c r="BA293" s="1683"/>
      <c r="BB293" s="1683"/>
    </row>
    <row r="294" spans="1:54">
      <c r="A294" s="326">
        <f t="shared" si="36"/>
        <v>42338</v>
      </c>
      <c r="B294" s="1678">
        <v>99.5</v>
      </c>
      <c r="C294" s="1679">
        <f t="shared" si="32"/>
        <v>0.995</v>
      </c>
      <c r="D294" s="1679">
        <f>PRODUCT(C$4:C294)</f>
        <v>3.21389553652015</v>
      </c>
      <c r="F294" s="1678">
        <v>99.68</v>
      </c>
      <c r="G294" s="1679">
        <f t="shared" si="33"/>
        <v>0.9968</v>
      </c>
      <c r="H294" s="1679">
        <f>PRODUCT(G$4:G294)</f>
        <v>0.922914767480225</v>
      </c>
      <c r="J294" s="1680">
        <v>0.17</v>
      </c>
      <c r="K294" s="1680">
        <v>0</v>
      </c>
      <c r="L294" s="1680">
        <v>0</v>
      </c>
      <c r="N294" s="1681"/>
      <c r="O294" s="1681"/>
      <c r="P294" s="1681"/>
      <c r="Q294" s="1681"/>
      <c r="R294" s="1681"/>
      <c r="T294" s="1681"/>
      <c r="U294" s="1681"/>
      <c r="W294" s="1681">
        <f t="shared" si="34"/>
        <v>0</v>
      </c>
      <c r="X294" s="1681"/>
      <c r="Y294" s="1681">
        <f t="shared" si="35"/>
        <v>0</v>
      </c>
      <c r="Z294" s="1681"/>
      <c r="AB294" s="1682"/>
      <c r="AC294" s="1682"/>
      <c r="AE294" s="1683">
        <v>6.3962</v>
      </c>
      <c r="AF294" s="1683">
        <v>6.7673</v>
      </c>
      <c r="AG294" s="1683">
        <v>0.0521</v>
      </c>
      <c r="AH294" s="1683">
        <v>0.8253</v>
      </c>
      <c r="AI294" s="1683">
        <v>9.6149</v>
      </c>
      <c r="AJ294" s="1683">
        <v>4.5912</v>
      </c>
      <c r="AK294" s="1683">
        <v>4.1714</v>
      </c>
      <c r="AL294" s="1683">
        <v>4.5211</v>
      </c>
      <c r="AM294" s="1683">
        <v>6.207</v>
      </c>
      <c r="AN294" s="1683">
        <v>4.7797</v>
      </c>
      <c r="AO294" s="1683">
        <v>1.5069</v>
      </c>
      <c r="AP294" s="1683">
        <v>0.0964</v>
      </c>
      <c r="AQ294" s="1683" t="s">
        <v>520</v>
      </c>
      <c r="AR294" s="1683" t="s">
        <v>520</v>
      </c>
      <c r="AS294" s="1683" t="s">
        <v>520</v>
      </c>
      <c r="AT294" s="1683" t="s">
        <v>520</v>
      </c>
      <c r="AU294" s="1683" t="s">
        <v>520</v>
      </c>
      <c r="AV294" s="1683" t="s">
        <v>520</v>
      </c>
      <c r="AW294" s="1683" t="s">
        <v>520</v>
      </c>
      <c r="AX294" s="1683" t="s">
        <v>520</v>
      </c>
      <c r="AY294" s="1683" t="s">
        <v>520</v>
      </c>
      <c r="AZ294" s="1683" t="s">
        <v>520</v>
      </c>
      <c r="BA294" s="1683" t="s">
        <v>520</v>
      </c>
      <c r="BB294" s="1683" t="s">
        <v>520</v>
      </c>
    </row>
    <row r="295" spans="1:54">
      <c r="A295" s="326">
        <f t="shared" si="36"/>
        <v>42369</v>
      </c>
      <c r="B295" s="1678">
        <v>99.4</v>
      </c>
      <c r="C295" s="1679">
        <f t="shared" si="32"/>
        <v>0.994</v>
      </c>
      <c r="D295" s="1679">
        <f>PRODUCT(C$4:C295)</f>
        <v>3.19461216330103</v>
      </c>
      <c r="F295" s="1678">
        <v>100.43</v>
      </c>
      <c r="G295" s="1679">
        <f t="shared" si="33"/>
        <v>1.0043</v>
      </c>
      <c r="H295" s="1679">
        <f>PRODUCT(G$4:G295)</f>
        <v>0.92688330098039</v>
      </c>
      <c r="J295" s="1680">
        <v>0.17</v>
      </c>
      <c r="K295" s="1680">
        <v>0</v>
      </c>
      <c r="L295" s="1680">
        <v>0</v>
      </c>
      <c r="N295" s="1681"/>
      <c r="O295" s="1681"/>
      <c r="P295" s="1681"/>
      <c r="Q295" s="1681"/>
      <c r="R295" s="1681"/>
      <c r="T295" s="1681"/>
      <c r="U295" s="1681"/>
      <c r="W295" s="1681">
        <f t="shared" si="34"/>
        <v>0</v>
      </c>
      <c r="X295" s="1681"/>
      <c r="Y295" s="1681">
        <f t="shared" si="35"/>
        <v>0</v>
      </c>
      <c r="Z295" s="1681"/>
      <c r="AB295" s="1682"/>
      <c r="AC295" s="1682"/>
      <c r="AE295" s="1683">
        <v>6.4936</v>
      </c>
      <c r="AF295" s="1683">
        <v>7.0952</v>
      </c>
      <c r="AG295" s="1683">
        <v>0.0539</v>
      </c>
      <c r="AH295" s="1683">
        <v>0.8378</v>
      </c>
      <c r="AI295" s="1683">
        <v>9.6159</v>
      </c>
      <c r="AJ295" s="1683">
        <v>4.7276</v>
      </c>
      <c r="AK295" s="1683">
        <v>4.4426</v>
      </c>
      <c r="AL295" s="1683">
        <v>4.5875</v>
      </c>
      <c r="AM295" s="1683">
        <v>6.4018</v>
      </c>
      <c r="AN295" s="1683">
        <v>4.6814</v>
      </c>
      <c r="AO295" s="1683">
        <v>1.514</v>
      </c>
      <c r="AP295" s="1683">
        <v>0.0884</v>
      </c>
      <c r="AQ295" s="1683" t="s">
        <v>520</v>
      </c>
      <c r="AR295" s="1683" t="s">
        <v>520</v>
      </c>
      <c r="AS295" s="1683" t="s">
        <v>520</v>
      </c>
      <c r="AT295" s="1683" t="s">
        <v>520</v>
      </c>
      <c r="AU295" s="1683" t="s">
        <v>520</v>
      </c>
      <c r="AV295" s="1683" t="s">
        <v>520</v>
      </c>
      <c r="AW295" s="1683" t="s">
        <v>520</v>
      </c>
      <c r="AX295" s="1683" t="s">
        <v>520</v>
      </c>
      <c r="AY295" s="1683" t="s">
        <v>520</v>
      </c>
      <c r="AZ295" s="1683" t="s">
        <v>520</v>
      </c>
      <c r="BA295" s="1683" t="s">
        <v>520</v>
      </c>
      <c r="BB295" s="1683" t="s">
        <v>520</v>
      </c>
    </row>
    <row r="296" spans="1:54">
      <c r="A296" s="326">
        <f t="shared" si="36"/>
        <v>42400</v>
      </c>
      <c r="B296" s="1678">
        <v>99.5</v>
      </c>
      <c r="C296" s="1679">
        <f t="shared" si="32"/>
        <v>0.995</v>
      </c>
      <c r="D296" s="1679">
        <f>PRODUCT(C$4:C296)</f>
        <v>3.17863910248452</v>
      </c>
      <c r="F296" s="1678">
        <v>100.76</v>
      </c>
      <c r="G296" s="1679">
        <f t="shared" si="33"/>
        <v>1.0076</v>
      </c>
      <c r="H296" s="1679">
        <f>PRODUCT(G$4:G296)</f>
        <v>0.933927614067841</v>
      </c>
      <c r="J296" s="1680">
        <v>0.17</v>
      </c>
      <c r="K296" s="1680">
        <v>0</v>
      </c>
      <c r="L296" s="1680">
        <v>0</v>
      </c>
      <c r="N296" s="1681">
        <v>0.0275</v>
      </c>
      <c r="O296" s="1681">
        <v>0.0284</v>
      </c>
      <c r="P296" s="1681">
        <v>0.0354</v>
      </c>
      <c r="Q296" s="1681"/>
      <c r="R296" s="1681"/>
      <c r="T296" s="1681"/>
      <c r="U296" s="1681"/>
      <c r="W296" s="1681">
        <f t="shared" si="34"/>
        <v>0</v>
      </c>
      <c r="X296" s="1681"/>
      <c r="Y296" s="1681">
        <f t="shared" si="35"/>
        <v>0</v>
      </c>
      <c r="Z296" s="1681"/>
      <c r="AB296" s="1682"/>
      <c r="AC296" s="1682"/>
      <c r="AE296" s="1683">
        <v>6.5516</v>
      </c>
      <c r="AF296" s="1683">
        <v>7.17</v>
      </c>
      <c r="AG296" s="1683">
        <v>0.0552</v>
      </c>
      <c r="AH296" s="1683">
        <v>0.8409</v>
      </c>
      <c r="AI296" s="1683">
        <v>9.4209</v>
      </c>
      <c r="AJ296" s="1683">
        <v>4.6491</v>
      </c>
      <c r="AK296" s="1683">
        <v>4.25</v>
      </c>
      <c r="AL296" s="1683">
        <v>4.5984</v>
      </c>
      <c r="AM296" s="1683">
        <v>6.4681</v>
      </c>
      <c r="AN296" s="1683">
        <v>4.666</v>
      </c>
      <c r="AO296" s="1683">
        <v>1.5758</v>
      </c>
      <c r="AP296" s="1683">
        <v>0.0862</v>
      </c>
      <c r="AQ296" s="1683" t="s">
        <v>520</v>
      </c>
      <c r="AR296" s="1683" t="s">
        <v>520</v>
      </c>
      <c r="AS296" s="1683" t="s">
        <v>520</v>
      </c>
      <c r="AT296" s="1683" t="s">
        <v>520</v>
      </c>
      <c r="AU296" s="1683" t="s">
        <v>520</v>
      </c>
      <c r="AV296" s="1683" t="s">
        <v>520</v>
      </c>
      <c r="AW296" s="1683" t="s">
        <v>520</v>
      </c>
      <c r="AX296" s="1683" t="s">
        <v>520</v>
      </c>
      <c r="AY296" s="1683" t="s">
        <v>520</v>
      </c>
      <c r="AZ296" s="1683" t="s">
        <v>520</v>
      </c>
      <c r="BA296" s="1683" t="s">
        <v>520</v>
      </c>
      <c r="BB296" s="1683" t="s">
        <v>520</v>
      </c>
    </row>
    <row r="297" spans="1:54">
      <c r="A297" s="326">
        <f t="shared" si="36"/>
        <v>42429</v>
      </c>
      <c r="B297" s="1678">
        <v>99.7</v>
      </c>
      <c r="C297" s="1679">
        <f t="shared" si="32"/>
        <v>0.997</v>
      </c>
      <c r="D297" s="1679">
        <f>PRODUCT(C$4:C297)</f>
        <v>3.16910318517707</v>
      </c>
      <c r="F297" s="1678">
        <v>100.54</v>
      </c>
      <c r="G297" s="1679">
        <f t="shared" si="33"/>
        <v>1.0054</v>
      </c>
      <c r="H297" s="1679">
        <f>PRODUCT(G$4:G297)</f>
        <v>0.938970823183808</v>
      </c>
      <c r="J297" s="1680">
        <v>0.17</v>
      </c>
      <c r="K297" s="1680">
        <v>0</v>
      </c>
      <c r="L297" s="1680">
        <v>0</v>
      </c>
      <c r="N297" s="1681">
        <v>0.0265</v>
      </c>
      <c r="O297" s="1681">
        <v>0.0285</v>
      </c>
      <c r="P297" s="1681">
        <v>0.0351</v>
      </c>
      <c r="Q297" s="1681"/>
      <c r="R297" s="1681"/>
      <c r="T297" s="1681"/>
      <c r="U297" s="1681"/>
      <c r="W297" s="1681">
        <f t="shared" si="34"/>
        <v>0</v>
      </c>
      <c r="X297" s="1681"/>
      <c r="Y297" s="1681">
        <f t="shared" si="35"/>
        <v>0</v>
      </c>
      <c r="Z297" s="1681"/>
      <c r="AB297" s="1682"/>
      <c r="AC297" s="1682"/>
      <c r="AE297" s="1683">
        <v>6.5452</v>
      </c>
      <c r="AF297" s="1683">
        <v>7.1533</v>
      </c>
      <c r="AG297" s="1683">
        <v>0.0576</v>
      </c>
      <c r="AH297" s="1683">
        <v>0.8419</v>
      </c>
      <c r="AI297" s="1683">
        <v>9.0777</v>
      </c>
      <c r="AJ297" s="1683">
        <v>4.6651</v>
      </c>
      <c r="AK297" s="1683">
        <v>4.3214</v>
      </c>
      <c r="AL297" s="1683">
        <v>4.6456</v>
      </c>
      <c r="AM297" s="1683">
        <v>6.5724</v>
      </c>
      <c r="AN297" s="1683">
        <v>4.8286</v>
      </c>
      <c r="AO297" s="1683">
        <v>1.5541</v>
      </c>
      <c r="AP297" s="1683">
        <v>0.0859</v>
      </c>
      <c r="AQ297" s="1683" t="s">
        <v>520</v>
      </c>
      <c r="AR297" s="1683" t="s">
        <v>520</v>
      </c>
      <c r="AS297" s="1683" t="s">
        <v>520</v>
      </c>
      <c r="AT297" s="1683" t="s">
        <v>520</v>
      </c>
      <c r="AU297" s="1683" t="s">
        <v>520</v>
      </c>
      <c r="AV297" s="1683" t="s">
        <v>520</v>
      </c>
      <c r="AW297" s="1683" t="s">
        <v>520</v>
      </c>
      <c r="AX297" s="1683" t="s">
        <v>520</v>
      </c>
      <c r="AY297" s="1683" t="s">
        <v>520</v>
      </c>
      <c r="AZ297" s="1683" t="s">
        <v>520</v>
      </c>
      <c r="BA297" s="1683" t="s">
        <v>520</v>
      </c>
      <c r="BB297" s="1683" t="s">
        <v>520</v>
      </c>
    </row>
    <row r="298" spans="1:54">
      <c r="A298" s="326">
        <f t="shared" si="36"/>
        <v>42460</v>
      </c>
      <c r="B298" s="1678">
        <v>100.5</v>
      </c>
      <c r="C298" s="1679">
        <f t="shared" si="32"/>
        <v>1.005</v>
      </c>
      <c r="D298" s="1679">
        <f>PRODUCT(C$4:C298)</f>
        <v>3.18494870110295</v>
      </c>
      <c r="F298" s="1678">
        <v>101.06</v>
      </c>
      <c r="G298" s="1679">
        <f t="shared" si="33"/>
        <v>1.0106</v>
      </c>
      <c r="H298" s="1679">
        <f>PRODUCT(G$4:G298)</f>
        <v>0.948923913909556</v>
      </c>
      <c r="J298" s="1680">
        <v>0.17</v>
      </c>
      <c r="K298" s="1680">
        <v>0</v>
      </c>
      <c r="L298" s="1680">
        <v>0</v>
      </c>
      <c r="N298" s="1681">
        <v>0.0247</v>
      </c>
      <c r="O298" s="1681">
        <v>0.0284</v>
      </c>
      <c r="P298" s="1681">
        <v>0.0332</v>
      </c>
      <c r="Q298" s="1681"/>
      <c r="R298" s="1681"/>
      <c r="T298" s="1681"/>
      <c r="U298" s="1681"/>
      <c r="W298" s="1681">
        <f t="shared" si="34"/>
        <v>0</v>
      </c>
      <c r="X298" s="1681"/>
      <c r="Y298" s="1681">
        <f t="shared" si="35"/>
        <v>0</v>
      </c>
      <c r="Z298" s="1681"/>
      <c r="AB298" s="1682"/>
      <c r="AC298" s="1682"/>
      <c r="AE298" s="1683">
        <v>6.4612</v>
      </c>
      <c r="AF298" s="1683">
        <v>7.3312</v>
      </c>
      <c r="AG298" s="1683">
        <v>0.0575</v>
      </c>
      <c r="AH298" s="1683">
        <v>0.8333</v>
      </c>
      <c r="AI298" s="1683">
        <v>9.2935</v>
      </c>
      <c r="AJ298" s="1683">
        <v>4.955</v>
      </c>
      <c r="AK298" s="1683">
        <v>4.4679</v>
      </c>
      <c r="AL298" s="1683">
        <v>4.7884</v>
      </c>
      <c r="AM298" s="1683">
        <v>6.6989</v>
      </c>
      <c r="AN298" s="1683">
        <v>4.9805</v>
      </c>
      <c r="AO298" s="1683">
        <v>1.6454</v>
      </c>
      <c r="AP298" s="1683">
        <v>0.095</v>
      </c>
      <c r="AQ298" s="1683" t="s">
        <v>520</v>
      </c>
      <c r="AR298" s="1683" t="s">
        <v>520</v>
      </c>
      <c r="AS298" s="1683" t="s">
        <v>520</v>
      </c>
      <c r="AT298" s="1683" t="s">
        <v>520</v>
      </c>
      <c r="AU298" s="1683" t="s">
        <v>520</v>
      </c>
      <c r="AV298" s="1683" t="s">
        <v>520</v>
      </c>
      <c r="AW298" s="1683" t="s">
        <v>520</v>
      </c>
      <c r="AX298" s="1683" t="s">
        <v>520</v>
      </c>
      <c r="AY298" s="1683" t="s">
        <v>520</v>
      </c>
      <c r="AZ298" s="1683" t="s">
        <v>520</v>
      </c>
      <c r="BA298" s="1683" t="s">
        <v>520</v>
      </c>
      <c r="BB298" s="1683" t="s">
        <v>520</v>
      </c>
    </row>
    <row r="299" spans="1:54">
      <c r="A299" s="326">
        <f t="shared" si="36"/>
        <v>42490</v>
      </c>
      <c r="B299" s="1678">
        <v>100.7</v>
      </c>
      <c r="C299" s="1679">
        <f t="shared" si="32"/>
        <v>1.007</v>
      </c>
      <c r="D299" s="1679">
        <f>PRODUCT(C$4:C299)</f>
        <v>3.20724334201068</v>
      </c>
      <c r="F299" s="1678">
        <v>101.16</v>
      </c>
      <c r="G299" s="1679">
        <f t="shared" si="33"/>
        <v>1.0116</v>
      </c>
      <c r="H299" s="1679">
        <f>PRODUCT(G$4:G299)</f>
        <v>0.959931431310907</v>
      </c>
      <c r="J299" s="1680">
        <v>0.17</v>
      </c>
      <c r="K299" s="1680">
        <v>0</v>
      </c>
      <c r="L299" s="1680">
        <v>0</v>
      </c>
      <c r="N299" s="1681">
        <v>0.0273</v>
      </c>
      <c r="O299" s="1681">
        <v>0.0289</v>
      </c>
      <c r="P299" s="1681">
        <v>0.0347</v>
      </c>
      <c r="Q299" s="1681"/>
      <c r="R299" s="1681"/>
      <c r="T299" s="1681"/>
      <c r="U299" s="1681"/>
      <c r="W299" s="1681">
        <f t="shared" si="34"/>
        <v>0</v>
      </c>
      <c r="X299" s="1681"/>
      <c r="Y299" s="1681">
        <f t="shared" si="35"/>
        <v>0</v>
      </c>
      <c r="Z299" s="1681"/>
      <c r="AB299" s="1682"/>
      <c r="AC299" s="1682"/>
      <c r="AE299" s="1683">
        <v>6.4589</v>
      </c>
      <c r="AF299" s="1683">
        <v>7.3439</v>
      </c>
      <c r="AG299" s="1683">
        <v>0.0598</v>
      </c>
      <c r="AH299" s="1683">
        <v>0.8326</v>
      </c>
      <c r="AI299" s="1683">
        <v>9.4403</v>
      </c>
      <c r="AJ299" s="1683">
        <v>4.9289</v>
      </c>
      <c r="AK299" s="1683">
        <v>4.4964</v>
      </c>
      <c r="AL299" s="1683">
        <v>4.8106</v>
      </c>
      <c r="AM299" s="1683">
        <v>6.6854</v>
      </c>
      <c r="AN299" s="1683">
        <v>5.1498</v>
      </c>
      <c r="AO299" s="1683">
        <v>1.6685</v>
      </c>
      <c r="AP299" s="1683">
        <v>0.1001</v>
      </c>
      <c r="AQ299" s="1683" t="s">
        <v>520</v>
      </c>
      <c r="AR299" s="1683" t="s">
        <v>520</v>
      </c>
      <c r="AS299" s="1683" t="s">
        <v>520</v>
      </c>
      <c r="AT299" s="1683" t="s">
        <v>520</v>
      </c>
      <c r="AU299" s="1683" t="s">
        <v>520</v>
      </c>
      <c r="AV299" s="1683" t="s">
        <v>520</v>
      </c>
      <c r="AW299" s="1683" t="s">
        <v>520</v>
      </c>
      <c r="AX299" s="1683" t="s">
        <v>520</v>
      </c>
      <c r="AY299" s="1683" t="s">
        <v>520</v>
      </c>
      <c r="AZ299" s="1683" t="s">
        <v>520</v>
      </c>
      <c r="BA299" s="1683" t="s">
        <v>520</v>
      </c>
      <c r="BB299" s="1683" t="s">
        <v>520</v>
      </c>
    </row>
    <row r="300" spans="1:54">
      <c r="A300" s="326">
        <f t="shared" si="36"/>
        <v>42521</v>
      </c>
      <c r="B300" s="1678">
        <v>100.5</v>
      </c>
      <c r="C300" s="1679">
        <f t="shared" si="32"/>
        <v>1.005</v>
      </c>
      <c r="D300" s="1679">
        <f>PRODUCT(C$4:C300)</f>
        <v>3.22327955872073</v>
      </c>
      <c r="F300" s="1678">
        <v>100.21</v>
      </c>
      <c r="G300" s="1679">
        <f t="shared" si="33"/>
        <v>1.0021</v>
      </c>
      <c r="H300" s="1679">
        <f>PRODUCT(G$4:G300)</f>
        <v>0.96194728731666</v>
      </c>
      <c r="J300" s="1688">
        <v>0.17</v>
      </c>
      <c r="K300" s="1688">
        <v>0.11</v>
      </c>
      <c r="L300" s="1688">
        <v>0.06</v>
      </c>
      <c r="N300" s="1681">
        <v>0.0275</v>
      </c>
      <c r="O300" s="1681">
        <v>0.0299</v>
      </c>
      <c r="P300" s="1681">
        <v>0.0354</v>
      </c>
      <c r="Q300" s="1681"/>
      <c r="R300" s="1681"/>
      <c r="T300" s="1681"/>
      <c r="U300" s="1681"/>
      <c r="W300" s="1681">
        <f t="shared" si="34"/>
        <v>0</v>
      </c>
      <c r="X300" s="1681"/>
      <c r="Y300" s="1681">
        <f t="shared" si="35"/>
        <v>0</v>
      </c>
      <c r="Z300" s="1681"/>
      <c r="AB300" s="1682"/>
      <c r="AC300" s="1682"/>
      <c r="AE300" s="1683">
        <v>6.579</v>
      </c>
      <c r="AF300" s="1683">
        <v>7.3318</v>
      </c>
      <c r="AG300" s="1683">
        <v>0.0593</v>
      </c>
      <c r="AH300" s="1683">
        <v>0.8469</v>
      </c>
      <c r="AI300" s="1683">
        <v>9.6326</v>
      </c>
      <c r="AJ300" s="1683">
        <v>4.7315</v>
      </c>
      <c r="AK300" s="1683">
        <v>4.4126</v>
      </c>
      <c r="AL300" s="1683">
        <v>4.7677</v>
      </c>
      <c r="AM300" s="1683">
        <v>6.6346</v>
      </c>
      <c r="AN300" s="1683">
        <v>5.0441</v>
      </c>
      <c r="AO300" s="1683">
        <v>1.6046</v>
      </c>
      <c r="AP300" s="1683">
        <v>0.1003</v>
      </c>
      <c r="AQ300" s="1683" t="s">
        <v>520</v>
      </c>
      <c r="AR300" s="1683" t="s">
        <v>520</v>
      </c>
      <c r="AS300" s="1683" t="s">
        <v>520</v>
      </c>
      <c r="AT300" s="1683" t="s">
        <v>520</v>
      </c>
      <c r="AU300" s="1683" t="s">
        <v>520</v>
      </c>
      <c r="AV300" s="1683" t="s">
        <v>520</v>
      </c>
      <c r="AW300" s="1683" t="s">
        <v>520</v>
      </c>
      <c r="AX300" s="1683" t="s">
        <v>520</v>
      </c>
      <c r="AY300" s="1683" t="s">
        <v>520</v>
      </c>
      <c r="AZ300" s="1683" t="s">
        <v>520</v>
      </c>
      <c r="BA300" s="1683" t="s">
        <v>520</v>
      </c>
      <c r="BB300" s="1683" t="s">
        <v>520</v>
      </c>
    </row>
    <row r="301" spans="1:54">
      <c r="A301" s="326">
        <f t="shared" si="36"/>
        <v>42551</v>
      </c>
      <c r="B301" s="1678">
        <v>99.8</v>
      </c>
      <c r="C301" s="1679">
        <f t="shared" si="32"/>
        <v>0.998</v>
      </c>
      <c r="D301" s="1679">
        <f>PRODUCT(C$4:C301)</f>
        <v>3.21683299960329</v>
      </c>
      <c r="F301" s="1678">
        <v>100.42</v>
      </c>
      <c r="G301" s="1679">
        <f t="shared" si="33"/>
        <v>1.0042</v>
      </c>
      <c r="H301" s="1679">
        <f>PRODUCT(G$4:G301)</f>
        <v>0.96598746592339</v>
      </c>
      <c r="J301" s="1680">
        <v>0.17</v>
      </c>
      <c r="K301" s="1680">
        <v>0.11</v>
      </c>
      <c r="L301" s="1680">
        <v>0.06</v>
      </c>
      <c r="N301" s="1681">
        <v>0.0269</v>
      </c>
      <c r="O301" s="1681">
        <v>0.0284</v>
      </c>
      <c r="P301" s="1681">
        <v>0.0353</v>
      </c>
      <c r="Q301" s="1681"/>
      <c r="R301" s="1681"/>
      <c r="T301" s="1681"/>
      <c r="U301" s="1681"/>
      <c r="W301" s="1681">
        <f t="shared" si="34"/>
        <v>0</v>
      </c>
      <c r="X301" s="1681"/>
      <c r="Y301" s="1681">
        <f t="shared" si="35"/>
        <v>0</v>
      </c>
      <c r="Z301" s="1681"/>
      <c r="AB301" s="1682"/>
      <c r="AC301" s="1682"/>
      <c r="AE301" s="1683">
        <v>6.6312</v>
      </c>
      <c r="AF301" s="1683">
        <v>7.375</v>
      </c>
      <c r="AG301" s="1683">
        <v>0.0645</v>
      </c>
      <c r="AH301" s="1683">
        <v>0.8547</v>
      </c>
      <c r="AI301" s="1683">
        <v>8.9212</v>
      </c>
      <c r="AJ301" s="1683">
        <v>4.9452</v>
      </c>
      <c r="AK301" s="1683">
        <v>4.7173</v>
      </c>
      <c r="AL301" s="1683">
        <v>4.9239</v>
      </c>
      <c r="AM301" s="1683">
        <v>6.773</v>
      </c>
      <c r="AN301" s="1683">
        <v>5.1222</v>
      </c>
      <c r="AO301" s="1683">
        <v>1.6527</v>
      </c>
      <c r="AP301" s="1683">
        <v>0.1041</v>
      </c>
      <c r="AQ301" s="1683">
        <v>0.449</v>
      </c>
      <c r="AR301" s="1683">
        <v>0.0057</v>
      </c>
      <c r="AS301" s="1683" t="s">
        <v>520</v>
      </c>
      <c r="AT301" s="1683" t="s">
        <v>520</v>
      </c>
      <c r="AU301" s="1683" t="s">
        <v>520</v>
      </c>
      <c r="AV301" s="1683" t="s">
        <v>520</v>
      </c>
      <c r="AW301" s="1683" t="s">
        <v>520</v>
      </c>
      <c r="AX301" s="1683" t="s">
        <v>520</v>
      </c>
      <c r="AY301" s="1683" t="s">
        <v>520</v>
      </c>
      <c r="AZ301" s="1683" t="s">
        <v>520</v>
      </c>
      <c r="BA301" s="1683" t="s">
        <v>520</v>
      </c>
      <c r="BB301" s="1683" t="s">
        <v>520</v>
      </c>
    </row>
    <row r="302" spans="1:54">
      <c r="A302" s="326">
        <f t="shared" si="36"/>
        <v>42582</v>
      </c>
      <c r="B302" s="1678">
        <v>100.2</v>
      </c>
      <c r="C302" s="1679">
        <f t="shared" si="32"/>
        <v>1.002</v>
      </c>
      <c r="D302" s="1679">
        <f>PRODUCT(C$4:C302)</f>
        <v>3.22326666560249</v>
      </c>
      <c r="F302" s="1678">
        <v>101.34</v>
      </c>
      <c r="G302" s="1679">
        <f t="shared" si="33"/>
        <v>1.0134</v>
      </c>
      <c r="H302" s="1679">
        <f>PRODUCT(G$4:G302)</f>
        <v>0.978931697966763</v>
      </c>
      <c r="J302" s="1680">
        <v>0.17</v>
      </c>
      <c r="K302" s="1680">
        <v>0.11</v>
      </c>
      <c r="L302" s="1680">
        <v>0.06</v>
      </c>
      <c r="N302" s="1681">
        <v>0.0258</v>
      </c>
      <c r="O302" s="1681">
        <v>0.0278</v>
      </c>
      <c r="P302" s="1681">
        <v>0.0335</v>
      </c>
      <c r="Q302" s="1681"/>
      <c r="R302" s="1681"/>
      <c r="T302" s="1681"/>
      <c r="U302" s="1681"/>
      <c r="W302" s="1681">
        <f t="shared" si="34"/>
        <v>0</v>
      </c>
      <c r="X302" s="1681"/>
      <c r="Y302" s="1681">
        <f t="shared" si="35"/>
        <v>0</v>
      </c>
      <c r="Z302" s="1681"/>
      <c r="AB302" s="1682"/>
      <c r="AC302" s="1682"/>
      <c r="AE302" s="1683">
        <v>6.6511</v>
      </c>
      <c r="AF302" s="1683">
        <v>7.3724</v>
      </c>
      <c r="AG302" s="1683">
        <v>0.0636</v>
      </c>
      <c r="AH302" s="1683">
        <v>0.8575</v>
      </c>
      <c r="AI302" s="1683">
        <v>8.7513</v>
      </c>
      <c r="AJ302" s="1683">
        <v>4.9975</v>
      </c>
      <c r="AK302" s="1683">
        <v>4.7184</v>
      </c>
      <c r="AL302" s="1683">
        <v>4.9204</v>
      </c>
      <c r="AM302" s="1683">
        <v>6.7881</v>
      </c>
      <c r="AN302" s="1683">
        <v>5.0579</v>
      </c>
      <c r="AO302" s="1683">
        <v>1.6404</v>
      </c>
      <c r="AP302" s="1683">
        <v>0.0998</v>
      </c>
      <c r="AQ302" s="1683">
        <v>0.4703</v>
      </c>
      <c r="AR302" s="1683">
        <v>0.0059</v>
      </c>
      <c r="AS302" s="1683" t="s">
        <v>520</v>
      </c>
      <c r="AT302" s="1683" t="s">
        <v>520</v>
      </c>
      <c r="AU302" s="1683" t="s">
        <v>520</v>
      </c>
      <c r="AV302" s="1683" t="s">
        <v>520</v>
      </c>
      <c r="AW302" s="1683" t="s">
        <v>520</v>
      </c>
      <c r="AX302" s="1683" t="s">
        <v>520</v>
      </c>
      <c r="AY302" s="1683" t="s">
        <v>520</v>
      </c>
      <c r="AZ302" s="1683" t="s">
        <v>520</v>
      </c>
      <c r="BA302" s="1683" t="s">
        <v>520</v>
      </c>
      <c r="BB302" s="1683" t="s">
        <v>520</v>
      </c>
    </row>
    <row r="303" spans="1:54">
      <c r="A303" s="326">
        <f t="shared" si="36"/>
        <v>42613</v>
      </c>
      <c r="B303" s="1678">
        <v>100.2</v>
      </c>
      <c r="C303" s="1679">
        <f t="shared" si="32"/>
        <v>1.002</v>
      </c>
      <c r="D303" s="1679">
        <f>PRODUCT(C$4:C303)</f>
        <v>3.2297131989337</v>
      </c>
      <c r="F303" s="1678">
        <v>100.82</v>
      </c>
      <c r="G303" s="1679">
        <f t="shared" si="33"/>
        <v>1.0082</v>
      </c>
      <c r="H303" s="1679">
        <f>PRODUCT(G$4:G303)</f>
        <v>0.986958937890091</v>
      </c>
      <c r="J303" s="1680">
        <v>0.17</v>
      </c>
      <c r="K303" s="1680">
        <v>0.11</v>
      </c>
      <c r="L303" s="1680">
        <v>0.06</v>
      </c>
      <c r="N303" s="1681">
        <v>0.0257</v>
      </c>
      <c r="O303" s="1681">
        <v>0.0274</v>
      </c>
      <c r="P303" s="1681">
        <v>0.0331</v>
      </c>
      <c r="Q303" s="1681"/>
      <c r="R303" s="1681"/>
      <c r="T303" s="1681"/>
      <c r="U303" s="1681"/>
      <c r="W303" s="1681">
        <f t="shared" si="34"/>
        <v>0</v>
      </c>
      <c r="X303" s="1681"/>
      <c r="Y303" s="1681">
        <f t="shared" si="35"/>
        <v>0</v>
      </c>
      <c r="Z303" s="1681"/>
      <c r="AB303" s="1682"/>
      <c r="AC303" s="1682"/>
      <c r="AE303" s="1683">
        <v>6.6908</v>
      </c>
      <c r="AF303" s="1683">
        <v>7.4602</v>
      </c>
      <c r="AG303" s="1683">
        <v>0.065</v>
      </c>
      <c r="AH303" s="1683">
        <v>0.8625</v>
      </c>
      <c r="AI303" s="1683">
        <v>8.7578</v>
      </c>
      <c r="AJ303" s="1683">
        <v>5.0329</v>
      </c>
      <c r="AK303" s="1683">
        <v>4.8425</v>
      </c>
      <c r="AL303" s="1683">
        <v>4.9061</v>
      </c>
      <c r="AM303" s="1683">
        <v>6.8074</v>
      </c>
      <c r="AN303" s="1683">
        <v>5.1055</v>
      </c>
      <c r="AO303" s="1683">
        <v>1.6554</v>
      </c>
      <c r="AP303" s="1683">
        <v>0.1026</v>
      </c>
      <c r="AQ303" s="1683">
        <v>0.462</v>
      </c>
      <c r="AR303" s="1683">
        <v>0.006</v>
      </c>
      <c r="AS303" s="1683" t="s">
        <v>520</v>
      </c>
      <c r="AT303" s="1683" t="s">
        <v>520</v>
      </c>
      <c r="AU303" s="1683" t="s">
        <v>520</v>
      </c>
      <c r="AV303" s="1683" t="s">
        <v>520</v>
      </c>
      <c r="AW303" s="1683" t="s">
        <v>520</v>
      </c>
      <c r="AX303" s="1683" t="s">
        <v>520</v>
      </c>
      <c r="AY303" s="1683" t="s">
        <v>520</v>
      </c>
      <c r="AZ303" s="1683" t="s">
        <v>520</v>
      </c>
      <c r="BA303" s="1683" t="s">
        <v>520</v>
      </c>
      <c r="BB303" s="1683" t="s">
        <v>520</v>
      </c>
    </row>
    <row r="304" spans="1:54">
      <c r="A304" s="326">
        <f t="shared" si="36"/>
        <v>42643</v>
      </c>
      <c r="B304" s="1678">
        <v>100.5</v>
      </c>
      <c r="C304" s="1679">
        <f t="shared" si="32"/>
        <v>1.005</v>
      </c>
      <c r="D304" s="1679">
        <f>PRODUCT(C$4:C304)</f>
        <v>3.24586176492837</v>
      </c>
      <c r="F304" s="1678">
        <v>101.53</v>
      </c>
      <c r="G304" s="1679">
        <f t="shared" si="33"/>
        <v>1.0153</v>
      </c>
      <c r="H304" s="1679">
        <f>PRODUCT(G$4:G304)</f>
        <v>1.00205940963981</v>
      </c>
      <c r="J304" s="1680">
        <v>0.17</v>
      </c>
      <c r="K304" s="1680">
        <v>0.11</v>
      </c>
      <c r="L304" s="1680">
        <v>0.06</v>
      </c>
      <c r="N304" s="1681">
        <v>0.0255</v>
      </c>
      <c r="O304" s="1681">
        <v>0.0273</v>
      </c>
      <c r="P304" s="1681">
        <v>0.0319</v>
      </c>
      <c r="Q304" s="1681"/>
      <c r="R304" s="1681"/>
      <c r="T304" s="1681"/>
      <c r="U304" s="1681"/>
      <c r="W304" s="1681">
        <f t="shared" si="34"/>
        <v>0</v>
      </c>
      <c r="X304" s="1681"/>
      <c r="Y304" s="1681">
        <f t="shared" si="35"/>
        <v>0</v>
      </c>
      <c r="Z304" s="1681"/>
      <c r="AB304" s="1682"/>
      <c r="AC304" s="1682"/>
      <c r="AE304" s="1683">
        <v>6.6778</v>
      </c>
      <c r="AF304" s="1683">
        <v>7.488</v>
      </c>
      <c r="AG304" s="1683">
        <v>0.066</v>
      </c>
      <c r="AH304" s="1683">
        <v>0.861</v>
      </c>
      <c r="AI304" s="1683">
        <v>8.6546</v>
      </c>
      <c r="AJ304" s="1683">
        <v>5.0924</v>
      </c>
      <c r="AK304" s="1683">
        <v>4.8375</v>
      </c>
      <c r="AL304" s="1683">
        <v>4.8894</v>
      </c>
      <c r="AM304" s="1683">
        <v>6.9108</v>
      </c>
      <c r="AN304" s="1683">
        <v>5.0737</v>
      </c>
      <c r="AO304" s="1683">
        <v>1.6214</v>
      </c>
      <c r="AP304" s="1683">
        <v>0.1057</v>
      </c>
      <c r="AQ304" s="1683">
        <v>0.4791</v>
      </c>
      <c r="AR304" s="1683">
        <v>0.0061</v>
      </c>
      <c r="AS304" s="1683">
        <v>1.818</v>
      </c>
      <c r="AT304" s="1683">
        <v>1.778</v>
      </c>
      <c r="AU304" s="1683" t="s">
        <v>520</v>
      </c>
      <c r="AV304" s="1683" t="s">
        <v>520</v>
      </c>
      <c r="AW304" s="1683" t="s">
        <v>520</v>
      </c>
      <c r="AX304" s="1683" t="s">
        <v>520</v>
      </c>
      <c r="AY304" s="1683" t="s">
        <v>520</v>
      </c>
      <c r="AZ304" s="1683" t="s">
        <v>520</v>
      </c>
      <c r="BA304" s="1683" t="s">
        <v>520</v>
      </c>
      <c r="BB304" s="1683" t="s">
        <v>520</v>
      </c>
    </row>
    <row r="305" spans="1:54">
      <c r="A305" s="326">
        <f t="shared" si="36"/>
        <v>42674</v>
      </c>
      <c r="B305" s="1678">
        <v>100.7</v>
      </c>
      <c r="C305" s="1679">
        <f t="shared" si="32"/>
        <v>1.007</v>
      </c>
      <c r="D305" s="1679">
        <f>PRODUCT(C$4:C305)</f>
        <v>3.26858279728287</v>
      </c>
      <c r="F305" s="1678">
        <v>101.5</v>
      </c>
      <c r="G305" s="1679">
        <f t="shared" si="33"/>
        <v>1.015</v>
      </c>
      <c r="H305" s="1679">
        <f>PRODUCT(G$4:G305)</f>
        <v>1.01709030078441</v>
      </c>
      <c r="J305" s="1680">
        <v>0.17</v>
      </c>
      <c r="K305" s="1680">
        <v>0.11</v>
      </c>
      <c r="L305" s="1680">
        <v>0.06</v>
      </c>
      <c r="N305" s="1681">
        <v>0.0245</v>
      </c>
      <c r="O305" s="1681">
        <v>0.0274</v>
      </c>
      <c r="P305" s="1681">
        <v>0.0313</v>
      </c>
      <c r="Q305" s="1681"/>
      <c r="R305" s="1681"/>
      <c r="T305" s="1681"/>
      <c r="U305" s="1681"/>
      <c r="W305" s="1681">
        <f t="shared" si="34"/>
        <v>0</v>
      </c>
      <c r="X305" s="1681"/>
      <c r="Y305" s="1681">
        <f t="shared" si="35"/>
        <v>0</v>
      </c>
      <c r="Z305" s="1681"/>
      <c r="AB305" s="1682"/>
      <c r="AC305" s="1682"/>
      <c r="AE305" s="1683">
        <v>6.7641</v>
      </c>
      <c r="AF305" s="1683">
        <v>7.4294</v>
      </c>
      <c r="AG305" s="1683">
        <v>0.0646</v>
      </c>
      <c r="AH305" s="1683">
        <v>0.8723</v>
      </c>
      <c r="AI305" s="1683">
        <v>8.2501</v>
      </c>
      <c r="AJ305" s="1683">
        <v>5.1373</v>
      </c>
      <c r="AK305" s="1683">
        <v>4.8404</v>
      </c>
      <c r="AL305" s="1683">
        <v>4.8633</v>
      </c>
      <c r="AM305" s="1683">
        <v>6.8495</v>
      </c>
      <c r="AN305" s="1683">
        <v>5.0422</v>
      </c>
      <c r="AO305" s="1683">
        <v>1.6159</v>
      </c>
      <c r="AP305" s="1683">
        <v>0.1074</v>
      </c>
      <c r="AQ305" s="1683">
        <v>0.4906</v>
      </c>
      <c r="AR305" s="1683">
        <v>0.0059</v>
      </c>
      <c r="AS305" s="1683">
        <v>1.8417</v>
      </c>
      <c r="AT305" s="1683">
        <v>1.8037</v>
      </c>
      <c r="AU305" s="1683" t="s">
        <v>520</v>
      </c>
      <c r="AV305" s="1683" t="s">
        <v>520</v>
      </c>
      <c r="AW305" s="1683" t="s">
        <v>520</v>
      </c>
      <c r="AX305" s="1683" t="s">
        <v>520</v>
      </c>
      <c r="AY305" s="1683" t="s">
        <v>520</v>
      </c>
      <c r="AZ305" s="1683" t="s">
        <v>520</v>
      </c>
      <c r="BA305" s="1683" t="s">
        <v>520</v>
      </c>
      <c r="BB305" s="1683" t="s">
        <v>520</v>
      </c>
    </row>
    <row r="306" spans="1:54">
      <c r="A306" s="326">
        <f t="shared" si="36"/>
        <v>42704</v>
      </c>
      <c r="B306" s="1678">
        <v>101.5</v>
      </c>
      <c r="C306" s="1679">
        <f t="shared" si="32"/>
        <v>1.015</v>
      </c>
      <c r="D306" s="1679">
        <f>PRODUCT(C$4:C306)</f>
        <v>3.31761153924211</v>
      </c>
      <c r="F306" s="1678">
        <v>102.75</v>
      </c>
      <c r="G306" s="1679">
        <f t="shared" si="33"/>
        <v>1.0275</v>
      </c>
      <c r="H306" s="1679">
        <f>PRODUCT(G$4:G306)</f>
        <v>1.04506028405598</v>
      </c>
      <c r="J306" s="1680">
        <v>0.17</v>
      </c>
      <c r="K306" s="1680">
        <v>0.11</v>
      </c>
      <c r="L306" s="1680">
        <v>0.06</v>
      </c>
      <c r="N306" s="1681">
        <v>0.0273</v>
      </c>
      <c r="O306" s="1681">
        <v>0.0295</v>
      </c>
      <c r="P306" s="1681">
        <v>0.033</v>
      </c>
      <c r="Q306" s="1681"/>
      <c r="R306" s="1681"/>
      <c r="T306" s="1681"/>
      <c r="U306" s="1681"/>
      <c r="W306" s="1681">
        <f t="shared" si="34"/>
        <v>0</v>
      </c>
      <c r="X306" s="1681"/>
      <c r="Y306" s="1681">
        <f t="shared" si="35"/>
        <v>0</v>
      </c>
      <c r="Z306" s="1681"/>
      <c r="AB306" s="1682"/>
      <c r="AC306" s="1682"/>
      <c r="AE306" s="1683">
        <v>6.8865</v>
      </c>
      <c r="AF306" s="1683">
        <v>7.3386</v>
      </c>
      <c r="AG306" s="1683">
        <v>0.0613</v>
      </c>
      <c r="AH306" s="1683">
        <v>0.8879</v>
      </c>
      <c r="AI306" s="1683">
        <v>8.6085</v>
      </c>
      <c r="AJ306" s="1683">
        <v>5.1601</v>
      </c>
      <c r="AK306" s="1683">
        <v>4.9193</v>
      </c>
      <c r="AL306" s="1683">
        <v>4.8398</v>
      </c>
      <c r="AM306" s="1683">
        <v>6.8146</v>
      </c>
      <c r="AN306" s="1683">
        <v>5.1332</v>
      </c>
      <c r="AO306" s="1683">
        <v>1.5487</v>
      </c>
      <c r="AP306" s="1683">
        <v>0.1057</v>
      </c>
      <c r="AQ306" s="1683">
        <v>0.4961</v>
      </c>
      <c r="AR306" s="1683">
        <v>0.0059</v>
      </c>
      <c r="AS306" s="1683">
        <v>1.8765</v>
      </c>
      <c r="AT306" s="1683">
        <v>1.8376</v>
      </c>
      <c r="AU306" s="1683" t="s">
        <v>520</v>
      </c>
      <c r="AV306" s="1683" t="s">
        <v>520</v>
      </c>
      <c r="AW306" s="1683" t="s">
        <v>520</v>
      </c>
      <c r="AX306" s="1683" t="s">
        <v>520</v>
      </c>
      <c r="AY306" s="1683" t="s">
        <v>520</v>
      </c>
      <c r="AZ306" s="1683" t="s">
        <v>520</v>
      </c>
      <c r="BA306" s="1683" t="s">
        <v>520</v>
      </c>
      <c r="BB306" s="1683" t="s">
        <v>520</v>
      </c>
    </row>
    <row r="307" spans="1:54">
      <c r="A307" s="326">
        <f t="shared" si="36"/>
        <v>42735</v>
      </c>
      <c r="B307" s="1678">
        <v>101.6</v>
      </c>
      <c r="C307" s="1679">
        <f t="shared" si="32"/>
        <v>1.016</v>
      </c>
      <c r="D307" s="1679">
        <f>PRODUCT(C$4:C307)</f>
        <v>3.37069332386998</v>
      </c>
      <c r="F307" s="1678">
        <v>102.2</v>
      </c>
      <c r="G307" s="1679">
        <f t="shared" si="33"/>
        <v>1.022</v>
      </c>
      <c r="H307" s="1679">
        <f>PRODUCT(G$4:G307)</f>
        <v>1.06805161030521</v>
      </c>
      <c r="J307" s="1680">
        <v>0.17</v>
      </c>
      <c r="K307" s="1680">
        <v>0.11</v>
      </c>
      <c r="L307" s="1680">
        <v>0.06</v>
      </c>
      <c r="N307" s="1681">
        <v>0.0285</v>
      </c>
      <c r="O307" s="1681">
        <v>0.0301</v>
      </c>
      <c r="P307" s="1681">
        <v>0.0358</v>
      </c>
      <c r="Q307" s="1681"/>
      <c r="R307" s="1681"/>
      <c r="T307" s="1681"/>
      <c r="U307" s="1681"/>
      <c r="W307" s="1681">
        <f t="shared" si="34"/>
        <v>0</v>
      </c>
      <c r="X307" s="1681"/>
      <c r="Y307" s="1681">
        <f t="shared" si="35"/>
        <v>0</v>
      </c>
      <c r="Z307" s="1681"/>
      <c r="AB307" s="1682"/>
      <c r="AC307" s="1682"/>
      <c r="AE307" s="1683">
        <v>6.937</v>
      </c>
      <c r="AF307" s="1683">
        <v>7.3068</v>
      </c>
      <c r="AG307" s="1683">
        <v>0.0596</v>
      </c>
      <c r="AH307" s="1683">
        <v>0.8945</v>
      </c>
      <c r="AI307" s="1683">
        <v>8.5094</v>
      </c>
      <c r="AJ307" s="1683">
        <v>5.0157</v>
      </c>
      <c r="AK307" s="1683">
        <v>4.8308</v>
      </c>
      <c r="AL307" s="1683">
        <v>4.7995</v>
      </c>
      <c r="AM307" s="1683">
        <v>6.7989</v>
      </c>
      <c r="AN307" s="1683">
        <v>5.1406</v>
      </c>
      <c r="AO307" s="1683">
        <v>1.5527</v>
      </c>
      <c r="AP307" s="1683">
        <v>0.1151</v>
      </c>
      <c r="AQ307" s="1683">
        <v>0.5083</v>
      </c>
      <c r="AR307" s="1683">
        <v>0.0058</v>
      </c>
      <c r="AS307" s="1683">
        <v>1.889</v>
      </c>
      <c r="AT307" s="1683">
        <v>1.8497</v>
      </c>
      <c r="AU307" s="1683">
        <v>0.0235</v>
      </c>
      <c r="AV307" s="1683">
        <v>1.6569</v>
      </c>
      <c r="AW307" s="1683">
        <v>0.9832</v>
      </c>
      <c r="AX307" s="1683">
        <v>0.7624</v>
      </c>
      <c r="AY307" s="1683">
        <v>0.8047</v>
      </c>
      <c r="AZ307" s="1683">
        <v>1.9702</v>
      </c>
      <c r="BA307" s="1683">
        <v>0.3349</v>
      </c>
      <c r="BB307" s="1683" t="s">
        <v>520</v>
      </c>
    </row>
    <row r="308" spans="1:54">
      <c r="A308" s="326">
        <f t="shared" si="36"/>
        <v>42766</v>
      </c>
      <c r="B308" s="1678">
        <v>100.8</v>
      </c>
      <c r="C308" s="1679">
        <f t="shared" si="32"/>
        <v>1.008</v>
      </c>
      <c r="D308" s="1679">
        <f>PRODUCT(C$4:C308)</f>
        <v>3.39765887046094</v>
      </c>
      <c r="F308" s="1678">
        <v>101.59</v>
      </c>
      <c r="G308" s="1679">
        <f t="shared" si="33"/>
        <v>1.0159</v>
      </c>
      <c r="H308" s="1679">
        <f>PRODUCT(G$4:G308)</f>
        <v>1.08503363090906</v>
      </c>
      <c r="J308" s="1680">
        <v>0.17</v>
      </c>
      <c r="K308" s="1680">
        <v>0.11</v>
      </c>
      <c r="L308" s="1680">
        <v>0.06</v>
      </c>
      <c r="N308" s="1681">
        <v>0.0304</v>
      </c>
      <c r="O308" s="1681">
        <v>0.0335</v>
      </c>
      <c r="P308" s="1681">
        <v>0.0373</v>
      </c>
      <c r="Q308" s="1681"/>
      <c r="R308" s="1681"/>
      <c r="T308" s="1681"/>
      <c r="U308" s="1681"/>
      <c r="W308" s="1681">
        <f t="shared" si="34"/>
        <v>0</v>
      </c>
      <c r="X308" s="1681"/>
      <c r="Y308" s="1681">
        <f t="shared" si="35"/>
        <v>0</v>
      </c>
      <c r="Z308" s="1681"/>
      <c r="AB308" s="1682"/>
      <c r="AC308" s="1682"/>
      <c r="AE308" s="1683">
        <v>6.8588</v>
      </c>
      <c r="AF308" s="1683">
        <v>7.3821</v>
      </c>
      <c r="AG308" s="1683">
        <v>0.0606</v>
      </c>
      <c r="AH308" s="1683">
        <v>0.8842</v>
      </c>
      <c r="AI308" s="1683">
        <v>8.6756</v>
      </c>
      <c r="AJ308" s="1683">
        <v>5.2023</v>
      </c>
      <c r="AK308" s="1683">
        <v>5.0108</v>
      </c>
      <c r="AL308" s="1683">
        <v>4.8613</v>
      </c>
      <c r="AM308" s="1683">
        <v>6.8759</v>
      </c>
      <c r="AN308" s="1683">
        <v>5.2544</v>
      </c>
      <c r="AO308" s="1683">
        <v>1.5523</v>
      </c>
      <c r="AP308" s="1683">
        <v>0.1156</v>
      </c>
      <c r="AQ308" s="1683">
        <v>0.5188</v>
      </c>
      <c r="AR308" s="1683">
        <v>0.0059</v>
      </c>
      <c r="AS308" s="1683">
        <v>1.8701</v>
      </c>
      <c r="AT308" s="1683">
        <v>1.8315</v>
      </c>
      <c r="AU308" s="1683">
        <v>0.0238</v>
      </c>
      <c r="AV308" s="1683">
        <v>1.6961</v>
      </c>
      <c r="AW308" s="1683">
        <v>0.993</v>
      </c>
      <c r="AX308" s="1683">
        <v>0.779</v>
      </c>
      <c r="AY308" s="1683">
        <v>0.8268</v>
      </c>
      <c r="AZ308" s="1683">
        <v>1.792</v>
      </c>
      <c r="BA308" s="1683">
        <v>0.3263</v>
      </c>
      <c r="BB308" s="1683" t="s">
        <v>520</v>
      </c>
    </row>
    <row r="309" spans="1:54">
      <c r="A309" s="326">
        <f t="shared" si="36"/>
        <v>42794</v>
      </c>
      <c r="B309" s="1678">
        <v>100.6</v>
      </c>
      <c r="C309" s="1679">
        <f t="shared" si="32"/>
        <v>1.006</v>
      </c>
      <c r="D309" s="1679">
        <f>PRODUCT(C$4:C309)</f>
        <v>3.41804482368371</v>
      </c>
      <c r="F309" s="1678">
        <v>100.74</v>
      </c>
      <c r="G309" s="1679">
        <f t="shared" si="33"/>
        <v>1.0074</v>
      </c>
      <c r="H309" s="1679">
        <f>PRODUCT(G$4:G309)</f>
        <v>1.09306287977779</v>
      </c>
      <c r="J309" s="1680">
        <v>0.17</v>
      </c>
      <c r="K309" s="1680">
        <v>0.11</v>
      </c>
      <c r="L309" s="1680">
        <v>0.06</v>
      </c>
      <c r="N309" s="1681">
        <v>0.03</v>
      </c>
      <c r="O309" s="1681">
        <v>0.0329</v>
      </c>
      <c r="P309" s="1681">
        <v>0.038</v>
      </c>
      <c r="Q309" s="1681"/>
      <c r="R309" s="1681"/>
      <c r="T309" s="1681"/>
      <c r="U309" s="1681"/>
      <c r="W309" s="1681">
        <f t="shared" si="34"/>
        <v>0</v>
      </c>
      <c r="X309" s="1681"/>
      <c r="Y309" s="1681">
        <f t="shared" si="35"/>
        <v>0</v>
      </c>
      <c r="Z309" s="1681"/>
      <c r="AB309" s="1682"/>
      <c r="AC309" s="1682"/>
      <c r="AE309" s="1683">
        <v>6.875</v>
      </c>
      <c r="AF309" s="1683">
        <v>7.2774</v>
      </c>
      <c r="AG309" s="1683">
        <v>0.061</v>
      </c>
      <c r="AH309" s="1683">
        <v>0.8858</v>
      </c>
      <c r="AI309" s="1683">
        <v>8.5467</v>
      </c>
      <c r="AJ309" s="1683">
        <v>5.2758</v>
      </c>
      <c r="AK309" s="1683">
        <v>4.9386</v>
      </c>
      <c r="AL309" s="1683">
        <v>4.8915</v>
      </c>
      <c r="AM309" s="1683">
        <v>6.8099</v>
      </c>
      <c r="AN309" s="1683">
        <v>5.2124</v>
      </c>
      <c r="AO309" s="1683">
        <v>1.553</v>
      </c>
      <c r="AP309" s="1683">
        <v>0.1182</v>
      </c>
      <c r="AQ309" s="1683">
        <v>0.5285</v>
      </c>
      <c r="AR309" s="1683">
        <v>0.0061</v>
      </c>
      <c r="AS309" s="1683">
        <v>1.8721</v>
      </c>
      <c r="AT309" s="1683">
        <v>1.8333</v>
      </c>
      <c r="AU309" s="1683">
        <v>0.0237</v>
      </c>
      <c r="AV309" s="1683">
        <v>1.6874</v>
      </c>
      <c r="AW309" s="1683">
        <v>0.979</v>
      </c>
      <c r="AX309" s="1683">
        <v>0.7583</v>
      </c>
      <c r="AY309" s="1683">
        <v>0.821</v>
      </c>
      <c r="AZ309" s="1683">
        <v>1.9058</v>
      </c>
      <c r="BA309" s="1683">
        <v>0.3453</v>
      </c>
      <c r="BB309" s="1683" t="s">
        <v>520</v>
      </c>
    </row>
    <row r="310" spans="1:54">
      <c r="A310" s="326">
        <f t="shared" si="36"/>
        <v>42825</v>
      </c>
      <c r="B310" s="1678">
        <v>100.3</v>
      </c>
      <c r="C310" s="1679">
        <f t="shared" si="32"/>
        <v>1.003</v>
      </c>
      <c r="D310" s="1679">
        <f>PRODUCT(C$4:C310)</f>
        <v>3.42829895815476</v>
      </c>
      <c r="F310" s="1678">
        <v>99.18</v>
      </c>
      <c r="G310" s="1679">
        <f t="shared" si="33"/>
        <v>0.9918</v>
      </c>
      <c r="H310" s="1679">
        <f>PRODUCT(G$4:G310)</f>
        <v>1.08409976416361</v>
      </c>
      <c r="J310" s="1680">
        <v>0.17</v>
      </c>
      <c r="K310" s="1680">
        <v>0.11</v>
      </c>
      <c r="L310" s="1680">
        <v>0.06</v>
      </c>
      <c r="N310" s="1681">
        <v>0.0308</v>
      </c>
      <c r="O310" s="1681">
        <v>0.0328</v>
      </c>
      <c r="P310" s="1681">
        <v>0.0376</v>
      </c>
      <c r="Q310" s="1681"/>
      <c r="R310" s="1681"/>
      <c r="T310" s="1681"/>
      <c r="U310" s="1681"/>
      <c r="W310" s="1681">
        <f t="shared" si="34"/>
        <v>0</v>
      </c>
      <c r="X310" s="1681"/>
      <c r="Y310" s="1681">
        <f t="shared" si="35"/>
        <v>0</v>
      </c>
      <c r="Z310" s="1681"/>
      <c r="AB310" s="1682"/>
      <c r="AC310" s="1682"/>
      <c r="AE310" s="1683">
        <v>6.8993</v>
      </c>
      <c r="AF310" s="1683">
        <v>7.3721</v>
      </c>
      <c r="AG310" s="1683">
        <v>0.0618</v>
      </c>
      <c r="AH310" s="1683">
        <v>0.8878</v>
      </c>
      <c r="AI310" s="1683">
        <v>8.6119</v>
      </c>
      <c r="AJ310" s="1683">
        <v>5.279</v>
      </c>
      <c r="AK310" s="1683">
        <v>4.8291</v>
      </c>
      <c r="AL310" s="1683">
        <v>4.9365</v>
      </c>
      <c r="AM310" s="1683">
        <v>6.8978</v>
      </c>
      <c r="AN310" s="1683">
        <v>5.1762</v>
      </c>
      <c r="AO310" s="1683">
        <v>1.5658</v>
      </c>
      <c r="AP310" s="1683">
        <v>0.123</v>
      </c>
      <c r="AQ310" s="1683">
        <v>0.5137</v>
      </c>
      <c r="AR310" s="1683">
        <v>0.0062</v>
      </c>
      <c r="AS310" s="1683">
        <v>1.8796</v>
      </c>
      <c r="AT310" s="1683">
        <v>1.8408</v>
      </c>
      <c r="AU310" s="1683">
        <v>0.0239</v>
      </c>
      <c r="AV310" s="1683">
        <v>1.7513</v>
      </c>
      <c r="AW310" s="1683">
        <v>0.9916</v>
      </c>
      <c r="AX310" s="1683">
        <v>0.7727</v>
      </c>
      <c r="AY310" s="1683">
        <v>0.8059</v>
      </c>
      <c r="AZ310" s="1683">
        <v>1.8894</v>
      </c>
      <c r="BA310" s="1683">
        <v>0.3687</v>
      </c>
      <c r="BB310" s="1683" t="s">
        <v>520</v>
      </c>
    </row>
    <row r="311" spans="1:54">
      <c r="A311" s="326">
        <f t="shared" si="36"/>
        <v>42855</v>
      </c>
      <c r="B311" s="1678">
        <v>99.6</v>
      </c>
      <c r="C311" s="1679">
        <f t="shared" si="32"/>
        <v>0.996</v>
      </c>
      <c r="D311" s="1679">
        <f>PRODUCT(C$4:C311)</f>
        <v>3.41458576232214</v>
      </c>
      <c r="F311" s="1678">
        <v>98.52</v>
      </c>
      <c r="G311" s="1679">
        <f t="shared" si="33"/>
        <v>0.9852</v>
      </c>
      <c r="H311" s="1679">
        <f>PRODUCT(G$4:G311)</f>
        <v>1.06805508765399</v>
      </c>
      <c r="J311" s="1680">
        <v>0.17</v>
      </c>
      <c r="K311" s="1680">
        <v>0.11</v>
      </c>
      <c r="L311" s="1680">
        <v>0.06</v>
      </c>
      <c r="N311" s="1681">
        <v>0.0334</v>
      </c>
      <c r="O311" s="1681">
        <v>0.0347</v>
      </c>
      <c r="P311" s="1681">
        <v>0.0389</v>
      </c>
      <c r="Q311" s="1681"/>
      <c r="R311" s="1681"/>
      <c r="T311" s="1681"/>
      <c r="U311" s="1681"/>
      <c r="W311" s="1681">
        <f t="shared" si="34"/>
        <v>0</v>
      </c>
      <c r="X311" s="1681"/>
      <c r="Y311" s="1681">
        <f t="shared" si="35"/>
        <v>0</v>
      </c>
      <c r="Z311" s="1681"/>
      <c r="AB311" s="1682"/>
      <c r="AC311" s="1682"/>
      <c r="AE311" s="1683">
        <v>6.8931</v>
      </c>
      <c r="AF311" s="1683">
        <v>7.4945</v>
      </c>
      <c r="AG311" s="1683">
        <v>0.062</v>
      </c>
      <c r="AH311" s="1683">
        <v>0.8858</v>
      </c>
      <c r="AI311" s="1683">
        <v>8.8961</v>
      </c>
      <c r="AJ311" s="1683">
        <v>5.1534</v>
      </c>
      <c r="AK311" s="1683">
        <v>4.7481</v>
      </c>
      <c r="AL311" s="1683">
        <v>4.939</v>
      </c>
      <c r="AM311" s="1683">
        <v>6.9382</v>
      </c>
      <c r="AN311" s="1683">
        <v>5.0628</v>
      </c>
      <c r="AO311" s="1683">
        <v>1.5918</v>
      </c>
      <c r="AP311" s="1683">
        <v>0.1209</v>
      </c>
      <c r="AQ311" s="1683">
        <v>0.5175</v>
      </c>
      <c r="AR311" s="1683">
        <v>0.0061</v>
      </c>
      <c r="AS311" s="1683">
        <v>1.8788</v>
      </c>
      <c r="AT311" s="1683">
        <v>1.84</v>
      </c>
      <c r="AU311" s="1683">
        <v>0.0241</v>
      </c>
      <c r="AV311" s="1683">
        <v>1.7772</v>
      </c>
      <c r="AW311" s="1683">
        <v>1.0081</v>
      </c>
      <c r="AX311" s="1683">
        <v>0.781</v>
      </c>
      <c r="AY311" s="1683">
        <v>0.805</v>
      </c>
      <c r="AZ311" s="1683">
        <v>1.9368</v>
      </c>
      <c r="BA311" s="1683">
        <v>0.3623</v>
      </c>
      <c r="BB311" s="1683" t="s">
        <v>520</v>
      </c>
    </row>
    <row r="312" spans="1:54">
      <c r="A312" s="326">
        <f t="shared" si="36"/>
        <v>42886</v>
      </c>
      <c r="B312" s="1678">
        <v>99.7</v>
      </c>
      <c r="C312" s="1679">
        <f t="shared" si="32"/>
        <v>0.997</v>
      </c>
      <c r="D312" s="1679">
        <f>PRODUCT(C$4:C312)</f>
        <v>3.40434200503517</v>
      </c>
      <c r="F312" s="1678">
        <v>99.44</v>
      </c>
      <c r="G312" s="1679">
        <f t="shared" si="33"/>
        <v>0.9944</v>
      </c>
      <c r="H312" s="1679">
        <f>PRODUCT(G$4:G312)</f>
        <v>1.06207397916313</v>
      </c>
      <c r="J312" s="1680">
        <v>0.17</v>
      </c>
      <c r="K312" s="1680">
        <v>0.11</v>
      </c>
      <c r="L312" s="1680">
        <v>0.06</v>
      </c>
      <c r="N312" s="1681">
        <v>0.0358</v>
      </c>
      <c r="O312" s="1681">
        <v>0.0361</v>
      </c>
      <c r="P312" s="1681">
        <v>0.04</v>
      </c>
      <c r="Q312" s="1681"/>
      <c r="R312" s="1681"/>
      <c r="T312" s="1681"/>
      <c r="U312" s="1681"/>
      <c r="W312" s="1681">
        <f t="shared" si="34"/>
        <v>0</v>
      </c>
      <c r="X312" s="1681"/>
      <c r="Y312" s="1681">
        <f t="shared" si="35"/>
        <v>0</v>
      </c>
      <c r="Z312" s="1681"/>
      <c r="AB312" s="1682"/>
      <c r="AC312" s="1682"/>
      <c r="AE312" s="1683">
        <v>6.8633</v>
      </c>
      <c r="AF312" s="1683">
        <v>7.676</v>
      </c>
      <c r="AG312" s="1683">
        <v>0.062</v>
      </c>
      <c r="AH312" s="1683">
        <v>0.8808</v>
      </c>
      <c r="AI312" s="1683">
        <v>8.7985</v>
      </c>
      <c r="AJ312" s="1683">
        <v>5.126</v>
      </c>
      <c r="AK312" s="1683">
        <v>4.8684</v>
      </c>
      <c r="AL312" s="1683">
        <v>4.955</v>
      </c>
      <c r="AM312" s="1683">
        <v>7.0406</v>
      </c>
      <c r="AN312" s="1683">
        <v>5.1013</v>
      </c>
      <c r="AO312" s="1683">
        <v>1.6056</v>
      </c>
      <c r="AP312" s="1683">
        <v>0.1213</v>
      </c>
      <c r="AQ312" s="1683">
        <v>0.524</v>
      </c>
      <c r="AR312" s="1683">
        <v>0.0061</v>
      </c>
      <c r="AS312" s="1683">
        <v>1.8708</v>
      </c>
      <c r="AT312" s="1683">
        <v>1.8323</v>
      </c>
      <c r="AU312" s="1683">
        <v>0.0249</v>
      </c>
      <c r="AV312" s="1683">
        <v>1.8386</v>
      </c>
      <c r="AW312" s="1683">
        <v>1.0319</v>
      </c>
      <c r="AX312" s="1683">
        <v>0.7869</v>
      </c>
      <c r="AY312" s="1683">
        <v>0.8132</v>
      </c>
      <c r="AZ312" s="1683">
        <v>1.9341</v>
      </c>
      <c r="BA312" s="1683">
        <v>0.3669</v>
      </c>
      <c r="BB312" s="1683" t="s">
        <v>520</v>
      </c>
    </row>
    <row r="313" spans="1:54">
      <c r="A313" s="326">
        <f t="shared" si="36"/>
        <v>42916</v>
      </c>
      <c r="B313" s="1678">
        <v>99.8</v>
      </c>
      <c r="C313" s="1679">
        <f t="shared" si="32"/>
        <v>0.998</v>
      </c>
      <c r="D313" s="1679">
        <f>PRODUCT(C$4:C313)</f>
        <v>3.3975333210251</v>
      </c>
      <c r="F313" s="1678">
        <v>99.91</v>
      </c>
      <c r="G313" s="1679">
        <f t="shared" si="33"/>
        <v>0.9991</v>
      </c>
      <c r="H313" s="1679">
        <f>PRODUCT(G$4:G313)</f>
        <v>1.06111811258188</v>
      </c>
      <c r="J313" s="1680">
        <v>0.17</v>
      </c>
      <c r="K313" s="1680">
        <v>0.11</v>
      </c>
      <c r="L313" s="1680">
        <v>0.06</v>
      </c>
      <c r="N313" s="1681">
        <v>0.0349</v>
      </c>
      <c r="O313" s="1681">
        <v>0.0357</v>
      </c>
      <c r="P313" s="1681">
        <v>0.0398</v>
      </c>
      <c r="Q313" s="1681"/>
      <c r="R313" s="1681"/>
      <c r="T313" s="1681"/>
      <c r="U313" s="1681"/>
      <c r="W313" s="1681">
        <f t="shared" si="34"/>
        <v>0</v>
      </c>
      <c r="X313" s="1681"/>
      <c r="Y313" s="1681">
        <f t="shared" si="35"/>
        <v>0</v>
      </c>
      <c r="Z313" s="1681"/>
      <c r="AB313" s="1682"/>
      <c r="AC313" s="1682"/>
      <c r="AE313" s="1683">
        <v>6.7744</v>
      </c>
      <c r="AF313" s="1683">
        <v>7.7496</v>
      </c>
      <c r="AG313" s="1683">
        <v>0.0605</v>
      </c>
      <c r="AH313" s="1683">
        <v>0.8679</v>
      </c>
      <c r="AI313" s="1683">
        <v>8.8144</v>
      </c>
      <c r="AJ313" s="1683">
        <v>5.2099</v>
      </c>
      <c r="AK313" s="1683">
        <v>4.9569</v>
      </c>
      <c r="AL313" s="1683">
        <v>4.9135</v>
      </c>
      <c r="AM313" s="1683">
        <v>7.0888</v>
      </c>
      <c r="AN313" s="1683">
        <v>5.2144</v>
      </c>
      <c r="AO313" s="1683">
        <v>1.5779</v>
      </c>
      <c r="AP313" s="1683">
        <v>0.1142</v>
      </c>
      <c r="AQ313" s="1683">
        <v>0.5208</v>
      </c>
      <c r="AR313" s="1683">
        <v>0.0059</v>
      </c>
      <c r="AS313" s="1683">
        <v>1.8445</v>
      </c>
      <c r="AT313" s="1683">
        <v>1.8065</v>
      </c>
      <c r="AU313" s="1683">
        <v>0.025</v>
      </c>
      <c r="AV313" s="1683">
        <v>1.8271</v>
      </c>
      <c r="AW313" s="1683">
        <v>1.0421</v>
      </c>
      <c r="AX313" s="1683">
        <v>0.801</v>
      </c>
      <c r="AY313" s="1683">
        <v>0.8085</v>
      </c>
      <c r="AZ313" s="1683">
        <v>1.9217</v>
      </c>
      <c r="BA313" s="1683">
        <v>0.3756</v>
      </c>
      <c r="BB313" s="1683" t="s">
        <v>520</v>
      </c>
    </row>
    <row r="314" spans="1:54">
      <c r="A314" s="326">
        <f t="shared" si="36"/>
        <v>42947</v>
      </c>
      <c r="B314" s="1678">
        <v>100.2</v>
      </c>
      <c r="C314" s="1679">
        <f t="shared" si="32"/>
        <v>1.002</v>
      </c>
      <c r="D314" s="1679">
        <f>PRODUCT(C$4:C314)</f>
        <v>3.40432838766715</v>
      </c>
      <c r="F314" s="1678">
        <v>99.72</v>
      </c>
      <c r="G314" s="1679">
        <f t="shared" si="33"/>
        <v>0.9972</v>
      </c>
      <c r="H314" s="1679">
        <f>PRODUCT(G$4:G314)</f>
        <v>1.05814698186665</v>
      </c>
      <c r="J314" s="1680">
        <v>0.17</v>
      </c>
      <c r="K314" s="1680">
        <v>0.11</v>
      </c>
      <c r="L314" s="1680">
        <v>0.06</v>
      </c>
      <c r="N314" s="1681">
        <v>0.0356</v>
      </c>
      <c r="O314" s="1681">
        <v>0.0363</v>
      </c>
      <c r="P314" s="1681">
        <v>0.041</v>
      </c>
      <c r="Q314" s="1681"/>
      <c r="R314" s="1681"/>
      <c r="T314" s="1681"/>
      <c r="U314" s="1681"/>
      <c r="W314" s="1681">
        <f t="shared" si="34"/>
        <v>0</v>
      </c>
      <c r="X314" s="1681"/>
      <c r="Y314" s="1681">
        <f t="shared" si="35"/>
        <v>0</v>
      </c>
      <c r="Z314" s="1681"/>
      <c r="AB314" s="1682"/>
      <c r="AC314" s="1682"/>
      <c r="AE314" s="1683">
        <v>6.7283</v>
      </c>
      <c r="AF314" s="1683">
        <v>7.9059</v>
      </c>
      <c r="AG314" s="1683">
        <v>0.0609</v>
      </c>
      <c r="AH314" s="1683">
        <v>0.8616</v>
      </c>
      <c r="AI314" s="1683">
        <v>8.8429</v>
      </c>
      <c r="AJ314" s="1683">
        <v>5.3672</v>
      </c>
      <c r="AK314" s="1683">
        <v>5.0576</v>
      </c>
      <c r="AL314" s="1683">
        <v>4.9591</v>
      </c>
      <c r="AM314" s="1683">
        <v>6.9465</v>
      </c>
      <c r="AN314" s="1683">
        <v>5.4023</v>
      </c>
      <c r="AO314" s="1683">
        <v>1.5721</v>
      </c>
      <c r="AP314" s="1683">
        <v>0.1129</v>
      </c>
      <c r="AQ314" s="1683">
        <v>0.5174</v>
      </c>
      <c r="AR314" s="1683">
        <v>0.006</v>
      </c>
      <c r="AS314" s="1683">
        <v>1.8317</v>
      </c>
      <c r="AT314" s="1683">
        <v>1.794</v>
      </c>
      <c r="AU314" s="1683">
        <v>0.026</v>
      </c>
      <c r="AV314" s="1683">
        <v>1.858</v>
      </c>
      <c r="AW314" s="1683">
        <v>1.0632</v>
      </c>
      <c r="AX314" s="1683">
        <v>0.83</v>
      </c>
      <c r="AY314" s="1683">
        <v>0.8499</v>
      </c>
      <c r="AZ314" s="1683">
        <v>1.9043</v>
      </c>
      <c r="BA314" s="1683">
        <v>0.379</v>
      </c>
      <c r="BB314" s="1683" t="s">
        <v>520</v>
      </c>
    </row>
    <row r="315" spans="1:54">
      <c r="A315" s="326">
        <f t="shared" si="36"/>
        <v>42978</v>
      </c>
      <c r="B315" s="1678">
        <v>100.9</v>
      </c>
      <c r="C315" s="1679">
        <f t="shared" si="32"/>
        <v>1.009</v>
      </c>
      <c r="D315" s="1679">
        <f>PRODUCT(C$4:C315)</f>
        <v>3.43496734315616</v>
      </c>
      <c r="F315" s="1678">
        <v>100.85</v>
      </c>
      <c r="G315" s="1679">
        <f t="shared" si="33"/>
        <v>1.0085</v>
      </c>
      <c r="H315" s="1679">
        <f>PRODUCT(G$4:G315)</f>
        <v>1.06714123121252</v>
      </c>
      <c r="J315" s="1680">
        <v>0.17</v>
      </c>
      <c r="K315" s="1680">
        <v>0.11</v>
      </c>
      <c r="L315" s="1680">
        <v>0.06</v>
      </c>
      <c r="N315" s="1681">
        <v>0.0361</v>
      </c>
      <c r="O315" s="1681">
        <v>0.0363</v>
      </c>
      <c r="P315" s="1681">
        <v>0.0422</v>
      </c>
      <c r="Q315" s="1681"/>
      <c r="R315" s="1681"/>
      <c r="T315" s="1681"/>
      <c r="U315" s="1681"/>
      <c r="W315" s="1681">
        <f t="shared" si="34"/>
        <v>0</v>
      </c>
      <c r="X315" s="1681"/>
      <c r="Y315" s="1681">
        <f t="shared" si="35"/>
        <v>0</v>
      </c>
      <c r="Z315" s="1681"/>
      <c r="AB315" s="1682"/>
      <c r="AC315" s="1682"/>
      <c r="AE315" s="1683">
        <v>6.601</v>
      </c>
      <c r="AF315" s="1683">
        <v>7.8525</v>
      </c>
      <c r="AG315" s="1683">
        <v>0.0598</v>
      </c>
      <c r="AH315" s="1683">
        <v>0.8436</v>
      </c>
      <c r="AI315" s="1683">
        <v>8.5277</v>
      </c>
      <c r="AJ315" s="1683">
        <v>5.2207</v>
      </c>
      <c r="AK315" s="1683">
        <v>4.7562</v>
      </c>
      <c r="AL315" s="1683">
        <v>4.8615</v>
      </c>
      <c r="AM315" s="1683">
        <v>6.8513</v>
      </c>
      <c r="AN315" s="1683">
        <v>5.2297</v>
      </c>
      <c r="AO315" s="1683">
        <v>1.5464</v>
      </c>
      <c r="AP315" s="1683">
        <v>0.1128</v>
      </c>
      <c r="AQ315" s="1683">
        <v>0.5073</v>
      </c>
      <c r="AR315" s="1683">
        <v>0.0059</v>
      </c>
      <c r="AS315" s="1683">
        <v>1.7975</v>
      </c>
      <c r="AT315" s="1683">
        <v>1.7606</v>
      </c>
      <c r="AU315" s="1683">
        <v>0.0257</v>
      </c>
      <c r="AV315" s="1683">
        <v>1.8455</v>
      </c>
      <c r="AW315" s="1683">
        <v>1.0554</v>
      </c>
      <c r="AX315" s="1683">
        <v>0.8278</v>
      </c>
      <c r="AY315" s="1683">
        <v>0.8462</v>
      </c>
      <c r="AZ315" s="1683">
        <v>1.9104</v>
      </c>
      <c r="BA315" s="1683">
        <v>0.3721</v>
      </c>
      <c r="BB315" s="1683" t="s">
        <v>520</v>
      </c>
    </row>
    <row r="316" spans="1:54">
      <c r="A316" s="326">
        <f t="shared" si="36"/>
        <v>43008</v>
      </c>
      <c r="B316" s="1678">
        <v>101</v>
      </c>
      <c r="C316" s="1679">
        <f t="shared" si="32"/>
        <v>1.01</v>
      </c>
      <c r="D316" s="1679">
        <f>PRODUCT(C$4:C316)</f>
        <v>3.46931701658772</v>
      </c>
      <c r="F316" s="1678">
        <v>100.19</v>
      </c>
      <c r="G316" s="1679">
        <f t="shared" si="33"/>
        <v>1.0019</v>
      </c>
      <c r="H316" s="1679">
        <f>PRODUCT(G$4:G316)</f>
        <v>1.06916879955182</v>
      </c>
      <c r="J316" s="1680">
        <v>0.17</v>
      </c>
      <c r="K316" s="1680">
        <v>0.11</v>
      </c>
      <c r="L316" s="1680">
        <v>0.06</v>
      </c>
      <c r="N316" s="1681">
        <v>0.0362</v>
      </c>
      <c r="O316" s="1681">
        <v>0.0361</v>
      </c>
      <c r="P316" s="1681">
        <v>0.0423</v>
      </c>
      <c r="Q316" s="1681"/>
      <c r="R316" s="1681"/>
      <c r="T316" s="1681"/>
      <c r="U316" s="1681"/>
      <c r="W316" s="1681">
        <f t="shared" si="34"/>
        <v>0</v>
      </c>
      <c r="X316" s="1681"/>
      <c r="Y316" s="1681">
        <f t="shared" si="35"/>
        <v>0</v>
      </c>
      <c r="Z316" s="1681"/>
      <c r="AB316" s="1682"/>
      <c r="AC316" s="1682"/>
      <c r="AE316" s="1683">
        <v>6.6369</v>
      </c>
      <c r="AF316" s="1683">
        <v>7.8233</v>
      </c>
      <c r="AG316" s="1683">
        <v>0.0591</v>
      </c>
      <c r="AH316" s="1683">
        <v>0.8497</v>
      </c>
      <c r="AI316" s="1683">
        <v>8.925</v>
      </c>
      <c r="AJ316" s="1683">
        <v>5.2114</v>
      </c>
      <c r="AK316" s="1683">
        <v>4.797</v>
      </c>
      <c r="AL316" s="1683">
        <v>4.892</v>
      </c>
      <c r="AM316" s="1683">
        <v>6.846</v>
      </c>
      <c r="AN316" s="1683">
        <v>5.3419</v>
      </c>
      <c r="AO316" s="1683">
        <v>1.5715</v>
      </c>
      <c r="AP316" s="1683">
        <v>0.1148</v>
      </c>
      <c r="AQ316" s="1683">
        <v>0.4915</v>
      </c>
      <c r="AR316" s="1683">
        <v>0.0058</v>
      </c>
      <c r="AS316" s="1683">
        <v>1.8085</v>
      </c>
      <c r="AT316" s="1683">
        <v>1.7713</v>
      </c>
      <c r="AU316" s="1683">
        <v>0.0252</v>
      </c>
      <c r="AV316" s="1683">
        <v>1.8131</v>
      </c>
      <c r="AW316" s="1683">
        <v>1.0514</v>
      </c>
      <c r="AX316" s="1683">
        <v>0.8184</v>
      </c>
      <c r="AY316" s="1683">
        <v>0.8363</v>
      </c>
      <c r="AZ316" s="1683">
        <v>1.8666</v>
      </c>
      <c r="BA316" s="1683">
        <v>0.3658</v>
      </c>
      <c r="BB316" s="1683" t="s">
        <v>520</v>
      </c>
    </row>
    <row r="317" spans="1:54">
      <c r="A317" s="326">
        <f t="shared" si="36"/>
        <v>43039</v>
      </c>
      <c r="B317" s="1678">
        <v>100.7</v>
      </c>
      <c r="C317" s="1679">
        <f t="shared" si="32"/>
        <v>1.007</v>
      </c>
      <c r="D317" s="1679">
        <f>PRODUCT(C$4:C317)</f>
        <v>3.49360223570383</v>
      </c>
      <c r="F317" s="1678">
        <v>99.91</v>
      </c>
      <c r="G317" s="1679">
        <f t="shared" si="33"/>
        <v>0.9991</v>
      </c>
      <c r="H317" s="1679">
        <f>PRODUCT(G$4:G317)</f>
        <v>1.06820654763223</v>
      </c>
      <c r="J317" s="1680">
        <v>0.17</v>
      </c>
      <c r="K317" s="1680">
        <v>0.11</v>
      </c>
      <c r="L317" s="1680">
        <v>0.06</v>
      </c>
      <c r="N317" s="1681">
        <v>0.0388</v>
      </c>
      <c r="O317" s="1681">
        <v>0.0389</v>
      </c>
      <c r="P317" s="1681">
        <v>0.0436</v>
      </c>
      <c r="Q317" s="1681"/>
      <c r="R317" s="1681"/>
      <c r="T317" s="1681"/>
      <c r="U317" s="1681"/>
      <c r="W317" s="1681">
        <f t="shared" si="34"/>
        <v>0</v>
      </c>
      <c r="X317" s="1681"/>
      <c r="Y317" s="1681">
        <f t="shared" si="35"/>
        <v>0</v>
      </c>
      <c r="Z317" s="1681"/>
      <c r="AB317" s="1682"/>
      <c r="AC317" s="1682"/>
      <c r="AE317" s="1683">
        <v>6.6397</v>
      </c>
      <c r="AF317" s="1683">
        <v>7.7333</v>
      </c>
      <c r="AG317" s="1683">
        <v>0.0587</v>
      </c>
      <c r="AH317" s="1683">
        <v>0.8513</v>
      </c>
      <c r="AI317" s="1683">
        <v>8.7682</v>
      </c>
      <c r="AJ317" s="1683">
        <v>5.1077</v>
      </c>
      <c r="AK317" s="1683">
        <v>4.5611</v>
      </c>
      <c r="AL317" s="1683">
        <v>4.8807</v>
      </c>
      <c r="AM317" s="1683">
        <v>6.6714</v>
      </c>
      <c r="AN317" s="1683">
        <v>5.1754</v>
      </c>
      <c r="AO317" s="1683">
        <v>1.5681</v>
      </c>
      <c r="AP317" s="1683">
        <v>0.1146</v>
      </c>
      <c r="AQ317" s="1683">
        <v>0.4723</v>
      </c>
      <c r="AR317" s="1683">
        <v>0.0059</v>
      </c>
      <c r="AS317" s="1683">
        <v>1.8076</v>
      </c>
      <c r="AT317" s="1683">
        <v>1.7703</v>
      </c>
      <c r="AU317" s="1683">
        <v>0.0249</v>
      </c>
      <c r="AV317" s="1683">
        <v>1.8189</v>
      </c>
      <c r="AW317" s="1683">
        <v>1.0391</v>
      </c>
      <c r="AX317" s="1683">
        <v>0.7948</v>
      </c>
      <c r="AY317" s="1683">
        <v>0.8142</v>
      </c>
      <c r="AZ317" s="1683">
        <v>1.7559</v>
      </c>
      <c r="BA317" s="1683">
        <v>0.3448</v>
      </c>
      <c r="BB317" s="1683" t="s">
        <v>520</v>
      </c>
    </row>
    <row r="318" spans="1:54">
      <c r="A318" s="326">
        <f t="shared" si="36"/>
        <v>43069</v>
      </c>
      <c r="B318" s="1678">
        <v>100.5</v>
      </c>
      <c r="C318" s="1679">
        <f t="shared" si="32"/>
        <v>1.005</v>
      </c>
      <c r="D318" s="1679">
        <f>PRODUCT(C$4:C318)</f>
        <v>3.51107024688235</v>
      </c>
      <c r="F318" s="1678">
        <v>98.6</v>
      </c>
      <c r="G318" s="1679">
        <f t="shared" si="33"/>
        <v>0.986</v>
      </c>
      <c r="H318" s="1679">
        <f>PRODUCT(G$4:G318)</f>
        <v>1.05325165596537</v>
      </c>
      <c r="J318" s="1680">
        <v>0.17</v>
      </c>
      <c r="K318" s="1680">
        <v>0.11</v>
      </c>
      <c r="L318" s="1680">
        <v>0.06</v>
      </c>
      <c r="N318" s="1681">
        <v>0.0384</v>
      </c>
      <c r="O318" s="1681">
        <v>0.0389</v>
      </c>
      <c r="P318" s="1681">
        <v>0.0433</v>
      </c>
      <c r="Q318" s="1681"/>
      <c r="R318" s="1681"/>
      <c r="T318" s="1681"/>
      <c r="U318" s="1681"/>
      <c r="W318" s="1681">
        <f t="shared" si="34"/>
        <v>0</v>
      </c>
      <c r="X318" s="1681"/>
      <c r="Y318" s="1681">
        <f t="shared" si="35"/>
        <v>0</v>
      </c>
      <c r="Z318" s="1681"/>
      <c r="AB318" s="1682"/>
      <c r="AC318" s="1682"/>
      <c r="AE318" s="1683">
        <v>6.6034</v>
      </c>
      <c r="AF318" s="1683">
        <v>7.8252</v>
      </c>
      <c r="AG318" s="1683">
        <v>0.0589</v>
      </c>
      <c r="AH318" s="1683">
        <v>0.8458</v>
      </c>
      <c r="AI318" s="1683">
        <v>8.8567</v>
      </c>
      <c r="AJ318" s="1683">
        <v>4.9981</v>
      </c>
      <c r="AK318" s="1683">
        <v>4.5303</v>
      </c>
      <c r="AL318" s="1683">
        <v>4.901</v>
      </c>
      <c r="AM318" s="1683">
        <v>6.7072</v>
      </c>
      <c r="AN318" s="1683">
        <v>5.1326</v>
      </c>
      <c r="AO318" s="1683">
        <v>1.6177</v>
      </c>
      <c r="AP318" s="1683">
        <v>0.1127</v>
      </c>
      <c r="AQ318" s="1683">
        <v>0.4832</v>
      </c>
      <c r="AR318" s="1683">
        <v>0.0061</v>
      </c>
      <c r="AS318" s="1683">
        <v>1.7978</v>
      </c>
      <c r="AT318" s="1683">
        <v>1.7607</v>
      </c>
      <c r="AU318" s="1683">
        <v>0.0251</v>
      </c>
      <c r="AV318" s="1683">
        <v>1.8623</v>
      </c>
      <c r="AW318" s="1683">
        <v>1.0514</v>
      </c>
      <c r="AX318" s="1683">
        <v>0.789</v>
      </c>
      <c r="AY318" s="1683">
        <v>0.8003</v>
      </c>
      <c r="AZ318" s="1683">
        <v>1.6688</v>
      </c>
      <c r="BA318" s="1683">
        <v>0.3557</v>
      </c>
      <c r="BB318" s="1683" t="s">
        <v>520</v>
      </c>
    </row>
    <row r="319" spans="1:54">
      <c r="A319" s="326">
        <f t="shared" si="36"/>
        <v>43100</v>
      </c>
      <c r="B319" s="1678">
        <v>100.8</v>
      </c>
      <c r="C319" s="1679">
        <f t="shared" si="32"/>
        <v>1.008</v>
      </c>
      <c r="D319" s="1679">
        <f>PRODUCT(C$4:C319)</f>
        <v>3.53915880885741</v>
      </c>
      <c r="F319" s="1678">
        <v>99.15</v>
      </c>
      <c r="G319" s="1679">
        <f t="shared" si="33"/>
        <v>0.9915</v>
      </c>
      <c r="H319" s="1679">
        <f>PRODUCT(G$4:G319)</f>
        <v>1.04429901688967</v>
      </c>
      <c r="J319" s="1680">
        <v>0.17</v>
      </c>
      <c r="K319" s="1680">
        <v>0.11</v>
      </c>
      <c r="L319" s="1680">
        <v>0.06</v>
      </c>
      <c r="N319" s="1681">
        <v>0.0384</v>
      </c>
      <c r="O319" s="1681">
        <v>0.0388</v>
      </c>
      <c r="P319" s="1681">
        <v>0.0437</v>
      </c>
      <c r="Q319" s="1681"/>
      <c r="R319" s="1681"/>
      <c r="T319" s="1681"/>
      <c r="U319" s="1681"/>
      <c r="W319" s="1681">
        <f t="shared" si="34"/>
        <v>0</v>
      </c>
      <c r="X319" s="1681"/>
      <c r="Y319" s="1681">
        <f t="shared" si="35"/>
        <v>0</v>
      </c>
      <c r="Z319" s="1681"/>
      <c r="AB319" s="1682"/>
      <c r="AC319" s="1682"/>
      <c r="AE319" s="1683">
        <v>6.5342</v>
      </c>
      <c r="AF319" s="1683">
        <v>7.8023</v>
      </c>
      <c r="AG319" s="1683">
        <v>0.0579</v>
      </c>
      <c r="AH319" s="1683">
        <v>0.8359</v>
      </c>
      <c r="AI319" s="1683">
        <v>8.7792</v>
      </c>
      <c r="AJ319" s="1683">
        <v>5.0928</v>
      </c>
      <c r="AK319" s="1683">
        <v>4.6327</v>
      </c>
      <c r="AL319" s="1683">
        <v>4.8831</v>
      </c>
      <c r="AM319" s="1683">
        <v>6.6779</v>
      </c>
      <c r="AN319" s="1683">
        <v>5.2009</v>
      </c>
      <c r="AO319" s="1683">
        <v>1.6071</v>
      </c>
      <c r="AP319" s="1683">
        <v>0.1135</v>
      </c>
      <c r="AQ319" s="1683">
        <v>0.5277</v>
      </c>
      <c r="AR319" s="1683">
        <v>0.0061</v>
      </c>
      <c r="AS319" s="1683">
        <v>1.779</v>
      </c>
      <c r="AT319" s="1683">
        <v>1.7423</v>
      </c>
      <c r="AU319" s="1683">
        <v>0.0252</v>
      </c>
      <c r="AV319" s="1683">
        <v>1.8665</v>
      </c>
      <c r="AW319" s="1683">
        <v>1.0479</v>
      </c>
      <c r="AX319" s="1683">
        <v>0.7921</v>
      </c>
      <c r="AY319" s="1683">
        <v>0.7921</v>
      </c>
      <c r="AZ319" s="1683">
        <v>1.7291</v>
      </c>
      <c r="BA319" s="1683">
        <v>0.3315</v>
      </c>
      <c r="BB319" s="1683" t="s">
        <v>520</v>
      </c>
    </row>
    <row r="320" spans="1:54">
      <c r="A320" s="326">
        <f t="shared" si="36"/>
        <v>43131</v>
      </c>
      <c r="B320" s="1678">
        <v>100.3</v>
      </c>
      <c r="C320" s="1679">
        <f t="shared" si="32"/>
        <v>1.003</v>
      </c>
      <c r="D320" s="1679">
        <f>PRODUCT(C$4:C320)</f>
        <v>3.54977628528398</v>
      </c>
      <c r="F320" s="1678">
        <v>99.52</v>
      </c>
      <c r="G320" s="1679">
        <f t="shared" si="33"/>
        <v>0.9952</v>
      </c>
      <c r="H320" s="1679">
        <f>PRODUCT(G$4:G320)</f>
        <v>1.0392863816086</v>
      </c>
      <c r="J320" s="1680">
        <v>0.17</v>
      </c>
      <c r="K320" s="1680">
        <v>0.11</v>
      </c>
      <c r="L320" s="1680">
        <v>0.06</v>
      </c>
      <c r="N320" s="1681">
        <v>0.0383</v>
      </c>
      <c r="O320" s="1681">
        <v>0.0391</v>
      </c>
      <c r="P320" s="1681">
        <v>0.0436</v>
      </c>
      <c r="Q320" s="1681"/>
      <c r="R320" s="1681"/>
      <c r="T320" s="1681"/>
      <c r="U320" s="1681"/>
      <c r="W320" s="1681">
        <f t="shared" si="34"/>
        <v>0</v>
      </c>
      <c r="X320" s="1681"/>
      <c r="Y320" s="1681">
        <f t="shared" si="35"/>
        <v>0</v>
      </c>
      <c r="Z320" s="1681"/>
      <c r="AB320" s="1682"/>
      <c r="AC320" s="1682"/>
      <c r="AE320" s="1683">
        <v>6.3339</v>
      </c>
      <c r="AF320" s="1683">
        <v>7.8553</v>
      </c>
      <c r="AG320" s="1683">
        <v>0.0582</v>
      </c>
      <c r="AH320" s="1683">
        <v>0.8099</v>
      </c>
      <c r="AI320" s="1683">
        <v>8.96</v>
      </c>
      <c r="AJ320" s="1683">
        <v>5.1219</v>
      </c>
      <c r="AK320" s="1683">
        <v>4.6491</v>
      </c>
      <c r="AL320" s="1683">
        <v>4.8272</v>
      </c>
      <c r="AM320" s="1683">
        <v>6.7759</v>
      </c>
      <c r="AN320" s="1683">
        <v>5.1332</v>
      </c>
      <c r="AO320" s="1683">
        <v>1.6262</v>
      </c>
      <c r="AP320" s="1683">
        <v>0.1123</v>
      </c>
      <c r="AQ320" s="1683">
        <v>0.5287</v>
      </c>
      <c r="AR320" s="1683">
        <v>0.0059</v>
      </c>
      <c r="AS320" s="1683">
        <v>1.7245</v>
      </c>
      <c r="AT320" s="1683">
        <v>1.6889</v>
      </c>
      <c r="AU320" s="1683">
        <v>0.0253</v>
      </c>
      <c r="AV320" s="1683">
        <v>1.8889</v>
      </c>
      <c r="AW320" s="1683">
        <v>1.0554</v>
      </c>
      <c r="AX320" s="1683">
        <v>0.8027</v>
      </c>
      <c r="AY320" s="1683">
        <v>0.8201</v>
      </c>
      <c r="AZ320" s="1683">
        <v>1.6764</v>
      </c>
      <c r="BA320" s="1683">
        <v>0.3374</v>
      </c>
      <c r="BB320" s="1683" t="s">
        <v>520</v>
      </c>
    </row>
    <row r="321" spans="1:54">
      <c r="A321" s="326">
        <f t="shared" si="36"/>
        <v>43159</v>
      </c>
      <c r="B321" s="1678">
        <v>99.9</v>
      </c>
      <c r="C321" s="1679">
        <f t="shared" si="32"/>
        <v>0.999</v>
      </c>
      <c r="D321" s="1679">
        <f>PRODUCT(C$4:C321)</f>
        <v>3.5462265089987</v>
      </c>
      <c r="F321" s="1678">
        <v>99.52</v>
      </c>
      <c r="G321" s="1679">
        <f t="shared" si="33"/>
        <v>0.9952</v>
      </c>
      <c r="H321" s="1679">
        <f>PRODUCT(G$4:G321)</f>
        <v>1.03429780697688</v>
      </c>
      <c r="J321" s="1680">
        <v>0.17</v>
      </c>
      <c r="K321" s="1680">
        <v>0.11</v>
      </c>
      <c r="L321" s="1680">
        <v>0.06</v>
      </c>
      <c r="N321" s="1681">
        <v>0.037</v>
      </c>
      <c r="O321" s="1681">
        <v>0.0382</v>
      </c>
      <c r="P321" s="1681">
        <v>0.0426</v>
      </c>
      <c r="Q321" s="1681"/>
      <c r="R321" s="1681"/>
      <c r="T321" s="1681"/>
      <c r="U321" s="1681"/>
      <c r="W321" s="1681">
        <f t="shared" si="34"/>
        <v>0</v>
      </c>
      <c r="X321" s="1681"/>
      <c r="Y321" s="1681">
        <f t="shared" si="35"/>
        <v>0</v>
      </c>
      <c r="Z321" s="1681"/>
      <c r="AB321" s="1682"/>
      <c r="AC321" s="1682"/>
      <c r="AE321" s="1683">
        <v>6.3294</v>
      </c>
      <c r="AF321" s="1683">
        <v>7.7355</v>
      </c>
      <c r="AG321" s="1683">
        <v>0.0589</v>
      </c>
      <c r="AH321" s="1683">
        <v>0.8086</v>
      </c>
      <c r="AI321" s="1683">
        <v>8.7939</v>
      </c>
      <c r="AJ321" s="1683">
        <v>4.9293</v>
      </c>
      <c r="AK321" s="1683">
        <v>4.5753</v>
      </c>
      <c r="AL321" s="1683">
        <v>4.774</v>
      </c>
      <c r="AM321" s="1683">
        <v>6.7333</v>
      </c>
      <c r="AN321" s="1683">
        <v>4.9516</v>
      </c>
      <c r="AO321" s="1683">
        <v>1.6171</v>
      </c>
      <c r="AP321" s="1683">
        <v>0.1123</v>
      </c>
      <c r="AQ321" s="1683">
        <v>0.5398</v>
      </c>
      <c r="AR321" s="1683">
        <v>0.0059</v>
      </c>
      <c r="AS321" s="1683">
        <v>1.7211</v>
      </c>
      <c r="AT321" s="1683">
        <v>1.6856</v>
      </c>
      <c r="AU321" s="1683">
        <v>0.0246</v>
      </c>
      <c r="AV321" s="1683">
        <v>1.8538</v>
      </c>
      <c r="AW321" s="1683">
        <v>1.0391</v>
      </c>
      <c r="AX321" s="1683">
        <v>0.7691</v>
      </c>
      <c r="AY321" s="1683">
        <v>0.8036</v>
      </c>
      <c r="AZ321" s="1683">
        <v>1.657</v>
      </c>
      <c r="BA321" s="1683">
        <v>0.3356</v>
      </c>
      <c r="BB321" s="1683">
        <v>0.2009</v>
      </c>
    </row>
    <row r="322" spans="1:54">
      <c r="A322" s="326">
        <f t="shared" si="36"/>
        <v>43190</v>
      </c>
      <c r="B322" s="1678">
        <v>99.8</v>
      </c>
      <c r="C322" s="1679">
        <f t="shared" si="32"/>
        <v>0.998</v>
      </c>
      <c r="D322" s="1679">
        <f>PRODUCT(C$4:C322)</f>
        <v>3.5391340559807</v>
      </c>
      <c r="F322" s="1678">
        <v>99.32</v>
      </c>
      <c r="G322" s="1679">
        <f t="shared" si="33"/>
        <v>0.9932</v>
      </c>
      <c r="H322" s="1679">
        <f>PRODUCT(G$4:G322)</f>
        <v>1.02726458188943</v>
      </c>
      <c r="J322" s="1680">
        <v>0.17</v>
      </c>
      <c r="K322" s="1680">
        <v>0.11</v>
      </c>
      <c r="L322" s="1680">
        <v>0.06</v>
      </c>
      <c r="N322" s="1681">
        <v>0.0366</v>
      </c>
      <c r="O322" s="1681">
        <v>0.0374</v>
      </c>
      <c r="P322" s="1681">
        <v>0.0417</v>
      </c>
      <c r="Q322" s="1681"/>
      <c r="R322" s="1681"/>
      <c r="T322" s="1681"/>
      <c r="U322" s="1681"/>
      <c r="W322" s="1681">
        <f t="shared" si="34"/>
        <v>0</v>
      </c>
      <c r="X322" s="1681"/>
      <c r="Y322" s="1681">
        <f t="shared" si="35"/>
        <v>0</v>
      </c>
      <c r="Z322" s="1681"/>
      <c r="AB322" s="1682"/>
      <c r="AC322" s="1682"/>
      <c r="AE322" s="1683">
        <v>6.2881</v>
      </c>
      <c r="AF322" s="1683">
        <v>7.7378</v>
      </c>
      <c r="AG322" s="1683">
        <v>0.0591</v>
      </c>
      <c r="AH322" s="1683">
        <v>0.8013</v>
      </c>
      <c r="AI322" s="1683">
        <v>8.8191</v>
      </c>
      <c r="AJ322" s="1683">
        <v>4.8325</v>
      </c>
      <c r="AK322" s="1683">
        <v>4.5456</v>
      </c>
      <c r="AL322" s="1683">
        <v>4.795</v>
      </c>
      <c r="AM322" s="1683">
        <v>6.578</v>
      </c>
      <c r="AN322" s="1683">
        <v>4.8788</v>
      </c>
      <c r="AO322" s="1683">
        <v>1.626</v>
      </c>
      <c r="AP322" s="1683">
        <v>0.1098</v>
      </c>
      <c r="AQ322" s="1683">
        <v>0.5312</v>
      </c>
      <c r="AR322" s="1683">
        <v>0.0059</v>
      </c>
      <c r="AS322" s="1683">
        <v>1.7121</v>
      </c>
      <c r="AT322" s="1683">
        <v>1.6768</v>
      </c>
      <c r="AU322" s="1683">
        <v>0.0248</v>
      </c>
      <c r="AV322" s="1683">
        <v>1.8379</v>
      </c>
      <c r="AW322" s="1683">
        <v>1.0376</v>
      </c>
      <c r="AX322" s="1683">
        <v>0.7522</v>
      </c>
      <c r="AY322" s="1683">
        <v>0.8022</v>
      </c>
      <c r="AZ322" s="1683">
        <v>1.594</v>
      </c>
      <c r="BA322" s="1683">
        <v>0.3458</v>
      </c>
      <c r="BB322" s="1683">
        <v>0.2012</v>
      </c>
    </row>
    <row r="323" spans="1:54">
      <c r="A323" s="326">
        <f t="shared" si="36"/>
        <v>43220</v>
      </c>
      <c r="B323" s="1678">
        <v>99.8</v>
      </c>
      <c r="C323" s="1679">
        <f t="shared" si="32"/>
        <v>0.998</v>
      </c>
      <c r="D323" s="1679">
        <f>PRODUCT(C$4:C323)</f>
        <v>3.53205578786874</v>
      </c>
      <c r="F323" s="1678">
        <v>100.1</v>
      </c>
      <c r="G323" s="1679">
        <f t="shared" si="33"/>
        <v>1.001</v>
      </c>
      <c r="H323" s="1679">
        <f>PRODUCT(G$4:G323)</f>
        <v>1.02829184647132</v>
      </c>
      <c r="J323" s="1680">
        <v>0.17</v>
      </c>
      <c r="K323" s="1680">
        <v>0.11</v>
      </c>
      <c r="L323" s="1680">
        <v>0.06</v>
      </c>
      <c r="N323" s="1681">
        <v>0.0327</v>
      </c>
      <c r="O323" s="1681">
        <v>0.0362</v>
      </c>
      <c r="P323" s="1681">
        <v>0.0409</v>
      </c>
      <c r="Q323" s="1681"/>
      <c r="R323" s="1681"/>
      <c r="T323" s="1681"/>
      <c r="U323" s="1681"/>
      <c r="W323" s="1681">
        <f t="shared" si="34"/>
        <v>0</v>
      </c>
      <c r="X323" s="1681"/>
      <c r="Y323" s="1681">
        <f t="shared" si="35"/>
        <v>0</v>
      </c>
      <c r="Z323" s="1681"/>
      <c r="AB323" s="1682"/>
      <c r="AC323" s="1682"/>
      <c r="AE323" s="1683">
        <v>6.3393</v>
      </c>
      <c r="AF323" s="1683">
        <v>7.6714</v>
      </c>
      <c r="AG323" s="1683">
        <v>0.058</v>
      </c>
      <c r="AH323" s="1683">
        <v>0.8079</v>
      </c>
      <c r="AI323" s="1683">
        <v>8.8175</v>
      </c>
      <c r="AJ323" s="1683">
        <v>4.787</v>
      </c>
      <c r="AK323" s="1683">
        <v>4.4745</v>
      </c>
      <c r="AL323" s="1683">
        <v>4.7711</v>
      </c>
      <c r="AM323" s="1683">
        <v>6.4056</v>
      </c>
      <c r="AN323" s="1683">
        <v>4.9228</v>
      </c>
      <c r="AO323" s="1683">
        <v>1.6173</v>
      </c>
      <c r="AP323" s="1683">
        <v>0.101</v>
      </c>
      <c r="AQ323" s="1683">
        <v>0.5112</v>
      </c>
      <c r="AR323" s="1683">
        <v>0.0059</v>
      </c>
      <c r="AS323" s="1683">
        <v>1.7251</v>
      </c>
      <c r="AT323" s="1683">
        <v>1.6896</v>
      </c>
      <c r="AU323" s="1683">
        <v>0.0245</v>
      </c>
      <c r="AV323" s="1683">
        <v>1.8145</v>
      </c>
      <c r="AW323" s="1683">
        <v>1.0295</v>
      </c>
      <c r="AX323" s="1683">
        <v>0.7319</v>
      </c>
      <c r="AY323" s="1683">
        <v>0.793</v>
      </c>
      <c r="AZ323" s="1683">
        <v>1.5572</v>
      </c>
      <c r="BA323" s="1683">
        <v>0.3375</v>
      </c>
      <c r="BB323" s="1683">
        <v>0.2005</v>
      </c>
    </row>
    <row r="324" spans="1:54">
      <c r="A324" s="326">
        <f t="shared" si="36"/>
        <v>43251</v>
      </c>
      <c r="B324" s="1678">
        <v>100.4</v>
      </c>
      <c r="C324" s="1679">
        <f t="shared" si="32"/>
        <v>1.004</v>
      </c>
      <c r="D324" s="1679">
        <f>PRODUCT(C$4:C324)</f>
        <v>3.54618401102022</v>
      </c>
      <c r="F324" s="1678">
        <v>100.78</v>
      </c>
      <c r="G324" s="1679">
        <f t="shared" si="33"/>
        <v>1.0078</v>
      </c>
      <c r="H324" s="1679">
        <f>PRODUCT(G$4:G324)</f>
        <v>1.0363125228738</v>
      </c>
      <c r="J324" s="1688">
        <v>0.16</v>
      </c>
      <c r="K324" s="1688">
        <v>0.1</v>
      </c>
      <c r="L324" s="1688">
        <v>0.06</v>
      </c>
      <c r="N324" s="1681">
        <v>0.0344</v>
      </c>
      <c r="O324" s="1681">
        <v>0.0361</v>
      </c>
      <c r="P324" s="1681">
        <v>0.0407</v>
      </c>
      <c r="Q324" s="1681"/>
      <c r="R324" s="1681"/>
      <c r="T324" s="1681"/>
      <c r="U324" s="1681"/>
      <c r="W324" s="1681">
        <f t="shared" si="34"/>
        <v>0</v>
      </c>
      <c r="X324" s="1681"/>
      <c r="Y324" s="1681">
        <f t="shared" si="35"/>
        <v>0</v>
      </c>
      <c r="Z324" s="1681"/>
      <c r="AB324" s="1682"/>
      <c r="AC324" s="1682"/>
      <c r="AE324" s="1683">
        <v>6.4144</v>
      </c>
      <c r="AF324" s="1683">
        <v>7.4814</v>
      </c>
      <c r="AG324" s="1683">
        <v>0.059</v>
      </c>
      <c r="AH324" s="1683">
        <v>0.8175</v>
      </c>
      <c r="AI324" s="1683">
        <v>8.521</v>
      </c>
      <c r="AJ324" s="1683">
        <v>4.8567</v>
      </c>
      <c r="AK324" s="1683">
        <v>4.4791</v>
      </c>
      <c r="AL324" s="1683">
        <v>4.7901</v>
      </c>
      <c r="AM324" s="1683">
        <v>6.489</v>
      </c>
      <c r="AN324" s="1683">
        <v>4.9783</v>
      </c>
      <c r="AO324" s="1683">
        <v>1.609</v>
      </c>
      <c r="AP324" s="1683">
        <v>0.1033</v>
      </c>
      <c r="AQ324" s="1683">
        <v>0.512</v>
      </c>
      <c r="AR324" s="1683">
        <v>0.0059</v>
      </c>
      <c r="AS324" s="1683">
        <v>1.7463</v>
      </c>
      <c r="AT324" s="1683">
        <v>1.7102</v>
      </c>
      <c r="AU324" s="1683">
        <v>0.0234</v>
      </c>
      <c r="AV324" s="1683">
        <v>1.7359</v>
      </c>
      <c r="AW324" s="1683">
        <v>1.0051</v>
      </c>
      <c r="AX324" s="1683">
        <v>0.7281</v>
      </c>
      <c r="AY324" s="1683">
        <v>0.7835</v>
      </c>
      <c r="AZ324" s="1683">
        <v>1.435</v>
      </c>
      <c r="BA324" s="1683">
        <v>0.3241</v>
      </c>
      <c r="BB324" s="1683">
        <v>0.2002</v>
      </c>
    </row>
    <row r="325" spans="1:54">
      <c r="A325" s="326">
        <f t="shared" si="36"/>
        <v>43281</v>
      </c>
      <c r="B325" s="1678">
        <v>100.3</v>
      </c>
      <c r="C325" s="1679">
        <f t="shared" ref="C325:C338" si="37">B325/100</f>
        <v>1.003</v>
      </c>
      <c r="D325" s="1679">
        <f>PRODUCT(C$4:C325)</f>
        <v>3.55682256305328</v>
      </c>
      <c r="F325" s="1678">
        <v>100.48</v>
      </c>
      <c r="G325" s="1679">
        <f t="shared" ref="G325:G338" si="38">F325/100</f>
        <v>1.0048</v>
      </c>
      <c r="H325" s="1679">
        <f>PRODUCT(G$4:G325)</f>
        <v>1.04128682298359</v>
      </c>
      <c r="J325" s="1680">
        <v>0.16</v>
      </c>
      <c r="K325" s="1680">
        <v>0.1</v>
      </c>
      <c r="L325" s="1680">
        <v>0.06</v>
      </c>
      <c r="N325" s="1681">
        <v>0.0335</v>
      </c>
      <c r="O325" s="1681">
        <v>0.0348</v>
      </c>
      <c r="P325" s="1681">
        <v>0.0397</v>
      </c>
      <c r="Q325" s="1681"/>
      <c r="R325" s="1681"/>
      <c r="T325" s="1681"/>
      <c r="U325" s="1681"/>
      <c r="W325" s="1681">
        <f t="shared" ref="W325:W374" si="39">Q325</f>
        <v>0</v>
      </c>
      <c r="X325" s="1681"/>
      <c r="Y325" s="1681">
        <f t="shared" ref="Y325:Y374" si="40">R325</f>
        <v>0</v>
      </c>
      <c r="Z325" s="1681"/>
      <c r="AB325" s="1682"/>
      <c r="AC325" s="1682"/>
      <c r="AE325" s="1683">
        <v>6.6166</v>
      </c>
      <c r="AF325" s="1683">
        <v>7.6515</v>
      </c>
      <c r="AG325" s="1683">
        <v>0.0599</v>
      </c>
      <c r="AH325" s="1683">
        <v>0.8431</v>
      </c>
      <c r="AI325" s="1683">
        <v>8.6551</v>
      </c>
      <c r="AJ325" s="1683">
        <v>4.8633</v>
      </c>
      <c r="AK325" s="1683">
        <v>4.4704</v>
      </c>
      <c r="AL325" s="1683">
        <v>4.8386</v>
      </c>
      <c r="AM325" s="1683">
        <v>6.635</v>
      </c>
      <c r="AN325" s="1683">
        <v>4.9947</v>
      </c>
      <c r="AO325" s="1683">
        <v>1.6373</v>
      </c>
      <c r="AP325" s="1683">
        <v>0.1054</v>
      </c>
      <c r="AQ325" s="1683">
        <v>0.4803</v>
      </c>
      <c r="AR325" s="1683">
        <v>0.0059</v>
      </c>
      <c r="AS325" s="1683">
        <v>1.802</v>
      </c>
      <c r="AT325" s="1683">
        <v>1.7649</v>
      </c>
      <c r="AU325" s="1683">
        <v>0.0233</v>
      </c>
      <c r="AV325" s="1683">
        <v>1.755</v>
      </c>
      <c r="AW325" s="1683">
        <v>1.027</v>
      </c>
      <c r="AX325" s="1683">
        <v>0.7328</v>
      </c>
      <c r="AY325" s="1683">
        <v>0.8082</v>
      </c>
      <c r="AZ325" s="1683">
        <v>1.4412</v>
      </c>
      <c r="BA325" s="1683">
        <v>0.3353</v>
      </c>
      <c r="BB325" s="1683">
        <v>0.1998</v>
      </c>
    </row>
    <row r="326" spans="1:54">
      <c r="A326" s="326">
        <f t="shared" si="36"/>
        <v>43312</v>
      </c>
      <c r="B326" s="1678">
        <v>100.1</v>
      </c>
      <c r="C326" s="1679">
        <f t="shared" si="37"/>
        <v>1.001</v>
      </c>
      <c r="D326" s="1679">
        <f>PRODUCT(C$4:C326)</f>
        <v>3.56037938561633</v>
      </c>
      <c r="F326" s="1678">
        <v>99.81</v>
      </c>
      <c r="G326" s="1679">
        <f t="shared" si="38"/>
        <v>0.9981</v>
      </c>
      <c r="H326" s="1679">
        <f>PRODUCT(G$4:G326)</f>
        <v>1.03930837801993</v>
      </c>
      <c r="J326" s="1680">
        <v>0.16</v>
      </c>
      <c r="K326" s="1680">
        <v>0.1</v>
      </c>
      <c r="L326" s="1680">
        <v>0.06</v>
      </c>
      <c r="N326" s="1681">
        <v>0.0322</v>
      </c>
      <c r="O326" s="1681">
        <v>0.0348</v>
      </c>
      <c r="P326" s="1681">
        <v>0.0399</v>
      </c>
      <c r="Q326" s="1681"/>
      <c r="R326" s="1681"/>
      <c r="T326" s="1681"/>
      <c r="U326" s="1681"/>
      <c r="W326" s="1681">
        <f t="shared" si="39"/>
        <v>0</v>
      </c>
      <c r="X326" s="1681"/>
      <c r="Y326" s="1681">
        <f t="shared" si="40"/>
        <v>0</v>
      </c>
      <c r="Z326" s="1681"/>
      <c r="AB326" s="1682"/>
      <c r="AC326" s="1682"/>
      <c r="AE326" s="1683">
        <v>6.8165</v>
      </c>
      <c r="AF326" s="1683">
        <v>7.9799</v>
      </c>
      <c r="AG326" s="1683">
        <v>0.0614</v>
      </c>
      <c r="AH326" s="1683">
        <v>0.8685</v>
      </c>
      <c r="AI326" s="1683">
        <v>8.9542</v>
      </c>
      <c r="AJ326" s="1683">
        <v>5.0495</v>
      </c>
      <c r="AK326" s="1683">
        <v>4.653</v>
      </c>
      <c r="AL326" s="1683">
        <v>5.0086</v>
      </c>
      <c r="AM326" s="1683">
        <v>6.8993</v>
      </c>
      <c r="AN326" s="1683">
        <v>5.2329</v>
      </c>
      <c r="AO326" s="1683">
        <v>1.6797</v>
      </c>
      <c r="AP326" s="1683">
        <v>0.1095</v>
      </c>
      <c r="AQ326" s="1683">
        <v>0.5184</v>
      </c>
      <c r="AR326" s="1683">
        <v>0.0061</v>
      </c>
      <c r="AS326" s="1683">
        <v>1.856</v>
      </c>
      <c r="AT326" s="1683">
        <v>1.8177</v>
      </c>
      <c r="AU326" s="1683">
        <v>0.0248</v>
      </c>
      <c r="AV326" s="1683">
        <v>1.8695</v>
      </c>
      <c r="AW326" s="1683">
        <v>1.0716</v>
      </c>
      <c r="AX326" s="1683">
        <v>0.7788</v>
      </c>
      <c r="AY326" s="1683">
        <v>0.8383</v>
      </c>
      <c r="AZ326" s="1683">
        <v>1.3951</v>
      </c>
      <c r="BA326" s="1683">
        <v>0.3678</v>
      </c>
      <c r="BB326" s="1683">
        <v>0.2047</v>
      </c>
    </row>
    <row r="327" spans="1:54">
      <c r="A327" s="326">
        <f t="shared" si="36"/>
        <v>43343</v>
      </c>
      <c r="B327" s="1678">
        <v>100.4</v>
      </c>
      <c r="C327" s="1679">
        <f t="shared" si="37"/>
        <v>1.004</v>
      </c>
      <c r="D327" s="1679">
        <f>PRODUCT(C$4:C327)</f>
        <v>3.57462090315879</v>
      </c>
      <c r="F327" s="1678">
        <v>99.42</v>
      </c>
      <c r="G327" s="1679">
        <f t="shared" si="38"/>
        <v>0.9942</v>
      </c>
      <c r="H327" s="1679">
        <f>PRODUCT(G$4:G327)</f>
        <v>1.03328038942741</v>
      </c>
      <c r="J327" s="1680">
        <v>0.16</v>
      </c>
      <c r="K327" s="1680">
        <v>0.1</v>
      </c>
      <c r="L327" s="1680">
        <v>0.06</v>
      </c>
      <c r="N327" s="1681">
        <v>0.0335</v>
      </c>
      <c r="O327" s="1681">
        <v>0.0358</v>
      </c>
      <c r="P327" s="1681">
        <v>0.0418</v>
      </c>
      <c r="Q327" s="1681"/>
      <c r="R327" s="1681"/>
      <c r="T327" s="1681"/>
      <c r="U327" s="1681"/>
      <c r="W327" s="1681">
        <f t="shared" si="39"/>
        <v>0</v>
      </c>
      <c r="X327" s="1681"/>
      <c r="Y327" s="1681">
        <f t="shared" si="40"/>
        <v>0</v>
      </c>
      <c r="Z327" s="1681"/>
      <c r="AB327" s="1682"/>
      <c r="AC327" s="1682"/>
      <c r="AE327" s="1683">
        <v>6.8246</v>
      </c>
      <c r="AF327" s="1683">
        <v>7.9646</v>
      </c>
      <c r="AG327" s="1683">
        <v>0.0615</v>
      </c>
      <c r="AH327" s="1683">
        <v>0.8695</v>
      </c>
      <c r="AI327" s="1683">
        <v>8.8854</v>
      </c>
      <c r="AJ327" s="1683">
        <v>4.9582</v>
      </c>
      <c r="AK327" s="1683">
        <v>4.5424</v>
      </c>
      <c r="AL327" s="1683">
        <v>4.9952</v>
      </c>
      <c r="AM327" s="1683">
        <v>7.0509</v>
      </c>
      <c r="AN327" s="1683">
        <v>5.2597</v>
      </c>
      <c r="AO327" s="1683">
        <v>1.6632</v>
      </c>
      <c r="AP327" s="1683">
        <v>0.1002</v>
      </c>
      <c r="AQ327" s="1683">
        <v>0.4644</v>
      </c>
      <c r="AR327" s="1683">
        <v>0.0062</v>
      </c>
      <c r="AS327" s="1683">
        <v>1.859</v>
      </c>
      <c r="AT327" s="1683">
        <v>1.8206</v>
      </c>
      <c r="AU327" s="1683">
        <v>0.0244</v>
      </c>
      <c r="AV327" s="1683">
        <v>1.8523</v>
      </c>
      <c r="AW327" s="1683">
        <v>1.0684</v>
      </c>
      <c r="AX327" s="1683">
        <v>0.7487</v>
      </c>
      <c r="AY327" s="1683">
        <v>0.8181</v>
      </c>
      <c r="AZ327" s="1683">
        <v>1.0113</v>
      </c>
      <c r="BA327" s="1683">
        <v>0.3574</v>
      </c>
      <c r="BB327" s="1683">
        <v>0.2086</v>
      </c>
    </row>
    <row r="328" spans="1:54">
      <c r="A328" s="326">
        <f t="shared" si="36"/>
        <v>43373</v>
      </c>
      <c r="B328" s="1678">
        <v>100.6</v>
      </c>
      <c r="C328" s="1679">
        <f t="shared" si="37"/>
        <v>1.006</v>
      </c>
      <c r="D328" s="1679">
        <f>PRODUCT(C$4:C328)</f>
        <v>3.59606862857775</v>
      </c>
      <c r="F328" s="1678">
        <v>99.9</v>
      </c>
      <c r="G328" s="1679">
        <f t="shared" si="38"/>
        <v>0.999</v>
      </c>
      <c r="H328" s="1679">
        <f>PRODUCT(G$4:G328)</f>
        <v>1.03224710903798</v>
      </c>
      <c r="J328" s="1680">
        <v>0.16</v>
      </c>
      <c r="K328" s="1680">
        <v>0.1</v>
      </c>
      <c r="L328" s="1680">
        <v>0.06</v>
      </c>
      <c r="N328" s="1681">
        <v>0.0346</v>
      </c>
      <c r="O328" s="1681">
        <v>0.0361</v>
      </c>
      <c r="P328" s="1681">
        <v>0.0418</v>
      </c>
      <c r="Q328" s="1681"/>
      <c r="R328" s="1681"/>
      <c r="T328" s="1681"/>
      <c r="U328" s="1681"/>
      <c r="W328" s="1681">
        <f t="shared" si="39"/>
        <v>0</v>
      </c>
      <c r="X328" s="1681"/>
      <c r="Y328" s="1681">
        <f t="shared" si="40"/>
        <v>0</v>
      </c>
      <c r="Z328" s="1681"/>
      <c r="AB328" s="1682"/>
      <c r="AC328" s="1682"/>
      <c r="AE328" s="1683">
        <v>6.8792</v>
      </c>
      <c r="AF328" s="1683">
        <v>8.0111</v>
      </c>
      <c r="AG328" s="1683">
        <v>0.0607</v>
      </c>
      <c r="AH328" s="1683">
        <v>0.88</v>
      </c>
      <c r="AI328" s="1683">
        <v>9.0011</v>
      </c>
      <c r="AJ328" s="1683">
        <v>4.9605</v>
      </c>
      <c r="AK328" s="1683">
        <v>4.5544</v>
      </c>
      <c r="AL328" s="1683">
        <v>5.0315</v>
      </c>
      <c r="AM328" s="1683">
        <v>7.0473</v>
      </c>
      <c r="AN328" s="1683">
        <v>5.2812</v>
      </c>
      <c r="AO328" s="1683">
        <v>1.6628</v>
      </c>
      <c r="AP328" s="1683">
        <v>0.105</v>
      </c>
      <c r="AQ328" s="1683">
        <v>0.4876</v>
      </c>
      <c r="AR328" s="1683">
        <v>0.0062</v>
      </c>
      <c r="AS328" s="1683">
        <v>1.8744</v>
      </c>
      <c r="AT328" s="1683">
        <v>1.8358</v>
      </c>
      <c r="AU328" s="1683">
        <v>0.0248</v>
      </c>
      <c r="AV328" s="1683">
        <v>1.8763</v>
      </c>
      <c r="AW328" s="1683">
        <v>1.0743</v>
      </c>
      <c r="AX328" s="1683">
        <v>0.7776</v>
      </c>
      <c r="AY328" s="1683">
        <v>0.8442</v>
      </c>
      <c r="AZ328" s="1683">
        <v>1.1457</v>
      </c>
      <c r="BA328" s="1683">
        <v>0.3663</v>
      </c>
      <c r="BB328" s="1683">
        <v>0.2123</v>
      </c>
    </row>
    <row r="329" spans="1:54">
      <c r="A329" s="326">
        <f t="shared" si="36"/>
        <v>43404</v>
      </c>
      <c r="B329" s="1678">
        <v>100.4</v>
      </c>
      <c r="C329" s="1679">
        <f t="shared" si="37"/>
        <v>1.004</v>
      </c>
      <c r="D329" s="1679">
        <f>PRODUCT(C$4:C329)</f>
        <v>3.61045290309206</v>
      </c>
      <c r="F329" s="1678">
        <v>99.61</v>
      </c>
      <c r="G329" s="1679">
        <f t="shared" si="38"/>
        <v>0.9961</v>
      </c>
      <c r="H329" s="1679">
        <f>PRODUCT(G$4:G329)</f>
        <v>1.02822134531273</v>
      </c>
      <c r="J329" s="1680">
        <v>0.16</v>
      </c>
      <c r="K329" s="1680">
        <v>0.1</v>
      </c>
      <c r="L329" s="1680">
        <v>0.06</v>
      </c>
      <c r="N329" s="1681">
        <v>0.0331</v>
      </c>
      <c r="O329" s="1681">
        <v>0.0351</v>
      </c>
      <c r="P329" s="1681">
        <v>0.0406</v>
      </c>
      <c r="Q329" s="1681"/>
      <c r="R329" s="1681"/>
      <c r="T329" s="1681"/>
      <c r="U329" s="1681"/>
      <c r="W329" s="1681">
        <f t="shared" si="39"/>
        <v>0</v>
      </c>
      <c r="X329" s="1681"/>
      <c r="Y329" s="1681">
        <f t="shared" si="40"/>
        <v>0</v>
      </c>
      <c r="Z329" s="1681"/>
      <c r="AB329" s="1682"/>
      <c r="AC329" s="1682"/>
      <c r="AE329" s="1683">
        <v>6.9646</v>
      </c>
      <c r="AF329" s="1683">
        <v>7.9008</v>
      </c>
      <c r="AG329" s="1683">
        <v>0.0616</v>
      </c>
      <c r="AH329" s="1683">
        <v>0.8877</v>
      </c>
      <c r="AI329" s="1683">
        <v>8.8492</v>
      </c>
      <c r="AJ329" s="1683">
        <v>4.9463</v>
      </c>
      <c r="AK329" s="1683">
        <v>4.5687</v>
      </c>
      <c r="AL329" s="1683">
        <v>5.0273</v>
      </c>
      <c r="AM329" s="1683">
        <v>6.9287</v>
      </c>
      <c r="AN329" s="1683">
        <v>5.3106</v>
      </c>
      <c r="AO329" s="1683">
        <v>1.6659</v>
      </c>
      <c r="AP329" s="1683">
        <v>0.1064</v>
      </c>
      <c r="AQ329" s="1683">
        <v>0.4767</v>
      </c>
      <c r="AR329" s="1683">
        <v>0.0061</v>
      </c>
      <c r="AS329" s="1683">
        <v>1.8962</v>
      </c>
      <c r="AT329" s="1683">
        <v>1.8567</v>
      </c>
      <c r="AU329" s="1683">
        <v>0.0243</v>
      </c>
      <c r="AV329" s="1683">
        <v>1.8242</v>
      </c>
      <c r="AW329" s="1683">
        <v>1.0588</v>
      </c>
      <c r="AX329" s="1683">
        <v>0.7591</v>
      </c>
      <c r="AY329" s="1683">
        <v>0.8281</v>
      </c>
      <c r="AZ329" s="1683">
        <v>1.2714</v>
      </c>
      <c r="BA329" s="1683">
        <v>0.3469</v>
      </c>
      <c r="BB329" s="1683">
        <v>0.2093</v>
      </c>
    </row>
    <row r="330" spans="1:54">
      <c r="A330" s="326">
        <f t="shared" si="36"/>
        <v>43434</v>
      </c>
      <c r="B330" s="1678">
        <v>99.8</v>
      </c>
      <c r="C330" s="1679">
        <f t="shared" si="37"/>
        <v>0.998</v>
      </c>
      <c r="D330" s="1679">
        <f>PRODUCT(C$4:C330)</f>
        <v>3.60323199728587</v>
      </c>
      <c r="F330" s="1678">
        <v>99.03</v>
      </c>
      <c r="G330" s="1679">
        <f t="shared" si="38"/>
        <v>0.9903</v>
      </c>
      <c r="H330" s="1679">
        <f>PRODUCT(G$4:G330)</f>
        <v>1.0182475982632</v>
      </c>
      <c r="J330" s="1680">
        <v>0.16</v>
      </c>
      <c r="K330" s="1680">
        <v>0.1</v>
      </c>
      <c r="L330" s="1680">
        <v>0.06</v>
      </c>
      <c r="N330" s="1681">
        <v>0.0314</v>
      </c>
      <c r="O330" s="1681">
        <v>0.0336</v>
      </c>
      <c r="P330" s="1681">
        <v>0.0389</v>
      </c>
      <c r="Q330" s="1681"/>
      <c r="R330" s="1681"/>
      <c r="T330" s="1681"/>
      <c r="U330" s="1681"/>
      <c r="W330" s="1681">
        <f t="shared" si="39"/>
        <v>0</v>
      </c>
      <c r="X330" s="1681"/>
      <c r="Y330" s="1681">
        <f t="shared" si="40"/>
        <v>0</v>
      </c>
      <c r="Z330" s="1681"/>
      <c r="AB330" s="1682"/>
      <c r="AC330" s="1682"/>
      <c r="AE330" s="1683">
        <v>6.9357</v>
      </c>
      <c r="AF330" s="1683">
        <v>7.8991</v>
      </c>
      <c r="AG330" s="1683">
        <v>0.0612</v>
      </c>
      <c r="AH330" s="1683">
        <v>0.8868</v>
      </c>
      <c r="AI330" s="1683">
        <v>8.8651</v>
      </c>
      <c r="AJ330" s="1683">
        <v>5.0756</v>
      </c>
      <c r="AK330" s="1683">
        <v>4.7589</v>
      </c>
      <c r="AL330" s="1683">
        <v>5.0644</v>
      </c>
      <c r="AM330" s="1683">
        <v>6.9626</v>
      </c>
      <c r="AN330" s="1683">
        <v>5.222</v>
      </c>
      <c r="AO330" s="1683">
        <v>1.6569</v>
      </c>
      <c r="AP330" s="1683">
        <v>0.1048</v>
      </c>
      <c r="AQ330" s="1683">
        <v>0.5075</v>
      </c>
      <c r="AR330" s="1683">
        <v>0.0062</v>
      </c>
      <c r="AS330" s="1683">
        <v>1.8883</v>
      </c>
      <c r="AT330" s="1683">
        <v>1.8485</v>
      </c>
      <c r="AU330" s="1683">
        <v>0.0244</v>
      </c>
      <c r="AV330" s="1683">
        <v>1.8424</v>
      </c>
      <c r="AW330" s="1683">
        <v>1.0586</v>
      </c>
      <c r="AX330" s="1683">
        <v>0.7646</v>
      </c>
      <c r="AY330" s="1683">
        <v>0.8124</v>
      </c>
      <c r="AZ330" s="1683">
        <v>1.3414</v>
      </c>
      <c r="BA330" s="1683">
        <v>0.3426</v>
      </c>
      <c r="BB330" s="1683">
        <v>0.2107</v>
      </c>
    </row>
    <row r="331" spans="1:54">
      <c r="A331" s="326">
        <f t="shared" si="36"/>
        <v>43465</v>
      </c>
      <c r="B331" s="1678">
        <v>99</v>
      </c>
      <c r="C331" s="1679">
        <f t="shared" si="37"/>
        <v>0.99</v>
      </c>
      <c r="D331" s="1679">
        <f>PRODUCT(C$4:C331)</f>
        <v>3.56719967731302</v>
      </c>
      <c r="F331" s="1678">
        <v>98.53</v>
      </c>
      <c r="G331" s="1679">
        <f t="shared" si="38"/>
        <v>0.9853</v>
      </c>
      <c r="H331" s="1679">
        <f>PRODUCT(G$4:G331)</f>
        <v>1.00327935856873</v>
      </c>
      <c r="J331" s="1680">
        <v>0.16</v>
      </c>
      <c r="K331" s="1680">
        <v>0.1</v>
      </c>
      <c r="L331" s="1680">
        <v>0.06</v>
      </c>
      <c r="N331" s="1681">
        <v>0.0297</v>
      </c>
      <c r="O331" s="1681">
        <v>0.0323</v>
      </c>
      <c r="P331" s="1681">
        <v>0.0371</v>
      </c>
      <c r="Q331" s="1681"/>
      <c r="R331" s="1681"/>
      <c r="T331" s="1681"/>
      <c r="U331" s="1681"/>
      <c r="W331" s="1681">
        <f t="shared" si="39"/>
        <v>0</v>
      </c>
      <c r="X331" s="1681"/>
      <c r="Y331" s="1681">
        <f t="shared" si="40"/>
        <v>0</v>
      </c>
      <c r="Z331" s="1681"/>
      <c r="AB331" s="1682"/>
      <c r="AC331" s="1682"/>
      <c r="AE331" s="1683">
        <v>6.8632</v>
      </c>
      <c r="AF331" s="1683">
        <v>7.8473</v>
      </c>
      <c r="AG331" s="1683">
        <v>0.0619</v>
      </c>
      <c r="AH331" s="1683">
        <v>0.8762</v>
      </c>
      <c r="AI331" s="1683">
        <v>8.6762</v>
      </c>
      <c r="AJ331" s="1683">
        <v>4.825</v>
      </c>
      <c r="AK331" s="1683">
        <v>4.5954</v>
      </c>
      <c r="AL331" s="1683">
        <v>5.0062</v>
      </c>
      <c r="AM331" s="1683">
        <v>6.9494</v>
      </c>
      <c r="AN331" s="1683">
        <v>5.0381</v>
      </c>
      <c r="AO331" s="1683">
        <v>1.6479</v>
      </c>
      <c r="AP331" s="1683">
        <v>0.0986</v>
      </c>
      <c r="AQ331" s="1683">
        <v>0.4735</v>
      </c>
      <c r="AR331" s="1683">
        <v>0.0061</v>
      </c>
      <c r="AS331" s="1683">
        <v>1.8679</v>
      </c>
      <c r="AT331" s="1683">
        <v>1.8287</v>
      </c>
      <c r="AU331" s="1683">
        <v>0.0244</v>
      </c>
      <c r="AV331" s="1683">
        <v>1.8271</v>
      </c>
      <c r="AW331" s="1683">
        <v>1.0508</v>
      </c>
      <c r="AX331" s="1683">
        <v>0.7614</v>
      </c>
      <c r="AY331" s="1683">
        <v>0.7828</v>
      </c>
      <c r="AZ331" s="1683">
        <v>1.2962</v>
      </c>
      <c r="BA331" s="1683">
        <v>0.3484</v>
      </c>
      <c r="BB331" s="1683">
        <v>0.211</v>
      </c>
    </row>
    <row r="332" spans="1:54">
      <c r="A332" s="326">
        <f t="shared" si="36"/>
        <v>43496</v>
      </c>
      <c r="B332" s="1678">
        <v>99.4</v>
      </c>
      <c r="C332" s="1679">
        <f t="shared" si="37"/>
        <v>0.994</v>
      </c>
      <c r="D332" s="1679">
        <f>PRODUCT(C$4:C332)</f>
        <v>3.54579647924914</v>
      </c>
      <c r="F332" s="1678">
        <v>99.2</v>
      </c>
      <c r="G332" s="1679">
        <f t="shared" si="38"/>
        <v>0.992</v>
      </c>
      <c r="H332" s="1679">
        <f>PRODUCT(G$4:G332)</f>
        <v>0.995253123700182</v>
      </c>
      <c r="J332" s="1680">
        <v>0.16</v>
      </c>
      <c r="K332" s="1680">
        <v>0.1</v>
      </c>
      <c r="L332" s="1680">
        <v>0.06</v>
      </c>
      <c r="N332" s="1689">
        <v>0.0289</v>
      </c>
      <c r="O332" s="1689">
        <v>0.031</v>
      </c>
      <c r="P332" s="1689">
        <v>0.0372</v>
      </c>
      <c r="Q332" s="1689"/>
      <c r="R332" s="1689"/>
      <c r="T332" s="1681"/>
      <c r="U332" s="1681"/>
      <c r="W332" s="1681">
        <f t="shared" si="39"/>
        <v>0</v>
      </c>
      <c r="X332" s="1681"/>
      <c r="Y332" s="1681">
        <f t="shared" si="40"/>
        <v>0</v>
      </c>
      <c r="Z332" s="1681"/>
      <c r="AB332" s="1682"/>
      <c r="AC332" s="1682"/>
      <c r="AE332" s="1683">
        <v>6.7025</v>
      </c>
      <c r="AF332" s="1683">
        <v>7.6981</v>
      </c>
      <c r="AG332" s="1683">
        <v>0.0615</v>
      </c>
      <c r="AH332" s="1683">
        <v>0.8546</v>
      </c>
      <c r="AI332" s="1683">
        <v>8.789</v>
      </c>
      <c r="AJ332" s="1683">
        <v>4.8577</v>
      </c>
      <c r="AK332" s="1683">
        <v>4.6221</v>
      </c>
      <c r="AL332" s="1683">
        <v>4.9743</v>
      </c>
      <c r="AM332" s="1683">
        <v>6.7423</v>
      </c>
      <c r="AN332" s="1683">
        <v>5.0972</v>
      </c>
      <c r="AO332" s="1683">
        <v>1.6351</v>
      </c>
      <c r="AP332" s="1683">
        <v>0.1024</v>
      </c>
      <c r="AQ332" s="1683">
        <v>0.5021</v>
      </c>
      <c r="AR332" s="1683">
        <v>0.006</v>
      </c>
      <c r="AS332" s="1683">
        <v>1.8237</v>
      </c>
      <c r="AT332" s="1683">
        <v>1.7859</v>
      </c>
      <c r="AU332" s="1683">
        <v>0.0244</v>
      </c>
      <c r="AV332" s="1683">
        <v>1.7954</v>
      </c>
      <c r="AW332" s="1683">
        <v>1.0308</v>
      </c>
      <c r="AX332" s="1683">
        <v>0.7415</v>
      </c>
      <c r="AY332" s="1683">
        <v>0.7959</v>
      </c>
      <c r="AZ332" s="1683">
        <v>1.2801</v>
      </c>
      <c r="BA332" s="1683">
        <v>0.3505</v>
      </c>
      <c r="BB332" s="1683">
        <v>0.2144</v>
      </c>
    </row>
    <row r="333" spans="1:54">
      <c r="A333" s="326">
        <f t="shared" si="36"/>
        <v>43524</v>
      </c>
      <c r="B333" s="1678">
        <v>99.6</v>
      </c>
      <c r="C333" s="1679">
        <f t="shared" si="37"/>
        <v>0.996</v>
      </c>
      <c r="D333" s="1679">
        <f>PRODUCT(C$4:C333)</f>
        <v>3.53161329333214</v>
      </c>
      <c r="F333" s="1678">
        <v>100.2</v>
      </c>
      <c r="G333" s="1679">
        <f t="shared" si="38"/>
        <v>1.002</v>
      </c>
      <c r="H333" s="1679">
        <f>PRODUCT(G$4:G333)</f>
        <v>0.997243629947582</v>
      </c>
      <c r="J333" s="1680">
        <v>0.16</v>
      </c>
      <c r="K333" s="1680">
        <v>0.1</v>
      </c>
      <c r="L333" s="1680">
        <v>0.06</v>
      </c>
      <c r="N333" s="1689">
        <v>0.0305</v>
      </c>
      <c r="O333" s="1689">
        <v>0.0317</v>
      </c>
      <c r="P333" s="1689">
        <v>0.0375</v>
      </c>
      <c r="Q333" s="1689"/>
      <c r="R333" s="1689"/>
      <c r="T333" s="1681"/>
      <c r="U333" s="1681"/>
      <c r="W333" s="1681">
        <f t="shared" si="39"/>
        <v>0</v>
      </c>
      <c r="X333" s="1681"/>
      <c r="Y333" s="1681">
        <f t="shared" si="40"/>
        <v>0</v>
      </c>
      <c r="Z333" s="1681"/>
      <c r="AB333" s="1682"/>
      <c r="AC333" s="1682"/>
      <c r="AE333" s="1683">
        <v>6.6901</v>
      </c>
      <c r="AF333" s="1683">
        <v>7.6082</v>
      </c>
      <c r="AG333" s="1683">
        <v>0.0603</v>
      </c>
      <c r="AH333" s="1683">
        <v>0.8523</v>
      </c>
      <c r="AI333" s="1683">
        <v>8.9057</v>
      </c>
      <c r="AJ333" s="1683">
        <v>4.7802</v>
      </c>
      <c r="AK333" s="1683">
        <v>4.5809</v>
      </c>
      <c r="AL333" s="1683">
        <v>4.9609</v>
      </c>
      <c r="AM333" s="1683">
        <v>6.6841</v>
      </c>
      <c r="AN333" s="1683">
        <v>5.0882</v>
      </c>
      <c r="AO333" s="1683">
        <v>1.6448</v>
      </c>
      <c r="AP333" s="1683">
        <v>0.1017</v>
      </c>
      <c r="AQ333" s="1683">
        <v>0.4802</v>
      </c>
      <c r="AR333" s="1683">
        <v>0.006</v>
      </c>
      <c r="AS333" s="1683">
        <v>1.8211</v>
      </c>
      <c r="AT333" s="1683">
        <v>1.7836</v>
      </c>
      <c r="AU333" s="1683">
        <v>0.0241</v>
      </c>
      <c r="AV333" s="1683">
        <v>1.7643</v>
      </c>
      <c r="AW333" s="1683">
        <v>1.0199</v>
      </c>
      <c r="AX333" s="1683">
        <v>0.7217</v>
      </c>
      <c r="AY333" s="1683">
        <v>0.7825</v>
      </c>
      <c r="AZ333" s="1683">
        <v>1.2587</v>
      </c>
      <c r="BA333" s="1683">
        <v>0.349</v>
      </c>
      <c r="BB333" s="1683">
        <v>0.2128</v>
      </c>
    </row>
    <row r="334" spans="1:54">
      <c r="A334" s="326">
        <f t="shared" si="36"/>
        <v>43555</v>
      </c>
      <c r="B334" s="1678">
        <v>100.1</v>
      </c>
      <c r="C334" s="1679">
        <f t="shared" si="37"/>
        <v>1.001</v>
      </c>
      <c r="D334" s="1679">
        <f>PRODUCT(C$4:C334)</f>
        <v>3.53514490662547</v>
      </c>
      <c r="F334" s="1678">
        <v>100.9</v>
      </c>
      <c r="G334" s="1679">
        <f t="shared" si="38"/>
        <v>1.009</v>
      </c>
      <c r="H334" s="1679">
        <f>PRODUCT(G$4:G334)</f>
        <v>1.00621882261711</v>
      </c>
      <c r="J334" s="1680">
        <v>0.16</v>
      </c>
      <c r="K334" s="1680">
        <v>0.1</v>
      </c>
      <c r="L334" s="1680">
        <v>0.06</v>
      </c>
      <c r="N334" s="1689">
        <v>0.0296</v>
      </c>
      <c r="O334" s="1689">
        <v>0.0307</v>
      </c>
      <c r="P334" s="1689">
        <v>0.0366</v>
      </c>
      <c r="Q334" s="1689"/>
      <c r="R334" s="1689"/>
      <c r="T334" s="1681"/>
      <c r="U334" s="1681"/>
      <c r="W334" s="1681">
        <f t="shared" si="39"/>
        <v>0</v>
      </c>
      <c r="X334" s="1681"/>
      <c r="Y334" s="1681">
        <f t="shared" si="40"/>
        <v>0</v>
      </c>
      <c r="Z334" s="1681"/>
      <c r="AB334" s="1682"/>
      <c r="AC334" s="1682"/>
      <c r="AE334" s="1683">
        <v>6.7335</v>
      </c>
      <c r="AF334" s="1683">
        <v>7.5607</v>
      </c>
      <c r="AG334" s="1683">
        <v>0.0609</v>
      </c>
      <c r="AH334" s="1683">
        <v>0.8578</v>
      </c>
      <c r="AI334" s="1683">
        <v>8.7908</v>
      </c>
      <c r="AJ334" s="1683">
        <v>4.7675</v>
      </c>
      <c r="AK334" s="1683">
        <v>4.5634</v>
      </c>
      <c r="AL334" s="1683">
        <v>4.9643</v>
      </c>
      <c r="AM334" s="1683">
        <v>6.7677</v>
      </c>
      <c r="AN334" s="1683">
        <v>5.0127</v>
      </c>
      <c r="AO334" s="1683">
        <v>1.651</v>
      </c>
      <c r="AP334" s="1683">
        <v>0.1038</v>
      </c>
      <c r="AQ334" s="1683">
        <v>0.4615</v>
      </c>
      <c r="AR334" s="1683">
        <v>0.0059</v>
      </c>
      <c r="AS334" s="1683">
        <v>1.8334</v>
      </c>
      <c r="AT334" s="1683">
        <v>1.7955</v>
      </c>
      <c r="AU334" s="1683">
        <v>0.0236</v>
      </c>
      <c r="AV334" s="1683">
        <v>1.7603</v>
      </c>
      <c r="AW334" s="1683">
        <v>1.0129</v>
      </c>
      <c r="AX334" s="1683">
        <v>0.7248</v>
      </c>
      <c r="AY334" s="1683">
        <v>0.7795</v>
      </c>
      <c r="AZ334" s="1683">
        <v>1.2087</v>
      </c>
      <c r="BA334" s="1683">
        <v>0.348</v>
      </c>
      <c r="BB334" s="1683">
        <v>0.2114</v>
      </c>
    </row>
    <row r="335" spans="1:54">
      <c r="A335" s="326">
        <f t="shared" si="36"/>
        <v>43585</v>
      </c>
      <c r="B335" s="1678">
        <v>100.6</v>
      </c>
      <c r="C335" s="1679">
        <f t="shared" si="37"/>
        <v>1.006</v>
      </c>
      <c r="D335" s="1679">
        <f>PRODUCT(C$4:C335)</f>
        <v>3.55635577606523</v>
      </c>
      <c r="F335" s="1678">
        <v>100.5</v>
      </c>
      <c r="G335" s="1679">
        <f t="shared" si="38"/>
        <v>1.005</v>
      </c>
      <c r="H335" s="1679">
        <f>PRODUCT(G$4:G335)</f>
        <v>1.0112499167302</v>
      </c>
      <c r="J335" s="1688">
        <v>0.13</v>
      </c>
      <c r="K335" s="1688">
        <v>0.09</v>
      </c>
      <c r="L335" s="1688">
        <v>0.06</v>
      </c>
      <c r="N335" s="1689">
        <v>0.0319</v>
      </c>
      <c r="O335" s="1689">
        <v>0.0339</v>
      </c>
      <c r="P335" s="1689">
        <v>0.0396</v>
      </c>
      <c r="Q335" s="1689"/>
      <c r="R335" s="1689"/>
      <c r="T335" s="1681"/>
      <c r="U335" s="1681"/>
      <c r="W335" s="1681">
        <f t="shared" si="39"/>
        <v>0</v>
      </c>
      <c r="X335" s="1681"/>
      <c r="Y335" s="1681">
        <f t="shared" si="40"/>
        <v>0</v>
      </c>
      <c r="Z335" s="1681"/>
      <c r="AB335" s="1682"/>
      <c r="AC335" s="1682"/>
      <c r="AE335" s="1683">
        <v>6.7286</v>
      </c>
      <c r="AF335" s="1683">
        <v>7.5256</v>
      </c>
      <c r="AG335" s="1683">
        <v>0.0603</v>
      </c>
      <c r="AH335" s="1683">
        <v>0.8578</v>
      </c>
      <c r="AI335" s="1683">
        <v>8.7017</v>
      </c>
      <c r="AJ335" s="1683">
        <v>4.7473</v>
      </c>
      <c r="AK335" s="1683">
        <v>4.488</v>
      </c>
      <c r="AL335" s="1683">
        <v>4.9429</v>
      </c>
      <c r="AM335" s="1683">
        <v>6.601</v>
      </c>
      <c r="AN335" s="1683">
        <v>5.0013</v>
      </c>
      <c r="AO335" s="1683">
        <v>1.6285</v>
      </c>
      <c r="AP335" s="1683">
        <v>0.1044</v>
      </c>
      <c r="AQ335" s="1683">
        <v>0.4698</v>
      </c>
      <c r="AR335" s="1683">
        <v>0.0058</v>
      </c>
      <c r="AS335" s="1683">
        <v>1.8318</v>
      </c>
      <c r="AT335" s="1683">
        <v>1.7941</v>
      </c>
      <c r="AU335" s="1683">
        <v>0.0233</v>
      </c>
      <c r="AV335" s="1683">
        <v>1.7532</v>
      </c>
      <c r="AW335" s="1683">
        <v>1.0081</v>
      </c>
      <c r="AX335" s="1683">
        <v>0.7075</v>
      </c>
      <c r="AY335" s="1683">
        <v>0.7776</v>
      </c>
      <c r="AZ335" s="1683">
        <v>1.1308</v>
      </c>
      <c r="BA335" s="1683">
        <v>0.3539</v>
      </c>
      <c r="BB335" s="1683">
        <v>0.2109</v>
      </c>
    </row>
    <row r="336" spans="1:54">
      <c r="A336" s="326">
        <f t="shared" si="36"/>
        <v>43616</v>
      </c>
      <c r="B336" s="1678">
        <v>100</v>
      </c>
      <c r="C336" s="1679">
        <f t="shared" si="37"/>
        <v>1</v>
      </c>
      <c r="D336" s="1679">
        <f>PRODUCT(C$4:C336)</f>
        <v>3.55635577606523</v>
      </c>
      <c r="F336" s="1678">
        <v>99.6</v>
      </c>
      <c r="G336" s="1679">
        <f t="shared" si="38"/>
        <v>0.996</v>
      </c>
      <c r="H336" s="1679">
        <f>PRODUCT(G$4:G336)</f>
        <v>1.00720491706328</v>
      </c>
      <c r="J336" s="1680">
        <v>0.13</v>
      </c>
      <c r="K336" s="1680">
        <v>0.09</v>
      </c>
      <c r="L336" s="1680">
        <v>0.06</v>
      </c>
      <c r="N336" s="1689">
        <v>0.0307</v>
      </c>
      <c r="O336" s="1689">
        <v>0.0328</v>
      </c>
      <c r="P336" s="1689">
        <v>0.0394</v>
      </c>
      <c r="Q336" s="1689"/>
      <c r="R336" s="1689"/>
      <c r="T336" s="1681"/>
      <c r="U336" s="1681"/>
      <c r="W336" s="1681">
        <f t="shared" si="39"/>
        <v>0</v>
      </c>
      <c r="X336" s="1681"/>
      <c r="Y336" s="1681">
        <f t="shared" si="40"/>
        <v>0</v>
      </c>
      <c r="Z336" s="1681"/>
      <c r="AB336" s="1682"/>
      <c r="AC336" s="1682"/>
      <c r="AE336" s="1683">
        <v>6.8992</v>
      </c>
      <c r="AF336" s="1683">
        <v>7.6833</v>
      </c>
      <c r="AG336" s="1683">
        <v>0.063</v>
      </c>
      <c r="AH336" s="1683">
        <v>0.8791</v>
      </c>
      <c r="AI336" s="1683">
        <v>8.7042</v>
      </c>
      <c r="AJ336" s="1683">
        <v>4.7704</v>
      </c>
      <c r="AK336" s="1683">
        <v>4.4922</v>
      </c>
      <c r="AL336" s="1683">
        <v>5.0049</v>
      </c>
      <c r="AM336" s="1683">
        <v>6.851</v>
      </c>
      <c r="AN336" s="1683">
        <v>5.1137</v>
      </c>
      <c r="AO336" s="1683">
        <v>1.6463</v>
      </c>
      <c r="AP336" s="1683">
        <v>0.1057</v>
      </c>
      <c r="AQ336" s="1683">
        <v>0.4687</v>
      </c>
      <c r="AR336" s="1683">
        <v>0.0058</v>
      </c>
      <c r="AS336" s="1683">
        <v>1.8789</v>
      </c>
      <c r="AT336" s="1683">
        <v>1.8402</v>
      </c>
      <c r="AU336" s="1683">
        <v>0.0237</v>
      </c>
      <c r="AV336" s="1683">
        <v>1.7916</v>
      </c>
      <c r="AW336" s="1683">
        <v>1.0287</v>
      </c>
      <c r="AX336" s="1683">
        <v>0.724</v>
      </c>
      <c r="AY336" s="1683">
        <v>0.7869</v>
      </c>
      <c r="AZ336" s="1683">
        <v>1.1684</v>
      </c>
      <c r="BA336" s="1683">
        <v>0.3581</v>
      </c>
      <c r="BB336" s="1683">
        <v>0.2171</v>
      </c>
    </row>
    <row r="337" spans="1:54">
      <c r="A337" s="326">
        <f t="shared" si="36"/>
        <v>43646</v>
      </c>
      <c r="B337" s="1678">
        <v>99.5</v>
      </c>
      <c r="C337" s="1679">
        <f t="shared" si="37"/>
        <v>0.995</v>
      </c>
      <c r="D337" s="1679">
        <f>PRODUCT(C$4:C337)</f>
        <v>3.5385739971849</v>
      </c>
      <c r="F337" s="1678">
        <v>99.11</v>
      </c>
      <c r="G337" s="1679">
        <f t="shared" si="38"/>
        <v>0.9911</v>
      </c>
      <c r="H337" s="1679">
        <f>PRODUCT(G$4:G337)</f>
        <v>0.998240793301412</v>
      </c>
      <c r="J337" s="1680">
        <v>0.13</v>
      </c>
      <c r="K337" s="1680">
        <v>0.09</v>
      </c>
      <c r="L337" s="1680">
        <v>0.06</v>
      </c>
      <c r="N337" s="1689">
        <v>0.0306</v>
      </c>
      <c r="O337" s="1689">
        <v>0.0323</v>
      </c>
      <c r="P337" s="1689">
        <v>0.0387</v>
      </c>
      <c r="Q337" s="1689"/>
      <c r="R337" s="1689"/>
      <c r="T337" s="1681"/>
      <c r="U337" s="1681"/>
      <c r="W337" s="1681">
        <f t="shared" si="39"/>
        <v>0</v>
      </c>
      <c r="X337" s="1681"/>
      <c r="Y337" s="1681">
        <f t="shared" si="40"/>
        <v>0</v>
      </c>
      <c r="Z337" s="1681"/>
      <c r="AB337" s="1682"/>
      <c r="AC337" s="1682"/>
      <c r="AE337" s="1683">
        <v>6.8747</v>
      </c>
      <c r="AF337" s="1683">
        <v>7.817</v>
      </c>
      <c r="AG337" s="1683">
        <v>0.0638</v>
      </c>
      <c r="AH337" s="1683">
        <v>0.8797</v>
      </c>
      <c r="AI337" s="1683">
        <v>8.7113</v>
      </c>
      <c r="AJ337" s="1683">
        <v>4.8156</v>
      </c>
      <c r="AK337" s="1683">
        <v>4.6077</v>
      </c>
      <c r="AL337" s="1683">
        <v>5.0805</v>
      </c>
      <c r="AM337" s="1683">
        <v>7.0388</v>
      </c>
      <c r="AN337" s="1683">
        <v>5.249</v>
      </c>
      <c r="AO337" s="1683">
        <v>1.6593</v>
      </c>
      <c r="AP337" s="1683">
        <v>0.109</v>
      </c>
      <c r="AQ337" s="1683">
        <v>0.4852</v>
      </c>
      <c r="AR337" s="1683">
        <v>0.0059</v>
      </c>
      <c r="AS337" s="1683">
        <v>1.8716</v>
      </c>
      <c r="AT337" s="1683">
        <v>1.8332</v>
      </c>
      <c r="AU337" s="1683">
        <v>0.0242</v>
      </c>
      <c r="AV337" s="1683">
        <v>1.8387</v>
      </c>
      <c r="AW337" s="1683">
        <v>1.0472</v>
      </c>
      <c r="AX337" s="1683">
        <v>0.7413</v>
      </c>
      <c r="AY337" s="1683">
        <v>0.8077</v>
      </c>
      <c r="AZ337" s="1683">
        <v>1.1909</v>
      </c>
      <c r="BA337" s="1683">
        <v>0.3586</v>
      </c>
      <c r="BB337" s="1683">
        <v>0.2234</v>
      </c>
    </row>
    <row r="338" spans="1:54">
      <c r="A338" s="326">
        <f t="shared" si="36"/>
        <v>43677</v>
      </c>
      <c r="B338" s="1678">
        <v>99.8</v>
      </c>
      <c r="C338" s="1679">
        <f t="shared" si="37"/>
        <v>0.998</v>
      </c>
      <c r="D338" s="1679">
        <f>PRODUCT(C$4:C338)</f>
        <v>3.53149684919053</v>
      </c>
      <c r="F338" s="1678">
        <v>99.9</v>
      </c>
      <c r="G338" s="1679">
        <f t="shared" si="38"/>
        <v>0.999</v>
      </c>
      <c r="H338" s="1679">
        <f>PRODUCT(G$4:G338)</f>
        <v>0.997242552508111</v>
      </c>
      <c r="J338" s="1680">
        <v>0.13</v>
      </c>
      <c r="K338" s="1680">
        <v>0.09</v>
      </c>
      <c r="L338" s="1680">
        <v>0.06</v>
      </c>
      <c r="N338" s="1689">
        <v>0.03</v>
      </c>
      <c r="O338" s="1689">
        <v>0.0316</v>
      </c>
      <c r="P338" s="1689">
        <v>0.0383</v>
      </c>
      <c r="Q338" s="1689"/>
      <c r="R338" s="1689"/>
      <c r="T338" s="1681"/>
      <c r="U338" s="1681"/>
      <c r="W338" s="1681">
        <f t="shared" si="39"/>
        <v>0</v>
      </c>
      <c r="X338" s="1681"/>
      <c r="Y338" s="1681">
        <f t="shared" si="40"/>
        <v>0</v>
      </c>
      <c r="Z338" s="1681"/>
      <c r="AB338" s="1682"/>
      <c r="AC338" s="1682"/>
      <c r="AE338" s="1683">
        <v>6.8841</v>
      </c>
      <c r="AF338" s="1683">
        <v>7.6803</v>
      </c>
      <c r="AG338" s="1683">
        <v>0.0634</v>
      </c>
      <c r="AH338" s="1683">
        <v>0.8798</v>
      </c>
      <c r="AI338" s="1683">
        <v>8.3705</v>
      </c>
      <c r="AJ338" s="1683">
        <v>4.732</v>
      </c>
      <c r="AK338" s="1683">
        <v>4.5533</v>
      </c>
      <c r="AL338" s="1683">
        <v>5.0231</v>
      </c>
      <c r="AM338" s="1683">
        <v>6.9536</v>
      </c>
      <c r="AN338" s="1683">
        <v>5.235</v>
      </c>
      <c r="AO338" s="1683">
        <v>1.6686</v>
      </c>
      <c r="AP338" s="1683">
        <v>0.1084</v>
      </c>
      <c r="AQ338" s="1683">
        <v>0.4847</v>
      </c>
      <c r="AR338" s="1683">
        <v>0.0058</v>
      </c>
      <c r="AS338" s="1683">
        <v>1.8743</v>
      </c>
      <c r="AT338" s="1683">
        <v>1.8353</v>
      </c>
      <c r="AU338" s="1683">
        <v>0.0235</v>
      </c>
      <c r="AV338" s="1683">
        <v>1.787</v>
      </c>
      <c r="AW338" s="1683">
        <v>1.0285</v>
      </c>
      <c r="AX338" s="1683">
        <v>0.7197</v>
      </c>
      <c r="AY338" s="1683">
        <v>0.7862</v>
      </c>
      <c r="AZ338" s="1683">
        <v>1.2383</v>
      </c>
      <c r="BA338" s="1683">
        <v>0.361</v>
      </c>
      <c r="BB338" s="1683">
        <v>0.2235</v>
      </c>
    </row>
    <row r="339" spans="1:54">
      <c r="A339" s="326">
        <f t="shared" si="36"/>
        <v>43708</v>
      </c>
      <c r="B339" s="1678">
        <v>99.7</v>
      </c>
      <c r="C339" s="1679">
        <f>IF(B339="",1,B339/100)</f>
        <v>0.997</v>
      </c>
      <c r="D339" s="1679">
        <f>PRODUCT(C$4:C339)</f>
        <v>3.52090235864296</v>
      </c>
      <c r="F339" s="1678">
        <v>99.6</v>
      </c>
      <c r="G339" s="1679">
        <f>IF(F339="",1,F339/100)</f>
        <v>0.996</v>
      </c>
      <c r="H339" s="1679">
        <f>PRODUCT(G$4:G339)</f>
        <v>0.993253582298078</v>
      </c>
      <c r="J339" s="1680">
        <v>0.13</v>
      </c>
      <c r="K339" s="1680">
        <v>0.09</v>
      </c>
      <c r="L339" s="1680">
        <v>0.06</v>
      </c>
      <c r="N339" s="1689">
        <v>0.0296</v>
      </c>
      <c r="O339" s="1689">
        <v>0.0306</v>
      </c>
      <c r="P339" s="1689">
        <v>0.0368</v>
      </c>
      <c r="Q339" s="1689"/>
      <c r="R339" s="1689"/>
      <c r="T339" s="1681"/>
      <c r="U339" s="1681"/>
      <c r="W339" s="1681">
        <f t="shared" si="39"/>
        <v>0</v>
      </c>
      <c r="X339" s="1681"/>
      <c r="Y339" s="1681">
        <f t="shared" si="40"/>
        <v>0</v>
      </c>
      <c r="Z339" s="1681"/>
      <c r="AB339" s="1682">
        <v>0.0425</v>
      </c>
      <c r="AC339" s="1682">
        <v>0.0485</v>
      </c>
      <c r="AE339" s="1683">
        <v>7.0879</v>
      </c>
      <c r="AF339" s="1683">
        <v>7.8661</v>
      </c>
      <c r="AG339" s="1683">
        <v>0.0669</v>
      </c>
      <c r="AH339" s="1683">
        <v>0.9033</v>
      </c>
      <c r="AI339" s="1683">
        <v>8.6791</v>
      </c>
      <c r="AJ339" s="1683">
        <v>4.794</v>
      </c>
      <c r="AK339" s="1683">
        <v>4.4959</v>
      </c>
      <c r="AL339" s="1683">
        <v>5.1314</v>
      </c>
      <c r="AM339" s="1683">
        <v>7.2217</v>
      </c>
      <c r="AN339" s="1683">
        <v>5.3615</v>
      </c>
      <c r="AO339" s="1683">
        <v>1.6891</v>
      </c>
      <c r="AP339" s="1683">
        <v>0.1072</v>
      </c>
      <c r="AQ339" s="1683">
        <v>0.4649</v>
      </c>
      <c r="AR339" s="1683">
        <v>0.0059</v>
      </c>
      <c r="AS339" s="1683">
        <v>1.9394</v>
      </c>
      <c r="AT339" s="1683">
        <v>1.8994</v>
      </c>
      <c r="AU339" s="1683">
        <v>0.0238</v>
      </c>
      <c r="AV339" s="1683">
        <v>1.7955</v>
      </c>
      <c r="AW339" s="1683">
        <v>1.056</v>
      </c>
      <c r="AX339" s="1683">
        <v>0.7283</v>
      </c>
      <c r="AY339" s="1683">
        <v>0.7829</v>
      </c>
      <c r="AZ339" s="1683">
        <v>1.2203</v>
      </c>
      <c r="BA339" s="1683">
        <v>0.3538</v>
      </c>
      <c r="BB339" s="1683">
        <v>0.2326</v>
      </c>
    </row>
    <row r="340" spans="1:54">
      <c r="A340" s="326">
        <f t="shared" si="36"/>
        <v>43738</v>
      </c>
      <c r="B340" s="1678">
        <v>100.1</v>
      </c>
      <c r="C340" s="1679">
        <f t="shared" ref="C340:C374" si="41">IF(B340="",1,B340/100)</f>
        <v>1.001</v>
      </c>
      <c r="D340" s="1679">
        <f>PRODUCT(C$4:C340)</f>
        <v>3.5244232610016</v>
      </c>
      <c r="F340" s="1678">
        <v>99.6</v>
      </c>
      <c r="G340" s="1679">
        <f t="shared" ref="G340:G349" si="42">IF(F340="",1,F340/100)</f>
        <v>0.996</v>
      </c>
      <c r="H340" s="1679">
        <f>PRODUCT(G$4:G340)</f>
        <v>0.989280567968886</v>
      </c>
      <c r="J340" s="1680">
        <v>0.13</v>
      </c>
      <c r="K340" s="1680">
        <v>0.09</v>
      </c>
      <c r="L340" s="1680">
        <v>0.06</v>
      </c>
      <c r="N340" s="1689">
        <v>0.0301</v>
      </c>
      <c r="O340" s="1689">
        <v>0.0314</v>
      </c>
      <c r="P340" s="1689">
        <v>0.0375</v>
      </c>
      <c r="Q340" s="1689"/>
      <c r="R340" s="1689"/>
      <c r="T340" s="1681"/>
      <c r="U340" s="1681"/>
      <c r="W340" s="1681">
        <f t="shared" si="39"/>
        <v>0</v>
      </c>
      <c r="X340" s="1681"/>
      <c r="Y340" s="1681">
        <f t="shared" si="40"/>
        <v>0</v>
      </c>
      <c r="Z340" s="1681"/>
      <c r="AB340" s="1682">
        <v>0.042</v>
      </c>
      <c r="AC340" s="1682">
        <v>0.0485</v>
      </c>
      <c r="AE340" s="1683">
        <v>7.0729</v>
      </c>
      <c r="AF340" s="1683">
        <v>7.7538</v>
      </c>
      <c r="AG340" s="1683">
        <v>0.0657</v>
      </c>
      <c r="AH340" s="1683">
        <v>0.902</v>
      </c>
      <c r="AI340" s="1683">
        <v>8.7176</v>
      </c>
      <c r="AJ340" s="1683">
        <v>4.7981</v>
      </c>
      <c r="AK340" s="1683">
        <v>4.4589</v>
      </c>
      <c r="AL340" s="1683">
        <v>5.1355</v>
      </c>
      <c r="AM340" s="1683">
        <v>7.1593</v>
      </c>
      <c r="AN340" s="1683">
        <v>5.3586</v>
      </c>
      <c r="AO340" s="1683">
        <v>1.6942</v>
      </c>
      <c r="AP340" s="1683">
        <v>0.1099</v>
      </c>
      <c r="AQ340" s="1683">
        <v>0.4687</v>
      </c>
      <c r="AR340" s="1683">
        <v>0.0059</v>
      </c>
      <c r="AS340" s="1683">
        <v>1.9311</v>
      </c>
      <c r="AT340" s="1683">
        <v>1.8907</v>
      </c>
      <c r="AU340" s="1683">
        <v>0.0232</v>
      </c>
      <c r="AV340" s="1683">
        <v>1.772</v>
      </c>
      <c r="AW340" s="1683">
        <v>1.0394</v>
      </c>
      <c r="AX340" s="1683">
        <v>0.7244</v>
      </c>
      <c r="AY340" s="1683">
        <v>0.7818</v>
      </c>
      <c r="AZ340" s="1683">
        <v>1.2517</v>
      </c>
      <c r="BA340" s="1683">
        <v>0.3603</v>
      </c>
      <c r="BB340" s="1683">
        <v>0.2316</v>
      </c>
    </row>
    <row r="341" spans="1:54">
      <c r="A341" s="326">
        <f t="shared" si="36"/>
        <v>43769</v>
      </c>
      <c r="B341" s="1678">
        <v>99.9</v>
      </c>
      <c r="C341" s="1679">
        <f t="shared" si="41"/>
        <v>0.999</v>
      </c>
      <c r="D341" s="1679">
        <f>PRODUCT(C$4:C341)</f>
        <v>3.5208988377406</v>
      </c>
      <c r="F341" s="1678">
        <v>100</v>
      </c>
      <c r="G341" s="1679">
        <f t="shared" si="42"/>
        <v>1</v>
      </c>
      <c r="H341" s="1679">
        <f>PRODUCT(G$4:G341)</f>
        <v>0.989280567968886</v>
      </c>
      <c r="J341" s="1680">
        <v>0.13</v>
      </c>
      <c r="K341" s="1680">
        <v>0.09</v>
      </c>
      <c r="L341" s="1680">
        <v>0.06</v>
      </c>
      <c r="N341" s="1689">
        <v>0.0308</v>
      </c>
      <c r="O341" s="1689">
        <v>0.0329</v>
      </c>
      <c r="P341" s="1689">
        <v>0.039</v>
      </c>
      <c r="Q341" s="1689"/>
      <c r="R341" s="1689"/>
      <c r="T341" s="1681"/>
      <c r="U341" s="1681"/>
      <c r="W341" s="1681">
        <f t="shared" si="39"/>
        <v>0</v>
      </c>
      <c r="X341" s="1681"/>
      <c r="Y341" s="1681">
        <f t="shared" si="40"/>
        <v>0</v>
      </c>
      <c r="Z341" s="1681"/>
      <c r="AB341" s="1682">
        <v>0.042</v>
      </c>
      <c r="AC341" s="1682">
        <v>0.0485</v>
      </c>
      <c r="AE341" s="1683">
        <v>7.0533</v>
      </c>
      <c r="AF341" s="1683">
        <v>7.8676</v>
      </c>
      <c r="AG341" s="1683">
        <v>0.0648</v>
      </c>
      <c r="AH341" s="1683">
        <v>0.9</v>
      </c>
      <c r="AI341" s="1683">
        <v>9.1016</v>
      </c>
      <c r="AJ341" s="1683">
        <v>4.8659</v>
      </c>
      <c r="AK341" s="1683">
        <v>4.5194</v>
      </c>
      <c r="AL341" s="1683">
        <v>5.1808</v>
      </c>
      <c r="AM341" s="1683">
        <v>7.1317</v>
      </c>
      <c r="AN341" s="1683">
        <v>5.3587</v>
      </c>
      <c r="AO341" s="1683">
        <v>1.6883</v>
      </c>
      <c r="AP341" s="1683">
        <v>0.1106</v>
      </c>
      <c r="AQ341" s="1683">
        <v>0.4707</v>
      </c>
      <c r="AR341" s="1683">
        <v>0.0061</v>
      </c>
      <c r="AS341" s="1683">
        <v>1.9203</v>
      </c>
      <c r="AT341" s="1683">
        <v>1.8806</v>
      </c>
      <c r="AU341" s="1683">
        <v>0.0239</v>
      </c>
      <c r="AV341" s="1683">
        <v>1.8474</v>
      </c>
      <c r="AW341" s="1683">
        <v>1.0531</v>
      </c>
      <c r="AX341" s="1683">
        <v>0.7311</v>
      </c>
      <c r="AY341" s="1683">
        <v>0.7688</v>
      </c>
      <c r="AZ341" s="1683">
        <v>1.2371</v>
      </c>
      <c r="BA341" s="1683">
        <v>0.3694</v>
      </c>
      <c r="BB341" s="1683">
        <v>0.2334</v>
      </c>
    </row>
    <row r="342" spans="1:54">
      <c r="A342" s="326">
        <f t="shared" ref="A342:A405" si="43">DATE(IF(MONTH(A341)=12,YEAR(A341)+1,YEAR(A341)),MONTH(A341+1)+1,1)-1</f>
        <v>43799</v>
      </c>
      <c r="B342" s="1678">
        <v>99.7</v>
      </c>
      <c r="C342" s="1679">
        <f t="shared" si="41"/>
        <v>0.997</v>
      </c>
      <c r="D342" s="1679">
        <f>PRODUCT(C$4:C342)</f>
        <v>3.51033614122738</v>
      </c>
      <c r="F342" s="1678">
        <v>100.51</v>
      </c>
      <c r="G342" s="1679">
        <f t="shared" si="42"/>
        <v>1.0051</v>
      </c>
      <c r="H342" s="1679">
        <f>PRODUCT(G$4:G342)</f>
        <v>0.994325898865527</v>
      </c>
      <c r="J342" s="1680">
        <v>0.13</v>
      </c>
      <c r="K342" s="1680">
        <v>0.09</v>
      </c>
      <c r="L342" s="1680">
        <v>0.06</v>
      </c>
      <c r="N342" s="1689">
        <v>0.0298</v>
      </c>
      <c r="O342" s="1689">
        <v>0.0317</v>
      </c>
      <c r="P342" s="1689">
        <v>0.0377</v>
      </c>
      <c r="Q342" s="1689"/>
      <c r="R342" s="1689"/>
      <c r="T342" s="1681"/>
      <c r="U342" s="1681"/>
      <c r="W342" s="1681">
        <f t="shared" si="39"/>
        <v>0</v>
      </c>
      <c r="X342" s="1681"/>
      <c r="Y342" s="1681">
        <f t="shared" si="40"/>
        <v>0</v>
      </c>
      <c r="Z342" s="1681"/>
      <c r="AB342" s="1682">
        <v>0.0415</v>
      </c>
      <c r="AC342" s="1682">
        <v>0.048</v>
      </c>
      <c r="AE342" s="1683">
        <v>7.0298</v>
      </c>
      <c r="AF342" s="1683">
        <v>7.7406</v>
      </c>
      <c r="AG342" s="1683">
        <v>0.0642</v>
      </c>
      <c r="AH342" s="1683">
        <v>0.898</v>
      </c>
      <c r="AI342" s="1683">
        <v>9.0763</v>
      </c>
      <c r="AJ342" s="1683">
        <v>4.7585</v>
      </c>
      <c r="AK342" s="1683">
        <v>4.5126</v>
      </c>
      <c r="AL342" s="1683">
        <v>5.1478</v>
      </c>
      <c r="AM342" s="1683">
        <v>7.0399</v>
      </c>
      <c r="AN342" s="1683">
        <v>5.2933</v>
      </c>
      <c r="AO342" s="1683">
        <v>1.685</v>
      </c>
      <c r="AP342" s="1683">
        <v>0.1097</v>
      </c>
      <c r="AQ342" s="1683">
        <v>0.4777</v>
      </c>
      <c r="AR342" s="1683">
        <v>0.006</v>
      </c>
      <c r="AS342" s="1683">
        <v>1.9139</v>
      </c>
      <c r="AT342" s="1683">
        <v>1.8747</v>
      </c>
      <c r="AU342" s="1683">
        <v>0.023</v>
      </c>
      <c r="AV342" s="1683">
        <v>1.7919</v>
      </c>
      <c r="AW342" s="1683">
        <v>1.0361</v>
      </c>
      <c r="AX342" s="1683">
        <v>0.7358</v>
      </c>
      <c r="AY342" s="1683">
        <v>0.7669</v>
      </c>
      <c r="AZ342" s="1683">
        <v>1.2206</v>
      </c>
      <c r="BA342" s="1683">
        <v>0.3606</v>
      </c>
      <c r="BB342" s="1683">
        <v>0.2325</v>
      </c>
    </row>
    <row r="343" spans="1:54">
      <c r="A343" s="326">
        <f t="shared" si="43"/>
        <v>43830</v>
      </c>
      <c r="B343" s="1678">
        <v>99.9</v>
      </c>
      <c r="C343" s="1679">
        <f t="shared" si="41"/>
        <v>0.999</v>
      </c>
      <c r="D343" s="1679">
        <f>PRODUCT(C$4:C343)</f>
        <v>3.50682580508615</v>
      </c>
      <c r="F343" s="1678">
        <v>101.11</v>
      </c>
      <c r="G343" s="1679">
        <f t="shared" si="42"/>
        <v>1.0111</v>
      </c>
      <c r="H343" s="1679">
        <f>PRODUCT(G$4:G343)</f>
        <v>1.00536291634293</v>
      </c>
      <c r="J343" s="1680">
        <v>0.13</v>
      </c>
      <c r="K343" s="1680">
        <v>0.09</v>
      </c>
      <c r="L343" s="1680">
        <v>0.06</v>
      </c>
      <c r="N343" s="1689">
        <v>0.0289</v>
      </c>
      <c r="O343" s="1689">
        <v>0.0314</v>
      </c>
      <c r="P343" s="1689">
        <v>0.0371</v>
      </c>
      <c r="Q343" s="1689">
        <v>0.0334</v>
      </c>
      <c r="R343" s="1689">
        <v>0.0398</v>
      </c>
      <c r="T343" s="1681"/>
      <c r="U343" s="1681"/>
      <c r="W343" s="1681">
        <f t="shared" si="39"/>
        <v>0.0334</v>
      </c>
      <c r="X343" s="1681"/>
      <c r="Y343" s="1681">
        <f t="shared" si="40"/>
        <v>0.0398</v>
      </c>
      <c r="Z343" s="1681"/>
      <c r="AB343" s="1682">
        <v>0.0415</v>
      </c>
      <c r="AC343" s="1682">
        <v>0.048</v>
      </c>
      <c r="AE343" s="1683">
        <v>6.9762</v>
      </c>
      <c r="AF343" s="1683">
        <v>7.8155</v>
      </c>
      <c r="AG343" s="1683">
        <v>0.0641</v>
      </c>
      <c r="AH343" s="1683">
        <v>0.8958</v>
      </c>
      <c r="AI343" s="1683">
        <v>9.1501</v>
      </c>
      <c r="AJ343" s="1683">
        <v>4.8843</v>
      </c>
      <c r="AK343" s="1683">
        <v>4.6973</v>
      </c>
      <c r="AL343" s="1683">
        <v>5.1739</v>
      </c>
      <c r="AM343" s="1683">
        <v>7.2028</v>
      </c>
      <c r="AN343" s="1683">
        <v>5.3421</v>
      </c>
      <c r="AO343" s="1683">
        <v>1.6986</v>
      </c>
      <c r="AP343" s="1683">
        <v>0.1126</v>
      </c>
      <c r="AQ343" s="1683">
        <v>0.4943</v>
      </c>
      <c r="AR343" s="1683">
        <v>0.006</v>
      </c>
      <c r="AS343" s="1683">
        <v>1.8992</v>
      </c>
      <c r="AT343" s="1683">
        <v>1.8597</v>
      </c>
      <c r="AU343" s="1683">
        <v>0.0236</v>
      </c>
      <c r="AV343" s="1683">
        <v>1.8368</v>
      </c>
      <c r="AW343" s="1683">
        <v>1.0459</v>
      </c>
      <c r="AX343" s="1683">
        <v>0.7464</v>
      </c>
      <c r="AY343" s="1683">
        <v>0.7913</v>
      </c>
      <c r="AZ343" s="1683">
        <v>1.1729</v>
      </c>
      <c r="BA343" s="1683">
        <v>0.3684</v>
      </c>
      <c r="BB343" s="1683">
        <v>0.2328</v>
      </c>
    </row>
    <row r="344" spans="1:54">
      <c r="A344" s="326">
        <f t="shared" si="43"/>
        <v>43861</v>
      </c>
      <c r="B344" s="1678">
        <v>100</v>
      </c>
      <c r="C344" s="1679">
        <f t="shared" si="41"/>
        <v>1</v>
      </c>
      <c r="D344" s="1679">
        <f>PRODUCT(C$4:C344)</f>
        <v>3.50682580508615</v>
      </c>
      <c r="F344" s="1678">
        <v>100.5</v>
      </c>
      <c r="G344" s="1679">
        <f t="shared" si="42"/>
        <v>1.005</v>
      </c>
      <c r="H344" s="1679">
        <f>PRODUCT(G$4:G344)</f>
        <v>1.01038973092465</v>
      </c>
      <c r="J344" s="1680">
        <v>0.13</v>
      </c>
      <c r="K344" s="1680">
        <v>0.09</v>
      </c>
      <c r="L344" s="1680">
        <v>0.06</v>
      </c>
      <c r="N344" s="1689">
        <v>0.0279</v>
      </c>
      <c r="O344" s="1689">
        <v>0.0299</v>
      </c>
      <c r="P344" s="1689">
        <v>0.0357</v>
      </c>
      <c r="Q344" s="1689">
        <v>0.0331</v>
      </c>
      <c r="R344" s="1689">
        <v>0.0395</v>
      </c>
      <c r="T344" s="1681"/>
      <c r="U344" s="1681"/>
      <c r="W344" s="1681">
        <f t="shared" si="39"/>
        <v>0.0331</v>
      </c>
      <c r="X344" s="1681"/>
      <c r="Y344" s="1681">
        <f t="shared" si="40"/>
        <v>0.0395</v>
      </c>
      <c r="Z344" s="1681"/>
      <c r="AB344" s="1682">
        <v>0.0415</v>
      </c>
      <c r="AC344" s="1682">
        <v>0.048</v>
      </c>
      <c r="AE344" s="1683">
        <v>6.8876</v>
      </c>
      <c r="AF344" s="1683">
        <v>7.64</v>
      </c>
      <c r="AG344" s="1683">
        <v>0.0627</v>
      </c>
      <c r="AH344" s="1683">
        <v>0.8859</v>
      </c>
      <c r="AI344" s="1683">
        <v>9.0505</v>
      </c>
      <c r="AJ344" s="1683">
        <v>4.7133</v>
      </c>
      <c r="AK344" s="1683">
        <v>4.5408</v>
      </c>
      <c r="AL344" s="1683">
        <v>5.1065</v>
      </c>
      <c r="AM344" s="1683">
        <v>7.1172</v>
      </c>
      <c r="AN344" s="1683">
        <v>5.2417</v>
      </c>
      <c r="AO344" s="1683">
        <v>1.69376693766938</v>
      </c>
      <c r="AP344" s="1683">
        <v>0.111409440836016</v>
      </c>
      <c r="AQ344" s="1683">
        <v>0.480422772039395</v>
      </c>
      <c r="AR344" s="1683">
        <v>0.00591540964211772</v>
      </c>
      <c r="AS344" s="1683">
        <v>1.87480080241474</v>
      </c>
      <c r="AT344" s="1683">
        <v>1.8357044515833</v>
      </c>
      <c r="AU344" s="1683">
        <v>0.0227295456818409</v>
      </c>
      <c r="AV344" s="1683">
        <v>1.80280877607312</v>
      </c>
      <c r="AW344" s="1683">
        <v>1.02239034863511</v>
      </c>
      <c r="AX344" s="1683">
        <v>0.725058004640371</v>
      </c>
      <c r="AY344" s="1683">
        <v>0.767106474378644</v>
      </c>
      <c r="AZ344" s="1683">
        <v>1.16311528798735</v>
      </c>
      <c r="BA344" s="1683">
        <v>0.368324125230203</v>
      </c>
      <c r="BB344" s="1683">
        <v>0.226690544737379</v>
      </c>
    </row>
    <row r="345" spans="1:54">
      <c r="A345" s="326">
        <f t="shared" si="43"/>
        <v>43890</v>
      </c>
      <c r="B345" s="1678">
        <v>99.5</v>
      </c>
      <c r="C345" s="1679">
        <f t="shared" si="41"/>
        <v>0.995</v>
      </c>
      <c r="D345" s="1679">
        <f>PRODUCT(C$4:C345)</f>
        <v>3.48929167606072</v>
      </c>
      <c r="F345" s="1678">
        <v>99.31</v>
      </c>
      <c r="G345" s="1679">
        <f t="shared" si="42"/>
        <v>0.9931</v>
      </c>
      <c r="H345" s="1679">
        <f>PRODUCT(G$4:G345)</f>
        <v>1.00341804178127</v>
      </c>
      <c r="J345" s="1680">
        <v>0.13</v>
      </c>
      <c r="K345" s="1680">
        <v>0.09</v>
      </c>
      <c r="L345" s="1680">
        <v>0.06</v>
      </c>
      <c r="N345" s="1689">
        <v>0.0253</v>
      </c>
      <c r="O345" s="1689">
        <v>0.0274</v>
      </c>
      <c r="P345" s="1689">
        <v>0.0337</v>
      </c>
      <c r="Q345" s="1689">
        <v>0.0322</v>
      </c>
      <c r="R345" s="1689">
        <v>0.039</v>
      </c>
      <c r="T345" s="1681"/>
      <c r="U345" s="1681"/>
      <c r="W345" s="1681">
        <f t="shared" si="39"/>
        <v>0.0322</v>
      </c>
      <c r="X345" s="1681"/>
      <c r="Y345" s="1681">
        <f t="shared" si="40"/>
        <v>0.039</v>
      </c>
      <c r="Z345" s="1681"/>
      <c r="AB345" s="1682">
        <v>0.0405</v>
      </c>
      <c r="AC345" s="1682">
        <v>0.0475</v>
      </c>
      <c r="AE345" s="1683">
        <v>7.0066</v>
      </c>
      <c r="AF345" s="1683">
        <v>7.7059</v>
      </c>
      <c r="AG345" s="1683">
        <v>0.0639</v>
      </c>
      <c r="AH345" s="1683">
        <v>0.8987</v>
      </c>
      <c r="AI345" s="1683">
        <v>9.0305</v>
      </c>
      <c r="AJ345" s="1683">
        <v>4.6104</v>
      </c>
      <c r="AK345" s="1683">
        <v>4.4241</v>
      </c>
      <c r="AL345" s="1683">
        <v>5.0227</v>
      </c>
      <c r="AM345" s="1683">
        <v>7.2337</v>
      </c>
      <c r="AN345" s="1683">
        <v>5.236</v>
      </c>
      <c r="AO345" s="1683">
        <v>1.665</v>
      </c>
      <c r="AP345" s="1683">
        <v>0.1056</v>
      </c>
      <c r="AQ345" s="1683">
        <v>0.4525</v>
      </c>
      <c r="AR345" s="1683">
        <v>0.0058</v>
      </c>
      <c r="AS345" s="1683">
        <v>1.9073</v>
      </c>
      <c r="AT345" s="1683">
        <v>1.8668</v>
      </c>
      <c r="AU345" s="1683">
        <v>0.0227</v>
      </c>
      <c r="AV345" s="1683">
        <v>1.7822</v>
      </c>
      <c r="AW345" s="1683">
        <v>1.0311</v>
      </c>
      <c r="AX345" s="1683">
        <v>0.7253</v>
      </c>
      <c r="AY345" s="1683">
        <v>0.7461</v>
      </c>
      <c r="AZ345" s="1683">
        <v>1.1284</v>
      </c>
      <c r="BA345" s="1683">
        <v>0.3596</v>
      </c>
      <c r="BB345" s="1683">
        <v>0.2215</v>
      </c>
    </row>
    <row r="346" spans="1:54">
      <c r="A346" s="326">
        <f t="shared" si="43"/>
        <v>43921</v>
      </c>
      <c r="B346" s="1678">
        <v>99</v>
      </c>
      <c r="C346" s="1679">
        <f t="shared" si="41"/>
        <v>0.99</v>
      </c>
      <c r="D346" s="1679">
        <f>PRODUCT(C$4:C346)</f>
        <v>3.45439875930011</v>
      </c>
      <c r="F346" s="1678">
        <v>98.31</v>
      </c>
      <c r="G346" s="1679">
        <f t="shared" si="42"/>
        <v>0.9831</v>
      </c>
      <c r="H346" s="1679">
        <f>PRODUCT(G$4:G346)</f>
        <v>0.986460276875166</v>
      </c>
      <c r="J346" s="1680">
        <v>0.13</v>
      </c>
      <c r="K346" s="1680">
        <v>0.09</v>
      </c>
      <c r="L346" s="1680">
        <v>0.06</v>
      </c>
      <c r="N346" s="1689">
        <v>0.0234</v>
      </c>
      <c r="O346" s="1689">
        <v>0.0259</v>
      </c>
      <c r="P346" s="1689">
        <v>0.0321</v>
      </c>
      <c r="Q346" s="1689">
        <v>0.0314</v>
      </c>
      <c r="R346" s="1689">
        <v>0.0385</v>
      </c>
      <c r="T346" s="1681"/>
      <c r="U346" s="1681"/>
      <c r="W346" s="1681">
        <f t="shared" si="39"/>
        <v>0.0314</v>
      </c>
      <c r="X346" s="1681"/>
      <c r="Y346" s="1681">
        <f t="shared" si="40"/>
        <v>0.0385</v>
      </c>
      <c r="Z346" s="1681"/>
      <c r="AB346" s="1682">
        <v>0.0405</v>
      </c>
      <c r="AC346" s="1682">
        <v>0.0475</v>
      </c>
      <c r="AE346" s="1683">
        <v>7.0851</v>
      </c>
      <c r="AF346" s="1683">
        <v>7.8088</v>
      </c>
      <c r="AG346" s="1683">
        <v>0.0655</v>
      </c>
      <c r="AH346" s="1683">
        <v>0.9137</v>
      </c>
      <c r="AI346" s="1683">
        <v>8.7597</v>
      </c>
      <c r="AJ346" s="1683">
        <v>4.3629</v>
      </c>
      <c r="AK346" s="1683">
        <v>4.2519</v>
      </c>
      <c r="AL346" s="1683">
        <v>4.9724</v>
      </c>
      <c r="AM346" s="1683">
        <v>7.3816</v>
      </c>
      <c r="AN346" s="1683">
        <v>4.9952</v>
      </c>
      <c r="AO346" s="1683">
        <v>1.6393</v>
      </c>
      <c r="AP346" s="1683">
        <v>0.0892</v>
      </c>
      <c r="AQ346" s="1683">
        <v>0.3949</v>
      </c>
      <c r="AR346" s="1683">
        <v>0.0058</v>
      </c>
      <c r="AS346" s="1683">
        <v>1.9287</v>
      </c>
      <c r="AT346" s="1683">
        <v>1.8841</v>
      </c>
      <c r="AU346" s="1683">
        <v>0.0218</v>
      </c>
      <c r="AV346" s="1683">
        <v>1.7205</v>
      </c>
      <c r="AW346" s="1683">
        <v>1.046</v>
      </c>
      <c r="AX346" s="1683">
        <v>0.7051</v>
      </c>
      <c r="AY346" s="1683">
        <v>0.6738</v>
      </c>
      <c r="AZ346" s="1683">
        <v>1.0783</v>
      </c>
      <c r="BA346" s="1683">
        <v>0.2972</v>
      </c>
      <c r="BB346" s="1683">
        <v>0.217</v>
      </c>
    </row>
    <row r="347" spans="1:54">
      <c r="A347" s="326">
        <f t="shared" si="43"/>
        <v>43951</v>
      </c>
      <c r="B347" s="1678">
        <v>98.7</v>
      </c>
      <c r="C347" s="1679">
        <f t="shared" si="41"/>
        <v>0.987</v>
      </c>
      <c r="D347" s="1679">
        <f>PRODUCT(C$4:C347)</f>
        <v>3.40949157542921</v>
      </c>
      <c r="F347" s="1678">
        <v>98.38</v>
      </c>
      <c r="G347" s="1679">
        <f t="shared" si="42"/>
        <v>0.9838</v>
      </c>
      <c r="H347" s="1679">
        <f>PRODUCT(G$4:G347)</f>
        <v>0.970479620389788</v>
      </c>
      <c r="J347" s="1680">
        <v>0.13</v>
      </c>
      <c r="K347" s="1680">
        <v>0.09</v>
      </c>
      <c r="L347" s="1680">
        <v>0.06</v>
      </c>
      <c r="N347" s="1689">
        <v>0.0179</v>
      </c>
      <c r="O347" s="1689">
        <v>0.0254</v>
      </c>
      <c r="P347" s="1689">
        <v>0.0332</v>
      </c>
      <c r="Q347" s="1689">
        <v>0.0294</v>
      </c>
      <c r="R347" s="1689">
        <v>0.0382</v>
      </c>
      <c r="T347" s="1681"/>
      <c r="U347" s="1681"/>
      <c r="W347" s="1681">
        <f t="shared" si="39"/>
        <v>0.0294</v>
      </c>
      <c r="X347" s="1681"/>
      <c r="Y347" s="1681">
        <f t="shared" si="40"/>
        <v>0.0382</v>
      </c>
      <c r="Z347" s="1681"/>
      <c r="AB347" s="1682">
        <v>0.0385</v>
      </c>
      <c r="AC347" s="1682">
        <v>0.0465</v>
      </c>
      <c r="AE347" s="1683">
        <v>7.0571</v>
      </c>
      <c r="AF347" s="1683">
        <v>7.6744</v>
      </c>
      <c r="AG347" s="1683">
        <v>0.0662</v>
      </c>
      <c r="AH347" s="1683">
        <v>0.9106</v>
      </c>
      <c r="AI347" s="1683">
        <v>8.7996</v>
      </c>
      <c r="AJ347" s="1683">
        <v>4.6249</v>
      </c>
      <c r="AK347" s="1683">
        <v>4.3332</v>
      </c>
      <c r="AL347" s="1683">
        <v>5.0025</v>
      </c>
      <c r="AM347" s="1683">
        <v>7.2471</v>
      </c>
      <c r="AN347" s="1683">
        <v>5.0859</v>
      </c>
      <c r="AO347" s="1683">
        <v>1.6272</v>
      </c>
      <c r="AP347" s="1683">
        <v>0.0967</v>
      </c>
      <c r="AQ347" s="1683">
        <v>0.3888</v>
      </c>
      <c r="AR347" s="1683">
        <v>0.0058</v>
      </c>
      <c r="AS347" s="1683">
        <v>1.9215</v>
      </c>
      <c r="AT347" s="1683">
        <v>1.8778</v>
      </c>
      <c r="AU347" s="1683">
        <v>0.0216</v>
      </c>
      <c r="AV347" s="1683">
        <v>1.6882</v>
      </c>
      <c r="AW347" s="1683">
        <v>1.0289</v>
      </c>
      <c r="AX347" s="1683">
        <v>0.717</v>
      </c>
      <c r="AY347" s="1683">
        <v>0.6841</v>
      </c>
      <c r="AZ347" s="1683">
        <v>1.0154</v>
      </c>
      <c r="BA347" s="1683">
        <v>0.2969</v>
      </c>
      <c r="BB347" s="1683">
        <v>0.2179</v>
      </c>
    </row>
    <row r="348" spans="1:54">
      <c r="A348" s="326">
        <f t="shared" si="43"/>
        <v>43982</v>
      </c>
      <c r="B348" s="1678">
        <v>99.6</v>
      </c>
      <c r="C348" s="1679">
        <f t="shared" si="41"/>
        <v>0.996</v>
      </c>
      <c r="D348" s="1679">
        <f>PRODUCT(C$4:C348)</f>
        <v>3.39585360912749</v>
      </c>
      <c r="F348" s="1678">
        <v>99.69</v>
      </c>
      <c r="G348" s="1679">
        <f t="shared" si="42"/>
        <v>0.9969</v>
      </c>
      <c r="H348" s="1679">
        <f>PRODUCT(G$4:G348)</f>
        <v>0.96747113356658</v>
      </c>
      <c r="J348" s="1680">
        <v>0.13</v>
      </c>
      <c r="K348" s="1680">
        <v>0.09</v>
      </c>
      <c r="L348" s="1680">
        <v>0.06</v>
      </c>
      <c r="N348" s="1689">
        <v>0.0222</v>
      </c>
      <c r="O348" s="1689">
        <v>0.0271</v>
      </c>
      <c r="P348" s="1689">
        <v>0.0349</v>
      </c>
      <c r="Q348" s="1689">
        <v>0.0301</v>
      </c>
      <c r="R348" s="1689">
        <v>0.0386</v>
      </c>
      <c r="T348" s="1681"/>
      <c r="U348" s="1681"/>
      <c r="W348" s="1681">
        <f t="shared" si="39"/>
        <v>0.0301</v>
      </c>
      <c r="X348" s="1681"/>
      <c r="Y348" s="1681">
        <f t="shared" si="40"/>
        <v>0.0386</v>
      </c>
      <c r="Z348" s="1681"/>
      <c r="AB348" s="1682">
        <v>0.0385</v>
      </c>
      <c r="AC348" s="1682">
        <v>0.0465</v>
      </c>
      <c r="AE348" s="1683">
        <v>7.1316</v>
      </c>
      <c r="AF348" s="1683">
        <v>7.897</v>
      </c>
      <c r="AG348" s="1683">
        <v>0.0662</v>
      </c>
      <c r="AH348" s="1683">
        <v>0.9199</v>
      </c>
      <c r="AI348" s="1683">
        <v>8.786</v>
      </c>
      <c r="AJ348" s="1683">
        <v>4.7283</v>
      </c>
      <c r="AK348" s="1683">
        <v>4.42</v>
      </c>
      <c r="AL348" s="1683">
        <v>5.0304</v>
      </c>
      <c r="AM348" s="1683">
        <v>7.3959</v>
      </c>
      <c r="AN348" s="1683">
        <v>5.1767</v>
      </c>
      <c r="AO348" s="1683">
        <v>1.6389</v>
      </c>
      <c r="AP348" s="1683">
        <v>0.1016</v>
      </c>
      <c r="AQ348" s="1683">
        <v>0.4075</v>
      </c>
      <c r="AR348" s="1683">
        <v>0.0058</v>
      </c>
      <c r="AS348" s="1683">
        <v>1.9413</v>
      </c>
      <c r="AT348" s="1683">
        <v>1.8982</v>
      </c>
      <c r="AU348" s="1683">
        <v>0.0226</v>
      </c>
      <c r="AV348" s="1683">
        <v>1.7736</v>
      </c>
      <c r="AW348" s="1683">
        <v>1.0594</v>
      </c>
      <c r="AX348" s="1683">
        <v>0.7489</v>
      </c>
      <c r="AY348" s="1683">
        <v>0.729</v>
      </c>
      <c r="AZ348" s="1683">
        <v>1.0463</v>
      </c>
      <c r="BA348" s="1683">
        <v>0.321</v>
      </c>
      <c r="BB348" s="1683">
        <v>0.2239</v>
      </c>
    </row>
    <row r="349" spans="1:54">
      <c r="A349" s="326">
        <f t="shared" si="43"/>
        <v>44012</v>
      </c>
      <c r="B349" s="1678">
        <v>100.4</v>
      </c>
      <c r="C349" s="1679">
        <f t="shared" si="41"/>
        <v>1.004</v>
      </c>
      <c r="D349" s="1679">
        <f>PRODUCT(C$4:C349)</f>
        <v>3.409437023564</v>
      </c>
      <c r="F349" s="1678">
        <v>101.03</v>
      </c>
      <c r="G349" s="1679">
        <f t="shared" si="42"/>
        <v>1.0103</v>
      </c>
      <c r="H349" s="1679">
        <f>PRODUCT(G$4:G349)</f>
        <v>0.977436086242315</v>
      </c>
      <c r="J349" s="1680">
        <v>0.13</v>
      </c>
      <c r="K349" s="1680">
        <v>0.09</v>
      </c>
      <c r="L349" s="1680">
        <v>0.06</v>
      </c>
      <c r="N349" s="1689">
        <v>0.0255</v>
      </c>
      <c r="O349" s="1689">
        <v>0.0282</v>
      </c>
      <c r="P349" s="1689">
        <v>0.0356</v>
      </c>
      <c r="Q349" s="1689">
        <v>0.0309</v>
      </c>
      <c r="R349" s="1689">
        <v>0.0387</v>
      </c>
      <c r="T349" s="1681"/>
      <c r="U349" s="1681"/>
      <c r="W349" s="1681">
        <f t="shared" si="39"/>
        <v>0.0309</v>
      </c>
      <c r="X349" s="1681"/>
      <c r="Y349" s="1681">
        <f t="shared" si="40"/>
        <v>0.0387</v>
      </c>
      <c r="Z349" s="1681"/>
      <c r="AB349" s="1682">
        <v>0.0385</v>
      </c>
      <c r="AC349" s="1682">
        <v>0.0465</v>
      </c>
      <c r="AE349" s="1683">
        <v>7.0795</v>
      </c>
      <c r="AF349" s="1683">
        <v>7.961</v>
      </c>
      <c r="AG349" s="1683">
        <v>0.0658</v>
      </c>
      <c r="AH349" s="1683">
        <v>0.9134</v>
      </c>
      <c r="AI349" s="1683">
        <v>8.7144</v>
      </c>
      <c r="AJ349" s="1683">
        <v>4.8657</v>
      </c>
      <c r="AK349" s="1683">
        <v>4.5495</v>
      </c>
      <c r="AL349" s="1683">
        <v>5.0813</v>
      </c>
      <c r="AM349" s="1683">
        <v>7.4434</v>
      </c>
      <c r="AN349" s="1683">
        <v>5.1843</v>
      </c>
      <c r="AO349" s="1683">
        <v>1.6531</v>
      </c>
      <c r="AP349" s="1683">
        <v>0.1009</v>
      </c>
      <c r="AQ349" s="1683">
        <v>0.4101</v>
      </c>
      <c r="AR349" s="1683">
        <v>0.0059</v>
      </c>
      <c r="AS349" s="1683">
        <v>1.9275</v>
      </c>
      <c r="AT349" s="1683">
        <v>1.8874</v>
      </c>
      <c r="AU349" s="1683">
        <v>0.0223</v>
      </c>
      <c r="AV349" s="1683">
        <v>1.7877</v>
      </c>
      <c r="AW349" s="1683">
        <v>1.0685</v>
      </c>
      <c r="AX349" s="1683">
        <v>0.7589</v>
      </c>
      <c r="AY349" s="1683">
        <v>0.7322</v>
      </c>
      <c r="AZ349" s="1683">
        <v>1.033</v>
      </c>
      <c r="BA349" s="1683">
        <v>0.307</v>
      </c>
      <c r="BB349" s="1683">
        <v>0.2293</v>
      </c>
    </row>
    <row r="350" spans="1:54">
      <c r="A350" s="326">
        <f t="shared" si="43"/>
        <v>44043</v>
      </c>
      <c r="B350" s="1678">
        <v>100.4</v>
      </c>
      <c r="C350" s="1679">
        <f t="shared" si="41"/>
        <v>1.004</v>
      </c>
      <c r="D350" s="1679">
        <f>PRODUCT(C$4:C350)</f>
        <v>3.42307477165826</v>
      </c>
      <c r="F350" s="1678">
        <v>100.82</v>
      </c>
      <c r="G350" s="1679">
        <f t="shared" ref="G350:G375" si="44">IF(F350="",1,F350/100)</f>
        <v>1.0082</v>
      </c>
      <c r="H350" s="1679">
        <f>PRODUCT(G$4:G350)</f>
        <v>0.985451062149502</v>
      </c>
      <c r="J350" s="1680">
        <v>0.13</v>
      </c>
      <c r="K350" s="1680">
        <v>0.09</v>
      </c>
      <c r="L350" s="1680">
        <v>0.06</v>
      </c>
      <c r="N350" s="1689">
        <v>0.027</v>
      </c>
      <c r="O350" s="1689">
        <v>0.0297</v>
      </c>
      <c r="P350" s="1689">
        <v>0.037</v>
      </c>
      <c r="Q350" s="1689">
        <v>0.0315</v>
      </c>
      <c r="R350" s="1689">
        <v>0.0388</v>
      </c>
      <c r="T350" s="1681"/>
      <c r="U350" s="1681"/>
      <c r="W350" s="1681">
        <f t="shared" si="39"/>
        <v>0.0315</v>
      </c>
      <c r="X350" s="1681"/>
      <c r="Y350" s="1681">
        <f t="shared" si="40"/>
        <v>0.0388</v>
      </c>
      <c r="Z350" s="1681"/>
      <c r="AB350" s="1682">
        <v>0.0385</v>
      </c>
      <c r="AC350" s="1682">
        <v>0.0465</v>
      </c>
      <c r="AE350" s="1683">
        <v>6.9848</v>
      </c>
      <c r="AF350" s="1683">
        <v>8.2882</v>
      </c>
      <c r="AG350" s="1683">
        <v>0.0667</v>
      </c>
      <c r="AH350" s="1683">
        <v>0.9013</v>
      </c>
      <c r="AI350" s="1683">
        <v>9.159</v>
      </c>
      <c r="AJ350" s="1683">
        <v>5.0272</v>
      </c>
      <c r="AK350" s="1683">
        <v>4.6733</v>
      </c>
      <c r="AL350" s="1683">
        <v>5.0937</v>
      </c>
      <c r="AM350" s="1683">
        <v>7.6901</v>
      </c>
      <c r="AN350" s="1683">
        <v>5.2054</v>
      </c>
      <c r="AO350" s="1683">
        <v>1.6473</v>
      </c>
      <c r="AP350" s="1683">
        <v>0.0956</v>
      </c>
      <c r="AQ350" s="1683">
        <v>0.4172</v>
      </c>
      <c r="AR350" s="1683">
        <v>0.0059</v>
      </c>
      <c r="AS350" s="1683">
        <v>1.9012</v>
      </c>
      <c r="AT350" s="1683">
        <v>1.8618</v>
      </c>
      <c r="AU350" s="1683">
        <v>0.024</v>
      </c>
      <c r="AV350" s="1683">
        <v>1.8798</v>
      </c>
      <c r="AW350" s="1683">
        <v>1.1136</v>
      </c>
      <c r="AX350" s="1683">
        <v>0.8044</v>
      </c>
      <c r="AY350" s="1683">
        <v>0.7711</v>
      </c>
      <c r="AZ350" s="1683">
        <v>1.0011</v>
      </c>
      <c r="BA350" s="1683">
        <v>0.3172</v>
      </c>
      <c r="BB350" s="1683">
        <v>0.2229</v>
      </c>
    </row>
    <row r="351" spans="1:54">
      <c r="A351" s="326">
        <f t="shared" si="43"/>
        <v>44074</v>
      </c>
      <c r="B351" s="1678">
        <v>100.3</v>
      </c>
      <c r="C351" s="1679">
        <f t="shared" si="41"/>
        <v>1.003</v>
      </c>
      <c r="D351" s="1679">
        <f>PRODUCT(C$4:C351)</f>
        <v>3.43334399597323</v>
      </c>
      <c r="F351" s="1678">
        <v>100.41</v>
      </c>
      <c r="G351" s="1679">
        <f t="shared" si="44"/>
        <v>1.0041</v>
      </c>
      <c r="H351" s="1679">
        <f>PRODUCT(G$4:G351)</f>
        <v>0.989491411504315</v>
      </c>
      <c r="J351" s="1680">
        <v>0.13</v>
      </c>
      <c r="K351" s="1680">
        <v>0.09</v>
      </c>
      <c r="L351" s="1680">
        <v>0.06</v>
      </c>
      <c r="N351" s="1689">
        <v>0.0295</v>
      </c>
      <c r="O351" s="1689">
        <v>0.0302</v>
      </c>
      <c r="P351" s="1689">
        <v>0.0373</v>
      </c>
      <c r="Q351" s="1689">
        <v>0.0333</v>
      </c>
      <c r="R351" s="1689">
        <v>0.039</v>
      </c>
      <c r="T351" s="1681"/>
      <c r="U351" s="1681"/>
      <c r="W351" s="1681">
        <f t="shared" si="39"/>
        <v>0.0333</v>
      </c>
      <c r="X351" s="1681"/>
      <c r="Y351" s="1681">
        <f t="shared" si="40"/>
        <v>0.039</v>
      </c>
      <c r="Z351" s="1681"/>
      <c r="AB351" s="1682">
        <v>0.0385</v>
      </c>
      <c r="AC351" s="1682">
        <v>0.0465</v>
      </c>
      <c r="AE351" s="1683">
        <v>6.8605</v>
      </c>
      <c r="AF351" s="1683">
        <v>8.1649</v>
      </c>
      <c r="AG351" s="1683">
        <v>0.065</v>
      </c>
      <c r="AH351" s="1683">
        <v>0.8852</v>
      </c>
      <c r="AI351" s="1683">
        <v>9.1522</v>
      </c>
      <c r="AJ351" s="1683">
        <v>5.0482</v>
      </c>
      <c r="AK351" s="1683">
        <v>4.6193</v>
      </c>
      <c r="AL351" s="1683">
        <v>5.0482</v>
      </c>
      <c r="AM351" s="1683">
        <v>7.5848</v>
      </c>
      <c r="AN351" s="1683">
        <v>5.2393</v>
      </c>
      <c r="AO351" s="1683">
        <v>1.646</v>
      </c>
      <c r="AP351" s="1683">
        <v>0.0926</v>
      </c>
      <c r="AQ351" s="1683">
        <v>0.4134</v>
      </c>
      <c r="AR351" s="1683">
        <v>0.0058</v>
      </c>
      <c r="AS351" s="1683">
        <v>1.8664</v>
      </c>
      <c r="AT351" s="1683">
        <v>1.8278</v>
      </c>
      <c r="AU351" s="1683">
        <v>0.0231</v>
      </c>
      <c r="AV351" s="1683">
        <v>1.8612</v>
      </c>
      <c r="AW351" s="1683">
        <v>1.097</v>
      </c>
      <c r="AX351" s="1683">
        <v>0.7947</v>
      </c>
      <c r="AY351" s="1683">
        <v>0.7805</v>
      </c>
      <c r="AZ351" s="1683">
        <v>0.9353</v>
      </c>
      <c r="BA351" s="1683">
        <v>0.315</v>
      </c>
      <c r="BB351" s="1683">
        <v>0.2203</v>
      </c>
    </row>
    <row r="352" spans="1:54">
      <c r="A352" s="326">
        <f t="shared" si="43"/>
        <v>44104</v>
      </c>
      <c r="B352" s="1678">
        <v>100.1</v>
      </c>
      <c r="C352" s="1679">
        <f t="shared" si="41"/>
        <v>1.001</v>
      </c>
      <c r="D352" s="1679">
        <f>PRODUCT(C$4:C352)</f>
        <v>3.43677733996921</v>
      </c>
      <c r="F352" s="1678">
        <v>99.8</v>
      </c>
      <c r="G352" s="1679">
        <f t="shared" si="44"/>
        <v>0.998</v>
      </c>
      <c r="H352" s="1679">
        <f>PRODUCT(G$4:G352)</f>
        <v>0.987512428681306</v>
      </c>
      <c r="J352" s="1680">
        <v>0.13</v>
      </c>
      <c r="K352" s="1680">
        <v>0.09</v>
      </c>
      <c r="L352" s="1680">
        <v>0.06</v>
      </c>
      <c r="N352" s="1689">
        <v>0.0305</v>
      </c>
      <c r="O352" s="1689">
        <v>0.0315</v>
      </c>
      <c r="P352" s="1689">
        <v>0.0385</v>
      </c>
      <c r="Q352" s="1689">
        <v>0.0319</v>
      </c>
      <c r="R352" s="1689">
        <v>0.0392</v>
      </c>
      <c r="T352" s="1681"/>
      <c r="U352" s="1681"/>
      <c r="W352" s="1681">
        <f t="shared" si="39"/>
        <v>0.0319</v>
      </c>
      <c r="X352" s="1681"/>
      <c r="Y352" s="1681">
        <f t="shared" si="40"/>
        <v>0.0392</v>
      </c>
      <c r="Z352" s="1681"/>
      <c r="AB352" s="1682">
        <v>0.0385</v>
      </c>
      <c r="AC352" s="1682">
        <v>0.0465</v>
      </c>
      <c r="AE352" s="1683">
        <v>6.8101</v>
      </c>
      <c r="AF352" s="1683">
        <v>7.9941</v>
      </c>
      <c r="AG352" s="1683">
        <v>0.0644</v>
      </c>
      <c r="AH352" s="1683">
        <v>0.8787</v>
      </c>
      <c r="AI352" s="1683">
        <v>8.7577</v>
      </c>
      <c r="AJ352" s="1683">
        <v>4.8627</v>
      </c>
      <c r="AK352" s="1683">
        <v>4.4915</v>
      </c>
      <c r="AL352" s="1683">
        <v>4.9769</v>
      </c>
      <c r="AM352" s="1683">
        <v>7.4051</v>
      </c>
      <c r="AN352" s="1683">
        <v>5.0864</v>
      </c>
      <c r="AO352" s="1683">
        <v>1.6385</v>
      </c>
      <c r="AP352" s="1683">
        <v>0.0863</v>
      </c>
      <c r="AQ352" s="1683">
        <v>0.4022</v>
      </c>
      <c r="AR352" s="1683">
        <v>0.0058</v>
      </c>
      <c r="AS352" s="1683">
        <v>1.8531</v>
      </c>
      <c r="AT352" s="1683">
        <v>1.8146</v>
      </c>
      <c r="AU352" s="1683">
        <v>0.0219</v>
      </c>
      <c r="AV352" s="1683">
        <v>1.7659</v>
      </c>
      <c r="AW352" s="1683">
        <v>1.0735</v>
      </c>
      <c r="AX352" s="1683">
        <v>0.7595</v>
      </c>
      <c r="AY352" s="1683">
        <v>0.7237</v>
      </c>
      <c r="AZ352" s="1683">
        <v>0.8707</v>
      </c>
      <c r="BA352" s="1683">
        <v>0.3041</v>
      </c>
      <c r="BB352" s="1683">
        <v>0.2154</v>
      </c>
    </row>
    <row r="353" spans="1:54">
      <c r="A353" s="326">
        <f t="shared" si="43"/>
        <v>44135</v>
      </c>
      <c r="B353" s="1678">
        <v>100</v>
      </c>
      <c r="C353" s="1679">
        <f t="shared" si="41"/>
        <v>1</v>
      </c>
      <c r="D353" s="1679">
        <f>PRODUCT(C$4:C353)</f>
        <v>3.43677733996921</v>
      </c>
      <c r="F353" s="1678">
        <v>99.8</v>
      </c>
      <c r="G353" s="1679">
        <f t="shared" si="44"/>
        <v>0.998</v>
      </c>
      <c r="H353" s="1679">
        <f>PRODUCT(G$4:G353)</f>
        <v>0.985537403823944</v>
      </c>
      <c r="J353" s="1680">
        <v>0.13</v>
      </c>
      <c r="K353" s="1680">
        <v>0.09</v>
      </c>
      <c r="L353" s="1680">
        <v>0.06</v>
      </c>
      <c r="N353" s="1689">
        <v>0.0298</v>
      </c>
      <c r="O353" s="1689">
        <v>0.0318</v>
      </c>
      <c r="P353" s="1689">
        <v>0.0386</v>
      </c>
      <c r="Q353" s="1689">
        <v>0.0323</v>
      </c>
      <c r="R353" s="1689">
        <v>0.0395</v>
      </c>
      <c r="T353" s="1681"/>
      <c r="U353" s="1681"/>
      <c r="W353" s="1681">
        <f t="shared" si="39"/>
        <v>0.0323</v>
      </c>
      <c r="X353" s="1681"/>
      <c r="Y353" s="1681">
        <f t="shared" si="40"/>
        <v>0.0395</v>
      </c>
      <c r="Z353" s="1681"/>
      <c r="AB353" s="1682">
        <v>0.0385</v>
      </c>
      <c r="AC353" s="1682">
        <v>0.0465</v>
      </c>
      <c r="AE353" s="1683">
        <v>6.7232</v>
      </c>
      <c r="AF353" s="1683">
        <v>7.8463</v>
      </c>
      <c r="AG353" s="1683">
        <v>0.0643</v>
      </c>
      <c r="AH353" s="1683">
        <v>0.8672</v>
      </c>
      <c r="AI353" s="1683">
        <v>8.6905</v>
      </c>
      <c r="AJ353" s="1683">
        <v>4.7273</v>
      </c>
      <c r="AK353" s="1683">
        <v>4.4539</v>
      </c>
      <c r="AL353" s="1683">
        <v>4.9186</v>
      </c>
      <c r="AM353" s="1683">
        <v>7.3406</v>
      </c>
      <c r="AN353" s="1683">
        <v>5.0462</v>
      </c>
      <c r="AO353" s="1683">
        <v>1.6173</v>
      </c>
      <c r="AP353" s="1683">
        <v>0.0852</v>
      </c>
      <c r="AQ353" s="1683">
        <v>0.41</v>
      </c>
      <c r="AR353" s="1683">
        <v>0.0059</v>
      </c>
      <c r="AS353" s="1683">
        <v>1.8297</v>
      </c>
      <c r="AT353" s="1683">
        <v>1.7919</v>
      </c>
      <c r="AU353" s="1683">
        <v>0.0213</v>
      </c>
      <c r="AV353" s="1683">
        <v>1.6967</v>
      </c>
      <c r="AW353" s="1683">
        <v>1.0537</v>
      </c>
      <c r="AX353" s="1683">
        <v>0.7532</v>
      </c>
      <c r="AY353" s="1683">
        <v>0.7046</v>
      </c>
      <c r="AZ353" s="1683">
        <v>0.8095</v>
      </c>
      <c r="BA353" s="1683">
        <v>0.3146</v>
      </c>
      <c r="BB353" s="1683">
        <v>0.2152</v>
      </c>
    </row>
    <row r="354" spans="1:54">
      <c r="A354" s="326">
        <f t="shared" si="43"/>
        <v>44165</v>
      </c>
      <c r="B354" s="1678">
        <v>100.5</v>
      </c>
      <c r="C354" s="1679">
        <f t="shared" si="41"/>
        <v>1.005</v>
      </c>
      <c r="D354" s="1679">
        <f>PRODUCT(C$4:C354)</f>
        <v>3.45396122666905</v>
      </c>
      <c r="F354" s="1678">
        <v>100.51</v>
      </c>
      <c r="G354" s="1679">
        <f t="shared" si="44"/>
        <v>1.0051</v>
      </c>
      <c r="H354" s="1679">
        <f>PRODUCT(G$4:G354)</f>
        <v>0.990563644583446</v>
      </c>
      <c r="J354" s="1680">
        <v>0.13</v>
      </c>
      <c r="K354" s="1680">
        <v>0.09</v>
      </c>
      <c r="L354" s="1680">
        <v>0.06</v>
      </c>
      <c r="N354" s="1689">
        <v>0.0307</v>
      </c>
      <c r="O354" s="1689">
        <v>0.0325</v>
      </c>
      <c r="P354" s="1689">
        <v>0.0387</v>
      </c>
      <c r="Q354" s="1689">
        <v>0.0326</v>
      </c>
      <c r="R354" s="1689">
        <v>0.0396</v>
      </c>
      <c r="T354" s="1681"/>
      <c r="U354" s="1681"/>
      <c r="W354" s="1681">
        <f t="shared" si="39"/>
        <v>0.0326</v>
      </c>
      <c r="X354" s="1681"/>
      <c r="Y354" s="1681">
        <f t="shared" si="40"/>
        <v>0.0396</v>
      </c>
      <c r="Z354" s="1681"/>
      <c r="AB354" s="1682">
        <v>0.0385</v>
      </c>
      <c r="AC354" s="1682">
        <v>0.0465</v>
      </c>
      <c r="AE354" s="1683">
        <v>6.5782</v>
      </c>
      <c r="AF354" s="1683">
        <v>7.8719</v>
      </c>
      <c r="AG354" s="1683">
        <v>0.0632</v>
      </c>
      <c r="AH354" s="1683">
        <v>0.8487</v>
      </c>
      <c r="AI354" s="1683">
        <v>8.7702</v>
      </c>
      <c r="AJ354" s="1683">
        <v>4.8675</v>
      </c>
      <c r="AK354" s="1683">
        <v>4.6313</v>
      </c>
      <c r="AL354" s="1683">
        <v>4.9168</v>
      </c>
      <c r="AM354" s="1683">
        <v>7.2741</v>
      </c>
      <c r="AN354" s="1683">
        <v>5.0685</v>
      </c>
      <c r="AO354" s="1683">
        <v>1.6169</v>
      </c>
      <c r="AP354" s="1683">
        <v>0.0867</v>
      </c>
      <c r="AQ354" s="1683">
        <v>0.4317</v>
      </c>
      <c r="AR354" s="1683">
        <v>0.006</v>
      </c>
      <c r="AS354" s="1683">
        <v>1.7911</v>
      </c>
      <c r="AT354" s="1683">
        <v>1.7541</v>
      </c>
      <c r="AU354" s="1683">
        <v>0.0218</v>
      </c>
      <c r="AV354" s="1683">
        <v>1.7544</v>
      </c>
      <c r="AW354" s="1683">
        <v>1.058</v>
      </c>
      <c r="AX354" s="1683">
        <v>0.7741</v>
      </c>
      <c r="AY354" s="1683">
        <v>0.7458</v>
      </c>
      <c r="AZ354" s="1683">
        <v>0.8386</v>
      </c>
      <c r="BA354" s="1683">
        <v>0.3284</v>
      </c>
      <c r="BB354" s="1683">
        <v>0.2172</v>
      </c>
    </row>
    <row r="355" spans="1:54">
      <c r="A355" s="326">
        <f t="shared" si="43"/>
        <v>44196</v>
      </c>
      <c r="B355" s="1678">
        <v>101.1</v>
      </c>
      <c r="C355" s="1679">
        <f t="shared" si="41"/>
        <v>1.011</v>
      </c>
      <c r="D355" s="1679">
        <f>PRODUCT(C$4:C355)</f>
        <v>3.49195480016241</v>
      </c>
      <c r="F355" s="1678">
        <v>101.21</v>
      </c>
      <c r="G355" s="1679">
        <f t="shared" si="44"/>
        <v>1.0121</v>
      </c>
      <c r="H355" s="1679">
        <f>PRODUCT(G$4:G355)</f>
        <v>1.00254946468291</v>
      </c>
      <c r="J355" s="1680">
        <v>0.13</v>
      </c>
      <c r="K355" s="1680">
        <v>0.09</v>
      </c>
      <c r="L355" s="1680">
        <v>0.06</v>
      </c>
      <c r="N355" s="1689">
        <v>0.0295</v>
      </c>
      <c r="O355" s="1689">
        <v>0.0314</v>
      </c>
      <c r="P355" s="1689">
        <v>0.0373</v>
      </c>
      <c r="Q355" s="1689">
        <v>0.0329</v>
      </c>
      <c r="R355" s="1689">
        <v>0.0396</v>
      </c>
      <c r="T355" s="1681"/>
      <c r="U355" s="1681"/>
      <c r="W355" s="1681">
        <f t="shared" si="39"/>
        <v>0.0329</v>
      </c>
      <c r="X355" s="1681"/>
      <c r="Y355" s="1681">
        <f t="shared" si="40"/>
        <v>0.0396</v>
      </c>
      <c r="Z355" s="1681"/>
      <c r="AB355" s="1682">
        <v>0.0385</v>
      </c>
      <c r="AC355" s="1682">
        <v>0.0465</v>
      </c>
      <c r="AE355" s="1683">
        <v>6.5249</v>
      </c>
      <c r="AF355" s="1683">
        <v>8.025</v>
      </c>
      <c r="AG355" s="1683">
        <v>0.0632</v>
      </c>
      <c r="AH355" s="1683">
        <v>0.8416</v>
      </c>
      <c r="AI355" s="1683">
        <v>8.8903</v>
      </c>
      <c r="AJ355" s="1683">
        <v>5.0163</v>
      </c>
      <c r="AK355" s="1683">
        <v>4.705</v>
      </c>
      <c r="AL355" s="1683">
        <v>4.9314</v>
      </c>
      <c r="AM355" s="1683">
        <v>7.4006</v>
      </c>
      <c r="AN355" s="1683">
        <v>5.1161</v>
      </c>
      <c r="AO355" s="1683">
        <v>1.6173</v>
      </c>
      <c r="AP355" s="1683">
        <v>0.0877</v>
      </c>
      <c r="AQ355" s="1683">
        <v>0.4458</v>
      </c>
      <c r="AR355" s="1683">
        <v>0.006</v>
      </c>
      <c r="AS355" s="1683">
        <v>1.7761</v>
      </c>
      <c r="AT355" s="1683">
        <v>1.739</v>
      </c>
      <c r="AU355" s="1683">
        <v>0.022</v>
      </c>
      <c r="AV355" s="1683">
        <v>1.752</v>
      </c>
      <c r="AW355" s="1683">
        <v>1.0786</v>
      </c>
      <c r="AX355" s="1683">
        <v>0.7962</v>
      </c>
      <c r="AY355" s="1683">
        <v>0.7647</v>
      </c>
      <c r="AZ355" s="1683">
        <v>0.8837</v>
      </c>
      <c r="BA355" s="1683">
        <v>0.328</v>
      </c>
      <c r="BB355" s="1683">
        <v>0.2179</v>
      </c>
    </row>
    <row r="356" spans="1:54">
      <c r="A356" s="326">
        <f t="shared" si="43"/>
        <v>44227</v>
      </c>
      <c r="B356" s="1678">
        <v>101</v>
      </c>
      <c r="C356" s="1679">
        <f t="shared" si="41"/>
        <v>1.01</v>
      </c>
      <c r="D356" s="1679">
        <f>PRODUCT(C$4:C356)</f>
        <v>3.52687434816404</v>
      </c>
      <c r="F356" s="1678">
        <v>101</v>
      </c>
      <c r="G356" s="1679">
        <f t="shared" si="44"/>
        <v>1.01</v>
      </c>
      <c r="H356" s="1679">
        <f>PRODUCT(G$4:G356)</f>
        <v>1.01257495932973</v>
      </c>
      <c r="J356" s="1680">
        <v>0.13</v>
      </c>
      <c r="K356" s="1680">
        <v>0.09</v>
      </c>
      <c r="L356" s="1680">
        <v>0.06</v>
      </c>
      <c r="N356" s="1689">
        <v>0.03</v>
      </c>
      <c r="O356" s="1689">
        <v>0.0318</v>
      </c>
      <c r="P356" s="1689">
        <v>0.0374</v>
      </c>
      <c r="Q356" s="1689">
        <v>0.0337</v>
      </c>
      <c r="R356" s="1689">
        <v>0.0405</v>
      </c>
      <c r="T356" s="1681"/>
      <c r="U356" s="1681"/>
      <c r="W356" s="1681">
        <f t="shared" si="39"/>
        <v>0.0337</v>
      </c>
      <c r="X356" s="1681"/>
      <c r="Y356" s="1681">
        <f t="shared" si="40"/>
        <v>0.0405</v>
      </c>
      <c r="Z356" s="1681"/>
      <c r="AB356" s="1682">
        <v>0.0385</v>
      </c>
      <c r="AC356" s="1682">
        <v>0.0465</v>
      </c>
      <c r="AE356" s="1683">
        <v>6.4709</v>
      </c>
      <c r="AF356" s="1683">
        <v>7.8404</v>
      </c>
      <c r="AG356" s="1683">
        <v>0.062</v>
      </c>
      <c r="AH356" s="1683">
        <v>0.8346</v>
      </c>
      <c r="AI356" s="1683">
        <v>8.8768</v>
      </c>
      <c r="AJ356" s="1683">
        <v>4.9647</v>
      </c>
      <c r="AK356" s="1683">
        <v>4.6408</v>
      </c>
      <c r="AL356" s="1683">
        <v>4.8676</v>
      </c>
      <c r="AM356" s="1683">
        <v>7.2798</v>
      </c>
      <c r="AN356" s="1683">
        <v>5.0462</v>
      </c>
      <c r="AO356" s="1683">
        <v>1.5986</v>
      </c>
      <c r="AP356" s="1683">
        <v>0.0849</v>
      </c>
      <c r="AQ356" s="1683">
        <v>0.4255</v>
      </c>
      <c r="AR356" s="1683">
        <v>0.0058</v>
      </c>
      <c r="AS356" s="1683">
        <v>1.7611</v>
      </c>
      <c r="AT356" s="1683">
        <v>1.7245</v>
      </c>
      <c r="AU356" s="1683">
        <v>0.0218</v>
      </c>
      <c r="AV356" s="1683">
        <v>1.726</v>
      </c>
      <c r="AW356" s="1683">
        <v>1.0541</v>
      </c>
      <c r="AX356" s="1683">
        <v>0.7754</v>
      </c>
      <c r="AY356" s="1683">
        <v>0.752</v>
      </c>
      <c r="AZ356" s="1683">
        <v>0.8803</v>
      </c>
      <c r="BA356" s="1683">
        <v>0.3196</v>
      </c>
      <c r="BB356" s="1683">
        <v>0.2156</v>
      </c>
    </row>
    <row r="357" spans="1:54">
      <c r="A357" s="326">
        <f t="shared" si="43"/>
        <v>44255</v>
      </c>
      <c r="B357" s="1678">
        <v>100.8</v>
      </c>
      <c r="C357" s="1679">
        <f t="shared" si="41"/>
        <v>1.008</v>
      </c>
      <c r="D357" s="1679">
        <f>PRODUCT(C$4:C357)</f>
        <v>3.55508934294935</v>
      </c>
      <c r="F357" s="1678">
        <v>101.68</v>
      </c>
      <c r="G357" s="1679">
        <f t="shared" si="44"/>
        <v>1.0168</v>
      </c>
      <c r="H357" s="1679">
        <f>PRODUCT(G$4:G357)</f>
        <v>1.02958621864647</v>
      </c>
      <c r="J357" s="1680">
        <v>0.13</v>
      </c>
      <c r="K357" s="1680">
        <v>0.09</v>
      </c>
      <c r="L357" s="1680">
        <v>0.06</v>
      </c>
      <c r="N357" s="1689">
        <v>0.0311</v>
      </c>
      <c r="O357" s="1689">
        <v>0.0328</v>
      </c>
      <c r="P357" s="1689">
        <v>0.0381</v>
      </c>
      <c r="Q357" s="1689">
        <v>0.0336</v>
      </c>
      <c r="R357" s="1689">
        <v>0.0406</v>
      </c>
      <c r="T357" s="1681"/>
      <c r="U357" s="1681"/>
      <c r="W357" s="1681">
        <f t="shared" si="39"/>
        <v>0.0336</v>
      </c>
      <c r="X357" s="1681"/>
      <c r="Y357" s="1681">
        <f t="shared" si="40"/>
        <v>0.0406</v>
      </c>
      <c r="Z357" s="1681"/>
      <c r="AB357" s="1682">
        <v>0.0385</v>
      </c>
      <c r="AC357" s="1682">
        <v>0.0465</v>
      </c>
      <c r="AE357" s="1683">
        <v>6.4713</v>
      </c>
      <c r="AF357" s="1683">
        <v>7.8686</v>
      </c>
      <c r="AG357" s="1683">
        <v>0.0608</v>
      </c>
      <c r="AH357" s="1683">
        <v>0.8345</v>
      </c>
      <c r="AI357" s="1683">
        <v>9.0629</v>
      </c>
      <c r="AJ357" s="1683">
        <v>5.0915</v>
      </c>
      <c r="AK357" s="1683">
        <v>4.7674</v>
      </c>
      <c r="AL357" s="1683">
        <v>4.8745</v>
      </c>
      <c r="AM357" s="1683">
        <v>7.1435</v>
      </c>
      <c r="AN357" s="1683">
        <v>5.1318</v>
      </c>
      <c r="AO357" s="1683">
        <v>1.5986</v>
      </c>
      <c r="AP357" s="1683">
        <v>0.0866</v>
      </c>
      <c r="AQ357" s="1683">
        <v>0.4311</v>
      </c>
      <c r="AR357" s="1683">
        <v>0.0058</v>
      </c>
      <c r="AS357" s="1683">
        <v>1.7605</v>
      </c>
      <c r="AT357" s="1683">
        <v>1.7241</v>
      </c>
      <c r="AU357" s="1683">
        <v>0.0218</v>
      </c>
      <c r="AV357" s="1683">
        <v>1.741</v>
      </c>
      <c r="AW357" s="1683">
        <v>1.0581</v>
      </c>
      <c r="AX357" s="1683">
        <v>0.78</v>
      </c>
      <c r="AY357" s="1683">
        <v>0.761</v>
      </c>
      <c r="AZ357" s="1683">
        <v>0.8804</v>
      </c>
      <c r="BA357" s="1683">
        <v>0.3096</v>
      </c>
      <c r="BB357" s="1683">
        <v>0.2139</v>
      </c>
    </row>
    <row r="358" spans="1:54">
      <c r="A358" s="326">
        <f t="shared" si="43"/>
        <v>44286</v>
      </c>
      <c r="B358" s="1678">
        <v>101.6</v>
      </c>
      <c r="C358" s="1679">
        <f t="shared" si="41"/>
        <v>1.016</v>
      </c>
      <c r="D358" s="1679">
        <f>PRODUCT(C$4:C358)</f>
        <v>3.61197077243654</v>
      </c>
      <c r="F358" s="1678">
        <v>102.43</v>
      </c>
      <c r="G358" s="1679">
        <f t="shared" si="44"/>
        <v>1.0243</v>
      </c>
      <c r="H358" s="1679">
        <f>PRODUCT(G$4:G358)</f>
        <v>1.05460516375958</v>
      </c>
      <c r="J358" s="1680">
        <v>0.13</v>
      </c>
      <c r="K358" s="1680">
        <v>0.09</v>
      </c>
      <c r="L358" s="1680">
        <v>0.06</v>
      </c>
      <c r="N358" s="1689">
        <v>0.0298</v>
      </c>
      <c r="O358" s="1689">
        <v>0.0319</v>
      </c>
      <c r="P358" s="1689">
        <v>0.0371</v>
      </c>
      <c r="Q358" s="1689">
        <v>0.0337</v>
      </c>
      <c r="R358" s="1689">
        <v>0.0406</v>
      </c>
      <c r="T358" s="1681"/>
      <c r="U358" s="1681"/>
      <c r="W358" s="1681">
        <f t="shared" si="39"/>
        <v>0.0337</v>
      </c>
      <c r="X358" s="1681"/>
      <c r="Y358" s="1681">
        <f t="shared" si="40"/>
        <v>0.0406</v>
      </c>
      <c r="Z358" s="1681"/>
      <c r="AB358" s="1682">
        <v>0.0385</v>
      </c>
      <c r="AC358" s="1682">
        <v>0.0465</v>
      </c>
      <c r="AE358" s="1683">
        <v>6.5713</v>
      </c>
      <c r="AF358" s="1683">
        <v>7.7028</v>
      </c>
      <c r="AG358" s="1683">
        <v>0.0596</v>
      </c>
      <c r="AH358" s="1683">
        <v>0.8452</v>
      </c>
      <c r="AI358" s="1683">
        <v>9.0313</v>
      </c>
      <c r="AJ358" s="1683">
        <v>4.9987</v>
      </c>
      <c r="AK358" s="1683">
        <v>4.5925</v>
      </c>
      <c r="AL358" s="1683">
        <v>4.8768</v>
      </c>
      <c r="AM358" s="1683">
        <v>6.9764</v>
      </c>
      <c r="AN358" s="1683">
        <v>5.2052</v>
      </c>
      <c r="AO358" s="1683">
        <v>1.5834</v>
      </c>
      <c r="AP358" s="1683">
        <v>0.0866</v>
      </c>
      <c r="AQ358" s="1683">
        <v>0.4407</v>
      </c>
      <c r="AR358" s="1683">
        <v>0.0058</v>
      </c>
      <c r="AS358" s="1683">
        <v>1.7891</v>
      </c>
      <c r="AT358" s="1683">
        <v>1.7521</v>
      </c>
      <c r="AU358" s="1683">
        <v>0.0212</v>
      </c>
      <c r="AV358" s="1683">
        <v>1.6546</v>
      </c>
      <c r="AW358" s="1683">
        <v>1.0357</v>
      </c>
      <c r="AX358" s="1683">
        <v>0.7524</v>
      </c>
      <c r="AY358" s="1683">
        <v>0.7688</v>
      </c>
      <c r="AZ358" s="1683">
        <v>0.7896</v>
      </c>
      <c r="BA358" s="1683">
        <v>0.3194</v>
      </c>
      <c r="BB358" s="1683">
        <v>0.2101</v>
      </c>
    </row>
    <row r="359" spans="1:54">
      <c r="A359" s="326">
        <f t="shared" si="43"/>
        <v>44316</v>
      </c>
      <c r="B359" s="1678">
        <v>100.9</v>
      </c>
      <c r="C359" s="1679">
        <f t="shared" si="41"/>
        <v>1.009</v>
      </c>
      <c r="D359" s="1679">
        <f>PRODUCT(C$4:C359)</f>
        <v>3.64447850938847</v>
      </c>
      <c r="F359" s="1678">
        <v>101.99</v>
      </c>
      <c r="G359" s="1679">
        <f t="shared" si="44"/>
        <v>1.0199</v>
      </c>
      <c r="H359" s="1679">
        <f>PRODUCT(G$4:G359)</f>
        <v>1.0755918065184</v>
      </c>
      <c r="J359" s="1680">
        <v>0.13</v>
      </c>
      <c r="K359" s="1680">
        <v>0.09</v>
      </c>
      <c r="L359" s="1680">
        <v>0.06</v>
      </c>
      <c r="N359" s="1689">
        <v>0.0296</v>
      </c>
      <c r="O359" s="1689">
        <v>0.0316</v>
      </c>
      <c r="P359" s="1689">
        <v>0.0367</v>
      </c>
      <c r="Q359" s="1689">
        <v>0.0338</v>
      </c>
      <c r="R359" s="1689">
        <v>0.0403</v>
      </c>
      <c r="T359" s="1681"/>
      <c r="U359" s="1681"/>
      <c r="W359" s="1681">
        <f t="shared" si="39"/>
        <v>0.0338</v>
      </c>
      <c r="X359" s="1681"/>
      <c r="Y359" s="1681">
        <f t="shared" si="40"/>
        <v>0.0403</v>
      </c>
      <c r="Z359" s="1681"/>
      <c r="AB359" s="1682">
        <v>0.0385</v>
      </c>
      <c r="AC359" s="1682">
        <v>0.0465</v>
      </c>
      <c r="AE359" s="1683">
        <v>6.4672</v>
      </c>
      <c r="AF359" s="1683">
        <v>7.8397</v>
      </c>
      <c r="AG359" s="1683">
        <v>0.0594</v>
      </c>
      <c r="AH359" s="1683">
        <v>0.8331</v>
      </c>
      <c r="AI359" s="1683">
        <v>9.0201</v>
      </c>
      <c r="AJ359" s="1683">
        <v>5.0287</v>
      </c>
      <c r="AK359" s="1683">
        <v>4.6854</v>
      </c>
      <c r="AL359" s="1683">
        <v>4.876</v>
      </c>
      <c r="AM359" s="1683">
        <v>7.1147</v>
      </c>
      <c r="AN359" s="1683">
        <v>5.2676</v>
      </c>
      <c r="AO359" s="1683">
        <v>1.5769</v>
      </c>
      <c r="AP359" s="1683">
        <v>0.0867</v>
      </c>
      <c r="AQ359" s="1683">
        <v>0.4525</v>
      </c>
      <c r="AR359" s="1683">
        <v>0.0058</v>
      </c>
      <c r="AS359" s="1683">
        <v>1.7605</v>
      </c>
      <c r="AT359" s="1683">
        <v>1.724</v>
      </c>
      <c r="AU359" s="1683">
        <v>0.0218</v>
      </c>
      <c r="AV359" s="1683">
        <v>1.7168</v>
      </c>
      <c r="AW359" s="1683">
        <v>1.0543</v>
      </c>
      <c r="AX359" s="1683">
        <v>0.7726</v>
      </c>
      <c r="AY359" s="1683">
        <v>0.7897</v>
      </c>
      <c r="AZ359" s="1683">
        <v>0.7876</v>
      </c>
      <c r="BA359" s="1683">
        <v>0.3226</v>
      </c>
      <c r="BB359" s="1683">
        <v>0.2073</v>
      </c>
    </row>
    <row r="360" spans="1:54">
      <c r="A360" s="326">
        <f t="shared" si="43"/>
        <v>44347</v>
      </c>
      <c r="B360" s="1678">
        <v>101.6</v>
      </c>
      <c r="C360" s="1679">
        <f t="shared" si="41"/>
        <v>1.016</v>
      </c>
      <c r="D360" s="1679">
        <f>PRODUCT(C$4:C360)</f>
        <v>3.70279016553868</v>
      </c>
      <c r="F360" s="1678">
        <v>101.49</v>
      </c>
      <c r="G360" s="1679">
        <f t="shared" si="44"/>
        <v>1.0149</v>
      </c>
      <c r="H360" s="1679">
        <f>PRODUCT(G$4:G360)</f>
        <v>1.09161812443552</v>
      </c>
      <c r="J360" s="1680">
        <v>0.13</v>
      </c>
      <c r="K360" s="1680">
        <v>0.09</v>
      </c>
      <c r="L360" s="1680">
        <v>0.06</v>
      </c>
      <c r="N360" s="1689">
        <v>0.0292</v>
      </c>
      <c r="O360" s="1689">
        <v>0.0305</v>
      </c>
      <c r="P360" s="1689">
        <v>0.0357</v>
      </c>
      <c r="Q360" s="1689"/>
      <c r="R360" s="1689"/>
      <c r="T360" s="1681"/>
      <c r="U360" s="1681"/>
      <c r="W360" s="1681">
        <f t="shared" si="39"/>
        <v>0</v>
      </c>
      <c r="X360" s="1681"/>
      <c r="Y360" s="1681">
        <f t="shared" si="40"/>
        <v>0</v>
      </c>
      <c r="Z360" s="1681"/>
      <c r="AB360" s="1682">
        <v>0.0385</v>
      </c>
      <c r="AC360" s="1682">
        <v>0.0465</v>
      </c>
      <c r="AE360" s="1683">
        <v>6.3682</v>
      </c>
      <c r="AF360" s="1683">
        <v>7.7616</v>
      </c>
      <c r="AG360" s="1683">
        <v>0.0579</v>
      </c>
      <c r="AH360" s="1683">
        <v>0.8204</v>
      </c>
      <c r="AI360" s="1683">
        <v>9.0287</v>
      </c>
      <c r="AJ360" s="1683">
        <v>4.9088</v>
      </c>
      <c r="AK360" s="1683">
        <v>4.6108</v>
      </c>
      <c r="AL360" s="1683">
        <v>4.8119</v>
      </c>
      <c r="AM360" s="1683">
        <v>7.0738</v>
      </c>
      <c r="AN360" s="1683">
        <v>5.2709</v>
      </c>
      <c r="AO360" s="1683">
        <v>1.5379</v>
      </c>
      <c r="AP360" s="1683">
        <v>0.0869</v>
      </c>
      <c r="AQ360" s="1683">
        <v>0.4619</v>
      </c>
      <c r="AR360" s="1683">
        <v>0.0057</v>
      </c>
      <c r="AS360" s="1683">
        <v>1.7331</v>
      </c>
      <c r="AT360" s="1683">
        <v>1.6972</v>
      </c>
      <c r="AU360" s="1683">
        <v>0.0223</v>
      </c>
      <c r="AV360" s="1683">
        <v>1.7312</v>
      </c>
      <c r="AW360" s="1683">
        <v>1.0436</v>
      </c>
      <c r="AX360" s="1683">
        <v>0.7666</v>
      </c>
      <c r="AY360" s="1683">
        <v>0.7616</v>
      </c>
      <c r="AZ360" s="1683">
        <v>0.7426</v>
      </c>
      <c r="BA360" s="1683">
        <v>0.3193</v>
      </c>
      <c r="BB360" s="1683">
        <v>0.2037</v>
      </c>
    </row>
    <row r="361" spans="1:54">
      <c r="A361" s="326">
        <f t="shared" si="43"/>
        <v>44377</v>
      </c>
      <c r="B361" s="1678">
        <v>100.3</v>
      </c>
      <c r="C361" s="1679">
        <f t="shared" si="41"/>
        <v>1.003</v>
      </c>
      <c r="D361" s="1679">
        <f>PRODUCT(C$4:C361)</f>
        <v>3.7138985360353</v>
      </c>
      <c r="F361" s="1678">
        <v>99.08</v>
      </c>
      <c r="G361" s="1679">
        <f t="shared" si="44"/>
        <v>0.9908</v>
      </c>
      <c r="H361" s="1679">
        <f>PRODUCT(G$4:G361)</f>
        <v>1.08157523769072</v>
      </c>
      <c r="J361" s="1680">
        <v>0.13</v>
      </c>
      <c r="K361" s="1680">
        <v>0.09</v>
      </c>
      <c r="L361" s="1680">
        <v>0.06</v>
      </c>
      <c r="N361" s="1681">
        <v>0.0295</v>
      </c>
      <c r="O361" s="1681">
        <v>0.0308</v>
      </c>
      <c r="P361" s="1681">
        <v>0.0366</v>
      </c>
      <c r="Q361" s="1681"/>
      <c r="R361" s="1681"/>
      <c r="T361" s="1681"/>
      <c r="U361" s="1681"/>
      <c r="W361" s="1681">
        <f t="shared" si="39"/>
        <v>0</v>
      </c>
      <c r="X361" s="1681"/>
      <c r="Y361" s="1681">
        <f t="shared" si="40"/>
        <v>0</v>
      </c>
      <c r="Z361" s="1681"/>
      <c r="AB361" s="1682">
        <v>0.0385</v>
      </c>
      <c r="AC361" s="1682">
        <v>0.0465</v>
      </c>
      <c r="AE361" s="1683">
        <v>6.4601</v>
      </c>
      <c r="AF361" s="1683">
        <v>7.6862</v>
      </c>
      <c r="AG361" s="1683">
        <v>0.0584</v>
      </c>
      <c r="AH361" s="1683">
        <v>0.8321</v>
      </c>
      <c r="AI361" s="1683">
        <v>8.941</v>
      </c>
      <c r="AJ361" s="1683">
        <v>4.8528</v>
      </c>
      <c r="AK361" s="1683">
        <v>4.5153</v>
      </c>
      <c r="AL361" s="1683">
        <v>4.8027</v>
      </c>
      <c r="AM361" s="1683">
        <v>7.0134</v>
      </c>
      <c r="AN361" s="1683">
        <v>5.2097</v>
      </c>
      <c r="AO361" s="1683">
        <v>1.556</v>
      </c>
      <c r="AP361" s="1683">
        <v>0.0888</v>
      </c>
      <c r="AQ361" s="1683">
        <v>0.4501</v>
      </c>
      <c r="AR361" s="1683">
        <v>0.0057</v>
      </c>
      <c r="AS361" s="1683">
        <v>1.7587</v>
      </c>
      <c r="AT361" s="1683">
        <v>1.7223</v>
      </c>
      <c r="AU361" s="1683">
        <v>0.0219</v>
      </c>
      <c r="AV361" s="1683">
        <v>1.7009</v>
      </c>
      <c r="AW361" s="1683">
        <v>1.0337</v>
      </c>
      <c r="AX361" s="1683">
        <v>0.7579</v>
      </c>
      <c r="AY361" s="1683">
        <v>0.7547</v>
      </c>
      <c r="AZ361" s="1683">
        <v>0.7397</v>
      </c>
      <c r="BA361" s="1683">
        <v>0.326</v>
      </c>
      <c r="BB361" s="1683">
        <v>0.2015</v>
      </c>
    </row>
    <row r="362" spans="1:54">
      <c r="A362" s="326">
        <f t="shared" si="43"/>
        <v>44408</v>
      </c>
      <c r="B362" s="1678">
        <v>100.5</v>
      </c>
      <c r="C362" s="1679">
        <f t="shared" si="41"/>
        <v>1.005</v>
      </c>
      <c r="D362" s="1679">
        <f>PRODUCT(C$4:C362)</f>
        <v>3.73246802871548</v>
      </c>
      <c r="F362" s="1678">
        <v>99.81</v>
      </c>
      <c r="G362" s="1679">
        <f t="shared" si="44"/>
        <v>0.9981</v>
      </c>
      <c r="H362" s="1679">
        <f>PRODUCT(G$4:G362)</f>
        <v>1.0795202447391</v>
      </c>
      <c r="J362" s="1680">
        <v>0.13</v>
      </c>
      <c r="K362" s="1680">
        <v>0.09</v>
      </c>
      <c r="L362" s="1680">
        <v>0.06</v>
      </c>
      <c r="N362" s="1681">
        <v>0.0269</v>
      </c>
      <c r="O362" s="1681">
        <v>0.0284</v>
      </c>
      <c r="P362" s="1681">
        <v>0.0344</v>
      </c>
      <c r="Q362" s="1681"/>
      <c r="R362" s="1681"/>
      <c r="T362" s="1681"/>
      <c r="U362" s="1681"/>
      <c r="W362" s="1681">
        <f t="shared" si="39"/>
        <v>0</v>
      </c>
      <c r="X362" s="1681"/>
      <c r="Y362" s="1681">
        <f t="shared" si="40"/>
        <v>0</v>
      </c>
      <c r="Z362" s="1681"/>
      <c r="AB362" s="1682">
        <v>0.0385</v>
      </c>
      <c r="AC362" s="1682">
        <v>0.0465</v>
      </c>
      <c r="AE362" s="1683">
        <v>6.4602</v>
      </c>
      <c r="AF362" s="1683">
        <v>7.6791</v>
      </c>
      <c r="AG362" s="1683">
        <v>0.059</v>
      </c>
      <c r="AH362" s="1683">
        <v>0.8312</v>
      </c>
      <c r="AI362" s="1683">
        <v>9.018</v>
      </c>
      <c r="AJ362" s="1683">
        <v>4.7781</v>
      </c>
      <c r="AK362" s="1683">
        <v>4.5286</v>
      </c>
      <c r="AL362" s="1683">
        <v>4.775</v>
      </c>
      <c r="AM362" s="1683">
        <v>7.1305</v>
      </c>
      <c r="AN362" s="1683">
        <v>5.1894</v>
      </c>
      <c r="AO362" s="1683">
        <v>1.5239</v>
      </c>
      <c r="AP362" s="1683">
        <v>0.0882</v>
      </c>
      <c r="AQ362" s="1683">
        <v>0.4435</v>
      </c>
      <c r="AR362" s="1683">
        <v>0.0056</v>
      </c>
      <c r="AS362" s="1683">
        <v>1.7582</v>
      </c>
      <c r="AT362" s="1683">
        <v>1.7216</v>
      </c>
      <c r="AU362" s="1683">
        <v>0.0215</v>
      </c>
      <c r="AV362" s="1683">
        <v>1.6803</v>
      </c>
      <c r="AW362" s="1683">
        <v>1.0324</v>
      </c>
      <c r="AX362" s="1683">
        <v>0.7551</v>
      </c>
      <c r="AY362" s="1683">
        <v>0.7398</v>
      </c>
      <c r="AZ362" s="1683">
        <v>0.7636</v>
      </c>
      <c r="BA362" s="1683">
        <v>0.3251</v>
      </c>
      <c r="BB362" s="1683">
        <v>0.1965</v>
      </c>
    </row>
    <row r="363" spans="1:54">
      <c r="A363" s="326">
        <f t="shared" si="43"/>
        <v>44439</v>
      </c>
      <c r="B363" s="1678">
        <v>100.7</v>
      </c>
      <c r="C363" s="1679">
        <f t="shared" si="41"/>
        <v>1.007</v>
      </c>
      <c r="D363" s="1679">
        <f>PRODUCT(C$4:C363)</f>
        <v>3.75859530491648</v>
      </c>
      <c r="F363" s="1678">
        <v>99.72</v>
      </c>
      <c r="G363" s="1679">
        <f t="shared" si="44"/>
        <v>0.9972</v>
      </c>
      <c r="H363" s="1679">
        <f>PRODUCT(G$4:G363)</f>
        <v>1.07649758805383</v>
      </c>
      <c r="J363" s="1680">
        <v>0.13</v>
      </c>
      <c r="K363" s="1680">
        <v>0.09</v>
      </c>
      <c r="L363" s="1680">
        <v>0.06</v>
      </c>
      <c r="N363" s="1681">
        <v>0.0268</v>
      </c>
      <c r="O363" s="1681">
        <v>0.0285</v>
      </c>
      <c r="P363" s="1681">
        <v>0.034</v>
      </c>
      <c r="Q363" s="1681"/>
      <c r="R363" s="1681"/>
      <c r="T363" s="1681"/>
      <c r="U363" s="1681"/>
      <c r="W363" s="1681">
        <f t="shared" si="39"/>
        <v>0</v>
      </c>
      <c r="X363" s="1681"/>
      <c r="Y363" s="1681">
        <f t="shared" si="40"/>
        <v>0</v>
      </c>
      <c r="Z363" s="1681"/>
      <c r="AB363" s="1682">
        <v>0.0385</v>
      </c>
      <c r="AC363" s="1682">
        <v>0.0465</v>
      </c>
      <c r="AE363" s="1683">
        <v>6.4679</v>
      </c>
      <c r="AF363" s="1683">
        <v>7.6303</v>
      </c>
      <c r="AG363" s="1683">
        <v>0.0588</v>
      </c>
      <c r="AH363" s="1683">
        <v>0.8307</v>
      </c>
      <c r="AI363" s="1683">
        <v>8.8987</v>
      </c>
      <c r="AJ363" s="1683">
        <v>4.7173</v>
      </c>
      <c r="AK363" s="1683">
        <v>4.5295</v>
      </c>
      <c r="AL363" s="1683">
        <v>4.8078</v>
      </c>
      <c r="AM363" s="1683">
        <v>7.0519</v>
      </c>
      <c r="AN363" s="1683">
        <v>5.1304</v>
      </c>
      <c r="AO363" s="1683">
        <v>1.5561</v>
      </c>
      <c r="AP363" s="1683">
        <v>0.088</v>
      </c>
      <c r="AQ363" s="1683">
        <v>0.4412</v>
      </c>
      <c r="AR363" s="1683">
        <v>0.0055</v>
      </c>
      <c r="AS363" s="1683">
        <v>1.7608</v>
      </c>
      <c r="AT363" s="1683">
        <v>1.7243</v>
      </c>
      <c r="AU363" s="1683">
        <v>0.0219</v>
      </c>
      <c r="AV363" s="1683">
        <v>1.6736</v>
      </c>
      <c r="AW363" s="1683">
        <v>1.0262</v>
      </c>
      <c r="AX363" s="1683">
        <v>0.7497</v>
      </c>
      <c r="AY363" s="1683">
        <v>0.7459</v>
      </c>
      <c r="AZ363" s="1683">
        <v>0.7721</v>
      </c>
      <c r="BA363" s="1683">
        <v>0.3211</v>
      </c>
      <c r="BB363" s="1683">
        <v>0.1992</v>
      </c>
    </row>
    <row r="364" spans="1:54">
      <c r="A364" s="326">
        <f t="shared" si="43"/>
        <v>44469</v>
      </c>
      <c r="B364" s="1678">
        <v>101.2</v>
      </c>
      <c r="C364" s="1679">
        <f t="shared" si="41"/>
        <v>1.012</v>
      </c>
      <c r="D364" s="1679">
        <f>PRODUCT(C$4:C364)</f>
        <v>3.80369844857548</v>
      </c>
      <c r="F364" s="1678">
        <v>100.28</v>
      </c>
      <c r="G364" s="1679">
        <f t="shared" si="44"/>
        <v>1.0028</v>
      </c>
      <c r="H364" s="1679">
        <f>PRODUCT(G$4:G364)</f>
        <v>1.07951178130039</v>
      </c>
      <c r="J364" s="1680">
        <v>0.13</v>
      </c>
      <c r="K364" s="1680">
        <v>0.09</v>
      </c>
      <c r="L364" s="1680">
        <v>0.06</v>
      </c>
      <c r="N364" s="1681">
        <v>0.0271</v>
      </c>
      <c r="O364" s="1681">
        <v>0.0288</v>
      </c>
      <c r="P364" s="1681">
        <v>0.0342</v>
      </c>
      <c r="Q364" s="1681"/>
      <c r="R364" s="1681"/>
      <c r="T364" s="1681"/>
      <c r="U364" s="1681"/>
      <c r="W364" s="1681">
        <f t="shared" si="39"/>
        <v>0</v>
      </c>
      <c r="X364" s="1681"/>
      <c r="Y364" s="1681">
        <f t="shared" si="40"/>
        <v>0</v>
      </c>
      <c r="Z364" s="1681"/>
      <c r="AB364" s="1682">
        <v>0.0385</v>
      </c>
      <c r="AC364" s="1682">
        <v>0.0465</v>
      </c>
      <c r="AE364" s="1683">
        <v>6.4854</v>
      </c>
      <c r="AF364" s="1683">
        <v>7.5247</v>
      </c>
      <c r="AG364" s="1683">
        <v>0.0579</v>
      </c>
      <c r="AH364" s="1683">
        <v>0.8331</v>
      </c>
      <c r="AI364" s="1683">
        <v>8.7103</v>
      </c>
      <c r="AJ364" s="1683">
        <v>4.6574</v>
      </c>
      <c r="AK364" s="1683">
        <v>4.4558</v>
      </c>
      <c r="AL364" s="1683">
        <v>4.7632</v>
      </c>
      <c r="AM364" s="1683">
        <v>6.9416</v>
      </c>
      <c r="AN364" s="1683">
        <v>5.0852</v>
      </c>
      <c r="AO364" s="1683">
        <v>1.5495</v>
      </c>
      <c r="AP364" s="1683">
        <v>0.0889</v>
      </c>
      <c r="AQ364" s="1683">
        <v>0.4271</v>
      </c>
      <c r="AR364" s="1683">
        <v>0.0055</v>
      </c>
      <c r="AS364" s="1683">
        <v>1.7658</v>
      </c>
      <c r="AT364" s="1683">
        <v>1.7291</v>
      </c>
      <c r="AU364" s="1683">
        <v>0.0209</v>
      </c>
      <c r="AV364" s="1683">
        <v>1.625</v>
      </c>
      <c r="AW364" s="1683">
        <v>1.0118</v>
      </c>
      <c r="AX364" s="1683">
        <v>0.7369</v>
      </c>
      <c r="AY364" s="1683">
        <v>0.7398</v>
      </c>
      <c r="AZ364" s="1683">
        <v>0.7268</v>
      </c>
      <c r="BA364" s="1683">
        <v>0.3162</v>
      </c>
      <c r="BB364" s="1683">
        <v>0.1911</v>
      </c>
    </row>
    <row r="365" spans="1:54">
      <c r="A365" s="326">
        <f t="shared" si="43"/>
        <v>44500</v>
      </c>
      <c r="B365" s="1678">
        <v>102.5</v>
      </c>
      <c r="C365" s="1679">
        <f t="shared" si="41"/>
        <v>1.025</v>
      </c>
      <c r="D365" s="1679">
        <f>PRODUCT(C$4:C365)</f>
        <v>3.89879090978987</v>
      </c>
      <c r="F365" s="1678">
        <v>102.04</v>
      </c>
      <c r="G365" s="1679">
        <f t="shared" si="44"/>
        <v>1.0204</v>
      </c>
      <c r="H365" s="1679">
        <f>PRODUCT(G$4:G365)</f>
        <v>1.10153382163891</v>
      </c>
      <c r="J365" s="1680">
        <v>0.13</v>
      </c>
      <c r="K365" s="1680">
        <v>0.09</v>
      </c>
      <c r="L365" s="1680">
        <v>0.06</v>
      </c>
      <c r="N365" s="1681">
        <v>0.0284</v>
      </c>
      <c r="O365" s="1681">
        <v>0.0297</v>
      </c>
      <c r="P365" s="1681">
        <v>0.035</v>
      </c>
      <c r="Q365" s="1681"/>
      <c r="R365" s="1681"/>
      <c r="T365" s="1681"/>
      <c r="U365" s="1681"/>
      <c r="W365" s="1681">
        <f t="shared" si="39"/>
        <v>0</v>
      </c>
      <c r="X365" s="1681"/>
      <c r="Y365" s="1681">
        <f t="shared" si="40"/>
        <v>0</v>
      </c>
      <c r="Z365" s="1681"/>
      <c r="AB365" s="1682">
        <v>0.0385</v>
      </c>
      <c r="AC365" s="1682">
        <v>0.0465</v>
      </c>
      <c r="AE365" s="1683">
        <v>6.3907</v>
      </c>
      <c r="AF365" s="1683">
        <v>7.4643</v>
      </c>
      <c r="AG365" s="1683">
        <v>0.0563</v>
      </c>
      <c r="AH365" s="1683">
        <v>0.8216</v>
      </c>
      <c r="AI365" s="1683">
        <v>8.8146</v>
      </c>
      <c r="AJ365" s="1683">
        <v>4.8117</v>
      </c>
      <c r="AK365" s="1683">
        <v>4.5937</v>
      </c>
      <c r="AL365" s="1683">
        <v>4.7528</v>
      </c>
      <c r="AM365" s="1683">
        <v>7.0098</v>
      </c>
      <c r="AN365" s="1683">
        <v>5.1743</v>
      </c>
      <c r="AO365" s="1683">
        <v>1.5413</v>
      </c>
      <c r="AP365" s="1683">
        <v>0.091</v>
      </c>
      <c r="AQ365" s="1683">
        <v>0.4221</v>
      </c>
      <c r="AR365" s="1683">
        <v>0.0055</v>
      </c>
      <c r="AS365" s="1683">
        <v>1.7396</v>
      </c>
      <c r="AT365" s="1683">
        <v>1.7033</v>
      </c>
      <c r="AU365" s="1683">
        <v>0.0207</v>
      </c>
      <c r="AV365" s="1683">
        <v>1.6148</v>
      </c>
      <c r="AW365" s="1683">
        <v>1.0037</v>
      </c>
      <c r="AX365" s="1683">
        <v>0.7505</v>
      </c>
      <c r="AY365" s="1683">
        <v>0.7669</v>
      </c>
      <c r="AZ365" s="1683">
        <v>0.6701</v>
      </c>
      <c r="BA365" s="1683">
        <v>0.3134</v>
      </c>
      <c r="BB365" s="1683">
        <v>0.1925</v>
      </c>
    </row>
    <row r="366" spans="1:54">
      <c r="A366" s="326">
        <f t="shared" si="43"/>
        <v>44530</v>
      </c>
      <c r="B366" s="1678">
        <v>100</v>
      </c>
      <c r="C366" s="1679">
        <f t="shared" si="41"/>
        <v>1</v>
      </c>
      <c r="D366" s="1679">
        <f>PRODUCT(C$4:C366)</f>
        <v>3.89879090978987</v>
      </c>
      <c r="F366" s="1678">
        <v>99.73</v>
      </c>
      <c r="G366" s="1679">
        <f t="shared" si="44"/>
        <v>0.9973</v>
      </c>
      <c r="H366" s="1679">
        <f>PRODUCT(G$4:G366)</f>
        <v>1.09855968032049</v>
      </c>
      <c r="J366" s="1680">
        <v>0.13</v>
      </c>
      <c r="K366" s="1680">
        <v>0.09</v>
      </c>
      <c r="L366" s="1680">
        <v>0.06</v>
      </c>
      <c r="N366" s="1681">
        <v>0.0269</v>
      </c>
      <c r="O366" s="1681">
        <v>0.0283</v>
      </c>
      <c r="P366" s="1681">
        <v>0.0337</v>
      </c>
      <c r="Q366" s="1681"/>
      <c r="R366" s="1681"/>
      <c r="T366" s="1681"/>
      <c r="U366" s="1681"/>
      <c r="W366" s="1681">
        <f t="shared" si="39"/>
        <v>0</v>
      </c>
      <c r="X366" s="1681"/>
      <c r="Y366" s="1681">
        <f t="shared" si="40"/>
        <v>0</v>
      </c>
      <c r="Z366" s="1681"/>
      <c r="AB366" s="1682">
        <v>0.0385</v>
      </c>
      <c r="AC366" s="1682">
        <v>0.0465</v>
      </c>
      <c r="AE366" s="1683">
        <v>6.3794</v>
      </c>
      <c r="AF366" s="1683">
        <v>7.2063</v>
      </c>
      <c r="AG366" s="1683">
        <v>0.056</v>
      </c>
      <c r="AH366" s="1683">
        <v>0.8179</v>
      </c>
      <c r="AI366" s="1683">
        <v>8.4941</v>
      </c>
      <c r="AJ366" s="1683">
        <v>4.5578</v>
      </c>
      <c r="AK366" s="1683">
        <v>4.3544</v>
      </c>
      <c r="AL366" s="1683">
        <v>4.6625</v>
      </c>
      <c r="AM366" s="1683">
        <v>6.9129</v>
      </c>
      <c r="AN366" s="1683">
        <v>5.008</v>
      </c>
      <c r="AO366" s="1683">
        <v>1.5053</v>
      </c>
      <c r="AP366" s="1683">
        <v>0.0857</v>
      </c>
      <c r="AQ366" s="1683">
        <v>0.3954</v>
      </c>
      <c r="AR366" s="1683">
        <v>0.0054</v>
      </c>
      <c r="AS366" s="1683">
        <v>1.7367</v>
      </c>
      <c r="AT366" s="1683">
        <v>1.7003</v>
      </c>
      <c r="AU366" s="1683">
        <v>0.0196</v>
      </c>
      <c r="AV366" s="1683">
        <v>1.5391</v>
      </c>
      <c r="AW366" s="1683">
        <v>0.969</v>
      </c>
      <c r="AX366" s="1683">
        <v>0.7041</v>
      </c>
      <c r="AY366" s="1683">
        <v>0.7079</v>
      </c>
      <c r="AZ366" s="1683">
        <v>0.4998</v>
      </c>
      <c r="BA366" s="1683">
        <v>0.2945</v>
      </c>
      <c r="BB366" s="1683">
        <v>0.1894</v>
      </c>
    </row>
    <row r="367" spans="1:54">
      <c r="A367" s="326">
        <f t="shared" si="43"/>
        <v>44561</v>
      </c>
      <c r="B367" s="1678">
        <f>100-1.2</f>
        <v>98.8</v>
      </c>
      <c r="C367" s="1679">
        <f t="shared" si="41"/>
        <v>0.988</v>
      </c>
      <c r="D367" s="1679">
        <f>PRODUCT(C$4:C367)</f>
        <v>3.85200541887239</v>
      </c>
      <c r="F367" s="1678">
        <v>97.91</v>
      </c>
      <c r="G367" s="1679">
        <f t="shared" si="44"/>
        <v>0.9791</v>
      </c>
      <c r="H367" s="1679">
        <f>PRODUCT(G$4:G367)</f>
        <v>1.07559978300179</v>
      </c>
      <c r="J367" s="1680">
        <v>0.13</v>
      </c>
      <c r="K367" s="1680">
        <v>0.09</v>
      </c>
      <c r="L367" s="1680">
        <v>0.06</v>
      </c>
      <c r="N367" s="1681">
        <v>0.0261</v>
      </c>
      <c r="O367" s="1681">
        <v>0.0278</v>
      </c>
      <c r="P367" s="1681">
        <v>0.0333</v>
      </c>
      <c r="Q367" s="1681"/>
      <c r="R367" s="1681"/>
      <c r="T367" s="1681"/>
      <c r="U367" s="1681"/>
      <c r="W367" s="1681">
        <f t="shared" si="39"/>
        <v>0</v>
      </c>
      <c r="X367" s="1681"/>
      <c r="Y367" s="1681">
        <f t="shared" si="40"/>
        <v>0</v>
      </c>
      <c r="Z367" s="1681"/>
      <c r="AB367" s="1682">
        <v>0.038</v>
      </c>
      <c r="AC367" s="1682">
        <v>0.0465</v>
      </c>
      <c r="AE367" s="1683">
        <v>6.3757</v>
      </c>
      <c r="AF367" s="1683">
        <v>7.2197</v>
      </c>
      <c r="AG367" s="1683">
        <v>0.0554</v>
      </c>
      <c r="AH367" s="1683">
        <v>0.8176</v>
      </c>
      <c r="AI367" s="1683">
        <v>8.6064</v>
      </c>
      <c r="AJ367" s="1683">
        <v>4.622</v>
      </c>
      <c r="AK367" s="1683">
        <v>4.3553</v>
      </c>
      <c r="AL367" s="1683">
        <v>4.7179</v>
      </c>
      <c r="AM367" s="1683">
        <v>6.9776</v>
      </c>
      <c r="AN367" s="1683">
        <v>5.0046</v>
      </c>
      <c r="AO367" s="1683">
        <v>1.5266</v>
      </c>
      <c r="AP367" s="1683">
        <v>0.0855</v>
      </c>
      <c r="AQ367" s="1683">
        <v>0.4004</v>
      </c>
      <c r="AR367" s="1683">
        <v>0.0054</v>
      </c>
      <c r="AS367" s="1683">
        <v>1.7361</v>
      </c>
      <c r="AT367" s="1683">
        <v>1.6983</v>
      </c>
      <c r="AU367" s="1683">
        <v>0.0196</v>
      </c>
      <c r="AV367" s="1683">
        <v>1.5717</v>
      </c>
      <c r="AW367" s="1683">
        <v>0.9711</v>
      </c>
      <c r="AX367" s="1683">
        <v>0.705</v>
      </c>
      <c r="AY367" s="1683">
        <v>0.7234</v>
      </c>
      <c r="AZ367" s="1683">
        <v>0.4822</v>
      </c>
      <c r="BA367" s="1683">
        <v>0.3116</v>
      </c>
      <c r="BB367" s="1683">
        <v>0.1912</v>
      </c>
    </row>
    <row r="368" spans="1:54">
      <c r="A368" s="326">
        <f t="shared" si="43"/>
        <v>44592</v>
      </c>
      <c r="B368" s="1678">
        <v>99.8</v>
      </c>
      <c r="C368" s="1679">
        <f t="shared" si="41"/>
        <v>0.998</v>
      </c>
      <c r="D368" s="1679">
        <f>PRODUCT(C$4:C368)</f>
        <v>3.84430140803465</v>
      </c>
      <c r="F368" s="1678">
        <v>98.98</v>
      </c>
      <c r="G368" s="1679">
        <f t="shared" si="44"/>
        <v>0.9898</v>
      </c>
      <c r="H368" s="1679">
        <f>PRODUCT(G$4:G368)</f>
        <v>1.06462866521517</v>
      </c>
      <c r="J368" s="1680">
        <v>0.13</v>
      </c>
      <c r="K368" s="1680">
        <v>0.09</v>
      </c>
      <c r="L368" s="1680">
        <v>0.06</v>
      </c>
      <c r="N368" s="1681">
        <v>0.0236</v>
      </c>
      <c r="O368" s="1681">
        <v>0.027</v>
      </c>
      <c r="P368" s="1681">
        <v>0.0327</v>
      </c>
      <c r="Q368" s="1681"/>
      <c r="R368" s="1681"/>
      <c r="T368" s="1681">
        <v>0.0273</v>
      </c>
      <c r="U368" s="1681">
        <v>0.0765036083776491</v>
      </c>
      <c r="W368" s="1681">
        <f t="shared" si="39"/>
        <v>0</v>
      </c>
      <c r="X368" s="1681"/>
      <c r="Y368" s="1681">
        <f t="shared" si="40"/>
        <v>0</v>
      </c>
      <c r="Z368" s="1681"/>
      <c r="AB368" s="1682">
        <v>0.037</v>
      </c>
      <c r="AC368" s="1682">
        <v>0.046</v>
      </c>
      <c r="AE368" s="1683">
        <v>6.3746</v>
      </c>
      <c r="AF368" s="1683">
        <v>7.103</v>
      </c>
      <c r="AG368" s="1683">
        <v>0.0552</v>
      </c>
      <c r="AH368" s="1683">
        <v>0.8182</v>
      </c>
      <c r="AI368" s="1683">
        <v>8.5328</v>
      </c>
      <c r="AJ368" s="1683">
        <v>4.4859</v>
      </c>
      <c r="AK368" s="1683">
        <v>4.1958</v>
      </c>
      <c r="AL368" s="1683">
        <v>4.7116</v>
      </c>
      <c r="AM368" s="1683">
        <v>6.8459</v>
      </c>
      <c r="AN368" s="1683">
        <v>5.005</v>
      </c>
      <c r="AO368" s="1683">
        <v>1.5193</v>
      </c>
      <c r="AP368" s="1683">
        <v>0.0817</v>
      </c>
      <c r="AQ368" s="1683">
        <v>0.4123</v>
      </c>
      <c r="AR368" s="1683">
        <v>0.0053</v>
      </c>
      <c r="AS368" s="1683">
        <v>1.7355</v>
      </c>
      <c r="AT368" s="1683">
        <v>1.699</v>
      </c>
      <c r="AU368" s="1683">
        <v>0.0199</v>
      </c>
      <c r="AV368" s="1683">
        <v>1.5583</v>
      </c>
      <c r="AW368" s="1683">
        <v>0.9545</v>
      </c>
      <c r="AX368" s="1683">
        <v>0.6789</v>
      </c>
      <c r="AY368" s="1683">
        <v>0.7127</v>
      </c>
      <c r="AZ368" s="1683">
        <v>0.4683</v>
      </c>
      <c r="BA368" s="1683">
        <v>0.3069</v>
      </c>
      <c r="BB368" s="1683">
        <v>0.1916</v>
      </c>
    </row>
    <row r="369" spans="1:54">
      <c r="A369" s="326">
        <f t="shared" si="43"/>
        <v>44620</v>
      </c>
      <c r="B369" s="1678">
        <v>100.5</v>
      </c>
      <c r="C369" s="1679">
        <f t="shared" si="41"/>
        <v>1.005</v>
      </c>
      <c r="D369" s="1679">
        <f>PRODUCT(C$4:C369)</f>
        <v>3.86352291507482</v>
      </c>
      <c r="F369" s="1678">
        <v>99.72</v>
      </c>
      <c r="G369" s="1679">
        <f t="shared" si="44"/>
        <v>0.9972</v>
      </c>
      <c r="H369" s="1679">
        <f>PRODUCT(G$4:G369)</f>
        <v>1.06164770495257</v>
      </c>
      <c r="J369" s="1680">
        <v>0.13</v>
      </c>
      <c r="K369" s="1680">
        <v>0.09</v>
      </c>
      <c r="L369" s="1680">
        <v>0.06</v>
      </c>
      <c r="N369" s="1681">
        <v>0.0251</v>
      </c>
      <c r="O369" s="1681">
        <v>0.0278</v>
      </c>
      <c r="P369" s="1681">
        <v>0.0335</v>
      </c>
      <c r="Q369" s="1681"/>
      <c r="R369" s="1681"/>
      <c r="T369" s="1681">
        <v>0.0279</v>
      </c>
      <c r="U369" s="1681">
        <v>0.0757728943109832</v>
      </c>
      <c r="W369" s="1681">
        <f t="shared" si="39"/>
        <v>0</v>
      </c>
      <c r="X369" s="1681"/>
      <c r="Y369" s="1681">
        <f t="shared" si="40"/>
        <v>0</v>
      </c>
      <c r="Z369" s="1681"/>
      <c r="AB369" s="1682">
        <v>0.037</v>
      </c>
      <c r="AC369" s="1682">
        <v>0.046</v>
      </c>
      <c r="AE369" s="1683">
        <v>6.3222</v>
      </c>
      <c r="AF369" s="1683">
        <v>7.0659</v>
      </c>
      <c r="AG369" s="1683">
        <v>0.0547</v>
      </c>
      <c r="AH369" s="1683">
        <v>0.8093</v>
      </c>
      <c r="AI369" s="1683">
        <v>8.4432</v>
      </c>
      <c r="AJ369" s="1683">
        <v>4.5397</v>
      </c>
      <c r="AK369" s="1683">
        <v>4.2284</v>
      </c>
      <c r="AL369" s="1683">
        <v>4.6503</v>
      </c>
      <c r="AM369" s="1683">
        <v>6.8201</v>
      </c>
      <c r="AN369" s="1683">
        <v>4.9554</v>
      </c>
      <c r="AO369" s="1683">
        <v>1.5051</v>
      </c>
      <c r="AP369" s="1683">
        <v>0.0753</v>
      </c>
      <c r="AQ369" s="1683">
        <v>0.4111</v>
      </c>
      <c r="AR369" s="1683">
        <v>0.0053</v>
      </c>
      <c r="AS369" s="1683">
        <v>1.7211</v>
      </c>
      <c r="AT369" s="1683">
        <v>1.685</v>
      </c>
      <c r="AU369" s="1683">
        <v>0.0193</v>
      </c>
      <c r="AV369" s="1683">
        <v>1.5034</v>
      </c>
      <c r="AW369" s="1683">
        <v>0.9492</v>
      </c>
      <c r="AX369" s="1683">
        <v>0.6604</v>
      </c>
      <c r="AY369" s="1683">
        <v>0.7053</v>
      </c>
      <c r="AZ369" s="1683">
        <v>0.4495</v>
      </c>
      <c r="BA369" s="1683">
        <v>0.3074</v>
      </c>
      <c r="BB369" s="1683">
        <v>0.1935</v>
      </c>
    </row>
    <row r="370" spans="1:54">
      <c r="A370" s="326">
        <f t="shared" si="43"/>
        <v>44651</v>
      </c>
      <c r="B370" s="1678">
        <v>101.1</v>
      </c>
      <c r="C370" s="1679">
        <f t="shared" si="41"/>
        <v>1.011</v>
      </c>
      <c r="D370" s="1679">
        <f>PRODUCT(C$4:C370)</f>
        <v>3.90602166714064</v>
      </c>
      <c r="F370" s="1678">
        <v>100</v>
      </c>
      <c r="G370" s="1679">
        <f t="shared" si="44"/>
        <v>1</v>
      </c>
      <c r="H370" s="1679">
        <f>PRODUCT(G$4:G370)</f>
        <v>1.06164770495257</v>
      </c>
      <c r="J370" s="1680">
        <v>0.13</v>
      </c>
      <c r="K370" s="1680">
        <v>0.09</v>
      </c>
      <c r="L370" s="1680">
        <v>0.06</v>
      </c>
      <c r="N370" s="1681">
        <v>0.0257</v>
      </c>
      <c r="O370" s="1681">
        <v>0.0279</v>
      </c>
      <c r="P370" s="1681">
        <v>0.0337</v>
      </c>
      <c r="Q370" s="1681"/>
      <c r="R370" s="1681"/>
      <c r="T370" s="1681">
        <v>0.0278</v>
      </c>
      <c r="U370" s="1681">
        <v>0.0756181443613355</v>
      </c>
      <c r="W370" s="1681">
        <f t="shared" si="39"/>
        <v>0</v>
      </c>
      <c r="X370" s="1681"/>
      <c r="Y370" s="1681">
        <f t="shared" si="40"/>
        <v>0</v>
      </c>
      <c r="Z370" s="1681"/>
      <c r="AB370" s="1682">
        <v>0.037</v>
      </c>
      <c r="AC370" s="1682">
        <v>0.046</v>
      </c>
      <c r="AE370" s="1683">
        <v>6.3482</v>
      </c>
      <c r="AF370" s="1683">
        <v>7.0847</v>
      </c>
      <c r="AG370" s="1683">
        <v>0.052</v>
      </c>
      <c r="AH370" s="1683">
        <v>0.811</v>
      </c>
      <c r="AI370" s="1683">
        <v>8.3378</v>
      </c>
      <c r="AJ370" s="1683">
        <v>4.7646</v>
      </c>
      <c r="AK370" s="1683">
        <v>4.426</v>
      </c>
      <c r="AL370" s="1683">
        <v>4.6932</v>
      </c>
      <c r="AM370" s="1683">
        <v>6.8741</v>
      </c>
      <c r="AN370" s="1683">
        <v>5.0849</v>
      </c>
      <c r="AO370" s="1683">
        <v>1.5103</v>
      </c>
      <c r="AP370" s="1683">
        <v>0.0761</v>
      </c>
      <c r="AQ370" s="1683">
        <v>0.4382</v>
      </c>
      <c r="AR370" s="1683">
        <v>0.0052</v>
      </c>
      <c r="AS370" s="1683">
        <v>1.7283</v>
      </c>
      <c r="AT370" s="1683">
        <v>1.6921</v>
      </c>
      <c r="AU370" s="1683">
        <v>0.0193</v>
      </c>
      <c r="AV370" s="1683">
        <v>1.5265</v>
      </c>
      <c r="AW370" s="1683">
        <v>0.9526</v>
      </c>
      <c r="AX370" s="1683">
        <v>0.6861</v>
      </c>
      <c r="AY370" s="1683">
        <v>0.7405</v>
      </c>
      <c r="AZ370" s="1683">
        <v>0.4329</v>
      </c>
      <c r="BA370" s="1683">
        <v>0.3193</v>
      </c>
      <c r="BB370" s="1683">
        <v>0.1906</v>
      </c>
    </row>
    <row r="371" spans="1:54">
      <c r="A371" s="326">
        <f t="shared" si="43"/>
        <v>44681</v>
      </c>
      <c r="B371" s="1678">
        <v>100.6</v>
      </c>
      <c r="C371" s="1679">
        <f t="shared" si="41"/>
        <v>1.006</v>
      </c>
      <c r="D371" s="1679">
        <f>PRODUCT(C$4:C371)</f>
        <v>3.92945779714348</v>
      </c>
      <c r="F371" s="1678">
        <v>100.19</v>
      </c>
      <c r="G371" s="1679">
        <f t="shared" si="44"/>
        <v>1.0019</v>
      </c>
      <c r="H371" s="1679">
        <f>PRODUCT(G$4:G371)</f>
        <v>1.06366483559198</v>
      </c>
      <c r="J371" s="1680">
        <v>0.13</v>
      </c>
      <c r="K371" s="1680">
        <v>0.09</v>
      </c>
      <c r="L371" s="1680">
        <v>0.06</v>
      </c>
      <c r="N371" s="1681">
        <v>0.0261</v>
      </c>
      <c r="O371" s="1681">
        <v>0.0284</v>
      </c>
      <c r="P371" s="1681">
        <v>0.0331</v>
      </c>
      <c r="Q371" s="1681"/>
      <c r="R371" s="1681"/>
      <c r="T371" s="1681">
        <v>0.0284</v>
      </c>
      <c r="U371" s="1681">
        <v>0.074624915478788</v>
      </c>
      <c r="W371" s="1681">
        <f t="shared" si="39"/>
        <v>0</v>
      </c>
      <c r="X371" s="1681"/>
      <c r="Y371" s="1681">
        <f t="shared" si="40"/>
        <v>0</v>
      </c>
      <c r="Z371" s="1681"/>
      <c r="AB371" s="1682">
        <v>0.037</v>
      </c>
      <c r="AC371" s="1682">
        <v>0.046</v>
      </c>
      <c r="AE371" s="1683">
        <v>6.6177</v>
      </c>
      <c r="AF371" s="1683">
        <v>6.9531</v>
      </c>
      <c r="AG371" s="1683">
        <v>0.0506</v>
      </c>
      <c r="AH371" s="1683">
        <v>0.8434</v>
      </c>
      <c r="AI371" s="1683">
        <v>8.2535</v>
      </c>
      <c r="AJ371" s="1683">
        <v>4.7065</v>
      </c>
      <c r="AK371" s="1683">
        <v>4.3001</v>
      </c>
      <c r="AL371" s="1683">
        <v>4.7767</v>
      </c>
      <c r="AM371" s="1683">
        <v>6.8139</v>
      </c>
      <c r="AN371" s="1683">
        <v>5.1707</v>
      </c>
      <c r="AO371" s="1683">
        <v>1.5178</v>
      </c>
      <c r="AP371" s="1683">
        <v>0.091</v>
      </c>
      <c r="AQ371" s="1683">
        <v>0.4142</v>
      </c>
      <c r="AR371" s="1683">
        <v>0.0052</v>
      </c>
      <c r="AS371" s="1683">
        <v>1.8028</v>
      </c>
      <c r="AT371" s="1683">
        <v>1.7653</v>
      </c>
      <c r="AU371" s="1683">
        <v>0.0184</v>
      </c>
      <c r="AV371" s="1683">
        <v>1.4829</v>
      </c>
      <c r="AW371" s="1683">
        <v>0.9344</v>
      </c>
      <c r="AX371" s="1683">
        <v>0.6701</v>
      </c>
      <c r="AY371" s="1683">
        <v>0.7033</v>
      </c>
      <c r="AZ371" s="1683">
        <v>0.4473</v>
      </c>
      <c r="BA371" s="1683">
        <v>0.3239</v>
      </c>
      <c r="BB371" s="1683">
        <v>0.1924</v>
      </c>
    </row>
    <row r="372" spans="1:54">
      <c r="A372" s="326">
        <f t="shared" si="43"/>
        <v>44712</v>
      </c>
      <c r="B372" s="1678">
        <v>100.1</v>
      </c>
      <c r="C372" s="1679">
        <f t="shared" si="41"/>
        <v>1.001</v>
      </c>
      <c r="D372" s="1679">
        <f>PRODUCT(C$4:C372)</f>
        <v>3.93338725494063</v>
      </c>
      <c r="F372" s="1678">
        <v>98.87</v>
      </c>
      <c r="G372" s="1679">
        <f t="shared" si="44"/>
        <v>0.9887</v>
      </c>
      <c r="H372" s="1679">
        <f>PRODUCT(G$4:G372)</f>
        <v>1.05164542294979</v>
      </c>
      <c r="J372" s="1680">
        <v>0.13</v>
      </c>
      <c r="K372" s="1680">
        <v>0.09</v>
      </c>
      <c r="L372" s="1680">
        <v>0.06</v>
      </c>
      <c r="N372" s="1681">
        <v>0.0255</v>
      </c>
      <c r="O372" s="1681">
        <v>0.0274</v>
      </c>
      <c r="P372" s="1681">
        <v>0.0326</v>
      </c>
      <c r="Q372" s="1681"/>
      <c r="R372" s="1681"/>
      <c r="T372" s="1681">
        <v>0.0274</v>
      </c>
      <c r="U372" s="1681">
        <v>0.0753009503488155</v>
      </c>
      <c r="W372" s="1681">
        <f t="shared" si="39"/>
        <v>0</v>
      </c>
      <c r="X372" s="1681"/>
      <c r="Y372" s="1681">
        <f t="shared" si="40"/>
        <v>0</v>
      </c>
      <c r="Z372" s="1681"/>
      <c r="AB372" s="1682">
        <v>0.037</v>
      </c>
      <c r="AC372" s="1682">
        <v>0.0445</v>
      </c>
      <c r="AE372" s="1683">
        <v>6.6607</v>
      </c>
      <c r="AF372" s="1683">
        <v>7.1747</v>
      </c>
      <c r="AG372" s="1683">
        <v>0.0521</v>
      </c>
      <c r="AH372" s="1683">
        <v>0.8487</v>
      </c>
      <c r="AI372" s="1683">
        <v>8.4202</v>
      </c>
      <c r="AJ372" s="1683">
        <v>4.788</v>
      </c>
      <c r="AK372" s="1683">
        <v>4.3631</v>
      </c>
      <c r="AL372" s="1683">
        <v>4.8721</v>
      </c>
      <c r="AM372" s="1683">
        <v>6.9487</v>
      </c>
      <c r="AN372" s="1683">
        <v>5.2618</v>
      </c>
      <c r="AO372" s="1683">
        <v>1.5256</v>
      </c>
      <c r="AP372" s="1683">
        <v>0.1045</v>
      </c>
      <c r="AQ372" s="1683">
        <v>0.4301</v>
      </c>
      <c r="AR372" s="1683">
        <v>0.0054</v>
      </c>
      <c r="AS372" s="1683">
        <v>1.8139</v>
      </c>
      <c r="AT372" s="1683">
        <v>1.7761</v>
      </c>
      <c r="AU372" s="1683">
        <v>0.0182</v>
      </c>
      <c r="AV372" s="1683">
        <v>1.5649</v>
      </c>
      <c r="AW372" s="1683">
        <v>0.9644</v>
      </c>
      <c r="AX372" s="1683">
        <v>0.6828</v>
      </c>
      <c r="AY372" s="1683">
        <v>0.7079</v>
      </c>
      <c r="AZ372" s="1683">
        <v>0.4065</v>
      </c>
      <c r="BA372" s="1683">
        <v>0.3407</v>
      </c>
      <c r="BB372" s="1683">
        <v>0.1953</v>
      </c>
    </row>
    <row r="373" spans="1:54">
      <c r="A373" s="326">
        <f t="shared" si="43"/>
        <v>44742</v>
      </c>
      <c r="B373" s="1678">
        <v>100</v>
      </c>
      <c r="C373" s="1679">
        <f t="shared" si="41"/>
        <v>1</v>
      </c>
      <c r="D373" s="1679">
        <f>PRODUCT(C$4:C373)</f>
        <v>3.93338725494063</v>
      </c>
      <c r="F373" s="1678">
        <v>100.1</v>
      </c>
      <c r="G373" s="1679">
        <f t="shared" si="44"/>
        <v>1.001</v>
      </c>
      <c r="H373" s="1679">
        <f>PRODUCT(G$4:G373)</f>
        <v>1.05269706837274</v>
      </c>
      <c r="J373" s="1680">
        <v>0.13</v>
      </c>
      <c r="K373" s="1680">
        <v>0.09</v>
      </c>
      <c r="L373" s="1680">
        <v>0.06</v>
      </c>
      <c r="N373" s="1681">
        <v>0.0265</v>
      </c>
      <c r="O373" s="1681">
        <v>0.0282</v>
      </c>
      <c r="P373" s="1681">
        <v>0.0329</v>
      </c>
      <c r="Q373" s="1681"/>
      <c r="R373" s="1681"/>
      <c r="T373" s="1681">
        <v>0.0282</v>
      </c>
      <c r="U373" s="1681">
        <v>0.0743048444146002</v>
      </c>
      <c r="W373" s="1681">
        <f t="shared" si="39"/>
        <v>0</v>
      </c>
      <c r="X373" s="1681"/>
      <c r="Y373" s="1681">
        <f t="shared" si="40"/>
        <v>0</v>
      </c>
      <c r="Z373" s="1681"/>
      <c r="AB373" s="1682">
        <v>0.037</v>
      </c>
      <c r="AC373" s="1682">
        <v>0.0445</v>
      </c>
      <c r="AE373" s="1683">
        <v>6.7114</v>
      </c>
      <c r="AF373" s="1683">
        <v>7.0084</v>
      </c>
      <c r="AG373" s="1683">
        <v>0.0491</v>
      </c>
      <c r="AH373" s="1683">
        <v>0.8552</v>
      </c>
      <c r="AI373" s="1683">
        <v>8.1365</v>
      </c>
      <c r="AJ373" s="1683">
        <v>4.6145</v>
      </c>
      <c r="AK373" s="1683">
        <v>4.1771</v>
      </c>
      <c r="AL373" s="1683">
        <v>4.817</v>
      </c>
      <c r="AM373" s="1683">
        <v>7.0299</v>
      </c>
      <c r="AN373" s="1683">
        <v>5.2058</v>
      </c>
      <c r="AO373" s="1683">
        <v>1.525</v>
      </c>
      <c r="AP373" s="1683">
        <v>0.1285</v>
      </c>
      <c r="AQ373" s="1683">
        <v>0.4133</v>
      </c>
      <c r="AR373" s="1683">
        <v>0.0052</v>
      </c>
      <c r="AS373" s="1683">
        <v>1.8274</v>
      </c>
      <c r="AT373" s="1683">
        <v>1.7889</v>
      </c>
      <c r="AU373" s="1683">
        <v>0.0178</v>
      </c>
      <c r="AV373" s="1683">
        <v>1.5016</v>
      </c>
      <c r="AW373" s="1683">
        <v>0.9422</v>
      </c>
      <c r="AX373" s="1683">
        <v>0.6555</v>
      </c>
      <c r="AY373" s="1683">
        <v>0.6786</v>
      </c>
      <c r="AZ373" s="1683">
        <v>0.4037</v>
      </c>
      <c r="BA373" s="1683">
        <v>0.3332</v>
      </c>
      <c r="BB373" s="1683">
        <v>0.1906</v>
      </c>
    </row>
    <row r="374" spans="1:54">
      <c r="A374" s="326">
        <f t="shared" si="43"/>
        <v>44773</v>
      </c>
      <c r="B374" s="1678">
        <v>98.7</v>
      </c>
      <c r="C374" s="1679">
        <f t="shared" si="41"/>
        <v>0.987</v>
      </c>
      <c r="D374" s="1679">
        <f>PRODUCT(C$4:C374)</f>
        <v>3.8822532206264</v>
      </c>
      <c r="F374" s="1678">
        <v>98</v>
      </c>
      <c r="G374" s="1679">
        <f t="shared" si="44"/>
        <v>0.98</v>
      </c>
      <c r="H374" s="1679">
        <f>PRODUCT(G$4:G374)</f>
        <v>1.03164312700528</v>
      </c>
      <c r="J374" s="1680">
        <v>0.13</v>
      </c>
      <c r="K374" s="1680">
        <v>0.09</v>
      </c>
      <c r="L374" s="1680">
        <v>0.06</v>
      </c>
      <c r="N374" s="1681">
        <v>0.0251</v>
      </c>
      <c r="O374" s="1681">
        <v>0.0276</v>
      </c>
      <c r="P374" s="1681">
        <v>0.0324</v>
      </c>
      <c r="Q374" s="1681"/>
      <c r="R374" s="1681"/>
      <c r="T374" s="1681">
        <v>0.0276</v>
      </c>
      <c r="U374" s="1681">
        <v>0.0747</v>
      </c>
      <c r="W374" s="1681">
        <f t="shared" si="39"/>
        <v>0</v>
      </c>
      <c r="X374" s="1681"/>
      <c r="Y374" s="1681">
        <f t="shared" si="40"/>
        <v>0</v>
      </c>
      <c r="Z374" s="1681"/>
      <c r="AB374" s="1682">
        <v>0.037</v>
      </c>
      <c r="AC374" s="1682">
        <v>0.0445</v>
      </c>
      <c r="AE374" s="1683">
        <v>6.7437</v>
      </c>
      <c r="AF374" s="1683">
        <v>6.8739</v>
      </c>
      <c r="AG374" s="1683">
        <v>0.0502</v>
      </c>
      <c r="AH374" s="1683">
        <v>0.8591</v>
      </c>
      <c r="AI374" s="1683">
        <v>8.2083</v>
      </c>
      <c r="AJ374" s="1683">
        <v>4.7196</v>
      </c>
      <c r="AK374" s="1683">
        <v>4.2455</v>
      </c>
      <c r="AL374" s="1683">
        <v>4.8883</v>
      </c>
      <c r="AM374" s="1683">
        <v>7.0637</v>
      </c>
      <c r="AN374" s="1683">
        <v>5.2662</v>
      </c>
      <c r="AO374" s="1683">
        <v>1.5152</v>
      </c>
      <c r="AP374" s="1683">
        <v>0.1082</v>
      </c>
      <c r="AQ374" s="1683">
        <v>0.408</v>
      </c>
      <c r="AR374" s="1683">
        <v>0.0052</v>
      </c>
      <c r="AS374" s="1683">
        <v>1.8362</v>
      </c>
      <c r="AT374" s="1683">
        <v>1.7957</v>
      </c>
      <c r="AU374" s="1683">
        <v>0.017</v>
      </c>
      <c r="AV374" s="1683">
        <v>1.4439</v>
      </c>
      <c r="AW374" s="1683">
        <v>0.9236</v>
      </c>
      <c r="AX374" s="1683">
        <v>0.6605</v>
      </c>
      <c r="AY374" s="1683">
        <v>0.6929</v>
      </c>
      <c r="AZ374" s="1683">
        <v>0.3757</v>
      </c>
      <c r="BA374" s="1683">
        <v>0.3324</v>
      </c>
      <c r="BB374" s="1683">
        <v>0.1848</v>
      </c>
    </row>
    <row r="375" spans="1:54">
      <c r="A375" s="326">
        <f t="shared" si="43"/>
        <v>44804</v>
      </c>
      <c r="B375" s="1678">
        <f>100-1.2</f>
        <v>98.8</v>
      </c>
      <c r="C375" s="1679">
        <f t="shared" ref="C375" si="45">IF(B375="",1,B375/100)</f>
        <v>0.988</v>
      </c>
      <c r="D375" s="1679">
        <f>PRODUCT(C$4:C375)</f>
        <v>3.83566618197888</v>
      </c>
      <c r="F375" s="1678">
        <f>100-0.78</f>
        <v>99.22</v>
      </c>
      <c r="G375" s="1679">
        <f t="shared" si="44"/>
        <v>0.9922</v>
      </c>
      <c r="H375" s="1679">
        <f>PRODUCT(G$4:G375)</f>
        <v>1.02359631061464</v>
      </c>
      <c r="J375" s="1680">
        <v>0.13</v>
      </c>
      <c r="K375" s="1680">
        <v>0.09</v>
      </c>
      <c r="L375" s="1680">
        <v>0.06</v>
      </c>
      <c r="N375" s="1681">
        <v>0.0241</v>
      </c>
      <c r="O375" s="1681">
        <v>0.0262</v>
      </c>
      <c r="P375" s="1681">
        <v>0.0312</v>
      </c>
      <c r="Q375" s="1681"/>
      <c r="R375" s="1681"/>
      <c r="T375" s="1681">
        <v>0.0262</v>
      </c>
      <c r="U375" s="1681">
        <v>0.0757</v>
      </c>
      <c r="W375" s="1681">
        <f t="shared" ref="W375" si="46">Q375</f>
        <v>0</v>
      </c>
      <c r="X375" s="1681"/>
      <c r="Y375" s="1681">
        <f t="shared" ref="Y375" si="47">R375</f>
        <v>0</v>
      </c>
      <c r="Z375" s="1681"/>
      <c r="AB375" s="1682">
        <v>0.0365</v>
      </c>
      <c r="AC375" s="1682">
        <v>0.043</v>
      </c>
      <c r="AE375" s="1683">
        <v>6.8906</v>
      </c>
      <c r="AF375" s="1683">
        <v>6.9224</v>
      </c>
      <c r="AG375" s="1683">
        <v>0.0498</v>
      </c>
      <c r="AH375" s="1683">
        <v>0.8779</v>
      </c>
      <c r="AI375" s="1683">
        <v>8.0557</v>
      </c>
      <c r="AJ375" s="1683">
        <v>4.7382</v>
      </c>
      <c r="AK375" s="1683">
        <v>4.2386</v>
      </c>
      <c r="AL375" s="1683">
        <v>4.9415</v>
      </c>
      <c r="AM375" s="1683">
        <v>7.094</v>
      </c>
      <c r="AN375" s="1683">
        <v>5.2788</v>
      </c>
      <c r="AO375" s="1683">
        <v>1.5442</v>
      </c>
      <c r="AP375" s="1683">
        <v>0.1144</v>
      </c>
      <c r="AQ375" s="1683">
        <v>0.4072</v>
      </c>
      <c r="AR375" s="1683">
        <v>0.0051</v>
      </c>
      <c r="AS375" s="1683">
        <v>1.8814</v>
      </c>
      <c r="AT375" s="1683">
        <v>1.8399</v>
      </c>
      <c r="AU375" s="1683">
        <v>0.0172</v>
      </c>
      <c r="AV375" s="1683">
        <v>1.4662</v>
      </c>
      <c r="AW375" s="1683">
        <v>0.9311</v>
      </c>
      <c r="AX375" s="1683">
        <v>0.6471</v>
      </c>
      <c r="AY375" s="1683">
        <v>0.7042</v>
      </c>
      <c r="AZ375" s="1683">
        <v>0.38</v>
      </c>
      <c r="BA375" s="1683">
        <v>0.3431</v>
      </c>
      <c r="BB375" s="1683">
        <v>0.1896</v>
      </c>
    </row>
    <row r="376" spans="1:54">
      <c r="A376" s="326">
        <f t="shared" si="43"/>
        <v>44834</v>
      </c>
      <c r="B376" s="1678">
        <f>100-0.1</f>
        <v>99.9</v>
      </c>
      <c r="C376" s="1679">
        <f t="shared" ref="C376:C439" si="48">IF(B376="",1,B376/100)</f>
        <v>0.999</v>
      </c>
      <c r="D376" s="1679">
        <f>PRODUCT(C$5:C376)</f>
        <v>3.83183051579687</v>
      </c>
      <c r="F376" s="1678">
        <f>100-0.59</f>
        <v>99.41</v>
      </c>
      <c r="G376" s="1679">
        <f t="shared" ref="G376" si="49">IF(F376="",1,F376/100)</f>
        <v>0.9941</v>
      </c>
      <c r="H376" s="1679">
        <f>PRODUCT(G$4:G376)</f>
        <v>1.01755709238202</v>
      </c>
      <c r="J376" s="1680">
        <v>0.13</v>
      </c>
      <c r="K376" s="1680">
        <v>0.09</v>
      </c>
      <c r="L376" s="1680">
        <v>0.06</v>
      </c>
      <c r="N376" s="1681">
        <v>0.0258</v>
      </c>
      <c r="O376" s="1681">
        <f>T376</f>
        <v>0.0276</v>
      </c>
      <c r="P376" s="1681">
        <v>0.0318</v>
      </c>
      <c r="Q376" s="1681"/>
      <c r="R376" s="1681"/>
      <c r="T376" s="1681">
        <v>0.0276</v>
      </c>
      <c r="U376" s="1681">
        <v>0.0739</v>
      </c>
      <c r="W376" s="1681">
        <f t="shared" ref="W376:W439" si="50">Q376</f>
        <v>0</v>
      </c>
      <c r="X376" s="1681"/>
      <c r="Y376" s="1681">
        <f t="shared" ref="Y376:Y439" si="51">R376</f>
        <v>0</v>
      </c>
      <c r="Z376" s="1681"/>
      <c r="AB376" s="1682">
        <v>0.0365</v>
      </c>
      <c r="AC376" s="1682">
        <v>0.043</v>
      </c>
      <c r="AE376" s="1683">
        <v>7.0998</v>
      </c>
      <c r="AF376" s="1683">
        <v>6.9892</v>
      </c>
      <c r="AG376" s="1683">
        <v>0.0493</v>
      </c>
      <c r="AH376" s="1683">
        <v>0.9044</v>
      </c>
      <c r="AI376" s="1683">
        <v>7.9481</v>
      </c>
      <c r="AJ376" s="1683">
        <v>4.6296</v>
      </c>
      <c r="AK376" s="1683">
        <v>4.0841</v>
      </c>
      <c r="AL376" s="1683">
        <v>4.9717</v>
      </c>
      <c r="AM376" s="1683">
        <v>7.3014</v>
      </c>
      <c r="AN376" s="1683">
        <v>5.2084</v>
      </c>
      <c r="AO376" s="1683">
        <v>1.533</v>
      </c>
      <c r="AP376" s="1683">
        <v>0.1237</v>
      </c>
      <c r="AQ376" s="1683">
        <v>0.3954</v>
      </c>
      <c r="AR376" s="1683">
        <v>0.005</v>
      </c>
      <c r="AS376" s="1683">
        <v>1.9375</v>
      </c>
      <c r="AT376" s="1683">
        <v>1.894</v>
      </c>
      <c r="AU376" s="1683">
        <v>0.0166</v>
      </c>
      <c r="AV376" s="1683">
        <v>1.4394</v>
      </c>
      <c r="AW376" s="1683">
        <v>0.939</v>
      </c>
      <c r="AX376" s="1683">
        <v>0.638</v>
      </c>
      <c r="AY376" s="1683">
        <v>0.6652</v>
      </c>
      <c r="AZ376" s="1683">
        <v>0.3848</v>
      </c>
      <c r="BA376" s="1683">
        <v>0.353</v>
      </c>
      <c r="BB376" s="1683">
        <v>0.1877</v>
      </c>
    </row>
    <row r="377" spans="1:54">
      <c r="A377" s="326">
        <f t="shared" si="43"/>
        <v>44865</v>
      </c>
      <c r="B377" s="1678">
        <v>100.2</v>
      </c>
      <c r="C377" s="1679">
        <f t="shared" si="48"/>
        <v>1.002</v>
      </c>
      <c r="D377" s="1679">
        <f>PRODUCT(C$5:C377)</f>
        <v>3.83949417682846</v>
      </c>
      <c r="F377" s="1678">
        <f>100-1.57</f>
        <v>98.43</v>
      </c>
      <c r="G377" s="1679">
        <f t="shared" ref="G377:G380" si="52">IF(F377="",1,F377/100)</f>
        <v>0.9843</v>
      </c>
      <c r="H377" s="1679">
        <f>PRODUCT(G$4:G377)</f>
        <v>1.00158144603162</v>
      </c>
      <c r="J377" s="1680">
        <v>0.13</v>
      </c>
      <c r="K377" s="1680">
        <v>0.09</v>
      </c>
      <c r="L377" s="1680">
        <v>0.06</v>
      </c>
      <c r="N377" s="1681">
        <v>0.0243</v>
      </c>
      <c r="O377" s="1681">
        <v>0.0264</v>
      </c>
      <c r="P377" s="1681">
        <v>0.0307</v>
      </c>
      <c r="Q377" s="1681"/>
      <c r="R377" s="1681"/>
      <c r="T377" s="1681">
        <v>0.0264</v>
      </c>
      <c r="U377" s="1681">
        <v>0.0747</v>
      </c>
      <c r="W377" s="1681">
        <f t="shared" si="50"/>
        <v>0</v>
      </c>
      <c r="X377" s="1681"/>
      <c r="Y377" s="1681">
        <f t="shared" si="51"/>
        <v>0</v>
      </c>
      <c r="Z377" s="1681"/>
      <c r="AB377" s="1682">
        <v>0.0365</v>
      </c>
      <c r="AC377" s="1682">
        <v>0.043</v>
      </c>
      <c r="AE377" s="1683">
        <v>7.1768</v>
      </c>
      <c r="AF377" s="1683">
        <v>7.1703</v>
      </c>
      <c r="AG377" s="1683">
        <v>0.0488</v>
      </c>
      <c r="AH377" s="1683">
        <v>0.9143</v>
      </c>
      <c r="AI377" s="1683">
        <v>8.3571</v>
      </c>
      <c r="AJ377" s="1683">
        <v>4.6147</v>
      </c>
      <c r="AK377" s="1683">
        <v>4.1841</v>
      </c>
      <c r="AL377" s="1683">
        <v>5.1022</v>
      </c>
      <c r="AM377" s="1683">
        <v>7.2327</v>
      </c>
      <c r="AN377" s="1683">
        <v>5.2975</v>
      </c>
      <c r="AO377" s="1683">
        <v>1.5218</v>
      </c>
      <c r="AP377" s="1683">
        <v>0.1179</v>
      </c>
      <c r="AQ377" s="1683">
        <v>0.3969</v>
      </c>
      <c r="AR377" s="1683">
        <v>0.0051</v>
      </c>
      <c r="AS377" s="1683">
        <v>1.96</v>
      </c>
      <c r="AT377" s="1683">
        <v>1.9158</v>
      </c>
      <c r="AU377" s="1683">
        <v>0.0174</v>
      </c>
      <c r="AV377" s="1683">
        <v>1.5167</v>
      </c>
      <c r="AW377" s="1683">
        <v>0.9618</v>
      </c>
      <c r="AX377" s="1683">
        <v>0.6567</v>
      </c>
      <c r="AY377" s="1683">
        <v>0.6969</v>
      </c>
      <c r="AZ377" s="1683">
        <v>0.3874</v>
      </c>
      <c r="BA377" s="1683">
        <v>0.3626</v>
      </c>
      <c r="BB377" s="1683">
        <v>0.1903</v>
      </c>
    </row>
    <row r="378" spans="1:54">
      <c r="A378" s="326">
        <f t="shared" si="43"/>
        <v>44895</v>
      </c>
      <c r="B378" s="1678">
        <v>100.1</v>
      </c>
      <c r="C378" s="1679">
        <f t="shared" si="48"/>
        <v>1.001</v>
      </c>
      <c r="D378" s="1679">
        <f>PRODUCT(C$5:C378)</f>
        <v>3.84333367100529</v>
      </c>
      <c r="F378" s="1678"/>
      <c r="G378" s="1679">
        <f t="shared" si="52"/>
        <v>1</v>
      </c>
      <c r="H378" s="1679">
        <f>PRODUCT(G$4:G378)</f>
        <v>1.00158144603162</v>
      </c>
      <c r="J378" s="1680">
        <v>0.13</v>
      </c>
      <c r="K378" s="1680">
        <v>0.09</v>
      </c>
      <c r="L378" s="1680">
        <v>0.06</v>
      </c>
      <c r="N378" s="1681">
        <v>0.0269</v>
      </c>
      <c r="O378" s="1681">
        <v>0.0289</v>
      </c>
      <c r="P378" s="1681">
        <v>0.0328</v>
      </c>
      <c r="Q378" s="1681"/>
      <c r="R378" s="1681"/>
      <c r="T378" s="1681">
        <v>0.0289</v>
      </c>
      <c r="U378" s="1681">
        <v>0.0718</v>
      </c>
      <c r="W378" s="1681">
        <f t="shared" si="50"/>
        <v>0</v>
      </c>
      <c r="X378" s="1681"/>
      <c r="Y378" s="1681">
        <f t="shared" si="51"/>
        <v>0</v>
      </c>
      <c r="Z378" s="1681"/>
      <c r="AB378" s="1682">
        <v>0.0365</v>
      </c>
      <c r="AC378" s="1682">
        <v>0.043</v>
      </c>
      <c r="AE378" s="1683">
        <v>7.1769</v>
      </c>
      <c r="AF378" s="1683">
        <v>7.4129</v>
      </c>
      <c r="AG378" s="1683">
        <v>0.0517</v>
      </c>
      <c r="AH378" s="1683">
        <v>0.9187</v>
      </c>
      <c r="AI378" s="1683">
        <v>8.5748</v>
      </c>
      <c r="AJ378" s="1683">
        <v>4.7908</v>
      </c>
      <c r="AK378" s="1683">
        <v>4.4448</v>
      </c>
      <c r="AL378" s="1683">
        <v>5.2159</v>
      </c>
      <c r="AM378" s="1683">
        <v>7.5197</v>
      </c>
      <c r="AN378" s="1683">
        <v>5.2805</v>
      </c>
      <c r="AO378" s="1683">
        <v>1.5901</v>
      </c>
      <c r="AP378" s="1683">
        <v>0.1177</v>
      </c>
      <c r="AQ378" s="1683">
        <v>0.4221</v>
      </c>
      <c r="AR378" s="1683">
        <v>0.0054</v>
      </c>
      <c r="AS378" s="1683">
        <v>1.9539</v>
      </c>
      <c r="AT378" s="1683">
        <v>1.9095</v>
      </c>
      <c r="AU378" s="1683">
        <v>0.0182</v>
      </c>
      <c r="AV378" s="1683">
        <v>1.5835</v>
      </c>
      <c r="AW378" s="1683">
        <v>0.9962</v>
      </c>
      <c r="AX378" s="1683">
        <v>0.6773</v>
      </c>
      <c r="AY378" s="1683">
        <v>0.7166</v>
      </c>
      <c r="AZ378" s="1683">
        <v>0.3847</v>
      </c>
      <c r="BA378" s="1683">
        <v>0.3731</v>
      </c>
      <c r="BB378" s="1683">
        <v>0.2025</v>
      </c>
    </row>
    <row r="379" spans="1:54">
      <c r="A379" s="326">
        <f t="shared" si="43"/>
        <v>44926</v>
      </c>
      <c r="B379" s="1678">
        <v>99.5</v>
      </c>
      <c r="C379" s="1679">
        <f t="shared" si="48"/>
        <v>0.995</v>
      </c>
      <c r="D379" s="1679">
        <f>PRODUCT(C$5:C379)</f>
        <v>3.82411700265026</v>
      </c>
      <c r="G379" s="1679">
        <f t="shared" si="52"/>
        <v>1</v>
      </c>
      <c r="H379" s="1679">
        <f>PRODUCT(G$4:G379)</f>
        <v>1.00158144603162</v>
      </c>
      <c r="J379" s="1680">
        <v>0.13</v>
      </c>
      <c r="K379" s="1680">
        <v>0.09</v>
      </c>
      <c r="L379" s="1680">
        <v>0.06</v>
      </c>
      <c r="N379" s="1681">
        <v>0.0264</v>
      </c>
      <c r="O379" s="1681">
        <v>0.0284</v>
      </c>
      <c r="P379" s="1681">
        <v>0.032</v>
      </c>
      <c r="Q379" s="1681"/>
      <c r="R379" s="1681"/>
      <c r="T379" s="1681">
        <v>0.0284</v>
      </c>
      <c r="U379" s="1681">
        <v>0.072</v>
      </c>
      <c r="W379" s="1681">
        <f t="shared" si="50"/>
        <v>0</v>
      </c>
      <c r="X379" s="1681"/>
      <c r="Y379" s="1681">
        <f t="shared" si="51"/>
        <v>0</v>
      </c>
      <c r="Z379" s="1681"/>
      <c r="AB379" s="1682">
        <v>0.0365</v>
      </c>
      <c r="AC379" s="1682">
        <v>0.043</v>
      </c>
      <c r="AE379" s="1683">
        <v>6.9646</v>
      </c>
      <c r="AF379" s="1683">
        <v>7.4229</v>
      </c>
      <c r="AG379" s="1683">
        <v>0.0524</v>
      </c>
      <c r="AH379" s="1683">
        <v>0.8933</v>
      </c>
      <c r="AI379" s="1683">
        <v>8.3941</v>
      </c>
      <c r="AJ379" s="1683">
        <v>4.7138</v>
      </c>
      <c r="AK379" s="1683">
        <v>4.4162</v>
      </c>
      <c r="AL379" s="1683">
        <v>5.1831</v>
      </c>
      <c r="AM379" s="1683">
        <v>7.5432</v>
      </c>
      <c r="AN379" s="1683">
        <v>5.1385</v>
      </c>
      <c r="AO379" s="1683">
        <v>1.5772</v>
      </c>
      <c r="AP379" s="1683">
        <v>0.0942</v>
      </c>
      <c r="AQ379" s="1683">
        <v>0.4113</v>
      </c>
      <c r="AR379" s="1683">
        <v>0.0055</v>
      </c>
      <c r="AS379" s="1683">
        <v>1.8966</v>
      </c>
      <c r="AT379" s="1683">
        <v>1.8528</v>
      </c>
      <c r="AU379" s="1683">
        <v>0.0186</v>
      </c>
      <c r="AV379" s="1683">
        <v>1.5878</v>
      </c>
      <c r="AW379" s="1683">
        <v>0.9983</v>
      </c>
      <c r="AX379" s="1683">
        <v>0.6659</v>
      </c>
      <c r="AY379" s="1683">
        <v>0.7042</v>
      </c>
      <c r="AZ379" s="1683">
        <v>0.3723</v>
      </c>
      <c r="BA379" s="1683">
        <v>0.3577</v>
      </c>
      <c r="BB379" s="1683">
        <v>0.2014</v>
      </c>
    </row>
    <row r="380" spans="1:54">
      <c r="A380" s="326">
        <f t="shared" si="43"/>
        <v>44957</v>
      </c>
      <c r="B380" s="1678">
        <v>99.6</v>
      </c>
      <c r="C380" s="1679">
        <f t="shared" si="48"/>
        <v>0.996</v>
      </c>
      <c r="D380" s="1679">
        <f>PRODUCT(C$5:C380)</f>
        <v>3.80882053463966</v>
      </c>
      <c r="G380" s="1679">
        <f t="shared" si="52"/>
        <v>1</v>
      </c>
      <c r="H380" s="1679">
        <f>PRODUCT(G$4:G380)</f>
        <v>1.00158144603162</v>
      </c>
      <c r="J380" s="1680">
        <v>0.13</v>
      </c>
      <c r="K380" s="1680">
        <v>0.09</v>
      </c>
      <c r="L380" s="1680">
        <v>0.06</v>
      </c>
      <c r="N380" s="1681"/>
      <c r="O380" s="1681"/>
      <c r="P380" s="1681"/>
      <c r="Q380" s="1681"/>
      <c r="R380" s="1681"/>
      <c r="T380" s="1681"/>
      <c r="U380" s="1681"/>
      <c r="W380" s="1681">
        <f t="shared" si="50"/>
        <v>0</v>
      </c>
      <c r="X380" s="1681"/>
      <c r="Y380" s="1681">
        <f t="shared" si="51"/>
        <v>0</v>
      </c>
      <c r="Z380" s="1681"/>
      <c r="AB380" s="1682"/>
      <c r="AC380" s="1682"/>
      <c r="AE380" s="1683"/>
      <c r="AF380" s="1683"/>
      <c r="AG380" s="1683"/>
      <c r="AH380" s="1683"/>
      <c r="AI380" s="1683"/>
      <c r="AJ380" s="1683"/>
      <c r="AK380" s="1683"/>
      <c r="AL380" s="1683"/>
      <c r="AM380" s="1683"/>
      <c r="AN380" s="1683"/>
      <c r="AO380" s="1683"/>
      <c r="AP380" s="1683"/>
      <c r="AQ380" s="1683"/>
      <c r="AR380" s="1683"/>
      <c r="AS380" s="1683"/>
      <c r="AT380" s="1683"/>
      <c r="AU380" s="1683"/>
      <c r="AV380" s="1683"/>
      <c r="AW380" s="1683"/>
      <c r="AX380" s="1683"/>
      <c r="AY380" s="1683"/>
      <c r="AZ380" s="1683"/>
      <c r="BA380" s="1683"/>
      <c r="BB380" s="1683"/>
    </row>
    <row r="381" spans="1:54">
      <c r="A381" s="326">
        <f t="shared" si="43"/>
        <v>44985</v>
      </c>
      <c r="B381" s="1678">
        <v>100</v>
      </c>
      <c r="C381" s="1679">
        <f t="shared" si="48"/>
        <v>1</v>
      </c>
      <c r="D381" s="1679">
        <f>PRODUCT(C$5:C381)</f>
        <v>3.80882053463966</v>
      </c>
      <c r="J381" s="1680">
        <v>0.13</v>
      </c>
      <c r="K381" s="1680">
        <v>0.09</v>
      </c>
      <c r="L381" s="1680">
        <v>0.06</v>
      </c>
      <c r="N381" s="1681"/>
      <c r="O381" s="1681"/>
      <c r="P381" s="1681"/>
      <c r="Q381" s="1681"/>
      <c r="R381" s="1681"/>
      <c r="T381" s="1681"/>
      <c r="U381" s="1681"/>
      <c r="W381" s="1681">
        <f t="shared" si="50"/>
        <v>0</v>
      </c>
      <c r="X381" s="1681"/>
      <c r="Y381" s="1681">
        <f t="shared" si="51"/>
        <v>0</v>
      </c>
      <c r="Z381" s="1681"/>
      <c r="AB381" s="1682"/>
      <c r="AC381" s="1682"/>
      <c r="AE381" s="1683"/>
      <c r="AF381" s="1683"/>
      <c r="AG381" s="1683"/>
      <c r="AH381" s="1683"/>
      <c r="AI381" s="1683"/>
      <c r="AJ381" s="1683"/>
      <c r="AK381" s="1683"/>
      <c r="AL381" s="1683"/>
      <c r="AM381" s="1683"/>
      <c r="AN381" s="1683"/>
      <c r="AO381" s="1683"/>
      <c r="AP381" s="1683"/>
      <c r="AQ381" s="1683"/>
      <c r="AR381" s="1683"/>
      <c r="AS381" s="1683"/>
      <c r="AT381" s="1683"/>
      <c r="AU381" s="1683"/>
      <c r="AV381" s="1683"/>
      <c r="AW381" s="1683"/>
      <c r="AX381" s="1683"/>
      <c r="AY381" s="1683"/>
      <c r="AZ381" s="1683"/>
      <c r="BA381" s="1683"/>
      <c r="BB381" s="1683"/>
    </row>
    <row r="382" spans="1:54">
      <c r="A382" s="326">
        <f t="shared" si="43"/>
        <v>45016</v>
      </c>
      <c r="B382" s="1678">
        <v>100</v>
      </c>
      <c r="C382" s="1679">
        <f t="shared" si="48"/>
        <v>1</v>
      </c>
      <c r="D382" s="1679">
        <f>PRODUCT(C$5:C382)</f>
        <v>3.80882053463966</v>
      </c>
      <c r="J382" s="1680">
        <v>0.13</v>
      </c>
      <c r="K382" s="1680">
        <v>0.09</v>
      </c>
      <c r="L382" s="1680">
        <v>0.06</v>
      </c>
      <c r="N382" s="1681"/>
      <c r="O382" s="1681"/>
      <c r="P382" s="1681"/>
      <c r="Q382" s="1681"/>
      <c r="R382" s="1681"/>
      <c r="T382" s="1681"/>
      <c r="U382" s="1681"/>
      <c r="W382" s="1681">
        <f t="shared" si="50"/>
        <v>0</v>
      </c>
      <c r="X382" s="1681"/>
      <c r="Y382" s="1681">
        <f t="shared" si="51"/>
        <v>0</v>
      </c>
      <c r="Z382" s="1681"/>
      <c r="AB382" s="1682"/>
      <c r="AC382" s="1682"/>
      <c r="AE382" s="1683"/>
      <c r="AF382" s="1683"/>
      <c r="AG382" s="1683"/>
      <c r="AH382" s="1683"/>
      <c r="AI382" s="1683"/>
      <c r="AJ382" s="1683"/>
      <c r="AK382" s="1683"/>
      <c r="AL382" s="1683"/>
      <c r="AM382" s="1683"/>
      <c r="AN382" s="1683"/>
      <c r="AO382" s="1683"/>
      <c r="AP382" s="1683"/>
      <c r="AQ382" s="1683"/>
      <c r="AR382" s="1683"/>
      <c r="AS382" s="1683"/>
      <c r="AT382" s="1683"/>
      <c r="AU382" s="1683"/>
      <c r="AV382" s="1683"/>
      <c r="AW382" s="1683"/>
      <c r="AX382" s="1683"/>
      <c r="AY382" s="1683"/>
      <c r="AZ382" s="1683"/>
      <c r="BA382" s="1683"/>
      <c r="BB382" s="1683"/>
    </row>
    <row r="383" spans="1:54">
      <c r="A383" s="326">
        <f t="shared" si="43"/>
        <v>45046</v>
      </c>
      <c r="B383" s="1678">
        <v>99.5</v>
      </c>
      <c r="C383" s="1679">
        <f t="shared" si="48"/>
        <v>0.995</v>
      </c>
      <c r="D383" s="1679">
        <f>PRODUCT(C$5:C383)</f>
        <v>3.78977643196646</v>
      </c>
      <c r="J383" s="1680">
        <v>0.13</v>
      </c>
      <c r="K383" s="1680">
        <v>0.09</v>
      </c>
      <c r="L383" s="1680">
        <v>0.06</v>
      </c>
      <c r="N383" s="1681"/>
      <c r="O383" s="1681"/>
      <c r="P383" s="1681"/>
      <c r="Q383" s="1681"/>
      <c r="R383" s="1681"/>
      <c r="T383" s="1681"/>
      <c r="U383" s="1681"/>
      <c r="W383" s="1681">
        <f t="shared" si="50"/>
        <v>0</v>
      </c>
      <c r="X383" s="1681"/>
      <c r="Y383" s="1681">
        <f t="shared" si="51"/>
        <v>0</v>
      </c>
      <c r="Z383" s="1681"/>
      <c r="AB383" s="1682"/>
      <c r="AC383" s="1682"/>
      <c r="AE383" s="1683"/>
      <c r="AF383" s="1683"/>
      <c r="AG383" s="1683"/>
      <c r="AH383" s="1683"/>
      <c r="AI383" s="1683"/>
      <c r="AJ383" s="1683"/>
      <c r="AK383" s="1683"/>
      <c r="AL383" s="1683"/>
      <c r="AM383" s="1683"/>
      <c r="AN383" s="1683"/>
      <c r="AO383" s="1683"/>
      <c r="AP383" s="1683"/>
      <c r="AQ383" s="1683"/>
      <c r="AR383" s="1683"/>
      <c r="AS383" s="1683"/>
      <c r="AT383" s="1683"/>
      <c r="AU383" s="1683"/>
      <c r="AV383" s="1683"/>
      <c r="AW383" s="1683"/>
      <c r="AX383" s="1683"/>
      <c r="AY383" s="1683"/>
      <c r="AZ383" s="1683"/>
      <c r="BA383" s="1683"/>
      <c r="BB383" s="1683"/>
    </row>
    <row r="384" spans="1:54">
      <c r="A384" s="326">
        <f t="shared" si="43"/>
        <v>45077</v>
      </c>
      <c r="B384" s="1678">
        <v>99.1</v>
      </c>
      <c r="C384" s="1679">
        <f t="shared" si="48"/>
        <v>0.991</v>
      </c>
      <c r="D384" s="1679">
        <f>PRODUCT(C$5:C384)</f>
        <v>3.75566844407876</v>
      </c>
      <c r="J384" s="1680">
        <v>0.13</v>
      </c>
      <c r="K384" s="1680">
        <v>0.09</v>
      </c>
      <c r="L384" s="1680">
        <v>0.06</v>
      </c>
      <c r="N384" s="1681"/>
      <c r="O384" s="1681"/>
      <c r="P384" s="1681"/>
      <c r="Q384" s="1681"/>
      <c r="R384" s="1681"/>
      <c r="T384" s="1681"/>
      <c r="U384" s="1681"/>
      <c r="W384" s="1681">
        <f t="shared" si="50"/>
        <v>0</v>
      </c>
      <c r="X384" s="1681"/>
      <c r="Y384" s="1681">
        <f t="shared" si="51"/>
        <v>0</v>
      </c>
      <c r="Z384" s="1681"/>
      <c r="AB384" s="1682"/>
      <c r="AC384" s="1682"/>
      <c r="AE384" s="1683"/>
      <c r="AF384" s="1683"/>
      <c r="AG384" s="1683"/>
      <c r="AH384" s="1683"/>
      <c r="AI384" s="1683"/>
      <c r="AJ384" s="1683"/>
      <c r="AK384" s="1683"/>
      <c r="AL384" s="1683"/>
      <c r="AM384" s="1683"/>
      <c r="AN384" s="1683"/>
      <c r="AO384" s="1683"/>
      <c r="AP384" s="1683"/>
      <c r="AQ384" s="1683"/>
      <c r="AR384" s="1683"/>
      <c r="AS384" s="1683"/>
      <c r="AT384" s="1683"/>
      <c r="AU384" s="1683"/>
      <c r="AV384" s="1683"/>
      <c r="AW384" s="1683"/>
      <c r="AX384" s="1683"/>
      <c r="AY384" s="1683"/>
      <c r="AZ384" s="1683"/>
      <c r="BA384" s="1683"/>
      <c r="BB384" s="1683"/>
    </row>
    <row r="385" spans="1:54">
      <c r="A385" s="326">
        <f t="shared" si="43"/>
        <v>45107</v>
      </c>
      <c r="B385" s="1678">
        <v>99.2</v>
      </c>
      <c r="C385" s="1679">
        <f t="shared" si="48"/>
        <v>0.992</v>
      </c>
      <c r="D385" s="1679">
        <f>PRODUCT(C$5:C385)</f>
        <v>3.72562309652613</v>
      </c>
      <c r="J385" s="1680">
        <v>0.13</v>
      </c>
      <c r="K385" s="1680">
        <v>0.09</v>
      </c>
      <c r="L385" s="1680">
        <v>0.06</v>
      </c>
      <c r="N385" s="1681"/>
      <c r="O385" s="1681"/>
      <c r="P385" s="1681"/>
      <c r="Q385" s="1681"/>
      <c r="R385" s="1681"/>
      <c r="T385" s="1681"/>
      <c r="U385" s="1681"/>
      <c r="W385" s="1681">
        <f t="shared" si="50"/>
        <v>0</v>
      </c>
      <c r="X385" s="1681"/>
      <c r="Y385" s="1681">
        <f t="shared" si="51"/>
        <v>0</v>
      </c>
      <c r="Z385" s="1681"/>
      <c r="AB385" s="1682"/>
      <c r="AC385" s="1682"/>
      <c r="AE385" s="1683"/>
      <c r="AF385" s="1683"/>
      <c r="AG385" s="1683"/>
      <c r="AH385" s="1683"/>
      <c r="AI385" s="1683"/>
      <c r="AJ385" s="1683"/>
      <c r="AK385" s="1683"/>
      <c r="AL385" s="1683"/>
      <c r="AM385" s="1683"/>
      <c r="AN385" s="1683"/>
      <c r="AO385" s="1683"/>
      <c r="AP385" s="1683"/>
      <c r="AQ385" s="1683"/>
      <c r="AR385" s="1683"/>
      <c r="AS385" s="1683"/>
      <c r="AT385" s="1683"/>
      <c r="AU385" s="1683"/>
      <c r="AV385" s="1683"/>
      <c r="AW385" s="1683"/>
      <c r="AX385" s="1683"/>
      <c r="AY385" s="1683"/>
      <c r="AZ385" s="1683"/>
      <c r="BA385" s="1683"/>
      <c r="BB385" s="1683"/>
    </row>
    <row r="386" spans="1:54">
      <c r="A386" s="326">
        <f t="shared" si="43"/>
        <v>45138</v>
      </c>
      <c r="B386" s="1678">
        <v>99.8</v>
      </c>
      <c r="C386" s="1679">
        <f t="shared" si="48"/>
        <v>0.998</v>
      </c>
      <c r="D386" s="1679">
        <f>PRODUCT(C$5:C386)</f>
        <v>3.71817185033308</v>
      </c>
      <c r="J386" s="1680">
        <v>0.13</v>
      </c>
      <c r="K386" s="1680">
        <v>0.09</v>
      </c>
      <c r="L386" s="1680">
        <v>0.06</v>
      </c>
      <c r="N386" s="1681"/>
      <c r="O386" s="1681"/>
      <c r="P386" s="1681"/>
      <c r="Q386" s="1681"/>
      <c r="R386" s="1681"/>
      <c r="T386" s="1681"/>
      <c r="U386" s="1681"/>
      <c r="W386" s="1681">
        <f t="shared" si="50"/>
        <v>0</v>
      </c>
      <c r="X386" s="1681"/>
      <c r="Y386" s="1681">
        <f t="shared" si="51"/>
        <v>0</v>
      </c>
      <c r="Z386" s="1681"/>
      <c r="AB386" s="1682"/>
      <c r="AC386" s="1682"/>
      <c r="AE386" s="1683"/>
      <c r="AF386" s="1683"/>
      <c r="AG386" s="1683"/>
      <c r="AH386" s="1683"/>
      <c r="AI386" s="1683"/>
      <c r="AJ386" s="1683"/>
      <c r="AK386" s="1683"/>
      <c r="AL386" s="1683"/>
      <c r="AM386" s="1683"/>
      <c r="AN386" s="1683"/>
      <c r="AO386" s="1683"/>
      <c r="AP386" s="1683"/>
      <c r="AQ386" s="1683"/>
      <c r="AR386" s="1683"/>
      <c r="AS386" s="1683"/>
      <c r="AT386" s="1683"/>
      <c r="AU386" s="1683"/>
      <c r="AV386" s="1683"/>
      <c r="AW386" s="1683"/>
      <c r="AX386" s="1683"/>
      <c r="AY386" s="1683"/>
      <c r="AZ386" s="1683"/>
      <c r="BA386" s="1683"/>
      <c r="BB386" s="1683"/>
    </row>
    <row r="387" spans="1:54">
      <c r="A387" s="326">
        <f t="shared" si="43"/>
        <v>45169</v>
      </c>
      <c r="B387" s="1678">
        <v>100.2</v>
      </c>
      <c r="C387" s="1679">
        <f t="shared" si="48"/>
        <v>1.002</v>
      </c>
      <c r="D387" s="1679">
        <f>PRODUCT(C$5:C387)</f>
        <v>3.72560819403375</v>
      </c>
      <c r="J387" s="1680">
        <v>0.13</v>
      </c>
      <c r="K387" s="1680">
        <v>0.09</v>
      </c>
      <c r="L387" s="1680">
        <v>0.06</v>
      </c>
      <c r="N387" s="1681"/>
      <c r="O387" s="1681"/>
      <c r="P387" s="1681"/>
      <c r="Q387" s="1681"/>
      <c r="R387" s="1681"/>
      <c r="T387" s="1681"/>
      <c r="U387" s="1681"/>
      <c r="W387" s="1681">
        <f t="shared" si="50"/>
        <v>0</v>
      </c>
      <c r="X387" s="1681"/>
      <c r="Y387" s="1681">
        <f t="shared" si="51"/>
        <v>0</v>
      </c>
      <c r="Z387" s="1681"/>
      <c r="AB387" s="1682"/>
      <c r="AC387" s="1682"/>
      <c r="AE387" s="1683"/>
      <c r="AF387" s="1683"/>
      <c r="AG387" s="1683"/>
      <c r="AH387" s="1683"/>
      <c r="AI387" s="1683"/>
      <c r="AJ387" s="1683"/>
      <c r="AK387" s="1683"/>
      <c r="AL387" s="1683"/>
      <c r="AM387" s="1683"/>
      <c r="AN387" s="1683"/>
      <c r="AO387" s="1683"/>
      <c r="AP387" s="1683"/>
      <c r="AQ387" s="1683"/>
      <c r="AR387" s="1683"/>
      <c r="AS387" s="1683"/>
      <c r="AT387" s="1683"/>
      <c r="AU387" s="1683"/>
      <c r="AV387" s="1683"/>
      <c r="AW387" s="1683"/>
      <c r="AX387" s="1683"/>
      <c r="AY387" s="1683"/>
      <c r="AZ387" s="1683"/>
      <c r="BA387" s="1683"/>
      <c r="BB387" s="1683"/>
    </row>
    <row r="388" spans="1:54">
      <c r="A388" s="326">
        <f t="shared" si="43"/>
        <v>45199</v>
      </c>
      <c r="B388" s="1678">
        <v>100.4</v>
      </c>
      <c r="C388" s="1679">
        <f t="shared" si="48"/>
        <v>1.004</v>
      </c>
      <c r="D388" s="1679">
        <f>PRODUCT(C$5:C388)</f>
        <v>3.74051062680988</v>
      </c>
      <c r="J388" s="1680">
        <v>0.13</v>
      </c>
      <c r="K388" s="1680">
        <v>0.09</v>
      </c>
      <c r="L388" s="1680">
        <v>0.06</v>
      </c>
      <c r="N388" s="1681"/>
      <c r="O388" s="1681"/>
      <c r="P388" s="1681"/>
      <c r="Q388" s="1681"/>
      <c r="R388" s="1681"/>
      <c r="T388" s="1681"/>
      <c r="U388" s="1681"/>
      <c r="W388" s="1681">
        <f t="shared" si="50"/>
        <v>0</v>
      </c>
      <c r="X388" s="1681"/>
      <c r="Y388" s="1681">
        <f t="shared" si="51"/>
        <v>0</v>
      </c>
      <c r="Z388" s="1681"/>
      <c r="AB388" s="1682"/>
      <c r="AC388" s="1682"/>
      <c r="AE388" s="1683"/>
      <c r="AF388" s="1683"/>
      <c r="AG388" s="1683"/>
      <c r="AH388" s="1683"/>
      <c r="AI388" s="1683"/>
      <c r="AJ388" s="1683"/>
      <c r="AK388" s="1683"/>
      <c r="AL388" s="1683"/>
      <c r="AM388" s="1683"/>
      <c r="AN388" s="1683"/>
      <c r="AO388" s="1683"/>
      <c r="AP388" s="1683"/>
      <c r="AQ388" s="1683"/>
      <c r="AR388" s="1683"/>
      <c r="AS388" s="1683"/>
      <c r="AT388" s="1683"/>
      <c r="AU388" s="1683"/>
      <c r="AV388" s="1683"/>
      <c r="AW388" s="1683"/>
      <c r="AX388" s="1683"/>
      <c r="AY388" s="1683"/>
      <c r="AZ388" s="1683"/>
      <c r="BA388" s="1683"/>
      <c r="BB388" s="1683"/>
    </row>
    <row r="389" spans="1:54">
      <c r="A389" s="326">
        <f t="shared" si="43"/>
        <v>45230</v>
      </c>
      <c r="B389" s="1678">
        <v>100</v>
      </c>
      <c r="C389" s="1679">
        <f t="shared" si="48"/>
        <v>1</v>
      </c>
      <c r="D389" s="1679">
        <f>PRODUCT(C$5:C389)</f>
        <v>3.74051062680988</v>
      </c>
      <c r="J389" s="1680">
        <v>0.13</v>
      </c>
      <c r="K389" s="1680">
        <v>0.09</v>
      </c>
      <c r="L389" s="1680">
        <v>0.06</v>
      </c>
      <c r="N389" s="1681"/>
      <c r="O389" s="1681"/>
      <c r="P389" s="1681"/>
      <c r="Q389" s="1681"/>
      <c r="R389" s="1681"/>
      <c r="T389" s="1681"/>
      <c r="U389" s="1681"/>
      <c r="W389" s="1681">
        <f t="shared" si="50"/>
        <v>0</v>
      </c>
      <c r="X389" s="1681"/>
      <c r="Y389" s="1681">
        <f t="shared" si="51"/>
        <v>0</v>
      </c>
      <c r="Z389" s="1681"/>
      <c r="AB389" s="1682"/>
      <c r="AC389" s="1682"/>
      <c r="AE389" s="1683"/>
      <c r="AF389" s="1683"/>
      <c r="AG389" s="1683"/>
      <c r="AH389" s="1683"/>
      <c r="AI389" s="1683"/>
      <c r="AJ389" s="1683"/>
      <c r="AK389" s="1683"/>
      <c r="AL389" s="1683"/>
      <c r="AM389" s="1683"/>
      <c r="AN389" s="1683"/>
      <c r="AO389" s="1683"/>
      <c r="AP389" s="1683"/>
      <c r="AQ389" s="1683"/>
      <c r="AR389" s="1683"/>
      <c r="AS389" s="1683"/>
      <c r="AT389" s="1683"/>
      <c r="AU389" s="1683"/>
      <c r="AV389" s="1683"/>
      <c r="AW389" s="1683"/>
      <c r="AX389" s="1683"/>
      <c r="AY389" s="1683"/>
      <c r="AZ389" s="1683"/>
      <c r="BA389" s="1683"/>
      <c r="BB389" s="1683"/>
    </row>
    <row r="390" spans="1:54">
      <c r="A390" s="326">
        <f t="shared" si="43"/>
        <v>45260</v>
      </c>
      <c r="B390" s="1678">
        <v>99.7</v>
      </c>
      <c r="C390" s="1679">
        <f t="shared" si="48"/>
        <v>0.997</v>
      </c>
      <c r="D390" s="1679">
        <f>PRODUCT(C$5:C390)</f>
        <v>3.72928909492945</v>
      </c>
      <c r="J390" s="1680">
        <v>0.13</v>
      </c>
      <c r="K390" s="1680">
        <v>0.09</v>
      </c>
      <c r="L390" s="1680">
        <v>0.06</v>
      </c>
      <c r="N390" s="1681"/>
      <c r="O390" s="1681"/>
      <c r="P390" s="1681"/>
      <c r="Q390" s="1681"/>
      <c r="R390" s="1681"/>
      <c r="T390" s="1681"/>
      <c r="U390" s="1681"/>
      <c r="W390" s="1681">
        <f t="shared" si="50"/>
        <v>0</v>
      </c>
      <c r="X390" s="1681"/>
      <c r="Y390" s="1681">
        <f t="shared" si="51"/>
        <v>0</v>
      </c>
      <c r="Z390" s="1681"/>
      <c r="AB390" s="1682"/>
      <c r="AC390" s="1682"/>
      <c r="AE390" s="1683"/>
      <c r="AF390" s="1683"/>
      <c r="AG390" s="1683"/>
      <c r="AH390" s="1683"/>
      <c r="AI390" s="1683"/>
      <c r="AJ390" s="1683"/>
      <c r="AK390" s="1683"/>
      <c r="AL390" s="1683"/>
      <c r="AM390" s="1683"/>
      <c r="AN390" s="1683"/>
      <c r="AO390" s="1683"/>
      <c r="AP390" s="1683"/>
      <c r="AQ390" s="1683"/>
      <c r="AR390" s="1683"/>
      <c r="AS390" s="1683"/>
      <c r="AT390" s="1683"/>
      <c r="AU390" s="1683"/>
      <c r="AV390" s="1683"/>
      <c r="AW390" s="1683"/>
      <c r="AX390" s="1683"/>
      <c r="AY390" s="1683"/>
      <c r="AZ390" s="1683"/>
      <c r="BA390" s="1683"/>
      <c r="BB390" s="1683"/>
    </row>
    <row r="391" spans="1:54">
      <c r="A391" s="326">
        <f t="shared" si="43"/>
        <v>45291</v>
      </c>
      <c r="B391" s="1678">
        <v>99.7</v>
      </c>
      <c r="C391" s="1679">
        <f t="shared" si="48"/>
        <v>0.997</v>
      </c>
      <c r="D391" s="1679">
        <f>PRODUCT(C$5:C391)</f>
        <v>3.71810122764467</v>
      </c>
      <c r="J391" s="1680">
        <v>0.13</v>
      </c>
      <c r="K391" s="1680">
        <v>0.09</v>
      </c>
      <c r="L391" s="1680">
        <v>0.06</v>
      </c>
      <c r="N391" s="1681"/>
      <c r="O391" s="1681"/>
      <c r="P391" s="1681"/>
      <c r="Q391" s="1681"/>
      <c r="R391" s="1681"/>
      <c r="T391" s="1681"/>
      <c r="U391" s="1681"/>
      <c r="W391" s="1681">
        <f t="shared" si="50"/>
        <v>0</v>
      </c>
      <c r="X391" s="1681"/>
      <c r="Y391" s="1681">
        <f t="shared" si="51"/>
        <v>0</v>
      </c>
      <c r="Z391" s="1681"/>
      <c r="AB391" s="1682"/>
      <c r="AC391" s="1682"/>
      <c r="AE391" s="1683"/>
      <c r="AF391" s="1683"/>
      <c r="AG391" s="1683"/>
      <c r="AH391" s="1683"/>
      <c r="AI391" s="1683"/>
      <c r="AJ391" s="1683"/>
      <c r="AK391" s="1683"/>
      <c r="AL391" s="1683"/>
      <c r="AM391" s="1683"/>
      <c r="AN391" s="1683"/>
      <c r="AO391" s="1683"/>
      <c r="AP391" s="1683"/>
      <c r="AQ391" s="1683"/>
      <c r="AR391" s="1683"/>
      <c r="AS391" s="1683"/>
      <c r="AT391" s="1683"/>
      <c r="AU391" s="1683"/>
      <c r="AV391" s="1683"/>
      <c r="AW391" s="1683"/>
      <c r="AX391" s="1683"/>
      <c r="AY391" s="1683"/>
      <c r="AZ391" s="1683"/>
      <c r="BA391" s="1683"/>
      <c r="BB391" s="1683"/>
    </row>
    <row r="392" spans="1:54">
      <c r="A392" s="326">
        <f t="shared" si="43"/>
        <v>45322</v>
      </c>
      <c r="B392" s="1678">
        <v>99.8</v>
      </c>
      <c r="C392" s="1679">
        <f t="shared" si="48"/>
        <v>0.998</v>
      </c>
      <c r="D392" s="1679">
        <f>PRODUCT(C$5:C392)</f>
        <v>3.71066502518938</v>
      </c>
      <c r="J392" s="1680">
        <v>0.13</v>
      </c>
      <c r="K392" s="1680">
        <v>0.09</v>
      </c>
      <c r="L392" s="1680">
        <v>0.06</v>
      </c>
      <c r="N392" s="1681"/>
      <c r="O392" s="1681"/>
      <c r="P392" s="1681"/>
      <c r="Q392" s="1681"/>
      <c r="R392" s="1681"/>
      <c r="T392" s="1681"/>
      <c r="U392" s="1681"/>
      <c r="W392" s="1681">
        <f t="shared" si="50"/>
        <v>0</v>
      </c>
      <c r="X392" s="1681"/>
      <c r="Y392" s="1681">
        <f t="shared" si="51"/>
        <v>0</v>
      </c>
      <c r="Z392" s="1681"/>
      <c r="AB392" s="1682"/>
      <c r="AC392" s="1682"/>
      <c r="AE392" s="1683"/>
      <c r="AF392" s="1683"/>
      <c r="AG392" s="1683"/>
      <c r="AH392" s="1683"/>
      <c r="AI392" s="1683"/>
      <c r="AJ392" s="1683"/>
      <c r="AK392" s="1683"/>
      <c r="AL392" s="1683"/>
      <c r="AM392" s="1683"/>
      <c r="AN392" s="1683"/>
      <c r="AO392" s="1683"/>
      <c r="AP392" s="1683"/>
      <c r="AQ392" s="1683"/>
      <c r="AR392" s="1683"/>
      <c r="AS392" s="1683"/>
      <c r="AT392" s="1683"/>
      <c r="AU392" s="1683"/>
      <c r="AV392" s="1683"/>
      <c r="AW392" s="1683"/>
      <c r="AX392" s="1683"/>
      <c r="AY392" s="1683"/>
      <c r="AZ392" s="1683"/>
      <c r="BA392" s="1683"/>
      <c r="BB392" s="1683"/>
    </row>
    <row r="393" spans="1:54">
      <c r="A393" s="326">
        <f t="shared" si="43"/>
        <v>45351</v>
      </c>
      <c r="B393" s="1678">
        <v>99.8</v>
      </c>
      <c r="C393" s="1679">
        <f t="shared" si="48"/>
        <v>0.998</v>
      </c>
      <c r="D393" s="1679">
        <f>PRODUCT(C$5:C393)</f>
        <v>3.703243695139</v>
      </c>
      <c r="J393" s="1680">
        <v>0.13</v>
      </c>
      <c r="K393" s="1680">
        <v>0.09</v>
      </c>
      <c r="L393" s="1680">
        <v>0.06</v>
      </c>
      <c r="N393" s="1681"/>
      <c r="O393" s="1681"/>
      <c r="P393" s="1681"/>
      <c r="Q393" s="1681"/>
      <c r="R393" s="1681"/>
      <c r="T393" s="1681"/>
      <c r="U393" s="1681"/>
      <c r="W393" s="1681">
        <f t="shared" si="50"/>
        <v>0</v>
      </c>
      <c r="X393" s="1681"/>
      <c r="Y393" s="1681">
        <f t="shared" si="51"/>
        <v>0</v>
      </c>
      <c r="Z393" s="1681"/>
      <c r="AB393" s="1682"/>
      <c r="AC393" s="1682"/>
      <c r="AE393" s="1683"/>
      <c r="AF393" s="1683"/>
      <c r="AG393" s="1683"/>
      <c r="AH393" s="1683"/>
      <c r="AI393" s="1683"/>
      <c r="AJ393" s="1683"/>
      <c r="AK393" s="1683"/>
      <c r="AL393" s="1683"/>
      <c r="AM393" s="1683"/>
      <c r="AN393" s="1683"/>
      <c r="AO393" s="1683"/>
      <c r="AP393" s="1683"/>
      <c r="AQ393" s="1683"/>
      <c r="AR393" s="1683"/>
      <c r="AS393" s="1683"/>
      <c r="AT393" s="1683"/>
      <c r="AU393" s="1683"/>
      <c r="AV393" s="1683"/>
      <c r="AW393" s="1683"/>
      <c r="AX393" s="1683"/>
      <c r="AY393" s="1683"/>
      <c r="AZ393" s="1683"/>
      <c r="BA393" s="1683"/>
      <c r="BB393" s="1683"/>
    </row>
    <row r="394" spans="1:54">
      <c r="A394" s="326">
        <f t="shared" si="43"/>
        <v>45382</v>
      </c>
      <c r="B394" s="1678">
        <v>99.9</v>
      </c>
      <c r="C394" s="1679">
        <f t="shared" si="48"/>
        <v>0.999</v>
      </c>
      <c r="D394" s="1679">
        <f>PRODUCT(C$5:C394)</f>
        <v>3.69954045144386</v>
      </c>
      <c r="J394" s="1680">
        <v>0.13</v>
      </c>
      <c r="K394" s="1680">
        <v>0.09</v>
      </c>
      <c r="L394" s="1680">
        <v>0.06</v>
      </c>
      <c r="N394" s="1681"/>
      <c r="O394" s="1681"/>
      <c r="P394" s="1681"/>
      <c r="Q394" s="1681"/>
      <c r="R394" s="1681"/>
      <c r="T394" s="1681"/>
      <c r="U394" s="1681"/>
      <c r="W394" s="1681">
        <f t="shared" si="50"/>
        <v>0</v>
      </c>
      <c r="X394" s="1681"/>
      <c r="Y394" s="1681">
        <f t="shared" si="51"/>
        <v>0</v>
      </c>
      <c r="Z394" s="1681"/>
      <c r="AB394" s="1682"/>
      <c r="AC394" s="1682"/>
      <c r="AE394" s="1683"/>
      <c r="AF394" s="1683"/>
      <c r="AG394" s="1683"/>
      <c r="AH394" s="1683"/>
      <c r="AI394" s="1683"/>
      <c r="AJ394" s="1683"/>
      <c r="AK394" s="1683"/>
      <c r="AL394" s="1683"/>
      <c r="AM394" s="1683"/>
      <c r="AN394" s="1683"/>
      <c r="AO394" s="1683"/>
      <c r="AP394" s="1683"/>
      <c r="AQ394" s="1683"/>
      <c r="AR394" s="1683"/>
      <c r="AS394" s="1683"/>
      <c r="AT394" s="1683"/>
      <c r="AU394" s="1683"/>
      <c r="AV394" s="1683"/>
      <c r="AW394" s="1683"/>
      <c r="AX394" s="1683"/>
      <c r="AY394" s="1683"/>
      <c r="AZ394" s="1683"/>
      <c r="BA394" s="1683"/>
      <c r="BB394" s="1683"/>
    </row>
    <row r="395" spans="1:54">
      <c r="A395" s="326">
        <f t="shared" si="43"/>
        <v>45412</v>
      </c>
      <c r="B395" s="1678">
        <v>99.8</v>
      </c>
      <c r="C395" s="1679">
        <f t="shared" si="48"/>
        <v>0.998</v>
      </c>
      <c r="D395" s="1679">
        <f>PRODUCT(C$5:C395)</f>
        <v>3.69214137054097</v>
      </c>
      <c r="J395" s="1680">
        <v>0.13</v>
      </c>
      <c r="K395" s="1680">
        <v>0.09</v>
      </c>
      <c r="L395" s="1680">
        <v>0.06</v>
      </c>
      <c r="N395" s="1681"/>
      <c r="O395" s="1681"/>
      <c r="P395" s="1681"/>
      <c r="Q395" s="1681"/>
      <c r="R395" s="1681"/>
      <c r="T395" s="1681"/>
      <c r="U395" s="1681"/>
      <c r="W395" s="1681">
        <f t="shared" si="50"/>
        <v>0</v>
      </c>
      <c r="X395" s="1681"/>
      <c r="Y395" s="1681">
        <f t="shared" si="51"/>
        <v>0</v>
      </c>
      <c r="Z395" s="1681"/>
      <c r="AB395" s="1682"/>
      <c r="AC395" s="1682"/>
      <c r="AE395" s="1683"/>
      <c r="AF395" s="1683"/>
      <c r="AG395" s="1683"/>
      <c r="AH395" s="1683"/>
      <c r="AI395" s="1683"/>
      <c r="AJ395" s="1683"/>
      <c r="AK395" s="1683"/>
      <c r="AL395" s="1683"/>
      <c r="AM395" s="1683"/>
      <c r="AN395" s="1683"/>
      <c r="AO395" s="1683"/>
      <c r="AP395" s="1683"/>
      <c r="AQ395" s="1683"/>
      <c r="AR395" s="1683"/>
      <c r="AS395" s="1683"/>
      <c r="AT395" s="1683"/>
      <c r="AU395" s="1683"/>
      <c r="AV395" s="1683"/>
      <c r="AW395" s="1683"/>
      <c r="AX395" s="1683"/>
      <c r="AY395" s="1683"/>
      <c r="AZ395" s="1683"/>
      <c r="BA395" s="1683"/>
      <c r="BB395" s="1683"/>
    </row>
    <row r="396" spans="1:54">
      <c r="A396" s="326">
        <f t="shared" si="43"/>
        <v>45443</v>
      </c>
      <c r="B396" s="1678">
        <v>100.2</v>
      </c>
      <c r="C396" s="1679">
        <f t="shared" si="48"/>
        <v>1.002</v>
      </c>
      <c r="D396" s="1679">
        <f>PRODUCT(C$5:C396)</f>
        <v>3.69952565328205</v>
      </c>
      <c r="J396" s="1680">
        <v>0.13</v>
      </c>
      <c r="K396" s="1680">
        <v>0.09</v>
      </c>
      <c r="L396" s="1680">
        <v>0.06</v>
      </c>
      <c r="N396" s="1681"/>
      <c r="O396" s="1681"/>
      <c r="P396" s="1681"/>
      <c r="Q396" s="1681"/>
      <c r="R396" s="1681"/>
      <c r="T396" s="1681"/>
      <c r="U396" s="1681"/>
      <c r="W396" s="1681">
        <f t="shared" si="50"/>
        <v>0</v>
      </c>
      <c r="X396" s="1681"/>
      <c r="Y396" s="1681">
        <f t="shared" si="51"/>
        <v>0</v>
      </c>
      <c r="Z396" s="1681"/>
      <c r="AB396" s="1682"/>
      <c r="AC396" s="1682"/>
      <c r="AE396" s="1683"/>
      <c r="AF396" s="1683"/>
      <c r="AG396" s="1683"/>
      <c r="AH396" s="1683"/>
      <c r="AI396" s="1683"/>
      <c r="AJ396" s="1683"/>
      <c r="AK396" s="1683"/>
      <c r="AL396" s="1683"/>
      <c r="AM396" s="1683"/>
      <c r="AN396" s="1683"/>
      <c r="AO396" s="1683"/>
      <c r="AP396" s="1683"/>
      <c r="AQ396" s="1683"/>
      <c r="AR396" s="1683"/>
      <c r="AS396" s="1683"/>
      <c r="AT396" s="1683"/>
      <c r="AU396" s="1683"/>
      <c r="AV396" s="1683"/>
      <c r="AW396" s="1683"/>
      <c r="AX396" s="1683"/>
      <c r="AY396" s="1683"/>
      <c r="AZ396" s="1683"/>
      <c r="BA396" s="1683"/>
      <c r="BB396" s="1683"/>
    </row>
    <row r="397" spans="1:54">
      <c r="A397" s="326">
        <f t="shared" si="43"/>
        <v>45473</v>
      </c>
      <c r="B397" s="1678">
        <v>99.8</v>
      </c>
      <c r="C397" s="1679">
        <f t="shared" si="48"/>
        <v>0.998</v>
      </c>
      <c r="D397" s="1679">
        <f>PRODUCT(C$5:C397)</f>
        <v>3.69212660197549</v>
      </c>
      <c r="J397" s="1680">
        <v>0.13</v>
      </c>
      <c r="K397" s="1680">
        <v>0.09</v>
      </c>
      <c r="L397" s="1680">
        <v>0.06</v>
      </c>
      <c r="N397" s="1681"/>
      <c r="O397" s="1681"/>
      <c r="P397" s="1681"/>
      <c r="Q397" s="1681"/>
      <c r="R397" s="1681"/>
      <c r="T397" s="1681"/>
      <c r="U397" s="1681"/>
      <c r="W397" s="1681">
        <f t="shared" si="50"/>
        <v>0</v>
      </c>
      <c r="X397" s="1681"/>
      <c r="Y397" s="1681">
        <f t="shared" si="51"/>
        <v>0</v>
      </c>
      <c r="Z397" s="1681"/>
      <c r="AB397" s="1682"/>
      <c r="AC397" s="1682"/>
      <c r="AE397" s="1683"/>
      <c r="AF397" s="1683"/>
      <c r="AG397" s="1683"/>
      <c r="AH397" s="1683"/>
      <c r="AI397" s="1683"/>
      <c r="AJ397" s="1683"/>
      <c r="AK397" s="1683"/>
      <c r="AL397" s="1683"/>
      <c r="AM397" s="1683"/>
      <c r="AN397" s="1683"/>
      <c r="AO397" s="1683"/>
      <c r="AP397" s="1683"/>
      <c r="AQ397" s="1683"/>
      <c r="AR397" s="1683"/>
      <c r="AS397" s="1683"/>
      <c r="AT397" s="1683"/>
      <c r="AU397" s="1683"/>
      <c r="AV397" s="1683"/>
      <c r="AW397" s="1683"/>
      <c r="AX397" s="1683"/>
      <c r="AY397" s="1683"/>
      <c r="AZ397" s="1683"/>
      <c r="BA397" s="1683"/>
      <c r="BB397" s="1683"/>
    </row>
    <row r="398" spans="1:54">
      <c r="A398" s="326">
        <f t="shared" si="43"/>
        <v>45504</v>
      </c>
      <c r="B398" s="1678">
        <v>99.8</v>
      </c>
      <c r="C398" s="1679">
        <f t="shared" si="48"/>
        <v>0.998</v>
      </c>
      <c r="D398" s="1679">
        <f>PRODUCT(C$5:C398)</f>
        <v>3.68474234877154</v>
      </c>
      <c r="J398" s="1680">
        <v>0.13</v>
      </c>
      <c r="K398" s="1680">
        <v>0.09</v>
      </c>
      <c r="L398" s="1680">
        <v>0.06</v>
      </c>
      <c r="N398" s="1681"/>
      <c r="O398" s="1681"/>
      <c r="P398" s="1681"/>
      <c r="Q398" s="1681"/>
      <c r="R398" s="1681"/>
      <c r="T398" s="1681"/>
      <c r="U398" s="1681"/>
      <c r="W398" s="1681">
        <f t="shared" si="50"/>
        <v>0</v>
      </c>
      <c r="X398" s="1681"/>
      <c r="Y398" s="1681">
        <f t="shared" si="51"/>
        <v>0</v>
      </c>
      <c r="Z398" s="1681"/>
      <c r="AB398" s="1682"/>
      <c r="AC398" s="1682"/>
      <c r="AE398" s="1683"/>
      <c r="AF398" s="1683"/>
      <c r="AG398" s="1683"/>
      <c r="AH398" s="1683"/>
      <c r="AI398" s="1683"/>
      <c r="AJ398" s="1683"/>
      <c r="AK398" s="1683"/>
      <c r="AL398" s="1683"/>
      <c r="AM398" s="1683"/>
      <c r="AN398" s="1683"/>
      <c r="AO398" s="1683"/>
      <c r="AP398" s="1683"/>
      <c r="AQ398" s="1683"/>
      <c r="AR398" s="1683"/>
      <c r="AS398" s="1683"/>
      <c r="AT398" s="1683"/>
      <c r="AU398" s="1683"/>
      <c r="AV398" s="1683"/>
      <c r="AW398" s="1683"/>
      <c r="AX398" s="1683"/>
      <c r="AY398" s="1683"/>
      <c r="AZ398" s="1683"/>
      <c r="BA398" s="1683"/>
      <c r="BB398" s="1683"/>
    </row>
    <row r="399" spans="1:54">
      <c r="A399" s="326">
        <f t="shared" si="43"/>
        <v>45535</v>
      </c>
      <c r="B399" s="1678">
        <v>99.3</v>
      </c>
      <c r="C399" s="1679">
        <f t="shared" si="48"/>
        <v>0.993</v>
      </c>
      <c r="D399" s="1679">
        <f>PRODUCT(C$5:C399)</f>
        <v>3.65894915233014</v>
      </c>
      <c r="J399" s="1680">
        <v>0.13</v>
      </c>
      <c r="K399" s="1680">
        <v>0.09</v>
      </c>
      <c r="L399" s="1680">
        <v>0.06</v>
      </c>
      <c r="N399" s="1681"/>
      <c r="O399" s="1681"/>
      <c r="P399" s="1681"/>
      <c r="Q399" s="1681"/>
      <c r="R399" s="1681"/>
      <c r="T399" s="1681"/>
      <c r="U399" s="1681"/>
      <c r="W399" s="1681">
        <f t="shared" si="50"/>
        <v>0</v>
      </c>
      <c r="X399" s="1681"/>
      <c r="Y399" s="1681">
        <f t="shared" si="51"/>
        <v>0</v>
      </c>
      <c r="Z399" s="1681"/>
      <c r="AB399" s="1682"/>
      <c r="AC399" s="1682"/>
      <c r="AE399" s="1683"/>
      <c r="AF399" s="1683"/>
      <c r="AG399" s="1683"/>
      <c r="AH399" s="1683"/>
      <c r="AI399" s="1683"/>
      <c r="AJ399" s="1683"/>
      <c r="AK399" s="1683"/>
      <c r="AL399" s="1683"/>
      <c r="AM399" s="1683"/>
      <c r="AN399" s="1683"/>
      <c r="AO399" s="1683"/>
      <c r="AP399" s="1683"/>
      <c r="AQ399" s="1683"/>
      <c r="AR399" s="1683"/>
      <c r="AS399" s="1683"/>
      <c r="AT399" s="1683"/>
      <c r="AU399" s="1683"/>
      <c r="AV399" s="1683"/>
      <c r="AW399" s="1683"/>
      <c r="AX399" s="1683"/>
      <c r="AY399" s="1683"/>
      <c r="AZ399" s="1683"/>
      <c r="BA399" s="1683"/>
      <c r="BB399" s="1683"/>
    </row>
    <row r="400" spans="1:54">
      <c r="A400" s="326">
        <f t="shared" si="43"/>
        <v>45565</v>
      </c>
      <c r="B400" s="1678">
        <v>99.4</v>
      </c>
      <c r="C400" s="1679">
        <f t="shared" si="48"/>
        <v>0.994</v>
      </c>
      <c r="D400" s="1679">
        <f>PRODUCT(C$5:C400)</f>
        <v>3.63699545741616</v>
      </c>
      <c r="J400" s="1680">
        <v>0.13</v>
      </c>
      <c r="K400" s="1680">
        <v>0.09</v>
      </c>
      <c r="L400" s="1680">
        <v>0.06</v>
      </c>
      <c r="N400" s="1681"/>
      <c r="O400" s="1681"/>
      <c r="P400" s="1681"/>
      <c r="Q400" s="1681"/>
      <c r="R400" s="1681"/>
      <c r="T400" s="1681"/>
      <c r="U400" s="1681"/>
      <c r="W400" s="1681">
        <f t="shared" si="50"/>
        <v>0</v>
      </c>
      <c r="X400" s="1681"/>
      <c r="Y400" s="1681">
        <f t="shared" si="51"/>
        <v>0</v>
      </c>
      <c r="Z400" s="1681"/>
      <c r="AB400" s="1682">
        <v>0.0335</v>
      </c>
      <c r="AC400" s="1682">
        <v>0.0385</v>
      </c>
      <c r="AE400" s="1683"/>
      <c r="AF400" s="1683"/>
      <c r="AG400" s="1683"/>
      <c r="AH400" s="1683"/>
      <c r="AI400" s="1683"/>
      <c r="AJ400" s="1683"/>
      <c r="AK400" s="1683"/>
      <c r="AL400" s="1683"/>
      <c r="AM400" s="1683"/>
      <c r="AN400" s="1683"/>
      <c r="AO400" s="1683"/>
      <c r="AP400" s="1683"/>
      <c r="AQ400" s="1683"/>
      <c r="AR400" s="1683"/>
      <c r="AS400" s="1683"/>
      <c r="AT400" s="1683"/>
      <c r="AU400" s="1683"/>
      <c r="AV400" s="1683"/>
      <c r="AW400" s="1683"/>
      <c r="AX400" s="1683"/>
      <c r="AY400" s="1683"/>
      <c r="AZ400" s="1683"/>
      <c r="BA400" s="1683"/>
      <c r="BB400" s="1683"/>
    </row>
    <row r="401" spans="1:54">
      <c r="A401" s="326">
        <f t="shared" si="43"/>
        <v>45596</v>
      </c>
      <c r="B401" s="1678">
        <v>99.9</v>
      </c>
      <c r="C401" s="1679">
        <f t="shared" si="48"/>
        <v>0.999</v>
      </c>
      <c r="D401" s="1679">
        <f>PRODUCT(C$5:C401)</f>
        <v>3.63335846195874</v>
      </c>
      <c r="J401" s="1680">
        <v>0.13</v>
      </c>
      <c r="K401" s="1680">
        <v>0.09</v>
      </c>
      <c r="L401" s="1680">
        <v>0.06</v>
      </c>
      <c r="N401" s="1681"/>
      <c r="O401" s="1681"/>
      <c r="P401" s="1681"/>
      <c r="Q401" s="1681"/>
      <c r="R401" s="1681"/>
      <c r="T401" s="1681"/>
      <c r="U401" s="1681"/>
      <c r="W401" s="1681">
        <f t="shared" si="50"/>
        <v>0</v>
      </c>
      <c r="X401" s="1681"/>
      <c r="Y401" s="1681">
        <f t="shared" si="51"/>
        <v>0</v>
      </c>
      <c r="Z401" s="1681"/>
      <c r="AB401" s="1682">
        <v>0.031</v>
      </c>
      <c r="AC401" s="1682">
        <v>0.036</v>
      </c>
      <c r="AE401" s="1683"/>
      <c r="AF401" s="1683"/>
      <c r="AG401" s="1683"/>
      <c r="AH401" s="1683"/>
      <c r="AI401" s="1683"/>
      <c r="AJ401" s="1683"/>
      <c r="AK401" s="1683"/>
      <c r="AL401" s="1683"/>
      <c r="AM401" s="1683"/>
      <c r="AN401" s="1683"/>
      <c r="AO401" s="1683"/>
      <c r="AP401" s="1683"/>
      <c r="AQ401" s="1683"/>
      <c r="AR401" s="1683"/>
      <c r="AS401" s="1683"/>
      <c r="AT401" s="1683"/>
      <c r="AU401" s="1683"/>
      <c r="AV401" s="1683"/>
      <c r="AW401" s="1683"/>
      <c r="AX401" s="1683"/>
      <c r="AY401" s="1683"/>
      <c r="AZ401" s="1683"/>
      <c r="BA401" s="1683"/>
      <c r="BB401" s="1683"/>
    </row>
    <row r="402" spans="1:54">
      <c r="A402" s="326">
        <f t="shared" si="43"/>
        <v>45626</v>
      </c>
      <c r="B402" s="1678">
        <v>100.1</v>
      </c>
      <c r="C402" s="1679">
        <f t="shared" si="48"/>
        <v>1.001</v>
      </c>
      <c r="D402" s="1679">
        <f>PRODUCT(C$5:C402)</f>
        <v>3.6369918204207</v>
      </c>
      <c r="J402" s="1680">
        <v>0.13</v>
      </c>
      <c r="K402" s="1680">
        <v>0.09</v>
      </c>
      <c r="L402" s="1680">
        <v>0.06</v>
      </c>
      <c r="N402" s="1681"/>
      <c r="O402" s="1681"/>
      <c r="P402" s="1681"/>
      <c r="Q402" s="1681"/>
      <c r="R402" s="1681"/>
      <c r="T402" s="1681"/>
      <c r="U402" s="1681"/>
      <c r="W402" s="1681">
        <f t="shared" si="50"/>
        <v>0</v>
      </c>
      <c r="X402" s="1681"/>
      <c r="Y402" s="1681">
        <f t="shared" si="51"/>
        <v>0</v>
      </c>
      <c r="Z402" s="1681"/>
      <c r="AB402" s="1682">
        <v>0.031</v>
      </c>
      <c r="AC402" s="1682">
        <v>0.036</v>
      </c>
      <c r="AE402" s="1683"/>
      <c r="AF402" s="1683"/>
      <c r="AG402" s="1683"/>
      <c r="AH402" s="1683"/>
      <c r="AI402" s="1683"/>
      <c r="AJ402" s="1683"/>
      <c r="AK402" s="1683"/>
      <c r="AL402" s="1683"/>
      <c r="AM402" s="1683"/>
      <c r="AN402" s="1683"/>
      <c r="AO402" s="1683"/>
      <c r="AP402" s="1683"/>
      <c r="AQ402" s="1683"/>
      <c r="AR402" s="1683"/>
      <c r="AS402" s="1683"/>
      <c r="AT402" s="1683"/>
      <c r="AU402" s="1683"/>
      <c r="AV402" s="1683"/>
      <c r="AW402" s="1683"/>
      <c r="AX402" s="1683"/>
      <c r="AY402" s="1683"/>
      <c r="AZ402" s="1683"/>
      <c r="BA402" s="1683"/>
      <c r="BB402" s="1683"/>
    </row>
    <row r="403" spans="1:54">
      <c r="A403" s="326">
        <f t="shared" si="43"/>
        <v>45657</v>
      </c>
      <c r="B403" s="1678">
        <v>99.9</v>
      </c>
      <c r="C403" s="1679">
        <f t="shared" si="48"/>
        <v>0.999</v>
      </c>
      <c r="D403" s="1679">
        <f>PRODUCT(C$5:C403)</f>
        <v>3.63335482860028</v>
      </c>
      <c r="J403" s="1680">
        <v>0.13</v>
      </c>
      <c r="K403" s="1680">
        <v>0.09</v>
      </c>
      <c r="L403" s="1680">
        <v>0.06</v>
      </c>
      <c r="N403" s="1681"/>
      <c r="O403" s="1681"/>
      <c r="P403" s="1681"/>
      <c r="Q403" s="1681"/>
      <c r="R403" s="1681"/>
      <c r="T403" s="1681"/>
      <c r="U403" s="1681"/>
      <c r="W403" s="1681">
        <f t="shared" si="50"/>
        <v>0</v>
      </c>
      <c r="X403" s="1681"/>
      <c r="Y403" s="1681">
        <f t="shared" si="51"/>
        <v>0</v>
      </c>
      <c r="Z403" s="1681"/>
      <c r="AB403" s="1682">
        <v>0.031</v>
      </c>
      <c r="AC403" s="1682">
        <v>0.036</v>
      </c>
      <c r="AE403" s="1683"/>
      <c r="AF403" s="1683"/>
      <c r="AG403" s="1683"/>
      <c r="AH403" s="1683"/>
      <c r="AI403" s="1683"/>
      <c r="AJ403" s="1683"/>
      <c r="AK403" s="1683"/>
      <c r="AL403" s="1683"/>
      <c r="AM403" s="1683"/>
      <c r="AN403" s="1683"/>
      <c r="AO403" s="1683"/>
      <c r="AP403" s="1683"/>
      <c r="AQ403" s="1683"/>
      <c r="AR403" s="1683"/>
      <c r="AS403" s="1683"/>
      <c r="AT403" s="1683"/>
      <c r="AU403" s="1683"/>
      <c r="AV403" s="1683"/>
      <c r="AW403" s="1683"/>
      <c r="AX403" s="1683"/>
      <c r="AY403" s="1683"/>
      <c r="AZ403" s="1683"/>
      <c r="BA403" s="1683"/>
      <c r="BB403" s="1683"/>
    </row>
    <row r="404" spans="1:54">
      <c r="A404" s="326">
        <f t="shared" si="43"/>
        <v>45688</v>
      </c>
      <c r="B404" s="1678">
        <v>99.8</v>
      </c>
      <c r="C404" s="1679">
        <f t="shared" si="48"/>
        <v>0.998</v>
      </c>
      <c r="D404" s="1679">
        <f>PRODUCT(C$5:C404)</f>
        <v>3.62608811894308</v>
      </c>
      <c r="J404" s="1680"/>
      <c r="K404" s="1680"/>
      <c r="L404" s="1680"/>
      <c r="N404" s="1681"/>
      <c r="O404" s="1681"/>
      <c r="P404" s="1681"/>
      <c r="Q404" s="1681"/>
      <c r="R404" s="1681"/>
      <c r="T404" s="1681"/>
      <c r="U404" s="1681"/>
      <c r="W404" s="1681">
        <f t="shared" si="50"/>
        <v>0</v>
      </c>
      <c r="X404" s="1681"/>
      <c r="Y404" s="1681">
        <f t="shared" si="51"/>
        <v>0</v>
      </c>
      <c r="Z404" s="1681"/>
      <c r="AB404" s="1682"/>
      <c r="AC404" s="1682"/>
      <c r="AE404" s="1683"/>
      <c r="AF404" s="1683"/>
      <c r="AG404" s="1683"/>
      <c r="AH404" s="1683"/>
      <c r="AI404" s="1683"/>
      <c r="AJ404" s="1683"/>
      <c r="AK404" s="1683"/>
      <c r="AL404" s="1683"/>
      <c r="AM404" s="1683"/>
      <c r="AN404" s="1683"/>
      <c r="AO404" s="1683"/>
      <c r="AP404" s="1683"/>
      <c r="AQ404" s="1683"/>
      <c r="AR404" s="1683"/>
      <c r="AS404" s="1683"/>
      <c r="AT404" s="1683"/>
      <c r="AU404" s="1683"/>
      <c r="AV404" s="1683"/>
      <c r="AW404" s="1683"/>
      <c r="AX404" s="1683"/>
      <c r="AY404" s="1683"/>
      <c r="AZ404" s="1683"/>
      <c r="BA404" s="1683"/>
      <c r="BB404" s="1683"/>
    </row>
    <row r="405" spans="1:54">
      <c r="A405" s="326">
        <f t="shared" si="43"/>
        <v>45716</v>
      </c>
      <c r="B405" s="1678">
        <v>99.9</v>
      </c>
      <c r="C405" s="1679">
        <f t="shared" si="48"/>
        <v>0.999</v>
      </c>
      <c r="D405" s="1679">
        <f>PRODUCT(C$5:C405)</f>
        <v>3.62246203082414</v>
      </c>
      <c r="J405" s="1680"/>
      <c r="K405" s="1680"/>
      <c r="L405" s="1680"/>
      <c r="N405" s="1681"/>
      <c r="O405" s="1681"/>
      <c r="P405" s="1681"/>
      <c r="Q405" s="1681"/>
      <c r="R405" s="1681"/>
      <c r="T405" s="1681"/>
      <c r="U405" s="1681"/>
      <c r="W405" s="1681">
        <f t="shared" si="50"/>
        <v>0</v>
      </c>
      <c r="X405" s="1681"/>
      <c r="Y405" s="1681">
        <f t="shared" si="51"/>
        <v>0</v>
      </c>
      <c r="Z405" s="1681"/>
      <c r="AB405" s="1682"/>
      <c r="AC405" s="1682"/>
      <c r="AE405" s="1683"/>
      <c r="AF405" s="1683"/>
      <c r="AG405" s="1683"/>
      <c r="AH405" s="1683"/>
      <c r="AI405" s="1683"/>
      <c r="AJ405" s="1683"/>
      <c r="AK405" s="1683"/>
      <c r="AL405" s="1683"/>
      <c r="AM405" s="1683"/>
      <c r="AN405" s="1683"/>
      <c r="AO405" s="1683"/>
      <c r="AP405" s="1683"/>
      <c r="AQ405" s="1683"/>
      <c r="AR405" s="1683"/>
      <c r="AS405" s="1683"/>
      <c r="AT405" s="1683"/>
      <c r="AU405" s="1683"/>
      <c r="AV405" s="1683"/>
      <c r="AW405" s="1683"/>
      <c r="AX405" s="1683"/>
      <c r="AY405" s="1683"/>
      <c r="AZ405" s="1683"/>
      <c r="BA405" s="1683"/>
      <c r="BB405" s="1683"/>
    </row>
    <row r="406" spans="1:54">
      <c r="A406" s="326">
        <f t="shared" ref="A406:A469" si="53">DATE(IF(MONTH(A405)=12,YEAR(A405)+1,YEAR(A405)),MONTH(A405+1)+1,1)-1</f>
        <v>45747</v>
      </c>
      <c r="B406" s="1678">
        <v>99.6</v>
      </c>
      <c r="C406" s="1679">
        <f t="shared" si="48"/>
        <v>0.996</v>
      </c>
      <c r="D406" s="1679">
        <f>PRODUCT(C$5:C406)</f>
        <v>3.60797218270084</v>
      </c>
      <c r="J406" s="1680"/>
      <c r="K406" s="1680"/>
      <c r="L406" s="1680"/>
      <c r="N406" s="1681"/>
      <c r="O406" s="1681"/>
      <c r="P406" s="1681"/>
      <c r="Q406" s="1681"/>
      <c r="R406" s="1681"/>
      <c r="T406" s="1681"/>
      <c r="U406" s="1681"/>
      <c r="W406" s="1681">
        <f t="shared" si="50"/>
        <v>0</v>
      </c>
      <c r="X406" s="1681"/>
      <c r="Y406" s="1681">
        <f t="shared" si="51"/>
        <v>0</v>
      </c>
      <c r="Z406" s="1681"/>
      <c r="AB406" s="1682"/>
      <c r="AC406" s="1682"/>
      <c r="AE406" s="1683"/>
      <c r="AF406" s="1683"/>
      <c r="AG406" s="1683"/>
      <c r="AH406" s="1683"/>
      <c r="AI406" s="1683"/>
      <c r="AJ406" s="1683"/>
      <c r="AK406" s="1683"/>
      <c r="AL406" s="1683"/>
      <c r="AM406" s="1683"/>
      <c r="AN406" s="1683"/>
      <c r="AO406" s="1683"/>
      <c r="AP406" s="1683"/>
      <c r="AQ406" s="1683"/>
      <c r="AR406" s="1683"/>
      <c r="AS406" s="1683"/>
      <c r="AT406" s="1683"/>
      <c r="AU406" s="1683"/>
      <c r="AV406" s="1683"/>
      <c r="AW406" s="1683"/>
      <c r="AX406" s="1683"/>
      <c r="AY406" s="1683"/>
      <c r="AZ406" s="1683"/>
      <c r="BA406" s="1683"/>
      <c r="BB406" s="1683"/>
    </row>
    <row r="407" spans="1:54">
      <c r="A407" s="326">
        <f t="shared" si="53"/>
        <v>45777</v>
      </c>
      <c r="B407" s="1678">
        <v>99.6</v>
      </c>
      <c r="C407" s="1679">
        <f t="shared" si="48"/>
        <v>0.996</v>
      </c>
      <c r="D407" s="1679">
        <f>PRODUCT(C$5:C407)</f>
        <v>3.59354029397004</v>
      </c>
      <c r="J407" s="1680"/>
      <c r="K407" s="1680"/>
      <c r="L407" s="1680"/>
      <c r="N407" s="1681"/>
      <c r="O407" s="1681"/>
      <c r="P407" s="1681"/>
      <c r="Q407" s="1681"/>
      <c r="R407" s="1681"/>
      <c r="T407" s="1681"/>
      <c r="U407" s="1681"/>
      <c r="W407" s="1681">
        <f t="shared" si="50"/>
        <v>0</v>
      </c>
      <c r="X407" s="1681"/>
      <c r="Y407" s="1681">
        <f t="shared" si="51"/>
        <v>0</v>
      </c>
      <c r="Z407" s="1681"/>
      <c r="AB407" s="1682"/>
      <c r="AC407" s="1682"/>
      <c r="AE407" s="1683"/>
      <c r="AF407" s="1683"/>
      <c r="AG407" s="1683"/>
      <c r="AH407" s="1683"/>
      <c r="AI407" s="1683"/>
      <c r="AJ407" s="1683"/>
      <c r="AK407" s="1683"/>
      <c r="AL407" s="1683"/>
      <c r="AM407" s="1683"/>
      <c r="AN407" s="1683"/>
      <c r="AO407" s="1683"/>
      <c r="AP407" s="1683"/>
      <c r="AQ407" s="1683"/>
      <c r="AR407" s="1683"/>
      <c r="AS407" s="1683"/>
      <c r="AT407" s="1683"/>
      <c r="AU407" s="1683"/>
      <c r="AV407" s="1683"/>
      <c r="AW407" s="1683"/>
      <c r="AX407" s="1683"/>
      <c r="AY407" s="1683"/>
      <c r="AZ407" s="1683"/>
      <c r="BA407" s="1683"/>
      <c r="BB407" s="1683"/>
    </row>
    <row r="408" spans="1:54">
      <c r="A408" s="326">
        <f t="shared" si="53"/>
        <v>45808</v>
      </c>
      <c r="B408" s="1678">
        <v>99.6</v>
      </c>
      <c r="C408" s="1679">
        <f t="shared" si="48"/>
        <v>0.996</v>
      </c>
      <c r="D408" s="1679">
        <f>PRODUCT(C$5:C408)</f>
        <v>3.57916613279416</v>
      </c>
      <c r="J408" s="1680"/>
      <c r="K408" s="1680"/>
      <c r="L408" s="1680"/>
      <c r="N408" s="1681"/>
      <c r="O408" s="1681"/>
      <c r="P408" s="1681"/>
      <c r="Q408" s="1681"/>
      <c r="R408" s="1681"/>
      <c r="T408" s="1681"/>
      <c r="U408" s="1681"/>
      <c r="W408" s="1681">
        <f t="shared" si="50"/>
        <v>0</v>
      </c>
      <c r="X408" s="1681"/>
      <c r="Y408" s="1681">
        <f t="shared" si="51"/>
        <v>0</v>
      </c>
      <c r="Z408" s="1681"/>
      <c r="AB408" s="1682"/>
      <c r="AC408" s="1682"/>
      <c r="AE408" s="1683"/>
      <c r="AF408" s="1683"/>
      <c r="AG408" s="1683"/>
      <c r="AH408" s="1683"/>
      <c r="AI408" s="1683"/>
      <c r="AJ408" s="1683"/>
      <c r="AK408" s="1683"/>
      <c r="AL408" s="1683"/>
      <c r="AM408" s="1683"/>
      <c r="AN408" s="1683"/>
      <c r="AO408" s="1683"/>
      <c r="AP408" s="1683"/>
      <c r="AQ408" s="1683"/>
      <c r="AR408" s="1683"/>
      <c r="AS408" s="1683"/>
      <c r="AT408" s="1683"/>
      <c r="AU408" s="1683"/>
      <c r="AV408" s="1683"/>
      <c r="AW408" s="1683"/>
      <c r="AX408" s="1683"/>
      <c r="AY408" s="1683"/>
      <c r="AZ408" s="1683"/>
      <c r="BA408" s="1683"/>
      <c r="BB408" s="1683"/>
    </row>
    <row r="409" spans="1:54">
      <c r="A409" s="326">
        <f t="shared" si="53"/>
        <v>45838</v>
      </c>
      <c r="B409" s="1678">
        <v>99.6</v>
      </c>
      <c r="C409" s="1679">
        <f t="shared" si="48"/>
        <v>0.996</v>
      </c>
      <c r="D409" s="1679">
        <f>PRODUCT(C$5:C409)</f>
        <v>3.56484946826298</v>
      </c>
      <c r="J409" s="1680"/>
      <c r="K409" s="1680"/>
      <c r="L409" s="1680"/>
      <c r="N409" s="1681"/>
      <c r="O409" s="1681"/>
      <c r="P409" s="1681"/>
      <c r="Q409" s="1681"/>
      <c r="R409" s="1681"/>
      <c r="T409" s="1681"/>
      <c r="U409" s="1681"/>
      <c r="W409" s="1681">
        <f t="shared" si="50"/>
        <v>0</v>
      </c>
      <c r="X409" s="1681"/>
      <c r="Y409" s="1681">
        <f t="shared" si="51"/>
        <v>0</v>
      </c>
      <c r="Z409" s="1681"/>
      <c r="AB409" s="1682"/>
      <c r="AC409" s="1682"/>
      <c r="AE409" s="1683"/>
      <c r="AF409" s="1683"/>
      <c r="AG409" s="1683"/>
      <c r="AH409" s="1683"/>
      <c r="AI409" s="1683"/>
      <c r="AJ409" s="1683"/>
      <c r="AK409" s="1683"/>
      <c r="AL409" s="1683"/>
      <c r="AM409" s="1683"/>
      <c r="AN409" s="1683"/>
      <c r="AO409" s="1683"/>
      <c r="AP409" s="1683"/>
      <c r="AQ409" s="1683"/>
      <c r="AR409" s="1683"/>
      <c r="AS409" s="1683"/>
      <c r="AT409" s="1683"/>
      <c r="AU409" s="1683"/>
      <c r="AV409" s="1683"/>
      <c r="AW409" s="1683"/>
      <c r="AX409" s="1683"/>
      <c r="AY409" s="1683"/>
      <c r="AZ409" s="1683"/>
      <c r="BA409" s="1683"/>
      <c r="BB409" s="1683"/>
    </row>
    <row r="410" spans="1:54">
      <c r="A410" s="326">
        <f t="shared" si="53"/>
        <v>45869</v>
      </c>
      <c r="B410" s="1678">
        <v>99.8</v>
      </c>
      <c r="C410" s="1679">
        <f t="shared" si="48"/>
        <v>0.998</v>
      </c>
      <c r="D410" s="1679">
        <f>PRODUCT(C$5:C410)</f>
        <v>3.55771976932645</v>
      </c>
      <c r="J410" s="1680"/>
      <c r="K410" s="1680"/>
      <c r="L410" s="1680"/>
      <c r="N410" s="1681"/>
      <c r="O410" s="1681"/>
      <c r="P410" s="1681"/>
      <c r="Q410" s="1681"/>
      <c r="R410" s="1681"/>
      <c r="T410" s="1681"/>
      <c r="U410" s="1681"/>
      <c r="W410" s="1681">
        <f t="shared" si="50"/>
        <v>0</v>
      </c>
      <c r="X410" s="1681"/>
      <c r="Y410" s="1681">
        <f t="shared" si="51"/>
        <v>0</v>
      </c>
      <c r="Z410" s="1681"/>
      <c r="AB410" s="1682"/>
      <c r="AC410" s="1682"/>
      <c r="AE410" s="1683"/>
      <c r="AF410" s="1683"/>
      <c r="AG410" s="1683"/>
      <c r="AH410" s="1683"/>
      <c r="AI410" s="1683"/>
      <c r="AJ410" s="1683"/>
      <c r="AK410" s="1683"/>
      <c r="AL410" s="1683"/>
      <c r="AM410" s="1683"/>
      <c r="AN410" s="1683"/>
      <c r="AO410" s="1683"/>
      <c r="AP410" s="1683"/>
      <c r="AQ410" s="1683"/>
      <c r="AR410" s="1683"/>
      <c r="AS410" s="1683"/>
      <c r="AT410" s="1683"/>
      <c r="AU410" s="1683"/>
      <c r="AV410" s="1683"/>
      <c r="AW410" s="1683"/>
      <c r="AX410" s="1683"/>
      <c r="AY410" s="1683"/>
      <c r="AZ410" s="1683"/>
      <c r="BA410" s="1683"/>
      <c r="BB410" s="1683"/>
    </row>
    <row r="411" spans="1:54">
      <c r="A411" s="326">
        <f t="shared" si="53"/>
        <v>45900</v>
      </c>
      <c r="B411" s="1678">
        <v>100</v>
      </c>
      <c r="C411" s="1679">
        <f t="shared" si="48"/>
        <v>1</v>
      </c>
      <c r="D411" s="1679">
        <f>PRODUCT(C$5:C411)</f>
        <v>3.55771976932645</v>
      </c>
      <c r="J411" s="1680"/>
      <c r="K411" s="1680"/>
      <c r="L411" s="1680"/>
      <c r="N411" s="1681"/>
      <c r="O411" s="1681"/>
      <c r="P411" s="1681"/>
      <c r="Q411" s="1681"/>
      <c r="R411" s="1681"/>
      <c r="T411" s="1681"/>
      <c r="U411" s="1681"/>
      <c r="W411" s="1681">
        <f t="shared" si="50"/>
        <v>0</v>
      </c>
      <c r="X411" s="1681"/>
      <c r="Y411" s="1681">
        <f t="shared" si="51"/>
        <v>0</v>
      </c>
      <c r="Z411" s="1681"/>
      <c r="AB411" s="1682"/>
      <c r="AC411" s="1682"/>
      <c r="AE411" s="1683"/>
      <c r="AF411" s="1683"/>
      <c r="AG411" s="1683"/>
      <c r="AH411" s="1683"/>
      <c r="AI411" s="1683"/>
      <c r="AJ411" s="1683"/>
      <c r="AK411" s="1683"/>
      <c r="AL411" s="1683"/>
      <c r="AM411" s="1683"/>
      <c r="AN411" s="1683"/>
      <c r="AO411" s="1683"/>
      <c r="AP411" s="1683"/>
      <c r="AQ411" s="1683"/>
      <c r="AR411" s="1683"/>
      <c r="AS411" s="1683"/>
      <c r="AT411" s="1683"/>
      <c r="AU411" s="1683"/>
      <c r="AV411" s="1683"/>
      <c r="AW411" s="1683"/>
      <c r="AX411" s="1683"/>
      <c r="AY411" s="1683"/>
      <c r="AZ411" s="1683"/>
      <c r="BA411" s="1683"/>
      <c r="BB411" s="1683"/>
    </row>
    <row r="412" spans="1:54">
      <c r="A412" s="326">
        <f t="shared" si="53"/>
        <v>45930</v>
      </c>
      <c r="B412" s="1678">
        <v>100</v>
      </c>
      <c r="C412" s="1679">
        <f t="shared" si="48"/>
        <v>1</v>
      </c>
      <c r="D412" s="1679">
        <f>PRODUCT(C$5:C412)</f>
        <v>3.55771976932645</v>
      </c>
      <c r="J412" s="1680"/>
      <c r="K412" s="1680"/>
      <c r="L412" s="1680"/>
      <c r="N412" s="1681"/>
      <c r="O412" s="1681"/>
      <c r="P412" s="1681"/>
      <c r="Q412" s="1681"/>
      <c r="R412" s="1681"/>
      <c r="T412" s="1681"/>
      <c r="U412" s="1681"/>
      <c r="W412" s="1681">
        <f t="shared" si="50"/>
        <v>0</v>
      </c>
      <c r="X412" s="1681"/>
      <c r="Y412" s="1681">
        <f t="shared" si="51"/>
        <v>0</v>
      </c>
      <c r="Z412" s="1681"/>
      <c r="AB412" s="1682"/>
      <c r="AC412" s="1682"/>
      <c r="AE412" s="1683"/>
      <c r="AF412" s="1683"/>
      <c r="AG412" s="1683"/>
      <c r="AH412" s="1683"/>
      <c r="AI412" s="1683"/>
      <c r="AJ412" s="1683"/>
      <c r="AK412" s="1683"/>
      <c r="AL412" s="1683"/>
      <c r="AM412" s="1683"/>
      <c r="AN412" s="1683"/>
      <c r="AO412" s="1683"/>
      <c r="AP412" s="1683"/>
      <c r="AQ412" s="1683"/>
      <c r="AR412" s="1683"/>
      <c r="AS412" s="1683"/>
      <c r="AT412" s="1683"/>
      <c r="AU412" s="1683"/>
      <c r="AV412" s="1683"/>
      <c r="AW412" s="1683"/>
      <c r="AX412" s="1683"/>
      <c r="AY412" s="1683"/>
      <c r="AZ412" s="1683"/>
      <c r="BA412" s="1683"/>
      <c r="BB412" s="1683"/>
    </row>
    <row r="413" spans="1:54">
      <c r="A413" s="326">
        <f t="shared" si="53"/>
        <v>45961</v>
      </c>
      <c r="B413" s="1678"/>
      <c r="C413" s="1679">
        <f t="shared" si="48"/>
        <v>1</v>
      </c>
      <c r="D413" s="1679">
        <f>PRODUCT(C$5:C413)</f>
        <v>3.55771976932645</v>
      </c>
      <c r="J413" s="1680"/>
      <c r="K413" s="1680"/>
      <c r="L413" s="1680"/>
      <c r="N413" s="1681"/>
      <c r="O413" s="1681"/>
      <c r="P413" s="1681"/>
      <c r="Q413" s="1681"/>
      <c r="R413" s="1681"/>
      <c r="T413" s="1681"/>
      <c r="U413" s="1681"/>
      <c r="W413" s="1681">
        <f t="shared" si="50"/>
        <v>0</v>
      </c>
      <c r="X413" s="1681"/>
      <c r="Y413" s="1681">
        <f t="shared" si="51"/>
        <v>0</v>
      </c>
      <c r="Z413" s="1681"/>
      <c r="AB413" s="1682"/>
      <c r="AC413" s="1682"/>
      <c r="AE413" s="1683"/>
      <c r="AF413" s="1683"/>
      <c r="AG413" s="1683"/>
      <c r="AH413" s="1683"/>
      <c r="AI413" s="1683"/>
      <c r="AJ413" s="1683"/>
      <c r="AK413" s="1683"/>
      <c r="AL413" s="1683"/>
      <c r="AM413" s="1683"/>
      <c r="AN413" s="1683"/>
      <c r="AO413" s="1683"/>
      <c r="AP413" s="1683"/>
      <c r="AQ413" s="1683"/>
      <c r="AR413" s="1683"/>
      <c r="AS413" s="1683"/>
      <c r="AT413" s="1683"/>
      <c r="AU413" s="1683"/>
      <c r="AV413" s="1683"/>
      <c r="AW413" s="1683"/>
      <c r="AX413" s="1683"/>
      <c r="AY413" s="1683"/>
      <c r="AZ413" s="1683"/>
      <c r="BA413" s="1683"/>
      <c r="BB413" s="1683"/>
    </row>
    <row r="414" spans="1:54">
      <c r="A414" s="326">
        <f t="shared" si="53"/>
        <v>45991</v>
      </c>
      <c r="B414" s="1678"/>
      <c r="C414" s="1679">
        <f t="shared" si="48"/>
        <v>1</v>
      </c>
      <c r="D414" s="1679">
        <f>PRODUCT(C$5:C414)</f>
        <v>3.55771976932645</v>
      </c>
      <c r="J414" s="1680"/>
      <c r="K414" s="1680"/>
      <c r="L414" s="1680"/>
      <c r="N414" s="1681"/>
      <c r="O414" s="1681"/>
      <c r="P414" s="1681"/>
      <c r="Q414" s="1681"/>
      <c r="R414" s="1681"/>
      <c r="T414" s="1681"/>
      <c r="U414" s="1681"/>
      <c r="W414" s="1681">
        <f t="shared" si="50"/>
        <v>0</v>
      </c>
      <c r="X414" s="1681"/>
      <c r="Y414" s="1681">
        <f t="shared" si="51"/>
        <v>0</v>
      </c>
      <c r="Z414" s="1681"/>
      <c r="AB414" s="1682"/>
      <c r="AC414" s="1682"/>
      <c r="AE414" s="1683"/>
      <c r="AF414" s="1683"/>
      <c r="AG414" s="1683"/>
      <c r="AH414" s="1683"/>
      <c r="AI414" s="1683"/>
      <c r="AJ414" s="1683"/>
      <c r="AK414" s="1683"/>
      <c r="AL414" s="1683"/>
      <c r="AM414" s="1683"/>
      <c r="AN414" s="1683"/>
      <c r="AO414" s="1683"/>
      <c r="AP414" s="1683"/>
      <c r="AQ414" s="1683"/>
      <c r="AR414" s="1683"/>
      <c r="AS414" s="1683"/>
      <c r="AT414" s="1683"/>
      <c r="AU414" s="1683"/>
      <c r="AV414" s="1683"/>
      <c r="AW414" s="1683"/>
      <c r="AX414" s="1683"/>
      <c r="AY414" s="1683"/>
      <c r="AZ414" s="1683"/>
      <c r="BA414" s="1683"/>
      <c r="BB414" s="1683"/>
    </row>
    <row r="415" spans="1:54">
      <c r="A415" s="326">
        <f t="shared" si="53"/>
        <v>46022</v>
      </c>
      <c r="B415" s="1678"/>
      <c r="C415" s="1679">
        <f t="shared" si="48"/>
        <v>1</v>
      </c>
      <c r="D415" s="1679">
        <f>PRODUCT(C$5:C415)</f>
        <v>3.55771976932645</v>
      </c>
      <c r="J415" s="1680"/>
      <c r="K415" s="1680"/>
      <c r="L415" s="1680"/>
      <c r="N415" s="1681"/>
      <c r="O415" s="1681"/>
      <c r="P415" s="1681"/>
      <c r="Q415" s="1681"/>
      <c r="R415" s="1681"/>
      <c r="T415" s="1681"/>
      <c r="U415" s="1681"/>
      <c r="W415" s="1681">
        <f t="shared" si="50"/>
        <v>0</v>
      </c>
      <c r="X415" s="1681"/>
      <c r="Y415" s="1681">
        <f t="shared" si="51"/>
        <v>0</v>
      </c>
      <c r="Z415" s="1681"/>
      <c r="AB415" s="1682"/>
      <c r="AC415" s="1682"/>
      <c r="AE415" s="1683"/>
      <c r="AF415" s="1683"/>
      <c r="AG415" s="1683"/>
      <c r="AH415" s="1683"/>
      <c r="AI415" s="1683"/>
      <c r="AJ415" s="1683"/>
      <c r="AK415" s="1683"/>
      <c r="AL415" s="1683"/>
      <c r="AM415" s="1683"/>
      <c r="AN415" s="1683"/>
      <c r="AO415" s="1683"/>
      <c r="AP415" s="1683"/>
      <c r="AQ415" s="1683"/>
      <c r="AR415" s="1683"/>
      <c r="AS415" s="1683"/>
      <c r="AT415" s="1683"/>
      <c r="AU415" s="1683"/>
      <c r="AV415" s="1683"/>
      <c r="AW415" s="1683"/>
      <c r="AX415" s="1683"/>
      <c r="AY415" s="1683"/>
      <c r="AZ415" s="1683"/>
      <c r="BA415" s="1683"/>
      <c r="BB415" s="1683"/>
    </row>
    <row r="416" spans="1:54">
      <c r="A416" s="326">
        <f t="shared" si="53"/>
        <v>46053</v>
      </c>
      <c r="B416" s="1678"/>
      <c r="C416" s="1679">
        <f t="shared" si="48"/>
        <v>1</v>
      </c>
      <c r="D416" s="1679">
        <f>PRODUCT(C$5:C416)</f>
        <v>3.55771976932645</v>
      </c>
      <c r="J416" s="1680"/>
      <c r="K416" s="1680"/>
      <c r="L416" s="1680"/>
      <c r="N416" s="1681"/>
      <c r="O416" s="1681"/>
      <c r="P416" s="1681"/>
      <c r="Q416" s="1681"/>
      <c r="R416" s="1681"/>
      <c r="T416" s="1681"/>
      <c r="U416" s="1681"/>
      <c r="W416" s="1681">
        <f t="shared" si="50"/>
        <v>0</v>
      </c>
      <c r="X416" s="1681"/>
      <c r="Y416" s="1681">
        <f t="shared" si="51"/>
        <v>0</v>
      </c>
      <c r="Z416" s="1681"/>
      <c r="AB416" s="1682"/>
      <c r="AC416" s="1682"/>
      <c r="AE416" s="1683"/>
      <c r="AF416" s="1683"/>
      <c r="AG416" s="1683"/>
      <c r="AH416" s="1683"/>
      <c r="AI416" s="1683"/>
      <c r="AJ416" s="1683"/>
      <c r="AK416" s="1683"/>
      <c r="AL416" s="1683"/>
      <c r="AM416" s="1683"/>
      <c r="AN416" s="1683"/>
      <c r="AO416" s="1683"/>
      <c r="AP416" s="1683"/>
      <c r="AQ416" s="1683"/>
      <c r="AR416" s="1683"/>
      <c r="AS416" s="1683"/>
      <c r="AT416" s="1683"/>
      <c r="AU416" s="1683"/>
      <c r="AV416" s="1683"/>
      <c r="AW416" s="1683"/>
      <c r="AX416" s="1683"/>
      <c r="AY416" s="1683"/>
      <c r="AZ416" s="1683"/>
      <c r="BA416" s="1683"/>
      <c r="BB416" s="1683"/>
    </row>
    <row r="417" spans="1:54">
      <c r="A417" s="326">
        <f t="shared" si="53"/>
        <v>46081</v>
      </c>
      <c r="B417" s="1678"/>
      <c r="C417" s="1679">
        <f t="shared" si="48"/>
        <v>1</v>
      </c>
      <c r="D417" s="1679">
        <f>PRODUCT(C$5:C417)</f>
        <v>3.55771976932645</v>
      </c>
      <c r="J417" s="1680"/>
      <c r="K417" s="1680"/>
      <c r="L417" s="1680"/>
      <c r="N417" s="1681"/>
      <c r="O417" s="1681"/>
      <c r="P417" s="1681"/>
      <c r="Q417" s="1681"/>
      <c r="R417" s="1681"/>
      <c r="T417" s="1681"/>
      <c r="U417" s="1681"/>
      <c r="W417" s="1681">
        <f t="shared" si="50"/>
        <v>0</v>
      </c>
      <c r="X417" s="1681"/>
      <c r="Y417" s="1681">
        <f t="shared" si="51"/>
        <v>0</v>
      </c>
      <c r="Z417" s="1681"/>
      <c r="AB417" s="1682"/>
      <c r="AC417" s="1682"/>
      <c r="AE417" s="1683"/>
      <c r="AF417" s="1683"/>
      <c r="AG417" s="1683"/>
      <c r="AH417" s="1683"/>
      <c r="AI417" s="1683"/>
      <c r="AJ417" s="1683"/>
      <c r="AK417" s="1683"/>
      <c r="AL417" s="1683"/>
      <c r="AM417" s="1683"/>
      <c r="AN417" s="1683"/>
      <c r="AO417" s="1683"/>
      <c r="AP417" s="1683"/>
      <c r="AQ417" s="1683"/>
      <c r="AR417" s="1683"/>
      <c r="AS417" s="1683"/>
      <c r="AT417" s="1683"/>
      <c r="AU417" s="1683"/>
      <c r="AV417" s="1683"/>
      <c r="AW417" s="1683"/>
      <c r="AX417" s="1683"/>
      <c r="AY417" s="1683"/>
      <c r="AZ417" s="1683"/>
      <c r="BA417" s="1683"/>
      <c r="BB417" s="1683"/>
    </row>
    <row r="418" spans="1:54">
      <c r="A418" s="326">
        <f t="shared" si="53"/>
        <v>46112</v>
      </c>
      <c r="B418" s="1678"/>
      <c r="C418" s="1679">
        <f t="shared" si="48"/>
        <v>1</v>
      </c>
      <c r="D418" s="1679">
        <f>PRODUCT(C$5:C418)</f>
        <v>3.55771976932645</v>
      </c>
      <c r="J418" s="1680"/>
      <c r="K418" s="1680"/>
      <c r="L418" s="1680"/>
      <c r="N418" s="1681"/>
      <c r="O418" s="1681"/>
      <c r="P418" s="1681"/>
      <c r="Q418" s="1681"/>
      <c r="R418" s="1681"/>
      <c r="T418" s="1681"/>
      <c r="U418" s="1681"/>
      <c r="W418" s="1681">
        <f t="shared" si="50"/>
        <v>0</v>
      </c>
      <c r="X418" s="1681"/>
      <c r="Y418" s="1681">
        <f t="shared" si="51"/>
        <v>0</v>
      </c>
      <c r="Z418" s="1681"/>
      <c r="AB418" s="1682"/>
      <c r="AC418" s="1682"/>
      <c r="AE418" s="1683"/>
      <c r="AF418" s="1683"/>
      <c r="AG418" s="1683"/>
      <c r="AH418" s="1683"/>
      <c r="AI418" s="1683"/>
      <c r="AJ418" s="1683"/>
      <c r="AK418" s="1683"/>
      <c r="AL418" s="1683"/>
      <c r="AM418" s="1683"/>
      <c r="AN418" s="1683"/>
      <c r="AO418" s="1683"/>
      <c r="AP418" s="1683"/>
      <c r="AQ418" s="1683"/>
      <c r="AR418" s="1683"/>
      <c r="AS418" s="1683"/>
      <c r="AT418" s="1683"/>
      <c r="AU418" s="1683"/>
      <c r="AV418" s="1683"/>
      <c r="AW418" s="1683"/>
      <c r="AX418" s="1683"/>
      <c r="AY418" s="1683"/>
      <c r="AZ418" s="1683"/>
      <c r="BA418" s="1683"/>
      <c r="BB418" s="1683"/>
    </row>
    <row r="419" spans="1:54">
      <c r="A419" s="326">
        <f t="shared" si="53"/>
        <v>46142</v>
      </c>
      <c r="B419" s="1678"/>
      <c r="C419" s="1679">
        <f t="shared" si="48"/>
        <v>1</v>
      </c>
      <c r="D419" s="1679">
        <f>PRODUCT(C$5:C419)</f>
        <v>3.55771976932645</v>
      </c>
      <c r="J419" s="1680"/>
      <c r="K419" s="1680"/>
      <c r="L419" s="1680"/>
      <c r="N419" s="1681"/>
      <c r="O419" s="1681"/>
      <c r="P419" s="1681"/>
      <c r="Q419" s="1681"/>
      <c r="R419" s="1681"/>
      <c r="T419" s="1681"/>
      <c r="U419" s="1681"/>
      <c r="W419" s="1681">
        <f t="shared" si="50"/>
        <v>0</v>
      </c>
      <c r="X419" s="1681"/>
      <c r="Y419" s="1681">
        <f t="shared" si="51"/>
        <v>0</v>
      </c>
      <c r="Z419" s="1681"/>
      <c r="AB419" s="1682"/>
      <c r="AC419" s="1682"/>
      <c r="AE419" s="1683"/>
      <c r="AF419" s="1683"/>
      <c r="AG419" s="1683"/>
      <c r="AH419" s="1683"/>
      <c r="AI419" s="1683"/>
      <c r="AJ419" s="1683"/>
      <c r="AK419" s="1683"/>
      <c r="AL419" s="1683"/>
      <c r="AM419" s="1683"/>
      <c r="AN419" s="1683"/>
      <c r="AO419" s="1683"/>
      <c r="AP419" s="1683"/>
      <c r="AQ419" s="1683"/>
      <c r="AR419" s="1683"/>
      <c r="AS419" s="1683"/>
      <c r="AT419" s="1683"/>
      <c r="AU419" s="1683"/>
      <c r="AV419" s="1683"/>
      <c r="AW419" s="1683"/>
      <c r="AX419" s="1683"/>
      <c r="AY419" s="1683"/>
      <c r="AZ419" s="1683"/>
      <c r="BA419" s="1683"/>
      <c r="BB419" s="1683"/>
    </row>
    <row r="420" spans="1:54">
      <c r="A420" s="326">
        <f t="shared" si="53"/>
        <v>46173</v>
      </c>
      <c r="B420" s="1678"/>
      <c r="C420" s="1679">
        <f t="shared" si="48"/>
        <v>1</v>
      </c>
      <c r="D420" s="1679">
        <f>PRODUCT(C$5:C420)</f>
        <v>3.55771976932645</v>
      </c>
      <c r="J420" s="1680"/>
      <c r="K420" s="1680"/>
      <c r="L420" s="1680"/>
      <c r="N420" s="1681"/>
      <c r="O420" s="1681"/>
      <c r="P420" s="1681"/>
      <c r="Q420" s="1681"/>
      <c r="R420" s="1681"/>
      <c r="T420" s="1681"/>
      <c r="U420" s="1681"/>
      <c r="W420" s="1681">
        <f t="shared" si="50"/>
        <v>0</v>
      </c>
      <c r="X420" s="1681"/>
      <c r="Y420" s="1681">
        <f t="shared" si="51"/>
        <v>0</v>
      </c>
      <c r="Z420" s="1681"/>
      <c r="AB420" s="1682"/>
      <c r="AC420" s="1682"/>
      <c r="AE420" s="1683"/>
      <c r="AF420" s="1683"/>
      <c r="AG420" s="1683"/>
      <c r="AH420" s="1683"/>
      <c r="AI420" s="1683"/>
      <c r="AJ420" s="1683"/>
      <c r="AK420" s="1683"/>
      <c r="AL420" s="1683"/>
      <c r="AM420" s="1683"/>
      <c r="AN420" s="1683"/>
      <c r="AO420" s="1683"/>
      <c r="AP420" s="1683"/>
      <c r="AQ420" s="1683"/>
      <c r="AR420" s="1683"/>
      <c r="AS420" s="1683"/>
      <c r="AT420" s="1683"/>
      <c r="AU420" s="1683"/>
      <c r="AV420" s="1683"/>
      <c r="AW420" s="1683"/>
      <c r="AX420" s="1683"/>
      <c r="AY420" s="1683"/>
      <c r="AZ420" s="1683"/>
      <c r="BA420" s="1683"/>
      <c r="BB420" s="1683"/>
    </row>
    <row r="421" spans="1:54">
      <c r="A421" s="326">
        <f t="shared" si="53"/>
        <v>46203</v>
      </c>
      <c r="B421" s="1678"/>
      <c r="C421" s="1679">
        <f t="shared" si="48"/>
        <v>1</v>
      </c>
      <c r="D421" s="1679">
        <f>PRODUCT(C$5:C421)</f>
        <v>3.55771976932645</v>
      </c>
      <c r="J421" s="1680"/>
      <c r="K421" s="1680"/>
      <c r="L421" s="1680"/>
      <c r="N421" s="1681"/>
      <c r="O421" s="1681"/>
      <c r="P421" s="1681"/>
      <c r="Q421" s="1681"/>
      <c r="R421" s="1681"/>
      <c r="T421" s="1681"/>
      <c r="U421" s="1681"/>
      <c r="W421" s="1681">
        <f t="shared" si="50"/>
        <v>0</v>
      </c>
      <c r="X421" s="1681"/>
      <c r="Y421" s="1681">
        <f t="shared" si="51"/>
        <v>0</v>
      </c>
      <c r="Z421" s="1681"/>
      <c r="AB421" s="1682"/>
      <c r="AC421" s="1682"/>
      <c r="AE421" s="1683"/>
      <c r="AF421" s="1683"/>
      <c r="AG421" s="1683"/>
      <c r="AH421" s="1683"/>
      <c r="AI421" s="1683"/>
      <c r="AJ421" s="1683"/>
      <c r="AK421" s="1683"/>
      <c r="AL421" s="1683"/>
      <c r="AM421" s="1683"/>
      <c r="AN421" s="1683"/>
      <c r="AO421" s="1683"/>
      <c r="AP421" s="1683"/>
      <c r="AQ421" s="1683"/>
      <c r="AR421" s="1683"/>
      <c r="AS421" s="1683"/>
      <c r="AT421" s="1683"/>
      <c r="AU421" s="1683"/>
      <c r="AV421" s="1683"/>
      <c r="AW421" s="1683"/>
      <c r="AX421" s="1683"/>
      <c r="AY421" s="1683"/>
      <c r="AZ421" s="1683"/>
      <c r="BA421" s="1683"/>
      <c r="BB421" s="1683"/>
    </row>
    <row r="422" spans="1:54">
      <c r="A422" s="326">
        <f t="shared" si="53"/>
        <v>46234</v>
      </c>
      <c r="B422" s="1678"/>
      <c r="C422" s="1679">
        <f t="shared" si="48"/>
        <v>1</v>
      </c>
      <c r="D422" s="1679">
        <f>PRODUCT(C$5:C422)</f>
        <v>3.55771976932645</v>
      </c>
      <c r="J422" s="1680"/>
      <c r="K422" s="1680"/>
      <c r="L422" s="1680"/>
      <c r="N422" s="1681"/>
      <c r="O422" s="1681"/>
      <c r="P422" s="1681"/>
      <c r="Q422" s="1681"/>
      <c r="R422" s="1681"/>
      <c r="T422" s="1681"/>
      <c r="U422" s="1681"/>
      <c r="W422" s="1681">
        <f t="shared" si="50"/>
        <v>0</v>
      </c>
      <c r="X422" s="1681"/>
      <c r="Y422" s="1681">
        <f t="shared" si="51"/>
        <v>0</v>
      </c>
      <c r="Z422" s="1681"/>
      <c r="AB422" s="1682"/>
      <c r="AC422" s="1682"/>
      <c r="AE422" s="1683"/>
      <c r="AF422" s="1683"/>
      <c r="AG422" s="1683"/>
      <c r="AH422" s="1683"/>
      <c r="AI422" s="1683"/>
      <c r="AJ422" s="1683"/>
      <c r="AK422" s="1683"/>
      <c r="AL422" s="1683"/>
      <c r="AM422" s="1683"/>
      <c r="AN422" s="1683"/>
      <c r="AO422" s="1683"/>
      <c r="AP422" s="1683"/>
      <c r="AQ422" s="1683"/>
      <c r="AR422" s="1683"/>
      <c r="AS422" s="1683"/>
      <c r="AT422" s="1683"/>
      <c r="AU422" s="1683"/>
      <c r="AV422" s="1683"/>
      <c r="AW422" s="1683"/>
      <c r="AX422" s="1683"/>
      <c r="AY422" s="1683"/>
      <c r="AZ422" s="1683"/>
      <c r="BA422" s="1683"/>
      <c r="BB422" s="1683"/>
    </row>
    <row r="423" spans="1:54">
      <c r="A423" s="326">
        <f t="shared" si="53"/>
        <v>46265</v>
      </c>
      <c r="B423" s="1678"/>
      <c r="C423" s="1679">
        <f t="shared" si="48"/>
        <v>1</v>
      </c>
      <c r="D423" s="1679">
        <f>PRODUCT(C$5:C423)</f>
        <v>3.55771976932645</v>
      </c>
      <c r="J423" s="1680"/>
      <c r="K423" s="1680"/>
      <c r="L423" s="1680"/>
      <c r="N423" s="1681"/>
      <c r="O423" s="1681"/>
      <c r="P423" s="1681"/>
      <c r="Q423" s="1681"/>
      <c r="R423" s="1681"/>
      <c r="T423" s="1681"/>
      <c r="U423" s="1681"/>
      <c r="W423" s="1681">
        <f t="shared" si="50"/>
        <v>0</v>
      </c>
      <c r="X423" s="1681"/>
      <c r="Y423" s="1681">
        <f t="shared" si="51"/>
        <v>0</v>
      </c>
      <c r="Z423" s="1681"/>
      <c r="AB423" s="1682"/>
      <c r="AC423" s="1682"/>
      <c r="AE423" s="1683"/>
      <c r="AF423" s="1683"/>
      <c r="AG423" s="1683"/>
      <c r="AH423" s="1683"/>
      <c r="AI423" s="1683"/>
      <c r="AJ423" s="1683"/>
      <c r="AK423" s="1683"/>
      <c r="AL423" s="1683"/>
      <c r="AM423" s="1683"/>
      <c r="AN423" s="1683"/>
      <c r="AO423" s="1683"/>
      <c r="AP423" s="1683"/>
      <c r="AQ423" s="1683"/>
      <c r="AR423" s="1683"/>
      <c r="AS423" s="1683"/>
      <c r="AT423" s="1683"/>
      <c r="AU423" s="1683"/>
      <c r="AV423" s="1683"/>
      <c r="AW423" s="1683"/>
      <c r="AX423" s="1683"/>
      <c r="AY423" s="1683"/>
      <c r="AZ423" s="1683"/>
      <c r="BA423" s="1683"/>
      <c r="BB423" s="1683"/>
    </row>
    <row r="424" spans="1:54">
      <c r="A424" s="326">
        <f t="shared" si="53"/>
        <v>46295</v>
      </c>
      <c r="B424" s="1678"/>
      <c r="C424" s="1679">
        <f t="shared" si="48"/>
        <v>1</v>
      </c>
      <c r="D424" s="1679">
        <f>PRODUCT(C$5:C424)</f>
        <v>3.55771976932645</v>
      </c>
      <c r="J424" s="1680"/>
      <c r="K424" s="1680"/>
      <c r="L424" s="1680"/>
      <c r="N424" s="1681"/>
      <c r="O424" s="1681"/>
      <c r="P424" s="1681"/>
      <c r="Q424" s="1681"/>
      <c r="R424" s="1681"/>
      <c r="T424" s="1681"/>
      <c r="U424" s="1681"/>
      <c r="W424" s="1681">
        <f t="shared" si="50"/>
        <v>0</v>
      </c>
      <c r="X424" s="1681"/>
      <c r="Y424" s="1681">
        <f t="shared" si="51"/>
        <v>0</v>
      </c>
      <c r="Z424" s="1681"/>
      <c r="AB424" s="1682"/>
      <c r="AC424" s="1682"/>
      <c r="AE424" s="1683"/>
      <c r="AF424" s="1683"/>
      <c r="AG424" s="1683"/>
      <c r="AH424" s="1683"/>
      <c r="AI424" s="1683"/>
      <c r="AJ424" s="1683"/>
      <c r="AK424" s="1683"/>
      <c r="AL424" s="1683"/>
      <c r="AM424" s="1683"/>
      <c r="AN424" s="1683"/>
      <c r="AO424" s="1683"/>
      <c r="AP424" s="1683"/>
      <c r="AQ424" s="1683"/>
      <c r="AR424" s="1683"/>
      <c r="AS424" s="1683"/>
      <c r="AT424" s="1683"/>
      <c r="AU424" s="1683"/>
      <c r="AV424" s="1683"/>
      <c r="AW424" s="1683"/>
      <c r="AX424" s="1683"/>
      <c r="AY424" s="1683"/>
      <c r="AZ424" s="1683"/>
      <c r="BA424" s="1683"/>
      <c r="BB424" s="1683"/>
    </row>
    <row r="425" spans="1:54">
      <c r="A425" s="326">
        <f t="shared" si="53"/>
        <v>46326</v>
      </c>
      <c r="B425" s="1678"/>
      <c r="C425" s="1679">
        <f t="shared" si="48"/>
        <v>1</v>
      </c>
      <c r="D425" s="1679">
        <f>PRODUCT(C$5:C425)</f>
        <v>3.55771976932645</v>
      </c>
      <c r="J425" s="1680"/>
      <c r="K425" s="1680"/>
      <c r="L425" s="1680"/>
      <c r="N425" s="1681"/>
      <c r="O425" s="1681"/>
      <c r="P425" s="1681"/>
      <c r="Q425" s="1681"/>
      <c r="R425" s="1681"/>
      <c r="T425" s="1681"/>
      <c r="U425" s="1681"/>
      <c r="W425" s="1681">
        <f t="shared" si="50"/>
        <v>0</v>
      </c>
      <c r="X425" s="1681"/>
      <c r="Y425" s="1681">
        <f t="shared" si="51"/>
        <v>0</v>
      </c>
      <c r="Z425" s="1681"/>
      <c r="AB425" s="1682"/>
      <c r="AC425" s="1682"/>
      <c r="AE425" s="1683"/>
      <c r="AF425" s="1683"/>
      <c r="AG425" s="1683"/>
      <c r="AH425" s="1683"/>
      <c r="AI425" s="1683"/>
      <c r="AJ425" s="1683"/>
      <c r="AK425" s="1683"/>
      <c r="AL425" s="1683"/>
      <c r="AM425" s="1683"/>
      <c r="AN425" s="1683"/>
      <c r="AO425" s="1683"/>
      <c r="AP425" s="1683"/>
      <c r="AQ425" s="1683"/>
      <c r="AR425" s="1683"/>
      <c r="AS425" s="1683"/>
      <c r="AT425" s="1683"/>
      <c r="AU425" s="1683"/>
      <c r="AV425" s="1683"/>
      <c r="AW425" s="1683"/>
      <c r="AX425" s="1683"/>
      <c r="AY425" s="1683"/>
      <c r="AZ425" s="1683"/>
      <c r="BA425" s="1683"/>
      <c r="BB425" s="1683"/>
    </row>
    <row r="426" spans="1:54">
      <c r="A426" s="326">
        <f t="shared" si="53"/>
        <v>46356</v>
      </c>
      <c r="B426" s="1678"/>
      <c r="C426" s="1679">
        <f t="shared" si="48"/>
        <v>1</v>
      </c>
      <c r="D426" s="1679">
        <f>PRODUCT(C$5:C426)</f>
        <v>3.55771976932645</v>
      </c>
      <c r="J426" s="1680"/>
      <c r="K426" s="1680"/>
      <c r="L426" s="1680"/>
      <c r="N426" s="1681"/>
      <c r="O426" s="1681"/>
      <c r="P426" s="1681"/>
      <c r="Q426" s="1681"/>
      <c r="R426" s="1681"/>
      <c r="T426" s="1681"/>
      <c r="U426" s="1681"/>
      <c r="W426" s="1681">
        <f t="shared" si="50"/>
        <v>0</v>
      </c>
      <c r="X426" s="1681"/>
      <c r="Y426" s="1681">
        <f t="shared" si="51"/>
        <v>0</v>
      </c>
      <c r="Z426" s="1681"/>
      <c r="AB426" s="1682"/>
      <c r="AC426" s="1682"/>
      <c r="AE426" s="1683"/>
      <c r="AF426" s="1683"/>
      <c r="AG426" s="1683"/>
      <c r="AH426" s="1683"/>
      <c r="AI426" s="1683"/>
      <c r="AJ426" s="1683"/>
      <c r="AK426" s="1683"/>
      <c r="AL426" s="1683"/>
      <c r="AM426" s="1683"/>
      <c r="AN426" s="1683"/>
      <c r="AO426" s="1683"/>
      <c r="AP426" s="1683"/>
      <c r="AQ426" s="1683"/>
      <c r="AR426" s="1683"/>
      <c r="AS426" s="1683"/>
      <c r="AT426" s="1683"/>
      <c r="AU426" s="1683"/>
      <c r="AV426" s="1683"/>
      <c r="AW426" s="1683"/>
      <c r="AX426" s="1683"/>
      <c r="AY426" s="1683"/>
      <c r="AZ426" s="1683"/>
      <c r="BA426" s="1683"/>
      <c r="BB426" s="1683"/>
    </row>
    <row r="427" spans="1:54">
      <c r="A427" s="326">
        <f t="shared" si="53"/>
        <v>46387</v>
      </c>
      <c r="B427" s="1678"/>
      <c r="C427" s="1679">
        <f t="shared" si="48"/>
        <v>1</v>
      </c>
      <c r="D427" s="1679">
        <f>PRODUCT(C$5:C427)</f>
        <v>3.55771976932645</v>
      </c>
      <c r="J427" s="1680"/>
      <c r="K427" s="1680"/>
      <c r="L427" s="1680"/>
      <c r="N427" s="1681"/>
      <c r="O427" s="1681"/>
      <c r="P427" s="1681"/>
      <c r="Q427" s="1681"/>
      <c r="R427" s="1681"/>
      <c r="T427" s="1681"/>
      <c r="U427" s="1681"/>
      <c r="W427" s="1681">
        <f t="shared" si="50"/>
        <v>0</v>
      </c>
      <c r="X427" s="1681"/>
      <c r="Y427" s="1681">
        <f t="shared" si="51"/>
        <v>0</v>
      </c>
      <c r="Z427" s="1681"/>
      <c r="AB427" s="1682"/>
      <c r="AC427" s="1682"/>
      <c r="AE427" s="1683"/>
      <c r="AF427" s="1683"/>
      <c r="AG427" s="1683"/>
      <c r="AH427" s="1683"/>
      <c r="AI427" s="1683"/>
      <c r="AJ427" s="1683"/>
      <c r="AK427" s="1683"/>
      <c r="AL427" s="1683"/>
      <c r="AM427" s="1683"/>
      <c r="AN427" s="1683"/>
      <c r="AO427" s="1683"/>
      <c r="AP427" s="1683"/>
      <c r="AQ427" s="1683"/>
      <c r="AR427" s="1683"/>
      <c r="AS427" s="1683"/>
      <c r="AT427" s="1683"/>
      <c r="AU427" s="1683"/>
      <c r="AV427" s="1683"/>
      <c r="AW427" s="1683"/>
      <c r="AX427" s="1683"/>
      <c r="AY427" s="1683"/>
      <c r="AZ427" s="1683"/>
      <c r="BA427" s="1683"/>
      <c r="BB427" s="1683"/>
    </row>
    <row r="428" spans="1:54">
      <c r="A428" s="326">
        <f t="shared" si="53"/>
        <v>46418</v>
      </c>
      <c r="B428" s="1678"/>
      <c r="C428" s="1679">
        <f t="shared" si="48"/>
        <v>1</v>
      </c>
      <c r="D428" s="1679">
        <f>PRODUCT(C$5:C428)</f>
        <v>3.55771976932645</v>
      </c>
      <c r="J428" s="1680"/>
      <c r="K428" s="1680"/>
      <c r="L428" s="1680"/>
      <c r="N428" s="1681"/>
      <c r="O428" s="1681"/>
      <c r="P428" s="1681"/>
      <c r="Q428" s="1681"/>
      <c r="R428" s="1681"/>
      <c r="T428" s="1681"/>
      <c r="U428" s="1681"/>
      <c r="W428" s="1681">
        <f t="shared" si="50"/>
        <v>0</v>
      </c>
      <c r="X428" s="1681"/>
      <c r="Y428" s="1681">
        <f t="shared" si="51"/>
        <v>0</v>
      </c>
      <c r="Z428" s="1681"/>
      <c r="AB428" s="1682"/>
      <c r="AC428" s="1682"/>
      <c r="AE428" s="1683"/>
      <c r="AF428" s="1683"/>
      <c r="AG428" s="1683"/>
      <c r="AH428" s="1683"/>
      <c r="AI428" s="1683"/>
      <c r="AJ428" s="1683"/>
      <c r="AK428" s="1683"/>
      <c r="AL428" s="1683"/>
      <c r="AM428" s="1683"/>
      <c r="AN428" s="1683"/>
      <c r="AO428" s="1683"/>
      <c r="AP428" s="1683"/>
      <c r="AQ428" s="1683"/>
      <c r="AR428" s="1683"/>
      <c r="AS428" s="1683"/>
      <c r="AT428" s="1683"/>
      <c r="AU428" s="1683"/>
      <c r="AV428" s="1683"/>
      <c r="AW428" s="1683"/>
      <c r="AX428" s="1683"/>
      <c r="AY428" s="1683"/>
      <c r="AZ428" s="1683"/>
      <c r="BA428" s="1683"/>
      <c r="BB428" s="1683"/>
    </row>
    <row r="429" spans="1:54">
      <c r="A429" s="326">
        <f t="shared" si="53"/>
        <v>46446</v>
      </c>
      <c r="B429" s="1678"/>
      <c r="C429" s="1679">
        <f t="shared" si="48"/>
        <v>1</v>
      </c>
      <c r="D429" s="1679">
        <f>PRODUCT(C$5:C429)</f>
        <v>3.55771976932645</v>
      </c>
      <c r="J429" s="1680"/>
      <c r="K429" s="1680"/>
      <c r="L429" s="1680"/>
      <c r="N429" s="1681"/>
      <c r="O429" s="1681"/>
      <c r="P429" s="1681"/>
      <c r="Q429" s="1681"/>
      <c r="R429" s="1681"/>
      <c r="T429" s="1681"/>
      <c r="U429" s="1681"/>
      <c r="W429" s="1681">
        <f t="shared" si="50"/>
        <v>0</v>
      </c>
      <c r="X429" s="1681"/>
      <c r="Y429" s="1681">
        <f t="shared" si="51"/>
        <v>0</v>
      </c>
      <c r="Z429" s="1681"/>
      <c r="AB429" s="1682"/>
      <c r="AC429" s="1682"/>
      <c r="AE429" s="1683"/>
      <c r="AF429" s="1683"/>
      <c r="AG429" s="1683"/>
      <c r="AH429" s="1683"/>
      <c r="AI429" s="1683"/>
      <c r="AJ429" s="1683"/>
      <c r="AK429" s="1683"/>
      <c r="AL429" s="1683"/>
      <c r="AM429" s="1683"/>
      <c r="AN429" s="1683"/>
      <c r="AO429" s="1683"/>
      <c r="AP429" s="1683"/>
      <c r="AQ429" s="1683"/>
      <c r="AR429" s="1683"/>
      <c r="AS429" s="1683"/>
      <c r="AT429" s="1683"/>
      <c r="AU429" s="1683"/>
      <c r="AV429" s="1683"/>
      <c r="AW429" s="1683"/>
      <c r="AX429" s="1683"/>
      <c r="AY429" s="1683"/>
      <c r="AZ429" s="1683"/>
      <c r="BA429" s="1683"/>
      <c r="BB429" s="1683"/>
    </row>
    <row r="430" spans="1:54">
      <c r="A430" s="326">
        <f t="shared" si="53"/>
        <v>46477</v>
      </c>
      <c r="B430" s="1678"/>
      <c r="C430" s="1679">
        <f t="shared" si="48"/>
        <v>1</v>
      </c>
      <c r="D430" s="1679">
        <f>PRODUCT(C$5:C430)</f>
        <v>3.55771976932645</v>
      </c>
      <c r="J430" s="1680"/>
      <c r="K430" s="1680"/>
      <c r="L430" s="1680"/>
      <c r="N430" s="1681"/>
      <c r="O430" s="1681"/>
      <c r="P430" s="1681"/>
      <c r="Q430" s="1681"/>
      <c r="R430" s="1681"/>
      <c r="T430" s="1681"/>
      <c r="U430" s="1681"/>
      <c r="W430" s="1681">
        <f t="shared" si="50"/>
        <v>0</v>
      </c>
      <c r="X430" s="1681"/>
      <c r="Y430" s="1681">
        <f t="shared" si="51"/>
        <v>0</v>
      </c>
      <c r="Z430" s="1681"/>
      <c r="AB430" s="1682"/>
      <c r="AC430" s="1682"/>
      <c r="AE430" s="1683"/>
      <c r="AF430" s="1683"/>
      <c r="AG430" s="1683"/>
      <c r="AH430" s="1683"/>
      <c r="AI430" s="1683"/>
      <c r="AJ430" s="1683"/>
      <c r="AK430" s="1683"/>
      <c r="AL430" s="1683"/>
      <c r="AM430" s="1683"/>
      <c r="AN430" s="1683"/>
      <c r="AO430" s="1683"/>
      <c r="AP430" s="1683"/>
      <c r="AQ430" s="1683"/>
      <c r="AR430" s="1683"/>
      <c r="AS430" s="1683"/>
      <c r="AT430" s="1683"/>
      <c r="AU430" s="1683"/>
      <c r="AV430" s="1683"/>
      <c r="AW430" s="1683"/>
      <c r="AX430" s="1683"/>
      <c r="AY430" s="1683"/>
      <c r="AZ430" s="1683"/>
      <c r="BA430" s="1683"/>
      <c r="BB430" s="1683"/>
    </row>
    <row r="431" spans="1:54">
      <c r="A431" s="326">
        <f t="shared" si="53"/>
        <v>46507</v>
      </c>
      <c r="B431" s="1678"/>
      <c r="C431" s="1679">
        <f t="shared" si="48"/>
        <v>1</v>
      </c>
      <c r="D431" s="1679">
        <f>PRODUCT(C$5:C431)</f>
        <v>3.55771976932645</v>
      </c>
      <c r="J431" s="1680"/>
      <c r="K431" s="1680"/>
      <c r="L431" s="1680"/>
      <c r="N431" s="1681"/>
      <c r="O431" s="1681"/>
      <c r="P431" s="1681"/>
      <c r="Q431" s="1681"/>
      <c r="R431" s="1681"/>
      <c r="T431" s="1681"/>
      <c r="U431" s="1681"/>
      <c r="W431" s="1681">
        <f t="shared" si="50"/>
        <v>0</v>
      </c>
      <c r="X431" s="1681"/>
      <c r="Y431" s="1681">
        <f t="shared" si="51"/>
        <v>0</v>
      </c>
      <c r="Z431" s="1681"/>
      <c r="AB431" s="1682"/>
      <c r="AC431" s="1682"/>
      <c r="AE431" s="1683"/>
      <c r="AF431" s="1683"/>
      <c r="AG431" s="1683"/>
      <c r="AH431" s="1683"/>
      <c r="AI431" s="1683"/>
      <c r="AJ431" s="1683"/>
      <c r="AK431" s="1683"/>
      <c r="AL431" s="1683"/>
      <c r="AM431" s="1683"/>
      <c r="AN431" s="1683"/>
      <c r="AO431" s="1683"/>
      <c r="AP431" s="1683"/>
      <c r="AQ431" s="1683"/>
      <c r="AR431" s="1683"/>
      <c r="AS431" s="1683"/>
      <c r="AT431" s="1683"/>
      <c r="AU431" s="1683"/>
      <c r="AV431" s="1683"/>
      <c r="AW431" s="1683"/>
      <c r="AX431" s="1683"/>
      <c r="AY431" s="1683"/>
      <c r="AZ431" s="1683"/>
      <c r="BA431" s="1683"/>
      <c r="BB431" s="1683"/>
    </row>
    <row r="432" spans="1:54">
      <c r="A432" s="326">
        <f t="shared" si="53"/>
        <v>46538</v>
      </c>
      <c r="B432" s="1678"/>
      <c r="C432" s="1679">
        <f t="shared" si="48"/>
        <v>1</v>
      </c>
      <c r="D432" s="1679">
        <f>PRODUCT(C$5:C432)</f>
        <v>3.55771976932645</v>
      </c>
      <c r="J432" s="1680"/>
      <c r="K432" s="1680"/>
      <c r="L432" s="1680"/>
      <c r="N432" s="1681"/>
      <c r="O432" s="1681"/>
      <c r="P432" s="1681"/>
      <c r="Q432" s="1681"/>
      <c r="R432" s="1681"/>
      <c r="T432" s="1681"/>
      <c r="U432" s="1681"/>
      <c r="W432" s="1681">
        <f t="shared" si="50"/>
        <v>0</v>
      </c>
      <c r="X432" s="1681"/>
      <c r="Y432" s="1681">
        <f t="shared" si="51"/>
        <v>0</v>
      </c>
      <c r="Z432" s="1681"/>
      <c r="AB432" s="1682"/>
      <c r="AC432" s="1682"/>
      <c r="AE432" s="1683"/>
      <c r="AF432" s="1683"/>
      <c r="AG432" s="1683"/>
      <c r="AH432" s="1683"/>
      <c r="AI432" s="1683"/>
      <c r="AJ432" s="1683"/>
      <c r="AK432" s="1683"/>
      <c r="AL432" s="1683"/>
      <c r="AM432" s="1683"/>
      <c r="AN432" s="1683"/>
      <c r="AO432" s="1683"/>
      <c r="AP432" s="1683"/>
      <c r="AQ432" s="1683"/>
      <c r="AR432" s="1683"/>
      <c r="AS432" s="1683"/>
      <c r="AT432" s="1683"/>
      <c r="AU432" s="1683"/>
      <c r="AV432" s="1683"/>
      <c r="AW432" s="1683"/>
      <c r="AX432" s="1683"/>
      <c r="AY432" s="1683"/>
      <c r="AZ432" s="1683"/>
      <c r="BA432" s="1683"/>
      <c r="BB432" s="1683"/>
    </row>
    <row r="433" spans="1:54">
      <c r="A433" s="326">
        <f t="shared" si="53"/>
        <v>46568</v>
      </c>
      <c r="B433" s="1678"/>
      <c r="C433" s="1679">
        <f t="shared" si="48"/>
        <v>1</v>
      </c>
      <c r="D433" s="1679">
        <f>PRODUCT(C$5:C433)</f>
        <v>3.55771976932645</v>
      </c>
      <c r="J433" s="1680"/>
      <c r="K433" s="1680"/>
      <c r="L433" s="1680"/>
      <c r="N433" s="1681"/>
      <c r="O433" s="1681"/>
      <c r="P433" s="1681"/>
      <c r="Q433" s="1681"/>
      <c r="R433" s="1681"/>
      <c r="T433" s="1681"/>
      <c r="U433" s="1681"/>
      <c r="W433" s="1681">
        <f t="shared" si="50"/>
        <v>0</v>
      </c>
      <c r="X433" s="1681"/>
      <c r="Y433" s="1681">
        <f t="shared" si="51"/>
        <v>0</v>
      </c>
      <c r="Z433" s="1681"/>
      <c r="AB433" s="1682"/>
      <c r="AC433" s="1682"/>
      <c r="AE433" s="1683"/>
      <c r="AF433" s="1683"/>
      <c r="AG433" s="1683"/>
      <c r="AH433" s="1683"/>
      <c r="AI433" s="1683"/>
      <c r="AJ433" s="1683"/>
      <c r="AK433" s="1683"/>
      <c r="AL433" s="1683"/>
      <c r="AM433" s="1683"/>
      <c r="AN433" s="1683"/>
      <c r="AO433" s="1683"/>
      <c r="AP433" s="1683"/>
      <c r="AQ433" s="1683"/>
      <c r="AR433" s="1683"/>
      <c r="AS433" s="1683"/>
      <c r="AT433" s="1683"/>
      <c r="AU433" s="1683"/>
      <c r="AV433" s="1683"/>
      <c r="AW433" s="1683"/>
      <c r="AX433" s="1683"/>
      <c r="AY433" s="1683"/>
      <c r="AZ433" s="1683"/>
      <c r="BA433" s="1683"/>
      <c r="BB433" s="1683"/>
    </row>
    <row r="434" spans="1:54">
      <c r="A434" s="326">
        <f t="shared" si="53"/>
        <v>46599</v>
      </c>
      <c r="B434" s="1678"/>
      <c r="C434" s="1679">
        <f t="shared" si="48"/>
        <v>1</v>
      </c>
      <c r="D434" s="1679">
        <f>PRODUCT(C$5:C434)</f>
        <v>3.55771976932645</v>
      </c>
      <c r="J434" s="1680"/>
      <c r="K434" s="1680"/>
      <c r="L434" s="1680"/>
      <c r="N434" s="1681"/>
      <c r="O434" s="1681"/>
      <c r="P434" s="1681"/>
      <c r="Q434" s="1681"/>
      <c r="R434" s="1681"/>
      <c r="T434" s="1681"/>
      <c r="U434" s="1681"/>
      <c r="W434" s="1681">
        <f t="shared" si="50"/>
        <v>0</v>
      </c>
      <c r="X434" s="1681"/>
      <c r="Y434" s="1681">
        <f t="shared" si="51"/>
        <v>0</v>
      </c>
      <c r="Z434" s="1681"/>
      <c r="AB434" s="1682"/>
      <c r="AC434" s="1682"/>
      <c r="AE434" s="1683"/>
      <c r="AF434" s="1683"/>
      <c r="AG434" s="1683"/>
      <c r="AH434" s="1683"/>
      <c r="AI434" s="1683"/>
      <c r="AJ434" s="1683"/>
      <c r="AK434" s="1683"/>
      <c r="AL434" s="1683"/>
      <c r="AM434" s="1683"/>
      <c r="AN434" s="1683"/>
      <c r="AO434" s="1683"/>
      <c r="AP434" s="1683"/>
      <c r="AQ434" s="1683"/>
      <c r="AR434" s="1683"/>
      <c r="AS434" s="1683"/>
      <c r="AT434" s="1683"/>
      <c r="AU434" s="1683"/>
      <c r="AV434" s="1683"/>
      <c r="AW434" s="1683"/>
      <c r="AX434" s="1683"/>
      <c r="AY434" s="1683"/>
      <c r="AZ434" s="1683"/>
      <c r="BA434" s="1683"/>
      <c r="BB434" s="1683"/>
    </row>
    <row r="435" spans="1:54">
      <c r="A435" s="326">
        <f t="shared" si="53"/>
        <v>46630</v>
      </c>
      <c r="B435" s="1678"/>
      <c r="C435" s="1679">
        <f t="shared" si="48"/>
        <v>1</v>
      </c>
      <c r="D435" s="1679">
        <f>PRODUCT(C$5:C435)</f>
        <v>3.55771976932645</v>
      </c>
      <c r="J435" s="1680"/>
      <c r="K435" s="1680"/>
      <c r="L435" s="1680"/>
      <c r="N435" s="1681"/>
      <c r="O435" s="1681"/>
      <c r="P435" s="1681"/>
      <c r="Q435" s="1681"/>
      <c r="R435" s="1681"/>
      <c r="T435" s="1681"/>
      <c r="U435" s="1681"/>
      <c r="W435" s="1681">
        <f t="shared" si="50"/>
        <v>0</v>
      </c>
      <c r="X435" s="1681"/>
      <c r="Y435" s="1681">
        <f t="shared" si="51"/>
        <v>0</v>
      </c>
      <c r="Z435" s="1681"/>
      <c r="AB435" s="1682"/>
      <c r="AC435" s="1682"/>
      <c r="AE435" s="1683"/>
      <c r="AF435" s="1683"/>
      <c r="AG435" s="1683"/>
      <c r="AH435" s="1683"/>
      <c r="AI435" s="1683"/>
      <c r="AJ435" s="1683"/>
      <c r="AK435" s="1683"/>
      <c r="AL435" s="1683"/>
      <c r="AM435" s="1683"/>
      <c r="AN435" s="1683"/>
      <c r="AO435" s="1683"/>
      <c r="AP435" s="1683"/>
      <c r="AQ435" s="1683"/>
      <c r="AR435" s="1683"/>
      <c r="AS435" s="1683"/>
      <c r="AT435" s="1683"/>
      <c r="AU435" s="1683"/>
      <c r="AV435" s="1683"/>
      <c r="AW435" s="1683"/>
      <c r="AX435" s="1683"/>
      <c r="AY435" s="1683"/>
      <c r="AZ435" s="1683"/>
      <c r="BA435" s="1683"/>
      <c r="BB435" s="1683"/>
    </row>
    <row r="436" spans="1:54">
      <c r="A436" s="326">
        <f t="shared" si="53"/>
        <v>46660</v>
      </c>
      <c r="B436" s="1678"/>
      <c r="C436" s="1679">
        <f t="shared" si="48"/>
        <v>1</v>
      </c>
      <c r="D436" s="1679">
        <f>PRODUCT(C$5:C436)</f>
        <v>3.55771976932645</v>
      </c>
      <c r="J436" s="1680"/>
      <c r="K436" s="1680"/>
      <c r="L436" s="1680"/>
      <c r="N436" s="1681"/>
      <c r="O436" s="1681"/>
      <c r="P436" s="1681"/>
      <c r="Q436" s="1681"/>
      <c r="R436" s="1681"/>
      <c r="T436" s="1681"/>
      <c r="U436" s="1681"/>
      <c r="W436" s="1681">
        <f t="shared" si="50"/>
        <v>0</v>
      </c>
      <c r="X436" s="1681"/>
      <c r="Y436" s="1681">
        <f t="shared" si="51"/>
        <v>0</v>
      </c>
      <c r="Z436" s="1681"/>
      <c r="AB436" s="1682"/>
      <c r="AC436" s="1682"/>
      <c r="AE436" s="1683"/>
      <c r="AF436" s="1683"/>
      <c r="AG436" s="1683"/>
      <c r="AH436" s="1683"/>
      <c r="AI436" s="1683"/>
      <c r="AJ436" s="1683"/>
      <c r="AK436" s="1683"/>
      <c r="AL436" s="1683"/>
      <c r="AM436" s="1683"/>
      <c r="AN436" s="1683"/>
      <c r="AO436" s="1683"/>
      <c r="AP436" s="1683"/>
      <c r="AQ436" s="1683"/>
      <c r="AR436" s="1683"/>
      <c r="AS436" s="1683"/>
      <c r="AT436" s="1683"/>
      <c r="AU436" s="1683"/>
      <c r="AV436" s="1683"/>
      <c r="AW436" s="1683"/>
      <c r="AX436" s="1683"/>
      <c r="AY436" s="1683"/>
      <c r="AZ436" s="1683"/>
      <c r="BA436" s="1683"/>
      <c r="BB436" s="1683"/>
    </row>
    <row r="437" spans="1:54">
      <c r="A437" s="326">
        <f t="shared" si="53"/>
        <v>46691</v>
      </c>
      <c r="B437" s="1678"/>
      <c r="C437" s="1679">
        <f t="shared" si="48"/>
        <v>1</v>
      </c>
      <c r="D437" s="1679">
        <f>PRODUCT(C$5:C437)</f>
        <v>3.55771976932645</v>
      </c>
      <c r="J437" s="1680"/>
      <c r="K437" s="1680"/>
      <c r="L437" s="1680"/>
      <c r="N437" s="1681"/>
      <c r="O437" s="1681"/>
      <c r="P437" s="1681"/>
      <c r="Q437" s="1681"/>
      <c r="R437" s="1681"/>
      <c r="T437" s="1681"/>
      <c r="U437" s="1681"/>
      <c r="W437" s="1681">
        <f t="shared" si="50"/>
        <v>0</v>
      </c>
      <c r="X437" s="1681"/>
      <c r="Y437" s="1681">
        <f t="shared" si="51"/>
        <v>0</v>
      </c>
      <c r="Z437" s="1681"/>
      <c r="AB437" s="1682"/>
      <c r="AC437" s="1682"/>
      <c r="AE437" s="1683"/>
      <c r="AF437" s="1683"/>
      <c r="AG437" s="1683"/>
      <c r="AH437" s="1683"/>
      <c r="AI437" s="1683"/>
      <c r="AJ437" s="1683"/>
      <c r="AK437" s="1683"/>
      <c r="AL437" s="1683"/>
      <c r="AM437" s="1683"/>
      <c r="AN437" s="1683"/>
      <c r="AO437" s="1683"/>
      <c r="AP437" s="1683"/>
      <c r="AQ437" s="1683"/>
      <c r="AR437" s="1683"/>
      <c r="AS437" s="1683"/>
      <c r="AT437" s="1683"/>
      <c r="AU437" s="1683"/>
      <c r="AV437" s="1683"/>
      <c r="AW437" s="1683"/>
      <c r="AX437" s="1683"/>
      <c r="AY437" s="1683"/>
      <c r="AZ437" s="1683"/>
      <c r="BA437" s="1683"/>
      <c r="BB437" s="1683"/>
    </row>
    <row r="438" spans="1:54">
      <c r="A438" s="326">
        <f t="shared" si="53"/>
        <v>46721</v>
      </c>
      <c r="B438" s="1678"/>
      <c r="C438" s="1679">
        <f t="shared" si="48"/>
        <v>1</v>
      </c>
      <c r="D438" s="1679">
        <f>PRODUCT(C$5:C438)</f>
        <v>3.55771976932645</v>
      </c>
      <c r="J438" s="1680"/>
      <c r="K438" s="1680"/>
      <c r="L438" s="1680"/>
      <c r="N438" s="1681"/>
      <c r="O438" s="1681"/>
      <c r="P438" s="1681"/>
      <c r="Q438" s="1681"/>
      <c r="R438" s="1681"/>
      <c r="T438" s="1681"/>
      <c r="U438" s="1681"/>
      <c r="W438" s="1681">
        <f t="shared" si="50"/>
        <v>0</v>
      </c>
      <c r="X438" s="1681"/>
      <c r="Y438" s="1681">
        <f t="shared" si="51"/>
        <v>0</v>
      </c>
      <c r="Z438" s="1681"/>
      <c r="AB438" s="1682"/>
      <c r="AC438" s="1682"/>
      <c r="AE438" s="1683"/>
      <c r="AF438" s="1683"/>
      <c r="AG438" s="1683"/>
      <c r="AH438" s="1683"/>
      <c r="AI438" s="1683"/>
      <c r="AJ438" s="1683"/>
      <c r="AK438" s="1683"/>
      <c r="AL438" s="1683"/>
      <c r="AM438" s="1683"/>
      <c r="AN438" s="1683"/>
      <c r="AO438" s="1683"/>
      <c r="AP438" s="1683"/>
      <c r="AQ438" s="1683"/>
      <c r="AR438" s="1683"/>
      <c r="AS438" s="1683"/>
      <c r="AT438" s="1683"/>
      <c r="AU438" s="1683"/>
      <c r="AV438" s="1683"/>
      <c r="AW438" s="1683"/>
      <c r="AX438" s="1683"/>
      <c r="AY438" s="1683"/>
      <c r="AZ438" s="1683"/>
      <c r="BA438" s="1683"/>
      <c r="BB438" s="1683"/>
    </row>
    <row r="439" spans="1:54">
      <c r="A439" s="326">
        <f t="shared" si="53"/>
        <v>46752</v>
      </c>
      <c r="B439" s="1678"/>
      <c r="C439" s="1679">
        <f t="shared" si="48"/>
        <v>1</v>
      </c>
      <c r="D439" s="1679">
        <f>PRODUCT(C$5:C439)</f>
        <v>3.55771976932645</v>
      </c>
      <c r="J439" s="1680"/>
      <c r="K439" s="1680"/>
      <c r="L439" s="1680"/>
      <c r="N439" s="1681"/>
      <c r="O439" s="1681"/>
      <c r="P439" s="1681"/>
      <c r="Q439" s="1681"/>
      <c r="R439" s="1681"/>
      <c r="T439" s="1681"/>
      <c r="U439" s="1681"/>
      <c r="W439" s="1681">
        <f t="shared" si="50"/>
        <v>0</v>
      </c>
      <c r="X439" s="1681"/>
      <c r="Y439" s="1681">
        <f t="shared" si="51"/>
        <v>0</v>
      </c>
      <c r="Z439" s="1681"/>
      <c r="AB439" s="1682"/>
      <c r="AC439" s="1682"/>
      <c r="AE439" s="1683"/>
      <c r="AF439" s="1683"/>
      <c r="AG439" s="1683"/>
      <c r="AH439" s="1683"/>
      <c r="AI439" s="1683"/>
      <c r="AJ439" s="1683"/>
      <c r="AK439" s="1683"/>
      <c r="AL439" s="1683"/>
      <c r="AM439" s="1683"/>
      <c r="AN439" s="1683"/>
      <c r="AO439" s="1683"/>
      <c r="AP439" s="1683"/>
      <c r="AQ439" s="1683"/>
      <c r="AR439" s="1683"/>
      <c r="AS439" s="1683"/>
      <c r="AT439" s="1683"/>
      <c r="AU439" s="1683"/>
      <c r="AV439" s="1683"/>
      <c r="AW439" s="1683"/>
      <c r="AX439" s="1683"/>
      <c r="AY439" s="1683"/>
      <c r="AZ439" s="1683"/>
      <c r="BA439" s="1683"/>
      <c r="BB439" s="1683"/>
    </row>
    <row r="440" spans="1:54">
      <c r="A440" s="326">
        <f t="shared" si="53"/>
        <v>46783</v>
      </c>
      <c r="B440" s="1678"/>
      <c r="C440" s="1679">
        <f t="shared" ref="C440:C503" si="54">IF(B440="",1,B440/100)</f>
        <v>1</v>
      </c>
      <c r="D440" s="1679">
        <f>PRODUCT(C$5:C440)</f>
        <v>3.55771976932645</v>
      </c>
      <c r="J440" s="1680"/>
      <c r="K440" s="1680"/>
      <c r="L440" s="1680"/>
      <c r="N440" s="1681"/>
      <c r="O440" s="1681"/>
      <c r="P440" s="1681"/>
      <c r="Q440" s="1681"/>
      <c r="R440" s="1681"/>
      <c r="T440" s="1681"/>
      <c r="U440" s="1681"/>
      <c r="W440" s="1681">
        <f t="shared" ref="W440:W503" si="55">Q440</f>
        <v>0</v>
      </c>
      <c r="X440" s="1681"/>
      <c r="Y440" s="1681">
        <f t="shared" ref="Y440:Y503" si="56">R440</f>
        <v>0</v>
      </c>
      <c r="Z440" s="1681"/>
      <c r="AB440" s="1682"/>
      <c r="AC440" s="1682"/>
      <c r="AE440" s="1683"/>
      <c r="AF440" s="1683"/>
      <c r="AG440" s="1683"/>
      <c r="AH440" s="1683"/>
      <c r="AI440" s="1683"/>
      <c r="AJ440" s="1683"/>
      <c r="AK440" s="1683"/>
      <c r="AL440" s="1683"/>
      <c r="AM440" s="1683"/>
      <c r="AN440" s="1683"/>
      <c r="AO440" s="1683"/>
      <c r="AP440" s="1683"/>
      <c r="AQ440" s="1683"/>
      <c r="AR440" s="1683"/>
      <c r="AS440" s="1683"/>
      <c r="AT440" s="1683"/>
      <c r="AU440" s="1683"/>
      <c r="AV440" s="1683"/>
      <c r="AW440" s="1683"/>
      <c r="AX440" s="1683"/>
      <c r="AY440" s="1683"/>
      <c r="AZ440" s="1683"/>
      <c r="BA440" s="1683"/>
      <c r="BB440" s="1683"/>
    </row>
    <row r="441" spans="1:54">
      <c r="A441" s="326">
        <f t="shared" si="53"/>
        <v>46812</v>
      </c>
      <c r="B441" s="1678"/>
      <c r="C441" s="1679">
        <f t="shared" si="54"/>
        <v>1</v>
      </c>
      <c r="D441" s="1679">
        <f>PRODUCT(C$5:C441)</f>
        <v>3.55771976932645</v>
      </c>
      <c r="J441" s="1680"/>
      <c r="K441" s="1680"/>
      <c r="L441" s="1680"/>
      <c r="N441" s="1681"/>
      <c r="O441" s="1681"/>
      <c r="P441" s="1681"/>
      <c r="Q441" s="1681"/>
      <c r="R441" s="1681"/>
      <c r="T441" s="1681"/>
      <c r="U441" s="1681"/>
      <c r="W441" s="1681">
        <f t="shared" si="55"/>
        <v>0</v>
      </c>
      <c r="X441" s="1681"/>
      <c r="Y441" s="1681">
        <f t="shared" si="56"/>
        <v>0</v>
      </c>
      <c r="Z441" s="1681"/>
      <c r="AB441" s="1682"/>
      <c r="AC441" s="1682"/>
      <c r="AE441" s="1683"/>
      <c r="AF441" s="1683"/>
      <c r="AG441" s="1683"/>
      <c r="AH441" s="1683"/>
      <c r="AI441" s="1683"/>
      <c r="AJ441" s="1683"/>
      <c r="AK441" s="1683"/>
      <c r="AL441" s="1683"/>
      <c r="AM441" s="1683"/>
      <c r="AN441" s="1683"/>
      <c r="AO441" s="1683"/>
      <c r="AP441" s="1683"/>
      <c r="AQ441" s="1683"/>
      <c r="AR441" s="1683"/>
      <c r="AS441" s="1683"/>
      <c r="AT441" s="1683"/>
      <c r="AU441" s="1683"/>
      <c r="AV441" s="1683"/>
      <c r="AW441" s="1683"/>
      <c r="AX441" s="1683"/>
      <c r="AY441" s="1683"/>
      <c r="AZ441" s="1683"/>
      <c r="BA441" s="1683"/>
      <c r="BB441" s="1683"/>
    </row>
    <row r="442" spans="1:54">
      <c r="A442" s="326">
        <f t="shared" si="53"/>
        <v>46843</v>
      </c>
      <c r="B442" s="1678"/>
      <c r="C442" s="1679">
        <f t="shared" si="54"/>
        <v>1</v>
      </c>
      <c r="D442" s="1679">
        <f>PRODUCT(C$5:C442)</f>
        <v>3.55771976932645</v>
      </c>
      <c r="J442" s="1680"/>
      <c r="K442" s="1680"/>
      <c r="L442" s="1680"/>
      <c r="N442" s="1681"/>
      <c r="O442" s="1681"/>
      <c r="P442" s="1681"/>
      <c r="Q442" s="1681"/>
      <c r="R442" s="1681"/>
      <c r="T442" s="1681"/>
      <c r="U442" s="1681"/>
      <c r="W442" s="1681">
        <f t="shared" si="55"/>
        <v>0</v>
      </c>
      <c r="X442" s="1681"/>
      <c r="Y442" s="1681">
        <f t="shared" si="56"/>
        <v>0</v>
      </c>
      <c r="Z442" s="1681"/>
      <c r="AB442" s="1682"/>
      <c r="AC442" s="1682"/>
      <c r="AE442" s="1683"/>
      <c r="AF442" s="1683"/>
      <c r="AG442" s="1683"/>
      <c r="AH442" s="1683"/>
      <c r="AI442" s="1683"/>
      <c r="AJ442" s="1683"/>
      <c r="AK442" s="1683"/>
      <c r="AL442" s="1683"/>
      <c r="AM442" s="1683"/>
      <c r="AN442" s="1683"/>
      <c r="AO442" s="1683"/>
      <c r="AP442" s="1683"/>
      <c r="AQ442" s="1683"/>
      <c r="AR442" s="1683"/>
      <c r="AS442" s="1683"/>
      <c r="AT442" s="1683"/>
      <c r="AU442" s="1683"/>
      <c r="AV442" s="1683"/>
      <c r="AW442" s="1683"/>
      <c r="AX442" s="1683"/>
      <c r="AY442" s="1683"/>
      <c r="AZ442" s="1683"/>
      <c r="BA442" s="1683"/>
      <c r="BB442" s="1683"/>
    </row>
    <row r="443" spans="1:54">
      <c r="A443" s="326">
        <f t="shared" si="53"/>
        <v>46873</v>
      </c>
      <c r="B443" s="1678"/>
      <c r="C443" s="1679">
        <f t="shared" si="54"/>
        <v>1</v>
      </c>
      <c r="D443" s="1679">
        <f>PRODUCT(C$5:C443)</f>
        <v>3.55771976932645</v>
      </c>
      <c r="J443" s="1680"/>
      <c r="K443" s="1680"/>
      <c r="L443" s="1680"/>
      <c r="N443" s="1681"/>
      <c r="O443" s="1681"/>
      <c r="P443" s="1681"/>
      <c r="Q443" s="1681"/>
      <c r="R443" s="1681"/>
      <c r="T443" s="1681"/>
      <c r="U443" s="1681"/>
      <c r="W443" s="1681">
        <f t="shared" si="55"/>
        <v>0</v>
      </c>
      <c r="X443" s="1681"/>
      <c r="Y443" s="1681">
        <f t="shared" si="56"/>
        <v>0</v>
      </c>
      <c r="Z443" s="1681"/>
      <c r="AB443" s="1682"/>
      <c r="AC443" s="1682"/>
      <c r="AE443" s="1683"/>
      <c r="AF443" s="1683"/>
      <c r="AG443" s="1683"/>
      <c r="AH443" s="1683"/>
      <c r="AI443" s="1683"/>
      <c r="AJ443" s="1683"/>
      <c r="AK443" s="1683"/>
      <c r="AL443" s="1683"/>
      <c r="AM443" s="1683"/>
      <c r="AN443" s="1683"/>
      <c r="AO443" s="1683"/>
      <c r="AP443" s="1683"/>
      <c r="AQ443" s="1683"/>
      <c r="AR443" s="1683"/>
      <c r="AS443" s="1683"/>
      <c r="AT443" s="1683"/>
      <c r="AU443" s="1683"/>
      <c r="AV443" s="1683"/>
      <c r="AW443" s="1683"/>
      <c r="AX443" s="1683"/>
      <c r="AY443" s="1683"/>
      <c r="AZ443" s="1683"/>
      <c r="BA443" s="1683"/>
      <c r="BB443" s="1683"/>
    </row>
    <row r="444" spans="1:54">
      <c r="A444" s="326">
        <f t="shared" si="53"/>
        <v>46904</v>
      </c>
      <c r="B444" s="1678"/>
      <c r="C444" s="1679">
        <f t="shared" si="54"/>
        <v>1</v>
      </c>
      <c r="D444" s="1679">
        <f>PRODUCT(C$5:C444)</f>
        <v>3.55771976932645</v>
      </c>
      <c r="J444" s="1680"/>
      <c r="K444" s="1680"/>
      <c r="L444" s="1680"/>
      <c r="N444" s="1681"/>
      <c r="O444" s="1681"/>
      <c r="P444" s="1681"/>
      <c r="Q444" s="1681"/>
      <c r="R444" s="1681"/>
      <c r="T444" s="1681"/>
      <c r="U444" s="1681"/>
      <c r="W444" s="1681">
        <f t="shared" si="55"/>
        <v>0</v>
      </c>
      <c r="X444" s="1681"/>
      <c r="Y444" s="1681">
        <f t="shared" si="56"/>
        <v>0</v>
      </c>
      <c r="Z444" s="1681"/>
      <c r="AB444" s="1682"/>
      <c r="AC444" s="1682"/>
      <c r="AE444" s="1683"/>
      <c r="AF444" s="1683"/>
      <c r="AG444" s="1683"/>
      <c r="AH444" s="1683"/>
      <c r="AI444" s="1683"/>
      <c r="AJ444" s="1683"/>
      <c r="AK444" s="1683"/>
      <c r="AL444" s="1683"/>
      <c r="AM444" s="1683"/>
      <c r="AN444" s="1683"/>
      <c r="AO444" s="1683"/>
      <c r="AP444" s="1683"/>
      <c r="AQ444" s="1683"/>
      <c r="AR444" s="1683"/>
      <c r="AS444" s="1683"/>
      <c r="AT444" s="1683"/>
      <c r="AU444" s="1683"/>
      <c r="AV444" s="1683"/>
      <c r="AW444" s="1683"/>
      <c r="AX444" s="1683"/>
      <c r="AY444" s="1683"/>
      <c r="AZ444" s="1683"/>
      <c r="BA444" s="1683"/>
      <c r="BB444" s="1683"/>
    </row>
    <row r="445" spans="1:54">
      <c r="A445" s="326">
        <f t="shared" si="53"/>
        <v>46934</v>
      </c>
      <c r="B445" s="1678"/>
      <c r="C445" s="1679">
        <f t="shared" si="54"/>
        <v>1</v>
      </c>
      <c r="D445" s="1679">
        <f>PRODUCT(C$5:C445)</f>
        <v>3.55771976932645</v>
      </c>
      <c r="J445" s="1680"/>
      <c r="K445" s="1680"/>
      <c r="L445" s="1680"/>
      <c r="N445" s="1681"/>
      <c r="O445" s="1681"/>
      <c r="P445" s="1681"/>
      <c r="Q445" s="1681"/>
      <c r="R445" s="1681"/>
      <c r="T445" s="1681"/>
      <c r="U445" s="1681"/>
      <c r="W445" s="1681">
        <f t="shared" si="55"/>
        <v>0</v>
      </c>
      <c r="X445" s="1681"/>
      <c r="Y445" s="1681">
        <f t="shared" si="56"/>
        <v>0</v>
      </c>
      <c r="Z445" s="1681"/>
      <c r="AB445" s="1682"/>
      <c r="AC445" s="1682"/>
      <c r="AE445" s="1683"/>
      <c r="AF445" s="1683"/>
      <c r="AG445" s="1683"/>
      <c r="AH445" s="1683"/>
      <c r="AI445" s="1683"/>
      <c r="AJ445" s="1683"/>
      <c r="AK445" s="1683"/>
      <c r="AL445" s="1683"/>
      <c r="AM445" s="1683"/>
      <c r="AN445" s="1683"/>
      <c r="AO445" s="1683"/>
      <c r="AP445" s="1683"/>
      <c r="AQ445" s="1683"/>
      <c r="AR445" s="1683"/>
      <c r="AS445" s="1683"/>
      <c r="AT445" s="1683"/>
      <c r="AU445" s="1683"/>
      <c r="AV445" s="1683"/>
      <c r="AW445" s="1683"/>
      <c r="AX445" s="1683"/>
      <c r="AY445" s="1683"/>
      <c r="AZ445" s="1683"/>
      <c r="BA445" s="1683"/>
      <c r="BB445" s="1683"/>
    </row>
    <row r="446" spans="1:54">
      <c r="A446" s="326">
        <f t="shared" si="53"/>
        <v>46965</v>
      </c>
      <c r="B446" s="1678"/>
      <c r="C446" s="1679">
        <f t="shared" si="54"/>
        <v>1</v>
      </c>
      <c r="D446" s="1679">
        <f>PRODUCT(C$5:C446)</f>
        <v>3.55771976932645</v>
      </c>
      <c r="J446" s="1680"/>
      <c r="K446" s="1680"/>
      <c r="L446" s="1680"/>
      <c r="N446" s="1681"/>
      <c r="O446" s="1681"/>
      <c r="P446" s="1681"/>
      <c r="Q446" s="1681"/>
      <c r="R446" s="1681"/>
      <c r="T446" s="1681"/>
      <c r="U446" s="1681"/>
      <c r="W446" s="1681">
        <f t="shared" si="55"/>
        <v>0</v>
      </c>
      <c r="X446" s="1681"/>
      <c r="Y446" s="1681">
        <f t="shared" si="56"/>
        <v>0</v>
      </c>
      <c r="Z446" s="1681"/>
      <c r="AB446" s="1682"/>
      <c r="AC446" s="1682"/>
      <c r="AE446" s="1683"/>
      <c r="AF446" s="1683"/>
      <c r="AG446" s="1683"/>
      <c r="AH446" s="1683"/>
      <c r="AI446" s="1683"/>
      <c r="AJ446" s="1683"/>
      <c r="AK446" s="1683"/>
      <c r="AL446" s="1683"/>
      <c r="AM446" s="1683"/>
      <c r="AN446" s="1683"/>
      <c r="AO446" s="1683"/>
      <c r="AP446" s="1683"/>
      <c r="AQ446" s="1683"/>
      <c r="AR446" s="1683"/>
      <c r="AS446" s="1683"/>
      <c r="AT446" s="1683"/>
      <c r="AU446" s="1683"/>
      <c r="AV446" s="1683"/>
      <c r="AW446" s="1683"/>
      <c r="AX446" s="1683"/>
      <c r="AY446" s="1683"/>
      <c r="AZ446" s="1683"/>
      <c r="BA446" s="1683"/>
      <c r="BB446" s="1683"/>
    </row>
    <row r="447" spans="1:54">
      <c r="A447" s="326">
        <f t="shared" si="53"/>
        <v>46996</v>
      </c>
      <c r="B447" s="1678"/>
      <c r="C447" s="1679">
        <f t="shared" si="54"/>
        <v>1</v>
      </c>
      <c r="D447" s="1679">
        <f>PRODUCT(C$5:C447)</f>
        <v>3.55771976932645</v>
      </c>
      <c r="J447" s="1680"/>
      <c r="K447" s="1680"/>
      <c r="L447" s="1680"/>
      <c r="N447" s="1681"/>
      <c r="O447" s="1681"/>
      <c r="P447" s="1681"/>
      <c r="Q447" s="1681"/>
      <c r="R447" s="1681"/>
      <c r="T447" s="1681"/>
      <c r="U447" s="1681"/>
      <c r="W447" s="1681">
        <f t="shared" si="55"/>
        <v>0</v>
      </c>
      <c r="X447" s="1681"/>
      <c r="Y447" s="1681">
        <f t="shared" si="56"/>
        <v>0</v>
      </c>
      <c r="Z447" s="1681"/>
      <c r="AB447" s="1682"/>
      <c r="AC447" s="1682"/>
      <c r="AE447" s="1683"/>
      <c r="AF447" s="1683"/>
      <c r="AG447" s="1683"/>
      <c r="AH447" s="1683"/>
      <c r="AI447" s="1683"/>
      <c r="AJ447" s="1683"/>
      <c r="AK447" s="1683"/>
      <c r="AL447" s="1683"/>
      <c r="AM447" s="1683"/>
      <c r="AN447" s="1683"/>
      <c r="AO447" s="1683"/>
      <c r="AP447" s="1683"/>
      <c r="AQ447" s="1683"/>
      <c r="AR447" s="1683"/>
      <c r="AS447" s="1683"/>
      <c r="AT447" s="1683"/>
      <c r="AU447" s="1683"/>
      <c r="AV447" s="1683"/>
      <c r="AW447" s="1683"/>
      <c r="AX447" s="1683"/>
      <c r="AY447" s="1683"/>
      <c r="AZ447" s="1683"/>
      <c r="BA447" s="1683"/>
      <c r="BB447" s="1683"/>
    </row>
    <row r="448" spans="1:54">
      <c r="A448" s="326">
        <f t="shared" si="53"/>
        <v>47026</v>
      </c>
      <c r="B448" s="1678"/>
      <c r="C448" s="1679">
        <f t="shared" si="54"/>
        <v>1</v>
      </c>
      <c r="D448" s="1679">
        <f>PRODUCT(C$5:C448)</f>
        <v>3.55771976932645</v>
      </c>
      <c r="J448" s="1680"/>
      <c r="K448" s="1680"/>
      <c r="L448" s="1680"/>
      <c r="N448" s="1681"/>
      <c r="O448" s="1681"/>
      <c r="P448" s="1681"/>
      <c r="Q448" s="1681"/>
      <c r="R448" s="1681"/>
      <c r="T448" s="1681"/>
      <c r="U448" s="1681"/>
      <c r="W448" s="1681">
        <f t="shared" si="55"/>
        <v>0</v>
      </c>
      <c r="X448" s="1681"/>
      <c r="Y448" s="1681">
        <f t="shared" si="56"/>
        <v>0</v>
      </c>
      <c r="Z448" s="1681"/>
      <c r="AB448" s="1682"/>
      <c r="AC448" s="1682"/>
      <c r="AE448" s="1683"/>
      <c r="AF448" s="1683"/>
      <c r="AG448" s="1683"/>
      <c r="AH448" s="1683"/>
      <c r="AI448" s="1683"/>
      <c r="AJ448" s="1683"/>
      <c r="AK448" s="1683"/>
      <c r="AL448" s="1683"/>
      <c r="AM448" s="1683"/>
      <c r="AN448" s="1683"/>
      <c r="AO448" s="1683"/>
      <c r="AP448" s="1683"/>
      <c r="AQ448" s="1683"/>
      <c r="AR448" s="1683"/>
      <c r="AS448" s="1683"/>
      <c r="AT448" s="1683"/>
      <c r="AU448" s="1683"/>
      <c r="AV448" s="1683"/>
      <c r="AW448" s="1683"/>
      <c r="AX448" s="1683"/>
      <c r="AY448" s="1683"/>
      <c r="AZ448" s="1683"/>
      <c r="BA448" s="1683"/>
      <c r="BB448" s="1683"/>
    </row>
    <row r="449" spans="1:54">
      <c r="A449" s="326">
        <f t="shared" si="53"/>
        <v>47057</v>
      </c>
      <c r="B449" s="1678"/>
      <c r="C449" s="1679">
        <f t="shared" si="54"/>
        <v>1</v>
      </c>
      <c r="D449" s="1679">
        <f>PRODUCT(C$5:C449)</f>
        <v>3.55771976932645</v>
      </c>
      <c r="J449" s="1680"/>
      <c r="K449" s="1680"/>
      <c r="L449" s="1680"/>
      <c r="N449" s="1681"/>
      <c r="O449" s="1681"/>
      <c r="P449" s="1681"/>
      <c r="Q449" s="1681"/>
      <c r="R449" s="1681"/>
      <c r="T449" s="1681"/>
      <c r="U449" s="1681"/>
      <c r="W449" s="1681">
        <f t="shared" si="55"/>
        <v>0</v>
      </c>
      <c r="X449" s="1681"/>
      <c r="Y449" s="1681">
        <f t="shared" si="56"/>
        <v>0</v>
      </c>
      <c r="Z449" s="1681"/>
      <c r="AB449" s="1682"/>
      <c r="AC449" s="1682"/>
      <c r="AE449" s="1683"/>
      <c r="AF449" s="1683"/>
      <c r="AG449" s="1683"/>
      <c r="AH449" s="1683"/>
      <c r="AI449" s="1683"/>
      <c r="AJ449" s="1683"/>
      <c r="AK449" s="1683"/>
      <c r="AL449" s="1683"/>
      <c r="AM449" s="1683"/>
      <c r="AN449" s="1683"/>
      <c r="AO449" s="1683"/>
      <c r="AP449" s="1683"/>
      <c r="AQ449" s="1683"/>
      <c r="AR449" s="1683"/>
      <c r="AS449" s="1683"/>
      <c r="AT449" s="1683"/>
      <c r="AU449" s="1683"/>
      <c r="AV449" s="1683"/>
      <c r="AW449" s="1683"/>
      <c r="AX449" s="1683"/>
      <c r="AY449" s="1683"/>
      <c r="AZ449" s="1683"/>
      <c r="BA449" s="1683"/>
      <c r="BB449" s="1683"/>
    </row>
    <row r="450" spans="1:54">
      <c r="A450" s="326">
        <f t="shared" si="53"/>
        <v>47087</v>
      </c>
      <c r="B450" s="1678"/>
      <c r="C450" s="1679">
        <f t="shared" si="54"/>
        <v>1</v>
      </c>
      <c r="D450" s="1679">
        <f>PRODUCT(C$5:C450)</f>
        <v>3.55771976932645</v>
      </c>
      <c r="J450" s="1680"/>
      <c r="K450" s="1680"/>
      <c r="L450" s="1680"/>
      <c r="N450" s="1681"/>
      <c r="O450" s="1681"/>
      <c r="P450" s="1681"/>
      <c r="Q450" s="1681"/>
      <c r="R450" s="1681"/>
      <c r="T450" s="1681"/>
      <c r="U450" s="1681"/>
      <c r="W450" s="1681">
        <f t="shared" si="55"/>
        <v>0</v>
      </c>
      <c r="X450" s="1681"/>
      <c r="Y450" s="1681">
        <f t="shared" si="56"/>
        <v>0</v>
      </c>
      <c r="Z450" s="1681"/>
      <c r="AB450" s="1682"/>
      <c r="AC450" s="1682"/>
      <c r="AE450" s="1683"/>
      <c r="AF450" s="1683"/>
      <c r="AG450" s="1683"/>
      <c r="AH450" s="1683"/>
      <c r="AI450" s="1683"/>
      <c r="AJ450" s="1683"/>
      <c r="AK450" s="1683"/>
      <c r="AL450" s="1683"/>
      <c r="AM450" s="1683"/>
      <c r="AN450" s="1683"/>
      <c r="AO450" s="1683"/>
      <c r="AP450" s="1683"/>
      <c r="AQ450" s="1683"/>
      <c r="AR450" s="1683"/>
      <c r="AS450" s="1683"/>
      <c r="AT450" s="1683"/>
      <c r="AU450" s="1683"/>
      <c r="AV450" s="1683"/>
      <c r="AW450" s="1683"/>
      <c r="AX450" s="1683"/>
      <c r="AY450" s="1683"/>
      <c r="AZ450" s="1683"/>
      <c r="BA450" s="1683"/>
      <c r="BB450" s="1683"/>
    </row>
    <row r="451" spans="1:54">
      <c r="A451" s="326">
        <f t="shared" si="53"/>
        <v>47118</v>
      </c>
      <c r="B451" s="1678"/>
      <c r="C451" s="1679">
        <f t="shared" si="54"/>
        <v>1</v>
      </c>
      <c r="D451" s="1679">
        <f>PRODUCT(C$5:C451)</f>
        <v>3.55771976932645</v>
      </c>
      <c r="J451" s="1680"/>
      <c r="K451" s="1680"/>
      <c r="L451" s="1680"/>
      <c r="N451" s="1681"/>
      <c r="O451" s="1681"/>
      <c r="P451" s="1681"/>
      <c r="Q451" s="1681"/>
      <c r="R451" s="1681"/>
      <c r="T451" s="1681"/>
      <c r="U451" s="1681"/>
      <c r="W451" s="1681">
        <f t="shared" si="55"/>
        <v>0</v>
      </c>
      <c r="X451" s="1681"/>
      <c r="Y451" s="1681">
        <f t="shared" si="56"/>
        <v>0</v>
      </c>
      <c r="Z451" s="1681"/>
      <c r="AB451" s="1682"/>
      <c r="AC451" s="1682"/>
      <c r="AE451" s="1683"/>
      <c r="AF451" s="1683"/>
      <c r="AG451" s="1683"/>
      <c r="AH451" s="1683"/>
      <c r="AI451" s="1683"/>
      <c r="AJ451" s="1683"/>
      <c r="AK451" s="1683"/>
      <c r="AL451" s="1683"/>
      <c r="AM451" s="1683"/>
      <c r="AN451" s="1683"/>
      <c r="AO451" s="1683"/>
      <c r="AP451" s="1683"/>
      <c r="AQ451" s="1683"/>
      <c r="AR451" s="1683"/>
      <c r="AS451" s="1683"/>
      <c r="AT451" s="1683"/>
      <c r="AU451" s="1683"/>
      <c r="AV451" s="1683"/>
      <c r="AW451" s="1683"/>
      <c r="AX451" s="1683"/>
      <c r="AY451" s="1683"/>
      <c r="AZ451" s="1683"/>
      <c r="BA451" s="1683"/>
      <c r="BB451" s="1683"/>
    </row>
    <row r="452" spans="1:54">
      <c r="A452" s="326">
        <f t="shared" si="53"/>
        <v>47149</v>
      </c>
      <c r="B452" s="1678"/>
      <c r="C452" s="1679">
        <f t="shared" si="54"/>
        <v>1</v>
      </c>
      <c r="D452" s="1679">
        <f>PRODUCT(C$5:C452)</f>
        <v>3.55771976932645</v>
      </c>
      <c r="J452" s="1680"/>
      <c r="K452" s="1680"/>
      <c r="L452" s="1680"/>
      <c r="N452" s="1681"/>
      <c r="O452" s="1681"/>
      <c r="P452" s="1681"/>
      <c r="Q452" s="1681"/>
      <c r="R452" s="1681"/>
      <c r="T452" s="1681"/>
      <c r="U452" s="1681"/>
      <c r="W452" s="1681">
        <f t="shared" si="55"/>
        <v>0</v>
      </c>
      <c r="X452" s="1681"/>
      <c r="Y452" s="1681">
        <f t="shared" si="56"/>
        <v>0</v>
      </c>
      <c r="Z452" s="1681"/>
      <c r="AB452" s="1682"/>
      <c r="AC452" s="1682"/>
      <c r="AE452" s="1683"/>
      <c r="AF452" s="1683"/>
      <c r="AG452" s="1683"/>
      <c r="AH452" s="1683"/>
      <c r="AI452" s="1683"/>
      <c r="AJ452" s="1683"/>
      <c r="AK452" s="1683"/>
      <c r="AL452" s="1683"/>
      <c r="AM452" s="1683"/>
      <c r="AN452" s="1683"/>
      <c r="AO452" s="1683"/>
      <c r="AP452" s="1683"/>
      <c r="AQ452" s="1683"/>
      <c r="AR452" s="1683"/>
      <c r="AS452" s="1683"/>
      <c r="AT452" s="1683"/>
      <c r="AU452" s="1683"/>
      <c r="AV452" s="1683"/>
      <c r="AW452" s="1683"/>
      <c r="AX452" s="1683"/>
      <c r="AY452" s="1683"/>
      <c r="AZ452" s="1683"/>
      <c r="BA452" s="1683"/>
      <c r="BB452" s="1683"/>
    </row>
    <row r="453" spans="1:54">
      <c r="A453" s="326">
        <f t="shared" si="53"/>
        <v>47177</v>
      </c>
      <c r="B453" s="1678"/>
      <c r="C453" s="1679">
        <f t="shared" si="54"/>
        <v>1</v>
      </c>
      <c r="D453" s="1679">
        <f>PRODUCT(C$5:C453)</f>
        <v>3.55771976932645</v>
      </c>
      <c r="J453" s="1680"/>
      <c r="K453" s="1680"/>
      <c r="L453" s="1680"/>
      <c r="N453" s="1681"/>
      <c r="O453" s="1681"/>
      <c r="P453" s="1681"/>
      <c r="Q453" s="1681"/>
      <c r="R453" s="1681"/>
      <c r="T453" s="1681"/>
      <c r="U453" s="1681"/>
      <c r="W453" s="1681">
        <f t="shared" si="55"/>
        <v>0</v>
      </c>
      <c r="X453" s="1681"/>
      <c r="Y453" s="1681">
        <f t="shared" si="56"/>
        <v>0</v>
      </c>
      <c r="Z453" s="1681"/>
      <c r="AB453" s="1682"/>
      <c r="AC453" s="1682"/>
      <c r="AE453" s="1683"/>
      <c r="AF453" s="1683"/>
      <c r="AG453" s="1683"/>
      <c r="AH453" s="1683"/>
      <c r="AI453" s="1683"/>
      <c r="AJ453" s="1683"/>
      <c r="AK453" s="1683"/>
      <c r="AL453" s="1683"/>
      <c r="AM453" s="1683"/>
      <c r="AN453" s="1683"/>
      <c r="AO453" s="1683"/>
      <c r="AP453" s="1683"/>
      <c r="AQ453" s="1683"/>
      <c r="AR453" s="1683"/>
      <c r="AS453" s="1683"/>
      <c r="AT453" s="1683"/>
      <c r="AU453" s="1683"/>
      <c r="AV453" s="1683"/>
      <c r="AW453" s="1683"/>
      <c r="AX453" s="1683"/>
      <c r="AY453" s="1683"/>
      <c r="AZ453" s="1683"/>
      <c r="BA453" s="1683"/>
      <c r="BB453" s="1683"/>
    </row>
    <row r="454" spans="1:54">
      <c r="A454" s="326">
        <f t="shared" si="53"/>
        <v>47208</v>
      </c>
      <c r="B454" s="1678"/>
      <c r="C454" s="1679">
        <f t="shared" si="54"/>
        <v>1</v>
      </c>
      <c r="D454" s="1679">
        <f>PRODUCT(C$5:C454)</f>
        <v>3.55771976932645</v>
      </c>
      <c r="J454" s="1680"/>
      <c r="K454" s="1680"/>
      <c r="L454" s="1680"/>
      <c r="N454" s="1681"/>
      <c r="O454" s="1681"/>
      <c r="P454" s="1681"/>
      <c r="Q454" s="1681"/>
      <c r="R454" s="1681"/>
      <c r="T454" s="1681"/>
      <c r="U454" s="1681"/>
      <c r="W454" s="1681">
        <f t="shared" si="55"/>
        <v>0</v>
      </c>
      <c r="X454" s="1681"/>
      <c r="Y454" s="1681">
        <f t="shared" si="56"/>
        <v>0</v>
      </c>
      <c r="Z454" s="1681"/>
      <c r="AB454" s="1682"/>
      <c r="AC454" s="1682"/>
      <c r="AE454" s="1683"/>
      <c r="AF454" s="1683"/>
      <c r="AG454" s="1683"/>
      <c r="AH454" s="1683"/>
      <c r="AI454" s="1683"/>
      <c r="AJ454" s="1683"/>
      <c r="AK454" s="1683"/>
      <c r="AL454" s="1683"/>
      <c r="AM454" s="1683"/>
      <c r="AN454" s="1683"/>
      <c r="AO454" s="1683"/>
      <c r="AP454" s="1683"/>
      <c r="AQ454" s="1683"/>
      <c r="AR454" s="1683"/>
      <c r="AS454" s="1683"/>
      <c r="AT454" s="1683"/>
      <c r="AU454" s="1683"/>
      <c r="AV454" s="1683"/>
      <c r="AW454" s="1683"/>
      <c r="AX454" s="1683"/>
      <c r="AY454" s="1683"/>
      <c r="AZ454" s="1683"/>
      <c r="BA454" s="1683"/>
      <c r="BB454" s="1683"/>
    </row>
    <row r="455" spans="1:54">
      <c r="A455" s="326">
        <f t="shared" si="53"/>
        <v>47238</v>
      </c>
      <c r="B455" s="1678"/>
      <c r="C455" s="1679">
        <f t="shared" si="54"/>
        <v>1</v>
      </c>
      <c r="D455" s="1679">
        <f>PRODUCT(C$5:C455)</f>
        <v>3.55771976932645</v>
      </c>
      <c r="J455" s="1680"/>
      <c r="K455" s="1680"/>
      <c r="L455" s="1680"/>
      <c r="N455" s="1681"/>
      <c r="O455" s="1681"/>
      <c r="P455" s="1681"/>
      <c r="Q455" s="1681"/>
      <c r="R455" s="1681"/>
      <c r="T455" s="1681"/>
      <c r="U455" s="1681"/>
      <c r="W455" s="1681">
        <f t="shared" si="55"/>
        <v>0</v>
      </c>
      <c r="X455" s="1681"/>
      <c r="Y455" s="1681">
        <f t="shared" si="56"/>
        <v>0</v>
      </c>
      <c r="Z455" s="1681"/>
      <c r="AB455" s="1682"/>
      <c r="AC455" s="1682"/>
      <c r="AE455" s="1683"/>
      <c r="AF455" s="1683"/>
      <c r="AG455" s="1683"/>
      <c r="AH455" s="1683"/>
      <c r="AI455" s="1683"/>
      <c r="AJ455" s="1683"/>
      <c r="AK455" s="1683"/>
      <c r="AL455" s="1683"/>
      <c r="AM455" s="1683"/>
      <c r="AN455" s="1683"/>
      <c r="AO455" s="1683"/>
      <c r="AP455" s="1683"/>
      <c r="AQ455" s="1683"/>
      <c r="AR455" s="1683"/>
      <c r="AS455" s="1683"/>
      <c r="AT455" s="1683"/>
      <c r="AU455" s="1683"/>
      <c r="AV455" s="1683"/>
      <c r="AW455" s="1683"/>
      <c r="AX455" s="1683"/>
      <c r="AY455" s="1683"/>
      <c r="AZ455" s="1683"/>
      <c r="BA455" s="1683"/>
      <c r="BB455" s="1683"/>
    </row>
    <row r="456" spans="1:54">
      <c r="A456" s="326">
        <f t="shared" si="53"/>
        <v>47269</v>
      </c>
      <c r="B456" s="1678"/>
      <c r="C456" s="1679">
        <f t="shared" si="54"/>
        <v>1</v>
      </c>
      <c r="D456" s="1679">
        <f>PRODUCT(C$5:C456)</f>
        <v>3.55771976932645</v>
      </c>
      <c r="J456" s="1680"/>
      <c r="K456" s="1680"/>
      <c r="L456" s="1680"/>
      <c r="N456" s="1681"/>
      <c r="O456" s="1681"/>
      <c r="P456" s="1681"/>
      <c r="Q456" s="1681"/>
      <c r="R456" s="1681"/>
      <c r="T456" s="1681"/>
      <c r="U456" s="1681"/>
      <c r="W456" s="1681">
        <f t="shared" si="55"/>
        <v>0</v>
      </c>
      <c r="X456" s="1681"/>
      <c r="Y456" s="1681">
        <f t="shared" si="56"/>
        <v>0</v>
      </c>
      <c r="Z456" s="1681"/>
      <c r="AB456" s="1682"/>
      <c r="AC456" s="1682"/>
      <c r="AE456" s="1683"/>
      <c r="AF456" s="1683"/>
      <c r="AG456" s="1683"/>
      <c r="AH456" s="1683"/>
      <c r="AI456" s="1683"/>
      <c r="AJ456" s="1683"/>
      <c r="AK456" s="1683"/>
      <c r="AL456" s="1683"/>
      <c r="AM456" s="1683"/>
      <c r="AN456" s="1683"/>
      <c r="AO456" s="1683"/>
      <c r="AP456" s="1683"/>
      <c r="AQ456" s="1683"/>
      <c r="AR456" s="1683"/>
      <c r="AS456" s="1683"/>
      <c r="AT456" s="1683"/>
      <c r="AU456" s="1683"/>
      <c r="AV456" s="1683"/>
      <c r="AW456" s="1683"/>
      <c r="AX456" s="1683"/>
      <c r="AY456" s="1683"/>
      <c r="AZ456" s="1683"/>
      <c r="BA456" s="1683"/>
      <c r="BB456" s="1683"/>
    </row>
    <row r="457" spans="1:54">
      <c r="A457" s="326">
        <f t="shared" si="53"/>
        <v>47299</v>
      </c>
      <c r="B457" s="1678"/>
      <c r="C457" s="1679">
        <f t="shared" si="54"/>
        <v>1</v>
      </c>
      <c r="D457" s="1679">
        <f>PRODUCT(C$5:C457)</f>
        <v>3.55771976932645</v>
      </c>
      <c r="J457" s="1680"/>
      <c r="K457" s="1680"/>
      <c r="L457" s="1680"/>
      <c r="N457" s="1681"/>
      <c r="O457" s="1681"/>
      <c r="P457" s="1681"/>
      <c r="Q457" s="1681"/>
      <c r="R457" s="1681"/>
      <c r="T457" s="1681"/>
      <c r="U457" s="1681"/>
      <c r="W457" s="1681">
        <f t="shared" si="55"/>
        <v>0</v>
      </c>
      <c r="X457" s="1681"/>
      <c r="Y457" s="1681">
        <f t="shared" si="56"/>
        <v>0</v>
      </c>
      <c r="Z457" s="1681"/>
      <c r="AB457" s="1682"/>
      <c r="AC457" s="1682"/>
      <c r="AE457" s="1683"/>
      <c r="AF457" s="1683"/>
      <c r="AG457" s="1683"/>
      <c r="AH457" s="1683"/>
      <c r="AI457" s="1683"/>
      <c r="AJ457" s="1683"/>
      <c r="AK457" s="1683"/>
      <c r="AL457" s="1683"/>
      <c r="AM457" s="1683"/>
      <c r="AN457" s="1683"/>
      <c r="AO457" s="1683"/>
      <c r="AP457" s="1683"/>
      <c r="AQ457" s="1683"/>
      <c r="AR457" s="1683"/>
      <c r="AS457" s="1683"/>
      <c r="AT457" s="1683"/>
      <c r="AU457" s="1683"/>
      <c r="AV457" s="1683"/>
      <c r="AW457" s="1683"/>
      <c r="AX457" s="1683"/>
      <c r="AY457" s="1683"/>
      <c r="AZ457" s="1683"/>
      <c r="BA457" s="1683"/>
      <c r="BB457" s="1683"/>
    </row>
    <row r="458" spans="1:54">
      <c r="A458" s="326">
        <f t="shared" si="53"/>
        <v>47330</v>
      </c>
      <c r="B458" s="1678"/>
      <c r="C458" s="1679">
        <f t="shared" si="54"/>
        <v>1</v>
      </c>
      <c r="D458" s="1679">
        <f>PRODUCT(C$5:C458)</f>
        <v>3.55771976932645</v>
      </c>
      <c r="J458" s="1680"/>
      <c r="K458" s="1680"/>
      <c r="L458" s="1680"/>
      <c r="N458" s="1681"/>
      <c r="O458" s="1681"/>
      <c r="P458" s="1681"/>
      <c r="Q458" s="1681"/>
      <c r="R458" s="1681"/>
      <c r="T458" s="1681"/>
      <c r="U458" s="1681"/>
      <c r="W458" s="1681">
        <f t="shared" si="55"/>
        <v>0</v>
      </c>
      <c r="X458" s="1681"/>
      <c r="Y458" s="1681">
        <f t="shared" si="56"/>
        <v>0</v>
      </c>
      <c r="Z458" s="1681"/>
      <c r="AB458" s="1682"/>
      <c r="AC458" s="1682"/>
      <c r="AE458" s="1683"/>
      <c r="AF458" s="1683"/>
      <c r="AG458" s="1683"/>
      <c r="AH458" s="1683"/>
      <c r="AI458" s="1683"/>
      <c r="AJ458" s="1683"/>
      <c r="AK458" s="1683"/>
      <c r="AL458" s="1683"/>
      <c r="AM458" s="1683"/>
      <c r="AN458" s="1683"/>
      <c r="AO458" s="1683"/>
      <c r="AP458" s="1683"/>
      <c r="AQ458" s="1683"/>
      <c r="AR458" s="1683"/>
      <c r="AS458" s="1683"/>
      <c r="AT458" s="1683"/>
      <c r="AU458" s="1683"/>
      <c r="AV458" s="1683"/>
      <c r="AW458" s="1683"/>
      <c r="AX458" s="1683"/>
      <c r="AY458" s="1683"/>
      <c r="AZ458" s="1683"/>
      <c r="BA458" s="1683"/>
      <c r="BB458" s="1683"/>
    </row>
    <row r="459" spans="1:54">
      <c r="A459" s="326">
        <f t="shared" si="53"/>
        <v>47361</v>
      </c>
      <c r="B459" s="1678"/>
      <c r="C459" s="1679">
        <f t="shared" si="54"/>
        <v>1</v>
      </c>
      <c r="D459" s="1679">
        <f>PRODUCT(C$5:C459)</f>
        <v>3.55771976932645</v>
      </c>
      <c r="J459" s="1680"/>
      <c r="K459" s="1680"/>
      <c r="L459" s="1680"/>
      <c r="N459" s="1681"/>
      <c r="O459" s="1681"/>
      <c r="P459" s="1681"/>
      <c r="Q459" s="1681"/>
      <c r="R459" s="1681"/>
      <c r="T459" s="1681"/>
      <c r="U459" s="1681"/>
      <c r="W459" s="1681">
        <f t="shared" si="55"/>
        <v>0</v>
      </c>
      <c r="X459" s="1681"/>
      <c r="Y459" s="1681">
        <f t="shared" si="56"/>
        <v>0</v>
      </c>
      <c r="Z459" s="1681"/>
      <c r="AB459" s="1682"/>
      <c r="AC459" s="1682"/>
      <c r="AE459" s="1683"/>
      <c r="AF459" s="1683"/>
      <c r="AG459" s="1683"/>
      <c r="AH459" s="1683"/>
      <c r="AI459" s="1683"/>
      <c r="AJ459" s="1683"/>
      <c r="AK459" s="1683"/>
      <c r="AL459" s="1683"/>
      <c r="AM459" s="1683"/>
      <c r="AN459" s="1683"/>
      <c r="AO459" s="1683"/>
      <c r="AP459" s="1683"/>
      <c r="AQ459" s="1683"/>
      <c r="AR459" s="1683"/>
      <c r="AS459" s="1683"/>
      <c r="AT459" s="1683"/>
      <c r="AU459" s="1683"/>
      <c r="AV459" s="1683"/>
      <c r="AW459" s="1683"/>
      <c r="AX459" s="1683"/>
      <c r="AY459" s="1683"/>
      <c r="AZ459" s="1683"/>
      <c r="BA459" s="1683"/>
      <c r="BB459" s="1683"/>
    </row>
    <row r="460" spans="1:54">
      <c r="A460" s="326">
        <f t="shared" si="53"/>
        <v>47391</v>
      </c>
      <c r="B460" s="1678"/>
      <c r="C460" s="1679">
        <f t="shared" si="54"/>
        <v>1</v>
      </c>
      <c r="D460" s="1679">
        <f>PRODUCT(C$5:C460)</f>
        <v>3.55771976932645</v>
      </c>
      <c r="J460" s="1680"/>
      <c r="K460" s="1680"/>
      <c r="L460" s="1680"/>
      <c r="N460" s="1681"/>
      <c r="O460" s="1681"/>
      <c r="P460" s="1681"/>
      <c r="Q460" s="1681"/>
      <c r="R460" s="1681"/>
      <c r="T460" s="1681"/>
      <c r="U460" s="1681"/>
      <c r="W460" s="1681">
        <f t="shared" si="55"/>
        <v>0</v>
      </c>
      <c r="X460" s="1681"/>
      <c r="Y460" s="1681">
        <f t="shared" si="56"/>
        <v>0</v>
      </c>
      <c r="Z460" s="1681"/>
      <c r="AB460" s="1682"/>
      <c r="AC460" s="1682"/>
      <c r="AE460" s="1683"/>
      <c r="AF460" s="1683"/>
      <c r="AG460" s="1683"/>
      <c r="AH460" s="1683"/>
      <c r="AI460" s="1683"/>
      <c r="AJ460" s="1683"/>
      <c r="AK460" s="1683"/>
      <c r="AL460" s="1683"/>
      <c r="AM460" s="1683"/>
      <c r="AN460" s="1683"/>
      <c r="AO460" s="1683"/>
      <c r="AP460" s="1683"/>
      <c r="AQ460" s="1683"/>
      <c r="AR460" s="1683"/>
      <c r="AS460" s="1683"/>
      <c r="AT460" s="1683"/>
      <c r="AU460" s="1683"/>
      <c r="AV460" s="1683"/>
      <c r="AW460" s="1683"/>
      <c r="AX460" s="1683"/>
      <c r="AY460" s="1683"/>
      <c r="AZ460" s="1683"/>
      <c r="BA460" s="1683"/>
      <c r="BB460" s="1683"/>
    </row>
    <row r="461" spans="1:54">
      <c r="A461" s="326">
        <f t="shared" si="53"/>
        <v>47422</v>
      </c>
      <c r="B461" s="1678"/>
      <c r="C461" s="1679">
        <f t="shared" si="54"/>
        <v>1</v>
      </c>
      <c r="D461" s="1679">
        <f>PRODUCT(C$5:C461)</f>
        <v>3.55771976932645</v>
      </c>
      <c r="J461" s="1680"/>
      <c r="K461" s="1680"/>
      <c r="L461" s="1680"/>
      <c r="N461" s="1681"/>
      <c r="O461" s="1681"/>
      <c r="P461" s="1681"/>
      <c r="Q461" s="1681"/>
      <c r="R461" s="1681"/>
      <c r="T461" s="1681"/>
      <c r="U461" s="1681"/>
      <c r="W461" s="1681">
        <f t="shared" si="55"/>
        <v>0</v>
      </c>
      <c r="X461" s="1681"/>
      <c r="Y461" s="1681">
        <f t="shared" si="56"/>
        <v>0</v>
      </c>
      <c r="Z461" s="1681"/>
      <c r="AB461" s="1682"/>
      <c r="AC461" s="1682"/>
      <c r="AE461" s="1683"/>
      <c r="AF461" s="1683"/>
      <c r="AG461" s="1683"/>
      <c r="AH461" s="1683"/>
      <c r="AI461" s="1683"/>
      <c r="AJ461" s="1683"/>
      <c r="AK461" s="1683"/>
      <c r="AL461" s="1683"/>
      <c r="AM461" s="1683"/>
      <c r="AN461" s="1683"/>
      <c r="AO461" s="1683"/>
      <c r="AP461" s="1683"/>
      <c r="AQ461" s="1683"/>
      <c r="AR461" s="1683"/>
      <c r="AS461" s="1683"/>
      <c r="AT461" s="1683"/>
      <c r="AU461" s="1683"/>
      <c r="AV461" s="1683"/>
      <c r="AW461" s="1683"/>
      <c r="AX461" s="1683"/>
      <c r="AY461" s="1683"/>
      <c r="AZ461" s="1683"/>
      <c r="BA461" s="1683"/>
      <c r="BB461" s="1683"/>
    </row>
    <row r="462" spans="1:54">
      <c r="A462" s="326">
        <f t="shared" si="53"/>
        <v>47452</v>
      </c>
      <c r="B462" s="1678"/>
      <c r="C462" s="1679">
        <f t="shared" si="54"/>
        <v>1</v>
      </c>
      <c r="D462" s="1679">
        <f>PRODUCT(C$5:C462)</f>
        <v>3.55771976932645</v>
      </c>
      <c r="J462" s="1680"/>
      <c r="K462" s="1680"/>
      <c r="L462" s="1680"/>
      <c r="N462" s="1681"/>
      <c r="O462" s="1681"/>
      <c r="P462" s="1681"/>
      <c r="Q462" s="1681"/>
      <c r="R462" s="1681"/>
      <c r="T462" s="1681"/>
      <c r="U462" s="1681"/>
      <c r="W462" s="1681">
        <f t="shared" si="55"/>
        <v>0</v>
      </c>
      <c r="X462" s="1681"/>
      <c r="Y462" s="1681">
        <f t="shared" si="56"/>
        <v>0</v>
      </c>
      <c r="Z462" s="1681"/>
      <c r="AB462" s="1682"/>
      <c r="AC462" s="1682"/>
      <c r="AE462" s="1683"/>
      <c r="AF462" s="1683"/>
      <c r="AG462" s="1683"/>
      <c r="AH462" s="1683"/>
      <c r="AI462" s="1683"/>
      <c r="AJ462" s="1683"/>
      <c r="AK462" s="1683"/>
      <c r="AL462" s="1683"/>
      <c r="AM462" s="1683"/>
      <c r="AN462" s="1683"/>
      <c r="AO462" s="1683"/>
      <c r="AP462" s="1683"/>
      <c r="AQ462" s="1683"/>
      <c r="AR462" s="1683"/>
      <c r="AS462" s="1683"/>
      <c r="AT462" s="1683"/>
      <c r="AU462" s="1683"/>
      <c r="AV462" s="1683"/>
      <c r="AW462" s="1683"/>
      <c r="AX462" s="1683"/>
      <c r="AY462" s="1683"/>
      <c r="AZ462" s="1683"/>
      <c r="BA462" s="1683"/>
      <c r="BB462" s="1683"/>
    </row>
    <row r="463" spans="1:54">
      <c r="A463" s="326">
        <f t="shared" si="53"/>
        <v>47483</v>
      </c>
      <c r="B463" s="1678"/>
      <c r="C463" s="1679">
        <f t="shared" si="54"/>
        <v>1</v>
      </c>
      <c r="D463" s="1679">
        <f>PRODUCT(C$5:C463)</f>
        <v>3.55771976932645</v>
      </c>
      <c r="J463" s="1680"/>
      <c r="K463" s="1680"/>
      <c r="L463" s="1680"/>
      <c r="N463" s="1681"/>
      <c r="O463" s="1681"/>
      <c r="P463" s="1681"/>
      <c r="Q463" s="1681"/>
      <c r="R463" s="1681"/>
      <c r="T463" s="1681"/>
      <c r="U463" s="1681"/>
      <c r="W463" s="1681">
        <f t="shared" si="55"/>
        <v>0</v>
      </c>
      <c r="X463" s="1681"/>
      <c r="Y463" s="1681">
        <f t="shared" si="56"/>
        <v>0</v>
      </c>
      <c r="Z463" s="1681"/>
      <c r="AB463" s="1682"/>
      <c r="AC463" s="1682"/>
      <c r="AE463" s="1683"/>
      <c r="AF463" s="1683"/>
      <c r="AG463" s="1683"/>
      <c r="AH463" s="1683"/>
      <c r="AI463" s="1683"/>
      <c r="AJ463" s="1683"/>
      <c r="AK463" s="1683"/>
      <c r="AL463" s="1683"/>
      <c r="AM463" s="1683"/>
      <c r="AN463" s="1683"/>
      <c r="AO463" s="1683"/>
      <c r="AP463" s="1683"/>
      <c r="AQ463" s="1683"/>
      <c r="AR463" s="1683"/>
      <c r="AS463" s="1683"/>
      <c r="AT463" s="1683"/>
      <c r="AU463" s="1683"/>
      <c r="AV463" s="1683"/>
      <c r="AW463" s="1683"/>
      <c r="AX463" s="1683"/>
      <c r="AY463" s="1683"/>
      <c r="AZ463" s="1683"/>
      <c r="BA463" s="1683"/>
      <c r="BB463" s="1683"/>
    </row>
    <row r="464" spans="1:54">
      <c r="A464" s="326">
        <f t="shared" si="53"/>
        <v>47514</v>
      </c>
      <c r="B464" s="1678"/>
      <c r="C464" s="1679">
        <f t="shared" si="54"/>
        <v>1</v>
      </c>
      <c r="D464" s="1679">
        <f>PRODUCT(C$5:C464)</f>
        <v>3.55771976932645</v>
      </c>
      <c r="J464" s="1680"/>
      <c r="K464" s="1680"/>
      <c r="L464" s="1680"/>
      <c r="N464" s="1681"/>
      <c r="O464" s="1681"/>
      <c r="P464" s="1681"/>
      <c r="Q464" s="1681"/>
      <c r="R464" s="1681"/>
      <c r="T464" s="1681"/>
      <c r="U464" s="1681"/>
      <c r="W464" s="1681">
        <f t="shared" si="55"/>
        <v>0</v>
      </c>
      <c r="X464" s="1681"/>
      <c r="Y464" s="1681">
        <f t="shared" si="56"/>
        <v>0</v>
      </c>
      <c r="Z464" s="1681"/>
      <c r="AB464" s="1682"/>
      <c r="AC464" s="1682"/>
      <c r="AE464" s="1683"/>
      <c r="AF464" s="1683"/>
      <c r="AG464" s="1683"/>
      <c r="AH464" s="1683"/>
      <c r="AI464" s="1683"/>
      <c r="AJ464" s="1683"/>
      <c r="AK464" s="1683"/>
      <c r="AL464" s="1683"/>
      <c r="AM464" s="1683"/>
      <c r="AN464" s="1683"/>
      <c r="AO464" s="1683"/>
      <c r="AP464" s="1683"/>
      <c r="AQ464" s="1683"/>
      <c r="AR464" s="1683"/>
      <c r="AS464" s="1683"/>
      <c r="AT464" s="1683"/>
      <c r="AU464" s="1683"/>
      <c r="AV464" s="1683"/>
      <c r="AW464" s="1683"/>
      <c r="AX464" s="1683"/>
      <c r="AY464" s="1683"/>
      <c r="AZ464" s="1683"/>
      <c r="BA464" s="1683"/>
      <c r="BB464" s="1683"/>
    </row>
    <row r="465" spans="1:54">
      <c r="A465" s="326">
        <f t="shared" si="53"/>
        <v>47542</v>
      </c>
      <c r="B465" s="1678"/>
      <c r="C465" s="1679">
        <f t="shared" si="54"/>
        <v>1</v>
      </c>
      <c r="D465" s="1679">
        <f>PRODUCT(C$5:C465)</f>
        <v>3.55771976932645</v>
      </c>
      <c r="J465" s="1680"/>
      <c r="K465" s="1680"/>
      <c r="L465" s="1680"/>
      <c r="N465" s="1681"/>
      <c r="O465" s="1681"/>
      <c r="P465" s="1681"/>
      <c r="Q465" s="1681"/>
      <c r="R465" s="1681"/>
      <c r="T465" s="1681"/>
      <c r="U465" s="1681"/>
      <c r="W465" s="1681">
        <f t="shared" si="55"/>
        <v>0</v>
      </c>
      <c r="X465" s="1681"/>
      <c r="Y465" s="1681">
        <f t="shared" si="56"/>
        <v>0</v>
      </c>
      <c r="Z465" s="1681"/>
      <c r="AB465" s="1682"/>
      <c r="AC465" s="1682"/>
      <c r="AE465" s="1683"/>
      <c r="AF465" s="1683"/>
      <c r="AG465" s="1683"/>
      <c r="AH465" s="1683"/>
      <c r="AI465" s="1683"/>
      <c r="AJ465" s="1683"/>
      <c r="AK465" s="1683"/>
      <c r="AL465" s="1683"/>
      <c r="AM465" s="1683"/>
      <c r="AN465" s="1683"/>
      <c r="AO465" s="1683"/>
      <c r="AP465" s="1683"/>
      <c r="AQ465" s="1683"/>
      <c r="AR465" s="1683"/>
      <c r="AS465" s="1683"/>
      <c r="AT465" s="1683"/>
      <c r="AU465" s="1683"/>
      <c r="AV465" s="1683"/>
      <c r="AW465" s="1683"/>
      <c r="AX465" s="1683"/>
      <c r="AY465" s="1683"/>
      <c r="AZ465" s="1683"/>
      <c r="BA465" s="1683"/>
      <c r="BB465" s="1683"/>
    </row>
    <row r="466" spans="1:54">
      <c r="A466" s="326">
        <f t="shared" si="53"/>
        <v>47573</v>
      </c>
      <c r="B466" s="1678"/>
      <c r="C466" s="1679">
        <f t="shared" si="54"/>
        <v>1</v>
      </c>
      <c r="D466" s="1679">
        <f>PRODUCT(C$5:C466)</f>
        <v>3.55771976932645</v>
      </c>
      <c r="J466" s="1680"/>
      <c r="K466" s="1680"/>
      <c r="L466" s="1680"/>
      <c r="N466" s="1681"/>
      <c r="O466" s="1681"/>
      <c r="P466" s="1681"/>
      <c r="Q466" s="1681"/>
      <c r="R466" s="1681"/>
      <c r="T466" s="1681"/>
      <c r="U466" s="1681"/>
      <c r="W466" s="1681">
        <f t="shared" si="55"/>
        <v>0</v>
      </c>
      <c r="X466" s="1681"/>
      <c r="Y466" s="1681">
        <f t="shared" si="56"/>
        <v>0</v>
      </c>
      <c r="Z466" s="1681"/>
      <c r="AB466" s="1682"/>
      <c r="AC466" s="1682"/>
      <c r="AE466" s="1683"/>
      <c r="AF466" s="1683"/>
      <c r="AG466" s="1683"/>
      <c r="AH466" s="1683"/>
      <c r="AI466" s="1683"/>
      <c r="AJ466" s="1683"/>
      <c r="AK466" s="1683"/>
      <c r="AL466" s="1683"/>
      <c r="AM466" s="1683"/>
      <c r="AN466" s="1683"/>
      <c r="AO466" s="1683"/>
      <c r="AP466" s="1683"/>
      <c r="AQ466" s="1683"/>
      <c r="AR466" s="1683"/>
      <c r="AS466" s="1683"/>
      <c r="AT466" s="1683"/>
      <c r="AU466" s="1683"/>
      <c r="AV466" s="1683"/>
      <c r="AW466" s="1683"/>
      <c r="AX466" s="1683"/>
      <c r="AY466" s="1683"/>
      <c r="AZ466" s="1683"/>
      <c r="BA466" s="1683"/>
      <c r="BB466" s="1683"/>
    </row>
    <row r="467" spans="1:54">
      <c r="A467" s="326">
        <f t="shared" si="53"/>
        <v>47603</v>
      </c>
      <c r="B467" s="1678"/>
      <c r="C467" s="1679">
        <f t="shared" si="54"/>
        <v>1</v>
      </c>
      <c r="D467" s="1679">
        <f>PRODUCT(C$5:C467)</f>
        <v>3.55771976932645</v>
      </c>
      <c r="J467" s="1680"/>
      <c r="K467" s="1680"/>
      <c r="L467" s="1680"/>
      <c r="N467" s="1681"/>
      <c r="O467" s="1681"/>
      <c r="P467" s="1681"/>
      <c r="Q467" s="1681"/>
      <c r="R467" s="1681"/>
      <c r="T467" s="1681"/>
      <c r="U467" s="1681"/>
      <c r="W467" s="1681">
        <f t="shared" si="55"/>
        <v>0</v>
      </c>
      <c r="X467" s="1681"/>
      <c r="Y467" s="1681">
        <f t="shared" si="56"/>
        <v>0</v>
      </c>
      <c r="Z467" s="1681"/>
      <c r="AB467" s="1682"/>
      <c r="AC467" s="1682"/>
      <c r="AE467" s="1683"/>
      <c r="AF467" s="1683"/>
      <c r="AG467" s="1683"/>
      <c r="AH467" s="1683"/>
      <c r="AI467" s="1683"/>
      <c r="AJ467" s="1683"/>
      <c r="AK467" s="1683"/>
      <c r="AL467" s="1683"/>
      <c r="AM467" s="1683"/>
      <c r="AN467" s="1683"/>
      <c r="AO467" s="1683"/>
      <c r="AP467" s="1683"/>
      <c r="AQ467" s="1683"/>
      <c r="AR467" s="1683"/>
      <c r="AS467" s="1683"/>
      <c r="AT467" s="1683"/>
      <c r="AU467" s="1683"/>
      <c r="AV467" s="1683"/>
      <c r="AW467" s="1683"/>
      <c r="AX467" s="1683"/>
      <c r="AY467" s="1683"/>
      <c r="AZ467" s="1683"/>
      <c r="BA467" s="1683"/>
      <c r="BB467" s="1683"/>
    </row>
    <row r="468" spans="1:54">
      <c r="A468" s="326">
        <f t="shared" si="53"/>
        <v>47634</v>
      </c>
      <c r="B468" s="1678"/>
      <c r="C468" s="1679">
        <f t="shared" si="54"/>
        <v>1</v>
      </c>
      <c r="D468" s="1679">
        <f>PRODUCT(C$5:C468)</f>
        <v>3.55771976932645</v>
      </c>
      <c r="J468" s="1680"/>
      <c r="K468" s="1680"/>
      <c r="L468" s="1680"/>
      <c r="N468" s="1681"/>
      <c r="O468" s="1681"/>
      <c r="P468" s="1681"/>
      <c r="Q468" s="1681"/>
      <c r="R468" s="1681"/>
      <c r="T468" s="1681"/>
      <c r="U468" s="1681"/>
      <c r="W468" s="1681">
        <f t="shared" si="55"/>
        <v>0</v>
      </c>
      <c r="X468" s="1681"/>
      <c r="Y468" s="1681">
        <f t="shared" si="56"/>
        <v>0</v>
      </c>
      <c r="Z468" s="1681"/>
      <c r="AB468" s="1682"/>
      <c r="AC468" s="1682"/>
      <c r="AE468" s="1683"/>
      <c r="AF468" s="1683"/>
      <c r="AG468" s="1683"/>
      <c r="AH468" s="1683"/>
      <c r="AI468" s="1683"/>
      <c r="AJ468" s="1683"/>
      <c r="AK468" s="1683"/>
      <c r="AL468" s="1683"/>
      <c r="AM468" s="1683"/>
      <c r="AN468" s="1683"/>
      <c r="AO468" s="1683"/>
      <c r="AP468" s="1683"/>
      <c r="AQ468" s="1683"/>
      <c r="AR468" s="1683"/>
      <c r="AS468" s="1683"/>
      <c r="AT468" s="1683"/>
      <c r="AU468" s="1683"/>
      <c r="AV468" s="1683"/>
      <c r="AW468" s="1683"/>
      <c r="AX468" s="1683"/>
      <c r="AY468" s="1683"/>
      <c r="AZ468" s="1683"/>
      <c r="BA468" s="1683"/>
      <c r="BB468" s="1683"/>
    </row>
    <row r="469" spans="1:54">
      <c r="A469" s="326">
        <f t="shared" si="53"/>
        <v>47664</v>
      </c>
      <c r="B469" s="1678"/>
      <c r="C469" s="1679">
        <f t="shared" si="54"/>
        <v>1</v>
      </c>
      <c r="D469" s="1679">
        <f>PRODUCT(C$5:C469)</f>
        <v>3.55771976932645</v>
      </c>
      <c r="J469" s="1680"/>
      <c r="K469" s="1680"/>
      <c r="L469" s="1680"/>
      <c r="N469" s="1681"/>
      <c r="O469" s="1681"/>
      <c r="P469" s="1681"/>
      <c r="Q469" s="1681"/>
      <c r="R469" s="1681"/>
      <c r="T469" s="1681"/>
      <c r="U469" s="1681"/>
      <c r="W469" s="1681">
        <f t="shared" si="55"/>
        <v>0</v>
      </c>
      <c r="X469" s="1681"/>
      <c r="Y469" s="1681">
        <f t="shared" si="56"/>
        <v>0</v>
      </c>
      <c r="Z469" s="1681"/>
      <c r="AB469" s="1682"/>
      <c r="AC469" s="1682"/>
      <c r="AE469" s="1683"/>
      <c r="AF469" s="1683"/>
      <c r="AG469" s="1683"/>
      <c r="AH469" s="1683"/>
      <c r="AI469" s="1683"/>
      <c r="AJ469" s="1683"/>
      <c r="AK469" s="1683"/>
      <c r="AL469" s="1683"/>
      <c r="AM469" s="1683"/>
      <c r="AN469" s="1683"/>
      <c r="AO469" s="1683"/>
      <c r="AP469" s="1683"/>
      <c r="AQ469" s="1683"/>
      <c r="AR469" s="1683"/>
      <c r="AS469" s="1683"/>
      <c r="AT469" s="1683"/>
      <c r="AU469" s="1683"/>
      <c r="AV469" s="1683"/>
      <c r="AW469" s="1683"/>
      <c r="AX469" s="1683"/>
      <c r="AY469" s="1683"/>
      <c r="AZ469" s="1683"/>
      <c r="BA469" s="1683"/>
      <c r="BB469" s="1683"/>
    </row>
    <row r="470" spans="1:54">
      <c r="A470" s="326">
        <f t="shared" ref="A470:A533" si="57">DATE(IF(MONTH(A469)=12,YEAR(A469)+1,YEAR(A469)),MONTH(A469+1)+1,1)-1</f>
        <v>47695</v>
      </c>
      <c r="B470" s="1678"/>
      <c r="C470" s="1679">
        <f t="shared" si="54"/>
        <v>1</v>
      </c>
      <c r="D470" s="1679">
        <f>PRODUCT(C$5:C470)</f>
        <v>3.55771976932645</v>
      </c>
      <c r="J470" s="1680"/>
      <c r="K470" s="1680"/>
      <c r="L470" s="1680"/>
      <c r="N470" s="1681"/>
      <c r="O470" s="1681"/>
      <c r="P470" s="1681"/>
      <c r="Q470" s="1681"/>
      <c r="R470" s="1681"/>
      <c r="T470" s="1681"/>
      <c r="U470" s="1681"/>
      <c r="W470" s="1681">
        <f t="shared" si="55"/>
        <v>0</v>
      </c>
      <c r="X470" s="1681"/>
      <c r="Y470" s="1681">
        <f t="shared" si="56"/>
        <v>0</v>
      </c>
      <c r="Z470" s="1681"/>
      <c r="AB470" s="1682"/>
      <c r="AC470" s="1682"/>
      <c r="AE470" s="1683"/>
      <c r="AF470" s="1683"/>
      <c r="AG470" s="1683"/>
      <c r="AH470" s="1683"/>
      <c r="AI470" s="1683"/>
      <c r="AJ470" s="1683"/>
      <c r="AK470" s="1683"/>
      <c r="AL470" s="1683"/>
      <c r="AM470" s="1683"/>
      <c r="AN470" s="1683"/>
      <c r="AO470" s="1683"/>
      <c r="AP470" s="1683"/>
      <c r="AQ470" s="1683"/>
      <c r="AR470" s="1683"/>
      <c r="AS470" s="1683"/>
      <c r="AT470" s="1683"/>
      <c r="AU470" s="1683"/>
      <c r="AV470" s="1683"/>
      <c r="AW470" s="1683"/>
      <c r="AX470" s="1683"/>
      <c r="AY470" s="1683"/>
      <c r="AZ470" s="1683"/>
      <c r="BA470" s="1683"/>
      <c r="BB470" s="1683"/>
    </row>
    <row r="471" spans="1:54">
      <c r="A471" s="326">
        <f t="shared" si="57"/>
        <v>47726</v>
      </c>
      <c r="B471" s="1678"/>
      <c r="C471" s="1679">
        <f t="shared" si="54"/>
        <v>1</v>
      </c>
      <c r="D471" s="1679">
        <f>PRODUCT(C$5:C471)</f>
        <v>3.55771976932645</v>
      </c>
      <c r="J471" s="1680"/>
      <c r="K471" s="1680"/>
      <c r="L471" s="1680"/>
      <c r="N471" s="1681"/>
      <c r="O471" s="1681"/>
      <c r="P471" s="1681"/>
      <c r="Q471" s="1681"/>
      <c r="R471" s="1681"/>
      <c r="T471" s="1681"/>
      <c r="U471" s="1681"/>
      <c r="W471" s="1681">
        <f t="shared" si="55"/>
        <v>0</v>
      </c>
      <c r="X471" s="1681"/>
      <c r="Y471" s="1681">
        <f t="shared" si="56"/>
        <v>0</v>
      </c>
      <c r="Z471" s="1681"/>
      <c r="AB471" s="1682"/>
      <c r="AC471" s="1682"/>
      <c r="AE471" s="1683"/>
      <c r="AF471" s="1683"/>
      <c r="AG471" s="1683"/>
      <c r="AH471" s="1683"/>
      <c r="AI471" s="1683"/>
      <c r="AJ471" s="1683"/>
      <c r="AK471" s="1683"/>
      <c r="AL471" s="1683"/>
      <c r="AM471" s="1683"/>
      <c r="AN471" s="1683"/>
      <c r="AO471" s="1683"/>
      <c r="AP471" s="1683"/>
      <c r="AQ471" s="1683"/>
      <c r="AR471" s="1683"/>
      <c r="AS471" s="1683"/>
      <c r="AT471" s="1683"/>
      <c r="AU471" s="1683"/>
      <c r="AV471" s="1683"/>
      <c r="AW471" s="1683"/>
      <c r="AX471" s="1683"/>
      <c r="AY471" s="1683"/>
      <c r="AZ471" s="1683"/>
      <c r="BA471" s="1683"/>
      <c r="BB471" s="1683"/>
    </row>
    <row r="472" spans="1:54">
      <c r="A472" s="326">
        <f t="shared" si="57"/>
        <v>47756</v>
      </c>
      <c r="B472" s="1678"/>
      <c r="C472" s="1679">
        <f t="shared" si="54"/>
        <v>1</v>
      </c>
      <c r="D472" s="1679">
        <f>PRODUCT(C$5:C472)</f>
        <v>3.55771976932645</v>
      </c>
      <c r="J472" s="1680"/>
      <c r="K472" s="1680"/>
      <c r="L472" s="1680"/>
      <c r="N472" s="1681"/>
      <c r="O472" s="1681"/>
      <c r="P472" s="1681"/>
      <c r="Q472" s="1681"/>
      <c r="R472" s="1681"/>
      <c r="T472" s="1681"/>
      <c r="U472" s="1681"/>
      <c r="W472" s="1681">
        <f t="shared" si="55"/>
        <v>0</v>
      </c>
      <c r="X472" s="1681"/>
      <c r="Y472" s="1681">
        <f t="shared" si="56"/>
        <v>0</v>
      </c>
      <c r="Z472" s="1681"/>
      <c r="AB472" s="1682"/>
      <c r="AC472" s="1682"/>
      <c r="AE472" s="1683"/>
      <c r="AF472" s="1683"/>
      <c r="AG472" s="1683"/>
      <c r="AH472" s="1683"/>
      <c r="AI472" s="1683"/>
      <c r="AJ472" s="1683"/>
      <c r="AK472" s="1683"/>
      <c r="AL472" s="1683"/>
      <c r="AM472" s="1683"/>
      <c r="AN472" s="1683"/>
      <c r="AO472" s="1683"/>
      <c r="AP472" s="1683"/>
      <c r="AQ472" s="1683"/>
      <c r="AR472" s="1683"/>
      <c r="AS472" s="1683"/>
      <c r="AT472" s="1683"/>
      <c r="AU472" s="1683"/>
      <c r="AV472" s="1683"/>
      <c r="AW472" s="1683"/>
      <c r="AX472" s="1683"/>
      <c r="AY472" s="1683"/>
      <c r="AZ472" s="1683"/>
      <c r="BA472" s="1683"/>
      <c r="BB472" s="1683"/>
    </row>
    <row r="473" spans="1:54">
      <c r="A473" s="326">
        <f t="shared" si="57"/>
        <v>47787</v>
      </c>
      <c r="B473" s="1678"/>
      <c r="C473" s="1679">
        <f t="shared" si="54"/>
        <v>1</v>
      </c>
      <c r="D473" s="1679">
        <f>PRODUCT(C$5:C473)</f>
        <v>3.55771976932645</v>
      </c>
      <c r="J473" s="1680"/>
      <c r="K473" s="1680"/>
      <c r="L473" s="1680"/>
      <c r="N473" s="1681"/>
      <c r="O473" s="1681"/>
      <c r="P473" s="1681"/>
      <c r="Q473" s="1681"/>
      <c r="R473" s="1681"/>
      <c r="T473" s="1681"/>
      <c r="U473" s="1681"/>
      <c r="W473" s="1681">
        <f t="shared" si="55"/>
        <v>0</v>
      </c>
      <c r="X473" s="1681"/>
      <c r="Y473" s="1681">
        <f t="shared" si="56"/>
        <v>0</v>
      </c>
      <c r="Z473" s="1681"/>
      <c r="AB473" s="1682"/>
      <c r="AC473" s="1682"/>
      <c r="AE473" s="1683"/>
      <c r="AF473" s="1683"/>
      <c r="AG473" s="1683"/>
      <c r="AH473" s="1683"/>
      <c r="AI473" s="1683"/>
      <c r="AJ473" s="1683"/>
      <c r="AK473" s="1683"/>
      <c r="AL473" s="1683"/>
      <c r="AM473" s="1683"/>
      <c r="AN473" s="1683"/>
      <c r="AO473" s="1683"/>
      <c r="AP473" s="1683"/>
      <c r="AQ473" s="1683"/>
      <c r="AR473" s="1683"/>
      <c r="AS473" s="1683"/>
      <c r="AT473" s="1683"/>
      <c r="AU473" s="1683"/>
      <c r="AV473" s="1683"/>
      <c r="AW473" s="1683"/>
      <c r="AX473" s="1683"/>
      <c r="AY473" s="1683"/>
      <c r="AZ473" s="1683"/>
      <c r="BA473" s="1683"/>
      <c r="BB473" s="1683"/>
    </row>
    <row r="474" spans="1:54">
      <c r="A474" s="326">
        <f t="shared" si="57"/>
        <v>47817</v>
      </c>
      <c r="B474" s="1678"/>
      <c r="C474" s="1679">
        <f t="shared" si="54"/>
        <v>1</v>
      </c>
      <c r="D474" s="1679">
        <f>PRODUCT(C$5:C474)</f>
        <v>3.55771976932645</v>
      </c>
      <c r="J474" s="1680"/>
      <c r="K474" s="1680"/>
      <c r="L474" s="1680"/>
      <c r="N474" s="1681"/>
      <c r="O474" s="1681"/>
      <c r="P474" s="1681"/>
      <c r="Q474" s="1681"/>
      <c r="R474" s="1681"/>
      <c r="T474" s="1681"/>
      <c r="U474" s="1681"/>
      <c r="W474" s="1681">
        <f t="shared" si="55"/>
        <v>0</v>
      </c>
      <c r="X474" s="1681"/>
      <c r="Y474" s="1681">
        <f t="shared" si="56"/>
        <v>0</v>
      </c>
      <c r="Z474" s="1681"/>
      <c r="AB474" s="1682"/>
      <c r="AC474" s="1682"/>
      <c r="AE474" s="1683"/>
      <c r="AF474" s="1683"/>
      <c r="AG474" s="1683"/>
      <c r="AH474" s="1683"/>
      <c r="AI474" s="1683"/>
      <c r="AJ474" s="1683"/>
      <c r="AK474" s="1683"/>
      <c r="AL474" s="1683"/>
      <c r="AM474" s="1683"/>
      <c r="AN474" s="1683"/>
      <c r="AO474" s="1683"/>
      <c r="AP474" s="1683"/>
      <c r="AQ474" s="1683"/>
      <c r="AR474" s="1683"/>
      <c r="AS474" s="1683"/>
      <c r="AT474" s="1683"/>
      <c r="AU474" s="1683"/>
      <c r="AV474" s="1683"/>
      <c r="AW474" s="1683"/>
      <c r="AX474" s="1683"/>
      <c r="AY474" s="1683"/>
      <c r="AZ474" s="1683"/>
      <c r="BA474" s="1683"/>
      <c r="BB474" s="1683"/>
    </row>
    <row r="475" spans="1:54">
      <c r="A475" s="326">
        <f t="shared" si="57"/>
        <v>47848</v>
      </c>
      <c r="B475" s="1678"/>
      <c r="C475" s="1679">
        <f t="shared" si="54"/>
        <v>1</v>
      </c>
      <c r="D475" s="1679">
        <f>PRODUCT(C$5:C475)</f>
        <v>3.55771976932645</v>
      </c>
      <c r="J475" s="1680"/>
      <c r="K475" s="1680"/>
      <c r="L475" s="1680"/>
      <c r="N475" s="1681"/>
      <c r="O475" s="1681"/>
      <c r="P475" s="1681"/>
      <c r="Q475" s="1681"/>
      <c r="R475" s="1681"/>
      <c r="T475" s="1681"/>
      <c r="U475" s="1681"/>
      <c r="W475" s="1681">
        <f t="shared" si="55"/>
        <v>0</v>
      </c>
      <c r="X475" s="1681"/>
      <c r="Y475" s="1681">
        <f t="shared" si="56"/>
        <v>0</v>
      </c>
      <c r="Z475" s="1681"/>
      <c r="AB475" s="1682"/>
      <c r="AC475" s="1682"/>
      <c r="AE475" s="1683"/>
      <c r="AF475" s="1683"/>
      <c r="AG475" s="1683"/>
      <c r="AH475" s="1683"/>
      <c r="AI475" s="1683"/>
      <c r="AJ475" s="1683"/>
      <c r="AK475" s="1683"/>
      <c r="AL475" s="1683"/>
      <c r="AM475" s="1683"/>
      <c r="AN475" s="1683"/>
      <c r="AO475" s="1683"/>
      <c r="AP475" s="1683"/>
      <c r="AQ475" s="1683"/>
      <c r="AR475" s="1683"/>
      <c r="AS475" s="1683"/>
      <c r="AT475" s="1683"/>
      <c r="AU475" s="1683"/>
      <c r="AV475" s="1683"/>
      <c r="AW475" s="1683"/>
      <c r="AX475" s="1683"/>
      <c r="AY475" s="1683"/>
      <c r="AZ475" s="1683"/>
      <c r="BA475" s="1683"/>
      <c r="BB475" s="1683"/>
    </row>
    <row r="476" spans="1:54">
      <c r="A476" s="326">
        <f t="shared" si="57"/>
        <v>47879</v>
      </c>
      <c r="B476" s="1678"/>
      <c r="C476" s="1679">
        <f t="shared" si="54"/>
        <v>1</v>
      </c>
      <c r="D476" s="1679">
        <f>PRODUCT(C$5:C476)</f>
        <v>3.55771976932645</v>
      </c>
      <c r="J476" s="1680"/>
      <c r="K476" s="1680"/>
      <c r="L476" s="1680"/>
      <c r="N476" s="1681"/>
      <c r="O476" s="1681"/>
      <c r="P476" s="1681"/>
      <c r="Q476" s="1681"/>
      <c r="R476" s="1681"/>
      <c r="T476" s="1681"/>
      <c r="U476" s="1681"/>
      <c r="W476" s="1681">
        <f t="shared" si="55"/>
        <v>0</v>
      </c>
      <c r="X476" s="1681"/>
      <c r="Y476" s="1681">
        <f t="shared" si="56"/>
        <v>0</v>
      </c>
      <c r="Z476" s="1681"/>
      <c r="AB476" s="1682"/>
      <c r="AC476" s="1682"/>
      <c r="AE476" s="1683"/>
      <c r="AF476" s="1683"/>
      <c r="AG476" s="1683"/>
      <c r="AH476" s="1683"/>
      <c r="AI476" s="1683"/>
      <c r="AJ476" s="1683"/>
      <c r="AK476" s="1683"/>
      <c r="AL476" s="1683"/>
      <c r="AM476" s="1683"/>
      <c r="AN476" s="1683"/>
      <c r="AO476" s="1683"/>
      <c r="AP476" s="1683"/>
      <c r="AQ476" s="1683"/>
      <c r="AR476" s="1683"/>
      <c r="AS476" s="1683"/>
      <c r="AT476" s="1683"/>
      <c r="AU476" s="1683"/>
      <c r="AV476" s="1683"/>
      <c r="AW476" s="1683"/>
      <c r="AX476" s="1683"/>
      <c r="AY476" s="1683"/>
      <c r="AZ476" s="1683"/>
      <c r="BA476" s="1683"/>
      <c r="BB476" s="1683"/>
    </row>
    <row r="477" spans="1:54">
      <c r="A477" s="326">
        <f t="shared" si="57"/>
        <v>47907</v>
      </c>
      <c r="B477" s="1678"/>
      <c r="C477" s="1679">
        <f t="shared" si="54"/>
        <v>1</v>
      </c>
      <c r="D477" s="1679">
        <f>PRODUCT(C$5:C477)</f>
        <v>3.55771976932645</v>
      </c>
      <c r="J477" s="1680"/>
      <c r="K477" s="1680"/>
      <c r="L477" s="1680"/>
      <c r="N477" s="1681"/>
      <c r="O477" s="1681"/>
      <c r="P477" s="1681"/>
      <c r="Q477" s="1681"/>
      <c r="R477" s="1681"/>
      <c r="T477" s="1681"/>
      <c r="U477" s="1681"/>
      <c r="W477" s="1681">
        <f t="shared" si="55"/>
        <v>0</v>
      </c>
      <c r="X477" s="1681"/>
      <c r="Y477" s="1681">
        <f t="shared" si="56"/>
        <v>0</v>
      </c>
      <c r="Z477" s="1681"/>
      <c r="AB477" s="1682"/>
      <c r="AC477" s="1682"/>
      <c r="AE477" s="1683"/>
      <c r="AF477" s="1683"/>
      <c r="AG477" s="1683"/>
      <c r="AH477" s="1683"/>
      <c r="AI477" s="1683"/>
      <c r="AJ477" s="1683"/>
      <c r="AK477" s="1683"/>
      <c r="AL477" s="1683"/>
      <c r="AM477" s="1683"/>
      <c r="AN477" s="1683"/>
      <c r="AO477" s="1683"/>
      <c r="AP477" s="1683"/>
      <c r="AQ477" s="1683"/>
      <c r="AR477" s="1683"/>
      <c r="AS477" s="1683"/>
      <c r="AT477" s="1683"/>
      <c r="AU477" s="1683"/>
      <c r="AV477" s="1683"/>
      <c r="AW477" s="1683"/>
      <c r="AX477" s="1683"/>
      <c r="AY477" s="1683"/>
      <c r="AZ477" s="1683"/>
      <c r="BA477" s="1683"/>
      <c r="BB477" s="1683"/>
    </row>
    <row r="478" spans="1:54">
      <c r="A478" s="326">
        <f t="shared" si="57"/>
        <v>47938</v>
      </c>
      <c r="B478" s="1678"/>
      <c r="C478" s="1679">
        <f t="shared" si="54"/>
        <v>1</v>
      </c>
      <c r="D478" s="1679">
        <f>PRODUCT(C$5:C478)</f>
        <v>3.55771976932645</v>
      </c>
      <c r="J478" s="1680"/>
      <c r="K478" s="1680"/>
      <c r="L478" s="1680"/>
      <c r="N478" s="1681"/>
      <c r="O478" s="1681"/>
      <c r="P478" s="1681"/>
      <c r="Q478" s="1681"/>
      <c r="R478" s="1681"/>
      <c r="T478" s="1681"/>
      <c r="U478" s="1681"/>
      <c r="W478" s="1681">
        <f t="shared" si="55"/>
        <v>0</v>
      </c>
      <c r="X478" s="1681"/>
      <c r="Y478" s="1681">
        <f t="shared" si="56"/>
        <v>0</v>
      </c>
      <c r="Z478" s="1681"/>
      <c r="AB478" s="1682"/>
      <c r="AC478" s="1682"/>
      <c r="AE478" s="1683"/>
      <c r="AF478" s="1683"/>
      <c r="AG478" s="1683"/>
      <c r="AH478" s="1683"/>
      <c r="AI478" s="1683"/>
      <c r="AJ478" s="1683"/>
      <c r="AK478" s="1683"/>
      <c r="AL478" s="1683"/>
      <c r="AM478" s="1683"/>
      <c r="AN478" s="1683"/>
      <c r="AO478" s="1683"/>
      <c r="AP478" s="1683"/>
      <c r="AQ478" s="1683"/>
      <c r="AR478" s="1683"/>
      <c r="AS478" s="1683"/>
      <c r="AT478" s="1683"/>
      <c r="AU478" s="1683"/>
      <c r="AV478" s="1683"/>
      <c r="AW478" s="1683"/>
      <c r="AX478" s="1683"/>
      <c r="AY478" s="1683"/>
      <c r="AZ478" s="1683"/>
      <c r="BA478" s="1683"/>
      <c r="BB478" s="1683"/>
    </row>
    <row r="479" spans="1:54">
      <c r="A479" s="326">
        <f t="shared" si="57"/>
        <v>47968</v>
      </c>
      <c r="B479" s="1678"/>
      <c r="C479" s="1679">
        <f t="shared" si="54"/>
        <v>1</v>
      </c>
      <c r="D479" s="1679">
        <f>PRODUCT(C$5:C479)</f>
        <v>3.55771976932645</v>
      </c>
      <c r="J479" s="1680"/>
      <c r="K479" s="1680"/>
      <c r="L479" s="1680"/>
      <c r="N479" s="1681"/>
      <c r="O479" s="1681"/>
      <c r="P479" s="1681"/>
      <c r="Q479" s="1681"/>
      <c r="R479" s="1681"/>
      <c r="T479" s="1681"/>
      <c r="U479" s="1681"/>
      <c r="W479" s="1681">
        <f t="shared" si="55"/>
        <v>0</v>
      </c>
      <c r="X479" s="1681"/>
      <c r="Y479" s="1681">
        <f t="shared" si="56"/>
        <v>0</v>
      </c>
      <c r="Z479" s="1681"/>
      <c r="AB479" s="1682"/>
      <c r="AC479" s="1682"/>
      <c r="AE479" s="1683"/>
      <c r="AF479" s="1683"/>
      <c r="AG479" s="1683"/>
      <c r="AH479" s="1683"/>
      <c r="AI479" s="1683"/>
      <c r="AJ479" s="1683"/>
      <c r="AK479" s="1683"/>
      <c r="AL479" s="1683"/>
      <c r="AM479" s="1683"/>
      <c r="AN479" s="1683"/>
      <c r="AO479" s="1683"/>
      <c r="AP479" s="1683"/>
      <c r="AQ479" s="1683"/>
      <c r="AR479" s="1683"/>
      <c r="AS479" s="1683"/>
      <c r="AT479" s="1683"/>
      <c r="AU479" s="1683"/>
      <c r="AV479" s="1683"/>
      <c r="AW479" s="1683"/>
      <c r="AX479" s="1683"/>
      <c r="AY479" s="1683"/>
      <c r="AZ479" s="1683"/>
      <c r="BA479" s="1683"/>
      <c r="BB479" s="1683"/>
    </row>
    <row r="480" spans="1:54">
      <c r="A480" s="326">
        <f t="shared" si="57"/>
        <v>47999</v>
      </c>
      <c r="B480" s="1678"/>
      <c r="C480" s="1679">
        <f t="shared" si="54"/>
        <v>1</v>
      </c>
      <c r="D480" s="1679">
        <f>PRODUCT(C$5:C480)</f>
        <v>3.55771976932645</v>
      </c>
      <c r="J480" s="1680"/>
      <c r="K480" s="1680"/>
      <c r="L480" s="1680"/>
      <c r="N480" s="1681"/>
      <c r="O480" s="1681"/>
      <c r="P480" s="1681"/>
      <c r="Q480" s="1681"/>
      <c r="R480" s="1681"/>
      <c r="T480" s="1681"/>
      <c r="U480" s="1681"/>
      <c r="W480" s="1681">
        <f t="shared" si="55"/>
        <v>0</v>
      </c>
      <c r="X480" s="1681"/>
      <c r="Y480" s="1681">
        <f t="shared" si="56"/>
        <v>0</v>
      </c>
      <c r="Z480" s="1681"/>
      <c r="AB480" s="1682"/>
      <c r="AC480" s="1682"/>
      <c r="AE480" s="1683"/>
      <c r="AF480" s="1683"/>
      <c r="AG480" s="1683"/>
      <c r="AH480" s="1683"/>
      <c r="AI480" s="1683"/>
      <c r="AJ480" s="1683"/>
      <c r="AK480" s="1683"/>
      <c r="AL480" s="1683"/>
      <c r="AM480" s="1683"/>
      <c r="AN480" s="1683"/>
      <c r="AO480" s="1683"/>
      <c r="AP480" s="1683"/>
      <c r="AQ480" s="1683"/>
      <c r="AR480" s="1683"/>
      <c r="AS480" s="1683"/>
      <c r="AT480" s="1683"/>
      <c r="AU480" s="1683"/>
      <c r="AV480" s="1683"/>
      <c r="AW480" s="1683"/>
      <c r="AX480" s="1683"/>
      <c r="AY480" s="1683"/>
      <c r="AZ480" s="1683"/>
      <c r="BA480" s="1683"/>
      <c r="BB480" s="1683"/>
    </row>
    <row r="481" spans="1:54">
      <c r="A481" s="326">
        <f t="shared" si="57"/>
        <v>48029</v>
      </c>
      <c r="B481" s="1678"/>
      <c r="C481" s="1679">
        <f t="shared" si="54"/>
        <v>1</v>
      </c>
      <c r="D481" s="1679">
        <f>PRODUCT(C$5:C481)</f>
        <v>3.55771976932645</v>
      </c>
      <c r="J481" s="1680"/>
      <c r="K481" s="1680"/>
      <c r="L481" s="1680"/>
      <c r="N481" s="1681"/>
      <c r="O481" s="1681"/>
      <c r="P481" s="1681"/>
      <c r="Q481" s="1681"/>
      <c r="R481" s="1681"/>
      <c r="T481" s="1681"/>
      <c r="U481" s="1681"/>
      <c r="W481" s="1681">
        <f t="shared" si="55"/>
        <v>0</v>
      </c>
      <c r="X481" s="1681"/>
      <c r="Y481" s="1681">
        <f t="shared" si="56"/>
        <v>0</v>
      </c>
      <c r="Z481" s="1681"/>
      <c r="AB481" s="1682"/>
      <c r="AC481" s="1682"/>
      <c r="AE481" s="1683"/>
      <c r="AF481" s="1683"/>
      <c r="AG481" s="1683"/>
      <c r="AH481" s="1683"/>
      <c r="AI481" s="1683"/>
      <c r="AJ481" s="1683"/>
      <c r="AK481" s="1683"/>
      <c r="AL481" s="1683"/>
      <c r="AM481" s="1683"/>
      <c r="AN481" s="1683"/>
      <c r="AO481" s="1683"/>
      <c r="AP481" s="1683"/>
      <c r="AQ481" s="1683"/>
      <c r="AR481" s="1683"/>
      <c r="AS481" s="1683"/>
      <c r="AT481" s="1683"/>
      <c r="AU481" s="1683"/>
      <c r="AV481" s="1683"/>
      <c r="AW481" s="1683"/>
      <c r="AX481" s="1683"/>
      <c r="AY481" s="1683"/>
      <c r="AZ481" s="1683"/>
      <c r="BA481" s="1683"/>
      <c r="BB481" s="1683"/>
    </row>
    <row r="482" spans="1:54">
      <c r="A482" s="326">
        <f t="shared" si="57"/>
        <v>48060</v>
      </c>
      <c r="B482" s="1678"/>
      <c r="C482" s="1679">
        <f t="shared" si="54"/>
        <v>1</v>
      </c>
      <c r="D482" s="1679">
        <f>PRODUCT(C$5:C482)</f>
        <v>3.55771976932645</v>
      </c>
      <c r="J482" s="1680"/>
      <c r="K482" s="1680"/>
      <c r="L482" s="1680"/>
      <c r="N482" s="1681"/>
      <c r="O482" s="1681"/>
      <c r="P482" s="1681"/>
      <c r="Q482" s="1681"/>
      <c r="R482" s="1681"/>
      <c r="T482" s="1681"/>
      <c r="U482" s="1681"/>
      <c r="W482" s="1681">
        <f t="shared" si="55"/>
        <v>0</v>
      </c>
      <c r="X482" s="1681"/>
      <c r="Y482" s="1681">
        <f t="shared" si="56"/>
        <v>0</v>
      </c>
      <c r="Z482" s="1681"/>
      <c r="AB482" s="1682"/>
      <c r="AC482" s="1682"/>
      <c r="AE482" s="1683"/>
      <c r="AF482" s="1683"/>
      <c r="AG482" s="1683"/>
      <c r="AH482" s="1683"/>
      <c r="AI482" s="1683"/>
      <c r="AJ482" s="1683"/>
      <c r="AK482" s="1683"/>
      <c r="AL482" s="1683"/>
      <c r="AM482" s="1683"/>
      <c r="AN482" s="1683"/>
      <c r="AO482" s="1683"/>
      <c r="AP482" s="1683"/>
      <c r="AQ482" s="1683"/>
      <c r="AR482" s="1683"/>
      <c r="AS482" s="1683"/>
      <c r="AT482" s="1683"/>
      <c r="AU482" s="1683"/>
      <c r="AV482" s="1683"/>
      <c r="AW482" s="1683"/>
      <c r="AX482" s="1683"/>
      <c r="AY482" s="1683"/>
      <c r="AZ482" s="1683"/>
      <c r="BA482" s="1683"/>
      <c r="BB482" s="1683"/>
    </row>
    <row r="483" spans="1:54">
      <c r="A483" s="326">
        <f t="shared" si="57"/>
        <v>48091</v>
      </c>
      <c r="B483" s="1678"/>
      <c r="C483" s="1679">
        <f t="shared" si="54"/>
        <v>1</v>
      </c>
      <c r="D483" s="1679">
        <f>PRODUCT(C$5:C483)</f>
        <v>3.55771976932645</v>
      </c>
      <c r="J483" s="1680"/>
      <c r="K483" s="1680"/>
      <c r="L483" s="1680"/>
      <c r="N483" s="1681"/>
      <c r="O483" s="1681"/>
      <c r="P483" s="1681"/>
      <c r="Q483" s="1681"/>
      <c r="R483" s="1681"/>
      <c r="T483" s="1681"/>
      <c r="U483" s="1681"/>
      <c r="W483" s="1681">
        <f t="shared" si="55"/>
        <v>0</v>
      </c>
      <c r="X483" s="1681"/>
      <c r="Y483" s="1681">
        <f t="shared" si="56"/>
        <v>0</v>
      </c>
      <c r="Z483" s="1681"/>
      <c r="AB483" s="1682"/>
      <c r="AC483" s="1682"/>
      <c r="AE483" s="1683"/>
      <c r="AF483" s="1683"/>
      <c r="AG483" s="1683"/>
      <c r="AH483" s="1683"/>
      <c r="AI483" s="1683"/>
      <c r="AJ483" s="1683"/>
      <c r="AK483" s="1683"/>
      <c r="AL483" s="1683"/>
      <c r="AM483" s="1683"/>
      <c r="AN483" s="1683"/>
      <c r="AO483" s="1683"/>
      <c r="AP483" s="1683"/>
      <c r="AQ483" s="1683"/>
      <c r="AR483" s="1683"/>
      <c r="AS483" s="1683"/>
      <c r="AT483" s="1683"/>
      <c r="AU483" s="1683"/>
      <c r="AV483" s="1683"/>
      <c r="AW483" s="1683"/>
      <c r="AX483" s="1683"/>
      <c r="AY483" s="1683"/>
      <c r="AZ483" s="1683"/>
      <c r="BA483" s="1683"/>
      <c r="BB483" s="1683"/>
    </row>
    <row r="484" spans="1:54">
      <c r="A484" s="326">
        <f t="shared" si="57"/>
        <v>48121</v>
      </c>
      <c r="B484" s="1678"/>
      <c r="C484" s="1679">
        <f t="shared" si="54"/>
        <v>1</v>
      </c>
      <c r="D484" s="1679">
        <f>PRODUCT(C$5:C484)</f>
        <v>3.55771976932645</v>
      </c>
      <c r="J484" s="1680"/>
      <c r="K484" s="1680"/>
      <c r="L484" s="1680"/>
      <c r="N484" s="1681"/>
      <c r="O484" s="1681"/>
      <c r="P484" s="1681"/>
      <c r="Q484" s="1681"/>
      <c r="R484" s="1681"/>
      <c r="T484" s="1681"/>
      <c r="U484" s="1681"/>
      <c r="W484" s="1681">
        <f t="shared" si="55"/>
        <v>0</v>
      </c>
      <c r="X484" s="1681"/>
      <c r="Y484" s="1681">
        <f t="shared" si="56"/>
        <v>0</v>
      </c>
      <c r="Z484" s="1681"/>
      <c r="AB484" s="1682"/>
      <c r="AC484" s="1682"/>
      <c r="AE484" s="1683"/>
      <c r="AF484" s="1683"/>
      <c r="AG484" s="1683"/>
      <c r="AH484" s="1683"/>
      <c r="AI484" s="1683"/>
      <c r="AJ484" s="1683"/>
      <c r="AK484" s="1683"/>
      <c r="AL484" s="1683"/>
      <c r="AM484" s="1683"/>
      <c r="AN484" s="1683"/>
      <c r="AO484" s="1683"/>
      <c r="AP484" s="1683"/>
      <c r="AQ484" s="1683"/>
      <c r="AR484" s="1683"/>
      <c r="AS484" s="1683"/>
      <c r="AT484" s="1683"/>
      <c r="AU484" s="1683"/>
      <c r="AV484" s="1683"/>
      <c r="AW484" s="1683"/>
      <c r="AX484" s="1683"/>
      <c r="AY484" s="1683"/>
      <c r="AZ484" s="1683"/>
      <c r="BA484" s="1683"/>
      <c r="BB484" s="1683"/>
    </row>
    <row r="485" spans="1:54">
      <c r="A485" s="326">
        <f t="shared" si="57"/>
        <v>48152</v>
      </c>
      <c r="B485" s="1678"/>
      <c r="C485" s="1679">
        <f t="shared" si="54"/>
        <v>1</v>
      </c>
      <c r="D485" s="1679">
        <f>PRODUCT(C$5:C485)</f>
        <v>3.55771976932645</v>
      </c>
      <c r="J485" s="1680"/>
      <c r="K485" s="1680"/>
      <c r="L485" s="1680"/>
      <c r="N485" s="1681"/>
      <c r="O485" s="1681"/>
      <c r="P485" s="1681"/>
      <c r="Q485" s="1681"/>
      <c r="R485" s="1681"/>
      <c r="T485" s="1681"/>
      <c r="U485" s="1681"/>
      <c r="W485" s="1681">
        <f t="shared" si="55"/>
        <v>0</v>
      </c>
      <c r="X485" s="1681"/>
      <c r="Y485" s="1681">
        <f t="shared" si="56"/>
        <v>0</v>
      </c>
      <c r="Z485" s="1681"/>
      <c r="AB485" s="1682"/>
      <c r="AC485" s="1682"/>
      <c r="AE485" s="1683"/>
      <c r="AF485" s="1683"/>
      <c r="AG485" s="1683"/>
      <c r="AH485" s="1683"/>
      <c r="AI485" s="1683"/>
      <c r="AJ485" s="1683"/>
      <c r="AK485" s="1683"/>
      <c r="AL485" s="1683"/>
      <c r="AM485" s="1683"/>
      <c r="AN485" s="1683"/>
      <c r="AO485" s="1683"/>
      <c r="AP485" s="1683"/>
      <c r="AQ485" s="1683"/>
      <c r="AR485" s="1683"/>
      <c r="AS485" s="1683"/>
      <c r="AT485" s="1683"/>
      <c r="AU485" s="1683"/>
      <c r="AV485" s="1683"/>
      <c r="AW485" s="1683"/>
      <c r="AX485" s="1683"/>
      <c r="AY485" s="1683"/>
      <c r="AZ485" s="1683"/>
      <c r="BA485" s="1683"/>
      <c r="BB485" s="1683"/>
    </row>
    <row r="486" spans="1:54">
      <c r="A486" s="326">
        <f t="shared" si="57"/>
        <v>48182</v>
      </c>
      <c r="B486" s="1678"/>
      <c r="C486" s="1679">
        <f t="shared" si="54"/>
        <v>1</v>
      </c>
      <c r="D486" s="1679">
        <f>PRODUCT(C$5:C486)</f>
        <v>3.55771976932645</v>
      </c>
      <c r="J486" s="1680"/>
      <c r="K486" s="1680"/>
      <c r="L486" s="1680"/>
      <c r="N486" s="1681"/>
      <c r="O486" s="1681"/>
      <c r="P486" s="1681"/>
      <c r="Q486" s="1681"/>
      <c r="R486" s="1681"/>
      <c r="T486" s="1681"/>
      <c r="U486" s="1681"/>
      <c r="W486" s="1681">
        <f t="shared" si="55"/>
        <v>0</v>
      </c>
      <c r="X486" s="1681"/>
      <c r="Y486" s="1681">
        <f t="shared" si="56"/>
        <v>0</v>
      </c>
      <c r="Z486" s="1681"/>
      <c r="AB486" s="1682"/>
      <c r="AC486" s="1682"/>
      <c r="AE486" s="1683"/>
      <c r="AF486" s="1683"/>
      <c r="AG486" s="1683"/>
      <c r="AH486" s="1683"/>
      <c r="AI486" s="1683"/>
      <c r="AJ486" s="1683"/>
      <c r="AK486" s="1683"/>
      <c r="AL486" s="1683"/>
      <c r="AM486" s="1683"/>
      <c r="AN486" s="1683"/>
      <c r="AO486" s="1683"/>
      <c r="AP486" s="1683"/>
      <c r="AQ486" s="1683"/>
      <c r="AR486" s="1683"/>
      <c r="AS486" s="1683"/>
      <c r="AT486" s="1683"/>
      <c r="AU486" s="1683"/>
      <c r="AV486" s="1683"/>
      <c r="AW486" s="1683"/>
      <c r="AX486" s="1683"/>
      <c r="AY486" s="1683"/>
      <c r="AZ486" s="1683"/>
      <c r="BA486" s="1683"/>
      <c r="BB486" s="1683"/>
    </row>
    <row r="487" spans="1:54">
      <c r="A487" s="326">
        <f t="shared" si="57"/>
        <v>48213</v>
      </c>
      <c r="B487" s="1678"/>
      <c r="C487" s="1679">
        <f t="shared" si="54"/>
        <v>1</v>
      </c>
      <c r="D487" s="1679">
        <f>PRODUCT(C$5:C487)</f>
        <v>3.55771976932645</v>
      </c>
      <c r="J487" s="1680"/>
      <c r="K487" s="1680"/>
      <c r="L487" s="1680"/>
      <c r="N487" s="1681"/>
      <c r="O487" s="1681"/>
      <c r="P487" s="1681"/>
      <c r="Q487" s="1681"/>
      <c r="R487" s="1681"/>
      <c r="T487" s="1681"/>
      <c r="U487" s="1681"/>
      <c r="W487" s="1681">
        <f t="shared" si="55"/>
        <v>0</v>
      </c>
      <c r="X487" s="1681"/>
      <c r="Y487" s="1681">
        <f t="shared" si="56"/>
        <v>0</v>
      </c>
      <c r="Z487" s="1681"/>
      <c r="AB487" s="1682"/>
      <c r="AC487" s="1682"/>
      <c r="AE487" s="1683"/>
      <c r="AF487" s="1683"/>
      <c r="AG487" s="1683"/>
      <c r="AH487" s="1683"/>
      <c r="AI487" s="1683"/>
      <c r="AJ487" s="1683"/>
      <c r="AK487" s="1683"/>
      <c r="AL487" s="1683"/>
      <c r="AM487" s="1683"/>
      <c r="AN487" s="1683"/>
      <c r="AO487" s="1683"/>
      <c r="AP487" s="1683"/>
      <c r="AQ487" s="1683"/>
      <c r="AR487" s="1683"/>
      <c r="AS487" s="1683"/>
      <c r="AT487" s="1683"/>
      <c r="AU487" s="1683"/>
      <c r="AV487" s="1683"/>
      <c r="AW487" s="1683"/>
      <c r="AX487" s="1683"/>
      <c r="AY487" s="1683"/>
      <c r="AZ487" s="1683"/>
      <c r="BA487" s="1683"/>
      <c r="BB487" s="1683"/>
    </row>
    <row r="488" spans="1:54">
      <c r="A488" s="326">
        <f t="shared" si="57"/>
        <v>48244</v>
      </c>
      <c r="B488" s="1678"/>
      <c r="C488" s="1679">
        <f t="shared" si="54"/>
        <v>1</v>
      </c>
      <c r="D488" s="1679">
        <f>PRODUCT(C$5:C488)</f>
        <v>3.55771976932645</v>
      </c>
      <c r="J488" s="1680"/>
      <c r="K488" s="1680"/>
      <c r="L488" s="1680"/>
      <c r="N488" s="1681"/>
      <c r="O488" s="1681"/>
      <c r="P488" s="1681"/>
      <c r="Q488" s="1681"/>
      <c r="R488" s="1681"/>
      <c r="T488" s="1681"/>
      <c r="U488" s="1681"/>
      <c r="W488" s="1681">
        <f t="shared" si="55"/>
        <v>0</v>
      </c>
      <c r="X488" s="1681"/>
      <c r="Y488" s="1681">
        <f t="shared" si="56"/>
        <v>0</v>
      </c>
      <c r="Z488" s="1681"/>
      <c r="AB488" s="1682"/>
      <c r="AC488" s="1682"/>
      <c r="AE488" s="1683"/>
      <c r="AF488" s="1683"/>
      <c r="AG488" s="1683"/>
      <c r="AH488" s="1683"/>
      <c r="AI488" s="1683"/>
      <c r="AJ488" s="1683"/>
      <c r="AK488" s="1683"/>
      <c r="AL488" s="1683"/>
      <c r="AM488" s="1683"/>
      <c r="AN488" s="1683"/>
      <c r="AO488" s="1683"/>
      <c r="AP488" s="1683"/>
      <c r="AQ488" s="1683"/>
      <c r="AR488" s="1683"/>
      <c r="AS488" s="1683"/>
      <c r="AT488" s="1683"/>
      <c r="AU488" s="1683"/>
      <c r="AV488" s="1683"/>
      <c r="AW488" s="1683"/>
      <c r="AX488" s="1683"/>
      <c r="AY488" s="1683"/>
      <c r="AZ488" s="1683"/>
      <c r="BA488" s="1683"/>
      <c r="BB488" s="1683"/>
    </row>
    <row r="489" spans="1:54">
      <c r="A489" s="326">
        <f t="shared" si="57"/>
        <v>48273</v>
      </c>
      <c r="B489" s="1678"/>
      <c r="C489" s="1679">
        <f t="shared" si="54"/>
        <v>1</v>
      </c>
      <c r="D489" s="1679">
        <f>PRODUCT(C$5:C489)</f>
        <v>3.55771976932645</v>
      </c>
      <c r="J489" s="1680"/>
      <c r="K489" s="1680"/>
      <c r="L489" s="1680"/>
      <c r="N489" s="1681"/>
      <c r="O489" s="1681"/>
      <c r="P489" s="1681"/>
      <c r="Q489" s="1681"/>
      <c r="R489" s="1681"/>
      <c r="T489" s="1681"/>
      <c r="U489" s="1681"/>
      <c r="W489" s="1681">
        <f t="shared" si="55"/>
        <v>0</v>
      </c>
      <c r="X489" s="1681"/>
      <c r="Y489" s="1681">
        <f t="shared" si="56"/>
        <v>0</v>
      </c>
      <c r="Z489" s="1681"/>
      <c r="AB489" s="1682"/>
      <c r="AC489" s="1682"/>
      <c r="AE489" s="1683"/>
      <c r="AF489" s="1683"/>
      <c r="AG489" s="1683"/>
      <c r="AH489" s="1683"/>
      <c r="AI489" s="1683"/>
      <c r="AJ489" s="1683"/>
      <c r="AK489" s="1683"/>
      <c r="AL489" s="1683"/>
      <c r="AM489" s="1683"/>
      <c r="AN489" s="1683"/>
      <c r="AO489" s="1683"/>
      <c r="AP489" s="1683"/>
      <c r="AQ489" s="1683"/>
      <c r="AR489" s="1683"/>
      <c r="AS489" s="1683"/>
      <c r="AT489" s="1683"/>
      <c r="AU489" s="1683"/>
      <c r="AV489" s="1683"/>
      <c r="AW489" s="1683"/>
      <c r="AX489" s="1683"/>
      <c r="AY489" s="1683"/>
      <c r="AZ489" s="1683"/>
      <c r="BA489" s="1683"/>
      <c r="BB489" s="1683"/>
    </row>
    <row r="490" spans="1:54">
      <c r="A490" s="326">
        <f t="shared" si="57"/>
        <v>48304</v>
      </c>
      <c r="B490" s="1678"/>
      <c r="C490" s="1679">
        <f t="shared" si="54"/>
        <v>1</v>
      </c>
      <c r="D490" s="1679">
        <f>PRODUCT(C$5:C490)</f>
        <v>3.55771976932645</v>
      </c>
      <c r="J490" s="1680"/>
      <c r="K490" s="1680"/>
      <c r="L490" s="1680"/>
      <c r="N490" s="1681"/>
      <c r="O490" s="1681"/>
      <c r="P490" s="1681"/>
      <c r="Q490" s="1681"/>
      <c r="R490" s="1681"/>
      <c r="T490" s="1681"/>
      <c r="U490" s="1681"/>
      <c r="W490" s="1681">
        <f t="shared" si="55"/>
        <v>0</v>
      </c>
      <c r="X490" s="1681"/>
      <c r="Y490" s="1681">
        <f t="shared" si="56"/>
        <v>0</v>
      </c>
      <c r="Z490" s="1681"/>
      <c r="AB490" s="1682"/>
      <c r="AC490" s="1682"/>
      <c r="AE490" s="1683"/>
      <c r="AF490" s="1683"/>
      <c r="AG490" s="1683"/>
      <c r="AH490" s="1683"/>
      <c r="AI490" s="1683"/>
      <c r="AJ490" s="1683"/>
      <c r="AK490" s="1683"/>
      <c r="AL490" s="1683"/>
      <c r="AM490" s="1683"/>
      <c r="AN490" s="1683"/>
      <c r="AO490" s="1683"/>
      <c r="AP490" s="1683"/>
      <c r="AQ490" s="1683"/>
      <c r="AR490" s="1683"/>
      <c r="AS490" s="1683"/>
      <c r="AT490" s="1683"/>
      <c r="AU490" s="1683"/>
      <c r="AV490" s="1683"/>
      <c r="AW490" s="1683"/>
      <c r="AX490" s="1683"/>
      <c r="AY490" s="1683"/>
      <c r="AZ490" s="1683"/>
      <c r="BA490" s="1683"/>
      <c r="BB490" s="1683"/>
    </row>
    <row r="491" spans="1:54">
      <c r="A491" s="326">
        <f t="shared" si="57"/>
        <v>48334</v>
      </c>
      <c r="B491" s="1678"/>
      <c r="C491" s="1679">
        <f t="shared" si="54"/>
        <v>1</v>
      </c>
      <c r="D491" s="1679">
        <f>PRODUCT(C$5:C491)</f>
        <v>3.55771976932645</v>
      </c>
      <c r="J491" s="1680"/>
      <c r="K491" s="1680"/>
      <c r="L491" s="1680"/>
      <c r="N491" s="1681"/>
      <c r="O491" s="1681"/>
      <c r="P491" s="1681"/>
      <c r="Q491" s="1681"/>
      <c r="R491" s="1681"/>
      <c r="T491" s="1681"/>
      <c r="U491" s="1681"/>
      <c r="W491" s="1681">
        <f t="shared" si="55"/>
        <v>0</v>
      </c>
      <c r="X491" s="1681"/>
      <c r="Y491" s="1681">
        <f t="shared" si="56"/>
        <v>0</v>
      </c>
      <c r="Z491" s="1681"/>
      <c r="AB491" s="1682"/>
      <c r="AC491" s="1682"/>
      <c r="AE491" s="1683"/>
      <c r="AF491" s="1683"/>
      <c r="AG491" s="1683"/>
      <c r="AH491" s="1683"/>
      <c r="AI491" s="1683"/>
      <c r="AJ491" s="1683"/>
      <c r="AK491" s="1683"/>
      <c r="AL491" s="1683"/>
      <c r="AM491" s="1683"/>
      <c r="AN491" s="1683"/>
      <c r="AO491" s="1683"/>
      <c r="AP491" s="1683"/>
      <c r="AQ491" s="1683"/>
      <c r="AR491" s="1683"/>
      <c r="AS491" s="1683"/>
      <c r="AT491" s="1683"/>
      <c r="AU491" s="1683"/>
      <c r="AV491" s="1683"/>
      <c r="AW491" s="1683"/>
      <c r="AX491" s="1683"/>
      <c r="AY491" s="1683"/>
      <c r="AZ491" s="1683"/>
      <c r="BA491" s="1683"/>
      <c r="BB491" s="1683"/>
    </row>
    <row r="492" spans="1:54">
      <c r="A492" s="326">
        <f t="shared" si="57"/>
        <v>48365</v>
      </c>
      <c r="B492" s="1678"/>
      <c r="C492" s="1679">
        <f t="shared" si="54"/>
        <v>1</v>
      </c>
      <c r="D492" s="1679">
        <f>PRODUCT(C$5:C492)</f>
        <v>3.55771976932645</v>
      </c>
      <c r="J492" s="1680"/>
      <c r="K492" s="1680"/>
      <c r="L492" s="1680"/>
      <c r="N492" s="1681"/>
      <c r="O492" s="1681"/>
      <c r="P492" s="1681"/>
      <c r="Q492" s="1681"/>
      <c r="R492" s="1681"/>
      <c r="T492" s="1681"/>
      <c r="U492" s="1681"/>
      <c r="W492" s="1681">
        <f t="shared" si="55"/>
        <v>0</v>
      </c>
      <c r="X492" s="1681"/>
      <c r="Y492" s="1681">
        <f t="shared" si="56"/>
        <v>0</v>
      </c>
      <c r="Z492" s="1681"/>
      <c r="AB492" s="1682"/>
      <c r="AC492" s="1682"/>
      <c r="AE492" s="1683"/>
      <c r="AF492" s="1683"/>
      <c r="AG492" s="1683"/>
      <c r="AH492" s="1683"/>
      <c r="AI492" s="1683"/>
      <c r="AJ492" s="1683"/>
      <c r="AK492" s="1683"/>
      <c r="AL492" s="1683"/>
      <c r="AM492" s="1683"/>
      <c r="AN492" s="1683"/>
      <c r="AO492" s="1683"/>
      <c r="AP492" s="1683"/>
      <c r="AQ492" s="1683"/>
      <c r="AR492" s="1683"/>
      <c r="AS492" s="1683"/>
      <c r="AT492" s="1683"/>
      <c r="AU492" s="1683"/>
      <c r="AV492" s="1683"/>
      <c r="AW492" s="1683"/>
      <c r="AX492" s="1683"/>
      <c r="AY492" s="1683"/>
      <c r="AZ492" s="1683"/>
      <c r="BA492" s="1683"/>
      <c r="BB492" s="1683"/>
    </row>
    <row r="493" spans="1:54">
      <c r="A493" s="326">
        <f t="shared" si="57"/>
        <v>48395</v>
      </c>
      <c r="B493" s="1678"/>
      <c r="C493" s="1679">
        <f t="shared" si="54"/>
        <v>1</v>
      </c>
      <c r="D493" s="1679">
        <f>PRODUCT(C$5:C493)</f>
        <v>3.55771976932645</v>
      </c>
      <c r="J493" s="1680"/>
      <c r="K493" s="1680"/>
      <c r="L493" s="1680"/>
      <c r="N493" s="1681"/>
      <c r="O493" s="1681"/>
      <c r="P493" s="1681"/>
      <c r="Q493" s="1681"/>
      <c r="R493" s="1681"/>
      <c r="T493" s="1681"/>
      <c r="U493" s="1681"/>
      <c r="W493" s="1681">
        <f t="shared" si="55"/>
        <v>0</v>
      </c>
      <c r="X493" s="1681"/>
      <c r="Y493" s="1681">
        <f t="shared" si="56"/>
        <v>0</v>
      </c>
      <c r="Z493" s="1681"/>
      <c r="AB493" s="1682"/>
      <c r="AC493" s="1682"/>
      <c r="AE493" s="1683"/>
      <c r="AF493" s="1683"/>
      <c r="AG493" s="1683"/>
      <c r="AH493" s="1683"/>
      <c r="AI493" s="1683"/>
      <c r="AJ493" s="1683"/>
      <c r="AK493" s="1683"/>
      <c r="AL493" s="1683"/>
      <c r="AM493" s="1683"/>
      <c r="AN493" s="1683"/>
      <c r="AO493" s="1683"/>
      <c r="AP493" s="1683"/>
      <c r="AQ493" s="1683"/>
      <c r="AR493" s="1683"/>
      <c r="AS493" s="1683"/>
      <c r="AT493" s="1683"/>
      <c r="AU493" s="1683"/>
      <c r="AV493" s="1683"/>
      <c r="AW493" s="1683"/>
      <c r="AX493" s="1683"/>
      <c r="AY493" s="1683"/>
      <c r="AZ493" s="1683"/>
      <c r="BA493" s="1683"/>
      <c r="BB493" s="1683"/>
    </row>
    <row r="494" spans="1:54">
      <c r="A494" s="326">
        <f t="shared" si="57"/>
        <v>48426</v>
      </c>
      <c r="B494" s="1678"/>
      <c r="C494" s="1679">
        <f t="shared" si="54"/>
        <v>1</v>
      </c>
      <c r="D494" s="1679">
        <f>PRODUCT(C$5:C494)</f>
        <v>3.55771976932645</v>
      </c>
      <c r="J494" s="1680"/>
      <c r="K494" s="1680"/>
      <c r="L494" s="1680"/>
      <c r="N494" s="1681"/>
      <c r="O494" s="1681"/>
      <c r="P494" s="1681"/>
      <c r="Q494" s="1681"/>
      <c r="R494" s="1681"/>
      <c r="T494" s="1681"/>
      <c r="U494" s="1681"/>
      <c r="W494" s="1681">
        <f t="shared" si="55"/>
        <v>0</v>
      </c>
      <c r="X494" s="1681"/>
      <c r="Y494" s="1681">
        <f t="shared" si="56"/>
        <v>0</v>
      </c>
      <c r="Z494" s="1681"/>
      <c r="AB494" s="1682"/>
      <c r="AC494" s="1682"/>
      <c r="AE494" s="1683"/>
      <c r="AF494" s="1683"/>
      <c r="AG494" s="1683"/>
      <c r="AH494" s="1683"/>
      <c r="AI494" s="1683"/>
      <c r="AJ494" s="1683"/>
      <c r="AK494" s="1683"/>
      <c r="AL494" s="1683"/>
      <c r="AM494" s="1683"/>
      <c r="AN494" s="1683"/>
      <c r="AO494" s="1683"/>
      <c r="AP494" s="1683"/>
      <c r="AQ494" s="1683"/>
      <c r="AR494" s="1683"/>
      <c r="AS494" s="1683"/>
      <c r="AT494" s="1683"/>
      <c r="AU494" s="1683"/>
      <c r="AV494" s="1683"/>
      <c r="AW494" s="1683"/>
      <c r="AX494" s="1683"/>
      <c r="AY494" s="1683"/>
      <c r="AZ494" s="1683"/>
      <c r="BA494" s="1683"/>
      <c r="BB494" s="1683"/>
    </row>
    <row r="495" spans="1:54">
      <c r="A495" s="326">
        <f t="shared" si="57"/>
        <v>48457</v>
      </c>
      <c r="B495" s="1678"/>
      <c r="C495" s="1679">
        <f t="shared" si="54"/>
        <v>1</v>
      </c>
      <c r="D495" s="1679">
        <f>PRODUCT(C$5:C495)</f>
        <v>3.55771976932645</v>
      </c>
      <c r="J495" s="1680"/>
      <c r="K495" s="1680"/>
      <c r="L495" s="1680"/>
      <c r="N495" s="1681"/>
      <c r="O495" s="1681"/>
      <c r="P495" s="1681"/>
      <c r="Q495" s="1681"/>
      <c r="R495" s="1681"/>
      <c r="T495" s="1681"/>
      <c r="U495" s="1681"/>
      <c r="W495" s="1681">
        <f t="shared" si="55"/>
        <v>0</v>
      </c>
      <c r="X495" s="1681"/>
      <c r="Y495" s="1681">
        <f t="shared" si="56"/>
        <v>0</v>
      </c>
      <c r="Z495" s="1681"/>
      <c r="AB495" s="1682"/>
      <c r="AC495" s="1682"/>
      <c r="AE495" s="1683"/>
      <c r="AF495" s="1683"/>
      <c r="AG495" s="1683"/>
      <c r="AH495" s="1683"/>
      <c r="AI495" s="1683"/>
      <c r="AJ495" s="1683"/>
      <c r="AK495" s="1683"/>
      <c r="AL495" s="1683"/>
      <c r="AM495" s="1683"/>
      <c r="AN495" s="1683"/>
      <c r="AO495" s="1683"/>
      <c r="AP495" s="1683"/>
      <c r="AQ495" s="1683"/>
      <c r="AR495" s="1683"/>
      <c r="AS495" s="1683"/>
      <c r="AT495" s="1683"/>
      <c r="AU495" s="1683"/>
      <c r="AV495" s="1683"/>
      <c r="AW495" s="1683"/>
      <c r="AX495" s="1683"/>
      <c r="AY495" s="1683"/>
      <c r="AZ495" s="1683"/>
      <c r="BA495" s="1683"/>
      <c r="BB495" s="1683"/>
    </row>
    <row r="496" spans="1:54">
      <c r="A496" s="326">
        <f t="shared" si="57"/>
        <v>48487</v>
      </c>
      <c r="B496" s="1678"/>
      <c r="C496" s="1679">
        <f t="shared" si="54"/>
        <v>1</v>
      </c>
      <c r="D496" s="1679">
        <f>PRODUCT(C$5:C496)</f>
        <v>3.55771976932645</v>
      </c>
      <c r="J496" s="1680"/>
      <c r="K496" s="1680"/>
      <c r="L496" s="1680"/>
      <c r="N496" s="1681"/>
      <c r="O496" s="1681"/>
      <c r="P496" s="1681"/>
      <c r="Q496" s="1681"/>
      <c r="R496" s="1681"/>
      <c r="T496" s="1681"/>
      <c r="U496" s="1681"/>
      <c r="W496" s="1681">
        <f t="shared" si="55"/>
        <v>0</v>
      </c>
      <c r="X496" s="1681"/>
      <c r="Y496" s="1681">
        <f t="shared" si="56"/>
        <v>0</v>
      </c>
      <c r="Z496" s="1681"/>
      <c r="AB496" s="1682"/>
      <c r="AC496" s="1682"/>
      <c r="AE496" s="1683"/>
      <c r="AF496" s="1683"/>
      <c r="AG496" s="1683"/>
      <c r="AH496" s="1683"/>
      <c r="AI496" s="1683"/>
      <c r="AJ496" s="1683"/>
      <c r="AK496" s="1683"/>
      <c r="AL496" s="1683"/>
      <c r="AM496" s="1683"/>
      <c r="AN496" s="1683"/>
      <c r="AO496" s="1683"/>
      <c r="AP496" s="1683"/>
      <c r="AQ496" s="1683"/>
      <c r="AR496" s="1683"/>
      <c r="AS496" s="1683"/>
      <c r="AT496" s="1683"/>
      <c r="AU496" s="1683"/>
      <c r="AV496" s="1683"/>
      <c r="AW496" s="1683"/>
      <c r="AX496" s="1683"/>
      <c r="AY496" s="1683"/>
      <c r="AZ496" s="1683"/>
      <c r="BA496" s="1683"/>
      <c r="BB496" s="1683"/>
    </row>
    <row r="497" spans="1:54">
      <c r="A497" s="326">
        <f t="shared" si="57"/>
        <v>48518</v>
      </c>
      <c r="B497" s="1678"/>
      <c r="C497" s="1679">
        <f t="shared" si="54"/>
        <v>1</v>
      </c>
      <c r="D497" s="1679">
        <f>PRODUCT(C$5:C497)</f>
        <v>3.55771976932645</v>
      </c>
      <c r="J497" s="1680"/>
      <c r="K497" s="1680"/>
      <c r="L497" s="1680"/>
      <c r="N497" s="1681"/>
      <c r="O497" s="1681"/>
      <c r="P497" s="1681"/>
      <c r="Q497" s="1681"/>
      <c r="R497" s="1681"/>
      <c r="T497" s="1681"/>
      <c r="U497" s="1681"/>
      <c r="W497" s="1681">
        <f t="shared" si="55"/>
        <v>0</v>
      </c>
      <c r="X497" s="1681"/>
      <c r="Y497" s="1681">
        <f t="shared" si="56"/>
        <v>0</v>
      </c>
      <c r="Z497" s="1681"/>
      <c r="AB497" s="1682"/>
      <c r="AC497" s="1682"/>
      <c r="AE497" s="1683"/>
      <c r="AF497" s="1683"/>
      <c r="AG497" s="1683"/>
      <c r="AH497" s="1683"/>
      <c r="AI497" s="1683"/>
      <c r="AJ497" s="1683"/>
      <c r="AK497" s="1683"/>
      <c r="AL497" s="1683"/>
      <c r="AM497" s="1683"/>
      <c r="AN497" s="1683"/>
      <c r="AO497" s="1683"/>
      <c r="AP497" s="1683"/>
      <c r="AQ497" s="1683"/>
      <c r="AR497" s="1683"/>
      <c r="AS497" s="1683"/>
      <c r="AT497" s="1683"/>
      <c r="AU497" s="1683"/>
      <c r="AV497" s="1683"/>
      <c r="AW497" s="1683"/>
      <c r="AX497" s="1683"/>
      <c r="AY497" s="1683"/>
      <c r="AZ497" s="1683"/>
      <c r="BA497" s="1683"/>
      <c r="BB497" s="1683"/>
    </row>
    <row r="498" spans="1:54">
      <c r="A498" s="326">
        <f t="shared" si="57"/>
        <v>48548</v>
      </c>
      <c r="B498" s="1678"/>
      <c r="C498" s="1679">
        <f t="shared" si="54"/>
        <v>1</v>
      </c>
      <c r="D498" s="1679">
        <f>PRODUCT(C$5:C498)</f>
        <v>3.55771976932645</v>
      </c>
      <c r="J498" s="1680"/>
      <c r="K498" s="1680"/>
      <c r="L498" s="1680"/>
      <c r="N498" s="1681"/>
      <c r="O498" s="1681"/>
      <c r="P498" s="1681"/>
      <c r="Q498" s="1681"/>
      <c r="R498" s="1681"/>
      <c r="T498" s="1681"/>
      <c r="U498" s="1681"/>
      <c r="W498" s="1681">
        <f t="shared" si="55"/>
        <v>0</v>
      </c>
      <c r="X498" s="1681"/>
      <c r="Y498" s="1681">
        <f t="shared" si="56"/>
        <v>0</v>
      </c>
      <c r="Z498" s="1681"/>
      <c r="AB498" s="1682"/>
      <c r="AC498" s="1682"/>
      <c r="AE498" s="1683"/>
      <c r="AF498" s="1683"/>
      <c r="AG498" s="1683"/>
      <c r="AH498" s="1683"/>
      <c r="AI498" s="1683"/>
      <c r="AJ498" s="1683"/>
      <c r="AK498" s="1683"/>
      <c r="AL498" s="1683"/>
      <c r="AM498" s="1683"/>
      <c r="AN498" s="1683"/>
      <c r="AO498" s="1683"/>
      <c r="AP498" s="1683"/>
      <c r="AQ498" s="1683"/>
      <c r="AR498" s="1683"/>
      <c r="AS498" s="1683"/>
      <c r="AT498" s="1683"/>
      <c r="AU498" s="1683"/>
      <c r="AV498" s="1683"/>
      <c r="AW498" s="1683"/>
      <c r="AX498" s="1683"/>
      <c r="AY498" s="1683"/>
      <c r="AZ498" s="1683"/>
      <c r="BA498" s="1683"/>
      <c r="BB498" s="1683"/>
    </row>
    <row r="499" spans="1:54">
      <c r="A499" s="326">
        <f t="shared" si="57"/>
        <v>48579</v>
      </c>
      <c r="B499" s="1678"/>
      <c r="C499" s="1679">
        <f t="shared" si="54"/>
        <v>1</v>
      </c>
      <c r="D499" s="1679">
        <f>PRODUCT(C$5:C499)</f>
        <v>3.55771976932645</v>
      </c>
      <c r="J499" s="1680"/>
      <c r="K499" s="1680"/>
      <c r="L499" s="1680"/>
      <c r="N499" s="1681"/>
      <c r="O499" s="1681"/>
      <c r="P499" s="1681"/>
      <c r="Q499" s="1681"/>
      <c r="R499" s="1681"/>
      <c r="T499" s="1681"/>
      <c r="U499" s="1681"/>
      <c r="W499" s="1681">
        <f t="shared" si="55"/>
        <v>0</v>
      </c>
      <c r="X499" s="1681"/>
      <c r="Y499" s="1681">
        <f t="shared" si="56"/>
        <v>0</v>
      </c>
      <c r="Z499" s="1681"/>
      <c r="AB499" s="1682"/>
      <c r="AC499" s="1682"/>
      <c r="AE499" s="1683"/>
      <c r="AF499" s="1683"/>
      <c r="AG499" s="1683"/>
      <c r="AH499" s="1683"/>
      <c r="AI499" s="1683"/>
      <c r="AJ499" s="1683"/>
      <c r="AK499" s="1683"/>
      <c r="AL499" s="1683"/>
      <c r="AM499" s="1683"/>
      <c r="AN499" s="1683"/>
      <c r="AO499" s="1683"/>
      <c r="AP499" s="1683"/>
      <c r="AQ499" s="1683"/>
      <c r="AR499" s="1683"/>
      <c r="AS499" s="1683"/>
      <c r="AT499" s="1683"/>
      <c r="AU499" s="1683"/>
      <c r="AV499" s="1683"/>
      <c r="AW499" s="1683"/>
      <c r="AX499" s="1683"/>
      <c r="AY499" s="1683"/>
      <c r="AZ499" s="1683"/>
      <c r="BA499" s="1683"/>
      <c r="BB499" s="1683"/>
    </row>
    <row r="500" spans="1:54">
      <c r="A500" s="326">
        <f t="shared" si="57"/>
        <v>48610</v>
      </c>
      <c r="B500" s="1678"/>
      <c r="C500" s="1679">
        <f t="shared" si="54"/>
        <v>1</v>
      </c>
      <c r="D500" s="1679">
        <f>PRODUCT(C$5:C500)</f>
        <v>3.55771976932645</v>
      </c>
      <c r="J500" s="1680"/>
      <c r="K500" s="1680"/>
      <c r="L500" s="1680"/>
      <c r="N500" s="1681"/>
      <c r="O500" s="1681"/>
      <c r="P500" s="1681"/>
      <c r="Q500" s="1681"/>
      <c r="R500" s="1681"/>
      <c r="T500" s="1681"/>
      <c r="U500" s="1681"/>
      <c r="W500" s="1681">
        <f t="shared" si="55"/>
        <v>0</v>
      </c>
      <c r="X500" s="1681"/>
      <c r="Y500" s="1681">
        <f t="shared" si="56"/>
        <v>0</v>
      </c>
      <c r="Z500" s="1681"/>
      <c r="AB500" s="1682"/>
      <c r="AC500" s="1682"/>
      <c r="AE500" s="1683"/>
      <c r="AF500" s="1683"/>
      <c r="AG500" s="1683"/>
      <c r="AH500" s="1683"/>
      <c r="AI500" s="1683"/>
      <c r="AJ500" s="1683"/>
      <c r="AK500" s="1683"/>
      <c r="AL500" s="1683"/>
      <c r="AM500" s="1683"/>
      <c r="AN500" s="1683"/>
      <c r="AO500" s="1683"/>
      <c r="AP500" s="1683"/>
      <c r="AQ500" s="1683"/>
      <c r="AR500" s="1683"/>
      <c r="AS500" s="1683"/>
      <c r="AT500" s="1683"/>
      <c r="AU500" s="1683"/>
      <c r="AV500" s="1683"/>
      <c r="AW500" s="1683"/>
      <c r="AX500" s="1683"/>
      <c r="AY500" s="1683"/>
      <c r="AZ500" s="1683"/>
      <c r="BA500" s="1683"/>
      <c r="BB500" s="1683"/>
    </row>
    <row r="501" spans="1:54">
      <c r="A501" s="326">
        <f t="shared" si="57"/>
        <v>48638</v>
      </c>
      <c r="B501" s="1678"/>
      <c r="C501" s="1679">
        <f t="shared" si="54"/>
        <v>1</v>
      </c>
      <c r="D501" s="1679">
        <f>PRODUCT(C$5:C501)</f>
        <v>3.55771976932645</v>
      </c>
      <c r="J501" s="1680"/>
      <c r="K501" s="1680"/>
      <c r="L501" s="1680"/>
      <c r="N501" s="1681"/>
      <c r="O501" s="1681"/>
      <c r="P501" s="1681"/>
      <c r="Q501" s="1681"/>
      <c r="R501" s="1681"/>
      <c r="T501" s="1681"/>
      <c r="U501" s="1681"/>
      <c r="W501" s="1681">
        <f t="shared" si="55"/>
        <v>0</v>
      </c>
      <c r="X501" s="1681"/>
      <c r="Y501" s="1681">
        <f t="shared" si="56"/>
        <v>0</v>
      </c>
      <c r="Z501" s="1681"/>
      <c r="AB501" s="1682"/>
      <c r="AC501" s="1682"/>
      <c r="AE501" s="1683"/>
      <c r="AF501" s="1683"/>
      <c r="AG501" s="1683"/>
      <c r="AH501" s="1683"/>
      <c r="AI501" s="1683"/>
      <c r="AJ501" s="1683"/>
      <c r="AK501" s="1683"/>
      <c r="AL501" s="1683"/>
      <c r="AM501" s="1683"/>
      <c r="AN501" s="1683"/>
      <c r="AO501" s="1683"/>
      <c r="AP501" s="1683"/>
      <c r="AQ501" s="1683"/>
      <c r="AR501" s="1683"/>
      <c r="AS501" s="1683"/>
      <c r="AT501" s="1683"/>
      <c r="AU501" s="1683"/>
      <c r="AV501" s="1683"/>
      <c r="AW501" s="1683"/>
      <c r="AX501" s="1683"/>
      <c r="AY501" s="1683"/>
      <c r="AZ501" s="1683"/>
      <c r="BA501" s="1683"/>
      <c r="BB501" s="1683"/>
    </row>
    <row r="502" spans="1:54">
      <c r="A502" s="326">
        <f t="shared" si="57"/>
        <v>48669</v>
      </c>
      <c r="B502" s="1678"/>
      <c r="C502" s="1679">
        <f t="shared" si="54"/>
        <v>1</v>
      </c>
      <c r="D502" s="1679">
        <f>PRODUCT(C$5:C502)</f>
        <v>3.55771976932645</v>
      </c>
      <c r="J502" s="1680"/>
      <c r="K502" s="1680"/>
      <c r="L502" s="1680"/>
      <c r="N502" s="1681"/>
      <c r="O502" s="1681"/>
      <c r="P502" s="1681"/>
      <c r="Q502" s="1681"/>
      <c r="R502" s="1681"/>
      <c r="T502" s="1681"/>
      <c r="U502" s="1681"/>
      <c r="W502" s="1681">
        <f t="shared" si="55"/>
        <v>0</v>
      </c>
      <c r="X502" s="1681"/>
      <c r="Y502" s="1681">
        <f t="shared" si="56"/>
        <v>0</v>
      </c>
      <c r="Z502" s="1681"/>
      <c r="AB502" s="1682"/>
      <c r="AC502" s="1682"/>
      <c r="AE502" s="1683"/>
      <c r="AF502" s="1683"/>
      <c r="AG502" s="1683"/>
      <c r="AH502" s="1683"/>
      <c r="AI502" s="1683"/>
      <c r="AJ502" s="1683"/>
      <c r="AK502" s="1683"/>
      <c r="AL502" s="1683"/>
      <c r="AM502" s="1683"/>
      <c r="AN502" s="1683"/>
      <c r="AO502" s="1683"/>
      <c r="AP502" s="1683"/>
      <c r="AQ502" s="1683"/>
      <c r="AR502" s="1683"/>
      <c r="AS502" s="1683"/>
      <c r="AT502" s="1683"/>
      <c r="AU502" s="1683"/>
      <c r="AV502" s="1683"/>
      <c r="AW502" s="1683"/>
      <c r="AX502" s="1683"/>
      <c r="AY502" s="1683"/>
      <c r="AZ502" s="1683"/>
      <c r="BA502" s="1683"/>
      <c r="BB502" s="1683"/>
    </row>
    <row r="503" spans="1:54">
      <c r="A503" s="326">
        <f t="shared" si="57"/>
        <v>48699</v>
      </c>
      <c r="B503" s="1678"/>
      <c r="C503" s="1679">
        <f t="shared" si="54"/>
        <v>1</v>
      </c>
      <c r="D503" s="1679">
        <f>PRODUCT(C$5:C503)</f>
        <v>3.55771976932645</v>
      </c>
      <c r="J503" s="1680"/>
      <c r="K503" s="1680"/>
      <c r="L503" s="1680"/>
      <c r="N503" s="1681"/>
      <c r="O503" s="1681"/>
      <c r="P503" s="1681"/>
      <c r="Q503" s="1681"/>
      <c r="R503" s="1681"/>
      <c r="T503" s="1681"/>
      <c r="U503" s="1681"/>
      <c r="W503" s="1681">
        <f t="shared" si="55"/>
        <v>0</v>
      </c>
      <c r="X503" s="1681"/>
      <c r="Y503" s="1681">
        <f t="shared" si="56"/>
        <v>0</v>
      </c>
      <c r="Z503" s="1681"/>
      <c r="AB503" s="1682"/>
      <c r="AC503" s="1682"/>
      <c r="AE503" s="1683"/>
      <c r="AF503" s="1683"/>
      <c r="AG503" s="1683"/>
      <c r="AH503" s="1683"/>
      <c r="AI503" s="1683"/>
      <c r="AJ503" s="1683"/>
      <c r="AK503" s="1683"/>
      <c r="AL503" s="1683"/>
      <c r="AM503" s="1683"/>
      <c r="AN503" s="1683"/>
      <c r="AO503" s="1683"/>
      <c r="AP503" s="1683"/>
      <c r="AQ503" s="1683"/>
      <c r="AR503" s="1683"/>
      <c r="AS503" s="1683"/>
      <c r="AT503" s="1683"/>
      <c r="AU503" s="1683"/>
      <c r="AV503" s="1683"/>
      <c r="AW503" s="1683"/>
      <c r="AX503" s="1683"/>
      <c r="AY503" s="1683"/>
      <c r="AZ503" s="1683"/>
      <c r="BA503" s="1683"/>
      <c r="BB503" s="1683"/>
    </row>
    <row r="504" spans="1:54">
      <c r="A504" s="326">
        <f t="shared" si="57"/>
        <v>48730</v>
      </c>
      <c r="B504" s="1678"/>
      <c r="C504" s="1679">
        <f t="shared" ref="C504:C567" si="58">IF(B504="",1,B504/100)</f>
        <v>1</v>
      </c>
      <c r="D504" s="1679">
        <f>PRODUCT(C$5:C504)</f>
        <v>3.55771976932645</v>
      </c>
      <c r="J504" s="1680"/>
      <c r="K504" s="1680"/>
      <c r="L504" s="1680"/>
      <c r="N504" s="1681"/>
      <c r="O504" s="1681"/>
      <c r="P504" s="1681"/>
      <c r="Q504" s="1681"/>
      <c r="R504" s="1681"/>
      <c r="T504" s="1681"/>
      <c r="U504" s="1681"/>
      <c r="W504" s="1681">
        <f t="shared" ref="W504:W567" si="59">Q504</f>
        <v>0</v>
      </c>
      <c r="X504" s="1681"/>
      <c r="Y504" s="1681">
        <f t="shared" ref="Y504:Y567" si="60">R504</f>
        <v>0</v>
      </c>
      <c r="Z504" s="1681"/>
      <c r="AB504" s="1682"/>
      <c r="AC504" s="1682"/>
      <c r="AE504" s="1683"/>
      <c r="AF504" s="1683"/>
      <c r="AG504" s="1683"/>
      <c r="AH504" s="1683"/>
      <c r="AI504" s="1683"/>
      <c r="AJ504" s="1683"/>
      <c r="AK504" s="1683"/>
      <c r="AL504" s="1683"/>
      <c r="AM504" s="1683"/>
      <c r="AN504" s="1683"/>
      <c r="AO504" s="1683"/>
      <c r="AP504" s="1683"/>
      <c r="AQ504" s="1683"/>
      <c r="AR504" s="1683"/>
      <c r="AS504" s="1683"/>
      <c r="AT504" s="1683"/>
      <c r="AU504" s="1683"/>
      <c r="AV504" s="1683"/>
      <c r="AW504" s="1683"/>
      <c r="AX504" s="1683"/>
      <c r="AY504" s="1683"/>
      <c r="AZ504" s="1683"/>
      <c r="BA504" s="1683"/>
      <c r="BB504" s="1683"/>
    </row>
    <row r="505" spans="1:54">
      <c r="A505" s="326">
        <f t="shared" si="57"/>
        <v>48760</v>
      </c>
      <c r="B505" s="1678"/>
      <c r="C505" s="1679">
        <f t="shared" si="58"/>
        <v>1</v>
      </c>
      <c r="D505" s="1679">
        <f>PRODUCT(C$5:C505)</f>
        <v>3.55771976932645</v>
      </c>
      <c r="J505" s="1680"/>
      <c r="K505" s="1680"/>
      <c r="L505" s="1680"/>
      <c r="N505" s="1681"/>
      <c r="O505" s="1681"/>
      <c r="P505" s="1681"/>
      <c r="Q505" s="1681"/>
      <c r="R505" s="1681"/>
      <c r="T505" s="1681"/>
      <c r="U505" s="1681"/>
      <c r="W505" s="1681">
        <f t="shared" si="59"/>
        <v>0</v>
      </c>
      <c r="X505" s="1681"/>
      <c r="Y505" s="1681">
        <f t="shared" si="60"/>
        <v>0</v>
      </c>
      <c r="Z505" s="1681"/>
      <c r="AB505" s="1682"/>
      <c r="AC505" s="1682"/>
      <c r="AE505" s="1683"/>
      <c r="AF505" s="1683"/>
      <c r="AG505" s="1683"/>
      <c r="AH505" s="1683"/>
      <c r="AI505" s="1683"/>
      <c r="AJ505" s="1683"/>
      <c r="AK505" s="1683"/>
      <c r="AL505" s="1683"/>
      <c r="AM505" s="1683"/>
      <c r="AN505" s="1683"/>
      <c r="AO505" s="1683"/>
      <c r="AP505" s="1683"/>
      <c r="AQ505" s="1683"/>
      <c r="AR505" s="1683"/>
      <c r="AS505" s="1683"/>
      <c r="AT505" s="1683"/>
      <c r="AU505" s="1683"/>
      <c r="AV505" s="1683"/>
      <c r="AW505" s="1683"/>
      <c r="AX505" s="1683"/>
      <c r="AY505" s="1683"/>
      <c r="AZ505" s="1683"/>
      <c r="BA505" s="1683"/>
      <c r="BB505" s="1683"/>
    </row>
    <row r="506" spans="1:54">
      <c r="A506" s="326">
        <f t="shared" si="57"/>
        <v>48791</v>
      </c>
      <c r="B506" s="1678"/>
      <c r="C506" s="1679">
        <f t="shared" si="58"/>
        <v>1</v>
      </c>
      <c r="D506" s="1679">
        <f>PRODUCT(C$5:C506)</f>
        <v>3.55771976932645</v>
      </c>
      <c r="J506" s="1680"/>
      <c r="K506" s="1680"/>
      <c r="L506" s="1680"/>
      <c r="N506" s="1681"/>
      <c r="O506" s="1681"/>
      <c r="P506" s="1681"/>
      <c r="Q506" s="1681"/>
      <c r="R506" s="1681"/>
      <c r="T506" s="1681"/>
      <c r="U506" s="1681"/>
      <c r="W506" s="1681">
        <f t="shared" si="59"/>
        <v>0</v>
      </c>
      <c r="X506" s="1681"/>
      <c r="Y506" s="1681">
        <f t="shared" si="60"/>
        <v>0</v>
      </c>
      <c r="Z506" s="1681"/>
      <c r="AB506" s="1682"/>
      <c r="AC506" s="1682"/>
      <c r="AE506" s="1683"/>
      <c r="AF506" s="1683"/>
      <c r="AG506" s="1683"/>
      <c r="AH506" s="1683"/>
      <c r="AI506" s="1683"/>
      <c r="AJ506" s="1683"/>
      <c r="AK506" s="1683"/>
      <c r="AL506" s="1683"/>
      <c r="AM506" s="1683"/>
      <c r="AN506" s="1683"/>
      <c r="AO506" s="1683"/>
      <c r="AP506" s="1683"/>
      <c r="AQ506" s="1683"/>
      <c r="AR506" s="1683"/>
      <c r="AS506" s="1683"/>
      <c r="AT506" s="1683"/>
      <c r="AU506" s="1683"/>
      <c r="AV506" s="1683"/>
      <c r="AW506" s="1683"/>
      <c r="AX506" s="1683"/>
      <c r="AY506" s="1683"/>
      <c r="AZ506" s="1683"/>
      <c r="BA506" s="1683"/>
      <c r="BB506" s="1683"/>
    </row>
    <row r="507" spans="1:54">
      <c r="A507" s="326">
        <f t="shared" si="57"/>
        <v>48822</v>
      </c>
      <c r="B507" s="1678"/>
      <c r="C507" s="1679">
        <f t="shared" si="58"/>
        <v>1</v>
      </c>
      <c r="D507" s="1679">
        <f>PRODUCT(C$5:C507)</f>
        <v>3.55771976932645</v>
      </c>
      <c r="J507" s="1680"/>
      <c r="K507" s="1680"/>
      <c r="L507" s="1680"/>
      <c r="N507" s="1681"/>
      <c r="O507" s="1681"/>
      <c r="P507" s="1681"/>
      <c r="Q507" s="1681"/>
      <c r="R507" s="1681"/>
      <c r="T507" s="1681"/>
      <c r="U507" s="1681"/>
      <c r="W507" s="1681">
        <f t="shared" si="59"/>
        <v>0</v>
      </c>
      <c r="X507" s="1681"/>
      <c r="Y507" s="1681">
        <f t="shared" si="60"/>
        <v>0</v>
      </c>
      <c r="Z507" s="1681"/>
      <c r="AB507" s="1682"/>
      <c r="AC507" s="1682"/>
      <c r="AE507" s="1683"/>
      <c r="AF507" s="1683"/>
      <c r="AG507" s="1683"/>
      <c r="AH507" s="1683"/>
      <c r="AI507" s="1683"/>
      <c r="AJ507" s="1683"/>
      <c r="AK507" s="1683"/>
      <c r="AL507" s="1683"/>
      <c r="AM507" s="1683"/>
      <c r="AN507" s="1683"/>
      <c r="AO507" s="1683"/>
      <c r="AP507" s="1683"/>
      <c r="AQ507" s="1683"/>
      <c r="AR507" s="1683"/>
      <c r="AS507" s="1683"/>
      <c r="AT507" s="1683"/>
      <c r="AU507" s="1683"/>
      <c r="AV507" s="1683"/>
      <c r="AW507" s="1683"/>
      <c r="AX507" s="1683"/>
      <c r="AY507" s="1683"/>
      <c r="AZ507" s="1683"/>
      <c r="BA507" s="1683"/>
      <c r="BB507" s="1683"/>
    </row>
    <row r="508" spans="1:54">
      <c r="A508" s="326">
        <f t="shared" si="57"/>
        <v>48852</v>
      </c>
      <c r="B508" s="1678"/>
      <c r="C508" s="1679">
        <f t="shared" si="58"/>
        <v>1</v>
      </c>
      <c r="D508" s="1679">
        <f>PRODUCT(C$5:C508)</f>
        <v>3.55771976932645</v>
      </c>
      <c r="J508" s="1680"/>
      <c r="K508" s="1680"/>
      <c r="L508" s="1680"/>
      <c r="N508" s="1681"/>
      <c r="O508" s="1681"/>
      <c r="P508" s="1681"/>
      <c r="Q508" s="1681"/>
      <c r="R508" s="1681"/>
      <c r="T508" s="1681"/>
      <c r="U508" s="1681"/>
      <c r="W508" s="1681">
        <f t="shared" si="59"/>
        <v>0</v>
      </c>
      <c r="X508" s="1681"/>
      <c r="Y508" s="1681">
        <f t="shared" si="60"/>
        <v>0</v>
      </c>
      <c r="Z508" s="1681"/>
      <c r="AB508" s="1682"/>
      <c r="AC508" s="1682"/>
      <c r="AE508" s="1683"/>
      <c r="AF508" s="1683"/>
      <c r="AG508" s="1683"/>
      <c r="AH508" s="1683"/>
      <c r="AI508" s="1683"/>
      <c r="AJ508" s="1683"/>
      <c r="AK508" s="1683"/>
      <c r="AL508" s="1683"/>
      <c r="AM508" s="1683"/>
      <c r="AN508" s="1683"/>
      <c r="AO508" s="1683"/>
      <c r="AP508" s="1683"/>
      <c r="AQ508" s="1683"/>
      <c r="AR508" s="1683"/>
      <c r="AS508" s="1683"/>
      <c r="AT508" s="1683"/>
      <c r="AU508" s="1683"/>
      <c r="AV508" s="1683"/>
      <c r="AW508" s="1683"/>
      <c r="AX508" s="1683"/>
      <c r="AY508" s="1683"/>
      <c r="AZ508" s="1683"/>
      <c r="BA508" s="1683"/>
      <c r="BB508" s="1683"/>
    </row>
    <row r="509" spans="1:54">
      <c r="A509" s="326">
        <f t="shared" si="57"/>
        <v>48883</v>
      </c>
      <c r="B509" s="1678"/>
      <c r="C509" s="1679">
        <f t="shared" si="58"/>
        <v>1</v>
      </c>
      <c r="D509" s="1679">
        <f>PRODUCT(C$5:C509)</f>
        <v>3.55771976932645</v>
      </c>
      <c r="J509" s="1680"/>
      <c r="K509" s="1680"/>
      <c r="L509" s="1680"/>
      <c r="N509" s="1681"/>
      <c r="O509" s="1681"/>
      <c r="P509" s="1681"/>
      <c r="Q509" s="1681"/>
      <c r="R509" s="1681"/>
      <c r="T509" s="1681"/>
      <c r="U509" s="1681"/>
      <c r="W509" s="1681">
        <f t="shared" si="59"/>
        <v>0</v>
      </c>
      <c r="X509" s="1681"/>
      <c r="Y509" s="1681">
        <f t="shared" si="60"/>
        <v>0</v>
      </c>
      <c r="Z509" s="1681"/>
      <c r="AB509" s="1682"/>
      <c r="AC509" s="1682"/>
      <c r="AE509" s="1683"/>
      <c r="AF509" s="1683"/>
      <c r="AG509" s="1683"/>
      <c r="AH509" s="1683"/>
      <c r="AI509" s="1683"/>
      <c r="AJ509" s="1683"/>
      <c r="AK509" s="1683"/>
      <c r="AL509" s="1683"/>
      <c r="AM509" s="1683"/>
      <c r="AN509" s="1683"/>
      <c r="AO509" s="1683"/>
      <c r="AP509" s="1683"/>
      <c r="AQ509" s="1683"/>
      <c r="AR509" s="1683"/>
      <c r="AS509" s="1683"/>
      <c r="AT509" s="1683"/>
      <c r="AU509" s="1683"/>
      <c r="AV509" s="1683"/>
      <c r="AW509" s="1683"/>
      <c r="AX509" s="1683"/>
      <c r="AY509" s="1683"/>
      <c r="AZ509" s="1683"/>
      <c r="BA509" s="1683"/>
      <c r="BB509" s="1683"/>
    </row>
    <row r="510" spans="1:54">
      <c r="A510" s="326">
        <f t="shared" si="57"/>
        <v>48913</v>
      </c>
      <c r="B510" s="1678"/>
      <c r="C510" s="1679">
        <f t="shared" si="58"/>
        <v>1</v>
      </c>
      <c r="D510" s="1679">
        <f>PRODUCT(C$5:C510)</f>
        <v>3.55771976932645</v>
      </c>
      <c r="J510" s="1680"/>
      <c r="K510" s="1680"/>
      <c r="L510" s="1680"/>
      <c r="N510" s="1681"/>
      <c r="O510" s="1681"/>
      <c r="P510" s="1681"/>
      <c r="Q510" s="1681"/>
      <c r="R510" s="1681"/>
      <c r="T510" s="1681"/>
      <c r="U510" s="1681"/>
      <c r="W510" s="1681">
        <f t="shared" si="59"/>
        <v>0</v>
      </c>
      <c r="X510" s="1681"/>
      <c r="Y510" s="1681">
        <f t="shared" si="60"/>
        <v>0</v>
      </c>
      <c r="Z510" s="1681"/>
      <c r="AB510" s="1682"/>
      <c r="AC510" s="1682"/>
      <c r="AE510" s="1683"/>
      <c r="AF510" s="1683"/>
      <c r="AG510" s="1683"/>
      <c r="AH510" s="1683"/>
      <c r="AI510" s="1683"/>
      <c r="AJ510" s="1683"/>
      <c r="AK510" s="1683"/>
      <c r="AL510" s="1683"/>
      <c r="AM510" s="1683"/>
      <c r="AN510" s="1683"/>
      <c r="AO510" s="1683"/>
      <c r="AP510" s="1683"/>
      <c r="AQ510" s="1683"/>
      <c r="AR510" s="1683"/>
      <c r="AS510" s="1683"/>
      <c r="AT510" s="1683"/>
      <c r="AU510" s="1683"/>
      <c r="AV510" s="1683"/>
      <c r="AW510" s="1683"/>
      <c r="AX510" s="1683"/>
      <c r="AY510" s="1683"/>
      <c r="AZ510" s="1683"/>
      <c r="BA510" s="1683"/>
      <c r="BB510" s="1683"/>
    </row>
    <row r="511" spans="1:54">
      <c r="A511" s="326">
        <f t="shared" si="57"/>
        <v>48944</v>
      </c>
      <c r="B511" s="1678"/>
      <c r="C511" s="1679">
        <f t="shared" si="58"/>
        <v>1</v>
      </c>
      <c r="D511" s="1679">
        <f>PRODUCT(C$5:C511)</f>
        <v>3.55771976932645</v>
      </c>
      <c r="J511" s="1680"/>
      <c r="K511" s="1680"/>
      <c r="L511" s="1680"/>
      <c r="N511" s="1681"/>
      <c r="O511" s="1681"/>
      <c r="P511" s="1681"/>
      <c r="Q511" s="1681"/>
      <c r="R511" s="1681"/>
      <c r="T511" s="1681"/>
      <c r="U511" s="1681"/>
      <c r="W511" s="1681">
        <f t="shared" si="59"/>
        <v>0</v>
      </c>
      <c r="X511" s="1681"/>
      <c r="Y511" s="1681">
        <f t="shared" si="60"/>
        <v>0</v>
      </c>
      <c r="Z511" s="1681"/>
      <c r="AB511" s="1682"/>
      <c r="AC511" s="1682"/>
      <c r="AE511" s="1683"/>
      <c r="AF511" s="1683"/>
      <c r="AG511" s="1683"/>
      <c r="AH511" s="1683"/>
      <c r="AI511" s="1683"/>
      <c r="AJ511" s="1683"/>
      <c r="AK511" s="1683"/>
      <c r="AL511" s="1683"/>
      <c r="AM511" s="1683"/>
      <c r="AN511" s="1683"/>
      <c r="AO511" s="1683"/>
      <c r="AP511" s="1683"/>
      <c r="AQ511" s="1683"/>
      <c r="AR511" s="1683"/>
      <c r="AS511" s="1683"/>
      <c r="AT511" s="1683"/>
      <c r="AU511" s="1683"/>
      <c r="AV511" s="1683"/>
      <c r="AW511" s="1683"/>
      <c r="AX511" s="1683"/>
      <c r="AY511" s="1683"/>
      <c r="AZ511" s="1683"/>
      <c r="BA511" s="1683"/>
      <c r="BB511" s="1683"/>
    </row>
    <row r="512" spans="1:54">
      <c r="A512" s="326">
        <f t="shared" si="57"/>
        <v>48975</v>
      </c>
      <c r="B512" s="1678"/>
      <c r="C512" s="1679">
        <f t="shared" si="58"/>
        <v>1</v>
      </c>
      <c r="D512" s="1679">
        <f>PRODUCT(C$5:C512)</f>
        <v>3.55771976932645</v>
      </c>
      <c r="J512" s="1680"/>
      <c r="K512" s="1680"/>
      <c r="L512" s="1680"/>
      <c r="N512" s="1681"/>
      <c r="O512" s="1681"/>
      <c r="P512" s="1681"/>
      <c r="Q512" s="1681"/>
      <c r="R512" s="1681"/>
      <c r="T512" s="1681"/>
      <c r="U512" s="1681"/>
      <c r="W512" s="1681">
        <f t="shared" si="59"/>
        <v>0</v>
      </c>
      <c r="X512" s="1681"/>
      <c r="Y512" s="1681">
        <f t="shared" si="60"/>
        <v>0</v>
      </c>
      <c r="Z512" s="1681"/>
      <c r="AB512" s="1682"/>
      <c r="AC512" s="1682"/>
      <c r="AE512" s="1683"/>
      <c r="AF512" s="1683"/>
      <c r="AG512" s="1683"/>
      <c r="AH512" s="1683"/>
      <c r="AI512" s="1683"/>
      <c r="AJ512" s="1683"/>
      <c r="AK512" s="1683"/>
      <c r="AL512" s="1683"/>
      <c r="AM512" s="1683"/>
      <c r="AN512" s="1683"/>
      <c r="AO512" s="1683"/>
      <c r="AP512" s="1683"/>
      <c r="AQ512" s="1683"/>
      <c r="AR512" s="1683"/>
      <c r="AS512" s="1683"/>
      <c r="AT512" s="1683"/>
      <c r="AU512" s="1683"/>
      <c r="AV512" s="1683"/>
      <c r="AW512" s="1683"/>
      <c r="AX512" s="1683"/>
      <c r="AY512" s="1683"/>
      <c r="AZ512" s="1683"/>
      <c r="BA512" s="1683"/>
      <c r="BB512" s="1683"/>
    </row>
    <row r="513" spans="1:54">
      <c r="A513" s="326">
        <f t="shared" si="57"/>
        <v>49003</v>
      </c>
      <c r="B513" s="1678"/>
      <c r="C513" s="1679">
        <f t="shared" si="58"/>
        <v>1</v>
      </c>
      <c r="D513" s="1679">
        <f>PRODUCT(C$5:C513)</f>
        <v>3.55771976932645</v>
      </c>
      <c r="J513" s="1680"/>
      <c r="K513" s="1680"/>
      <c r="L513" s="1680"/>
      <c r="N513" s="1681"/>
      <c r="O513" s="1681"/>
      <c r="P513" s="1681"/>
      <c r="Q513" s="1681"/>
      <c r="R513" s="1681"/>
      <c r="T513" s="1681"/>
      <c r="U513" s="1681"/>
      <c r="W513" s="1681">
        <f t="shared" si="59"/>
        <v>0</v>
      </c>
      <c r="X513" s="1681"/>
      <c r="Y513" s="1681">
        <f t="shared" si="60"/>
        <v>0</v>
      </c>
      <c r="Z513" s="1681"/>
      <c r="AB513" s="1682"/>
      <c r="AC513" s="1682"/>
      <c r="AE513" s="1683"/>
      <c r="AF513" s="1683"/>
      <c r="AG513" s="1683"/>
      <c r="AH513" s="1683"/>
      <c r="AI513" s="1683"/>
      <c r="AJ513" s="1683"/>
      <c r="AK513" s="1683"/>
      <c r="AL513" s="1683"/>
      <c r="AM513" s="1683"/>
      <c r="AN513" s="1683"/>
      <c r="AO513" s="1683"/>
      <c r="AP513" s="1683"/>
      <c r="AQ513" s="1683"/>
      <c r="AR513" s="1683"/>
      <c r="AS513" s="1683"/>
      <c r="AT513" s="1683"/>
      <c r="AU513" s="1683"/>
      <c r="AV513" s="1683"/>
      <c r="AW513" s="1683"/>
      <c r="AX513" s="1683"/>
      <c r="AY513" s="1683"/>
      <c r="AZ513" s="1683"/>
      <c r="BA513" s="1683"/>
      <c r="BB513" s="1683"/>
    </row>
    <row r="514" spans="1:54">
      <c r="A514" s="326">
        <f t="shared" si="57"/>
        <v>49034</v>
      </c>
      <c r="B514" s="1678"/>
      <c r="C514" s="1679">
        <f t="shared" si="58"/>
        <v>1</v>
      </c>
      <c r="D514" s="1679">
        <f>PRODUCT(C$5:C514)</f>
        <v>3.55771976932645</v>
      </c>
      <c r="J514" s="1680"/>
      <c r="K514" s="1680"/>
      <c r="L514" s="1680"/>
      <c r="N514" s="1681"/>
      <c r="O514" s="1681"/>
      <c r="P514" s="1681"/>
      <c r="Q514" s="1681"/>
      <c r="R514" s="1681"/>
      <c r="T514" s="1681"/>
      <c r="U514" s="1681"/>
      <c r="W514" s="1681">
        <f t="shared" si="59"/>
        <v>0</v>
      </c>
      <c r="X514" s="1681"/>
      <c r="Y514" s="1681">
        <f t="shared" si="60"/>
        <v>0</v>
      </c>
      <c r="Z514" s="1681"/>
      <c r="AB514" s="1682"/>
      <c r="AC514" s="1682"/>
      <c r="AE514" s="1683"/>
      <c r="AF514" s="1683"/>
      <c r="AG514" s="1683"/>
      <c r="AH514" s="1683"/>
      <c r="AI514" s="1683"/>
      <c r="AJ514" s="1683"/>
      <c r="AK514" s="1683"/>
      <c r="AL514" s="1683"/>
      <c r="AM514" s="1683"/>
      <c r="AN514" s="1683"/>
      <c r="AO514" s="1683"/>
      <c r="AP514" s="1683"/>
      <c r="AQ514" s="1683"/>
      <c r="AR514" s="1683"/>
      <c r="AS514" s="1683"/>
      <c r="AT514" s="1683"/>
      <c r="AU514" s="1683"/>
      <c r="AV514" s="1683"/>
      <c r="AW514" s="1683"/>
      <c r="AX514" s="1683"/>
      <c r="AY514" s="1683"/>
      <c r="AZ514" s="1683"/>
      <c r="BA514" s="1683"/>
      <c r="BB514" s="1683"/>
    </row>
    <row r="515" spans="1:54">
      <c r="A515" s="326">
        <f t="shared" si="57"/>
        <v>49064</v>
      </c>
      <c r="B515" s="1678"/>
      <c r="C515" s="1679">
        <f t="shared" si="58"/>
        <v>1</v>
      </c>
      <c r="D515" s="1679">
        <f>PRODUCT(C$5:C515)</f>
        <v>3.55771976932645</v>
      </c>
      <c r="J515" s="1680"/>
      <c r="K515" s="1680"/>
      <c r="L515" s="1680"/>
      <c r="N515" s="1681"/>
      <c r="O515" s="1681"/>
      <c r="P515" s="1681"/>
      <c r="Q515" s="1681"/>
      <c r="R515" s="1681"/>
      <c r="T515" s="1681"/>
      <c r="U515" s="1681"/>
      <c r="W515" s="1681">
        <f t="shared" si="59"/>
        <v>0</v>
      </c>
      <c r="X515" s="1681"/>
      <c r="Y515" s="1681">
        <f t="shared" si="60"/>
        <v>0</v>
      </c>
      <c r="Z515" s="1681"/>
      <c r="AB515" s="1682"/>
      <c r="AC515" s="1682"/>
      <c r="AE515" s="1683"/>
      <c r="AF515" s="1683"/>
      <c r="AG515" s="1683"/>
      <c r="AH515" s="1683"/>
      <c r="AI515" s="1683"/>
      <c r="AJ515" s="1683"/>
      <c r="AK515" s="1683"/>
      <c r="AL515" s="1683"/>
      <c r="AM515" s="1683"/>
      <c r="AN515" s="1683"/>
      <c r="AO515" s="1683"/>
      <c r="AP515" s="1683"/>
      <c r="AQ515" s="1683"/>
      <c r="AR515" s="1683"/>
      <c r="AS515" s="1683"/>
      <c r="AT515" s="1683"/>
      <c r="AU515" s="1683"/>
      <c r="AV515" s="1683"/>
      <c r="AW515" s="1683"/>
      <c r="AX515" s="1683"/>
      <c r="AY515" s="1683"/>
      <c r="AZ515" s="1683"/>
      <c r="BA515" s="1683"/>
      <c r="BB515" s="1683"/>
    </row>
    <row r="516" spans="1:54">
      <c r="A516" s="326">
        <f t="shared" si="57"/>
        <v>49095</v>
      </c>
      <c r="B516" s="1678"/>
      <c r="C516" s="1679">
        <f t="shared" si="58"/>
        <v>1</v>
      </c>
      <c r="D516" s="1679">
        <f>PRODUCT(C$5:C516)</f>
        <v>3.55771976932645</v>
      </c>
      <c r="J516" s="1680"/>
      <c r="K516" s="1680"/>
      <c r="L516" s="1680"/>
      <c r="N516" s="1681"/>
      <c r="O516" s="1681"/>
      <c r="P516" s="1681"/>
      <c r="Q516" s="1681"/>
      <c r="R516" s="1681"/>
      <c r="T516" s="1681"/>
      <c r="U516" s="1681"/>
      <c r="W516" s="1681">
        <f t="shared" si="59"/>
        <v>0</v>
      </c>
      <c r="X516" s="1681"/>
      <c r="Y516" s="1681">
        <f t="shared" si="60"/>
        <v>0</v>
      </c>
      <c r="Z516" s="1681"/>
      <c r="AB516" s="1682"/>
      <c r="AC516" s="1682"/>
      <c r="AE516" s="1683"/>
      <c r="AF516" s="1683"/>
      <c r="AG516" s="1683"/>
      <c r="AH516" s="1683"/>
      <c r="AI516" s="1683"/>
      <c r="AJ516" s="1683"/>
      <c r="AK516" s="1683"/>
      <c r="AL516" s="1683"/>
      <c r="AM516" s="1683"/>
      <c r="AN516" s="1683"/>
      <c r="AO516" s="1683"/>
      <c r="AP516" s="1683"/>
      <c r="AQ516" s="1683"/>
      <c r="AR516" s="1683"/>
      <c r="AS516" s="1683"/>
      <c r="AT516" s="1683"/>
      <c r="AU516" s="1683"/>
      <c r="AV516" s="1683"/>
      <c r="AW516" s="1683"/>
      <c r="AX516" s="1683"/>
      <c r="AY516" s="1683"/>
      <c r="AZ516" s="1683"/>
      <c r="BA516" s="1683"/>
      <c r="BB516" s="1683"/>
    </row>
    <row r="517" spans="1:54">
      <c r="A517" s="326">
        <f t="shared" si="57"/>
        <v>49125</v>
      </c>
      <c r="B517" s="1678"/>
      <c r="C517" s="1679">
        <f t="shared" si="58"/>
        <v>1</v>
      </c>
      <c r="D517" s="1679">
        <f>PRODUCT(C$5:C517)</f>
        <v>3.55771976932645</v>
      </c>
      <c r="J517" s="1680"/>
      <c r="K517" s="1680"/>
      <c r="L517" s="1680"/>
      <c r="N517" s="1681"/>
      <c r="O517" s="1681"/>
      <c r="P517" s="1681"/>
      <c r="Q517" s="1681"/>
      <c r="R517" s="1681"/>
      <c r="T517" s="1681"/>
      <c r="U517" s="1681"/>
      <c r="W517" s="1681">
        <f t="shared" si="59"/>
        <v>0</v>
      </c>
      <c r="X517" s="1681"/>
      <c r="Y517" s="1681">
        <f t="shared" si="60"/>
        <v>0</v>
      </c>
      <c r="Z517" s="1681"/>
      <c r="AB517" s="1682"/>
      <c r="AC517" s="1682"/>
      <c r="AE517" s="1683"/>
      <c r="AF517" s="1683"/>
      <c r="AG517" s="1683"/>
      <c r="AH517" s="1683"/>
      <c r="AI517" s="1683"/>
      <c r="AJ517" s="1683"/>
      <c r="AK517" s="1683"/>
      <c r="AL517" s="1683"/>
      <c r="AM517" s="1683"/>
      <c r="AN517" s="1683"/>
      <c r="AO517" s="1683"/>
      <c r="AP517" s="1683"/>
      <c r="AQ517" s="1683"/>
      <c r="AR517" s="1683"/>
      <c r="AS517" s="1683"/>
      <c r="AT517" s="1683"/>
      <c r="AU517" s="1683"/>
      <c r="AV517" s="1683"/>
      <c r="AW517" s="1683"/>
      <c r="AX517" s="1683"/>
      <c r="AY517" s="1683"/>
      <c r="AZ517" s="1683"/>
      <c r="BA517" s="1683"/>
      <c r="BB517" s="1683"/>
    </row>
    <row r="518" spans="1:54">
      <c r="A518" s="326">
        <f t="shared" si="57"/>
        <v>49156</v>
      </c>
      <c r="B518" s="1678"/>
      <c r="C518" s="1679">
        <f t="shared" si="58"/>
        <v>1</v>
      </c>
      <c r="D518" s="1679">
        <f>PRODUCT(C$5:C518)</f>
        <v>3.55771976932645</v>
      </c>
      <c r="J518" s="1680"/>
      <c r="K518" s="1680"/>
      <c r="L518" s="1680"/>
      <c r="N518" s="1681"/>
      <c r="O518" s="1681"/>
      <c r="P518" s="1681"/>
      <c r="Q518" s="1681"/>
      <c r="R518" s="1681"/>
      <c r="T518" s="1681"/>
      <c r="U518" s="1681"/>
      <c r="W518" s="1681">
        <f t="shared" si="59"/>
        <v>0</v>
      </c>
      <c r="X518" s="1681"/>
      <c r="Y518" s="1681">
        <f t="shared" si="60"/>
        <v>0</v>
      </c>
      <c r="Z518" s="1681"/>
      <c r="AB518" s="1682"/>
      <c r="AC518" s="1682"/>
      <c r="AE518" s="1683"/>
      <c r="AF518" s="1683"/>
      <c r="AG518" s="1683"/>
      <c r="AH518" s="1683"/>
      <c r="AI518" s="1683"/>
      <c r="AJ518" s="1683"/>
      <c r="AK518" s="1683"/>
      <c r="AL518" s="1683"/>
      <c r="AM518" s="1683"/>
      <c r="AN518" s="1683"/>
      <c r="AO518" s="1683"/>
      <c r="AP518" s="1683"/>
      <c r="AQ518" s="1683"/>
      <c r="AR518" s="1683"/>
      <c r="AS518" s="1683"/>
      <c r="AT518" s="1683"/>
      <c r="AU518" s="1683"/>
      <c r="AV518" s="1683"/>
      <c r="AW518" s="1683"/>
      <c r="AX518" s="1683"/>
      <c r="AY518" s="1683"/>
      <c r="AZ518" s="1683"/>
      <c r="BA518" s="1683"/>
      <c r="BB518" s="1683"/>
    </row>
    <row r="519" spans="1:54">
      <c r="A519" s="326">
        <f t="shared" si="57"/>
        <v>49187</v>
      </c>
      <c r="B519" s="1678"/>
      <c r="C519" s="1679">
        <f t="shared" si="58"/>
        <v>1</v>
      </c>
      <c r="D519" s="1679">
        <f>PRODUCT(C$5:C519)</f>
        <v>3.55771976932645</v>
      </c>
      <c r="J519" s="1680"/>
      <c r="K519" s="1680"/>
      <c r="L519" s="1680"/>
      <c r="N519" s="1681"/>
      <c r="O519" s="1681"/>
      <c r="P519" s="1681"/>
      <c r="Q519" s="1681"/>
      <c r="R519" s="1681"/>
      <c r="T519" s="1681"/>
      <c r="U519" s="1681"/>
      <c r="W519" s="1681">
        <f t="shared" si="59"/>
        <v>0</v>
      </c>
      <c r="X519" s="1681"/>
      <c r="Y519" s="1681">
        <f t="shared" si="60"/>
        <v>0</v>
      </c>
      <c r="Z519" s="1681"/>
      <c r="AB519" s="1682"/>
      <c r="AC519" s="1682"/>
      <c r="AE519" s="1683"/>
      <c r="AF519" s="1683"/>
      <c r="AG519" s="1683"/>
      <c r="AH519" s="1683"/>
      <c r="AI519" s="1683"/>
      <c r="AJ519" s="1683"/>
      <c r="AK519" s="1683"/>
      <c r="AL519" s="1683"/>
      <c r="AM519" s="1683"/>
      <c r="AN519" s="1683"/>
      <c r="AO519" s="1683"/>
      <c r="AP519" s="1683"/>
      <c r="AQ519" s="1683"/>
      <c r="AR519" s="1683"/>
      <c r="AS519" s="1683"/>
      <c r="AT519" s="1683"/>
      <c r="AU519" s="1683"/>
      <c r="AV519" s="1683"/>
      <c r="AW519" s="1683"/>
      <c r="AX519" s="1683"/>
      <c r="AY519" s="1683"/>
      <c r="AZ519" s="1683"/>
      <c r="BA519" s="1683"/>
      <c r="BB519" s="1683"/>
    </row>
    <row r="520" spans="1:54">
      <c r="A520" s="326">
        <f t="shared" si="57"/>
        <v>49217</v>
      </c>
      <c r="B520" s="1678"/>
      <c r="C520" s="1679">
        <f t="shared" si="58"/>
        <v>1</v>
      </c>
      <c r="D520" s="1679">
        <f>PRODUCT(C$5:C520)</f>
        <v>3.55771976932645</v>
      </c>
      <c r="J520" s="1680"/>
      <c r="K520" s="1680"/>
      <c r="L520" s="1680"/>
      <c r="N520" s="1681"/>
      <c r="O520" s="1681"/>
      <c r="P520" s="1681"/>
      <c r="Q520" s="1681"/>
      <c r="R520" s="1681"/>
      <c r="T520" s="1681"/>
      <c r="U520" s="1681"/>
      <c r="W520" s="1681">
        <f t="shared" si="59"/>
        <v>0</v>
      </c>
      <c r="X520" s="1681"/>
      <c r="Y520" s="1681">
        <f t="shared" si="60"/>
        <v>0</v>
      </c>
      <c r="Z520" s="1681"/>
      <c r="AB520" s="1682"/>
      <c r="AC520" s="1682"/>
      <c r="AE520" s="1683"/>
      <c r="AF520" s="1683"/>
      <c r="AG520" s="1683"/>
      <c r="AH520" s="1683"/>
      <c r="AI520" s="1683"/>
      <c r="AJ520" s="1683"/>
      <c r="AK520" s="1683"/>
      <c r="AL520" s="1683"/>
      <c r="AM520" s="1683"/>
      <c r="AN520" s="1683"/>
      <c r="AO520" s="1683"/>
      <c r="AP520" s="1683"/>
      <c r="AQ520" s="1683"/>
      <c r="AR520" s="1683"/>
      <c r="AS520" s="1683"/>
      <c r="AT520" s="1683"/>
      <c r="AU520" s="1683"/>
      <c r="AV520" s="1683"/>
      <c r="AW520" s="1683"/>
      <c r="AX520" s="1683"/>
      <c r="AY520" s="1683"/>
      <c r="AZ520" s="1683"/>
      <c r="BA520" s="1683"/>
      <c r="BB520" s="1683"/>
    </row>
    <row r="521" spans="1:54">
      <c r="A521" s="326">
        <f t="shared" si="57"/>
        <v>49248</v>
      </c>
      <c r="B521" s="1678"/>
      <c r="C521" s="1679">
        <f t="shared" si="58"/>
        <v>1</v>
      </c>
      <c r="D521" s="1679">
        <f>PRODUCT(C$5:C521)</f>
        <v>3.55771976932645</v>
      </c>
      <c r="J521" s="1680"/>
      <c r="K521" s="1680"/>
      <c r="L521" s="1680"/>
      <c r="N521" s="1681"/>
      <c r="O521" s="1681"/>
      <c r="P521" s="1681"/>
      <c r="Q521" s="1681"/>
      <c r="R521" s="1681"/>
      <c r="T521" s="1681"/>
      <c r="U521" s="1681"/>
      <c r="W521" s="1681">
        <f t="shared" si="59"/>
        <v>0</v>
      </c>
      <c r="X521" s="1681"/>
      <c r="Y521" s="1681">
        <f t="shared" si="60"/>
        <v>0</v>
      </c>
      <c r="Z521" s="1681"/>
      <c r="AB521" s="1682"/>
      <c r="AC521" s="1682"/>
      <c r="AE521" s="1683"/>
      <c r="AF521" s="1683"/>
      <c r="AG521" s="1683"/>
      <c r="AH521" s="1683"/>
      <c r="AI521" s="1683"/>
      <c r="AJ521" s="1683"/>
      <c r="AK521" s="1683"/>
      <c r="AL521" s="1683"/>
      <c r="AM521" s="1683"/>
      <c r="AN521" s="1683"/>
      <c r="AO521" s="1683"/>
      <c r="AP521" s="1683"/>
      <c r="AQ521" s="1683"/>
      <c r="AR521" s="1683"/>
      <c r="AS521" s="1683"/>
      <c r="AT521" s="1683"/>
      <c r="AU521" s="1683"/>
      <c r="AV521" s="1683"/>
      <c r="AW521" s="1683"/>
      <c r="AX521" s="1683"/>
      <c r="AY521" s="1683"/>
      <c r="AZ521" s="1683"/>
      <c r="BA521" s="1683"/>
      <c r="BB521" s="1683"/>
    </row>
    <row r="522" spans="1:54">
      <c r="A522" s="326">
        <f t="shared" si="57"/>
        <v>49278</v>
      </c>
      <c r="B522" s="1678"/>
      <c r="C522" s="1679">
        <f t="shared" si="58"/>
        <v>1</v>
      </c>
      <c r="D522" s="1679">
        <f>PRODUCT(C$5:C522)</f>
        <v>3.55771976932645</v>
      </c>
      <c r="J522" s="1680"/>
      <c r="K522" s="1680"/>
      <c r="L522" s="1680"/>
      <c r="N522" s="1681"/>
      <c r="O522" s="1681"/>
      <c r="P522" s="1681"/>
      <c r="Q522" s="1681"/>
      <c r="R522" s="1681"/>
      <c r="T522" s="1681"/>
      <c r="U522" s="1681"/>
      <c r="W522" s="1681">
        <f t="shared" si="59"/>
        <v>0</v>
      </c>
      <c r="X522" s="1681"/>
      <c r="Y522" s="1681">
        <f t="shared" si="60"/>
        <v>0</v>
      </c>
      <c r="Z522" s="1681"/>
      <c r="AB522" s="1682"/>
      <c r="AC522" s="1682"/>
      <c r="AE522" s="1683"/>
      <c r="AF522" s="1683"/>
      <c r="AG522" s="1683"/>
      <c r="AH522" s="1683"/>
      <c r="AI522" s="1683"/>
      <c r="AJ522" s="1683"/>
      <c r="AK522" s="1683"/>
      <c r="AL522" s="1683"/>
      <c r="AM522" s="1683"/>
      <c r="AN522" s="1683"/>
      <c r="AO522" s="1683"/>
      <c r="AP522" s="1683"/>
      <c r="AQ522" s="1683"/>
      <c r="AR522" s="1683"/>
      <c r="AS522" s="1683"/>
      <c r="AT522" s="1683"/>
      <c r="AU522" s="1683"/>
      <c r="AV522" s="1683"/>
      <c r="AW522" s="1683"/>
      <c r="AX522" s="1683"/>
      <c r="AY522" s="1683"/>
      <c r="AZ522" s="1683"/>
      <c r="BA522" s="1683"/>
      <c r="BB522" s="1683"/>
    </row>
    <row r="523" spans="1:54">
      <c r="A523" s="326">
        <f t="shared" si="57"/>
        <v>49309</v>
      </c>
      <c r="B523" s="1678"/>
      <c r="C523" s="1679">
        <f t="shared" si="58"/>
        <v>1</v>
      </c>
      <c r="D523" s="1679">
        <f>PRODUCT(C$5:C523)</f>
        <v>3.55771976932645</v>
      </c>
      <c r="J523" s="1680"/>
      <c r="K523" s="1680"/>
      <c r="L523" s="1680"/>
      <c r="N523" s="1681"/>
      <c r="O523" s="1681"/>
      <c r="P523" s="1681"/>
      <c r="Q523" s="1681"/>
      <c r="R523" s="1681"/>
      <c r="T523" s="1681"/>
      <c r="U523" s="1681"/>
      <c r="W523" s="1681">
        <f t="shared" si="59"/>
        <v>0</v>
      </c>
      <c r="X523" s="1681"/>
      <c r="Y523" s="1681">
        <f t="shared" si="60"/>
        <v>0</v>
      </c>
      <c r="Z523" s="1681"/>
      <c r="AB523" s="1682"/>
      <c r="AC523" s="1682"/>
      <c r="AE523" s="1683"/>
      <c r="AF523" s="1683"/>
      <c r="AG523" s="1683"/>
      <c r="AH523" s="1683"/>
      <c r="AI523" s="1683"/>
      <c r="AJ523" s="1683"/>
      <c r="AK523" s="1683"/>
      <c r="AL523" s="1683"/>
      <c r="AM523" s="1683"/>
      <c r="AN523" s="1683"/>
      <c r="AO523" s="1683"/>
      <c r="AP523" s="1683"/>
      <c r="AQ523" s="1683"/>
      <c r="AR523" s="1683"/>
      <c r="AS523" s="1683"/>
      <c r="AT523" s="1683"/>
      <c r="AU523" s="1683"/>
      <c r="AV523" s="1683"/>
      <c r="AW523" s="1683"/>
      <c r="AX523" s="1683"/>
      <c r="AY523" s="1683"/>
      <c r="AZ523" s="1683"/>
      <c r="BA523" s="1683"/>
      <c r="BB523" s="1683"/>
    </row>
    <row r="524" spans="1:54">
      <c r="A524" s="326">
        <f t="shared" si="57"/>
        <v>49340</v>
      </c>
      <c r="B524" s="1678"/>
      <c r="C524" s="1679">
        <f t="shared" si="58"/>
        <v>1</v>
      </c>
      <c r="D524" s="1679">
        <f>PRODUCT(C$5:C524)</f>
        <v>3.55771976932645</v>
      </c>
      <c r="J524" s="1680"/>
      <c r="K524" s="1680"/>
      <c r="L524" s="1680"/>
      <c r="N524" s="1681"/>
      <c r="O524" s="1681"/>
      <c r="P524" s="1681"/>
      <c r="Q524" s="1681"/>
      <c r="R524" s="1681"/>
      <c r="T524" s="1681"/>
      <c r="U524" s="1681"/>
      <c r="W524" s="1681">
        <f t="shared" si="59"/>
        <v>0</v>
      </c>
      <c r="X524" s="1681"/>
      <c r="Y524" s="1681">
        <f t="shared" si="60"/>
        <v>0</v>
      </c>
      <c r="Z524" s="1681"/>
      <c r="AB524" s="1682"/>
      <c r="AC524" s="1682"/>
      <c r="AE524" s="1683"/>
      <c r="AF524" s="1683"/>
      <c r="AG524" s="1683"/>
      <c r="AH524" s="1683"/>
      <c r="AI524" s="1683"/>
      <c r="AJ524" s="1683"/>
      <c r="AK524" s="1683"/>
      <c r="AL524" s="1683"/>
      <c r="AM524" s="1683"/>
      <c r="AN524" s="1683"/>
      <c r="AO524" s="1683"/>
      <c r="AP524" s="1683"/>
      <c r="AQ524" s="1683"/>
      <c r="AR524" s="1683"/>
      <c r="AS524" s="1683"/>
      <c r="AT524" s="1683"/>
      <c r="AU524" s="1683"/>
      <c r="AV524" s="1683"/>
      <c r="AW524" s="1683"/>
      <c r="AX524" s="1683"/>
      <c r="AY524" s="1683"/>
      <c r="AZ524" s="1683"/>
      <c r="BA524" s="1683"/>
      <c r="BB524" s="1683"/>
    </row>
    <row r="525" spans="1:54">
      <c r="A525" s="326">
        <f t="shared" si="57"/>
        <v>49368</v>
      </c>
      <c r="B525" s="1678"/>
      <c r="C525" s="1679">
        <f t="shared" si="58"/>
        <v>1</v>
      </c>
      <c r="D525" s="1679">
        <f>PRODUCT(C$5:C525)</f>
        <v>3.55771976932645</v>
      </c>
      <c r="J525" s="1680"/>
      <c r="K525" s="1680"/>
      <c r="L525" s="1680"/>
      <c r="N525" s="1681"/>
      <c r="O525" s="1681"/>
      <c r="P525" s="1681"/>
      <c r="Q525" s="1681"/>
      <c r="R525" s="1681"/>
      <c r="T525" s="1681"/>
      <c r="U525" s="1681"/>
      <c r="W525" s="1681">
        <f t="shared" si="59"/>
        <v>0</v>
      </c>
      <c r="X525" s="1681"/>
      <c r="Y525" s="1681">
        <f t="shared" si="60"/>
        <v>0</v>
      </c>
      <c r="Z525" s="1681"/>
      <c r="AB525" s="1682"/>
      <c r="AC525" s="1682"/>
      <c r="AE525" s="1683"/>
      <c r="AF525" s="1683"/>
      <c r="AG525" s="1683"/>
      <c r="AH525" s="1683"/>
      <c r="AI525" s="1683"/>
      <c r="AJ525" s="1683"/>
      <c r="AK525" s="1683"/>
      <c r="AL525" s="1683"/>
      <c r="AM525" s="1683"/>
      <c r="AN525" s="1683"/>
      <c r="AO525" s="1683"/>
      <c r="AP525" s="1683"/>
      <c r="AQ525" s="1683"/>
      <c r="AR525" s="1683"/>
      <c r="AS525" s="1683"/>
      <c r="AT525" s="1683"/>
      <c r="AU525" s="1683"/>
      <c r="AV525" s="1683"/>
      <c r="AW525" s="1683"/>
      <c r="AX525" s="1683"/>
      <c r="AY525" s="1683"/>
      <c r="AZ525" s="1683"/>
      <c r="BA525" s="1683"/>
      <c r="BB525" s="1683"/>
    </row>
    <row r="526" spans="1:54">
      <c r="A526" s="326">
        <f t="shared" si="57"/>
        <v>49399</v>
      </c>
      <c r="B526" s="1678"/>
      <c r="C526" s="1679">
        <f t="shared" si="58"/>
        <v>1</v>
      </c>
      <c r="D526" s="1679">
        <f>PRODUCT(C$5:C526)</f>
        <v>3.55771976932645</v>
      </c>
      <c r="J526" s="1680"/>
      <c r="K526" s="1680"/>
      <c r="L526" s="1680"/>
      <c r="N526" s="1681"/>
      <c r="O526" s="1681"/>
      <c r="P526" s="1681"/>
      <c r="Q526" s="1681"/>
      <c r="R526" s="1681"/>
      <c r="T526" s="1681"/>
      <c r="U526" s="1681"/>
      <c r="W526" s="1681">
        <f t="shared" si="59"/>
        <v>0</v>
      </c>
      <c r="X526" s="1681"/>
      <c r="Y526" s="1681">
        <f t="shared" si="60"/>
        <v>0</v>
      </c>
      <c r="Z526" s="1681"/>
      <c r="AB526" s="1682"/>
      <c r="AC526" s="1682"/>
      <c r="AE526" s="1683"/>
      <c r="AF526" s="1683"/>
      <c r="AG526" s="1683"/>
      <c r="AH526" s="1683"/>
      <c r="AI526" s="1683"/>
      <c r="AJ526" s="1683"/>
      <c r="AK526" s="1683"/>
      <c r="AL526" s="1683"/>
      <c r="AM526" s="1683"/>
      <c r="AN526" s="1683"/>
      <c r="AO526" s="1683"/>
      <c r="AP526" s="1683"/>
      <c r="AQ526" s="1683"/>
      <c r="AR526" s="1683"/>
      <c r="AS526" s="1683"/>
      <c r="AT526" s="1683"/>
      <c r="AU526" s="1683"/>
      <c r="AV526" s="1683"/>
      <c r="AW526" s="1683"/>
      <c r="AX526" s="1683"/>
      <c r="AY526" s="1683"/>
      <c r="AZ526" s="1683"/>
      <c r="BA526" s="1683"/>
      <c r="BB526" s="1683"/>
    </row>
    <row r="527" spans="1:54">
      <c r="A527" s="326">
        <f t="shared" si="57"/>
        <v>49429</v>
      </c>
      <c r="B527" s="1678"/>
      <c r="C527" s="1679">
        <f t="shared" si="58"/>
        <v>1</v>
      </c>
      <c r="D527" s="1679">
        <f>PRODUCT(C$5:C527)</f>
        <v>3.55771976932645</v>
      </c>
      <c r="J527" s="1680"/>
      <c r="K527" s="1680"/>
      <c r="L527" s="1680"/>
      <c r="N527" s="1681"/>
      <c r="O527" s="1681"/>
      <c r="P527" s="1681"/>
      <c r="Q527" s="1681"/>
      <c r="R527" s="1681"/>
      <c r="T527" s="1681"/>
      <c r="U527" s="1681"/>
      <c r="W527" s="1681">
        <f t="shared" si="59"/>
        <v>0</v>
      </c>
      <c r="X527" s="1681"/>
      <c r="Y527" s="1681">
        <f t="shared" si="60"/>
        <v>0</v>
      </c>
      <c r="Z527" s="1681"/>
      <c r="AB527" s="1682"/>
      <c r="AC527" s="1682"/>
      <c r="AE527" s="1683"/>
      <c r="AF527" s="1683"/>
      <c r="AG527" s="1683"/>
      <c r="AH527" s="1683"/>
      <c r="AI527" s="1683"/>
      <c r="AJ527" s="1683"/>
      <c r="AK527" s="1683"/>
      <c r="AL527" s="1683"/>
      <c r="AM527" s="1683"/>
      <c r="AN527" s="1683"/>
      <c r="AO527" s="1683"/>
      <c r="AP527" s="1683"/>
      <c r="AQ527" s="1683"/>
      <c r="AR527" s="1683"/>
      <c r="AS527" s="1683"/>
      <c r="AT527" s="1683"/>
      <c r="AU527" s="1683"/>
      <c r="AV527" s="1683"/>
      <c r="AW527" s="1683"/>
      <c r="AX527" s="1683"/>
      <c r="AY527" s="1683"/>
      <c r="AZ527" s="1683"/>
      <c r="BA527" s="1683"/>
      <c r="BB527" s="1683"/>
    </row>
    <row r="528" spans="1:54">
      <c r="A528" s="326">
        <f t="shared" si="57"/>
        <v>49460</v>
      </c>
      <c r="B528" s="1678"/>
      <c r="C528" s="1679">
        <f t="shared" si="58"/>
        <v>1</v>
      </c>
      <c r="D528" s="1679">
        <f>PRODUCT(C$5:C528)</f>
        <v>3.55771976932645</v>
      </c>
      <c r="J528" s="1680"/>
      <c r="K528" s="1680"/>
      <c r="L528" s="1680"/>
      <c r="N528" s="1681"/>
      <c r="O528" s="1681"/>
      <c r="P528" s="1681"/>
      <c r="Q528" s="1681"/>
      <c r="R528" s="1681"/>
      <c r="T528" s="1681"/>
      <c r="U528" s="1681"/>
      <c r="W528" s="1681">
        <f t="shared" si="59"/>
        <v>0</v>
      </c>
      <c r="X528" s="1681"/>
      <c r="Y528" s="1681">
        <f t="shared" si="60"/>
        <v>0</v>
      </c>
      <c r="Z528" s="1681"/>
      <c r="AB528" s="1682"/>
      <c r="AC528" s="1682"/>
      <c r="AE528" s="1683"/>
      <c r="AF528" s="1683"/>
      <c r="AG528" s="1683"/>
      <c r="AH528" s="1683"/>
      <c r="AI528" s="1683"/>
      <c r="AJ528" s="1683"/>
      <c r="AK528" s="1683"/>
      <c r="AL528" s="1683"/>
      <c r="AM528" s="1683"/>
      <c r="AN528" s="1683"/>
      <c r="AO528" s="1683"/>
      <c r="AP528" s="1683"/>
      <c r="AQ528" s="1683"/>
      <c r="AR528" s="1683"/>
      <c r="AS528" s="1683"/>
      <c r="AT528" s="1683"/>
      <c r="AU528" s="1683"/>
      <c r="AV528" s="1683"/>
      <c r="AW528" s="1683"/>
      <c r="AX528" s="1683"/>
      <c r="AY528" s="1683"/>
      <c r="AZ528" s="1683"/>
      <c r="BA528" s="1683"/>
      <c r="BB528" s="1683"/>
    </row>
    <row r="529" spans="1:54">
      <c r="A529" s="326">
        <f t="shared" si="57"/>
        <v>49490</v>
      </c>
      <c r="B529" s="1678"/>
      <c r="C529" s="1679">
        <f t="shared" si="58"/>
        <v>1</v>
      </c>
      <c r="D529" s="1679">
        <f>PRODUCT(C$5:C529)</f>
        <v>3.55771976932645</v>
      </c>
      <c r="J529" s="1680"/>
      <c r="K529" s="1680"/>
      <c r="L529" s="1680"/>
      <c r="N529" s="1681"/>
      <c r="O529" s="1681"/>
      <c r="P529" s="1681"/>
      <c r="Q529" s="1681"/>
      <c r="R529" s="1681"/>
      <c r="T529" s="1681"/>
      <c r="U529" s="1681"/>
      <c r="W529" s="1681">
        <f t="shared" si="59"/>
        <v>0</v>
      </c>
      <c r="X529" s="1681"/>
      <c r="Y529" s="1681">
        <f t="shared" si="60"/>
        <v>0</v>
      </c>
      <c r="Z529" s="1681"/>
      <c r="AB529" s="1682"/>
      <c r="AC529" s="1682"/>
      <c r="AE529" s="1683"/>
      <c r="AF529" s="1683"/>
      <c r="AG529" s="1683"/>
      <c r="AH529" s="1683"/>
      <c r="AI529" s="1683"/>
      <c r="AJ529" s="1683"/>
      <c r="AK529" s="1683"/>
      <c r="AL529" s="1683"/>
      <c r="AM529" s="1683"/>
      <c r="AN529" s="1683"/>
      <c r="AO529" s="1683"/>
      <c r="AP529" s="1683"/>
      <c r="AQ529" s="1683"/>
      <c r="AR529" s="1683"/>
      <c r="AS529" s="1683"/>
      <c r="AT529" s="1683"/>
      <c r="AU529" s="1683"/>
      <c r="AV529" s="1683"/>
      <c r="AW529" s="1683"/>
      <c r="AX529" s="1683"/>
      <c r="AY529" s="1683"/>
      <c r="AZ529" s="1683"/>
      <c r="BA529" s="1683"/>
      <c r="BB529" s="1683"/>
    </row>
    <row r="530" spans="1:54">
      <c r="A530" s="326">
        <f t="shared" si="57"/>
        <v>49521</v>
      </c>
      <c r="B530" s="1678"/>
      <c r="C530" s="1679">
        <f t="shared" si="58"/>
        <v>1</v>
      </c>
      <c r="D530" s="1679">
        <f>PRODUCT(C$5:C530)</f>
        <v>3.55771976932645</v>
      </c>
      <c r="J530" s="1680"/>
      <c r="K530" s="1680"/>
      <c r="L530" s="1680"/>
      <c r="N530" s="1681"/>
      <c r="O530" s="1681"/>
      <c r="P530" s="1681"/>
      <c r="Q530" s="1681"/>
      <c r="R530" s="1681"/>
      <c r="T530" s="1681"/>
      <c r="U530" s="1681"/>
      <c r="W530" s="1681">
        <f t="shared" si="59"/>
        <v>0</v>
      </c>
      <c r="X530" s="1681"/>
      <c r="Y530" s="1681">
        <f t="shared" si="60"/>
        <v>0</v>
      </c>
      <c r="Z530" s="1681"/>
      <c r="AB530" s="1682"/>
      <c r="AC530" s="1682"/>
      <c r="AE530" s="1683"/>
      <c r="AF530" s="1683"/>
      <c r="AG530" s="1683"/>
      <c r="AH530" s="1683"/>
      <c r="AI530" s="1683"/>
      <c r="AJ530" s="1683"/>
      <c r="AK530" s="1683"/>
      <c r="AL530" s="1683"/>
      <c r="AM530" s="1683"/>
      <c r="AN530" s="1683"/>
      <c r="AO530" s="1683"/>
      <c r="AP530" s="1683"/>
      <c r="AQ530" s="1683"/>
      <c r="AR530" s="1683"/>
      <c r="AS530" s="1683"/>
      <c r="AT530" s="1683"/>
      <c r="AU530" s="1683"/>
      <c r="AV530" s="1683"/>
      <c r="AW530" s="1683"/>
      <c r="AX530" s="1683"/>
      <c r="AY530" s="1683"/>
      <c r="AZ530" s="1683"/>
      <c r="BA530" s="1683"/>
      <c r="BB530" s="1683"/>
    </row>
    <row r="531" spans="1:54">
      <c r="A531" s="326">
        <f t="shared" si="57"/>
        <v>49552</v>
      </c>
      <c r="B531" s="1678"/>
      <c r="C531" s="1679">
        <f t="shared" si="58"/>
        <v>1</v>
      </c>
      <c r="D531" s="1679">
        <f>PRODUCT(C$5:C531)</f>
        <v>3.55771976932645</v>
      </c>
      <c r="J531" s="1680"/>
      <c r="K531" s="1680"/>
      <c r="L531" s="1680"/>
      <c r="N531" s="1681"/>
      <c r="O531" s="1681"/>
      <c r="P531" s="1681"/>
      <c r="Q531" s="1681"/>
      <c r="R531" s="1681"/>
      <c r="T531" s="1681"/>
      <c r="U531" s="1681"/>
      <c r="W531" s="1681">
        <f t="shared" si="59"/>
        <v>0</v>
      </c>
      <c r="X531" s="1681"/>
      <c r="Y531" s="1681">
        <f t="shared" si="60"/>
        <v>0</v>
      </c>
      <c r="Z531" s="1681"/>
      <c r="AB531" s="1682"/>
      <c r="AC531" s="1682"/>
      <c r="AE531" s="1683"/>
      <c r="AF531" s="1683"/>
      <c r="AG531" s="1683"/>
      <c r="AH531" s="1683"/>
      <c r="AI531" s="1683"/>
      <c r="AJ531" s="1683"/>
      <c r="AK531" s="1683"/>
      <c r="AL531" s="1683"/>
      <c r="AM531" s="1683"/>
      <c r="AN531" s="1683"/>
      <c r="AO531" s="1683"/>
      <c r="AP531" s="1683"/>
      <c r="AQ531" s="1683"/>
      <c r="AR531" s="1683"/>
      <c r="AS531" s="1683"/>
      <c r="AT531" s="1683"/>
      <c r="AU531" s="1683"/>
      <c r="AV531" s="1683"/>
      <c r="AW531" s="1683"/>
      <c r="AX531" s="1683"/>
      <c r="AY531" s="1683"/>
      <c r="AZ531" s="1683"/>
      <c r="BA531" s="1683"/>
      <c r="BB531" s="1683"/>
    </row>
    <row r="532" spans="1:54">
      <c r="A532" s="326">
        <f t="shared" si="57"/>
        <v>49582</v>
      </c>
      <c r="B532" s="1678"/>
      <c r="C532" s="1679">
        <f t="shared" si="58"/>
        <v>1</v>
      </c>
      <c r="D532" s="1679">
        <f>PRODUCT(C$5:C532)</f>
        <v>3.55771976932645</v>
      </c>
      <c r="J532" s="1680"/>
      <c r="K532" s="1680"/>
      <c r="L532" s="1680"/>
      <c r="N532" s="1681"/>
      <c r="O532" s="1681"/>
      <c r="P532" s="1681"/>
      <c r="Q532" s="1681"/>
      <c r="R532" s="1681"/>
      <c r="T532" s="1681"/>
      <c r="U532" s="1681"/>
      <c r="W532" s="1681">
        <f t="shared" si="59"/>
        <v>0</v>
      </c>
      <c r="X532" s="1681"/>
      <c r="Y532" s="1681">
        <f t="shared" si="60"/>
        <v>0</v>
      </c>
      <c r="Z532" s="1681"/>
      <c r="AB532" s="1682"/>
      <c r="AC532" s="1682"/>
      <c r="AE532" s="1683"/>
      <c r="AF532" s="1683"/>
      <c r="AG532" s="1683"/>
      <c r="AH532" s="1683"/>
      <c r="AI532" s="1683"/>
      <c r="AJ532" s="1683"/>
      <c r="AK532" s="1683"/>
      <c r="AL532" s="1683"/>
      <c r="AM532" s="1683"/>
      <c r="AN532" s="1683"/>
      <c r="AO532" s="1683"/>
      <c r="AP532" s="1683"/>
      <c r="AQ532" s="1683"/>
      <c r="AR532" s="1683"/>
      <c r="AS532" s="1683"/>
      <c r="AT532" s="1683"/>
      <c r="AU532" s="1683"/>
      <c r="AV532" s="1683"/>
      <c r="AW532" s="1683"/>
      <c r="AX532" s="1683"/>
      <c r="AY532" s="1683"/>
      <c r="AZ532" s="1683"/>
      <c r="BA532" s="1683"/>
      <c r="BB532" s="1683"/>
    </row>
    <row r="533" spans="1:54">
      <c r="A533" s="326">
        <f t="shared" si="57"/>
        <v>49613</v>
      </c>
      <c r="B533" s="1678"/>
      <c r="C533" s="1679">
        <f t="shared" si="58"/>
        <v>1</v>
      </c>
      <c r="D533" s="1679">
        <f>PRODUCT(C$5:C533)</f>
        <v>3.55771976932645</v>
      </c>
      <c r="J533" s="1680"/>
      <c r="K533" s="1680"/>
      <c r="L533" s="1680"/>
      <c r="N533" s="1681"/>
      <c r="O533" s="1681"/>
      <c r="P533" s="1681"/>
      <c r="Q533" s="1681"/>
      <c r="R533" s="1681"/>
      <c r="T533" s="1681"/>
      <c r="U533" s="1681"/>
      <c r="W533" s="1681">
        <f t="shared" si="59"/>
        <v>0</v>
      </c>
      <c r="X533" s="1681"/>
      <c r="Y533" s="1681">
        <f t="shared" si="60"/>
        <v>0</v>
      </c>
      <c r="Z533" s="1681"/>
      <c r="AB533" s="1682"/>
      <c r="AC533" s="1682"/>
      <c r="AE533" s="1683"/>
      <c r="AF533" s="1683"/>
      <c r="AG533" s="1683"/>
      <c r="AH533" s="1683"/>
      <c r="AI533" s="1683"/>
      <c r="AJ533" s="1683"/>
      <c r="AK533" s="1683"/>
      <c r="AL533" s="1683"/>
      <c r="AM533" s="1683"/>
      <c r="AN533" s="1683"/>
      <c r="AO533" s="1683"/>
      <c r="AP533" s="1683"/>
      <c r="AQ533" s="1683"/>
      <c r="AR533" s="1683"/>
      <c r="AS533" s="1683"/>
      <c r="AT533" s="1683"/>
      <c r="AU533" s="1683"/>
      <c r="AV533" s="1683"/>
      <c r="AW533" s="1683"/>
      <c r="AX533" s="1683"/>
      <c r="AY533" s="1683"/>
      <c r="AZ533" s="1683"/>
      <c r="BA533" s="1683"/>
      <c r="BB533" s="1683"/>
    </row>
    <row r="534" spans="1:54">
      <c r="A534" s="326">
        <f t="shared" ref="A534:A597" si="61">DATE(IF(MONTH(A533)=12,YEAR(A533)+1,YEAR(A533)),MONTH(A533+1)+1,1)-1</f>
        <v>49643</v>
      </c>
      <c r="B534" s="1678"/>
      <c r="C534" s="1679">
        <f t="shared" si="58"/>
        <v>1</v>
      </c>
      <c r="D534" s="1679">
        <f>PRODUCT(C$5:C534)</f>
        <v>3.55771976932645</v>
      </c>
      <c r="J534" s="1680"/>
      <c r="K534" s="1680"/>
      <c r="L534" s="1680"/>
      <c r="N534" s="1681"/>
      <c r="O534" s="1681"/>
      <c r="P534" s="1681"/>
      <c r="Q534" s="1681"/>
      <c r="R534" s="1681"/>
      <c r="T534" s="1681"/>
      <c r="U534" s="1681"/>
      <c r="W534" s="1681">
        <f t="shared" si="59"/>
        <v>0</v>
      </c>
      <c r="X534" s="1681"/>
      <c r="Y534" s="1681">
        <f t="shared" si="60"/>
        <v>0</v>
      </c>
      <c r="Z534" s="1681"/>
      <c r="AB534" s="1682"/>
      <c r="AC534" s="1682"/>
      <c r="AE534" s="1683"/>
      <c r="AF534" s="1683"/>
      <c r="AG534" s="1683"/>
      <c r="AH534" s="1683"/>
      <c r="AI534" s="1683"/>
      <c r="AJ534" s="1683"/>
      <c r="AK534" s="1683"/>
      <c r="AL534" s="1683"/>
      <c r="AM534" s="1683"/>
      <c r="AN534" s="1683"/>
      <c r="AO534" s="1683"/>
      <c r="AP534" s="1683"/>
      <c r="AQ534" s="1683"/>
      <c r="AR534" s="1683"/>
      <c r="AS534" s="1683"/>
      <c r="AT534" s="1683"/>
      <c r="AU534" s="1683"/>
      <c r="AV534" s="1683"/>
      <c r="AW534" s="1683"/>
      <c r="AX534" s="1683"/>
      <c r="AY534" s="1683"/>
      <c r="AZ534" s="1683"/>
      <c r="BA534" s="1683"/>
      <c r="BB534" s="1683"/>
    </row>
    <row r="535" spans="1:54">
      <c r="A535" s="326">
        <f t="shared" si="61"/>
        <v>49674</v>
      </c>
      <c r="B535" s="1678"/>
      <c r="C535" s="1679">
        <f t="shared" si="58"/>
        <v>1</v>
      </c>
      <c r="D535" s="1679">
        <f>PRODUCT(C$5:C535)</f>
        <v>3.55771976932645</v>
      </c>
      <c r="J535" s="1680"/>
      <c r="K535" s="1680"/>
      <c r="L535" s="1680"/>
      <c r="N535" s="1681"/>
      <c r="O535" s="1681"/>
      <c r="P535" s="1681"/>
      <c r="Q535" s="1681"/>
      <c r="R535" s="1681"/>
      <c r="T535" s="1681"/>
      <c r="U535" s="1681"/>
      <c r="W535" s="1681">
        <f t="shared" si="59"/>
        <v>0</v>
      </c>
      <c r="X535" s="1681"/>
      <c r="Y535" s="1681">
        <f t="shared" si="60"/>
        <v>0</v>
      </c>
      <c r="Z535" s="1681"/>
      <c r="AB535" s="1682"/>
      <c r="AC535" s="1682"/>
      <c r="AE535" s="1683"/>
      <c r="AF535" s="1683"/>
      <c r="AG535" s="1683"/>
      <c r="AH535" s="1683"/>
      <c r="AI535" s="1683"/>
      <c r="AJ535" s="1683"/>
      <c r="AK535" s="1683"/>
      <c r="AL535" s="1683"/>
      <c r="AM535" s="1683"/>
      <c r="AN535" s="1683"/>
      <c r="AO535" s="1683"/>
      <c r="AP535" s="1683"/>
      <c r="AQ535" s="1683"/>
      <c r="AR535" s="1683"/>
      <c r="AS535" s="1683"/>
      <c r="AT535" s="1683"/>
      <c r="AU535" s="1683"/>
      <c r="AV535" s="1683"/>
      <c r="AW535" s="1683"/>
      <c r="AX535" s="1683"/>
      <c r="AY535" s="1683"/>
      <c r="AZ535" s="1683"/>
      <c r="BA535" s="1683"/>
      <c r="BB535" s="1683"/>
    </row>
    <row r="536" spans="1:54">
      <c r="A536" s="326">
        <f t="shared" si="61"/>
        <v>49705</v>
      </c>
      <c r="B536" s="1678"/>
      <c r="C536" s="1679">
        <f t="shared" si="58"/>
        <v>1</v>
      </c>
      <c r="D536" s="1679">
        <f>PRODUCT(C$5:C536)</f>
        <v>3.55771976932645</v>
      </c>
      <c r="J536" s="1680"/>
      <c r="K536" s="1680"/>
      <c r="L536" s="1680"/>
      <c r="N536" s="1681"/>
      <c r="O536" s="1681"/>
      <c r="P536" s="1681"/>
      <c r="Q536" s="1681"/>
      <c r="R536" s="1681"/>
      <c r="T536" s="1681"/>
      <c r="U536" s="1681"/>
      <c r="W536" s="1681">
        <f t="shared" si="59"/>
        <v>0</v>
      </c>
      <c r="X536" s="1681"/>
      <c r="Y536" s="1681">
        <f t="shared" si="60"/>
        <v>0</v>
      </c>
      <c r="Z536" s="1681"/>
      <c r="AB536" s="1682"/>
      <c r="AC536" s="1682"/>
      <c r="AE536" s="1683"/>
      <c r="AF536" s="1683"/>
      <c r="AG536" s="1683"/>
      <c r="AH536" s="1683"/>
      <c r="AI536" s="1683"/>
      <c r="AJ536" s="1683"/>
      <c r="AK536" s="1683"/>
      <c r="AL536" s="1683"/>
      <c r="AM536" s="1683"/>
      <c r="AN536" s="1683"/>
      <c r="AO536" s="1683"/>
      <c r="AP536" s="1683"/>
      <c r="AQ536" s="1683"/>
      <c r="AR536" s="1683"/>
      <c r="AS536" s="1683"/>
      <c r="AT536" s="1683"/>
      <c r="AU536" s="1683"/>
      <c r="AV536" s="1683"/>
      <c r="AW536" s="1683"/>
      <c r="AX536" s="1683"/>
      <c r="AY536" s="1683"/>
      <c r="AZ536" s="1683"/>
      <c r="BA536" s="1683"/>
      <c r="BB536" s="1683"/>
    </row>
    <row r="537" spans="1:54">
      <c r="A537" s="326">
        <f t="shared" si="61"/>
        <v>49734</v>
      </c>
      <c r="B537" s="1678"/>
      <c r="C537" s="1679">
        <f t="shared" si="58"/>
        <v>1</v>
      </c>
      <c r="D537" s="1679">
        <f>PRODUCT(C$5:C537)</f>
        <v>3.55771976932645</v>
      </c>
      <c r="J537" s="1680"/>
      <c r="K537" s="1680"/>
      <c r="L537" s="1680"/>
      <c r="N537" s="1681"/>
      <c r="O537" s="1681"/>
      <c r="P537" s="1681"/>
      <c r="Q537" s="1681"/>
      <c r="R537" s="1681"/>
      <c r="T537" s="1681"/>
      <c r="U537" s="1681"/>
      <c r="W537" s="1681">
        <f t="shared" si="59"/>
        <v>0</v>
      </c>
      <c r="X537" s="1681"/>
      <c r="Y537" s="1681">
        <f t="shared" si="60"/>
        <v>0</v>
      </c>
      <c r="Z537" s="1681"/>
      <c r="AB537" s="1682"/>
      <c r="AC537" s="1682"/>
      <c r="AE537" s="1683"/>
      <c r="AF537" s="1683"/>
      <c r="AG537" s="1683"/>
      <c r="AH537" s="1683"/>
      <c r="AI537" s="1683"/>
      <c r="AJ537" s="1683"/>
      <c r="AK537" s="1683"/>
      <c r="AL537" s="1683"/>
      <c r="AM537" s="1683"/>
      <c r="AN537" s="1683"/>
      <c r="AO537" s="1683"/>
      <c r="AP537" s="1683"/>
      <c r="AQ537" s="1683"/>
      <c r="AR537" s="1683"/>
      <c r="AS537" s="1683"/>
      <c r="AT537" s="1683"/>
      <c r="AU537" s="1683"/>
      <c r="AV537" s="1683"/>
      <c r="AW537" s="1683"/>
      <c r="AX537" s="1683"/>
      <c r="AY537" s="1683"/>
      <c r="AZ537" s="1683"/>
      <c r="BA537" s="1683"/>
      <c r="BB537" s="1683"/>
    </row>
    <row r="538" spans="1:54">
      <c r="A538" s="326">
        <f t="shared" si="61"/>
        <v>49765</v>
      </c>
      <c r="B538" s="1678"/>
      <c r="C538" s="1679">
        <f t="shared" si="58"/>
        <v>1</v>
      </c>
      <c r="D538" s="1679">
        <f>PRODUCT(C$5:C538)</f>
        <v>3.55771976932645</v>
      </c>
      <c r="J538" s="1680"/>
      <c r="K538" s="1680"/>
      <c r="L538" s="1680"/>
      <c r="N538" s="1681"/>
      <c r="O538" s="1681"/>
      <c r="P538" s="1681"/>
      <c r="Q538" s="1681"/>
      <c r="R538" s="1681"/>
      <c r="T538" s="1681"/>
      <c r="U538" s="1681"/>
      <c r="W538" s="1681">
        <f t="shared" si="59"/>
        <v>0</v>
      </c>
      <c r="X538" s="1681"/>
      <c r="Y538" s="1681">
        <f t="shared" si="60"/>
        <v>0</v>
      </c>
      <c r="Z538" s="1681"/>
      <c r="AB538" s="1682"/>
      <c r="AC538" s="1682"/>
      <c r="AE538" s="1683"/>
      <c r="AF538" s="1683"/>
      <c r="AG538" s="1683"/>
      <c r="AH538" s="1683"/>
      <c r="AI538" s="1683"/>
      <c r="AJ538" s="1683"/>
      <c r="AK538" s="1683"/>
      <c r="AL538" s="1683"/>
      <c r="AM538" s="1683"/>
      <c r="AN538" s="1683"/>
      <c r="AO538" s="1683"/>
      <c r="AP538" s="1683"/>
      <c r="AQ538" s="1683"/>
      <c r="AR538" s="1683"/>
      <c r="AS538" s="1683"/>
      <c r="AT538" s="1683"/>
      <c r="AU538" s="1683"/>
      <c r="AV538" s="1683"/>
      <c r="AW538" s="1683"/>
      <c r="AX538" s="1683"/>
      <c r="AY538" s="1683"/>
      <c r="AZ538" s="1683"/>
      <c r="BA538" s="1683"/>
      <c r="BB538" s="1683"/>
    </row>
    <row r="539" spans="1:54">
      <c r="A539" s="326">
        <f t="shared" si="61"/>
        <v>49795</v>
      </c>
      <c r="B539" s="1678"/>
      <c r="C539" s="1679">
        <f t="shared" si="58"/>
        <v>1</v>
      </c>
      <c r="D539" s="1679">
        <f>PRODUCT(C$5:C539)</f>
        <v>3.55771976932645</v>
      </c>
      <c r="J539" s="1680"/>
      <c r="K539" s="1680"/>
      <c r="L539" s="1680"/>
      <c r="N539" s="1681"/>
      <c r="O539" s="1681"/>
      <c r="P539" s="1681"/>
      <c r="Q539" s="1681"/>
      <c r="R539" s="1681"/>
      <c r="T539" s="1681"/>
      <c r="U539" s="1681"/>
      <c r="W539" s="1681">
        <f t="shared" si="59"/>
        <v>0</v>
      </c>
      <c r="X539" s="1681"/>
      <c r="Y539" s="1681">
        <f t="shared" si="60"/>
        <v>0</v>
      </c>
      <c r="Z539" s="1681"/>
      <c r="AB539" s="1682"/>
      <c r="AC539" s="1682"/>
      <c r="AE539" s="1683"/>
      <c r="AF539" s="1683"/>
      <c r="AG539" s="1683"/>
      <c r="AH539" s="1683"/>
      <c r="AI539" s="1683"/>
      <c r="AJ539" s="1683"/>
      <c r="AK539" s="1683"/>
      <c r="AL539" s="1683"/>
      <c r="AM539" s="1683"/>
      <c r="AN539" s="1683"/>
      <c r="AO539" s="1683"/>
      <c r="AP539" s="1683"/>
      <c r="AQ539" s="1683"/>
      <c r="AR539" s="1683"/>
      <c r="AS539" s="1683"/>
      <c r="AT539" s="1683"/>
      <c r="AU539" s="1683"/>
      <c r="AV539" s="1683"/>
      <c r="AW539" s="1683"/>
      <c r="AX539" s="1683"/>
      <c r="AY539" s="1683"/>
      <c r="AZ539" s="1683"/>
      <c r="BA539" s="1683"/>
      <c r="BB539" s="1683"/>
    </row>
    <row r="540" spans="1:54">
      <c r="A540" s="326">
        <f t="shared" si="61"/>
        <v>49826</v>
      </c>
      <c r="B540" s="1678"/>
      <c r="C540" s="1679">
        <f t="shared" si="58"/>
        <v>1</v>
      </c>
      <c r="D540" s="1679">
        <f>PRODUCT(C$5:C540)</f>
        <v>3.55771976932645</v>
      </c>
      <c r="J540" s="1680"/>
      <c r="K540" s="1680"/>
      <c r="L540" s="1680"/>
      <c r="N540" s="1681"/>
      <c r="O540" s="1681"/>
      <c r="P540" s="1681"/>
      <c r="Q540" s="1681"/>
      <c r="R540" s="1681"/>
      <c r="T540" s="1681"/>
      <c r="U540" s="1681"/>
      <c r="W540" s="1681">
        <f t="shared" si="59"/>
        <v>0</v>
      </c>
      <c r="X540" s="1681"/>
      <c r="Y540" s="1681">
        <f t="shared" si="60"/>
        <v>0</v>
      </c>
      <c r="Z540" s="1681"/>
      <c r="AB540" s="1682"/>
      <c r="AC540" s="1682"/>
      <c r="AE540" s="1683"/>
      <c r="AF540" s="1683"/>
      <c r="AG540" s="1683"/>
      <c r="AH540" s="1683"/>
      <c r="AI540" s="1683"/>
      <c r="AJ540" s="1683"/>
      <c r="AK540" s="1683"/>
      <c r="AL540" s="1683"/>
      <c r="AM540" s="1683"/>
      <c r="AN540" s="1683"/>
      <c r="AO540" s="1683"/>
      <c r="AP540" s="1683"/>
      <c r="AQ540" s="1683"/>
      <c r="AR540" s="1683"/>
      <c r="AS540" s="1683"/>
      <c r="AT540" s="1683"/>
      <c r="AU540" s="1683"/>
      <c r="AV540" s="1683"/>
      <c r="AW540" s="1683"/>
      <c r="AX540" s="1683"/>
      <c r="AY540" s="1683"/>
      <c r="AZ540" s="1683"/>
      <c r="BA540" s="1683"/>
      <c r="BB540" s="1683"/>
    </row>
    <row r="541" spans="1:54">
      <c r="A541" s="326">
        <f t="shared" si="61"/>
        <v>49856</v>
      </c>
      <c r="B541" s="1678"/>
      <c r="C541" s="1679">
        <f t="shared" si="58"/>
        <v>1</v>
      </c>
      <c r="D541" s="1679">
        <f>PRODUCT(C$5:C541)</f>
        <v>3.55771976932645</v>
      </c>
      <c r="J541" s="1680"/>
      <c r="K541" s="1680"/>
      <c r="L541" s="1680"/>
      <c r="N541" s="1681"/>
      <c r="O541" s="1681"/>
      <c r="P541" s="1681"/>
      <c r="Q541" s="1681"/>
      <c r="R541" s="1681"/>
      <c r="T541" s="1681"/>
      <c r="U541" s="1681"/>
      <c r="W541" s="1681">
        <f t="shared" si="59"/>
        <v>0</v>
      </c>
      <c r="X541" s="1681"/>
      <c r="Y541" s="1681">
        <f t="shared" si="60"/>
        <v>0</v>
      </c>
      <c r="Z541" s="1681"/>
      <c r="AB541" s="1682"/>
      <c r="AC541" s="1682"/>
      <c r="AE541" s="1683"/>
      <c r="AF541" s="1683"/>
      <c r="AG541" s="1683"/>
      <c r="AH541" s="1683"/>
      <c r="AI541" s="1683"/>
      <c r="AJ541" s="1683"/>
      <c r="AK541" s="1683"/>
      <c r="AL541" s="1683"/>
      <c r="AM541" s="1683"/>
      <c r="AN541" s="1683"/>
      <c r="AO541" s="1683"/>
      <c r="AP541" s="1683"/>
      <c r="AQ541" s="1683"/>
      <c r="AR541" s="1683"/>
      <c r="AS541" s="1683"/>
      <c r="AT541" s="1683"/>
      <c r="AU541" s="1683"/>
      <c r="AV541" s="1683"/>
      <c r="AW541" s="1683"/>
      <c r="AX541" s="1683"/>
      <c r="AY541" s="1683"/>
      <c r="AZ541" s="1683"/>
      <c r="BA541" s="1683"/>
      <c r="BB541" s="1683"/>
    </row>
    <row r="542" spans="1:54">
      <c r="A542" s="326">
        <f t="shared" si="61"/>
        <v>49887</v>
      </c>
      <c r="B542" s="1678"/>
      <c r="C542" s="1679">
        <f t="shared" si="58"/>
        <v>1</v>
      </c>
      <c r="D542" s="1679">
        <f>PRODUCT(C$5:C542)</f>
        <v>3.55771976932645</v>
      </c>
      <c r="J542" s="1680"/>
      <c r="K542" s="1680"/>
      <c r="L542" s="1680"/>
      <c r="N542" s="1681"/>
      <c r="O542" s="1681"/>
      <c r="P542" s="1681"/>
      <c r="Q542" s="1681"/>
      <c r="R542" s="1681"/>
      <c r="T542" s="1681"/>
      <c r="U542" s="1681"/>
      <c r="W542" s="1681">
        <f t="shared" si="59"/>
        <v>0</v>
      </c>
      <c r="X542" s="1681"/>
      <c r="Y542" s="1681">
        <f t="shared" si="60"/>
        <v>0</v>
      </c>
      <c r="Z542" s="1681"/>
      <c r="AB542" s="1682"/>
      <c r="AC542" s="1682"/>
      <c r="AE542" s="1683"/>
      <c r="AF542" s="1683"/>
      <c r="AG542" s="1683"/>
      <c r="AH542" s="1683"/>
      <c r="AI542" s="1683"/>
      <c r="AJ542" s="1683"/>
      <c r="AK542" s="1683"/>
      <c r="AL542" s="1683"/>
      <c r="AM542" s="1683"/>
      <c r="AN542" s="1683"/>
      <c r="AO542" s="1683"/>
      <c r="AP542" s="1683"/>
      <c r="AQ542" s="1683"/>
      <c r="AR542" s="1683"/>
      <c r="AS542" s="1683"/>
      <c r="AT542" s="1683"/>
      <c r="AU542" s="1683"/>
      <c r="AV542" s="1683"/>
      <c r="AW542" s="1683"/>
      <c r="AX542" s="1683"/>
      <c r="AY542" s="1683"/>
      <c r="AZ542" s="1683"/>
      <c r="BA542" s="1683"/>
      <c r="BB542" s="1683"/>
    </row>
    <row r="543" spans="1:54">
      <c r="A543" s="326">
        <f t="shared" si="61"/>
        <v>49918</v>
      </c>
      <c r="B543" s="1678"/>
      <c r="C543" s="1679">
        <f t="shared" si="58"/>
        <v>1</v>
      </c>
      <c r="D543" s="1679">
        <f>PRODUCT(C$5:C543)</f>
        <v>3.55771976932645</v>
      </c>
      <c r="J543" s="1680"/>
      <c r="K543" s="1680"/>
      <c r="L543" s="1680"/>
      <c r="N543" s="1681"/>
      <c r="O543" s="1681"/>
      <c r="P543" s="1681"/>
      <c r="Q543" s="1681"/>
      <c r="R543" s="1681"/>
      <c r="T543" s="1681"/>
      <c r="U543" s="1681"/>
      <c r="W543" s="1681">
        <f t="shared" si="59"/>
        <v>0</v>
      </c>
      <c r="X543" s="1681"/>
      <c r="Y543" s="1681">
        <f t="shared" si="60"/>
        <v>0</v>
      </c>
      <c r="Z543" s="1681"/>
      <c r="AB543" s="1682"/>
      <c r="AC543" s="1682"/>
      <c r="AE543" s="1683"/>
      <c r="AF543" s="1683"/>
      <c r="AG543" s="1683"/>
      <c r="AH543" s="1683"/>
      <c r="AI543" s="1683"/>
      <c r="AJ543" s="1683"/>
      <c r="AK543" s="1683"/>
      <c r="AL543" s="1683"/>
      <c r="AM543" s="1683"/>
      <c r="AN543" s="1683"/>
      <c r="AO543" s="1683"/>
      <c r="AP543" s="1683"/>
      <c r="AQ543" s="1683"/>
      <c r="AR543" s="1683"/>
      <c r="AS543" s="1683"/>
      <c r="AT543" s="1683"/>
      <c r="AU543" s="1683"/>
      <c r="AV543" s="1683"/>
      <c r="AW543" s="1683"/>
      <c r="AX543" s="1683"/>
      <c r="AY543" s="1683"/>
      <c r="AZ543" s="1683"/>
      <c r="BA543" s="1683"/>
      <c r="BB543" s="1683"/>
    </row>
    <row r="544" spans="1:54">
      <c r="A544" s="326">
        <f t="shared" si="61"/>
        <v>49948</v>
      </c>
      <c r="B544" s="1678"/>
      <c r="C544" s="1679">
        <f t="shared" si="58"/>
        <v>1</v>
      </c>
      <c r="D544" s="1679">
        <f>PRODUCT(C$5:C544)</f>
        <v>3.55771976932645</v>
      </c>
      <c r="J544" s="1680"/>
      <c r="K544" s="1680"/>
      <c r="L544" s="1680"/>
      <c r="N544" s="1681"/>
      <c r="O544" s="1681"/>
      <c r="P544" s="1681"/>
      <c r="Q544" s="1681"/>
      <c r="R544" s="1681"/>
      <c r="T544" s="1681"/>
      <c r="U544" s="1681"/>
      <c r="W544" s="1681">
        <f t="shared" si="59"/>
        <v>0</v>
      </c>
      <c r="X544" s="1681"/>
      <c r="Y544" s="1681">
        <f t="shared" si="60"/>
        <v>0</v>
      </c>
      <c r="Z544" s="1681"/>
      <c r="AB544" s="1682"/>
      <c r="AC544" s="1682"/>
      <c r="AE544" s="1683"/>
      <c r="AF544" s="1683"/>
      <c r="AG544" s="1683"/>
      <c r="AH544" s="1683"/>
      <c r="AI544" s="1683"/>
      <c r="AJ544" s="1683"/>
      <c r="AK544" s="1683"/>
      <c r="AL544" s="1683"/>
      <c r="AM544" s="1683"/>
      <c r="AN544" s="1683"/>
      <c r="AO544" s="1683"/>
      <c r="AP544" s="1683"/>
      <c r="AQ544" s="1683"/>
      <c r="AR544" s="1683"/>
      <c r="AS544" s="1683"/>
      <c r="AT544" s="1683"/>
      <c r="AU544" s="1683"/>
      <c r="AV544" s="1683"/>
      <c r="AW544" s="1683"/>
      <c r="AX544" s="1683"/>
      <c r="AY544" s="1683"/>
      <c r="AZ544" s="1683"/>
      <c r="BA544" s="1683"/>
      <c r="BB544" s="1683"/>
    </row>
    <row r="545" spans="1:54">
      <c r="A545" s="326">
        <f t="shared" si="61"/>
        <v>49979</v>
      </c>
      <c r="B545" s="1678"/>
      <c r="C545" s="1679">
        <f t="shared" si="58"/>
        <v>1</v>
      </c>
      <c r="D545" s="1679">
        <f>PRODUCT(C$5:C545)</f>
        <v>3.55771976932645</v>
      </c>
      <c r="J545" s="1680"/>
      <c r="K545" s="1680"/>
      <c r="L545" s="1680"/>
      <c r="N545" s="1681"/>
      <c r="O545" s="1681"/>
      <c r="P545" s="1681"/>
      <c r="Q545" s="1681"/>
      <c r="R545" s="1681"/>
      <c r="T545" s="1681"/>
      <c r="U545" s="1681"/>
      <c r="W545" s="1681">
        <f t="shared" si="59"/>
        <v>0</v>
      </c>
      <c r="X545" s="1681"/>
      <c r="Y545" s="1681">
        <f t="shared" si="60"/>
        <v>0</v>
      </c>
      <c r="Z545" s="1681"/>
      <c r="AB545" s="1682"/>
      <c r="AC545" s="1682"/>
      <c r="AE545" s="1683"/>
      <c r="AF545" s="1683"/>
      <c r="AG545" s="1683"/>
      <c r="AH545" s="1683"/>
      <c r="AI545" s="1683"/>
      <c r="AJ545" s="1683"/>
      <c r="AK545" s="1683"/>
      <c r="AL545" s="1683"/>
      <c r="AM545" s="1683"/>
      <c r="AN545" s="1683"/>
      <c r="AO545" s="1683"/>
      <c r="AP545" s="1683"/>
      <c r="AQ545" s="1683"/>
      <c r="AR545" s="1683"/>
      <c r="AS545" s="1683"/>
      <c r="AT545" s="1683"/>
      <c r="AU545" s="1683"/>
      <c r="AV545" s="1683"/>
      <c r="AW545" s="1683"/>
      <c r="AX545" s="1683"/>
      <c r="AY545" s="1683"/>
      <c r="AZ545" s="1683"/>
      <c r="BA545" s="1683"/>
      <c r="BB545" s="1683"/>
    </row>
    <row r="546" spans="1:54">
      <c r="A546" s="326">
        <f t="shared" si="61"/>
        <v>50009</v>
      </c>
      <c r="B546" s="1678"/>
      <c r="C546" s="1679">
        <f t="shared" si="58"/>
        <v>1</v>
      </c>
      <c r="D546" s="1679">
        <f>PRODUCT(C$5:C546)</f>
        <v>3.55771976932645</v>
      </c>
      <c r="J546" s="1680"/>
      <c r="K546" s="1680"/>
      <c r="L546" s="1680"/>
      <c r="N546" s="1681"/>
      <c r="O546" s="1681"/>
      <c r="P546" s="1681"/>
      <c r="Q546" s="1681"/>
      <c r="R546" s="1681"/>
      <c r="T546" s="1681"/>
      <c r="U546" s="1681"/>
      <c r="W546" s="1681">
        <f t="shared" si="59"/>
        <v>0</v>
      </c>
      <c r="X546" s="1681"/>
      <c r="Y546" s="1681">
        <f t="shared" si="60"/>
        <v>0</v>
      </c>
      <c r="Z546" s="1681"/>
      <c r="AB546" s="1682"/>
      <c r="AC546" s="1682"/>
      <c r="AE546" s="1683"/>
      <c r="AF546" s="1683"/>
      <c r="AG546" s="1683"/>
      <c r="AH546" s="1683"/>
      <c r="AI546" s="1683"/>
      <c r="AJ546" s="1683"/>
      <c r="AK546" s="1683"/>
      <c r="AL546" s="1683"/>
      <c r="AM546" s="1683"/>
      <c r="AN546" s="1683"/>
      <c r="AO546" s="1683"/>
      <c r="AP546" s="1683"/>
      <c r="AQ546" s="1683"/>
      <c r="AR546" s="1683"/>
      <c r="AS546" s="1683"/>
      <c r="AT546" s="1683"/>
      <c r="AU546" s="1683"/>
      <c r="AV546" s="1683"/>
      <c r="AW546" s="1683"/>
      <c r="AX546" s="1683"/>
      <c r="AY546" s="1683"/>
      <c r="AZ546" s="1683"/>
      <c r="BA546" s="1683"/>
      <c r="BB546" s="1683"/>
    </row>
    <row r="547" spans="1:54">
      <c r="A547" s="326">
        <f t="shared" si="61"/>
        <v>50040</v>
      </c>
      <c r="B547" s="1678"/>
      <c r="C547" s="1679">
        <f t="shared" si="58"/>
        <v>1</v>
      </c>
      <c r="D547" s="1679">
        <f>PRODUCT(C$5:C547)</f>
        <v>3.55771976932645</v>
      </c>
      <c r="J547" s="1680"/>
      <c r="K547" s="1680"/>
      <c r="L547" s="1680"/>
      <c r="N547" s="1681"/>
      <c r="O547" s="1681"/>
      <c r="P547" s="1681"/>
      <c r="Q547" s="1681"/>
      <c r="R547" s="1681"/>
      <c r="T547" s="1681"/>
      <c r="U547" s="1681"/>
      <c r="W547" s="1681">
        <f t="shared" si="59"/>
        <v>0</v>
      </c>
      <c r="X547" s="1681"/>
      <c r="Y547" s="1681">
        <f t="shared" si="60"/>
        <v>0</v>
      </c>
      <c r="Z547" s="1681"/>
      <c r="AB547" s="1682"/>
      <c r="AC547" s="1682"/>
      <c r="AE547" s="1683"/>
      <c r="AF547" s="1683"/>
      <c r="AG547" s="1683"/>
      <c r="AH547" s="1683"/>
      <c r="AI547" s="1683"/>
      <c r="AJ547" s="1683"/>
      <c r="AK547" s="1683"/>
      <c r="AL547" s="1683"/>
      <c r="AM547" s="1683"/>
      <c r="AN547" s="1683"/>
      <c r="AO547" s="1683"/>
      <c r="AP547" s="1683"/>
      <c r="AQ547" s="1683"/>
      <c r="AR547" s="1683"/>
      <c r="AS547" s="1683"/>
      <c r="AT547" s="1683"/>
      <c r="AU547" s="1683"/>
      <c r="AV547" s="1683"/>
      <c r="AW547" s="1683"/>
      <c r="AX547" s="1683"/>
      <c r="AY547" s="1683"/>
      <c r="AZ547" s="1683"/>
      <c r="BA547" s="1683"/>
      <c r="BB547" s="1683"/>
    </row>
    <row r="548" spans="1:54">
      <c r="A548" s="326">
        <f t="shared" si="61"/>
        <v>50071</v>
      </c>
      <c r="B548" s="1678"/>
      <c r="C548" s="1679">
        <f t="shared" si="58"/>
        <v>1</v>
      </c>
      <c r="D548" s="1679">
        <f>PRODUCT(C$5:C548)</f>
        <v>3.55771976932645</v>
      </c>
      <c r="J548" s="1680"/>
      <c r="K548" s="1680"/>
      <c r="L548" s="1680"/>
      <c r="N548" s="1681"/>
      <c r="O548" s="1681"/>
      <c r="P548" s="1681"/>
      <c r="Q548" s="1681"/>
      <c r="R548" s="1681"/>
      <c r="T548" s="1681"/>
      <c r="U548" s="1681"/>
      <c r="W548" s="1681">
        <f t="shared" si="59"/>
        <v>0</v>
      </c>
      <c r="X548" s="1681"/>
      <c r="Y548" s="1681">
        <f t="shared" si="60"/>
        <v>0</v>
      </c>
      <c r="Z548" s="1681"/>
      <c r="AB548" s="1682"/>
      <c r="AC548" s="1682"/>
      <c r="AE548" s="1683"/>
      <c r="AF548" s="1683"/>
      <c r="AG548" s="1683"/>
      <c r="AH548" s="1683"/>
      <c r="AI548" s="1683"/>
      <c r="AJ548" s="1683"/>
      <c r="AK548" s="1683"/>
      <c r="AL548" s="1683"/>
      <c r="AM548" s="1683"/>
      <c r="AN548" s="1683"/>
      <c r="AO548" s="1683"/>
      <c r="AP548" s="1683"/>
      <c r="AQ548" s="1683"/>
      <c r="AR548" s="1683"/>
      <c r="AS548" s="1683"/>
      <c r="AT548" s="1683"/>
      <c r="AU548" s="1683"/>
      <c r="AV548" s="1683"/>
      <c r="AW548" s="1683"/>
      <c r="AX548" s="1683"/>
      <c r="AY548" s="1683"/>
      <c r="AZ548" s="1683"/>
      <c r="BA548" s="1683"/>
      <c r="BB548" s="1683"/>
    </row>
    <row r="549" spans="1:54">
      <c r="A549" s="326">
        <f t="shared" si="61"/>
        <v>50099</v>
      </c>
      <c r="B549" s="1678"/>
      <c r="C549" s="1679">
        <f t="shared" si="58"/>
        <v>1</v>
      </c>
      <c r="D549" s="1679">
        <f>PRODUCT(C$5:C549)</f>
        <v>3.55771976932645</v>
      </c>
      <c r="J549" s="1680"/>
      <c r="K549" s="1680"/>
      <c r="L549" s="1680"/>
      <c r="N549" s="1681"/>
      <c r="O549" s="1681"/>
      <c r="P549" s="1681"/>
      <c r="Q549" s="1681"/>
      <c r="R549" s="1681"/>
      <c r="T549" s="1681"/>
      <c r="U549" s="1681"/>
      <c r="W549" s="1681">
        <f t="shared" si="59"/>
        <v>0</v>
      </c>
      <c r="X549" s="1681"/>
      <c r="Y549" s="1681">
        <f t="shared" si="60"/>
        <v>0</v>
      </c>
      <c r="Z549" s="1681"/>
      <c r="AB549" s="1682"/>
      <c r="AC549" s="1682"/>
      <c r="AE549" s="1683"/>
      <c r="AF549" s="1683"/>
      <c r="AG549" s="1683"/>
      <c r="AH549" s="1683"/>
      <c r="AI549" s="1683"/>
      <c r="AJ549" s="1683"/>
      <c r="AK549" s="1683"/>
      <c r="AL549" s="1683"/>
      <c r="AM549" s="1683"/>
      <c r="AN549" s="1683"/>
      <c r="AO549" s="1683"/>
      <c r="AP549" s="1683"/>
      <c r="AQ549" s="1683"/>
      <c r="AR549" s="1683"/>
      <c r="AS549" s="1683"/>
      <c r="AT549" s="1683"/>
      <c r="AU549" s="1683"/>
      <c r="AV549" s="1683"/>
      <c r="AW549" s="1683"/>
      <c r="AX549" s="1683"/>
      <c r="AY549" s="1683"/>
      <c r="AZ549" s="1683"/>
      <c r="BA549" s="1683"/>
      <c r="BB549" s="1683"/>
    </row>
    <row r="550" spans="1:54">
      <c r="A550" s="326">
        <f t="shared" si="61"/>
        <v>50130</v>
      </c>
      <c r="B550" s="1678"/>
      <c r="C550" s="1679">
        <f t="shared" si="58"/>
        <v>1</v>
      </c>
      <c r="D550" s="1679">
        <f>PRODUCT(C$5:C550)</f>
        <v>3.55771976932645</v>
      </c>
      <c r="J550" s="1680"/>
      <c r="K550" s="1680"/>
      <c r="L550" s="1680"/>
      <c r="N550" s="1681"/>
      <c r="O550" s="1681"/>
      <c r="P550" s="1681"/>
      <c r="Q550" s="1681"/>
      <c r="R550" s="1681"/>
      <c r="T550" s="1681"/>
      <c r="U550" s="1681"/>
      <c r="W550" s="1681">
        <f t="shared" si="59"/>
        <v>0</v>
      </c>
      <c r="X550" s="1681"/>
      <c r="Y550" s="1681">
        <f t="shared" si="60"/>
        <v>0</v>
      </c>
      <c r="Z550" s="1681"/>
      <c r="AB550" s="1682"/>
      <c r="AC550" s="1682"/>
      <c r="AE550" s="1683"/>
      <c r="AF550" s="1683"/>
      <c r="AG550" s="1683"/>
      <c r="AH550" s="1683"/>
      <c r="AI550" s="1683"/>
      <c r="AJ550" s="1683"/>
      <c r="AK550" s="1683"/>
      <c r="AL550" s="1683"/>
      <c r="AM550" s="1683"/>
      <c r="AN550" s="1683"/>
      <c r="AO550" s="1683"/>
      <c r="AP550" s="1683"/>
      <c r="AQ550" s="1683"/>
      <c r="AR550" s="1683"/>
      <c r="AS550" s="1683"/>
      <c r="AT550" s="1683"/>
      <c r="AU550" s="1683"/>
      <c r="AV550" s="1683"/>
      <c r="AW550" s="1683"/>
      <c r="AX550" s="1683"/>
      <c r="AY550" s="1683"/>
      <c r="AZ550" s="1683"/>
      <c r="BA550" s="1683"/>
      <c r="BB550" s="1683"/>
    </row>
    <row r="551" spans="1:54">
      <c r="A551" s="326">
        <f t="shared" si="61"/>
        <v>50160</v>
      </c>
      <c r="B551" s="1678"/>
      <c r="C551" s="1679">
        <f t="shared" si="58"/>
        <v>1</v>
      </c>
      <c r="D551" s="1679">
        <f>PRODUCT(C$5:C551)</f>
        <v>3.55771976932645</v>
      </c>
      <c r="J551" s="1680"/>
      <c r="K551" s="1680"/>
      <c r="L551" s="1680"/>
      <c r="N551" s="1681"/>
      <c r="O551" s="1681"/>
      <c r="P551" s="1681"/>
      <c r="Q551" s="1681"/>
      <c r="R551" s="1681"/>
      <c r="T551" s="1681"/>
      <c r="U551" s="1681"/>
      <c r="W551" s="1681">
        <f t="shared" si="59"/>
        <v>0</v>
      </c>
      <c r="X551" s="1681"/>
      <c r="Y551" s="1681">
        <f t="shared" si="60"/>
        <v>0</v>
      </c>
      <c r="Z551" s="1681"/>
      <c r="AB551" s="1682"/>
      <c r="AC551" s="1682"/>
      <c r="AE551" s="1683"/>
      <c r="AF551" s="1683"/>
      <c r="AG551" s="1683"/>
      <c r="AH551" s="1683"/>
      <c r="AI551" s="1683"/>
      <c r="AJ551" s="1683"/>
      <c r="AK551" s="1683"/>
      <c r="AL551" s="1683"/>
      <c r="AM551" s="1683"/>
      <c r="AN551" s="1683"/>
      <c r="AO551" s="1683"/>
      <c r="AP551" s="1683"/>
      <c r="AQ551" s="1683"/>
      <c r="AR551" s="1683"/>
      <c r="AS551" s="1683"/>
      <c r="AT551" s="1683"/>
      <c r="AU551" s="1683"/>
      <c r="AV551" s="1683"/>
      <c r="AW551" s="1683"/>
      <c r="AX551" s="1683"/>
      <c r="AY551" s="1683"/>
      <c r="AZ551" s="1683"/>
      <c r="BA551" s="1683"/>
      <c r="BB551" s="1683"/>
    </row>
    <row r="552" spans="1:54">
      <c r="A552" s="326">
        <f t="shared" si="61"/>
        <v>50191</v>
      </c>
      <c r="B552" s="1678"/>
      <c r="C552" s="1679">
        <f t="shared" si="58"/>
        <v>1</v>
      </c>
      <c r="D552" s="1679">
        <f>PRODUCT(C$5:C552)</f>
        <v>3.55771976932645</v>
      </c>
      <c r="J552" s="1680"/>
      <c r="K552" s="1680"/>
      <c r="L552" s="1680"/>
      <c r="N552" s="1681"/>
      <c r="O552" s="1681"/>
      <c r="P552" s="1681"/>
      <c r="Q552" s="1681"/>
      <c r="R552" s="1681"/>
      <c r="T552" s="1681"/>
      <c r="U552" s="1681"/>
      <c r="W552" s="1681">
        <f t="shared" si="59"/>
        <v>0</v>
      </c>
      <c r="X552" s="1681"/>
      <c r="Y552" s="1681">
        <f t="shared" si="60"/>
        <v>0</v>
      </c>
      <c r="Z552" s="1681"/>
      <c r="AB552" s="1682"/>
      <c r="AC552" s="1682"/>
      <c r="AE552" s="1683"/>
      <c r="AF552" s="1683"/>
      <c r="AG552" s="1683"/>
      <c r="AH552" s="1683"/>
      <c r="AI552" s="1683"/>
      <c r="AJ552" s="1683"/>
      <c r="AK552" s="1683"/>
      <c r="AL552" s="1683"/>
      <c r="AM552" s="1683"/>
      <c r="AN552" s="1683"/>
      <c r="AO552" s="1683"/>
      <c r="AP552" s="1683"/>
      <c r="AQ552" s="1683"/>
      <c r="AR552" s="1683"/>
      <c r="AS552" s="1683"/>
      <c r="AT552" s="1683"/>
      <c r="AU552" s="1683"/>
      <c r="AV552" s="1683"/>
      <c r="AW552" s="1683"/>
      <c r="AX552" s="1683"/>
      <c r="AY552" s="1683"/>
      <c r="AZ552" s="1683"/>
      <c r="BA552" s="1683"/>
      <c r="BB552" s="1683"/>
    </row>
    <row r="553" spans="1:54">
      <c r="A553" s="326">
        <f t="shared" si="61"/>
        <v>50221</v>
      </c>
      <c r="B553" s="1678"/>
      <c r="C553" s="1679">
        <f t="shared" si="58"/>
        <v>1</v>
      </c>
      <c r="D553" s="1679">
        <f>PRODUCT(C$5:C553)</f>
        <v>3.55771976932645</v>
      </c>
      <c r="J553" s="1680"/>
      <c r="K553" s="1680"/>
      <c r="L553" s="1680"/>
      <c r="N553" s="1681"/>
      <c r="O553" s="1681"/>
      <c r="P553" s="1681"/>
      <c r="Q553" s="1681"/>
      <c r="R553" s="1681"/>
      <c r="T553" s="1681"/>
      <c r="U553" s="1681"/>
      <c r="W553" s="1681">
        <f t="shared" si="59"/>
        <v>0</v>
      </c>
      <c r="X553" s="1681"/>
      <c r="Y553" s="1681">
        <f t="shared" si="60"/>
        <v>0</v>
      </c>
      <c r="Z553" s="1681"/>
      <c r="AB553" s="1682"/>
      <c r="AC553" s="1682"/>
      <c r="AE553" s="1683"/>
      <c r="AF553" s="1683"/>
      <c r="AG553" s="1683"/>
      <c r="AH553" s="1683"/>
      <c r="AI553" s="1683"/>
      <c r="AJ553" s="1683"/>
      <c r="AK553" s="1683"/>
      <c r="AL553" s="1683"/>
      <c r="AM553" s="1683"/>
      <c r="AN553" s="1683"/>
      <c r="AO553" s="1683"/>
      <c r="AP553" s="1683"/>
      <c r="AQ553" s="1683"/>
      <c r="AR553" s="1683"/>
      <c r="AS553" s="1683"/>
      <c r="AT553" s="1683"/>
      <c r="AU553" s="1683"/>
      <c r="AV553" s="1683"/>
      <c r="AW553" s="1683"/>
      <c r="AX553" s="1683"/>
      <c r="AY553" s="1683"/>
      <c r="AZ553" s="1683"/>
      <c r="BA553" s="1683"/>
      <c r="BB553" s="1683"/>
    </row>
    <row r="554" spans="1:54">
      <c r="A554" s="326">
        <f t="shared" si="61"/>
        <v>50252</v>
      </c>
      <c r="B554" s="1678"/>
      <c r="C554" s="1679">
        <f t="shared" si="58"/>
        <v>1</v>
      </c>
      <c r="D554" s="1679">
        <f>PRODUCT(C$5:C554)</f>
        <v>3.55771976932645</v>
      </c>
      <c r="J554" s="1680"/>
      <c r="K554" s="1680"/>
      <c r="L554" s="1680"/>
      <c r="N554" s="1681"/>
      <c r="O554" s="1681"/>
      <c r="P554" s="1681"/>
      <c r="Q554" s="1681"/>
      <c r="R554" s="1681"/>
      <c r="T554" s="1681"/>
      <c r="U554" s="1681"/>
      <c r="W554" s="1681">
        <f t="shared" si="59"/>
        <v>0</v>
      </c>
      <c r="X554" s="1681"/>
      <c r="Y554" s="1681">
        <f t="shared" si="60"/>
        <v>0</v>
      </c>
      <c r="Z554" s="1681"/>
      <c r="AB554" s="1682"/>
      <c r="AC554" s="1682"/>
      <c r="AE554" s="1683"/>
      <c r="AF554" s="1683"/>
      <c r="AG554" s="1683"/>
      <c r="AH554" s="1683"/>
      <c r="AI554" s="1683"/>
      <c r="AJ554" s="1683"/>
      <c r="AK554" s="1683"/>
      <c r="AL554" s="1683"/>
      <c r="AM554" s="1683"/>
      <c r="AN554" s="1683"/>
      <c r="AO554" s="1683"/>
      <c r="AP554" s="1683"/>
      <c r="AQ554" s="1683"/>
      <c r="AR554" s="1683"/>
      <c r="AS554" s="1683"/>
      <c r="AT554" s="1683"/>
      <c r="AU554" s="1683"/>
      <c r="AV554" s="1683"/>
      <c r="AW554" s="1683"/>
      <c r="AX554" s="1683"/>
      <c r="AY554" s="1683"/>
      <c r="AZ554" s="1683"/>
      <c r="BA554" s="1683"/>
      <c r="BB554" s="1683"/>
    </row>
    <row r="555" spans="1:54">
      <c r="A555" s="326">
        <f t="shared" si="61"/>
        <v>50283</v>
      </c>
      <c r="B555" s="1678"/>
      <c r="C555" s="1679">
        <f t="shared" si="58"/>
        <v>1</v>
      </c>
      <c r="D555" s="1679">
        <f>PRODUCT(C$5:C555)</f>
        <v>3.55771976932645</v>
      </c>
      <c r="J555" s="1680"/>
      <c r="K555" s="1680"/>
      <c r="L555" s="1680"/>
      <c r="N555" s="1681"/>
      <c r="O555" s="1681"/>
      <c r="P555" s="1681"/>
      <c r="Q555" s="1681"/>
      <c r="R555" s="1681"/>
      <c r="T555" s="1681"/>
      <c r="U555" s="1681"/>
      <c r="W555" s="1681">
        <f t="shared" si="59"/>
        <v>0</v>
      </c>
      <c r="X555" s="1681"/>
      <c r="Y555" s="1681">
        <f t="shared" si="60"/>
        <v>0</v>
      </c>
      <c r="Z555" s="1681"/>
      <c r="AB555" s="1682"/>
      <c r="AC555" s="1682"/>
      <c r="AE555" s="1683"/>
      <c r="AF555" s="1683"/>
      <c r="AG555" s="1683"/>
      <c r="AH555" s="1683"/>
      <c r="AI555" s="1683"/>
      <c r="AJ555" s="1683"/>
      <c r="AK555" s="1683"/>
      <c r="AL555" s="1683"/>
      <c r="AM555" s="1683"/>
      <c r="AN555" s="1683"/>
      <c r="AO555" s="1683"/>
      <c r="AP555" s="1683"/>
      <c r="AQ555" s="1683"/>
      <c r="AR555" s="1683"/>
      <c r="AS555" s="1683"/>
      <c r="AT555" s="1683"/>
      <c r="AU555" s="1683"/>
      <c r="AV555" s="1683"/>
      <c r="AW555" s="1683"/>
      <c r="AX555" s="1683"/>
      <c r="AY555" s="1683"/>
      <c r="AZ555" s="1683"/>
      <c r="BA555" s="1683"/>
      <c r="BB555" s="1683"/>
    </row>
    <row r="556" spans="1:54">
      <c r="A556" s="326">
        <f t="shared" si="61"/>
        <v>50313</v>
      </c>
      <c r="B556" s="1678"/>
      <c r="C556" s="1679">
        <f t="shared" si="58"/>
        <v>1</v>
      </c>
      <c r="D556" s="1679">
        <f>PRODUCT(C$5:C556)</f>
        <v>3.55771976932645</v>
      </c>
      <c r="J556" s="1680"/>
      <c r="K556" s="1680"/>
      <c r="L556" s="1680"/>
      <c r="N556" s="1681"/>
      <c r="O556" s="1681"/>
      <c r="P556" s="1681"/>
      <c r="Q556" s="1681"/>
      <c r="R556" s="1681"/>
      <c r="T556" s="1681"/>
      <c r="U556" s="1681"/>
      <c r="W556" s="1681">
        <f t="shared" si="59"/>
        <v>0</v>
      </c>
      <c r="X556" s="1681"/>
      <c r="Y556" s="1681">
        <f t="shared" si="60"/>
        <v>0</v>
      </c>
      <c r="Z556" s="1681"/>
      <c r="AB556" s="1682"/>
      <c r="AC556" s="1682"/>
      <c r="AE556" s="1683"/>
      <c r="AF556" s="1683"/>
      <c r="AG556" s="1683"/>
      <c r="AH556" s="1683"/>
      <c r="AI556" s="1683"/>
      <c r="AJ556" s="1683"/>
      <c r="AK556" s="1683"/>
      <c r="AL556" s="1683"/>
      <c r="AM556" s="1683"/>
      <c r="AN556" s="1683"/>
      <c r="AO556" s="1683"/>
      <c r="AP556" s="1683"/>
      <c r="AQ556" s="1683"/>
      <c r="AR556" s="1683"/>
      <c r="AS556" s="1683"/>
      <c r="AT556" s="1683"/>
      <c r="AU556" s="1683"/>
      <c r="AV556" s="1683"/>
      <c r="AW556" s="1683"/>
      <c r="AX556" s="1683"/>
      <c r="AY556" s="1683"/>
      <c r="AZ556" s="1683"/>
      <c r="BA556" s="1683"/>
      <c r="BB556" s="1683"/>
    </row>
    <row r="557" spans="1:54">
      <c r="A557" s="326">
        <f t="shared" si="61"/>
        <v>50344</v>
      </c>
      <c r="B557" s="1678"/>
      <c r="C557" s="1679">
        <f t="shared" si="58"/>
        <v>1</v>
      </c>
      <c r="D557" s="1679">
        <f>PRODUCT(C$5:C557)</f>
        <v>3.55771976932645</v>
      </c>
      <c r="J557" s="1680"/>
      <c r="K557" s="1680"/>
      <c r="L557" s="1680"/>
      <c r="N557" s="1681"/>
      <c r="O557" s="1681"/>
      <c r="P557" s="1681"/>
      <c r="Q557" s="1681"/>
      <c r="R557" s="1681"/>
      <c r="T557" s="1681"/>
      <c r="U557" s="1681"/>
      <c r="W557" s="1681">
        <f t="shared" si="59"/>
        <v>0</v>
      </c>
      <c r="X557" s="1681"/>
      <c r="Y557" s="1681">
        <f t="shared" si="60"/>
        <v>0</v>
      </c>
      <c r="Z557" s="1681"/>
      <c r="AB557" s="1682"/>
      <c r="AC557" s="1682"/>
      <c r="AE557" s="1683"/>
      <c r="AF557" s="1683"/>
      <c r="AG557" s="1683"/>
      <c r="AH557" s="1683"/>
      <c r="AI557" s="1683"/>
      <c r="AJ557" s="1683"/>
      <c r="AK557" s="1683"/>
      <c r="AL557" s="1683"/>
      <c r="AM557" s="1683"/>
      <c r="AN557" s="1683"/>
      <c r="AO557" s="1683"/>
      <c r="AP557" s="1683"/>
      <c r="AQ557" s="1683"/>
      <c r="AR557" s="1683"/>
      <c r="AS557" s="1683"/>
      <c r="AT557" s="1683"/>
      <c r="AU557" s="1683"/>
      <c r="AV557" s="1683"/>
      <c r="AW557" s="1683"/>
      <c r="AX557" s="1683"/>
      <c r="AY557" s="1683"/>
      <c r="AZ557" s="1683"/>
      <c r="BA557" s="1683"/>
      <c r="BB557" s="1683"/>
    </row>
    <row r="558" spans="1:54">
      <c r="A558" s="326">
        <f t="shared" si="61"/>
        <v>50374</v>
      </c>
      <c r="B558" s="1678"/>
      <c r="C558" s="1679">
        <f t="shared" si="58"/>
        <v>1</v>
      </c>
      <c r="D558" s="1679">
        <f>PRODUCT(C$5:C558)</f>
        <v>3.55771976932645</v>
      </c>
      <c r="J558" s="1680"/>
      <c r="K558" s="1680"/>
      <c r="L558" s="1680"/>
      <c r="N558" s="1681"/>
      <c r="O558" s="1681"/>
      <c r="P558" s="1681"/>
      <c r="Q558" s="1681"/>
      <c r="R558" s="1681"/>
      <c r="T558" s="1681"/>
      <c r="U558" s="1681"/>
      <c r="W558" s="1681">
        <f t="shared" si="59"/>
        <v>0</v>
      </c>
      <c r="X558" s="1681"/>
      <c r="Y558" s="1681">
        <f t="shared" si="60"/>
        <v>0</v>
      </c>
      <c r="Z558" s="1681"/>
      <c r="AB558" s="1682"/>
      <c r="AC558" s="1682"/>
      <c r="AE558" s="1683"/>
      <c r="AF558" s="1683"/>
      <c r="AG558" s="1683"/>
      <c r="AH558" s="1683"/>
      <c r="AI558" s="1683"/>
      <c r="AJ558" s="1683"/>
      <c r="AK558" s="1683"/>
      <c r="AL558" s="1683"/>
      <c r="AM558" s="1683"/>
      <c r="AN558" s="1683"/>
      <c r="AO558" s="1683"/>
      <c r="AP558" s="1683"/>
      <c r="AQ558" s="1683"/>
      <c r="AR558" s="1683"/>
      <c r="AS558" s="1683"/>
      <c r="AT558" s="1683"/>
      <c r="AU558" s="1683"/>
      <c r="AV558" s="1683"/>
      <c r="AW558" s="1683"/>
      <c r="AX558" s="1683"/>
      <c r="AY558" s="1683"/>
      <c r="AZ558" s="1683"/>
      <c r="BA558" s="1683"/>
      <c r="BB558" s="1683"/>
    </row>
    <row r="559" spans="1:54">
      <c r="A559" s="326">
        <f t="shared" si="61"/>
        <v>50405</v>
      </c>
      <c r="B559" s="1678"/>
      <c r="C559" s="1679">
        <f t="shared" si="58"/>
        <v>1</v>
      </c>
      <c r="D559" s="1679">
        <f>PRODUCT(C$5:C559)</f>
        <v>3.55771976932645</v>
      </c>
      <c r="J559" s="1680"/>
      <c r="K559" s="1680"/>
      <c r="L559" s="1680"/>
      <c r="N559" s="1681"/>
      <c r="O559" s="1681"/>
      <c r="P559" s="1681"/>
      <c r="Q559" s="1681"/>
      <c r="R559" s="1681"/>
      <c r="T559" s="1681"/>
      <c r="U559" s="1681"/>
      <c r="W559" s="1681">
        <f t="shared" si="59"/>
        <v>0</v>
      </c>
      <c r="X559" s="1681"/>
      <c r="Y559" s="1681">
        <f t="shared" si="60"/>
        <v>0</v>
      </c>
      <c r="Z559" s="1681"/>
      <c r="AB559" s="1682"/>
      <c r="AC559" s="1682"/>
      <c r="AE559" s="1683"/>
      <c r="AF559" s="1683"/>
      <c r="AG559" s="1683"/>
      <c r="AH559" s="1683"/>
      <c r="AI559" s="1683"/>
      <c r="AJ559" s="1683"/>
      <c r="AK559" s="1683"/>
      <c r="AL559" s="1683"/>
      <c r="AM559" s="1683"/>
      <c r="AN559" s="1683"/>
      <c r="AO559" s="1683"/>
      <c r="AP559" s="1683"/>
      <c r="AQ559" s="1683"/>
      <c r="AR559" s="1683"/>
      <c r="AS559" s="1683"/>
      <c r="AT559" s="1683"/>
      <c r="AU559" s="1683"/>
      <c r="AV559" s="1683"/>
      <c r="AW559" s="1683"/>
      <c r="AX559" s="1683"/>
      <c r="AY559" s="1683"/>
      <c r="AZ559" s="1683"/>
      <c r="BA559" s="1683"/>
      <c r="BB559" s="1683"/>
    </row>
    <row r="560" spans="1:54">
      <c r="A560" s="326">
        <f t="shared" si="61"/>
        <v>50436</v>
      </c>
      <c r="B560" s="1678"/>
      <c r="C560" s="1679">
        <f t="shared" si="58"/>
        <v>1</v>
      </c>
      <c r="D560" s="1679">
        <f>PRODUCT(C$5:C560)</f>
        <v>3.55771976932645</v>
      </c>
      <c r="J560" s="1680"/>
      <c r="K560" s="1680"/>
      <c r="L560" s="1680"/>
      <c r="N560" s="1681"/>
      <c r="O560" s="1681"/>
      <c r="P560" s="1681"/>
      <c r="Q560" s="1681"/>
      <c r="R560" s="1681"/>
      <c r="T560" s="1681"/>
      <c r="U560" s="1681"/>
      <c r="W560" s="1681">
        <f t="shared" si="59"/>
        <v>0</v>
      </c>
      <c r="X560" s="1681"/>
      <c r="Y560" s="1681">
        <f t="shared" si="60"/>
        <v>0</v>
      </c>
      <c r="Z560" s="1681"/>
      <c r="AB560" s="1682"/>
      <c r="AC560" s="1682"/>
      <c r="AE560" s="1683"/>
      <c r="AF560" s="1683"/>
      <c r="AG560" s="1683"/>
      <c r="AH560" s="1683"/>
      <c r="AI560" s="1683"/>
      <c r="AJ560" s="1683"/>
      <c r="AK560" s="1683"/>
      <c r="AL560" s="1683"/>
      <c r="AM560" s="1683"/>
      <c r="AN560" s="1683"/>
      <c r="AO560" s="1683"/>
      <c r="AP560" s="1683"/>
      <c r="AQ560" s="1683"/>
      <c r="AR560" s="1683"/>
      <c r="AS560" s="1683"/>
      <c r="AT560" s="1683"/>
      <c r="AU560" s="1683"/>
      <c r="AV560" s="1683"/>
      <c r="AW560" s="1683"/>
      <c r="AX560" s="1683"/>
      <c r="AY560" s="1683"/>
      <c r="AZ560" s="1683"/>
      <c r="BA560" s="1683"/>
      <c r="BB560" s="1683"/>
    </row>
    <row r="561" spans="1:54">
      <c r="A561" s="326">
        <f t="shared" si="61"/>
        <v>50464</v>
      </c>
      <c r="B561" s="1678"/>
      <c r="C561" s="1679">
        <f t="shared" si="58"/>
        <v>1</v>
      </c>
      <c r="D561" s="1679">
        <f>PRODUCT(C$5:C561)</f>
        <v>3.55771976932645</v>
      </c>
      <c r="J561" s="1680"/>
      <c r="K561" s="1680"/>
      <c r="L561" s="1680"/>
      <c r="N561" s="1681"/>
      <c r="O561" s="1681"/>
      <c r="P561" s="1681"/>
      <c r="Q561" s="1681"/>
      <c r="R561" s="1681"/>
      <c r="T561" s="1681"/>
      <c r="U561" s="1681"/>
      <c r="W561" s="1681">
        <f t="shared" si="59"/>
        <v>0</v>
      </c>
      <c r="X561" s="1681"/>
      <c r="Y561" s="1681">
        <f t="shared" si="60"/>
        <v>0</v>
      </c>
      <c r="Z561" s="1681"/>
      <c r="AB561" s="1682"/>
      <c r="AC561" s="1682"/>
      <c r="AE561" s="1683"/>
      <c r="AF561" s="1683"/>
      <c r="AG561" s="1683"/>
      <c r="AH561" s="1683"/>
      <c r="AI561" s="1683"/>
      <c r="AJ561" s="1683"/>
      <c r="AK561" s="1683"/>
      <c r="AL561" s="1683"/>
      <c r="AM561" s="1683"/>
      <c r="AN561" s="1683"/>
      <c r="AO561" s="1683"/>
      <c r="AP561" s="1683"/>
      <c r="AQ561" s="1683"/>
      <c r="AR561" s="1683"/>
      <c r="AS561" s="1683"/>
      <c r="AT561" s="1683"/>
      <c r="AU561" s="1683"/>
      <c r="AV561" s="1683"/>
      <c r="AW561" s="1683"/>
      <c r="AX561" s="1683"/>
      <c r="AY561" s="1683"/>
      <c r="AZ561" s="1683"/>
      <c r="BA561" s="1683"/>
      <c r="BB561" s="1683"/>
    </row>
    <row r="562" spans="1:54">
      <c r="A562" s="326">
        <f t="shared" si="61"/>
        <v>50495</v>
      </c>
      <c r="B562" s="1678"/>
      <c r="C562" s="1679">
        <f t="shared" si="58"/>
        <v>1</v>
      </c>
      <c r="D562" s="1679">
        <f>PRODUCT(C$5:C562)</f>
        <v>3.55771976932645</v>
      </c>
      <c r="J562" s="1680"/>
      <c r="K562" s="1680"/>
      <c r="L562" s="1680"/>
      <c r="N562" s="1681"/>
      <c r="O562" s="1681"/>
      <c r="P562" s="1681"/>
      <c r="Q562" s="1681"/>
      <c r="R562" s="1681"/>
      <c r="T562" s="1681"/>
      <c r="U562" s="1681"/>
      <c r="W562" s="1681">
        <f t="shared" si="59"/>
        <v>0</v>
      </c>
      <c r="X562" s="1681"/>
      <c r="Y562" s="1681">
        <f t="shared" si="60"/>
        <v>0</v>
      </c>
      <c r="Z562" s="1681"/>
      <c r="AB562" s="1682"/>
      <c r="AC562" s="1682"/>
      <c r="AE562" s="1683"/>
      <c r="AF562" s="1683"/>
      <c r="AG562" s="1683"/>
      <c r="AH562" s="1683"/>
      <c r="AI562" s="1683"/>
      <c r="AJ562" s="1683"/>
      <c r="AK562" s="1683"/>
      <c r="AL562" s="1683"/>
      <c r="AM562" s="1683"/>
      <c r="AN562" s="1683"/>
      <c r="AO562" s="1683"/>
      <c r="AP562" s="1683"/>
      <c r="AQ562" s="1683"/>
      <c r="AR562" s="1683"/>
      <c r="AS562" s="1683"/>
      <c r="AT562" s="1683"/>
      <c r="AU562" s="1683"/>
      <c r="AV562" s="1683"/>
      <c r="AW562" s="1683"/>
      <c r="AX562" s="1683"/>
      <c r="AY562" s="1683"/>
      <c r="AZ562" s="1683"/>
      <c r="BA562" s="1683"/>
      <c r="BB562" s="1683"/>
    </row>
    <row r="563" spans="1:54">
      <c r="A563" s="326">
        <f t="shared" si="61"/>
        <v>50525</v>
      </c>
      <c r="B563" s="1678"/>
      <c r="C563" s="1679">
        <f t="shared" si="58"/>
        <v>1</v>
      </c>
      <c r="D563" s="1679">
        <f>PRODUCT(C$5:C563)</f>
        <v>3.55771976932645</v>
      </c>
      <c r="J563" s="1680"/>
      <c r="K563" s="1680"/>
      <c r="L563" s="1680"/>
      <c r="N563" s="1681"/>
      <c r="O563" s="1681"/>
      <c r="P563" s="1681"/>
      <c r="Q563" s="1681"/>
      <c r="R563" s="1681"/>
      <c r="T563" s="1681"/>
      <c r="U563" s="1681"/>
      <c r="W563" s="1681">
        <f t="shared" si="59"/>
        <v>0</v>
      </c>
      <c r="X563" s="1681"/>
      <c r="Y563" s="1681">
        <f t="shared" si="60"/>
        <v>0</v>
      </c>
      <c r="Z563" s="1681"/>
      <c r="AB563" s="1682"/>
      <c r="AC563" s="1682"/>
      <c r="AE563" s="1683"/>
      <c r="AF563" s="1683"/>
      <c r="AG563" s="1683"/>
      <c r="AH563" s="1683"/>
      <c r="AI563" s="1683"/>
      <c r="AJ563" s="1683"/>
      <c r="AK563" s="1683"/>
      <c r="AL563" s="1683"/>
      <c r="AM563" s="1683"/>
      <c r="AN563" s="1683"/>
      <c r="AO563" s="1683"/>
      <c r="AP563" s="1683"/>
      <c r="AQ563" s="1683"/>
      <c r="AR563" s="1683"/>
      <c r="AS563" s="1683"/>
      <c r="AT563" s="1683"/>
      <c r="AU563" s="1683"/>
      <c r="AV563" s="1683"/>
      <c r="AW563" s="1683"/>
      <c r="AX563" s="1683"/>
      <c r="AY563" s="1683"/>
      <c r="AZ563" s="1683"/>
      <c r="BA563" s="1683"/>
      <c r="BB563" s="1683"/>
    </row>
    <row r="564" spans="1:54">
      <c r="A564" s="326">
        <f t="shared" si="61"/>
        <v>50556</v>
      </c>
      <c r="B564" s="1678"/>
      <c r="C564" s="1679">
        <f t="shared" si="58"/>
        <v>1</v>
      </c>
      <c r="D564" s="1679">
        <f>PRODUCT(C$5:C564)</f>
        <v>3.55771976932645</v>
      </c>
      <c r="J564" s="1680"/>
      <c r="K564" s="1680"/>
      <c r="L564" s="1680"/>
      <c r="N564" s="1681"/>
      <c r="O564" s="1681"/>
      <c r="P564" s="1681"/>
      <c r="Q564" s="1681"/>
      <c r="R564" s="1681"/>
      <c r="T564" s="1681"/>
      <c r="U564" s="1681"/>
      <c r="W564" s="1681">
        <f t="shared" si="59"/>
        <v>0</v>
      </c>
      <c r="X564" s="1681"/>
      <c r="Y564" s="1681">
        <f t="shared" si="60"/>
        <v>0</v>
      </c>
      <c r="Z564" s="1681"/>
      <c r="AB564" s="1682"/>
      <c r="AC564" s="1682"/>
      <c r="AE564" s="1683"/>
      <c r="AF564" s="1683"/>
      <c r="AG564" s="1683"/>
      <c r="AH564" s="1683"/>
      <c r="AI564" s="1683"/>
      <c r="AJ564" s="1683"/>
      <c r="AK564" s="1683"/>
      <c r="AL564" s="1683"/>
      <c r="AM564" s="1683"/>
      <c r="AN564" s="1683"/>
      <c r="AO564" s="1683"/>
      <c r="AP564" s="1683"/>
      <c r="AQ564" s="1683"/>
      <c r="AR564" s="1683"/>
      <c r="AS564" s="1683"/>
      <c r="AT564" s="1683"/>
      <c r="AU564" s="1683"/>
      <c r="AV564" s="1683"/>
      <c r="AW564" s="1683"/>
      <c r="AX564" s="1683"/>
      <c r="AY564" s="1683"/>
      <c r="AZ564" s="1683"/>
      <c r="BA564" s="1683"/>
      <c r="BB564" s="1683"/>
    </row>
    <row r="565" spans="1:54">
      <c r="A565" s="326">
        <f t="shared" si="61"/>
        <v>50586</v>
      </c>
      <c r="B565" s="1678"/>
      <c r="C565" s="1679">
        <f t="shared" si="58"/>
        <v>1</v>
      </c>
      <c r="D565" s="1679">
        <f>PRODUCT(C$5:C565)</f>
        <v>3.55771976932645</v>
      </c>
      <c r="J565" s="1680"/>
      <c r="K565" s="1680"/>
      <c r="L565" s="1680"/>
      <c r="N565" s="1681"/>
      <c r="O565" s="1681"/>
      <c r="P565" s="1681"/>
      <c r="Q565" s="1681"/>
      <c r="R565" s="1681"/>
      <c r="T565" s="1681"/>
      <c r="U565" s="1681"/>
      <c r="W565" s="1681">
        <f t="shared" si="59"/>
        <v>0</v>
      </c>
      <c r="X565" s="1681"/>
      <c r="Y565" s="1681">
        <f t="shared" si="60"/>
        <v>0</v>
      </c>
      <c r="Z565" s="1681"/>
      <c r="AB565" s="1682"/>
      <c r="AC565" s="1682"/>
      <c r="AE565" s="1683"/>
      <c r="AF565" s="1683"/>
      <c r="AG565" s="1683"/>
      <c r="AH565" s="1683"/>
      <c r="AI565" s="1683"/>
      <c r="AJ565" s="1683"/>
      <c r="AK565" s="1683"/>
      <c r="AL565" s="1683"/>
      <c r="AM565" s="1683"/>
      <c r="AN565" s="1683"/>
      <c r="AO565" s="1683"/>
      <c r="AP565" s="1683"/>
      <c r="AQ565" s="1683"/>
      <c r="AR565" s="1683"/>
      <c r="AS565" s="1683"/>
      <c r="AT565" s="1683"/>
      <c r="AU565" s="1683"/>
      <c r="AV565" s="1683"/>
      <c r="AW565" s="1683"/>
      <c r="AX565" s="1683"/>
      <c r="AY565" s="1683"/>
      <c r="AZ565" s="1683"/>
      <c r="BA565" s="1683"/>
      <c r="BB565" s="1683"/>
    </row>
    <row r="566" spans="1:54">
      <c r="A566" s="326">
        <f t="shared" si="61"/>
        <v>50617</v>
      </c>
      <c r="B566" s="1678"/>
      <c r="C566" s="1679">
        <f t="shared" si="58"/>
        <v>1</v>
      </c>
      <c r="D566" s="1679">
        <f>PRODUCT(C$5:C566)</f>
        <v>3.55771976932645</v>
      </c>
      <c r="J566" s="1680"/>
      <c r="K566" s="1680"/>
      <c r="L566" s="1680"/>
      <c r="N566" s="1681"/>
      <c r="O566" s="1681"/>
      <c r="P566" s="1681"/>
      <c r="Q566" s="1681"/>
      <c r="R566" s="1681"/>
      <c r="T566" s="1681"/>
      <c r="U566" s="1681"/>
      <c r="W566" s="1681">
        <f t="shared" si="59"/>
        <v>0</v>
      </c>
      <c r="X566" s="1681"/>
      <c r="Y566" s="1681">
        <f t="shared" si="60"/>
        <v>0</v>
      </c>
      <c r="Z566" s="1681"/>
      <c r="AB566" s="1682"/>
      <c r="AC566" s="1682"/>
      <c r="AE566" s="1683"/>
      <c r="AF566" s="1683"/>
      <c r="AG566" s="1683"/>
      <c r="AH566" s="1683"/>
      <c r="AI566" s="1683"/>
      <c r="AJ566" s="1683"/>
      <c r="AK566" s="1683"/>
      <c r="AL566" s="1683"/>
      <c r="AM566" s="1683"/>
      <c r="AN566" s="1683"/>
      <c r="AO566" s="1683"/>
      <c r="AP566" s="1683"/>
      <c r="AQ566" s="1683"/>
      <c r="AR566" s="1683"/>
      <c r="AS566" s="1683"/>
      <c r="AT566" s="1683"/>
      <c r="AU566" s="1683"/>
      <c r="AV566" s="1683"/>
      <c r="AW566" s="1683"/>
      <c r="AX566" s="1683"/>
      <c r="AY566" s="1683"/>
      <c r="AZ566" s="1683"/>
      <c r="BA566" s="1683"/>
      <c r="BB566" s="1683"/>
    </row>
    <row r="567" spans="1:54">
      <c r="A567" s="326">
        <f t="shared" si="61"/>
        <v>50648</v>
      </c>
      <c r="B567" s="1678"/>
      <c r="C567" s="1679">
        <f t="shared" si="58"/>
        <v>1</v>
      </c>
      <c r="D567" s="1679">
        <f>PRODUCT(C$5:C567)</f>
        <v>3.55771976932645</v>
      </c>
      <c r="J567" s="1680"/>
      <c r="K567" s="1680"/>
      <c r="L567" s="1680"/>
      <c r="N567" s="1681"/>
      <c r="O567" s="1681"/>
      <c r="P567" s="1681"/>
      <c r="Q567" s="1681"/>
      <c r="R567" s="1681"/>
      <c r="T567" s="1681"/>
      <c r="U567" s="1681"/>
      <c r="W567" s="1681">
        <f t="shared" si="59"/>
        <v>0</v>
      </c>
      <c r="X567" s="1681"/>
      <c r="Y567" s="1681">
        <f t="shared" si="60"/>
        <v>0</v>
      </c>
      <c r="Z567" s="1681"/>
      <c r="AB567" s="1682"/>
      <c r="AC567" s="1682"/>
      <c r="AE567" s="1683"/>
      <c r="AF567" s="1683"/>
      <c r="AG567" s="1683"/>
      <c r="AH567" s="1683"/>
      <c r="AI567" s="1683"/>
      <c r="AJ567" s="1683"/>
      <c r="AK567" s="1683"/>
      <c r="AL567" s="1683"/>
      <c r="AM567" s="1683"/>
      <c r="AN567" s="1683"/>
      <c r="AO567" s="1683"/>
      <c r="AP567" s="1683"/>
      <c r="AQ567" s="1683"/>
      <c r="AR567" s="1683"/>
      <c r="AS567" s="1683"/>
      <c r="AT567" s="1683"/>
      <c r="AU567" s="1683"/>
      <c r="AV567" s="1683"/>
      <c r="AW567" s="1683"/>
      <c r="AX567" s="1683"/>
      <c r="AY567" s="1683"/>
      <c r="AZ567" s="1683"/>
      <c r="BA567" s="1683"/>
      <c r="BB567" s="1683"/>
    </row>
    <row r="568" spans="1:54">
      <c r="A568" s="326">
        <f t="shared" si="61"/>
        <v>50678</v>
      </c>
      <c r="B568" s="1678"/>
      <c r="C568" s="1679">
        <f t="shared" ref="C568:C631" si="62">IF(B568="",1,B568/100)</f>
        <v>1</v>
      </c>
      <c r="D568" s="1679">
        <f>PRODUCT(C$5:C568)</f>
        <v>3.55771976932645</v>
      </c>
      <c r="J568" s="1680"/>
      <c r="K568" s="1680"/>
      <c r="L568" s="1680"/>
      <c r="N568" s="1681"/>
      <c r="O568" s="1681"/>
      <c r="P568" s="1681"/>
      <c r="Q568" s="1681"/>
      <c r="R568" s="1681"/>
      <c r="T568" s="1681"/>
      <c r="U568" s="1681"/>
      <c r="W568" s="1681">
        <f t="shared" ref="W568:W631" si="63">Q568</f>
        <v>0</v>
      </c>
      <c r="X568" s="1681"/>
      <c r="Y568" s="1681">
        <f t="shared" ref="Y568:Y631" si="64">R568</f>
        <v>0</v>
      </c>
      <c r="Z568" s="1681"/>
      <c r="AB568" s="1682"/>
      <c r="AC568" s="1682"/>
      <c r="AE568" s="1683"/>
      <c r="AF568" s="1683"/>
      <c r="AG568" s="1683"/>
      <c r="AH568" s="1683"/>
      <c r="AI568" s="1683"/>
      <c r="AJ568" s="1683"/>
      <c r="AK568" s="1683"/>
      <c r="AL568" s="1683"/>
      <c r="AM568" s="1683"/>
      <c r="AN568" s="1683"/>
      <c r="AO568" s="1683"/>
      <c r="AP568" s="1683"/>
      <c r="AQ568" s="1683"/>
      <c r="AR568" s="1683"/>
      <c r="AS568" s="1683"/>
      <c r="AT568" s="1683"/>
      <c r="AU568" s="1683"/>
      <c r="AV568" s="1683"/>
      <c r="AW568" s="1683"/>
      <c r="AX568" s="1683"/>
      <c r="AY568" s="1683"/>
      <c r="AZ568" s="1683"/>
      <c r="BA568" s="1683"/>
      <c r="BB568" s="1683"/>
    </row>
    <row r="569" spans="1:54">
      <c r="A569" s="326">
        <f t="shared" si="61"/>
        <v>50709</v>
      </c>
      <c r="B569" s="1678"/>
      <c r="C569" s="1679">
        <f t="shared" si="62"/>
        <v>1</v>
      </c>
      <c r="D569" s="1679">
        <f>PRODUCT(C$5:C569)</f>
        <v>3.55771976932645</v>
      </c>
      <c r="J569" s="1680"/>
      <c r="K569" s="1680"/>
      <c r="L569" s="1680"/>
      <c r="N569" s="1681"/>
      <c r="O569" s="1681"/>
      <c r="P569" s="1681"/>
      <c r="Q569" s="1681"/>
      <c r="R569" s="1681"/>
      <c r="T569" s="1681"/>
      <c r="U569" s="1681"/>
      <c r="W569" s="1681">
        <f t="shared" si="63"/>
        <v>0</v>
      </c>
      <c r="X569" s="1681"/>
      <c r="Y569" s="1681">
        <f t="shared" si="64"/>
        <v>0</v>
      </c>
      <c r="Z569" s="1681"/>
      <c r="AB569" s="1682"/>
      <c r="AC569" s="1682"/>
      <c r="AE569" s="1683"/>
      <c r="AF569" s="1683"/>
      <c r="AG569" s="1683"/>
      <c r="AH569" s="1683"/>
      <c r="AI569" s="1683"/>
      <c r="AJ569" s="1683"/>
      <c r="AK569" s="1683"/>
      <c r="AL569" s="1683"/>
      <c r="AM569" s="1683"/>
      <c r="AN569" s="1683"/>
      <c r="AO569" s="1683"/>
      <c r="AP569" s="1683"/>
      <c r="AQ569" s="1683"/>
      <c r="AR569" s="1683"/>
      <c r="AS569" s="1683"/>
      <c r="AT569" s="1683"/>
      <c r="AU569" s="1683"/>
      <c r="AV569" s="1683"/>
      <c r="AW569" s="1683"/>
      <c r="AX569" s="1683"/>
      <c r="AY569" s="1683"/>
      <c r="AZ569" s="1683"/>
      <c r="BA569" s="1683"/>
      <c r="BB569" s="1683"/>
    </row>
    <row r="570" spans="1:54">
      <c r="A570" s="326">
        <f t="shared" si="61"/>
        <v>50739</v>
      </c>
      <c r="B570" s="1678"/>
      <c r="C570" s="1679">
        <f t="shared" si="62"/>
        <v>1</v>
      </c>
      <c r="D570" s="1679">
        <f>PRODUCT(C$5:C570)</f>
        <v>3.55771976932645</v>
      </c>
      <c r="J570" s="1680"/>
      <c r="K570" s="1680"/>
      <c r="L570" s="1680"/>
      <c r="N570" s="1681"/>
      <c r="O570" s="1681"/>
      <c r="P570" s="1681"/>
      <c r="Q570" s="1681"/>
      <c r="R570" s="1681"/>
      <c r="T570" s="1681"/>
      <c r="U570" s="1681"/>
      <c r="W570" s="1681">
        <f t="shared" si="63"/>
        <v>0</v>
      </c>
      <c r="X570" s="1681"/>
      <c r="Y570" s="1681">
        <f t="shared" si="64"/>
        <v>0</v>
      </c>
      <c r="Z570" s="1681"/>
      <c r="AB570" s="1682"/>
      <c r="AC570" s="1682"/>
      <c r="AE570" s="1683"/>
      <c r="AF570" s="1683"/>
      <c r="AG570" s="1683"/>
      <c r="AH570" s="1683"/>
      <c r="AI570" s="1683"/>
      <c r="AJ570" s="1683"/>
      <c r="AK570" s="1683"/>
      <c r="AL570" s="1683"/>
      <c r="AM570" s="1683"/>
      <c r="AN570" s="1683"/>
      <c r="AO570" s="1683"/>
      <c r="AP570" s="1683"/>
      <c r="AQ570" s="1683"/>
      <c r="AR570" s="1683"/>
      <c r="AS570" s="1683"/>
      <c r="AT570" s="1683"/>
      <c r="AU570" s="1683"/>
      <c r="AV570" s="1683"/>
      <c r="AW570" s="1683"/>
      <c r="AX570" s="1683"/>
      <c r="AY570" s="1683"/>
      <c r="AZ570" s="1683"/>
      <c r="BA570" s="1683"/>
      <c r="BB570" s="1683"/>
    </row>
    <row r="571" spans="1:54">
      <c r="A571" s="326">
        <f t="shared" si="61"/>
        <v>50770</v>
      </c>
      <c r="B571" s="1678"/>
      <c r="C571" s="1679">
        <f t="shared" si="62"/>
        <v>1</v>
      </c>
      <c r="D571" s="1679">
        <f>PRODUCT(C$5:C571)</f>
        <v>3.55771976932645</v>
      </c>
      <c r="J571" s="1680"/>
      <c r="K571" s="1680"/>
      <c r="L571" s="1680"/>
      <c r="N571" s="1681"/>
      <c r="O571" s="1681"/>
      <c r="P571" s="1681"/>
      <c r="Q571" s="1681"/>
      <c r="R571" s="1681"/>
      <c r="T571" s="1681"/>
      <c r="U571" s="1681"/>
      <c r="W571" s="1681">
        <f t="shared" si="63"/>
        <v>0</v>
      </c>
      <c r="X571" s="1681"/>
      <c r="Y571" s="1681">
        <f t="shared" si="64"/>
        <v>0</v>
      </c>
      <c r="Z571" s="1681"/>
      <c r="AB571" s="1682"/>
      <c r="AC571" s="1682"/>
      <c r="AE571" s="1683"/>
      <c r="AF571" s="1683"/>
      <c r="AG571" s="1683"/>
      <c r="AH571" s="1683"/>
      <c r="AI571" s="1683"/>
      <c r="AJ571" s="1683"/>
      <c r="AK571" s="1683"/>
      <c r="AL571" s="1683"/>
      <c r="AM571" s="1683"/>
      <c r="AN571" s="1683"/>
      <c r="AO571" s="1683"/>
      <c r="AP571" s="1683"/>
      <c r="AQ571" s="1683"/>
      <c r="AR571" s="1683"/>
      <c r="AS571" s="1683"/>
      <c r="AT571" s="1683"/>
      <c r="AU571" s="1683"/>
      <c r="AV571" s="1683"/>
      <c r="AW571" s="1683"/>
      <c r="AX571" s="1683"/>
      <c r="AY571" s="1683"/>
      <c r="AZ571" s="1683"/>
      <c r="BA571" s="1683"/>
      <c r="BB571" s="1683"/>
    </row>
    <row r="572" spans="1:54">
      <c r="A572" s="326">
        <f t="shared" si="61"/>
        <v>50801</v>
      </c>
      <c r="B572" s="1678"/>
      <c r="C572" s="1679">
        <f t="shared" si="62"/>
        <v>1</v>
      </c>
      <c r="D572" s="1679">
        <f>PRODUCT(C$5:C572)</f>
        <v>3.55771976932645</v>
      </c>
      <c r="J572" s="1680"/>
      <c r="K572" s="1680"/>
      <c r="L572" s="1680"/>
      <c r="N572" s="1681"/>
      <c r="O572" s="1681"/>
      <c r="P572" s="1681"/>
      <c r="Q572" s="1681"/>
      <c r="R572" s="1681"/>
      <c r="T572" s="1681"/>
      <c r="U572" s="1681"/>
      <c r="W572" s="1681">
        <f t="shared" si="63"/>
        <v>0</v>
      </c>
      <c r="X572" s="1681"/>
      <c r="Y572" s="1681">
        <f t="shared" si="64"/>
        <v>0</v>
      </c>
      <c r="Z572" s="1681"/>
      <c r="AB572" s="1682"/>
      <c r="AC572" s="1682"/>
      <c r="AE572" s="1683"/>
      <c r="AF572" s="1683"/>
      <c r="AG572" s="1683"/>
      <c r="AH572" s="1683"/>
      <c r="AI572" s="1683"/>
      <c r="AJ572" s="1683"/>
      <c r="AK572" s="1683"/>
      <c r="AL572" s="1683"/>
      <c r="AM572" s="1683"/>
      <c r="AN572" s="1683"/>
      <c r="AO572" s="1683"/>
      <c r="AP572" s="1683"/>
      <c r="AQ572" s="1683"/>
      <c r="AR572" s="1683"/>
      <c r="AS572" s="1683"/>
      <c r="AT572" s="1683"/>
      <c r="AU572" s="1683"/>
      <c r="AV572" s="1683"/>
      <c r="AW572" s="1683"/>
      <c r="AX572" s="1683"/>
      <c r="AY572" s="1683"/>
      <c r="AZ572" s="1683"/>
      <c r="BA572" s="1683"/>
      <c r="BB572" s="1683"/>
    </row>
    <row r="573" spans="1:54">
      <c r="A573" s="326">
        <f t="shared" si="61"/>
        <v>50829</v>
      </c>
      <c r="B573" s="1678"/>
      <c r="C573" s="1679">
        <f t="shared" si="62"/>
        <v>1</v>
      </c>
      <c r="D573" s="1679">
        <f>PRODUCT(C$5:C573)</f>
        <v>3.55771976932645</v>
      </c>
      <c r="J573" s="1680"/>
      <c r="K573" s="1680"/>
      <c r="L573" s="1680"/>
      <c r="N573" s="1681"/>
      <c r="O573" s="1681"/>
      <c r="P573" s="1681"/>
      <c r="Q573" s="1681"/>
      <c r="R573" s="1681"/>
      <c r="T573" s="1681"/>
      <c r="U573" s="1681"/>
      <c r="W573" s="1681">
        <f t="shared" si="63"/>
        <v>0</v>
      </c>
      <c r="X573" s="1681"/>
      <c r="Y573" s="1681">
        <f t="shared" si="64"/>
        <v>0</v>
      </c>
      <c r="Z573" s="1681"/>
      <c r="AB573" s="1682"/>
      <c r="AC573" s="1682"/>
      <c r="AE573" s="1683"/>
      <c r="AF573" s="1683"/>
      <c r="AG573" s="1683"/>
      <c r="AH573" s="1683"/>
      <c r="AI573" s="1683"/>
      <c r="AJ573" s="1683"/>
      <c r="AK573" s="1683"/>
      <c r="AL573" s="1683"/>
      <c r="AM573" s="1683"/>
      <c r="AN573" s="1683"/>
      <c r="AO573" s="1683"/>
      <c r="AP573" s="1683"/>
      <c r="AQ573" s="1683"/>
      <c r="AR573" s="1683"/>
      <c r="AS573" s="1683"/>
      <c r="AT573" s="1683"/>
      <c r="AU573" s="1683"/>
      <c r="AV573" s="1683"/>
      <c r="AW573" s="1683"/>
      <c r="AX573" s="1683"/>
      <c r="AY573" s="1683"/>
      <c r="AZ573" s="1683"/>
      <c r="BA573" s="1683"/>
      <c r="BB573" s="1683"/>
    </row>
    <row r="574" spans="1:54">
      <c r="A574" s="326">
        <f t="shared" si="61"/>
        <v>50860</v>
      </c>
      <c r="B574" s="1678"/>
      <c r="C574" s="1679">
        <f t="shared" si="62"/>
        <v>1</v>
      </c>
      <c r="D574" s="1679">
        <f>PRODUCT(C$5:C574)</f>
        <v>3.55771976932645</v>
      </c>
      <c r="J574" s="1680"/>
      <c r="K574" s="1680"/>
      <c r="L574" s="1680"/>
      <c r="N574" s="1681"/>
      <c r="O574" s="1681"/>
      <c r="P574" s="1681"/>
      <c r="Q574" s="1681"/>
      <c r="R574" s="1681"/>
      <c r="T574" s="1681"/>
      <c r="U574" s="1681"/>
      <c r="W574" s="1681">
        <f t="shared" si="63"/>
        <v>0</v>
      </c>
      <c r="X574" s="1681"/>
      <c r="Y574" s="1681">
        <f t="shared" si="64"/>
        <v>0</v>
      </c>
      <c r="Z574" s="1681"/>
      <c r="AB574" s="1682"/>
      <c r="AC574" s="1682"/>
      <c r="AE574" s="1683"/>
      <c r="AF574" s="1683"/>
      <c r="AG574" s="1683"/>
      <c r="AH574" s="1683"/>
      <c r="AI574" s="1683"/>
      <c r="AJ574" s="1683"/>
      <c r="AK574" s="1683"/>
      <c r="AL574" s="1683"/>
      <c r="AM574" s="1683"/>
      <c r="AN574" s="1683"/>
      <c r="AO574" s="1683"/>
      <c r="AP574" s="1683"/>
      <c r="AQ574" s="1683"/>
      <c r="AR574" s="1683"/>
      <c r="AS574" s="1683"/>
      <c r="AT574" s="1683"/>
      <c r="AU574" s="1683"/>
      <c r="AV574" s="1683"/>
      <c r="AW574" s="1683"/>
      <c r="AX574" s="1683"/>
      <c r="AY574" s="1683"/>
      <c r="AZ574" s="1683"/>
      <c r="BA574" s="1683"/>
      <c r="BB574" s="1683"/>
    </row>
    <row r="575" spans="1:54">
      <c r="A575" s="326">
        <f t="shared" si="61"/>
        <v>50890</v>
      </c>
      <c r="B575" s="1678"/>
      <c r="C575" s="1679">
        <f t="shared" si="62"/>
        <v>1</v>
      </c>
      <c r="D575" s="1679">
        <f>PRODUCT(C$5:C575)</f>
        <v>3.55771976932645</v>
      </c>
      <c r="J575" s="1680"/>
      <c r="K575" s="1680"/>
      <c r="L575" s="1680"/>
      <c r="N575" s="1681"/>
      <c r="O575" s="1681"/>
      <c r="P575" s="1681"/>
      <c r="Q575" s="1681"/>
      <c r="R575" s="1681"/>
      <c r="T575" s="1681"/>
      <c r="U575" s="1681"/>
      <c r="W575" s="1681">
        <f t="shared" si="63"/>
        <v>0</v>
      </c>
      <c r="X575" s="1681"/>
      <c r="Y575" s="1681">
        <f t="shared" si="64"/>
        <v>0</v>
      </c>
      <c r="Z575" s="1681"/>
      <c r="AB575" s="1682"/>
      <c r="AC575" s="1682"/>
      <c r="AE575" s="1683"/>
      <c r="AF575" s="1683"/>
      <c r="AG575" s="1683"/>
      <c r="AH575" s="1683"/>
      <c r="AI575" s="1683"/>
      <c r="AJ575" s="1683"/>
      <c r="AK575" s="1683"/>
      <c r="AL575" s="1683"/>
      <c r="AM575" s="1683"/>
      <c r="AN575" s="1683"/>
      <c r="AO575" s="1683"/>
      <c r="AP575" s="1683"/>
      <c r="AQ575" s="1683"/>
      <c r="AR575" s="1683"/>
      <c r="AS575" s="1683"/>
      <c r="AT575" s="1683"/>
      <c r="AU575" s="1683"/>
      <c r="AV575" s="1683"/>
      <c r="AW575" s="1683"/>
      <c r="AX575" s="1683"/>
      <c r="AY575" s="1683"/>
      <c r="AZ575" s="1683"/>
      <c r="BA575" s="1683"/>
      <c r="BB575" s="1683"/>
    </row>
    <row r="576" spans="1:54">
      <c r="A576" s="326">
        <f t="shared" si="61"/>
        <v>50921</v>
      </c>
      <c r="B576" s="1678"/>
      <c r="C576" s="1679">
        <f t="shared" si="62"/>
        <v>1</v>
      </c>
      <c r="D576" s="1679">
        <f>PRODUCT(C$5:C576)</f>
        <v>3.55771976932645</v>
      </c>
      <c r="J576" s="1680"/>
      <c r="K576" s="1680"/>
      <c r="L576" s="1680"/>
      <c r="N576" s="1681"/>
      <c r="O576" s="1681"/>
      <c r="P576" s="1681"/>
      <c r="Q576" s="1681"/>
      <c r="R576" s="1681"/>
      <c r="T576" s="1681"/>
      <c r="U576" s="1681"/>
      <c r="W576" s="1681">
        <f t="shared" si="63"/>
        <v>0</v>
      </c>
      <c r="X576" s="1681"/>
      <c r="Y576" s="1681">
        <f t="shared" si="64"/>
        <v>0</v>
      </c>
      <c r="Z576" s="1681"/>
      <c r="AB576" s="1682"/>
      <c r="AC576" s="1682"/>
      <c r="AE576" s="1683"/>
      <c r="AF576" s="1683"/>
      <c r="AG576" s="1683"/>
      <c r="AH576" s="1683"/>
      <c r="AI576" s="1683"/>
      <c r="AJ576" s="1683"/>
      <c r="AK576" s="1683"/>
      <c r="AL576" s="1683"/>
      <c r="AM576" s="1683"/>
      <c r="AN576" s="1683"/>
      <c r="AO576" s="1683"/>
      <c r="AP576" s="1683"/>
      <c r="AQ576" s="1683"/>
      <c r="AR576" s="1683"/>
      <c r="AS576" s="1683"/>
      <c r="AT576" s="1683"/>
      <c r="AU576" s="1683"/>
      <c r="AV576" s="1683"/>
      <c r="AW576" s="1683"/>
      <c r="AX576" s="1683"/>
      <c r="AY576" s="1683"/>
      <c r="AZ576" s="1683"/>
      <c r="BA576" s="1683"/>
      <c r="BB576" s="1683"/>
    </row>
    <row r="577" spans="1:54">
      <c r="A577" s="326">
        <f t="shared" si="61"/>
        <v>50951</v>
      </c>
      <c r="B577" s="1678"/>
      <c r="C577" s="1679">
        <f t="shared" si="62"/>
        <v>1</v>
      </c>
      <c r="D577" s="1679">
        <f>PRODUCT(C$5:C577)</f>
        <v>3.55771976932645</v>
      </c>
      <c r="J577" s="1680"/>
      <c r="K577" s="1680"/>
      <c r="L577" s="1680"/>
      <c r="N577" s="1681"/>
      <c r="O577" s="1681"/>
      <c r="P577" s="1681"/>
      <c r="Q577" s="1681"/>
      <c r="R577" s="1681"/>
      <c r="T577" s="1681"/>
      <c r="U577" s="1681"/>
      <c r="W577" s="1681">
        <f t="shared" si="63"/>
        <v>0</v>
      </c>
      <c r="X577" s="1681"/>
      <c r="Y577" s="1681">
        <f t="shared" si="64"/>
        <v>0</v>
      </c>
      <c r="Z577" s="1681"/>
      <c r="AB577" s="1682"/>
      <c r="AC577" s="1682"/>
      <c r="AE577" s="1683"/>
      <c r="AF577" s="1683"/>
      <c r="AG577" s="1683"/>
      <c r="AH577" s="1683"/>
      <c r="AI577" s="1683"/>
      <c r="AJ577" s="1683"/>
      <c r="AK577" s="1683"/>
      <c r="AL577" s="1683"/>
      <c r="AM577" s="1683"/>
      <c r="AN577" s="1683"/>
      <c r="AO577" s="1683"/>
      <c r="AP577" s="1683"/>
      <c r="AQ577" s="1683"/>
      <c r="AR577" s="1683"/>
      <c r="AS577" s="1683"/>
      <c r="AT577" s="1683"/>
      <c r="AU577" s="1683"/>
      <c r="AV577" s="1683"/>
      <c r="AW577" s="1683"/>
      <c r="AX577" s="1683"/>
      <c r="AY577" s="1683"/>
      <c r="AZ577" s="1683"/>
      <c r="BA577" s="1683"/>
      <c r="BB577" s="1683"/>
    </row>
    <row r="578" spans="1:54">
      <c r="A578" s="326">
        <f t="shared" si="61"/>
        <v>50982</v>
      </c>
      <c r="B578" s="1678"/>
      <c r="C578" s="1679">
        <f t="shared" si="62"/>
        <v>1</v>
      </c>
      <c r="D578" s="1679">
        <f>PRODUCT(C$5:C578)</f>
        <v>3.55771976932645</v>
      </c>
      <c r="J578" s="1680"/>
      <c r="K578" s="1680"/>
      <c r="L578" s="1680"/>
      <c r="N578" s="1681"/>
      <c r="O578" s="1681"/>
      <c r="P578" s="1681"/>
      <c r="Q578" s="1681"/>
      <c r="R578" s="1681"/>
      <c r="T578" s="1681"/>
      <c r="U578" s="1681"/>
      <c r="W578" s="1681">
        <f t="shared" si="63"/>
        <v>0</v>
      </c>
      <c r="X578" s="1681"/>
      <c r="Y578" s="1681">
        <f t="shared" si="64"/>
        <v>0</v>
      </c>
      <c r="Z578" s="1681"/>
      <c r="AB578" s="1682"/>
      <c r="AC578" s="1682"/>
      <c r="AE578" s="1683"/>
      <c r="AF578" s="1683"/>
      <c r="AG578" s="1683"/>
      <c r="AH578" s="1683"/>
      <c r="AI578" s="1683"/>
      <c r="AJ578" s="1683"/>
      <c r="AK578" s="1683"/>
      <c r="AL578" s="1683"/>
      <c r="AM578" s="1683"/>
      <c r="AN578" s="1683"/>
      <c r="AO578" s="1683"/>
      <c r="AP578" s="1683"/>
      <c r="AQ578" s="1683"/>
      <c r="AR578" s="1683"/>
      <c r="AS578" s="1683"/>
      <c r="AT578" s="1683"/>
      <c r="AU578" s="1683"/>
      <c r="AV578" s="1683"/>
      <c r="AW578" s="1683"/>
      <c r="AX578" s="1683"/>
      <c r="AY578" s="1683"/>
      <c r="AZ578" s="1683"/>
      <c r="BA578" s="1683"/>
      <c r="BB578" s="1683"/>
    </row>
    <row r="579" spans="1:54">
      <c r="A579" s="326">
        <f t="shared" si="61"/>
        <v>51013</v>
      </c>
      <c r="B579" s="1678"/>
      <c r="C579" s="1679">
        <f t="shared" si="62"/>
        <v>1</v>
      </c>
      <c r="D579" s="1679">
        <f>PRODUCT(C$5:C579)</f>
        <v>3.55771976932645</v>
      </c>
      <c r="J579" s="1680"/>
      <c r="K579" s="1680"/>
      <c r="L579" s="1680"/>
      <c r="N579" s="1681"/>
      <c r="O579" s="1681"/>
      <c r="P579" s="1681"/>
      <c r="Q579" s="1681"/>
      <c r="R579" s="1681"/>
      <c r="T579" s="1681"/>
      <c r="U579" s="1681"/>
      <c r="W579" s="1681">
        <f t="shared" si="63"/>
        <v>0</v>
      </c>
      <c r="X579" s="1681"/>
      <c r="Y579" s="1681">
        <f t="shared" si="64"/>
        <v>0</v>
      </c>
      <c r="Z579" s="1681"/>
      <c r="AB579" s="1682"/>
      <c r="AC579" s="1682"/>
      <c r="AE579" s="1683"/>
      <c r="AF579" s="1683"/>
      <c r="AG579" s="1683"/>
      <c r="AH579" s="1683"/>
      <c r="AI579" s="1683"/>
      <c r="AJ579" s="1683"/>
      <c r="AK579" s="1683"/>
      <c r="AL579" s="1683"/>
      <c r="AM579" s="1683"/>
      <c r="AN579" s="1683"/>
      <c r="AO579" s="1683"/>
      <c r="AP579" s="1683"/>
      <c r="AQ579" s="1683"/>
      <c r="AR579" s="1683"/>
      <c r="AS579" s="1683"/>
      <c r="AT579" s="1683"/>
      <c r="AU579" s="1683"/>
      <c r="AV579" s="1683"/>
      <c r="AW579" s="1683"/>
      <c r="AX579" s="1683"/>
      <c r="AY579" s="1683"/>
      <c r="AZ579" s="1683"/>
      <c r="BA579" s="1683"/>
      <c r="BB579" s="1683"/>
    </row>
    <row r="580" spans="1:54">
      <c r="A580" s="326">
        <f t="shared" si="61"/>
        <v>51043</v>
      </c>
      <c r="B580" s="1678"/>
      <c r="C580" s="1679">
        <f t="shared" si="62"/>
        <v>1</v>
      </c>
      <c r="D580" s="1679">
        <f>PRODUCT(C$5:C580)</f>
        <v>3.55771976932645</v>
      </c>
      <c r="J580" s="1680"/>
      <c r="K580" s="1680"/>
      <c r="L580" s="1680"/>
      <c r="N580" s="1681"/>
      <c r="O580" s="1681"/>
      <c r="P580" s="1681"/>
      <c r="Q580" s="1681"/>
      <c r="R580" s="1681"/>
      <c r="T580" s="1681"/>
      <c r="U580" s="1681"/>
      <c r="W580" s="1681">
        <f t="shared" si="63"/>
        <v>0</v>
      </c>
      <c r="X580" s="1681"/>
      <c r="Y580" s="1681">
        <f t="shared" si="64"/>
        <v>0</v>
      </c>
      <c r="Z580" s="1681"/>
      <c r="AB580" s="1682"/>
      <c r="AC580" s="1682"/>
      <c r="AE580" s="1683"/>
      <c r="AF580" s="1683"/>
      <c r="AG580" s="1683"/>
      <c r="AH580" s="1683"/>
      <c r="AI580" s="1683"/>
      <c r="AJ580" s="1683"/>
      <c r="AK580" s="1683"/>
      <c r="AL580" s="1683"/>
      <c r="AM580" s="1683"/>
      <c r="AN580" s="1683"/>
      <c r="AO580" s="1683"/>
      <c r="AP580" s="1683"/>
      <c r="AQ580" s="1683"/>
      <c r="AR580" s="1683"/>
      <c r="AS580" s="1683"/>
      <c r="AT580" s="1683"/>
      <c r="AU580" s="1683"/>
      <c r="AV580" s="1683"/>
      <c r="AW580" s="1683"/>
      <c r="AX580" s="1683"/>
      <c r="AY580" s="1683"/>
      <c r="AZ580" s="1683"/>
      <c r="BA580" s="1683"/>
      <c r="BB580" s="1683"/>
    </row>
    <row r="581" spans="1:54">
      <c r="A581" s="326">
        <f t="shared" si="61"/>
        <v>51074</v>
      </c>
      <c r="B581" s="1678"/>
      <c r="C581" s="1679">
        <f t="shared" si="62"/>
        <v>1</v>
      </c>
      <c r="D581" s="1679">
        <f>PRODUCT(C$5:C581)</f>
        <v>3.55771976932645</v>
      </c>
      <c r="J581" s="1680"/>
      <c r="K581" s="1680"/>
      <c r="L581" s="1680"/>
      <c r="N581" s="1681"/>
      <c r="O581" s="1681"/>
      <c r="P581" s="1681"/>
      <c r="Q581" s="1681"/>
      <c r="R581" s="1681"/>
      <c r="T581" s="1681"/>
      <c r="U581" s="1681"/>
      <c r="W581" s="1681">
        <f t="shared" si="63"/>
        <v>0</v>
      </c>
      <c r="X581" s="1681"/>
      <c r="Y581" s="1681">
        <f t="shared" si="64"/>
        <v>0</v>
      </c>
      <c r="Z581" s="1681"/>
      <c r="AB581" s="1682"/>
      <c r="AC581" s="1682"/>
      <c r="AE581" s="1683"/>
      <c r="AF581" s="1683"/>
      <c r="AG581" s="1683"/>
      <c r="AH581" s="1683"/>
      <c r="AI581" s="1683"/>
      <c r="AJ581" s="1683"/>
      <c r="AK581" s="1683"/>
      <c r="AL581" s="1683"/>
      <c r="AM581" s="1683"/>
      <c r="AN581" s="1683"/>
      <c r="AO581" s="1683"/>
      <c r="AP581" s="1683"/>
      <c r="AQ581" s="1683"/>
      <c r="AR581" s="1683"/>
      <c r="AS581" s="1683"/>
      <c r="AT581" s="1683"/>
      <c r="AU581" s="1683"/>
      <c r="AV581" s="1683"/>
      <c r="AW581" s="1683"/>
      <c r="AX581" s="1683"/>
      <c r="AY581" s="1683"/>
      <c r="AZ581" s="1683"/>
      <c r="BA581" s="1683"/>
      <c r="BB581" s="1683"/>
    </row>
    <row r="582" spans="1:54">
      <c r="A582" s="326">
        <f t="shared" si="61"/>
        <v>51104</v>
      </c>
      <c r="B582" s="1678"/>
      <c r="C582" s="1679">
        <f t="shared" si="62"/>
        <v>1</v>
      </c>
      <c r="D582" s="1679">
        <f>PRODUCT(C$5:C582)</f>
        <v>3.55771976932645</v>
      </c>
      <c r="J582" s="1680"/>
      <c r="K582" s="1680"/>
      <c r="L582" s="1680"/>
      <c r="N582" s="1681"/>
      <c r="O582" s="1681"/>
      <c r="P582" s="1681"/>
      <c r="Q582" s="1681"/>
      <c r="R582" s="1681"/>
      <c r="T582" s="1681"/>
      <c r="U582" s="1681"/>
      <c r="W582" s="1681">
        <f t="shared" si="63"/>
        <v>0</v>
      </c>
      <c r="X582" s="1681"/>
      <c r="Y582" s="1681">
        <f t="shared" si="64"/>
        <v>0</v>
      </c>
      <c r="Z582" s="1681"/>
      <c r="AB582" s="1682"/>
      <c r="AC582" s="1682"/>
      <c r="AE582" s="1683"/>
      <c r="AF582" s="1683"/>
      <c r="AG582" s="1683"/>
      <c r="AH582" s="1683"/>
      <c r="AI582" s="1683"/>
      <c r="AJ582" s="1683"/>
      <c r="AK582" s="1683"/>
      <c r="AL582" s="1683"/>
      <c r="AM582" s="1683"/>
      <c r="AN582" s="1683"/>
      <c r="AO582" s="1683"/>
      <c r="AP582" s="1683"/>
      <c r="AQ582" s="1683"/>
      <c r="AR582" s="1683"/>
      <c r="AS582" s="1683"/>
      <c r="AT582" s="1683"/>
      <c r="AU582" s="1683"/>
      <c r="AV582" s="1683"/>
      <c r="AW582" s="1683"/>
      <c r="AX582" s="1683"/>
      <c r="AY582" s="1683"/>
      <c r="AZ582" s="1683"/>
      <c r="BA582" s="1683"/>
      <c r="BB582" s="1683"/>
    </row>
    <row r="583" spans="1:54">
      <c r="A583" s="326">
        <f t="shared" si="61"/>
        <v>51135</v>
      </c>
      <c r="B583" s="1678"/>
      <c r="C583" s="1679">
        <f t="shared" si="62"/>
        <v>1</v>
      </c>
      <c r="D583" s="1679">
        <f>PRODUCT(C$5:C583)</f>
        <v>3.55771976932645</v>
      </c>
      <c r="J583" s="1680"/>
      <c r="K583" s="1680"/>
      <c r="L583" s="1680"/>
      <c r="N583" s="1681"/>
      <c r="O583" s="1681"/>
      <c r="P583" s="1681"/>
      <c r="Q583" s="1681"/>
      <c r="R583" s="1681"/>
      <c r="T583" s="1681"/>
      <c r="U583" s="1681"/>
      <c r="W583" s="1681">
        <f t="shared" si="63"/>
        <v>0</v>
      </c>
      <c r="X583" s="1681"/>
      <c r="Y583" s="1681">
        <f t="shared" si="64"/>
        <v>0</v>
      </c>
      <c r="Z583" s="1681"/>
      <c r="AB583" s="1682"/>
      <c r="AC583" s="1682"/>
      <c r="AE583" s="1683"/>
      <c r="AF583" s="1683"/>
      <c r="AG583" s="1683"/>
      <c r="AH583" s="1683"/>
      <c r="AI583" s="1683"/>
      <c r="AJ583" s="1683"/>
      <c r="AK583" s="1683"/>
      <c r="AL583" s="1683"/>
      <c r="AM583" s="1683"/>
      <c r="AN583" s="1683"/>
      <c r="AO583" s="1683"/>
      <c r="AP583" s="1683"/>
      <c r="AQ583" s="1683"/>
      <c r="AR583" s="1683"/>
      <c r="AS583" s="1683"/>
      <c r="AT583" s="1683"/>
      <c r="AU583" s="1683"/>
      <c r="AV583" s="1683"/>
      <c r="AW583" s="1683"/>
      <c r="AX583" s="1683"/>
      <c r="AY583" s="1683"/>
      <c r="AZ583" s="1683"/>
      <c r="BA583" s="1683"/>
      <c r="BB583" s="1683"/>
    </row>
    <row r="584" spans="1:54">
      <c r="A584" s="326">
        <f t="shared" si="61"/>
        <v>51166</v>
      </c>
      <c r="B584" s="1678"/>
      <c r="C584" s="1679">
        <f t="shared" si="62"/>
        <v>1</v>
      </c>
      <c r="D584" s="1679">
        <f>PRODUCT(C$5:C584)</f>
        <v>3.55771976932645</v>
      </c>
      <c r="J584" s="1680"/>
      <c r="K584" s="1680"/>
      <c r="L584" s="1680"/>
      <c r="N584" s="1681"/>
      <c r="O584" s="1681"/>
      <c r="P584" s="1681"/>
      <c r="Q584" s="1681"/>
      <c r="R584" s="1681"/>
      <c r="T584" s="1681"/>
      <c r="U584" s="1681"/>
      <c r="W584" s="1681">
        <f t="shared" si="63"/>
        <v>0</v>
      </c>
      <c r="X584" s="1681"/>
      <c r="Y584" s="1681">
        <f t="shared" si="64"/>
        <v>0</v>
      </c>
      <c r="Z584" s="1681"/>
      <c r="AB584" s="1682"/>
      <c r="AC584" s="1682"/>
      <c r="AE584" s="1683"/>
      <c r="AF584" s="1683"/>
      <c r="AG584" s="1683"/>
      <c r="AH584" s="1683"/>
      <c r="AI584" s="1683"/>
      <c r="AJ584" s="1683"/>
      <c r="AK584" s="1683"/>
      <c r="AL584" s="1683"/>
      <c r="AM584" s="1683"/>
      <c r="AN584" s="1683"/>
      <c r="AO584" s="1683"/>
      <c r="AP584" s="1683"/>
      <c r="AQ584" s="1683"/>
      <c r="AR584" s="1683"/>
      <c r="AS584" s="1683"/>
      <c r="AT584" s="1683"/>
      <c r="AU584" s="1683"/>
      <c r="AV584" s="1683"/>
      <c r="AW584" s="1683"/>
      <c r="AX584" s="1683"/>
      <c r="AY584" s="1683"/>
      <c r="AZ584" s="1683"/>
      <c r="BA584" s="1683"/>
      <c r="BB584" s="1683"/>
    </row>
    <row r="585" spans="1:54">
      <c r="A585" s="326">
        <f t="shared" si="61"/>
        <v>51195</v>
      </c>
      <c r="B585" s="1678"/>
      <c r="C585" s="1679">
        <f t="shared" si="62"/>
        <v>1</v>
      </c>
      <c r="D585" s="1679">
        <f>PRODUCT(C$5:C585)</f>
        <v>3.55771976932645</v>
      </c>
      <c r="J585" s="1680"/>
      <c r="K585" s="1680"/>
      <c r="L585" s="1680"/>
      <c r="N585" s="1681"/>
      <c r="O585" s="1681"/>
      <c r="P585" s="1681"/>
      <c r="Q585" s="1681"/>
      <c r="R585" s="1681"/>
      <c r="T585" s="1681"/>
      <c r="U585" s="1681"/>
      <c r="W585" s="1681">
        <f t="shared" si="63"/>
        <v>0</v>
      </c>
      <c r="X585" s="1681"/>
      <c r="Y585" s="1681">
        <f t="shared" si="64"/>
        <v>0</v>
      </c>
      <c r="Z585" s="1681"/>
      <c r="AB585" s="1682"/>
      <c r="AC585" s="1682"/>
      <c r="AE585" s="1683"/>
      <c r="AF585" s="1683"/>
      <c r="AG585" s="1683"/>
      <c r="AH585" s="1683"/>
      <c r="AI585" s="1683"/>
      <c r="AJ585" s="1683"/>
      <c r="AK585" s="1683"/>
      <c r="AL585" s="1683"/>
      <c r="AM585" s="1683"/>
      <c r="AN585" s="1683"/>
      <c r="AO585" s="1683"/>
      <c r="AP585" s="1683"/>
      <c r="AQ585" s="1683"/>
      <c r="AR585" s="1683"/>
      <c r="AS585" s="1683"/>
      <c r="AT585" s="1683"/>
      <c r="AU585" s="1683"/>
      <c r="AV585" s="1683"/>
      <c r="AW585" s="1683"/>
      <c r="AX585" s="1683"/>
      <c r="AY585" s="1683"/>
      <c r="AZ585" s="1683"/>
      <c r="BA585" s="1683"/>
      <c r="BB585" s="1683"/>
    </row>
    <row r="586" spans="1:54">
      <c r="A586" s="326">
        <f t="shared" si="61"/>
        <v>51226</v>
      </c>
      <c r="B586" s="1678"/>
      <c r="C586" s="1679">
        <f t="shared" si="62"/>
        <v>1</v>
      </c>
      <c r="D586" s="1679">
        <f>PRODUCT(C$5:C586)</f>
        <v>3.55771976932645</v>
      </c>
      <c r="J586" s="1680"/>
      <c r="K586" s="1680"/>
      <c r="L586" s="1680"/>
      <c r="N586" s="1681"/>
      <c r="O586" s="1681"/>
      <c r="P586" s="1681"/>
      <c r="Q586" s="1681"/>
      <c r="R586" s="1681"/>
      <c r="T586" s="1681"/>
      <c r="U586" s="1681"/>
      <c r="W586" s="1681">
        <f t="shared" si="63"/>
        <v>0</v>
      </c>
      <c r="X586" s="1681"/>
      <c r="Y586" s="1681">
        <f t="shared" si="64"/>
        <v>0</v>
      </c>
      <c r="Z586" s="1681"/>
      <c r="AB586" s="1682"/>
      <c r="AC586" s="1682"/>
      <c r="AE586" s="1683"/>
      <c r="AF586" s="1683"/>
      <c r="AG586" s="1683"/>
      <c r="AH586" s="1683"/>
      <c r="AI586" s="1683"/>
      <c r="AJ586" s="1683"/>
      <c r="AK586" s="1683"/>
      <c r="AL586" s="1683"/>
      <c r="AM586" s="1683"/>
      <c r="AN586" s="1683"/>
      <c r="AO586" s="1683"/>
      <c r="AP586" s="1683"/>
      <c r="AQ586" s="1683"/>
      <c r="AR586" s="1683"/>
      <c r="AS586" s="1683"/>
      <c r="AT586" s="1683"/>
      <c r="AU586" s="1683"/>
      <c r="AV586" s="1683"/>
      <c r="AW586" s="1683"/>
      <c r="AX586" s="1683"/>
      <c r="AY586" s="1683"/>
      <c r="AZ586" s="1683"/>
      <c r="BA586" s="1683"/>
      <c r="BB586" s="1683"/>
    </row>
    <row r="587" spans="1:54">
      <c r="A587" s="326">
        <f t="shared" si="61"/>
        <v>51256</v>
      </c>
      <c r="B587" s="1678"/>
      <c r="C587" s="1679">
        <f t="shared" si="62"/>
        <v>1</v>
      </c>
      <c r="D587" s="1679">
        <f>PRODUCT(C$5:C587)</f>
        <v>3.55771976932645</v>
      </c>
      <c r="J587" s="1680"/>
      <c r="K587" s="1680"/>
      <c r="L587" s="1680"/>
      <c r="N587" s="1681"/>
      <c r="O587" s="1681"/>
      <c r="P587" s="1681"/>
      <c r="Q587" s="1681"/>
      <c r="R587" s="1681"/>
      <c r="T587" s="1681"/>
      <c r="U587" s="1681"/>
      <c r="W587" s="1681">
        <f t="shared" si="63"/>
        <v>0</v>
      </c>
      <c r="X587" s="1681"/>
      <c r="Y587" s="1681">
        <f t="shared" si="64"/>
        <v>0</v>
      </c>
      <c r="Z587" s="1681"/>
      <c r="AB587" s="1682"/>
      <c r="AC587" s="1682"/>
      <c r="AE587" s="1683"/>
      <c r="AF587" s="1683"/>
      <c r="AG587" s="1683"/>
      <c r="AH587" s="1683"/>
      <c r="AI587" s="1683"/>
      <c r="AJ587" s="1683"/>
      <c r="AK587" s="1683"/>
      <c r="AL587" s="1683"/>
      <c r="AM587" s="1683"/>
      <c r="AN587" s="1683"/>
      <c r="AO587" s="1683"/>
      <c r="AP587" s="1683"/>
      <c r="AQ587" s="1683"/>
      <c r="AR587" s="1683"/>
      <c r="AS587" s="1683"/>
      <c r="AT587" s="1683"/>
      <c r="AU587" s="1683"/>
      <c r="AV587" s="1683"/>
      <c r="AW587" s="1683"/>
      <c r="AX587" s="1683"/>
      <c r="AY587" s="1683"/>
      <c r="AZ587" s="1683"/>
      <c r="BA587" s="1683"/>
      <c r="BB587" s="1683"/>
    </row>
    <row r="588" spans="1:54">
      <c r="A588" s="326">
        <f t="shared" si="61"/>
        <v>51287</v>
      </c>
      <c r="B588" s="1678"/>
      <c r="C588" s="1679">
        <f t="shared" si="62"/>
        <v>1</v>
      </c>
      <c r="D588" s="1679">
        <f>PRODUCT(C$5:C588)</f>
        <v>3.55771976932645</v>
      </c>
      <c r="J588" s="1680"/>
      <c r="K588" s="1680"/>
      <c r="L588" s="1680"/>
      <c r="N588" s="1681"/>
      <c r="O588" s="1681"/>
      <c r="P588" s="1681"/>
      <c r="Q588" s="1681"/>
      <c r="R588" s="1681"/>
      <c r="T588" s="1681"/>
      <c r="U588" s="1681"/>
      <c r="W588" s="1681">
        <f t="shared" si="63"/>
        <v>0</v>
      </c>
      <c r="X588" s="1681"/>
      <c r="Y588" s="1681">
        <f t="shared" si="64"/>
        <v>0</v>
      </c>
      <c r="Z588" s="1681"/>
      <c r="AB588" s="1682"/>
      <c r="AC588" s="1682"/>
      <c r="AE588" s="1683"/>
      <c r="AF588" s="1683"/>
      <c r="AG588" s="1683"/>
      <c r="AH588" s="1683"/>
      <c r="AI588" s="1683"/>
      <c r="AJ588" s="1683"/>
      <c r="AK588" s="1683"/>
      <c r="AL588" s="1683"/>
      <c r="AM588" s="1683"/>
      <c r="AN588" s="1683"/>
      <c r="AO588" s="1683"/>
      <c r="AP588" s="1683"/>
      <c r="AQ588" s="1683"/>
      <c r="AR588" s="1683"/>
      <c r="AS588" s="1683"/>
      <c r="AT588" s="1683"/>
      <c r="AU588" s="1683"/>
      <c r="AV588" s="1683"/>
      <c r="AW588" s="1683"/>
      <c r="AX588" s="1683"/>
      <c r="AY588" s="1683"/>
      <c r="AZ588" s="1683"/>
      <c r="BA588" s="1683"/>
      <c r="BB588" s="1683"/>
    </row>
    <row r="589" spans="1:54">
      <c r="A589" s="326">
        <f t="shared" si="61"/>
        <v>51317</v>
      </c>
      <c r="B589" s="1678"/>
      <c r="C589" s="1679">
        <f t="shared" si="62"/>
        <v>1</v>
      </c>
      <c r="D589" s="1679">
        <f>PRODUCT(C$5:C589)</f>
        <v>3.55771976932645</v>
      </c>
      <c r="J589" s="1680"/>
      <c r="K589" s="1680"/>
      <c r="L589" s="1680"/>
      <c r="N589" s="1681"/>
      <c r="O589" s="1681"/>
      <c r="P589" s="1681"/>
      <c r="Q589" s="1681"/>
      <c r="R589" s="1681"/>
      <c r="T589" s="1681"/>
      <c r="U589" s="1681"/>
      <c r="W589" s="1681">
        <f t="shared" si="63"/>
        <v>0</v>
      </c>
      <c r="X589" s="1681"/>
      <c r="Y589" s="1681">
        <f t="shared" si="64"/>
        <v>0</v>
      </c>
      <c r="Z589" s="1681"/>
      <c r="AB589" s="1682"/>
      <c r="AC589" s="1682"/>
      <c r="AE589" s="1683"/>
      <c r="AF589" s="1683"/>
      <c r="AG589" s="1683"/>
      <c r="AH589" s="1683"/>
      <c r="AI589" s="1683"/>
      <c r="AJ589" s="1683"/>
      <c r="AK589" s="1683"/>
      <c r="AL589" s="1683"/>
      <c r="AM589" s="1683"/>
      <c r="AN589" s="1683"/>
      <c r="AO589" s="1683"/>
      <c r="AP589" s="1683"/>
      <c r="AQ589" s="1683"/>
      <c r="AR589" s="1683"/>
      <c r="AS589" s="1683"/>
      <c r="AT589" s="1683"/>
      <c r="AU589" s="1683"/>
      <c r="AV589" s="1683"/>
      <c r="AW589" s="1683"/>
      <c r="AX589" s="1683"/>
      <c r="AY589" s="1683"/>
      <c r="AZ589" s="1683"/>
      <c r="BA589" s="1683"/>
      <c r="BB589" s="1683"/>
    </row>
    <row r="590" spans="1:54">
      <c r="A590" s="326">
        <f t="shared" si="61"/>
        <v>51348</v>
      </c>
      <c r="B590" s="1678"/>
      <c r="C590" s="1679">
        <f t="shared" si="62"/>
        <v>1</v>
      </c>
      <c r="D590" s="1679">
        <f>PRODUCT(C$5:C590)</f>
        <v>3.55771976932645</v>
      </c>
      <c r="J590" s="1680"/>
      <c r="K590" s="1680"/>
      <c r="L590" s="1680"/>
      <c r="N590" s="1681"/>
      <c r="O590" s="1681"/>
      <c r="P590" s="1681"/>
      <c r="Q590" s="1681"/>
      <c r="R590" s="1681"/>
      <c r="T590" s="1681"/>
      <c r="U590" s="1681"/>
      <c r="W590" s="1681">
        <f t="shared" si="63"/>
        <v>0</v>
      </c>
      <c r="X590" s="1681"/>
      <c r="Y590" s="1681">
        <f t="shared" si="64"/>
        <v>0</v>
      </c>
      <c r="Z590" s="1681"/>
      <c r="AB590" s="1682"/>
      <c r="AC590" s="1682"/>
      <c r="AE590" s="1683"/>
      <c r="AF590" s="1683"/>
      <c r="AG590" s="1683"/>
      <c r="AH590" s="1683"/>
      <c r="AI590" s="1683"/>
      <c r="AJ590" s="1683"/>
      <c r="AK590" s="1683"/>
      <c r="AL590" s="1683"/>
      <c r="AM590" s="1683"/>
      <c r="AN590" s="1683"/>
      <c r="AO590" s="1683"/>
      <c r="AP590" s="1683"/>
      <c r="AQ590" s="1683"/>
      <c r="AR590" s="1683"/>
      <c r="AS590" s="1683"/>
      <c r="AT590" s="1683"/>
      <c r="AU590" s="1683"/>
      <c r="AV590" s="1683"/>
      <c r="AW590" s="1683"/>
      <c r="AX590" s="1683"/>
      <c r="AY590" s="1683"/>
      <c r="AZ590" s="1683"/>
      <c r="BA590" s="1683"/>
      <c r="BB590" s="1683"/>
    </row>
    <row r="591" spans="1:54">
      <c r="A591" s="326">
        <f t="shared" si="61"/>
        <v>51379</v>
      </c>
      <c r="B591" s="1678"/>
      <c r="C591" s="1679">
        <f t="shared" si="62"/>
        <v>1</v>
      </c>
      <c r="D591" s="1679">
        <f>PRODUCT(C$5:C591)</f>
        <v>3.55771976932645</v>
      </c>
      <c r="J591" s="1680"/>
      <c r="K591" s="1680"/>
      <c r="L591" s="1680"/>
      <c r="N591" s="1681"/>
      <c r="O591" s="1681"/>
      <c r="P591" s="1681"/>
      <c r="Q591" s="1681"/>
      <c r="R591" s="1681"/>
      <c r="T591" s="1681"/>
      <c r="U591" s="1681"/>
      <c r="W591" s="1681">
        <f t="shared" si="63"/>
        <v>0</v>
      </c>
      <c r="X591" s="1681"/>
      <c r="Y591" s="1681">
        <f t="shared" si="64"/>
        <v>0</v>
      </c>
      <c r="Z591" s="1681"/>
      <c r="AB591" s="1682"/>
      <c r="AC591" s="1682"/>
      <c r="AE591" s="1683"/>
      <c r="AF591" s="1683"/>
      <c r="AG591" s="1683"/>
      <c r="AH591" s="1683"/>
      <c r="AI591" s="1683"/>
      <c r="AJ591" s="1683"/>
      <c r="AK591" s="1683"/>
      <c r="AL591" s="1683"/>
      <c r="AM591" s="1683"/>
      <c r="AN591" s="1683"/>
      <c r="AO591" s="1683"/>
      <c r="AP591" s="1683"/>
      <c r="AQ591" s="1683"/>
      <c r="AR591" s="1683"/>
      <c r="AS591" s="1683"/>
      <c r="AT591" s="1683"/>
      <c r="AU591" s="1683"/>
      <c r="AV591" s="1683"/>
      <c r="AW591" s="1683"/>
      <c r="AX591" s="1683"/>
      <c r="AY591" s="1683"/>
      <c r="AZ591" s="1683"/>
      <c r="BA591" s="1683"/>
      <c r="BB591" s="1683"/>
    </row>
    <row r="592" spans="1:54">
      <c r="A592" s="326">
        <f t="shared" si="61"/>
        <v>51409</v>
      </c>
      <c r="B592" s="1678"/>
      <c r="C592" s="1679">
        <f t="shared" si="62"/>
        <v>1</v>
      </c>
      <c r="D592" s="1679">
        <f>PRODUCT(C$5:C592)</f>
        <v>3.55771976932645</v>
      </c>
      <c r="J592" s="1680"/>
      <c r="K592" s="1680"/>
      <c r="L592" s="1680"/>
      <c r="N592" s="1681"/>
      <c r="O592" s="1681"/>
      <c r="P592" s="1681"/>
      <c r="Q592" s="1681"/>
      <c r="R592" s="1681"/>
      <c r="T592" s="1681"/>
      <c r="U592" s="1681"/>
      <c r="W592" s="1681">
        <f t="shared" si="63"/>
        <v>0</v>
      </c>
      <c r="X592" s="1681"/>
      <c r="Y592" s="1681">
        <f t="shared" si="64"/>
        <v>0</v>
      </c>
      <c r="Z592" s="1681"/>
      <c r="AB592" s="1682"/>
      <c r="AC592" s="1682"/>
      <c r="AE592" s="1683"/>
      <c r="AF592" s="1683"/>
      <c r="AG592" s="1683"/>
      <c r="AH592" s="1683"/>
      <c r="AI592" s="1683"/>
      <c r="AJ592" s="1683"/>
      <c r="AK592" s="1683"/>
      <c r="AL592" s="1683"/>
      <c r="AM592" s="1683"/>
      <c r="AN592" s="1683"/>
      <c r="AO592" s="1683"/>
      <c r="AP592" s="1683"/>
      <c r="AQ592" s="1683"/>
      <c r="AR592" s="1683"/>
      <c r="AS592" s="1683"/>
      <c r="AT592" s="1683"/>
      <c r="AU592" s="1683"/>
      <c r="AV592" s="1683"/>
      <c r="AW592" s="1683"/>
      <c r="AX592" s="1683"/>
      <c r="AY592" s="1683"/>
      <c r="AZ592" s="1683"/>
      <c r="BA592" s="1683"/>
      <c r="BB592" s="1683"/>
    </row>
    <row r="593" spans="1:54">
      <c r="A593" s="326">
        <f t="shared" si="61"/>
        <v>51440</v>
      </c>
      <c r="B593" s="1678"/>
      <c r="C593" s="1679">
        <f t="shared" si="62"/>
        <v>1</v>
      </c>
      <c r="D593" s="1679">
        <f>PRODUCT(C$5:C593)</f>
        <v>3.55771976932645</v>
      </c>
      <c r="J593" s="1680"/>
      <c r="K593" s="1680"/>
      <c r="L593" s="1680"/>
      <c r="N593" s="1681"/>
      <c r="O593" s="1681"/>
      <c r="P593" s="1681"/>
      <c r="Q593" s="1681"/>
      <c r="R593" s="1681"/>
      <c r="T593" s="1681"/>
      <c r="U593" s="1681"/>
      <c r="W593" s="1681">
        <f t="shared" si="63"/>
        <v>0</v>
      </c>
      <c r="X593" s="1681"/>
      <c r="Y593" s="1681">
        <f t="shared" si="64"/>
        <v>0</v>
      </c>
      <c r="Z593" s="1681"/>
      <c r="AB593" s="1682"/>
      <c r="AC593" s="1682"/>
      <c r="AE593" s="1683"/>
      <c r="AF593" s="1683"/>
      <c r="AG593" s="1683"/>
      <c r="AH593" s="1683"/>
      <c r="AI593" s="1683"/>
      <c r="AJ593" s="1683"/>
      <c r="AK593" s="1683"/>
      <c r="AL593" s="1683"/>
      <c r="AM593" s="1683"/>
      <c r="AN593" s="1683"/>
      <c r="AO593" s="1683"/>
      <c r="AP593" s="1683"/>
      <c r="AQ593" s="1683"/>
      <c r="AR593" s="1683"/>
      <c r="AS593" s="1683"/>
      <c r="AT593" s="1683"/>
      <c r="AU593" s="1683"/>
      <c r="AV593" s="1683"/>
      <c r="AW593" s="1683"/>
      <c r="AX593" s="1683"/>
      <c r="AY593" s="1683"/>
      <c r="AZ593" s="1683"/>
      <c r="BA593" s="1683"/>
      <c r="BB593" s="1683"/>
    </row>
    <row r="594" spans="1:54">
      <c r="A594" s="326">
        <f t="shared" si="61"/>
        <v>51470</v>
      </c>
      <c r="B594" s="1678"/>
      <c r="C594" s="1679">
        <f t="shared" si="62"/>
        <v>1</v>
      </c>
      <c r="D594" s="1679">
        <f>PRODUCT(C$5:C594)</f>
        <v>3.55771976932645</v>
      </c>
      <c r="J594" s="1680"/>
      <c r="K594" s="1680"/>
      <c r="L594" s="1680"/>
      <c r="N594" s="1681"/>
      <c r="O594" s="1681"/>
      <c r="P594" s="1681"/>
      <c r="Q594" s="1681"/>
      <c r="R594" s="1681"/>
      <c r="T594" s="1681"/>
      <c r="U594" s="1681"/>
      <c r="W594" s="1681">
        <f t="shared" si="63"/>
        <v>0</v>
      </c>
      <c r="X594" s="1681"/>
      <c r="Y594" s="1681">
        <f t="shared" si="64"/>
        <v>0</v>
      </c>
      <c r="Z594" s="1681"/>
      <c r="AB594" s="1682"/>
      <c r="AC594" s="1682"/>
      <c r="AE594" s="1683"/>
      <c r="AF594" s="1683"/>
      <c r="AG594" s="1683"/>
      <c r="AH594" s="1683"/>
      <c r="AI594" s="1683"/>
      <c r="AJ594" s="1683"/>
      <c r="AK594" s="1683"/>
      <c r="AL594" s="1683"/>
      <c r="AM594" s="1683"/>
      <c r="AN594" s="1683"/>
      <c r="AO594" s="1683"/>
      <c r="AP594" s="1683"/>
      <c r="AQ594" s="1683"/>
      <c r="AR594" s="1683"/>
      <c r="AS594" s="1683"/>
      <c r="AT594" s="1683"/>
      <c r="AU594" s="1683"/>
      <c r="AV594" s="1683"/>
      <c r="AW594" s="1683"/>
      <c r="AX594" s="1683"/>
      <c r="AY594" s="1683"/>
      <c r="AZ594" s="1683"/>
      <c r="BA594" s="1683"/>
      <c r="BB594" s="1683"/>
    </row>
    <row r="595" spans="1:54">
      <c r="A595" s="326">
        <f t="shared" si="61"/>
        <v>51501</v>
      </c>
      <c r="B595" s="1678"/>
      <c r="C595" s="1679">
        <f t="shared" si="62"/>
        <v>1</v>
      </c>
      <c r="D595" s="1679">
        <f>PRODUCT(C$5:C595)</f>
        <v>3.55771976932645</v>
      </c>
      <c r="J595" s="1680"/>
      <c r="K595" s="1680"/>
      <c r="L595" s="1680"/>
      <c r="N595" s="1681"/>
      <c r="O595" s="1681"/>
      <c r="P595" s="1681"/>
      <c r="Q595" s="1681"/>
      <c r="R595" s="1681"/>
      <c r="T595" s="1681"/>
      <c r="U595" s="1681"/>
      <c r="W595" s="1681">
        <f t="shared" si="63"/>
        <v>0</v>
      </c>
      <c r="X595" s="1681"/>
      <c r="Y595" s="1681">
        <f t="shared" si="64"/>
        <v>0</v>
      </c>
      <c r="Z595" s="1681"/>
      <c r="AB595" s="1682"/>
      <c r="AC595" s="1682"/>
      <c r="AE595" s="1683"/>
      <c r="AF595" s="1683"/>
      <c r="AG595" s="1683"/>
      <c r="AH595" s="1683"/>
      <c r="AI595" s="1683"/>
      <c r="AJ595" s="1683"/>
      <c r="AK595" s="1683"/>
      <c r="AL595" s="1683"/>
      <c r="AM595" s="1683"/>
      <c r="AN595" s="1683"/>
      <c r="AO595" s="1683"/>
      <c r="AP595" s="1683"/>
      <c r="AQ595" s="1683"/>
      <c r="AR595" s="1683"/>
      <c r="AS595" s="1683"/>
      <c r="AT595" s="1683"/>
      <c r="AU595" s="1683"/>
      <c r="AV595" s="1683"/>
      <c r="AW595" s="1683"/>
      <c r="AX595" s="1683"/>
      <c r="AY595" s="1683"/>
      <c r="AZ595" s="1683"/>
      <c r="BA595" s="1683"/>
      <c r="BB595" s="1683"/>
    </row>
    <row r="596" spans="1:54">
      <c r="A596" s="326">
        <f t="shared" si="61"/>
        <v>51532</v>
      </c>
      <c r="B596" s="1678"/>
      <c r="C596" s="1679">
        <f t="shared" si="62"/>
        <v>1</v>
      </c>
      <c r="D596" s="1679">
        <f>PRODUCT(C$5:C596)</f>
        <v>3.55771976932645</v>
      </c>
      <c r="J596" s="1680"/>
      <c r="K596" s="1680"/>
      <c r="L596" s="1680"/>
      <c r="N596" s="1681"/>
      <c r="O596" s="1681"/>
      <c r="P596" s="1681"/>
      <c r="Q596" s="1681"/>
      <c r="R596" s="1681"/>
      <c r="T596" s="1681"/>
      <c r="U596" s="1681"/>
      <c r="W596" s="1681">
        <f t="shared" si="63"/>
        <v>0</v>
      </c>
      <c r="X596" s="1681"/>
      <c r="Y596" s="1681">
        <f t="shared" si="64"/>
        <v>0</v>
      </c>
      <c r="Z596" s="1681"/>
      <c r="AB596" s="1682"/>
      <c r="AC596" s="1682"/>
      <c r="AE596" s="1683"/>
      <c r="AF596" s="1683"/>
      <c r="AG596" s="1683"/>
      <c r="AH596" s="1683"/>
      <c r="AI596" s="1683"/>
      <c r="AJ596" s="1683"/>
      <c r="AK596" s="1683"/>
      <c r="AL596" s="1683"/>
      <c r="AM596" s="1683"/>
      <c r="AN596" s="1683"/>
      <c r="AO596" s="1683"/>
      <c r="AP596" s="1683"/>
      <c r="AQ596" s="1683"/>
      <c r="AR596" s="1683"/>
      <c r="AS596" s="1683"/>
      <c r="AT596" s="1683"/>
      <c r="AU596" s="1683"/>
      <c r="AV596" s="1683"/>
      <c r="AW596" s="1683"/>
      <c r="AX596" s="1683"/>
      <c r="AY596" s="1683"/>
      <c r="AZ596" s="1683"/>
      <c r="BA596" s="1683"/>
      <c r="BB596" s="1683"/>
    </row>
    <row r="597" spans="1:54">
      <c r="A597" s="326">
        <f t="shared" si="61"/>
        <v>51560</v>
      </c>
      <c r="B597" s="1678"/>
      <c r="C597" s="1679">
        <f t="shared" si="62"/>
        <v>1</v>
      </c>
      <c r="D597" s="1679">
        <f>PRODUCT(C$5:C597)</f>
        <v>3.55771976932645</v>
      </c>
      <c r="J597" s="1680"/>
      <c r="K597" s="1680"/>
      <c r="L597" s="1680"/>
      <c r="N597" s="1681"/>
      <c r="O597" s="1681"/>
      <c r="P597" s="1681"/>
      <c r="Q597" s="1681"/>
      <c r="R597" s="1681"/>
      <c r="T597" s="1681"/>
      <c r="U597" s="1681"/>
      <c r="W597" s="1681">
        <f t="shared" si="63"/>
        <v>0</v>
      </c>
      <c r="X597" s="1681"/>
      <c r="Y597" s="1681">
        <f t="shared" si="64"/>
        <v>0</v>
      </c>
      <c r="Z597" s="1681"/>
      <c r="AB597" s="1682"/>
      <c r="AC597" s="1682"/>
      <c r="AE597" s="1683"/>
      <c r="AF597" s="1683"/>
      <c r="AG597" s="1683"/>
      <c r="AH597" s="1683"/>
      <c r="AI597" s="1683"/>
      <c r="AJ597" s="1683"/>
      <c r="AK597" s="1683"/>
      <c r="AL597" s="1683"/>
      <c r="AM597" s="1683"/>
      <c r="AN597" s="1683"/>
      <c r="AO597" s="1683"/>
      <c r="AP597" s="1683"/>
      <c r="AQ597" s="1683"/>
      <c r="AR597" s="1683"/>
      <c r="AS597" s="1683"/>
      <c r="AT597" s="1683"/>
      <c r="AU597" s="1683"/>
      <c r="AV597" s="1683"/>
      <c r="AW597" s="1683"/>
      <c r="AX597" s="1683"/>
      <c r="AY597" s="1683"/>
      <c r="AZ597" s="1683"/>
      <c r="BA597" s="1683"/>
      <c r="BB597" s="1683"/>
    </row>
    <row r="598" spans="1:54">
      <c r="A598" s="326">
        <f t="shared" ref="A598:A661" si="65">DATE(IF(MONTH(A597)=12,YEAR(A597)+1,YEAR(A597)),MONTH(A597+1)+1,1)-1</f>
        <v>51591</v>
      </c>
      <c r="B598" s="1678"/>
      <c r="C598" s="1679">
        <f t="shared" si="62"/>
        <v>1</v>
      </c>
      <c r="D598" s="1679">
        <f>PRODUCT(C$5:C598)</f>
        <v>3.55771976932645</v>
      </c>
      <c r="J598" s="1680"/>
      <c r="K598" s="1680"/>
      <c r="L598" s="1680"/>
      <c r="N598" s="1681"/>
      <c r="O598" s="1681"/>
      <c r="P598" s="1681"/>
      <c r="Q598" s="1681"/>
      <c r="R598" s="1681"/>
      <c r="T598" s="1681"/>
      <c r="U598" s="1681"/>
      <c r="W598" s="1681">
        <f t="shared" si="63"/>
        <v>0</v>
      </c>
      <c r="X598" s="1681"/>
      <c r="Y598" s="1681">
        <f t="shared" si="64"/>
        <v>0</v>
      </c>
      <c r="Z598" s="1681"/>
      <c r="AB598" s="1682"/>
      <c r="AC598" s="1682"/>
      <c r="AE598" s="1683"/>
      <c r="AF598" s="1683"/>
      <c r="AG598" s="1683"/>
      <c r="AH598" s="1683"/>
      <c r="AI598" s="1683"/>
      <c r="AJ598" s="1683"/>
      <c r="AK598" s="1683"/>
      <c r="AL598" s="1683"/>
      <c r="AM598" s="1683"/>
      <c r="AN598" s="1683"/>
      <c r="AO598" s="1683"/>
      <c r="AP598" s="1683"/>
      <c r="AQ598" s="1683"/>
      <c r="AR598" s="1683"/>
      <c r="AS598" s="1683"/>
      <c r="AT598" s="1683"/>
      <c r="AU598" s="1683"/>
      <c r="AV598" s="1683"/>
      <c r="AW598" s="1683"/>
      <c r="AX598" s="1683"/>
      <c r="AY598" s="1683"/>
      <c r="AZ598" s="1683"/>
      <c r="BA598" s="1683"/>
      <c r="BB598" s="1683"/>
    </row>
    <row r="599" spans="1:54">
      <c r="A599" s="326">
        <f t="shared" si="65"/>
        <v>51621</v>
      </c>
      <c r="B599" s="1678"/>
      <c r="C599" s="1679">
        <f t="shared" si="62"/>
        <v>1</v>
      </c>
      <c r="D599" s="1679">
        <f>PRODUCT(C$5:C599)</f>
        <v>3.55771976932645</v>
      </c>
      <c r="J599" s="1680"/>
      <c r="K599" s="1680"/>
      <c r="L599" s="1680"/>
      <c r="N599" s="1681"/>
      <c r="O599" s="1681"/>
      <c r="P599" s="1681"/>
      <c r="Q599" s="1681"/>
      <c r="R599" s="1681"/>
      <c r="T599" s="1681"/>
      <c r="U599" s="1681"/>
      <c r="W599" s="1681">
        <f t="shared" si="63"/>
        <v>0</v>
      </c>
      <c r="X599" s="1681"/>
      <c r="Y599" s="1681">
        <f t="shared" si="64"/>
        <v>0</v>
      </c>
      <c r="Z599" s="1681"/>
      <c r="AB599" s="1682"/>
      <c r="AC599" s="1682"/>
      <c r="AE599" s="1683"/>
      <c r="AF599" s="1683"/>
      <c r="AG599" s="1683"/>
      <c r="AH599" s="1683"/>
      <c r="AI599" s="1683"/>
      <c r="AJ599" s="1683"/>
      <c r="AK599" s="1683"/>
      <c r="AL599" s="1683"/>
      <c r="AM599" s="1683"/>
      <c r="AN599" s="1683"/>
      <c r="AO599" s="1683"/>
      <c r="AP599" s="1683"/>
      <c r="AQ599" s="1683"/>
      <c r="AR599" s="1683"/>
      <c r="AS599" s="1683"/>
      <c r="AT599" s="1683"/>
      <c r="AU599" s="1683"/>
      <c r="AV599" s="1683"/>
      <c r="AW599" s="1683"/>
      <c r="AX599" s="1683"/>
      <c r="AY599" s="1683"/>
      <c r="AZ599" s="1683"/>
      <c r="BA599" s="1683"/>
      <c r="BB599" s="1683"/>
    </row>
    <row r="600" spans="1:54">
      <c r="A600" s="326">
        <f t="shared" si="65"/>
        <v>51652</v>
      </c>
      <c r="B600" s="1678"/>
      <c r="C600" s="1679">
        <f t="shared" si="62"/>
        <v>1</v>
      </c>
      <c r="D600" s="1679">
        <f>PRODUCT(C$5:C600)</f>
        <v>3.55771976932645</v>
      </c>
      <c r="J600" s="1680"/>
      <c r="K600" s="1680"/>
      <c r="L600" s="1680"/>
      <c r="N600" s="1681"/>
      <c r="O600" s="1681"/>
      <c r="P600" s="1681"/>
      <c r="Q600" s="1681"/>
      <c r="R600" s="1681"/>
      <c r="T600" s="1681"/>
      <c r="U600" s="1681"/>
      <c r="W600" s="1681">
        <f t="shared" si="63"/>
        <v>0</v>
      </c>
      <c r="X600" s="1681"/>
      <c r="Y600" s="1681">
        <f t="shared" si="64"/>
        <v>0</v>
      </c>
      <c r="Z600" s="1681"/>
      <c r="AB600" s="1682"/>
      <c r="AC600" s="1682"/>
      <c r="AE600" s="1683"/>
      <c r="AF600" s="1683"/>
      <c r="AG600" s="1683"/>
      <c r="AH600" s="1683"/>
      <c r="AI600" s="1683"/>
      <c r="AJ600" s="1683"/>
      <c r="AK600" s="1683"/>
      <c r="AL600" s="1683"/>
      <c r="AM600" s="1683"/>
      <c r="AN600" s="1683"/>
      <c r="AO600" s="1683"/>
      <c r="AP600" s="1683"/>
      <c r="AQ600" s="1683"/>
      <c r="AR600" s="1683"/>
      <c r="AS600" s="1683"/>
      <c r="AT600" s="1683"/>
      <c r="AU600" s="1683"/>
      <c r="AV600" s="1683"/>
      <c r="AW600" s="1683"/>
      <c r="AX600" s="1683"/>
      <c r="AY600" s="1683"/>
      <c r="AZ600" s="1683"/>
      <c r="BA600" s="1683"/>
      <c r="BB600" s="1683"/>
    </row>
    <row r="601" spans="1:54">
      <c r="A601" s="326">
        <f t="shared" si="65"/>
        <v>51682</v>
      </c>
      <c r="B601" s="1678"/>
      <c r="C601" s="1679">
        <f t="shared" si="62"/>
        <v>1</v>
      </c>
      <c r="D601" s="1679">
        <f>PRODUCT(C$5:C601)</f>
        <v>3.55771976932645</v>
      </c>
      <c r="J601" s="1680"/>
      <c r="K601" s="1680"/>
      <c r="L601" s="1680"/>
      <c r="N601" s="1681"/>
      <c r="O601" s="1681"/>
      <c r="P601" s="1681"/>
      <c r="Q601" s="1681"/>
      <c r="R601" s="1681"/>
      <c r="T601" s="1681"/>
      <c r="U601" s="1681"/>
      <c r="W601" s="1681">
        <f t="shared" si="63"/>
        <v>0</v>
      </c>
      <c r="X601" s="1681"/>
      <c r="Y601" s="1681">
        <f t="shared" si="64"/>
        <v>0</v>
      </c>
      <c r="Z601" s="1681"/>
      <c r="AB601" s="1682"/>
      <c r="AC601" s="1682"/>
      <c r="AE601" s="1683"/>
      <c r="AF601" s="1683"/>
      <c r="AG601" s="1683"/>
      <c r="AH601" s="1683"/>
      <c r="AI601" s="1683"/>
      <c r="AJ601" s="1683"/>
      <c r="AK601" s="1683"/>
      <c r="AL601" s="1683"/>
      <c r="AM601" s="1683"/>
      <c r="AN601" s="1683"/>
      <c r="AO601" s="1683"/>
      <c r="AP601" s="1683"/>
      <c r="AQ601" s="1683"/>
      <c r="AR601" s="1683"/>
      <c r="AS601" s="1683"/>
      <c r="AT601" s="1683"/>
      <c r="AU601" s="1683"/>
      <c r="AV601" s="1683"/>
      <c r="AW601" s="1683"/>
      <c r="AX601" s="1683"/>
      <c r="AY601" s="1683"/>
      <c r="AZ601" s="1683"/>
      <c r="BA601" s="1683"/>
      <c r="BB601" s="1683"/>
    </row>
    <row r="602" spans="1:54">
      <c r="A602" s="326">
        <f t="shared" si="65"/>
        <v>51713</v>
      </c>
      <c r="B602" s="1678"/>
      <c r="C602" s="1679">
        <f t="shared" si="62"/>
        <v>1</v>
      </c>
      <c r="D602" s="1679">
        <f>PRODUCT(C$5:C602)</f>
        <v>3.55771976932645</v>
      </c>
      <c r="J602" s="1680"/>
      <c r="K602" s="1680"/>
      <c r="L602" s="1680"/>
      <c r="N602" s="1681"/>
      <c r="O602" s="1681"/>
      <c r="P602" s="1681"/>
      <c r="Q602" s="1681"/>
      <c r="R602" s="1681"/>
      <c r="T602" s="1681"/>
      <c r="U602" s="1681"/>
      <c r="W602" s="1681">
        <f t="shared" si="63"/>
        <v>0</v>
      </c>
      <c r="X602" s="1681"/>
      <c r="Y602" s="1681">
        <f t="shared" si="64"/>
        <v>0</v>
      </c>
      <c r="Z602" s="1681"/>
      <c r="AB602" s="1682"/>
      <c r="AC602" s="1682"/>
      <c r="AE602" s="1683"/>
      <c r="AF602" s="1683"/>
      <c r="AG602" s="1683"/>
      <c r="AH602" s="1683"/>
      <c r="AI602" s="1683"/>
      <c r="AJ602" s="1683"/>
      <c r="AK602" s="1683"/>
      <c r="AL602" s="1683"/>
      <c r="AM602" s="1683"/>
      <c r="AN602" s="1683"/>
      <c r="AO602" s="1683"/>
      <c r="AP602" s="1683"/>
      <c r="AQ602" s="1683"/>
      <c r="AR602" s="1683"/>
      <c r="AS602" s="1683"/>
      <c r="AT602" s="1683"/>
      <c r="AU602" s="1683"/>
      <c r="AV602" s="1683"/>
      <c r="AW602" s="1683"/>
      <c r="AX602" s="1683"/>
      <c r="AY602" s="1683"/>
      <c r="AZ602" s="1683"/>
      <c r="BA602" s="1683"/>
      <c r="BB602" s="1683"/>
    </row>
    <row r="603" spans="1:54">
      <c r="A603" s="326">
        <f t="shared" si="65"/>
        <v>51744</v>
      </c>
      <c r="B603" s="1678"/>
      <c r="C603" s="1679">
        <f t="shared" si="62"/>
        <v>1</v>
      </c>
      <c r="D603" s="1679">
        <f>PRODUCT(C$5:C603)</f>
        <v>3.55771976932645</v>
      </c>
      <c r="J603" s="1680"/>
      <c r="K603" s="1680"/>
      <c r="L603" s="1680"/>
      <c r="N603" s="1681"/>
      <c r="O603" s="1681"/>
      <c r="P603" s="1681"/>
      <c r="Q603" s="1681"/>
      <c r="R603" s="1681"/>
      <c r="T603" s="1681"/>
      <c r="U603" s="1681"/>
      <c r="W603" s="1681">
        <f t="shared" si="63"/>
        <v>0</v>
      </c>
      <c r="X603" s="1681"/>
      <c r="Y603" s="1681">
        <f t="shared" si="64"/>
        <v>0</v>
      </c>
      <c r="Z603" s="1681"/>
      <c r="AB603" s="1682"/>
      <c r="AC603" s="1682"/>
      <c r="AE603" s="1683"/>
      <c r="AF603" s="1683"/>
      <c r="AG603" s="1683"/>
      <c r="AH603" s="1683"/>
      <c r="AI603" s="1683"/>
      <c r="AJ603" s="1683"/>
      <c r="AK603" s="1683"/>
      <c r="AL603" s="1683"/>
      <c r="AM603" s="1683"/>
      <c r="AN603" s="1683"/>
      <c r="AO603" s="1683"/>
      <c r="AP603" s="1683"/>
      <c r="AQ603" s="1683"/>
      <c r="AR603" s="1683"/>
      <c r="AS603" s="1683"/>
      <c r="AT603" s="1683"/>
      <c r="AU603" s="1683"/>
      <c r="AV603" s="1683"/>
      <c r="AW603" s="1683"/>
      <c r="AX603" s="1683"/>
      <c r="AY603" s="1683"/>
      <c r="AZ603" s="1683"/>
      <c r="BA603" s="1683"/>
      <c r="BB603" s="1683"/>
    </row>
    <row r="604" spans="1:54">
      <c r="A604" s="326">
        <f t="shared" si="65"/>
        <v>51774</v>
      </c>
      <c r="B604" s="1678"/>
      <c r="C604" s="1679">
        <f t="shared" si="62"/>
        <v>1</v>
      </c>
      <c r="D604" s="1679">
        <f>PRODUCT(C$5:C604)</f>
        <v>3.55771976932645</v>
      </c>
      <c r="J604" s="1680"/>
      <c r="K604" s="1680"/>
      <c r="L604" s="1680"/>
      <c r="N604" s="1681"/>
      <c r="O604" s="1681"/>
      <c r="P604" s="1681"/>
      <c r="Q604" s="1681"/>
      <c r="R604" s="1681"/>
      <c r="T604" s="1681"/>
      <c r="U604" s="1681"/>
      <c r="W604" s="1681">
        <f t="shared" si="63"/>
        <v>0</v>
      </c>
      <c r="X604" s="1681"/>
      <c r="Y604" s="1681">
        <f t="shared" si="64"/>
        <v>0</v>
      </c>
      <c r="Z604" s="1681"/>
      <c r="AB604" s="1682"/>
      <c r="AC604" s="1682"/>
      <c r="AE604" s="1683"/>
      <c r="AF604" s="1683"/>
      <c r="AG604" s="1683"/>
      <c r="AH604" s="1683"/>
      <c r="AI604" s="1683"/>
      <c r="AJ604" s="1683"/>
      <c r="AK604" s="1683"/>
      <c r="AL604" s="1683"/>
      <c r="AM604" s="1683"/>
      <c r="AN604" s="1683"/>
      <c r="AO604" s="1683"/>
      <c r="AP604" s="1683"/>
      <c r="AQ604" s="1683"/>
      <c r="AR604" s="1683"/>
      <c r="AS604" s="1683"/>
      <c r="AT604" s="1683"/>
      <c r="AU604" s="1683"/>
      <c r="AV604" s="1683"/>
      <c r="AW604" s="1683"/>
      <c r="AX604" s="1683"/>
      <c r="AY604" s="1683"/>
      <c r="AZ604" s="1683"/>
      <c r="BA604" s="1683"/>
      <c r="BB604" s="1683"/>
    </row>
    <row r="605" spans="1:54">
      <c r="A605" s="326">
        <f t="shared" si="65"/>
        <v>51805</v>
      </c>
      <c r="B605" s="1678"/>
      <c r="C605" s="1679">
        <f t="shared" si="62"/>
        <v>1</v>
      </c>
      <c r="D605" s="1679">
        <f>PRODUCT(C$5:C605)</f>
        <v>3.55771976932645</v>
      </c>
      <c r="J605" s="1680"/>
      <c r="K605" s="1680"/>
      <c r="L605" s="1680"/>
      <c r="N605" s="1681"/>
      <c r="O605" s="1681"/>
      <c r="P605" s="1681"/>
      <c r="Q605" s="1681"/>
      <c r="R605" s="1681"/>
      <c r="T605" s="1681"/>
      <c r="U605" s="1681"/>
      <c r="W605" s="1681">
        <f t="shared" si="63"/>
        <v>0</v>
      </c>
      <c r="X605" s="1681"/>
      <c r="Y605" s="1681">
        <f t="shared" si="64"/>
        <v>0</v>
      </c>
      <c r="Z605" s="1681"/>
      <c r="AB605" s="1682"/>
      <c r="AC605" s="1682"/>
      <c r="AE605" s="1683"/>
      <c r="AF605" s="1683"/>
      <c r="AG605" s="1683"/>
      <c r="AH605" s="1683"/>
      <c r="AI605" s="1683"/>
      <c r="AJ605" s="1683"/>
      <c r="AK605" s="1683"/>
      <c r="AL605" s="1683"/>
      <c r="AM605" s="1683"/>
      <c r="AN605" s="1683"/>
      <c r="AO605" s="1683"/>
      <c r="AP605" s="1683"/>
      <c r="AQ605" s="1683"/>
      <c r="AR605" s="1683"/>
      <c r="AS605" s="1683"/>
      <c r="AT605" s="1683"/>
      <c r="AU605" s="1683"/>
      <c r="AV605" s="1683"/>
      <c r="AW605" s="1683"/>
      <c r="AX605" s="1683"/>
      <c r="AY605" s="1683"/>
      <c r="AZ605" s="1683"/>
      <c r="BA605" s="1683"/>
      <c r="BB605" s="1683"/>
    </row>
    <row r="606" spans="1:54">
      <c r="A606" s="326">
        <f t="shared" si="65"/>
        <v>51835</v>
      </c>
      <c r="B606" s="1678"/>
      <c r="C606" s="1679">
        <f t="shared" si="62"/>
        <v>1</v>
      </c>
      <c r="D606" s="1679">
        <f>PRODUCT(C$5:C606)</f>
        <v>3.55771976932645</v>
      </c>
      <c r="J606" s="1680"/>
      <c r="K606" s="1680"/>
      <c r="L606" s="1680"/>
      <c r="N606" s="1681"/>
      <c r="O606" s="1681"/>
      <c r="P606" s="1681"/>
      <c r="Q606" s="1681"/>
      <c r="R606" s="1681"/>
      <c r="T606" s="1681"/>
      <c r="U606" s="1681"/>
      <c r="W606" s="1681">
        <f t="shared" si="63"/>
        <v>0</v>
      </c>
      <c r="X606" s="1681"/>
      <c r="Y606" s="1681">
        <f t="shared" si="64"/>
        <v>0</v>
      </c>
      <c r="Z606" s="1681"/>
      <c r="AB606" s="1682"/>
      <c r="AC606" s="1682"/>
      <c r="AE606" s="1683"/>
      <c r="AF606" s="1683"/>
      <c r="AG606" s="1683"/>
      <c r="AH606" s="1683"/>
      <c r="AI606" s="1683"/>
      <c r="AJ606" s="1683"/>
      <c r="AK606" s="1683"/>
      <c r="AL606" s="1683"/>
      <c r="AM606" s="1683"/>
      <c r="AN606" s="1683"/>
      <c r="AO606" s="1683"/>
      <c r="AP606" s="1683"/>
      <c r="AQ606" s="1683"/>
      <c r="AR606" s="1683"/>
      <c r="AS606" s="1683"/>
      <c r="AT606" s="1683"/>
      <c r="AU606" s="1683"/>
      <c r="AV606" s="1683"/>
      <c r="AW606" s="1683"/>
      <c r="AX606" s="1683"/>
      <c r="AY606" s="1683"/>
      <c r="AZ606" s="1683"/>
      <c r="BA606" s="1683"/>
      <c r="BB606" s="1683"/>
    </row>
    <row r="607" spans="1:54">
      <c r="A607" s="326">
        <f t="shared" si="65"/>
        <v>51866</v>
      </c>
      <c r="B607" s="1678"/>
      <c r="C607" s="1679">
        <f t="shared" si="62"/>
        <v>1</v>
      </c>
      <c r="D607" s="1679">
        <f>PRODUCT(C$5:C607)</f>
        <v>3.55771976932645</v>
      </c>
      <c r="J607" s="1680"/>
      <c r="K607" s="1680"/>
      <c r="L607" s="1680"/>
      <c r="N607" s="1681"/>
      <c r="O607" s="1681"/>
      <c r="P607" s="1681"/>
      <c r="Q607" s="1681"/>
      <c r="R607" s="1681"/>
      <c r="T607" s="1681"/>
      <c r="U607" s="1681"/>
      <c r="W607" s="1681">
        <f t="shared" si="63"/>
        <v>0</v>
      </c>
      <c r="X607" s="1681"/>
      <c r="Y607" s="1681">
        <f t="shared" si="64"/>
        <v>0</v>
      </c>
      <c r="Z607" s="1681"/>
      <c r="AB607" s="1682"/>
      <c r="AC607" s="1682"/>
      <c r="AE607" s="1683"/>
      <c r="AF607" s="1683"/>
      <c r="AG607" s="1683"/>
      <c r="AH607" s="1683"/>
      <c r="AI607" s="1683"/>
      <c r="AJ607" s="1683"/>
      <c r="AK607" s="1683"/>
      <c r="AL607" s="1683"/>
      <c r="AM607" s="1683"/>
      <c r="AN607" s="1683"/>
      <c r="AO607" s="1683"/>
      <c r="AP607" s="1683"/>
      <c r="AQ607" s="1683"/>
      <c r="AR607" s="1683"/>
      <c r="AS607" s="1683"/>
      <c r="AT607" s="1683"/>
      <c r="AU607" s="1683"/>
      <c r="AV607" s="1683"/>
      <c r="AW607" s="1683"/>
      <c r="AX607" s="1683"/>
      <c r="AY607" s="1683"/>
      <c r="AZ607" s="1683"/>
      <c r="BA607" s="1683"/>
      <c r="BB607" s="1683"/>
    </row>
    <row r="608" spans="1:54">
      <c r="A608" s="326">
        <f t="shared" si="65"/>
        <v>51897</v>
      </c>
      <c r="B608" s="1678"/>
      <c r="C608" s="1679">
        <f t="shared" si="62"/>
        <v>1</v>
      </c>
      <c r="D608" s="1679">
        <f>PRODUCT(C$5:C608)</f>
        <v>3.55771976932645</v>
      </c>
      <c r="J608" s="1680"/>
      <c r="K608" s="1680"/>
      <c r="L608" s="1680"/>
      <c r="N608" s="1681"/>
      <c r="O608" s="1681"/>
      <c r="P608" s="1681"/>
      <c r="Q608" s="1681"/>
      <c r="R608" s="1681"/>
      <c r="T608" s="1681"/>
      <c r="U608" s="1681"/>
      <c r="W608" s="1681">
        <f t="shared" si="63"/>
        <v>0</v>
      </c>
      <c r="X608" s="1681"/>
      <c r="Y608" s="1681">
        <f t="shared" si="64"/>
        <v>0</v>
      </c>
      <c r="Z608" s="1681"/>
      <c r="AB608" s="1682"/>
      <c r="AC608" s="1682"/>
      <c r="AE608" s="1683"/>
      <c r="AF608" s="1683"/>
      <c r="AG608" s="1683"/>
      <c r="AH608" s="1683"/>
      <c r="AI608" s="1683"/>
      <c r="AJ608" s="1683"/>
      <c r="AK608" s="1683"/>
      <c r="AL608" s="1683"/>
      <c r="AM608" s="1683"/>
      <c r="AN608" s="1683"/>
      <c r="AO608" s="1683"/>
      <c r="AP608" s="1683"/>
      <c r="AQ608" s="1683"/>
      <c r="AR608" s="1683"/>
      <c r="AS608" s="1683"/>
      <c r="AT608" s="1683"/>
      <c r="AU608" s="1683"/>
      <c r="AV608" s="1683"/>
      <c r="AW608" s="1683"/>
      <c r="AX608" s="1683"/>
      <c r="AY608" s="1683"/>
      <c r="AZ608" s="1683"/>
      <c r="BA608" s="1683"/>
      <c r="BB608" s="1683"/>
    </row>
    <row r="609" spans="1:54">
      <c r="A609" s="326">
        <f t="shared" si="65"/>
        <v>51925</v>
      </c>
      <c r="B609" s="1678"/>
      <c r="C609" s="1679">
        <f t="shared" si="62"/>
        <v>1</v>
      </c>
      <c r="D609" s="1679">
        <f>PRODUCT(C$5:C609)</f>
        <v>3.55771976932645</v>
      </c>
      <c r="J609" s="1680"/>
      <c r="K609" s="1680"/>
      <c r="L609" s="1680"/>
      <c r="N609" s="1681"/>
      <c r="O609" s="1681"/>
      <c r="P609" s="1681"/>
      <c r="Q609" s="1681"/>
      <c r="R609" s="1681"/>
      <c r="T609" s="1681"/>
      <c r="U609" s="1681"/>
      <c r="W609" s="1681">
        <f t="shared" si="63"/>
        <v>0</v>
      </c>
      <c r="X609" s="1681"/>
      <c r="Y609" s="1681">
        <f t="shared" si="64"/>
        <v>0</v>
      </c>
      <c r="Z609" s="1681"/>
      <c r="AB609" s="1682"/>
      <c r="AC609" s="1682"/>
      <c r="AE609" s="1683"/>
      <c r="AF609" s="1683"/>
      <c r="AG609" s="1683"/>
      <c r="AH609" s="1683"/>
      <c r="AI609" s="1683"/>
      <c r="AJ609" s="1683"/>
      <c r="AK609" s="1683"/>
      <c r="AL609" s="1683"/>
      <c r="AM609" s="1683"/>
      <c r="AN609" s="1683"/>
      <c r="AO609" s="1683"/>
      <c r="AP609" s="1683"/>
      <c r="AQ609" s="1683"/>
      <c r="AR609" s="1683"/>
      <c r="AS609" s="1683"/>
      <c r="AT609" s="1683"/>
      <c r="AU609" s="1683"/>
      <c r="AV609" s="1683"/>
      <c r="AW609" s="1683"/>
      <c r="AX609" s="1683"/>
      <c r="AY609" s="1683"/>
      <c r="AZ609" s="1683"/>
      <c r="BA609" s="1683"/>
      <c r="BB609" s="1683"/>
    </row>
    <row r="610" spans="1:54">
      <c r="A610" s="326">
        <f t="shared" si="65"/>
        <v>51956</v>
      </c>
      <c r="B610" s="1678"/>
      <c r="C610" s="1679">
        <f t="shared" si="62"/>
        <v>1</v>
      </c>
      <c r="D610" s="1679">
        <f>PRODUCT(C$5:C610)</f>
        <v>3.55771976932645</v>
      </c>
      <c r="J610" s="1680"/>
      <c r="K610" s="1680"/>
      <c r="L610" s="1680"/>
      <c r="N610" s="1681"/>
      <c r="O610" s="1681"/>
      <c r="P610" s="1681"/>
      <c r="Q610" s="1681"/>
      <c r="R610" s="1681"/>
      <c r="T610" s="1681"/>
      <c r="U610" s="1681"/>
      <c r="W610" s="1681">
        <f t="shared" si="63"/>
        <v>0</v>
      </c>
      <c r="X610" s="1681"/>
      <c r="Y610" s="1681">
        <f t="shared" si="64"/>
        <v>0</v>
      </c>
      <c r="Z610" s="1681"/>
      <c r="AB610" s="1682"/>
      <c r="AC610" s="1682"/>
      <c r="AE610" s="1683"/>
      <c r="AF610" s="1683"/>
      <c r="AG610" s="1683"/>
      <c r="AH610" s="1683"/>
      <c r="AI610" s="1683"/>
      <c r="AJ610" s="1683"/>
      <c r="AK610" s="1683"/>
      <c r="AL610" s="1683"/>
      <c r="AM610" s="1683"/>
      <c r="AN610" s="1683"/>
      <c r="AO610" s="1683"/>
      <c r="AP610" s="1683"/>
      <c r="AQ610" s="1683"/>
      <c r="AR610" s="1683"/>
      <c r="AS610" s="1683"/>
      <c r="AT610" s="1683"/>
      <c r="AU610" s="1683"/>
      <c r="AV610" s="1683"/>
      <c r="AW610" s="1683"/>
      <c r="AX610" s="1683"/>
      <c r="AY610" s="1683"/>
      <c r="AZ610" s="1683"/>
      <c r="BA610" s="1683"/>
      <c r="BB610" s="1683"/>
    </row>
    <row r="611" spans="1:54">
      <c r="A611" s="326">
        <f t="shared" si="65"/>
        <v>51986</v>
      </c>
      <c r="B611" s="1678"/>
      <c r="C611" s="1679">
        <f t="shared" si="62"/>
        <v>1</v>
      </c>
      <c r="D611" s="1679">
        <f>PRODUCT(C$5:C611)</f>
        <v>3.55771976932645</v>
      </c>
      <c r="J611" s="1680"/>
      <c r="K611" s="1680"/>
      <c r="L611" s="1680"/>
      <c r="N611" s="1681"/>
      <c r="O611" s="1681"/>
      <c r="P611" s="1681"/>
      <c r="Q611" s="1681"/>
      <c r="R611" s="1681"/>
      <c r="T611" s="1681"/>
      <c r="U611" s="1681"/>
      <c r="W611" s="1681">
        <f t="shared" si="63"/>
        <v>0</v>
      </c>
      <c r="X611" s="1681"/>
      <c r="Y611" s="1681">
        <f t="shared" si="64"/>
        <v>0</v>
      </c>
      <c r="Z611" s="1681"/>
      <c r="AB611" s="1682"/>
      <c r="AC611" s="1682"/>
      <c r="AE611" s="1683"/>
      <c r="AF611" s="1683"/>
      <c r="AG611" s="1683"/>
      <c r="AH611" s="1683"/>
      <c r="AI611" s="1683"/>
      <c r="AJ611" s="1683"/>
      <c r="AK611" s="1683"/>
      <c r="AL611" s="1683"/>
      <c r="AM611" s="1683"/>
      <c r="AN611" s="1683"/>
      <c r="AO611" s="1683"/>
      <c r="AP611" s="1683"/>
      <c r="AQ611" s="1683"/>
      <c r="AR611" s="1683"/>
      <c r="AS611" s="1683"/>
      <c r="AT611" s="1683"/>
      <c r="AU611" s="1683"/>
      <c r="AV611" s="1683"/>
      <c r="AW611" s="1683"/>
      <c r="AX611" s="1683"/>
      <c r="AY611" s="1683"/>
      <c r="AZ611" s="1683"/>
      <c r="BA611" s="1683"/>
      <c r="BB611" s="1683"/>
    </row>
    <row r="612" spans="1:54">
      <c r="A612" s="326">
        <f t="shared" si="65"/>
        <v>52017</v>
      </c>
      <c r="B612" s="1678"/>
      <c r="C612" s="1679">
        <f t="shared" si="62"/>
        <v>1</v>
      </c>
      <c r="D612" s="1679">
        <f>PRODUCT(C$5:C612)</f>
        <v>3.55771976932645</v>
      </c>
      <c r="J612" s="1680"/>
      <c r="K612" s="1680"/>
      <c r="L612" s="1680"/>
      <c r="N612" s="1681"/>
      <c r="O612" s="1681"/>
      <c r="P612" s="1681"/>
      <c r="Q612" s="1681"/>
      <c r="R612" s="1681"/>
      <c r="T612" s="1681"/>
      <c r="U612" s="1681"/>
      <c r="W612" s="1681">
        <f t="shared" si="63"/>
        <v>0</v>
      </c>
      <c r="X612" s="1681"/>
      <c r="Y612" s="1681">
        <f t="shared" si="64"/>
        <v>0</v>
      </c>
      <c r="Z612" s="1681"/>
      <c r="AB612" s="1682"/>
      <c r="AC612" s="1682"/>
      <c r="AE612" s="1683"/>
      <c r="AF612" s="1683"/>
      <c r="AG612" s="1683"/>
      <c r="AH612" s="1683"/>
      <c r="AI612" s="1683"/>
      <c r="AJ612" s="1683"/>
      <c r="AK612" s="1683"/>
      <c r="AL612" s="1683"/>
      <c r="AM612" s="1683"/>
      <c r="AN612" s="1683"/>
      <c r="AO612" s="1683"/>
      <c r="AP612" s="1683"/>
      <c r="AQ612" s="1683"/>
      <c r="AR612" s="1683"/>
      <c r="AS612" s="1683"/>
      <c r="AT612" s="1683"/>
      <c r="AU612" s="1683"/>
      <c r="AV612" s="1683"/>
      <c r="AW612" s="1683"/>
      <c r="AX612" s="1683"/>
      <c r="AY612" s="1683"/>
      <c r="AZ612" s="1683"/>
      <c r="BA612" s="1683"/>
      <c r="BB612" s="1683"/>
    </row>
    <row r="613" spans="1:54">
      <c r="A613" s="326">
        <f t="shared" si="65"/>
        <v>52047</v>
      </c>
      <c r="B613" s="1678"/>
      <c r="C613" s="1679">
        <f t="shared" si="62"/>
        <v>1</v>
      </c>
      <c r="D613" s="1679">
        <f>PRODUCT(C$5:C613)</f>
        <v>3.55771976932645</v>
      </c>
      <c r="J613" s="1680"/>
      <c r="K613" s="1680"/>
      <c r="L613" s="1680"/>
      <c r="N613" s="1681"/>
      <c r="O613" s="1681"/>
      <c r="P613" s="1681"/>
      <c r="Q613" s="1681"/>
      <c r="R613" s="1681"/>
      <c r="T613" s="1681"/>
      <c r="U613" s="1681"/>
      <c r="W613" s="1681">
        <f t="shared" si="63"/>
        <v>0</v>
      </c>
      <c r="X613" s="1681"/>
      <c r="Y613" s="1681">
        <f t="shared" si="64"/>
        <v>0</v>
      </c>
      <c r="Z613" s="1681"/>
      <c r="AB613" s="1682"/>
      <c r="AC613" s="1682"/>
      <c r="AE613" s="1683"/>
      <c r="AF613" s="1683"/>
      <c r="AG613" s="1683"/>
      <c r="AH613" s="1683"/>
      <c r="AI613" s="1683"/>
      <c r="AJ613" s="1683"/>
      <c r="AK613" s="1683"/>
      <c r="AL613" s="1683"/>
      <c r="AM613" s="1683"/>
      <c r="AN613" s="1683"/>
      <c r="AO613" s="1683"/>
      <c r="AP613" s="1683"/>
      <c r="AQ613" s="1683"/>
      <c r="AR613" s="1683"/>
      <c r="AS613" s="1683"/>
      <c r="AT613" s="1683"/>
      <c r="AU613" s="1683"/>
      <c r="AV613" s="1683"/>
      <c r="AW613" s="1683"/>
      <c r="AX613" s="1683"/>
      <c r="AY613" s="1683"/>
      <c r="AZ613" s="1683"/>
      <c r="BA613" s="1683"/>
      <c r="BB613" s="1683"/>
    </row>
    <row r="614" spans="1:54">
      <c r="A614" s="326">
        <f t="shared" si="65"/>
        <v>52078</v>
      </c>
      <c r="B614" s="1678"/>
      <c r="C614" s="1679">
        <f t="shared" si="62"/>
        <v>1</v>
      </c>
      <c r="D614" s="1679">
        <f>PRODUCT(C$5:C614)</f>
        <v>3.55771976932645</v>
      </c>
      <c r="J614" s="1680"/>
      <c r="K614" s="1680"/>
      <c r="L614" s="1680"/>
      <c r="N614" s="1681"/>
      <c r="O614" s="1681"/>
      <c r="P614" s="1681"/>
      <c r="Q614" s="1681"/>
      <c r="R614" s="1681"/>
      <c r="T614" s="1681"/>
      <c r="U614" s="1681"/>
      <c r="W614" s="1681">
        <f t="shared" si="63"/>
        <v>0</v>
      </c>
      <c r="X614" s="1681"/>
      <c r="Y614" s="1681">
        <f t="shared" si="64"/>
        <v>0</v>
      </c>
      <c r="Z614" s="1681"/>
      <c r="AB614" s="1682"/>
      <c r="AC614" s="1682"/>
      <c r="AE614" s="1683"/>
      <c r="AF614" s="1683"/>
      <c r="AG614" s="1683"/>
      <c r="AH614" s="1683"/>
      <c r="AI614" s="1683"/>
      <c r="AJ614" s="1683"/>
      <c r="AK614" s="1683"/>
      <c r="AL614" s="1683"/>
      <c r="AM614" s="1683"/>
      <c r="AN614" s="1683"/>
      <c r="AO614" s="1683"/>
      <c r="AP614" s="1683"/>
      <c r="AQ614" s="1683"/>
      <c r="AR614" s="1683"/>
      <c r="AS614" s="1683"/>
      <c r="AT614" s="1683"/>
      <c r="AU614" s="1683"/>
      <c r="AV614" s="1683"/>
      <c r="AW614" s="1683"/>
      <c r="AX614" s="1683"/>
      <c r="AY614" s="1683"/>
      <c r="AZ614" s="1683"/>
      <c r="BA614" s="1683"/>
      <c r="BB614" s="1683"/>
    </row>
    <row r="615" spans="1:54">
      <c r="A615" s="326">
        <f t="shared" si="65"/>
        <v>52109</v>
      </c>
      <c r="B615" s="1678"/>
      <c r="C615" s="1679">
        <f t="shared" si="62"/>
        <v>1</v>
      </c>
      <c r="D615" s="1679">
        <f>PRODUCT(C$5:C615)</f>
        <v>3.55771976932645</v>
      </c>
      <c r="J615" s="1680"/>
      <c r="K615" s="1680"/>
      <c r="L615" s="1680"/>
      <c r="N615" s="1681"/>
      <c r="O615" s="1681"/>
      <c r="P615" s="1681"/>
      <c r="Q615" s="1681"/>
      <c r="R615" s="1681"/>
      <c r="T615" s="1681"/>
      <c r="U615" s="1681"/>
      <c r="W615" s="1681">
        <f t="shared" si="63"/>
        <v>0</v>
      </c>
      <c r="X615" s="1681"/>
      <c r="Y615" s="1681">
        <f t="shared" si="64"/>
        <v>0</v>
      </c>
      <c r="Z615" s="1681"/>
      <c r="AB615" s="1682"/>
      <c r="AC615" s="1682"/>
      <c r="AE615" s="1683"/>
      <c r="AF615" s="1683"/>
      <c r="AG615" s="1683"/>
      <c r="AH615" s="1683"/>
      <c r="AI615" s="1683"/>
      <c r="AJ615" s="1683"/>
      <c r="AK615" s="1683"/>
      <c r="AL615" s="1683"/>
      <c r="AM615" s="1683"/>
      <c r="AN615" s="1683"/>
      <c r="AO615" s="1683"/>
      <c r="AP615" s="1683"/>
      <c r="AQ615" s="1683"/>
      <c r="AR615" s="1683"/>
      <c r="AS615" s="1683"/>
      <c r="AT615" s="1683"/>
      <c r="AU615" s="1683"/>
      <c r="AV615" s="1683"/>
      <c r="AW615" s="1683"/>
      <c r="AX615" s="1683"/>
      <c r="AY615" s="1683"/>
      <c r="AZ615" s="1683"/>
      <c r="BA615" s="1683"/>
      <c r="BB615" s="1683"/>
    </row>
    <row r="616" spans="1:54">
      <c r="A616" s="326">
        <f t="shared" si="65"/>
        <v>52139</v>
      </c>
      <c r="B616" s="1678"/>
      <c r="C616" s="1679">
        <f t="shared" si="62"/>
        <v>1</v>
      </c>
      <c r="D616" s="1679">
        <f>PRODUCT(C$5:C616)</f>
        <v>3.55771976932645</v>
      </c>
      <c r="J616" s="1680"/>
      <c r="K616" s="1680"/>
      <c r="L616" s="1680"/>
      <c r="N616" s="1681"/>
      <c r="O616" s="1681"/>
      <c r="P616" s="1681"/>
      <c r="Q616" s="1681"/>
      <c r="R616" s="1681"/>
      <c r="T616" s="1681"/>
      <c r="U616" s="1681"/>
      <c r="W616" s="1681">
        <f t="shared" si="63"/>
        <v>0</v>
      </c>
      <c r="X616" s="1681"/>
      <c r="Y616" s="1681">
        <f t="shared" si="64"/>
        <v>0</v>
      </c>
      <c r="Z616" s="1681"/>
      <c r="AB616" s="1682"/>
      <c r="AC616" s="1682"/>
      <c r="AE616" s="1683"/>
      <c r="AF616" s="1683"/>
      <c r="AG616" s="1683"/>
      <c r="AH616" s="1683"/>
      <c r="AI616" s="1683"/>
      <c r="AJ616" s="1683"/>
      <c r="AK616" s="1683"/>
      <c r="AL616" s="1683"/>
      <c r="AM616" s="1683"/>
      <c r="AN616" s="1683"/>
      <c r="AO616" s="1683"/>
      <c r="AP616" s="1683"/>
      <c r="AQ616" s="1683"/>
      <c r="AR616" s="1683"/>
      <c r="AS616" s="1683"/>
      <c r="AT616" s="1683"/>
      <c r="AU616" s="1683"/>
      <c r="AV616" s="1683"/>
      <c r="AW616" s="1683"/>
      <c r="AX616" s="1683"/>
      <c r="AY616" s="1683"/>
      <c r="AZ616" s="1683"/>
      <c r="BA616" s="1683"/>
      <c r="BB616" s="1683"/>
    </row>
    <row r="617" spans="1:54">
      <c r="A617" s="326">
        <f t="shared" si="65"/>
        <v>52170</v>
      </c>
      <c r="B617" s="1678"/>
      <c r="C617" s="1679">
        <f t="shared" si="62"/>
        <v>1</v>
      </c>
      <c r="D617" s="1679">
        <f>PRODUCT(C$5:C617)</f>
        <v>3.55771976932645</v>
      </c>
      <c r="J617" s="1680"/>
      <c r="K617" s="1680"/>
      <c r="L617" s="1680"/>
      <c r="N617" s="1681"/>
      <c r="O617" s="1681"/>
      <c r="P617" s="1681"/>
      <c r="Q617" s="1681"/>
      <c r="R617" s="1681"/>
      <c r="T617" s="1681"/>
      <c r="U617" s="1681"/>
      <c r="W617" s="1681">
        <f t="shared" si="63"/>
        <v>0</v>
      </c>
      <c r="X617" s="1681"/>
      <c r="Y617" s="1681">
        <f t="shared" si="64"/>
        <v>0</v>
      </c>
      <c r="Z617" s="1681"/>
      <c r="AB617" s="1682"/>
      <c r="AC617" s="1682"/>
      <c r="AE617" s="1683"/>
      <c r="AF617" s="1683"/>
      <c r="AG617" s="1683"/>
      <c r="AH617" s="1683"/>
      <c r="AI617" s="1683"/>
      <c r="AJ617" s="1683"/>
      <c r="AK617" s="1683"/>
      <c r="AL617" s="1683"/>
      <c r="AM617" s="1683"/>
      <c r="AN617" s="1683"/>
      <c r="AO617" s="1683"/>
      <c r="AP617" s="1683"/>
      <c r="AQ617" s="1683"/>
      <c r="AR617" s="1683"/>
      <c r="AS617" s="1683"/>
      <c r="AT617" s="1683"/>
      <c r="AU617" s="1683"/>
      <c r="AV617" s="1683"/>
      <c r="AW617" s="1683"/>
      <c r="AX617" s="1683"/>
      <c r="AY617" s="1683"/>
      <c r="AZ617" s="1683"/>
      <c r="BA617" s="1683"/>
      <c r="BB617" s="1683"/>
    </row>
    <row r="618" spans="1:54">
      <c r="A618" s="326">
        <f t="shared" si="65"/>
        <v>52200</v>
      </c>
      <c r="B618" s="1678"/>
      <c r="C618" s="1679">
        <f t="shared" si="62"/>
        <v>1</v>
      </c>
      <c r="D618" s="1679">
        <f>PRODUCT(C$5:C618)</f>
        <v>3.55771976932645</v>
      </c>
      <c r="J618" s="1680"/>
      <c r="K618" s="1680"/>
      <c r="L618" s="1680"/>
      <c r="N618" s="1681"/>
      <c r="O618" s="1681"/>
      <c r="P618" s="1681"/>
      <c r="Q618" s="1681"/>
      <c r="R618" s="1681"/>
      <c r="T618" s="1681"/>
      <c r="U618" s="1681"/>
      <c r="W618" s="1681">
        <f t="shared" si="63"/>
        <v>0</v>
      </c>
      <c r="X618" s="1681"/>
      <c r="Y618" s="1681">
        <f t="shared" si="64"/>
        <v>0</v>
      </c>
      <c r="Z618" s="1681"/>
      <c r="AB618" s="1682"/>
      <c r="AC618" s="1682"/>
      <c r="AE618" s="1683"/>
      <c r="AF618" s="1683"/>
      <c r="AG618" s="1683"/>
      <c r="AH618" s="1683"/>
      <c r="AI618" s="1683"/>
      <c r="AJ618" s="1683"/>
      <c r="AK618" s="1683"/>
      <c r="AL618" s="1683"/>
      <c r="AM618" s="1683"/>
      <c r="AN618" s="1683"/>
      <c r="AO618" s="1683"/>
      <c r="AP618" s="1683"/>
      <c r="AQ618" s="1683"/>
      <c r="AR618" s="1683"/>
      <c r="AS618" s="1683"/>
      <c r="AT618" s="1683"/>
      <c r="AU618" s="1683"/>
      <c r="AV618" s="1683"/>
      <c r="AW618" s="1683"/>
      <c r="AX618" s="1683"/>
      <c r="AY618" s="1683"/>
      <c r="AZ618" s="1683"/>
      <c r="BA618" s="1683"/>
      <c r="BB618" s="1683"/>
    </row>
    <row r="619" spans="1:54">
      <c r="A619" s="326">
        <f t="shared" si="65"/>
        <v>52231</v>
      </c>
      <c r="B619" s="1678"/>
      <c r="C619" s="1679">
        <f t="shared" si="62"/>
        <v>1</v>
      </c>
      <c r="D619" s="1679">
        <f>PRODUCT(C$5:C619)</f>
        <v>3.55771976932645</v>
      </c>
      <c r="J619" s="1680"/>
      <c r="K619" s="1680"/>
      <c r="L619" s="1680"/>
      <c r="N619" s="1681"/>
      <c r="O619" s="1681"/>
      <c r="P619" s="1681"/>
      <c r="Q619" s="1681"/>
      <c r="R619" s="1681"/>
      <c r="T619" s="1681"/>
      <c r="U619" s="1681"/>
      <c r="W619" s="1681">
        <f t="shared" si="63"/>
        <v>0</v>
      </c>
      <c r="X619" s="1681"/>
      <c r="Y619" s="1681">
        <f t="shared" si="64"/>
        <v>0</v>
      </c>
      <c r="Z619" s="1681"/>
      <c r="AB619" s="1682"/>
      <c r="AC619" s="1682"/>
      <c r="AE619" s="1683"/>
      <c r="AF619" s="1683"/>
      <c r="AG619" s="1683"/>
      <c r="AH619" s="1683"/>
      <c r="AI619" s="1683"/>
      <c r="AJ619" s="1683"/>
      <c r="AK619" s="1683"/>
      <c r="AL619" s="1683"/>
      <c r="AM619" s="1683"/>
      <c r="AN619" s="1683"/>
      <c r="AO619" s="1683"/>
      <c r="AP619" s="1683"/>
      <c r="AQ619" s="1683"/>
      <c r="AR619" s="1683"/>
      <c r="AS619" s="1683"/>
      <c r="AT619" s="1683"/>
      <c r="AU619" s="1683"/>
      <c r="AV619" s="1683"/>
      <c r="AW619" s="1683"/>
      <c r="AX619" s="1683"/>
      <c r="AY619" s="1683"/>
      <c r="AZ619" s="1683"/>
      <c r="BA619" s="1683"/>
      <c r="BB619" s="1683"/>
    </row>
    <row r="620" spans="1:54">
      <c r="A620" s="326">
        <f t="shared" si="65"/>
        <v>52262</v>
      </c>
      <c r="B620" s="1678"/>
      <c r="C620" s="1679">
        <f t="shared" si="62"/>
        <v>1</v>
      </c>
      <c r="D620" s="1679">
        <f>PRODUCT(C$5:C620)</f>
        <v>3.55771976932645</v>
      </c>
      <c r="J620" s="1680"/>
      <c r="K620" s="1680"/>
      <c r="L620" s="1680"/>
      <c r="N620" s="1681"/>
      <c r="O620" s="1681"/>
      <c r="P620" s="1681"/>
      <c r="Q620" s="1681"/>
      <c r="R620" s="1681"/>
      <c r="T620" s="1681"/>
      <c r="U620" s="1681"/>
      <c r="W620" s="1681">
        <f t="shared" si="63"/>
        <v>0</v>
      </c>
      <c r="X620" s="1681"/>
      <c r="Y620" s="1681">
        <f t="shared" si="64"/>
        <v>0</v>
      </c>
      <c r="Z620" s="1681"/>
      <c r="AB620" s="1682"/>
      <c r="AC620" s="1682"/>
      <c r="AE620" s="1683"/>
      <c r="AF620" s="1683"/>
      <c r="AG620" s="1683"/>
      <c r="AH620" s="1683"/>
      <c r="AI620" s="1683"/>
      <c r="AJ620" s="1683"/>
      <c r="AK620" s="1683"/>
      <c r="AL620" s="1683"/>
      <c r="AM620" s="1683"/>
      <c r="AN620" s="1683"/>
      <c r="AO620" s="1683"/>
      <c r="AP620" s="1683"/>
      <c r="AQ620" s="1683"/>
      <c r="AR620" s="1683"/>
      <c r="AS620" s="1683"/>
      <c r="AT620" s="1683"/>
      <c r="AU620" s="1683"/>
      <c r="AV620" s="1683"/>
      <c r="AW620" s="1683"/>
      <c r="AX620" s="1683"/>
      <c r="AY620" s="1683"/>
      <c r="AZ620" s="1683"/>
      <c r="BA620" s="1683"/>
      <c r="BB620" s="1683"/>
    </row>
    <row r="621" spans="1:54">
      <c r="A621" s="326">
        <f t="shared" si="65"/>
        <v>52290</v>
      </c>
      <c r="B621" s="1678"/>
      <c r="C621" s="1679">
        <f t="shared" si="62"/>
        <v>1</v>
      </c>
      <c r="D621" s="1679">
        <f>PRODUCT(C$5:C621)</f>
        <v>3.55771976932645</v>
      </c>
      <c r="J621" s="1680"/>
      <c r="K621" s="1680"/>
      <c r="L621" s="1680"/>
      <c r="N621" s="1681"/>
      <c r="O621" s="1681"/>
      <c r="P621" s="1681"/>
      <c r="Q621" s="1681"/>
      <c r="R621" s="1681"/>
      <c r="T621" s="1681"/>
      <c r="U621" s="1681"/>
      <c r="W621" s="1681">
        <f t="shared" si="63"/>
        <v>0</v>
      </c>
      <c r="X621" s="1681"/>
      <c r="Y621" s="1681">
        <f t="shared" si="64"/>
        <v>0</v>
      </c>
      <c r="Z621" s="1681"/>
      <c r="AB621" s="1682"/>
      <c r="AC621" s="1682"/>
      <c r="AE621" s="1683"/>
      <c r="AF621" s="1683"/>
      <c r="AG621" s="1683"/>
      <c r="AH621" s="1683"/>
      <c r="AI621" s="1683"/>
      <c r="AJ621" s="1683"/>
      <c r="AK621" s="1683"/>
      <c r="AL621" s="1683"/>
      <c r="AM621" s="1683"/>
      <c r="AN621" s="1683"/>
      <c r="AO621" s="1683"/>
      <c r="AP621" s="1683"/>
      <c r="AQ621" s="1683"/>
      <c r="AR621" s="1683"/>
      <c r="AS621" s="1683"/>
      <c r="AT621" s="1683"/>
      <c r="AU621" s="1683"/>
      <c r="AV621" s="1683"/>
      <c r="AW621" s="1683"/>
      <c r="AX621" s="1683"/>
      <c r="AY621" s="1683"/>
      <c r="AZ621" s="1683"/>
      <c r="BA621" s="1683"/>
      <c r="BB621" s="1683"/>
    </row>
    <row r="622" spans="1:54">
      <c r="A622" s="326">
        <f t="shared" si="65"/>
        <v>52321</v>
      </c>
      <c r="B622" s="1678"/>
      <c r="C622" s="1679">
        <f t="shared" si="62"/>
        <v>1</v>
      </c>
      <c r="D622" s="1679">
        <f>PRODUCT(C$5:C622)</f>
        <v>3.55771976932645</v>
      </c>
      <c r="J622" s="1680"/>
      <c r="K622" s="1680"/>
      <c r="L622" s="1680"/>
      <c r="N622" s="1681"/>
      <c r="O622" s="1681"/>
      <c r="P622" s="1681"/>
      <c r="Q622" s="1681"/>
      <c r="R622" s="1681"/>
      <c r="T622" s="1681"/>
      <c r="U622" s="1681"/>
      <c r="W622" s="1681">
        <f t="shared" si="63"/>
        <v>0</v>
      </c>
      <c r="X622" s="1681"/>
      <c r="Y622" s="1681">
        <f t="shared" si="64"/>
        <v>0</v>
      </c>
      <c r="Z622" s="1681"/>
      <c r="AB622" s="1682"/>
      <c r="AC622" s="1682"/>
      <c r="AE622" s="1683"/>
      <c r="AF622" s="1683"/>
      <c r="AG622" s="1683"/>
      <c r="AH622" s="1683"/>
      <c r="AI622" s="1683"/>
      <c r="AJ622" s="1683"/>
      <c r="AK622" s="1683"/>
      <c r="AL622" s="1683"/>
      <c r="AM622" s="1683"/>
      <c r="AN622" s="1683"/>
      <c r="AO622" s="1683"/>
      <c r="AP622" s="1683"/>
      <c r="AQ622" s="1683"/>
      <c r="AR622" s="1683"/>
      <c r="AS622" s="1683"/>
      <c r="AT622" s="1683"/>
      <c r="AU622" s="1683"/>
      <c r="AV622" s="1683"/>
      <c r="AW622" s="1683"/>
      <c r="AX622" s="1683"/>
      <c r="AY622" s="1683"/>
      <c r="AZ622" s="1683"/>
      <c r="BA622" s="1683"/>
      <c r="BB622" s="1683"/>
    </row>
    <row r="623" spans="1:54">
      <c r="A623" s="326">
        <f t="shared" si="65"/>
        <v>52351</v>
      </c>
      <c r="B623" s="1678"/>
      <c r="C623" s="1679">
        <f t="shared" si="62"/>
        <v>1</v>
      </c>
      <c r="D623" s="1679">
        <f>PRODUCT(C$5:C623)</f>
        <v>3.55771976932645</v>
      </c>
      <c r="J623" s="1680"/>
      <c r="K623" s="1680"/>
      <c r="L623" s="1680"/>
      <c r="N623" s="1681"/>
      <c r="O623" s="1681"/>
      <c r="P623" s="1681"/>
      <c r="Q623" s="1681"/>
      <c r="R623" s="1681"/>
      <c r="T623" s="1681"/>
      <c r="U623" s="1681"/>
      <c r="W623" s="1681">
        <f t="shared" si="63"/>
        <v>0</v>
      </c>
      <c r="X623" s="1681"/>
      <c r="Y623" s="1681">
        <f t="shared" si="64"/>
        <v>0</v>
      </c>
      <c r="Z623" s="1681"/>
      <c r="AB623" s="1682"/>
      <c r="AC623" s="1682"/>
      <c r="AE623" s="1683"/>
      <c r="AF623" s="1683"/>
      <c r="AG623" s="1683"/>
      <c r="AH623" s="1683"/>
      <c r="AI623" s="1683"/>
      <c r="AJ623" s="1683"/>
      <c r="AK623" s="1683"/>
      <c r="AL623" s="1683"/>
      <c r="AM623" s="1683"/>
      <c r="AN623" s="1683"/>
      <c r="AO623" s="1683"/>
      <c r="AP623" s="1683"/>
      <c r="AQ623" s="1683"/>
      <c r="AR623" s="1683"/>
      <c r="AS623" s="1683"/>
      <c r="AT623" s="1683"/>
      <c r="AU623" s="1683"/>
      <c r="AV623" s="1683"/>
      <c r="AW623" s="1683"/>
      <c r="AX623" s="1683"/>
      <c r="AY623" s="1683"/>
      <c r="AZ623" s="1683"/>
      <c r="BA623" s="1683"/>
      <c r="BB623" s="1683"/>
    </row>
    <row r="624" spans="1:54">
      <c r="A624" s="326">
        <f t="shared" si="65"/>
        <v>52382</v>
      </c>
      <c r="B624" s="1678"/>
      <c r="C624" s="1679">
        <f t="shared" si="62"/>
        <v>1</v>
      </c>
      <c r="D624" s="1679">
        <f>PRODUCT(C$5:C624)</f>
        <v>3.55771976932645</v>
      </c>
      <c r="J624" s="1680"/>
      <c r="K624" s="1680"/>
      <c r="L624" s="1680"/>
      <c r="N624" s="1681"/>
      <c r="O624" s="1681"/>
      <c r="P624" s="1681"/>
      <c r="Q624" s="1681"/>
      <c r="R624" s="1681"/>
      <c r="T624" s="1681"/>
      <c r="U624" s="1681"/>
      <c r="W624" s="1681">
        <f t="shared" si="63"/>
        <v>0</v>
      </c>
      <c r="X624" s="1681"/>
      <c r="Y624" s="1681">
        <f t="shared" si="64"/>
        <v>0</v>
      </c>
      <c r="Z624" s="1681"/>
      <c r="AB624" s="1682"/>
      <c r="AC624" s="1682"/>
      <c r="AE624" s="1683"/>
      <c r="AF624" s="1683"/>
      <c r="AG624" s="1683"/>
      <c r="AH624" s="1683"/>
      <c r="AI624" s="1683"/>
      <c r="AJ624" s="1683"/>
      <c r="AK624" s="1683"/>
      <c r="AL624" s="1683"/>
      <c r="AM624" s="1683"/>
      <c r="AN624" s="1683"/>
      <c r="AO624" s="1683"/>
      <c r="AP624" s="1683"/>
      <c r="AQ624" s="1683"/>
      <c r="AR624" s="1683"/>
      <c r="AS624" s="1683"/>
      <c r="AT624" s="1683"/>
      <c r="AU624" s="1683"/>
      <c r="AV624" s="1683"/>
      <c r="AW624" s="1683"/>
      <c r="AX624" s="1683"/>
      <c r="AY624" s="1683"/>
      <c r="AZ624" s="1683"/>
      <c r="BA624" s="1683"/>
      <c r="BB624" s="1683"/>
    </row>
    <row r="625" spans="1:54">
      <c r="A625" s="326">
        <f t="shared" si="65"/>
        <v>52412</v>
      </c>
      <c r="B625" s="1678"/>
      <c r="C625" s="1679">
        <f t="shared" si="62"/>
        <v>1</v>
      </c>
      <c r="D625" s="1679">
        <f>PRODUCT(C$5:C625)</f>
        <v>3.55771976932645</v>
      </c>
      <c r="J625" s="1680"/>
      <c r="K625" s="1680"/>
      <c r="L625" s="1680"/>
      <c r="N625" s="1681"/>
      <c r="O625" s="1681"/>
      <c r="P625" s="1681"/>
      <c r="Q625" s="1681"/>
      <c r="R625" s="1681"/>
      <c r="T625" s="1681"/>
      <c r="U625" s="1681"/>
      <c r="W625" s="1681">
        <f t="shared" si="63"/>
        <v>0</v>
      </c>
      <c r="X625" s="1681"/>
      <c r="Y625" s="1681">
        <f t="shared" si="64"/>
        <v>0</v>
      </c>
      <c r="Z625" s="1681"/>
      <c r="AB625" s="1682"/>
      <c r="AC625" s="1682"/>
      <c r="AE625" s="1683"/>
      <c r="AF625" s="1683"/>
      <c r="AG625" s="1683"/>
      <c r="AH625" s="1683"/>
      <c r="AI625" s="1683"/>
      <c r="AJ625" s="1683"/>
      <c r="AK625" s="1683"/>
      <c r="AL625" s="1683"/>
      <c r="AM625" s="1683"/>
      <c r="AN625" s="1683"/>
      <c r="AO625" s="1683"/>
      <c r="AP625" s="1683"/>
      <c r="AQ625" s="1683"/>
      <c r="AR625" s="1683"/>
      <c r="AS625" s="1683"/>
      <c r="AT625" s="1683"/>
      <c r="AU625" s="1683"/>
      <c r="AV625" s="1683"/>
      <c r="AW625" s="1683"/>
      <c r="AX625" s="1683"/>
      <c r="AY625" s="1683"/>
      <c r="AZ625" s="1683"/>
      <c r="BA625" s="1683"/>
      <c r="BB625" s="1683"/>
    </row>
    <row r="626" spans="1:54">
      <c r="A626" s="326">
        <f t="shared" si="65"/>
        <v>52443</v>
      </c>
      <c r="B626" s="1678"/>
      <c r="C626" s="1679">
        <f t="shared" si="62"/>
        <v>1</v>
      </c>
      <c r="D626" s="1679">
        <f>PRODUCT(C$5:C626)</f>
        <v>3.55771976932645</v>
      </c>
      <c r="J626" s="1680"/>
      <c r="K626" s="1680"/>
      <c r="L626" s="1680"/>
      <c r="N626" s="1681"/>
      <c r="O626" s="1681"/>
      <c r="P626" s="1681"/>
      <c r="Q626" s="1681"/>
      <c r="R626" s="1681"/>
      <c r="T626" s="1681"/>
      <c r="U626" s="1681"/>
      <c r="W626" s="1681">
        <f t="shared" si="63"/>
        <v>0</v>
      </c>
      <c r="X626" s="1681"/>
      <c r="Y626" s="1681">
        <f t="shared" si="64"/>
        <v>0</v>
      </c>
      <c r="Z626" s="1681"/>
      <c r="AB626" s="1682"/>
      <c r="AC626" s="1682"/>
      <c r="AE626" s="1683"/>
      <c r="AF626" s="1683"/>
      <c r="AG626" s="1683"/>
      <c r="AH626" s="1683"/>
      <c r="AI626" s="1683"/>
      <c r="AJ626" s="1683"/>
      <c r="AK626" s="1683"/>
      <c r="AL626" s="1683"/>
      <c r="AM626" s="1683"/>
      <c r="AN626" s="1683"/>
      <c r="AO626" s="1683"/>
      <c r="AP626" s="1683"/>
      <c r="AQ626" s="1683"/>
      <c r="AR626" s="1683"/>
      <c r="AS626" s="1683"/>
      <c r="AT626" s="1683"/>
      <c r="AU626" s="1683"/>
      <c r="AV626" s="1683"/>
      <c r="AW626" s="1683"/>
      <c r="AX626" s="1683"/>
      <c r="AY626" s="1683"/>
      <c r="AZ626" s="1683"/>
      <c r="BA626" s="1683"/>
      <c r="BB626" s="1683"/>
    </row>
    <row r="627" spans="1:54">
      <c r="A627" s="326">
        <f t="shared" si="65"/>
        <v>52474</v>
      </c>
      <c r="B627" s="1678"/>
      <c r="C627" s="1679">
        <f t="shared" si="62"/>
        <v>1</v>
      </c>
      <c r="D627" s="1679">
        <f>PRODUCT(C$5:C627)</f>
        <v>3.55771976932645</v>
      </c>
      <c r="J627" s="1680"/>
      <c r="K627" s="1680"/>
      <c r="L627" s="1680"/>
      <c r="N627" s="1681"/>
      <c r="O627" s="1681"/>
      <c r="P627" s="1681"/>
      <c r="Q627" s="1681"/>
      <c r="R627" s="1681"/>
      <c r="T627" s="1681"/>
      <c r="U627" s="1681"/>
      <c r="W627" s="1681">
        <f t="shared" si="63"/>
        <v>0</v>
      </c>
      <c r="X627" s="1681"/>
      <c r="Y627" s="1681">
        <f t="shared" si="64"/>
        <v>0</v>
      </c>
      <c r="Z627" s="1681"/>
      <c r="AB627" s="1682"/>
      <c r="AC627" s="1682"/>
      <c r="AE627" s="1683"/>
      <c r="AF627" s="1683"/>
      <c r="AG627" s="1683"/>
      <c r="AH627" s="1683"/>
      <c r="AI627" s="1683"/>
      <c r="AJ627" s="1683"/>
      <c r="AK627" s="1683"/>
      <c r="AL627" s="1683"/>
      <c r="AM627" s="1683"/>
      <c r="AN627" s="1683"/>
      <c r="AO627" s="1683"/>
      <c r="AP627" s="1683"/>
      <c r="AQ627" s="1683"/>
      <c r="AR627" s="1683"/>
      <c r="AS627" s="1683"/>
      <c r="AT627" s="1683"/>
      <c r="AU627" s="1683"/>
      <c r="AV627" s="1683"/>
      <c r="AW627" s="1683"/>
      <c r="AX627" s="1683"/>
      <c r="AY627" s="1683"/>
      <c r="AZ627" s="1683"/>
      <c r="BA627" s="1683"/>
      <c r="BB627" s="1683"/>
    </row>
    <row r="628" spans="1:54">
      <c r="A628" s="326">
        <f t="shared" si="65"/>
        <v>52504</v>
      </c>
      <c r="B628" s="1678"/>
      <c r="C628" s="1679">
        <f t="shared" si="62"/>
        <v>1</v>
      </c>
      <c r="D628" s="1679">
        <f>PRODUCT(C$5:C628)</f>
        <v>3.55771976932645</v>
      </c>
      <c r="J628" s="1680"/>
      <c r="K628" s="1680"/>
      <c r="L628" s="1680"/>
      <c r="N628" s="1681"/>
      <c r="O628" s="1681"/>
      <c r="P628" s="1681"/>
      <c r="Q628" s="1681"/>
      <c r="R628" s="1681"/>
      <c r="T628" s="1681"/>
      <c r="U628" s="1681"/>
      <c r="W628" s="1681">
        <f t="shared" si="63"/>
        <v>0</v>
      </c>
      <c r="X628" s="1681"/>
      <c r="Y628" s="1681">
        <f t="shared" si="64"/>
        <v>0</v>
      </c>
      <c r="Z628" s="1681"/>
      <c r="AB628" s="1682"/>
      <c r="AC628" s="1682"/>
      <c r="AE628" s="1683"/>
      <c r="AF628" s="1683"/>
      <c r="AG628" s="1683"/>
      <c r="AH628" s="1683"/>
      <c r="AI628" s="1683"/>
      <c r="AJ628" s="1683"/>
      <c r="AK628" s="1683"/>
      <c r="AL628" s="1683"/>
      <c r="AM628" s="1683"/>
      <c r="AN628" s="1683"/>
      <c r="AO628" s="1683"/>
      <c r="AP628" s="1683"/>
      <c r="AQ628" s="1683"/>
      <c r="AR628" s="1683"/>
      <c r="AS628" s="1683"/>
      <c r="AT628" s="1683"/>
      <c r="AU628" s="1683"/>
      <c r="AV628" s="1683"/>
      <c r="AW628" s="1683"/>
      <c r="AX628" s="1683"/>
      <c r="AY628" s="1683"/>
      <c r="AZ628" s="1683"/>
      <c r="BA628" s="1683"/>
      <c r="BB628" s="1683"/>
    </row>
    <row r="629" spans="1:54">
      <c r="A629" s="326">
        <f t="shared" si="65"/>
        <v>52535</v>
      </c>
      <c r="B629" s="1678"/>
      <c r="C629" s="1679">
        <f t="shared" si="62"/>
        <v>1</v>
      </c>
      <c r="D629" s="1679">
        <f>PRODUCT(C$5:C629)</f>
        <v>3.55771976932645</v>
      </c>
      <c r="J629" s="1680"/>
      <c r="K629" s="1680"/>
      <c r="L629" s="1680"/>
      <c r="N629" s="1681"/>
      <c r="O629" s="1681"/>
      <c r="P629" s="1681"/>
      <c r="Q629" s="1681"/>
      <c r="R629" s="1681"/>
      <c r="T629" s="1681"/>
      <c r="U629" s="1681"/>
      <c r="W629" s="1681">
        <f t="shared" si="63"/>
        <v>0</v>
      </c>
      <c r="X629" s="1681"/>
      <c r="Y629" s="1681">
        <f t="shared" si="64"/>
        <v>0</v>
      </c>
      <c r="Z629" s="1681"/>
      <c r="AB629" s="1682"/>
      <c r="AC629" s="1682"/>
      <c r="AE629" s="1683"/>
      <c r="AF629" s="1683"/>
      <c r="AG629" s="1683"/>
      <c r="AH629" s="1683"/>
      <c r="AI629" s="1683"/>
      <c r="AJ629" s="1683"/>
      <c r="AK629" s="1683"/>
      <c r="AL629" s="1683"/>
      <c r="AM629" s="1683"/>
      <c r="AN629" s="1683"/>
      <c r="AO629" s="1683"/>
      <c r="AP629" s="1683"/>
      <c r="AQ629" s="1683"/>
      <c r="AR629" s="1683"/>
      <c r="AS629" s="1683"/>
      <c r="AT629" s="1683"/>
      <c r="AU629" s="1683"/>
      <c r="AV629" s="1683"/>
      <c r="AW629" s="1683"/>
      <c r="AX629" s="1683"/>
      <c r="AY629" s="1683"/>
      <c r="AZ629" s="1683"/>
      <c r="BA629" s="1683"/>
      <c r="BB629" s="1683"/>
    </row>
    <row r="630" spans="1:54">
      <c r="A630" s="326">
        <f t="shared" si="65"/>
        <v>52565</v>
      </c>
      <c r="B630" s="1678"/>
      <c r="C630" s="1679">
        <f t="shared" si="62"/>
        <v>1</v>
      </c>
      <c r="D630" s="1679">
        <f>PRODUCT(C$5:C630)</f>
        <v>3.55771976932645</v>
      </c>
      <c r="J630" s="1680"/>
      <c r="K630" s="1680"/>
      <c r="L630" s="1680"/>
      <c r="N630" s="1681"/>
      <c r="O630" s="1681"/>
      <c r="P630" s="1681"/>
      <c r="Q630" s="1681"/>
      <c r="R630" s="1681"/>
      <c r="T630" s="1681"/>
      <c r="U630" s="1681"/>
      <c r="W630" s="1681">
        <f t="shared" si="63"/>
        <v>0</v>
      </c>
      <c r="X630" s="1681"/>
      <c r="Y630" s="1681">
        <f t="shared" si="64"/>
        <v>0</v>
      </c>
      <c r="Z630" s="1681"/>
      <c r="AB630" s="1682"/>
      <c r="AC630" s="1682"/>
      <c r="AE630" s="1683"/>
      <c r="AF630" s="1683"/>
      <c r="AG630" s="1683"/>
      <c r="AH630" s="1683"/>
      <c r="AI630" s="1683"/>
      <c r="AJ630" s="1683"/>
      <c r="AK630" s="1683"/>
      <c r="AL630" s="1683"/>
      <c r="AM630" s="1683"/>
      <c r="AN630" s="1683"/>
      <c r="AO630" s="1683"/>
      <c r="AP630" s="1683"/>
      <c r="AQ630" s="1683"/>
      <c r="AR630" s="1683"/>
      <c r="AS630" s="1683"/>
      <c r="AT630" s="1683"/>
      <c r="AU630" s="1683"/>
      <c r="AV630" s="1683"/>
      <c r="AW630" s="1683"/>
      <c r="AX630" s="1683"/>
      <c r="AY630" s="1683"/>
      <c r="AZ630" s="1683"/>
      <c r="BA630" s="1683"/>
      <c r="BB630" s="1683"/>
    </row>
    <row r="631" spans="1:54">
      <c r="A631" s="326">
        <f t="shared" si="65"/>
        <v>52596</v>
      </c>
      <c r="B631" s="1678"/>
      <c r="C631" s="1679">
        <f t="shared" si="62"/>
        <v>1</v>
      </c>
      <c r="D631" s="1679">
        <f>PRODUCT(C$5:C631)</f>
        <v>3.55771976932645</v>
      </c>
      <c r="J631" s="1680"/>
      <c r="K631" s="1680"/>
      <c r="L631" s="1680"/>
      <c r="N631" s="1681"/>
      <c r="O631" s="1681"/>
      <c r="P631" s="1681"/>
      <c r="Q631" s="1681"/>
      <c r="R631" s="1681"/>
      <c r="T631" s="1681"/>
      <c r="U631" s="1681"/>
      <c r="W631" s="1681">
        <f t="shared" si="63"/>
        <v>0</v>
      </c>
      <c r="X631" s="1681"/>
      <c r="Y631" s="1681">
        <f t="shared" si="64"/>
        <v>0</v>
      </c>
      <c r="Z631" s="1681"/>
      <c r="AB631" s="1682"/>
      <c r="AC631" s="1682"/>
      <c r="AE631" s="1683"/>
      <c r="AF631" s="1683"/>
      <c r="AG631" s="1683"/>
      <c r="AH631" s="1683"/>
      <c r="AI631" s="1683"/>
      <c r="AJ631" s="1683"/>
      <c r="AK631" s="1683"/>
      <c r="AL631" s="1683"/>
      <c r="AM631" s="1683"/>
      <c r="AN631" s="1683"/>
      <c r="AO631" s="1683"/>
      <c r="AP631" s="1683"/>
      <c r="AQ631" s="1683"/>
      <c r="AR631" s="1683"/>
      <c r="AS631" s="1683"/>
      <c r="AT631" s="1683"/>
      <c r="AU631" s="1683"/>
      <c r="AV631" s="1683"/>
      <c r="AW631" s="1683"/>
      <c r="AX631" s="1683"/>
      <c r="AY631" s="1683"/>
      <c r="AZ631" s="1683"/>
      <c r="BA631" s="1683"/>
      <c r="BB631" s="1683"/>
    </row>
    <row r="632" spans="1:54">
      <c r="A632" s="326">
        <f t="shared" si="65"/>
        <v>52627</v>
      </c>
      <c r="B632" s="1678"/>
      <c r="C632" s="1679">
        <f t="shared" ref="C632:C695" si="66">IF(B632="",1,B632/100)</f>
        <v>1</v>
      </c>
      <c r="D632" s="1679">
        <f>PRODUCT(C$5:C632)</f>
        <v>3.55771976932645</v>
      </c>
      <c r="J632" s="1680"/>
      <c r="K632" s="1680"/>
      <c r="L632" s="1680"/>
      <c r="N632" s="1681"/>
      <c r="O632" s="1681"/>
      <c r="P632" s="1681"/>
      <c r="Q632" s="1681"/>
      <c r="R632" s="1681"/>
      <c r="T632" s="1681"/>
      <c r="U632" s="1681"/>
      <c r="W632" s="1681">
        <f t="shared" ref="W632:W695" si="67">Q632</f>
        <v>0</v>
      </c>
      <c r="X632" s="1681"/>
      <c r="Y632" s="1681">
        <f t="shared" ref="Y632:Y695" si="68">R632</f>
        <v>0</v>
      </c>
      <c r="Z632" s="1681"/>
      <c r="AB632" s="1682"/>
      <c r="AC632" s="1682"/>
      <c r="AE632" s="1683"/>
      <c r="AF632" s="1683"/>
      <c r="AG632" s="1683"/>
      <c r="AH632" s="1683"/>
      <c r="AI632" s="1683"/>
      <c r="AJ632" s="1683"/>
      <c r="AK632" s="1683"/>
      <c r="AL632" s="1683"/>
      <c r="AM632" s="1683"/>
      <c r="AN632" s="1683"/>
      <c r="AO632" s="1683"/>
      <c r="AP632" s="1683"/>
      <c r="AQ632" s="1683"/>
      <c r="AR632" s="1683"/>
      <c r="AS632" s="1683"/>
      <c r="AT632" s="1683"/>
      <c r="AU632" s="1683"/>
      <c r="AV632" s="1683"/>
      <c r="AW632" s="1683"/>
      <c r="AX632" s="1683"/>
      <c r="AY632" s="1683"/>
      <c r="AZ632" s="1683"/>
      <c r="BA632" s="1683"/>
      <c r="BB632" s="1683"/>
    </row>
    <row r="633" spans="1:54">
      <c r="A633" s="326">
        <f t="shared" si="65"/>
        <v>52656</v>
      </c>
      <c r="B633" s="1678"/>
      <c r="C633" s="1679">
        <f t="shared" si="66"/>
        <v>1</v>
      </c>
      <c r="D633" s="1679">
        <f>PRODUCT(C$5:C633)</f>
        <v>3.55771976932645</v>
      </c>
      <c r="J633" s="1680"/>
      <c r="K633" s="1680"/>
      <c r="L633" s="1680"/>
      <c r="N633" s="1681"/>
      <c r="O633" s="1681"/>
      <c r="P633" s="1681"/>
      <c r="Q633" s="1681"/>
      <c r="R633" s="1681"/>
      <c r="T633" s="1681"/>
      <c r="U633" s="1681"/>
      <c r="W633" s="1681">
        <f t="shared" si="67"/>
        <v>0</v>
      </c>
      <c r="X633" s="1681"/>
      <c r="Y633" s="1681">
        <f t="shared" si="68"/>
        <v>0</v>
      </c>
      <c r="Z633" s="1681"/>
      <c r="AB633" s="1682"/>
      <c r="AC633" s="1682"/>
      <c r="AE633" s="1683"/>
      <c r="AF633" s="1683"/>
      <c r="AG633" s="1683"/>
      <c r="AH633" s="1683"/>
      <c r="AI633" s="1683"/>
      <c r="AJ633" s="1683"/>
      <c r="AK633" s="1683"/>
      <c r="AL633" s="1683"/>
      <c r="AM633" s="1683"/>
      <c r="AN633" s="1683"/>
      <c r="AO633" s="1683"/>
      <c r="AP633" s="1683"/>
      <c r="AQ633" s="1683"/>
      <c r="AR633" s="1683"/>
      <c r="AS633" s="1683"/>
      <c r="AT633" s="1683"/>
      <c r="AU633" s="1683"/>
      <c r="AV633" s="1683"/>
      <c r="AW633" s="1683"/>
      <c r="AX633" s="1683"/>
      <c r="AY633" s="1683"/>
      <c r="AZ633" s="1683"/>
      <c r="BA633" s="1683"/>
      <c r="BB633" s="1683"/>
    </row>
    <row r="634" spans="1:54">
      <c r="A634" s="326">
        <f t="shared" si="65"/>
        <v>52687</v>
      </c>
      <c r="B634" s="1678"/>
      <c r="C634" s="1679">
        <f t="shared" si="66"/>
        <v>1</v>
      </c>
      <c r="D634" s="1679">
        <f>PRODUCT(C$5:C634)</f>
        <v>3.55771976932645</v>
      </c>
      <c r="J634" s="1680"/>
      <c r="K634" s="1680"/>
      <c r="L634" s="1680"/>
      <c r="N634" s="1681"/>
      <c r="O634" s="1681"/>
      <c r="P634" s="1681"/>
      <c r="Q634" s="1681"/>
      <c r="R634" s="1681"/>
      <c r="T634" s="1681"/>
      <c r="U634" s="1681"/>
      <c r="W634" s="1681">
        <f t="shared" si="67"/>
        <v>0</v>
      </c>
      <c r="X634" s="1681"/>
      <c r="Y634" s="1681">
        <f t="shared" si="68"/>
        <v>0</v>
      </c>
      <c r="Z634" s="1681"/>
      <c r="AB634" s="1682"/>
      <c r="AC634" s="1682"/>
      <c r="AE634" s="1683"/>
      <c r="AF634" s="1683"/>
      <c r="AG634" s="1683"/>
      <c r="AH634" s="1683"/>
      <c r="AI634" s="1683"/>
      <c r="AJ634" s="1683"/>
      <c r="AK634" s="1683"/>
      <c r="AL634" s="1683"/>
      <c r="AM634" s="1683"/>
      <c r="AN634" s="1683"/>
      <c r="AO634" s="1683"/>
      <c r="AP634" s="1683"/>
      <c r="AQ634" s="1683"/>
      <c r="AR634" s="1683"/>
      <c r="AS634" s="1683"/>
      <c r="AT634" s="1683"/>
      <c r="AU634" s="1683"/>
      <c r="AV634" s="1683"/>
      <c r="AW634" s="1683"/>
      <c r="AX634" s="1683"/>
      <c r="AY634" s="1683"/>
      <c r="AZ634" s="1683"/>
      <c r="BA634" s="1683"/>
      <c r="BB634" s="1683"/>
    </row>
    <row r="635" spans="1:54">
      <c r="A635" s="326">
        <f t="shared" si="65"/>
        <v>52717</v>
      </c>
      <c r="B635" s="1678"/>
      <c r="C635" s="1679">
        <f t="shared" si="66"/>
        <v>1</v>
      </c>
      <c r="D635" s="1679">
        <f>PRODUCT(C$5:C635)</f>
        <v>3.55771976932645</v>
      </c>
      <c r="J635" s="1680"/>
      <c r="K635" s="1680"/>
      <c r="L635" s="1680"/>
      <c r="N635" s="1681"/>
      <c r="O635" s="1681"/>
      <c r="P635" s="1681"/>
      <c r="Q635" s="1681"/>
      <c r="R635" s="1681"/>
      <c r="T635" s="1681"/>
      <c r="U635" s="1681"/>
      <c r="W635" s="1681">
        <f t="shared" si="67"/>
        <v>0</v>
      </c>
      <c r="X635" s="1681"/>
      <c r="Y635" s="1681">
        <f t="shared" si="68"/>
        <v>0</v>
      </c>
      <c r="Z635" s="1681"/>
      <c r="AB635" s="1682"/>
      <c r="AC635" s="1682"/>
      <c r="AE635" s="1683"/>
      <c r="AF635" s="1683"/>
      <c r="AG635" s="1683"/>
      <c r="AH635" s="1683"/>
      <c r="AI635" s="1683"/>
      <c r="AJ635" s="1683"/>
      <c r="AK635" s="1683"/>
      <c r="AL635" s="1683"/>
      <c r="AM635" s="1683"/>
      <c r="AN635" s="1683"/>
      <c r="AO635" s="1683"/>
      <c r="AP635" s="1683"/>
      <c r="AQ635" s="1683"/>
      <c r="AR635" s="1683"/>
      <c r="AS635" s="1683"/>
      <c r="AT635" s="1683"/>
      <c r="AU635" s="1683"/>
      <c r="AV635" s="1683"/>
      <c r="AW635" s="1683"/>
      <c r="AX635" s="1683"/>
      <c r="AY635" s="1683"/>
      <c r="AZ635" s="1683"/>
      <c r="BA635" s="1683"/>
      <c r="BB635" s="1683"/>
    </row>
    <row r="636" spans="1:54">
      <c r="A636" s="326">
        <f t="shared" si="65"/>
        <v>52748</v>
      </c>
      <c r="B636" s="1678"/>
      <c r="C636" s="1679">
        <f t="shared" si="66"/>
        <v>1</v>
      </c>
      <c r="D636" s="1679">
        <f>PRODUCT(C$5:C636)</f>
        <v>3.55771976932645</v>
      </c>
      <c r="J636" s="1680"/>
      <c r="K636" s="1680"/>
      <c r="L636" s="1680"/>
      <c r="N636" s="1681"/>
      <c r="O636" s="1681"/>
      <c r="P636" s="1681"/>
      <c r="Q636" s="1681"/>
      <c r="R636" s="1681"/>
      <c r="T636" s="1681"/>
      <c r="U636" s="1681"/>
      <c r="W636" s="1681">
        <f t="shared" si="67"/>
        <v>0</v>
      </c>
      <c r="X636" s="1681"/>
      <c r="Y636" s="1681">
        <f t="shared" si="68"/>
        <v>0</v>
      </c>
      <c r="Z636" s="1681"/>
      <c r="AB636" s="1682"/>
      <c r="AC636" s="1682"/>
      <c r="AE636" s="1683"/>
      <c r="AF636" s="1683"/>
      <c r="AG636" s="1683"/>
      <c r="AH636" s="1683"/>
      <c r="AI636" s="1683"/>
      <c r="AJ636" s="1683"/>
      <c r="AK636" s="1683"/>
      <c r="AL636" s="1683"/>
      <c r="AM636" s="1683"/>
      <c r="AN636" s="1683"/>
      <c r="AO636" s="1683"/>
      <c r="AP636" s="1683"/>
      <c r="AQ636" s="1683"/>
      <c r="AR636" s="1683"/>
      <c r="AS636" s="1683"/>
      <c r="AT636" s="1683"/>
      <c r="AU636" s="1683"/>
      <c r="AV636" s="1683"/>
      <c r="AW636" s="1683"/>
      <c r="AX636" s="1683"/>
      <c r="AY636" s="1683"/>
      <c r="AZ636" s="1683"/>
      <c r="BA636" s="1683"/>
      <c r="BB636" s="1683"/>
    </row>
    <row r="637" spans="1:54">
      <c r="A637" s="326">
        <f t="shared" si="65"/>
        <v>52778</v>
      </c>
      <c r="B637" s="1678"/>
      <c r="C637" s="1679">
        <f t="shared" si="66"/>
        <v>1</v>
      </c>
      <c r="D637" s="1679">
        <f>PRODUCT(C$5:C637)</f>
        <v>3.55771976932645</v>
      </c>
      <c r="J637" s="1680"/>
      <c r="K637" s="1680"/>
      <c r="L637" s="1680"/>
      <c r="N637" s="1681"/>
      <c r="O637" s="1681"/>
      <c r="P637" s="1681"/>
      <c r="Q637" s="1681"/>
      <c r="R637" s="1681"/>
      <c r="T637" s="1681"/>
      <c r="U637" s="1681"/>
      <c r="W637" s="1681">
        <f t="shared" si="67"/>
        <v>0</v>
      </c>
      <c r="X637" s="1681"/>
      <c r="Y637" s="1681">
        <f t="shared" si="68"/>
        <v>0</v>
      </c>
      <c r="Z637" s="1681"/>
      <c r="AB637" s="1682"/>
      <c r="AC637" s="1682"/>
      <c r="AE637" s="1683"/>
      <c r="AF637" s="1683"/>
      <c r="AG637" s="1683"/>
      <c r="AH637" s="1683"/>
      <c r="AI637" s="1683"/>
      <c r="AJ637" s="1683"/>
      <c r="AK637" s="1683"/>
      <c r="AL637" s="1683"/>
      <c r="AM637" s="1683"/>
      <c r="AN637" s="1683"/>
      <c r="AO637" s="1683"/>
      <c r="AP637" s="1683"/>
      <c r="AQ637" s="1683"/>
      <c r="AR637" s="1683"/>
      <c r="AS637" s="1683"/>
      <c r="AT637" s="1683"/>
      <c r="AU637" s="1683"/>
      <c r="AV637" s="1683"/>
      <c r="AW637" s="1683"/>
      <c r="AX637" s="1683"/>
      <c r="AY637" s="1683"/>
      <c r="AZ637" s="1683"/>
      <c r="BA637" s="1683"/>
      <c r="BB637" s="1683"/>
    </row>
    <row r="638" spans="1:54">
      <c r="A638" s="326">
        <f t="shared" si="65"/>
        <v>52809</v>
      </c>
      <c r="B638" s="1678"/>
      <c r="C638" s="1679">
        <f t="shared" si="66"/>
        <v>1</v>
      </c>
      <c r="D638" s="1679">
        <f>PRODUCT(C$5:C638)</f>
        <v>3.55771976932645</v>
      </c>
      <c r="J638" s="1680"/>
      <c r="K638" s="1680"/>
      <c r="L638" s="1680"/>
      <c r="N638" s="1681"/>
      <c r="O638" s="1681"/>
      <c r="P638" s="1681"/>
      <c r="Q638" s="1681"/>
      <c r="R638" s="1681"/>
      <c r="T638" s="1681"/>
      <c r="U638" s="1681"/>
      <c r="W638" s="1681">
        <f t="shared" si="67"/>
        <v>0</v>
      </c>
      <c r="X638" s="1681"/>
      <c r="Y638" s="1681">
        <f t="shared" si="68"/>
        <v>0</v>
      </c>
      <c r="Z638" s="1681"/>
      <c r="AB638" s="1682"/>
      <c r="AC638" s="1682"/>
      <c r="AE638" s="1683"/>
      <c r="AF638" s="1683"/>
      <c r="AG638" s="1683"/>
      <c r="AH638" s="1683"/>
      <c r="AI638" s="1683"/>
      <c r="AJ638" s="1683"/>
      <c r="AK638" s="1683"/>
      <c r="AL638" s="1683"/>
      <c r="AM638" s="1683"/>
      <c r="AN638" s="1683"/>
      <c r="AO638" s="1683"/>
      <c r="AP638" s="1683"/>
      <c r="AQ638" s="1683"/>
      <c r="AR638" s="1683"/>
      <c r="AS638" s="1683"/>
      <c r="AT638" s="1683"/>
      <c r="AU638" s="1683"/>
      <c r="AV638" s="1683"/>
      <c r="AW638" s="1683"/>
      <c r="AX638" s="1683"/>
      <c r="AY638" s="1683"/>
      <c r="AZ638" s="1683"/>
      <c r="BA638" s="1683"/>
      <c r="BB638" s="1683"/>
    </row>
    <row r="639" spans="1:54">
      <c r="A639" s="326">
        <f t="shared" si="65"/>
        <v>52840</v>
      </c>
      <c r="B639" s="1678"/>
      <c r="C639" s="1679">
        <f t="shared" si="66"/>
        <v>1</v>
      </c>
      <c r="D639" s="1679">
        <f>PRODUCT(C$5:C639)</f>
        <v>3.55771976932645</v>
      </c>
      <c r="J639" s="1680"/>
      <c r="K639" s="1680"/>
      <c r="L639" s="1680"/>
      <c r="N639" s="1681"/>
      <c r="O639" s="1681"/>
      <c r="P639" s="1681"/>
      <c r="Q639" s="1681"/>
      <c r="R639" s="1681"/>
      <c r="T639" s="1681"/>
      <c r="U639" s="1681"/>
      <c r="W639" s="1681">
        <f t="shared" si="67"/>
        <v>0</v>
      </c>
      <c r="X639" s="1681"/>
      <c r="Y639" s="1681">
        <f t="shared" si="68"/>
        <v>0</v>
      </c>
      <c r="Z639" s="1681"/>
      <c r="AB639" s="1682"/>
      <c r="AC639" s="1682"/>
      <c r="AE639" s="1683"/>
      <c r="AF639" s="1683"/>
      <c r="AG639" s="1683"/>
      <c r="AH639" s="1683"/>
      <c r="AI639" s="1683"/>
      <c r="AJ639" s="1683"/>
      <c r="AK639" s="1683"/>
      <c r="AL639" s="1683"/>
      <c r="AM639" s="1683"/>
      <c r="AN639" s="1683"/>
      <c r="AO639" s="1683"/>
      <c r="AP639" s="1683"/>
      <c r="AQ639" s="1683"/>
      <c r="AR639" s="1683"/>
      <c r="AS639" s="1683"/>
      <c r="AT639" s="1683"/>
      <c r="AU639" s="1683"/>
      <c r="AV639" s="1683"/>
      <c r="AW639" s="1683"/>
      <c r="AX639" s="1683"/>
      <c r="AY639" s="1683"/>
      <c r="AZ639" s="1683"/>
      <c r="BA639" s="1683"/>
      <c r="BB639" s="1683"/>
    </row>
    <row r="640" spans="1:54">
      <c r="A640" s="326">
        <f t="shared" si="65"/>
        <v>52870</v>
      </c>
      <c r="B640" s="1678"/>
      <c r="C640" s="1679">
        <f t="shared" si="66"/>
        <v>1</v>
      </c>
      <c r="D640" s="1679">
        <f>PRODUCT(C$5:C640)</f>
        <v>3.55771976932645</v>
      </c>
      <c r="J640" s="1680"/>
      <c r="K640" s="1680"/>
      <c r="L640" s="1680"/>
      <c r="N640" s="1681"/>
      <c r="O640" s="1681"/>
      <c r="P640" s="1681"/>
      <c r="Q640" s="1681"/>
      <c r="R640" s="1681"/>
      <c r="T640" s="1681"/>
      <c r="U640" s="1681"/>
      <c r="W640" s="1681">
        <f t="shared" si="67"/>
        <v>0</v>
      </c>
      <c r="X640" s="1681"/>
      <c r="Y640" s="1681">
        <f t="shared" si="68"/>
        <v>0</v>
      </c>
      <c r="Z640" s="1681"/>
      <c r="AB640" s="1682"/>
      <c r="AC640" s="1682"/>
      <c r="AE640" s="1683"/>
      <c r="AF640" s="1683"/>
      <c r="AG640" s="1683"/>
      <c r="AH640" s="1683"/>
      <c r="AI640" s="1683"/>
      <c r="AJ640" s="1683"/>
      <c r="AK640" s="1683"/>
      <c r="AL640" s="1683"/>
      <c r="AM640" s="1683"/>
      <c r="AN640" s="1683"/>
      <c r="AO640" s="1683"/>
      <c r="AP640" s="1683"/>
      <c r="AQ640" s="1683"/>
      <c r="AR640" s="1683"/>
      <c r="AS640" s="1683"/>
      <c r="AT640" s="1683"/>
      <c r="AU640" s="1683"/>
      <c r="AV640" s="1683"/>
      <c r="AW640" s="1683"/>
      <c r="AX640" s="1683"/>
      <c r="AY640" s="1683"/>
      <c r="AZ640" s="1683"/>
      <c r="BA640" s="1683"/>
      <c r="BB640" s="1683"/>
    </row>
    <row r="641" spans="1:54">
      <c r="A641" s="326">
        <f t="shared" si="65"/>
        <v>52901</v>
      </c>
      <c r="B641" s="1678"/>
      <c r="C641" s="1679">
        <f t="shared" si="66"/>
        <v>1</v>
      </c>
      <c r="D641" s="1679">
        <f>PRODUCT(C$5:C641)</f>
        <v>3.55771976932645</v>
      </c>
      <c r="J641" s="1680"/>
      <c r="K641" s="1680"/>
      <c r="L641" s="1680"/>
      <c r="N641" s="1681"/>
      <c r="O641" s="1681"/>
      <c r="P641" s="1681"/>
      <c r="Q641" s="1681"/>
      <c r="R641" s="1681"/>
      <c r="T641" s="1681"/>
      <c r="U641" s="1681"/>
      <c r="W641" s="1681">
        <f t="shared" si="67"/>
        <v>0</v>
      </c>
      <c r="X641" s="1681"/>
      <c r="Y641" s="1681">
        <f t="shared" si="68"/>
        <v>0</v>
      </c>
      <c r="Z641" s="1681"/>
      <c r="AB641" s="1682"/>
      <c r="AC641" s="1682"/>
      <c r="AE641" s="1683"/>
      <c r="AF641" s="1683"/>
      <c r="AG641" s="1683"/>
      <c r="AH641" s="1683"/>
      <c r="AI641" s="1683"/>
      <c r="AJ641" s="1683"/>
      <c r="AK641" s="1683"/>
      <c r="AL641" s="1683"/>
      <c r="AM641" s="1683"/>
      <c r="AN641" s="1683"/>
      <c r="AO641" s="1683"/>
      <c r="AP641" s="1683"/>
      <c r="AQ641" s="1683"/>
      <c r="AR641" s="1683"/>
      <c r="AS641" s="1683"/>
      <c r="AT641" s="1683"/>
      <c r="AU641" s="1683"/>
      <c r="AV641" s="1683"/>
      <c r="AW641" s="1683"/>
      <c r="AX641" s="1683"/>
      <c r="AY641" s="1683"/>
      <c r="AZ641" s="1683"/>
      <c r="BA641" s="1683"/>
      <c r="BB641" s="1683"/>
    </row>
    <row r="642" spans="1:54">
      <c r="A642" s="326">
        <f t="shared" si="65"/>
        <v>52931</v>
      </c>
      <c r="B642" s="1678"/>
      <c r="C642" s="1679">
        <f t="shared" si="66"/>
        <v>1</v>
      </c>
      <c r="D642" s="1679">
        <f>PRODUCT(C$5:C642)</f>
        <v>3.55771976932645</v>
      </c>
      <c r="J642" s="1680"/>
      <c r="K642" s="1680"/>
      <c r="L642" s="1680"/>
      <c r="N642" s="1681"/>
      <c r="O642" s="1681"/>
      <c r="P642" s="1681"/>
      <c r="Q642" s="1681"/>
      <c r="R642" s="1681"/>
      <c r="T642" s="1681"/>
      <c r="U642" s="1681"/>
      <c r="W642" s="1681">
        <f t="shared" si="67"/>
        <v>0</v>
      </c>
      <c r="X642" s="1681"/>
      <c r="Y642" s="1681">
        <f t="shared" si="68"/>
        <v>0</v>
      </c>
      <c r="Z642" s="1681"/>
      <c r="AB642" s="1682"/>
      <c r="AC642" s="1682"/>
      <c r="AE642" s="1683"/>
      <c r="AF642" s="1683"/>
      <c r="AG642" s="1683"/>
      <c r="AH642" s="1683"/>
      <c r="AI642" s="1683"/>
      <c r="AJ642" s="1683"/>
      <c r="AK642" s="1683"/>
      <c r="AL642" s="1683"/>
      <c r="AM642" s="1683"/>
      <c r="AN642" s="1683"/>
      <c r="AO642" s="1683"/>
      <c r="AP642" s="1683"/>
      <c r="AQ642" s="1683"/>
      <c r="AR642" s="1683"/>
      <c r="AS642" s="1683"/>
      <c r="AT642" s="1683"/>
      <c r="AU642" s="1683"/>
      <c r="AV642" s="1683"/>
      <c r="AW642" s="1683"/>
      <c r="AX642" s="1683"/>
      <c r="AY642" s="1683"/>
      <c r="AZ642" s="1683"/>
      <c r="BA642" s="1683"/>
      <c r="BB642" s="1683"/>
    </row>
    <row r="643" spans="1:54">
      <c r="A643" s="326">
        <f t="shared" si="65"/>
        <v>52962</v>
      </c>
      <c r="B643" s="1678"/>
      <c r="C643" s="1679">
        <f t="shared" si="66"/>
        <v>1</v>
      </c>
      <c r="D643" s="1679">
        <f>PRODUCT(C$5:C643)</f>
        <v>3.55771976932645</v>
      </c>
      <c r="J643" s="1680"/>
      <c r="K643" s="1680"/>
      <c r="L643" s="1680"/>
      <c r="N643" s="1681"/>
      <c r="O643" s="1681"/>
      <c r="P643" s="1681"/>
      <c r="Q643" s="1681"/>
      <c r="R643" s="1681"/>
      <c r="T643" s="1681"/>
      <c r="U643" s="1681"/>
      <c r="W643" s="1681">
        <f t="shared" si="67"/>
        <v>0</v>
      </c>
      <c r="X643" s="1681"/>
      <c r="Y643" s="1681">
        <f t="shared" si="68"/>
        <v>0</v>
      </c>
      <c r="Z643" s="1681"/>
      <c r="AB643" s="1682"/>
      <c r="AC643" s="1682"/>
      <c r="AE643" s="1683"/>
      <c r="AF643" s="1683"/>
      <c r="AG643" s="1683"/>
      <c r="AH643" s="1683"/>
      <c r="AI643" s="1683"/>
      <c r="AJ643" s="1683"/>
      <c r="AK643" s="1683"/>
      <c r="AL643" s="1683"/>
      <c r="AM643" s="1683"/>
      <c r="AN643" s="1683"/>
      <c r="AO643" s="1683"/>
      <c r="AP643" s="1683"/>
      <c r="AQ643" s="1683"/>
      <c r="AR643" s="1683"/>
      <c r="AS643" s="1683"/>
      <c r="AT643" s="1683"/>
      <c r="AU643" s="1683"/>
      <c r="AV643" s="1683"/>
      <c r="AW643" s="1683"/>
      <c r="AX643" s="1683"/>
      <c r="AY643" s="1683"/>
      <c r="AZ643" s="1683"/>
      <c r="BA643" s="1683"/>
      <c r="BB643" s="1683"/>
    </row>
    <row r="644" spans="1:54">
      <c r="A644" s="326">
        <f t="shared" si="65"/>
        <v>52993</v>
      </c>
      <c r="B644" s="1678"/>
      <c r="C644" s="1679">
        <f t="shared" si="66"/>
        <v>1</v>
      </c>
      <c r="D644" s="1679">
        <f>PRODUCT(C$5:C644)</f>
        <v>3.55771976932645</v>
      </c>
      <c r="J644" s="1680"/>
      <c r="K644" s="1680"/>
      <c r="L644" s="1680"/>
      <c r="N644" s="1681"/>
      <c r="O644" s="1681"/>
      <c r="P644" s="1681"/>
      <c r="Q644" s="1681"/>
      <c r="R644" s="1681"/>
      <c r="T644" s="1681"/>
      <c r="U644" s="1681"/>
      <c r="W644" s="1681">
        <f t="shared" si="67"/>
        <v>0</v>
      </c>
      <c r="X644" s="1681"/>
      <c r="Y644" s="1681">
        <f t="shared" si="68"/>
        <v>0</v>
      </c>
      <c r="Z644" s="1681"/>
      <c r="AB644" s="1682"/>
      <c r="AC644" s="1682"/>
      <c r="AE644" s="1683"/>
      <c r="AF644" s="1683"/>
      <c r="AG644" s="1683"/>
      <c r="AH644" s="1683"/>
      <c r="AI644" s="1683"/>
      <c r="AJ644" s="1683"/>
      <c r="AK644" s="1683"/>
      <c r="AL644" s="1683"/>
      <c r="AM644" s="1683"/>
      <c r="AN644" s="1683"/>
      <c r="AO644" s="1683"/>
      <c r="AP644" s="1683"/>
      <c r="AQ644" s="1683"/>
      <c r="AR644" s="1683"/>
      <c r="AS644" s="1683"/>
      <c r="AT644" s="1683"/>
      <c r="AU644" s="1683"/>
      <c r="AV644" s="1683"/>
      <c r="AW644" s="1683"/>
      <c r="AX644" s="1683"/>
      <c r="AY644" s="1683"/>
      <c r="AZ644" s="1683"/>
      <c r="BA644" s="1683"/>
      <c r="BB644" s="1683"/>
    </row>
    <row r="645" spans="1:54">
      <c r="A645" s="326">
        <f t="shared" si="65"/>
        <v>53021</v>
      </c>
      <c r="B645" s="1678"/>
      <c r="C645" s="1679">
        <f t="shared" si="66"/>
        <v>1</v>
      </c>
      <c r="D645" s="1679">
        <f>PRODUCT(C$5:C645)</f>
        <v>3.55771976932645</v>
      </c>
      <c r="J645" s="1680"/>
      <c r="K645" s="1680"/>
      <c r="L645" s="1680"/>
      <c r="N645" s="1681"/>
      <c r="O645" s="1681"/>
      <c r="P645" s="1681"/>
      <c r="Q645" s="1681"/>
      <c r="R645" s="1681"/>
      <c r="T645" s="1681"/>
      <c r="U645" s="1681"/>
      <c r="W645" s="1681">
        <f t="shared" si="67"/>
        <v>0</v>
      </c>
      <c r="X645" s="1681"/>
      <c r="Y645" s="1681">
        <f t="shared" si="68"/>
        <v>0</v>
      </c>
      <c r="Z645" s="1681"/>
      <c r="AB645" s="1682"/>
      <c r="AC645" s="1682"/>
      <c r="AE645" s="1683"/>
      <c r="AF645" s="1683"/>
      <c r="AG645" s="1683"/>
      <c r="AH645" s="1683"/>
      <c r="AI645" s="1683"/>
      <c r="AJ645" s="1683"/>
      <c r="AK645" s="1683"/>
      <c r="AL645" s="1683"/>
      <c r="AM645" s="1683"/>
      <c r="AN645" s="1683"/>
      <c r="AO645" s="1683"/>
      <c r="AP645" s="1683"/>
      <c r="AQ645" s="1683"/>
      <c r="AR645" s="1683"/>
      <c r="AS645" s="1683"/>
      <c r="AT645" s="1683"/>
      <c r="AU645" s="1683"/>
      <c r="AV645" s="1683"/>
      <c r="AW645" s="1683"/>
      <c r="AX645" s="1683"/>
      <c r="AY645" s="1683"/>
      <c r="AZ645" s="1683"/>
      <c r="BA645" s="1683"/>
      <c r="BB645" s="1683"/>
    </row>
    <row r="646" spans="1:54">
      <c r="A646" s="326">
        <f t="shared" si="65"/>
        <v>53052</v>
      </c>
      <c r="B646" s="1678"/>
      <c r="C646" s="1679">
        <f t="shared" si="66"/>
        <v>1</v>
      </c>
      <c r="D646" s="1679">
        <f>PRODUCT(C$5:C646)</f>
        <v>3.55771976932645</v>
      </c>
      <c r="J646" s="1680"/>
      <c r="K646" s="1680"/>
      <c r="L646" s="1680"/>
      <c r="N646" s="1681"/>
      <c r="O646" s="1681"/>
      <c r="P646" s="1681"/>
      <c r="Q646" s="1681"/>
      <c r="R646" s="1681"/>
      <c r="T646" s="1681"/>
      <c r="U646" s="1681"/>
      <c r="W646" s="1681">
        <f t="shared" si="67"/>
        <v>0</v>
      </c>
      <c r="X646" s="1681"/>
      <c r="Y646" s="1681">
        <f t="shared" si="68"/>
        <v>0</v>
      </c>
      <c r="Z646" s="1681"/>
      <c r="AB646" s="1682"/>
      <c r="AC646" s="1682"/>
      <c r="AE646" s="1683"/>
      <c r="AF646" s="1683"/>
      <c r="AG646" s="1683"/>
      <c r="AH646" s="1683"/>
      <c r="AI646" s="1683"/>
      <c r="AJ646" s="1683"/>
      <c r="AK646" s="1683"/>
      <c r="AL646" s="1683"/>
      <c r="AM646" s="1683"/>
      <c r="AN646" s="1683"/>
      <c r="AO646" s="1683"/>
      <c r="AP646" s="1683"/>
      <c r="AQ646" s="1683"/>
      <c r="AR646" s="1683"/>
      <c r="AS646" s="1683"/>
      <c r="AT646" s="1683"/>
      <c r="AU646" s="1683"/>
      <c r="AV646" s="1683"/>
      <c r="AW646" s="1683"/>
      <c r="AX646" s="1683"/>
      <c r="AY646" s="1683"/>
      <c r="AZ646" s="1683"/>
      <c r="BA646" s="1683"/>
      <c r="BB646" s="1683"/>
    </row>
    <row r="647" spans="1:54">
      <c r="A647" s="326">
        <f t="shared" si="65"/>
        <v>53082</v>
      </c>
      <c r="B647" s="1678"/>
      <c r="C647" s="1679">
        <f t="shared" si="66"/>
        <v>1</v>
      </c>
      <c r="D647" s="1679">
        <f>PRODUCT(C$5:C647)</f>
        <v>3.55771976932645</v>
      </c>
      <c r="J647" s="1680"/>
      <c r="K647" s="1680"/>
      <c r="L647" s="1680"/>
      <c r="N647" s="1681"/>
      <c r="O647" s="1681"/>
      <c r="P647" s="1681"/>
      <c r="Q647" s="1681"/>
      <c r="R647" s="1681"/>
      <c r="T647" s="1681"/>
      <c r="U647" s="1681"/>
      <c r="W647" s="1681">
        <f t="shared" si="67"/>
        <v>0</v>
      </c>
      <c r="X647" s="1681"/>
      <c r="Y647" s="1681">
        <f t="shared" si="68"/>
        <v>0</v>
      </c>
      <c r="Z647" s="1681"/>
      <c r="AB647" s="1682"/>
      <c r="AC647" s="1682"/>
      <c r="AE647" s="1683"/>
      <c r="AF647" s="1683"/>
      <c r="AG647" s="1683"/>
      <c r="AH647" s="1683"/>
      <c r="AI647" s="1683"/>
      <c r="AJ647" s="1683"/>
      <c r="AK647" s="1683"/>
      <c r="AL647" s="1683"/>
      <c r="AM647" s="1683"/>
      <c r="AN647" s="1683"/>
      <c r="AO647" s="1683"/>
      <c r="AP647" s="1683"/>
      <c r="AQ647" s="1683"/>
      <c r="AR647" s="1683"/>
      <c r="AS647" s="1683"/>
      <c r="AT647" s="1683"/>
      <c r="AU647" s="1683"/>
      <c r="AV647" s="1683"/>
      <c r="AW647" s="1683"/>
      <c r="AX647" s="1683"/>
      <c r="AY647" s="1683"/>
      <c r="AZ647" s="1683"/>
      <c r="BA647" s="1683"/>
      <c r="BB647" s="1683"/>
    </row>
    <row r="648" spans="1:54">
      <c r="A648" s="326">
        <f t="shared" si="65"/>
        <v>53113</v>
      </c>
      <c r="B648" s="1678"/>
      <c r="C648" s="1679">
        <f t="shared" si="66"/>
        <v>1</v>
      </c>
      <c r="D648" s="1679">
        <f>PRODUCT(C$5:C648)</f>
        <v>3.55771976932645</v>
      </c>
      <c r="J648" s="1680"/>
      <c r="K648" s="1680"/>
      <c r="L648" s="1680"/>
      <c r="N648" s="1681"/>
      <c r="O648" s="1681"/>
      <c r="P648" s="1681"/>
      <c r="Q648" s="1681"/>
      <c r="R648" s="1681"/>
      <c r="T648" s="1681"/>
      <c r="U648" s="1681"/>
      <c r="W648" s="1681">
        <f t="shared" si="67"/>
        <v>0</v>
      </c>
      <c r="X648" s="1681"/>
      <c r="Y648" s="1681">
        <f t="shared" si="68"/>
        <v>0</v>
      </c>
      <c r="Z648" s="1681"/>
      <c r="AB648" s="1682"/>
      <c r="AC648" s="1682"/>
      <c r="AE648" s="1683"/>
      <c r="AF648" s="1683"/>
      <c r="AG648" s="1683"/>
      <c r="AH648" s="1683"/>
      <c r="AI648" s="1683"/>
      <c r="AJ648" s="1683"/>
      <c r="AK648" s="1683"/>
      <c r="AL648" s="1683"/>
      <c r="AM648" s="1683"/>
      <c r="AN648" s="1683"/>
      <c r="AO648" s="1683"/>
      <c r="AP648" s="1683"/>
      <c r="AQ648" s="1683"/>
      <c r="AR648" s="1683"/>
      <c r="AS648" s="1683"/>
      <c r="AT648" s="1683"/>
      <c r="AU648" s="1683"/>
      <c r="AV648" s="1683"/>
      <c r="AW648" s="1683"/>
      <c r="AX648" s="1683"/>
      <c r="AY648" s="1683"/>
      <c r="AZ648" s="1683"/>
      <c r="BA648" s="1683"/>
      <c r="BB648" s="1683"/>
    </row>
    <row r="649" spans="1:54">
      <c r="A649" s="326">
        <f t="shared" si="65"/>
        <v>53143</v>
      </c>
      <c r="B649" s="1678"/>
      <c r="C649" s="1679">
        <f t="shared" si="66"/>
        <v>1</v>
      </c>
      <c r="D649" s="1679">
        <f>PRODUCT(C$5:C649)</f>
        <v>3.55771976932645</v>
      </c>
      <c r="J649" s="1680"/>
      <c r="K649" s="1680"/>
      <c r="L649" s="1680"/>
      <c r="N649" s="1681"/>
      <c r="O649" s="1681"/>
      <c r="P649" s="1681"/>
      <c r="Q649" s="1681"/>
      <c r="R649" s="1681"/>
      <c r="T649" s="1681"/>
      <c r="U649" s="1681"/>
      <c r="W649" s="1681">
        <f t="shared" si="67"/>
        <v>0</v>
      </c>
      <c r="X649" s="1681"/>
      <c r="Y649" s="1681">
        <f t="shared" si="68"/>
        <v>0</v>
      </c>
      <c r="Z649" s="1681"/>
      <c r="AB649" s="1682"/>
      <c r="AC649" s="1682"/>
      <c r="AE649" s="1683"/>
      <c r="AF649" s="1683"/>
      <c r="AG649" s="1683"/>
      <c r="AH649" s="1683"/>
      <c r="AI649" s="1683"/>
      <c r="AJ649" s="1683"/>
      <c r="AK649" s="1683"/>
      <c r="AL649" s="1683"/>
      <c r="AM649" s="1683"/>
      <c r="AN649" s="1683"/>
      <c r="AO649" s="1683"/>
      <c r="AP649" s="1683"/>
      <c r="AQ649" s="1683"/>
      <c r="AR649" s="1683"/>
      <c r="AS649" s="1683"/>
      <c r="AT649" s="1683"/>
      <c r="AU649" s="1683"/>
      <c r="AV649" s="1683"/>
      <c r="AW649" s="1683"/>
      <c r="AX649" s="1683"/>
      <c r="AY649" s="1683"/>
      <c r="AZ649" s="1683"/>
      <c r="BA649" s="1683"/>
      <c r="BB649" s="1683"/>
    </row>
    <row r="650" spans="1:54">
      <c r="A650" s="326">
        <f t="shared" si="65"/>
        <v>53174</v>
      </c>
      <c r="B650" s="1678"/>
      <c r="C650" s="1679">
        <f t="shared" si="66"/>
        <v>1</v>
      </c>
      <c r="D650" s="1679">
        <f>PRODUCT(C$5:C650)</f>
        <v>3.55771976932645</v>
      </c>
      <c r="J650" s="1680"/>
      <c r="K650" s="1680"/>
      <c r="L650" s="1680"/>
      <c r="N650" s="1681"/>
      <c r="O650" s="1681"/>
      <c r="P650" s="1681"/>
      <c r="Q650" s="1681"/>
      <c r="R650" s="1681"/>
      <c r="T650" s="1681"/>
      <c r="U650" s="1681"/>
      <c r="W650" s="1681">
        <f t="shared" si="67"/>
        <v>0</v>
      </c>
      <c r="X650" s="1681"/>
      <c r="Y650" s="1681">
        <f t="shared" si="68"/>
        <v>0</v>
      </c>
      <c r="Z650" s="1681"/>
      <c r="AB650" s="1682"/>
      <c r="AC650" s="1682"/>
      <c r="AE650" s="1683"/>
      <c r="AF650" s="1683"/>
      <c r="AG650" s="1683"/>
      <c r="AH650" s="1683"/>
      <c r="AI650" s="1683"/>
      <c r="AJ650" s="1683"/>
      <c r="AK650" s="1683"/>
      <c r="AL650" s="1683"/>
      <c r="AM650" s="1683"/>
      <c r="AN650" s="1683"/>
      <c r="AO650" s="1683"/>
      <c r="AP650" s="1683"/>
      <c r="AQ650" s="1683"/>
      <c r="AR650" s="1683"/>
      <c r="AS650" s="1683"/>
      <c r="AT650" s="1683"/>
      <c r="AU650" s="1683"/>
      <c r="AV650" s="1683"/>
      <c r="AW650" s="1683"/>
      <c r="AX650" s="1683"/>
      <c r="AY650" s="1683"/>
      <c r="AZ650" s="1683"/>
      <c r="BA650" s="1683"/>
      <c r="BB650" s="1683"/>
    </row>
    <row r="651" spans="1:54">
      <c r="A651" s="326">
        <f t="shared" si="65"/>
        <v>53205</v>
      </c>
      <c r="B651" s="1678"/>
      <c r="C651" s="1679">
        <f t="shared" si="66"/>
        <v>1</v>
      </c>
      <c r="D651" s="1679">
        <f>PRODUCT(C$5:C651)</f>
        <v>3.55771976932645</v>
      </c>
      <c r="J651" s="1680"/>
      <c r="K651" s="1680"/>
      <c r="L651" s="1680"/>
      <c r="N651" s="1681"/>
      <c r="O651" s="1681"/>
      <c r="P651" s="1681"/>
      <c r="Q651" s="1681"/>
      <c r="R651" s="1681"/>
      <c r="T651" s="1681"/>
      <c r="U651" s="1681"/>
      <c r="W651" s="1681">
        <f t="shared" si="67"/>
        <v>0</v>
      </c>
      <c r="X651" s="1681"/>
      <c r="Y651" s="1681">
        <f t="shared" si="68"/>
        <v>0</v>
      </c>
      <c r="Z651" s="1681"/>
      <c r="AB651" s="1682"/>
      <c r="AC651" s="1682"/>
      <c r="AE651" s="1683"/>
      <c r="AF651" s="1683"/>
      <c r="AG651" s="1683"/>
      <c r="AH651" s="1683"/>
      <c r="AI651" s="1683"/>
      <c r="AJ651" s="1683"/>
      <c r="AK651" s="1683"/>
      <c r="AL651" s="1683"/>
      <c r="AM651" s="1683"/>
      <c r="AN651" s="1683"/>
      <c r="AO651" s="1683"/>
      <c r="AP651" s="1683"/>
      <c r="AQ651" s="1683"/>
      <c r="AR651" s="1683"/>
      <c r="AS651" s="1683"/>
      <c r="AT651" s="1683"/>
      <c r="AU651" s="1683"/>
      <c r="AV651" s="1683"/>
      <c r="AW651" s="1683"/>
      <c r="AX651" s="1683"/>
      <c r="AY651" s="1683"/>
      <c r="AZ651" s="1683"/>
      <c r="BA651" s="1683"/>
      <c r="BB651" s="1683"/>
    </row>
    <row r="652" spans="1:54">
      <c r="A652" s="326">
        <f t="shared" si="65"/>
        <v>53235</v>
      </c>
      <c r="B652" s="1678"/>
      <c r="C652" s="1679">
        <f t="shared" si="66"/>
        <v>1</v>
      </c>
      <c r="D652" s="1679">
        <f>PRODUCT(C$5:C652)</f>
        <v>3.55771976932645</v>
      </c>
      <c r="J652" s="1680"/>
      <c r="K652" s="1680"/>
      <c r="L652" s="1680"/>
      <c r="N652" s="1681"/>
      <c r="O652" s="1681"/>
      <c r="P652" s="1681"/>
      <c r="Q652" s="1681"/>
      <c r="R652" s="1681"/>
      <c r="T652" s="1681"/>
      <c r="U652" s="1681"/>
      <c r="W652" s="1681">
        <f t="shared" si="67"/>
        <v>0</v>
      </c>
      <c r="X652" s="1681"/>
      <c r="Y652" s="1681">
        <f t="shared" si="68"/>
        <v>0</v>
      </c>
      <c r="Z652" s="1681"/>
      <c r="AB652" s="1682"/>
      <c r="AC652" s="1682"/>
      <c r="AE652" s="1683"/>
      <c r="AF652" s="1683"/>
      <c r="AG652" s="1683"/>
      <c r="AH652" s="1683"/>
      <c r="AI652" s="1683"/>
      <c r="AJ652" s="1683"/>
      <c r="AK652" s="1683"/>
      <c r="AL652" s="1683"/>
      <c r="AM652" s="1683"/>
      <c r="AN652" s="1683"/>
      <c r="AO652" s="1683"/>
      <c r="AP652" s="1683"/>
      <c r="AQ652" s="1683"/>
      <c r="AR652" s="1683"/>
      <c r="AS652" s="1683"/>
      <c r="AT652" s="1683"/>
      <c r="AU652" s="1683"/>
      <c r="AV652" s="1683"/>
      <c r="AW652" s="1683"/>
      <c r="AX652" s="1683"/>
      <c r="AY652" s="1683"/>
      <c r="AZ652" s="1683"/>
      <c r="BA652" s="1683"/>
      <c r="BB652" s="1683"/>
    </row>
    <row r="653" spans="1:54">
      <c r="A653" s="326">
        <f t="shared" si="65"/>
        <v>53266</v>
      </c>
      <c r="B653" s="1678"/>
      <c r="C653" s="1679">
        <f t="shared" si="66"/>
        <v>1</v>
      </c>
      <c r="D653" s="1679">
        <f>PRODUCT(C$5:C653)</f>
        <v>3.55771976932645</v>
      </c>
      <c r="J653" s="1680"/>
      <c r="K653" s="1680"/>
      <c r="L653" s="1680"/>
      <c r="N653" s="1681"/>
      <c r="O653" s="1681"/>
      <c r="P653" s="1681"/>
      <c r="Q653" s="1681"/>
      <c r="R653" s="1681"/>
      <c r="T653" s="1681"/>
      <c r="U653" s="1681"/>
      <c r="W653" s="1681">
        <f t="shared" si="67"/>
        <v>0</v>
      </c>
      <c r="X653" s="1681"/>
      <c r="Y653" s="1681">
        <f t="shared" si="68"/>
        <v>0</v>
      </c>
      <c r="Z653" s="1681"/>
      <c r="AB653" s="1682"/>
      <c r="AC653" s="1682"/>
      <c r="AE653" s="1683"/>
      <c r="AF653" s="1683"/>
      <c r="AG653" s="1683"/>
      <c r="AH653" s="1683"/>
      <c r="AI653" s="1683"/>
      <c r="AJ653" s="1683"/>
      <c r="AK653" s="1683"/>
      <c r="AL653" s="1683"/>
      <c r="AM653" s="1683"/>
      <c r="AN653" s="1683"/>
      <c r="AO653" s="1683"/>
      <c r="AP653" s="1683"/>
      <c r="AQ653" s="1683"/>
      <c r="AR653" s="1683"/>
      <c r="AS653" s="1683"/>
      <c r="AT653" s="1683"/>
      <c r="AU653" s="1683"/>
      <c r="AV653" s="1683"/>
      <c r="AW653" s="1683"/>
      <c r="AX653" s="1683"/>
      <c r="AY653" s="1683"/>
      <c r="AZ653" s="1683"/>
      <c r="BA653" s="1683"/>
      <c r="BB653" s="1683"/>
    </row>
    <row r="654" spans="1:54">
      <c r="A654" s="326">
        <f t="shared" si="65"/>
        <v>53296</v>
      </c>
      <c r="B654" s="1678"/>
      <c r="C654" s="1679">
        <f t="shared" si="66"/>
        <v>1</v>
      </c>
      <c r="D654" s="1679">
        <f>PRODUCT(C$5:C654)</f>
        <v>3.55771976932645</v>
      </c>
      <c r="J654" s="1680"/>
      <c r="K654" s="1680"/>
      <c r="L654" s="1680"/>
      <c r="N654" s="1681"/>
      <c r="O654" s="1681"/>
      <c r="P654" s="1681"/>
      <c r="Q654" s="1681"/>
      <c r="R654" s="1681"/>
      <c r="T654" s="1681"/>
      <c r="U654" s="1681"/>
      <c r="W654" s="1681">
        <f t="shared" si="67"/>
        <v>0</v>
      </c>
      <c r="X654" s="1681"/>
      <c r="Y654" s="1681">
        <f t="shared" si="68"/>
        <v>0</v>
      </c>
      <c r="Z654" s="1681"/>
      <c r="AB654" s="1682"/>
      <c r="AC654" s="1682"/>
      <c r="AE654" s="1683"/>
      <c r="AF654" s="1683"/>
      <c r="AG654" s="1683"/>
      <c r="AH654" s="1683"/>
      <c r="AI654" s="1683"/>
      <c r="AJ654" s="1683"/>
      <c r="AK654" s="1683"/>
      <c r="AL654" s="1683"/>
      <c r="AM654" s="1683"/>
      <c r="AN654" s="1683"/>
      <c r="AO654" s="1683"/>
      <c r="AP654" s="1683"/>
      <c r="AQ654" s="1683"/>
      <c r="AR654" s="1683"/>
      <c r="AS654" s="1683"/>
      <c r="AT654" s="1683"/>
      <c r="AU654" s="1683"/>
      <c r="AV654" s="1683"/>
      <c r="AW654" s="1683"/>
      <c r="AX654" s="1683"/>
      <c r="AY654" s="1683"/>
      <c r="AZ654" s="1683"/>
      <c r="BA654" s="1683"/>
      <c r="BB654" s="1683"/>
    </row>
    <row r="655" spans="1:54">
      <c r="A655" s="326">
        <f t="shared" si="65"/>
        <v>53327</v>
      </c>
      <c r="B655" s="1678"/>
      <c r="C655" s="1679">
        <f t="shared" si="66"/>
        <v>1</v>
      </c>
      <c r="D655" s="1679">
        <f>PRODUCT(C$5:C655)</f>
        <v>3.55771976932645</v>
      </c>
      <c r="J655" s="1680"/>
      <c r="K655" s="1680"/>
      <c r="L655" s="1680"/>
      <c r="N655" s="1681"/>
      <c r="O655" s="1681"/>
      <c r="P655" s="1681"/>
      <c r="Q655" s="1681"/>
      <c r="R655" s="1681"/>
      <c r="T655" s="1681"/>
      <c r="U655" s="1681"/>
      <c r="W655" s="1681">
        <f t="shared" si="67"/>
        <v>0</v>
      </c>
      <c r="X655" s="1681"/>
      <c r="Y655" s="1681">
        <f t="shared" si="68"/>
        <v>0</v>
      </c>
      <c r="Z655" s="1681"/>
      <c r="AB655" s="1682"/>
      <c r="AC655" s="1682"/>
      <c r="AE655" s="1683"/>
      <c r="AF655" s="1683"/>
      <c r="AG655" s="1683"/>
      <c r="AH655" s="1683"/>
      <c r="AI655" s="1683"/>
      <c r="AJ655" s="1683"/>
      <c r="AK655" s="1683"/>
      <c r="AL655" s="1683"/>
      <c r="AM655" s="1683"/>
      <c r="AN655" s="1683"/>
      <c r="AO655" s="1683"/>
      <c r="AP655" s="1683"/>
      <c r="AQ655" s="1683"/>
      <c r="AR655" s="1683"/>
      <c r="AS655" s="1683"/>
      <c r="AT655" s="1683"/>
      <c r="AU655" s="1683"/>
      <c r="AV655" s="1683"/>
      <c r="AW655" s="1683"/>
      <c r="AX655" s="1683"/>
      <c r="AY655" s="1683"/>
      <c r="AZ655" s="1683"/>
      <c r="BA655" s="1683"/>
      <c r="BB655" s="1683"/>
    </row>
    <row r="656" spans="1:54">
      <c r="A656" s="326">
        <f t="shared" si="65"/>
        <v>53358</v>
      </c>
      <c r="B656" s="1678"/>
      <c r="C656" s="1679">
        <f t="shared" si="66"/>
        <v>1</v>
      </c>
      <c r="D656" s="1679">
        <f>PRODUCT(C$5:C656)</f>
        <v>3.55771976932645</v>
      </c>
      <c r="J656" s="1680"/>
      <c r="K656" s="1680"/>
      <c r="L656" s="1680"/>
      <c r="N656" s="1681"/>
      <c r="O656" s="1681"/>
      <c r="P656" s="1681"/>
      <c r="Q656" s="1681"/>
      <c r="R656" s="1681"/>
      <c r="T656" s="1681"/>
      <c r="U656" s="1681"/>
      <c r="W656" s="1681">
        <f t="shared" si="67"/>
        <v>0</v>
      </c>
      <c r="X656" s="1681"/>
      <c r="Y656" s="1681">
        <f t="shared" si="68"/>
        <v>0</v>
      </c>
      <c r="Z656" s="1681"/>
      <c r="AB656" s="1682"/>
      <c r="AC656" s="1682"/>
      <c r="AE656" s="1683"/>
      <c r="AF656" s="1683"/>
      <c r="AG656" s="1683"/>
      <c r="AH656" s="1683"/>
      <c r="AI656" s="1683"/>
      <c r="AJ656" s="1683"/>
      <c r="AK656" s="1683"/>
      <c r="AL656" s="1683"/>
      <c r="AM656" s="1683"/>
      <c r="AN656" s="1683"/>
      <c r="AO656" s="1683"/>
      <c r="AP656" s="1683"/>
      <c r="AQ656" s="1683"/>
      <c r="AR656" s="1683"/>
      <c r="AS656" s="1683"/>
      <c r="AT656" s="1683"/>
      <c r="AU656" s="1683"/>
      <c r="AV656" s="1683"/>
      <c r="AW656" s="1683"/>
      <c r="AX656" s="1683"/>
      <c r="AY656" s="1683"/>
      <c r="AZ656" s="1683"/>
      <c r="BA656" s="1683"/>
      <c r="BB656" s="1683"/>
    </row>
    <row r="657" spans="1:54">
      <c r="A657" s="326">
        <f t="shared" si="65"/>
        <v>53386</v>
      </c>
      <c r="B657" s="1678"/>
      <c r="C657" s="1679">
        <f t="shared" si="66"/>
        <v>1</v>
      </c>
      <c r="D657" s="1679">
        <f>PRODUCT(C$5:C657)</f>
        <v>3.55771976932645</v>
      </c>
      <c r="J657" s="1680"/>
      <c r="K657" s="1680"/>
      <c r="L657" s="1680"/>
      <c r="N657" s="1681"/>
      <c r="O657" s="1681"/>
      <c r="P657" s="1681"/>
      <c r="Q657" s="1681"/>
      <c r="R657" s="1681"/>
      <c r="T657" s="1681"/>
      <c r="U657" s="1681"/>
      <c r="W657" s="1681">
        <f t="shared" si="67"/>
        <v>0</v>
      </c>
      <c r="X657" s="1681"/>
      <c r="Y657" s="1681">
        <f t="shared" si="68"/>
        <v>0</v>
      </c>
      <c r="Z657" s="1681"/>
      <c r="AB657" s="1682"/>
      <c r="AC657" s="1682"/>
      <c r="AE657" s="1683"/>
      <c r="AF657" s="1683"/>
      <c r="AG657" s="1683"/>
      <c r="AH657" s="1683"/>
      <c r="AI657" s="1683"/>
      <c r="AJ657" s="1683"/>
      <c r="AK657" s="1683"/>
      <c r="AL657" s="1683"/>
      <c r="AM657" s="1683"/>
      <c r="AN657" s="1683"/>
      <c r="AO657" s="1683"/>
      <c r="AP657" s="1683"/>
      <c r="AQ657" s="1683"/>
      <c r="AR657" s="1683"/>
      <c r="AS657" s="1683"/>
      <c r="AT657" s="1683"/>
      <c r="AU657" s="1683"/>
      <c r="AV657" s="1683"/>
      <c r="AW657" s="1683"/>
      <c r="AX657" s="1683"/>
      <c r="AY657" s="1683"/>
      <c r="AZ657" s="1683"/>
      <c r="BA657" s="1683"/>
      <c r="BB657" s="1683"/>
    </row>
    <row r="658" spans="1:54">
      <c r="A658" s="326">
        <f t="shared" si="65"/>
        <v>53417</v>
      </c>
      <c r="B658" s="1678"/>
      <c r="C658" s="1679">
        <f t="shared" si="66"/>
        <v>1</v>
      </c>
      <c r="D658" s="1679">
        <f>PRODUCT(C$5:C658)</f>
        <v>3.55771976932645</v>
      </c>
      <c r="J658" s="1680"/>
      <c r="K658" s="1680"/>
      <c r="L658" s="1680"/>
      <c r="N658" s="1681"/>
      <c r="O658" s="1681"/>
      <c r="P658" s="1681"/>
      <c r="Q658" s="1681"/>
      <c r="R658" s="1681"/>
      <c r="T658" s="1681"/>
      <c r="U658" s="1681"/>
      <c r="W658" s="1681">
        <f t="shared" si="67"/>
        <v>0</v>
      </c>
      <c r="X658" s="1681"/>
      <c r="Y658" s="1681">
        <f t="shared" si="68"/>
        <v>0</v>
      </c>
      <c r="Z658" s="1681"/>
      <c r="AB658" s="1682"/>
      <c r="AC658" s="1682"/>
      <c r="AE658" s="1683"/>
      <c r="AF658" s="1683"/>
      <c r="AG658" s="1683"/>
      <c r="AH658" s="1683"/>
      <c r="AI658" s="1683"/>
      <c r="AJ658" s="1683"/>
      <c r="AK658" s="1683"/>
      <c r="AL658" s="1683"/>
      <c r="AM658" s="1683"/>
      <c r="AN658" s="1683"/>
      <c r="AO658" s="1683"/>
      <c r="AP658" s="1683"/>
      <c r="AQ658" s="1683"/>
      <c r="AR658" s="1683"/>
      <c r="AS658" s="1683"/>
      <c r="AT658" s="1683"/>
      <c r="AU658" s="1683"/>
      <c r="AV658" s="1683"/>
      <c r="AW658" s="1683"/>
      <c r="AX658" s="1683"/>
      <c r="AY658" s="1683"/>
      <c r="AZ658" s="1683"/>
      <c r="BA658" s="1683"/>
      <c r="BB658" s="1683"/>
    </row>
    <row r="659" spans="1:54">
      <c r="A659" s="326">
        <f t="shared" si="65"/>
        <v>53447</v>
      </c>
      <c r="B659" s="1678"/>
      <c r="C659" s="1679">
        <f t="shared" si="66"/>
        <v>1</v>
      </c>
      <c r="D659" s="1679">
        <f>PRODUCT(C$5:C659)</f>
        <v>3.55771976932645</v>
      </c>
      <c r="J659" s="1680"/>
      <c r="K659" s="1680"/>
      <c r="L659" s="1680"/>
      <c r="N659" s="1681"/>
      <c r="O659" s="1681"/>
      <c r="P659" s="1681"/>
      <c r="Q659" s="1681"/>
      <c r="R659" s="1681"/>
      <c r="T659" s="1681"/>
      <c r="U659" s="1681"/>
      <c r="W659" s="1681">
        <f t="shared" si="67"/>
        <v>0</v>
      </c>
      <c r="X659" s="1681"/>
      <c r="Y659" s="1681">
        <f t="shared" si="68"/>
        <v>0</v>
      </c>
      <c r="Z659" s="1681"/>
      <c r="AB659" s="1682"/>
      <c r="AC659" s="1682"/>
      <c r="AE659" s="1683"/>
      <c r="AF659" s="1683"/>
      <c r="AG659" s="1683"/>
      <c r="AH659" s="1683"/>
      <c r="AI659" s="1683"/>
      <c r="AJ659" s="1683"/>
      <c r="AK659" s="1683"/>
      <c r="AL659" s="1683"/>
      <c r="AM659" s="1683"/>
      <c r="AN659" s="1683"/>
      <c r="AO659" s="1683"/>
      <c r="AP659" s="1683"/>
      <c r="AQ659" s="1683"/>
      <c r="AR659" s="1683"/>
      <c r="AS659" s="1683"/>
      <c r="AT659" s="1683"/>
      <c r="AU659" s="1683"/>
      <c r="AV659" s="1683"/>
      <c r="AW659" s="1683"/>
      <c r="AX659" s="1683"/>
      <c r="AY659" s="1683"/>
      <c r="AZ659" s="1683"/>
      <c r="BA659" s="1683"/>
      <c r="BB659" s="1683"/>
    </row>
    <row r="660" spans="1:54">
      <c r="A660" s="326">
        <f t="shared" si="65"/>
        <v>53478</v>
      </c>
      <c r="B660" s="1678"/>
      <c r="C660" s="1679">
        <f t="shared" si="66"/>
        <v>1</v>
      </c>
      <c r="D660" s="1679">
        <f>PRODUCT(C$5:C660)</f>
        <v>3.55771976932645</v>
      </c>
      <c r="J660" s="1680"/>
      <c r="K660" s="1680"/>
      <c r="L660" s="1680"/>
      <c r="N660" s="1681"/>
      <c r="O660" s="1681"/>
      <c r="P660" s="1681"/>
      <c r="Q660" s="1681"/>
      <c r="R660" s="1681"/>
      <c r="T660" s="1681"/>
      <c r="U660" s="1681"/>
      <c r="W660" s="1681">
        <f t="shared" si="67"/>
        <v>0</v>
      </c>
      <c r="X660" s="1681"/>
      <c r="Y660" s="1681">
        <f t="shared" si="68"/>
        <v>0</v>
      </c>
      <c r="Z660" s="1681"/>
      <c r="AB660" s="1682"/>
      <c r="AC660" s="1682"/>
      <c r="AE660" s="1683"/>
      <c r="AF660" s="1683"/>
      <c r="AG660" s="1683"/>
      <c r="AH660" s="1683"/>
      <c r="AI660" s="1683"/>
      <c r="AJ660" s="1683"/>
      <c r="AK660" s="1683"/>
      <c r="AL660" s="1683"/>
      <c r="AM660" s="1683"/>
      <c r="AN660" s="1683"/>
      <c r="AO660" s="1683"/>
      <c r="AP660" s="1683"/>
      <c r="AQ660" s="1683"/>
      <c r="AR660" s="1683"/>
      <c r="AS660" s="1683"/>
      <c r="AT660" s="1683"/>
      <c r="AU660" s="1683"/>
      <c r="AV660" s="1683"/>
      <c r="AW660" s="1683"/>
      <c r="AX660" s="1683"/>
      <c r="AY660" s="1683"/>
      <c r="AZ660" s="1683"/>
      <c r="BA660" s="1683"/>
      <c r="BB660" s="1683"/>
    </row>
    <row r="661" spans="1:54">
      <c r="A661" s="326">
        <f t="shared" si="65"/>
        <v>53508</v>
      </c>
      <c r="B661" s="1678"/>
      <c r="C661" s="1679">
        <f t="shared" si="66"/>
        <v>1</v>
      </c>
      <c r="D661" s="1679">
        <f>PRODUCT(C$5:C661)</f>
        <v>3.55771976932645</v>
      </c>
      <c r="J661" s="1680"/>
      <c r="K661" s="1680"/>
      <c r="L661" s="1680"/>
      <c r="N661" s="1681"/>
      <c r="O661" s="1681"/>
      <c r="P661" s="1681"/>
      <c r="Q661" s="1681"/>
      <c r="R661" s="1681"/>
      <c r="T661" s="1681"/>
      <c r="U661" s="1681"/>
      <c r="W661" s="1681">
        <f t="shared" si="67"/>
        <v>0</v>
      </c>
      <c r="X661" s="1681"/>
      <c r="Y661" s="1681">
        <f t="shared" si="68"/>
        <v>0</v>
      </c>
      <c r="Z661" s="1681"/>
      <c r="AB661" s="1682"/>
      <c r="AC661" s="1682"/>
      <c r="AE661" s="1683"/>
      <c r="AF661" s="1683"/>
      <c r="AG661" s="1683"/>
      <c r="AH661" s="1683"/>
      <c r="AI661" s="1683"/>
      <c r="AJ661" s="1683"/>
      <c r="AK661" s="1683"/>
      <c r="AL661" s="1683"/>
      <c r="AM661" s="1683"/>
      <c r="AN661" s="1683"/>
      <c r="AO661" s="1683"/>
      <c r="AP661" s="1683"/>
      <c r="AQ661" s="1683"/>
      <c r="AR661" s="1683"/>
      <c r="AS661" s="1683"/>
      <c r="AT661" s="1683"/>
      <c r="AU661" s="1683"/>
      <c r="AV661" s="1683"/>
      <c r="AW661" s="1683"/>
      <c r="AX661" s="1683"/>
      <c r="AY661" s="1683"/>
      <c r="AZ661" s="1683"/>
      <c r="BA661" s="1683"/>
      <c r="BB661" s="1683"/>
    </row>
    <row r="662" spans="1:54">
      <c r="A662" s="326">
        <f t="shared" ref="A662:A725" si="69">DATE(IF(MONTH(A661)=12,YEAR(A661)+1,YEAR(A661)),MONTH(A661+1)+1,1)-1</f>
        <v>53539</v>
      </c>
      <c r="B662" s="1678"/>
      <c r="C662" s="1679">
        <f t="shared" si="66"/>
        <v>1</v>
      </c>
      <c r="D662" s="1679">
        <f>PRODUCT(C$5:C662)</f>
        <v>3.55771976932645</v>
      </c>
      <c r="J662" s="1680"/>
      <c r="K662" s="1680"/>
      <c r="L662" s="1680"/>
      <c r="N662" s="1681"/>
      <c r="O662" s="1681"/>
      <c r="P662" s="1681"/>
      <c r="Q662" s="1681"/>
      <c r="R662" s="1681"/>
      <c r="T662" s="1681"/>
      <c r="U662" s="1681"/>
      <c r="W662" s="1681">
        <f t="shared" si="67"/>
        <v>0</v>
      </c>
      <c r="X662" s="1681"/>
      <c r="Y662" s="1681">
        <f t="shared" si="68"/>
        <v>0</v>
      </c>
      <c r="Z662" s="1681"/>
      <c r="AB662" s="1682"/>
      <c r="AC662" s="1682"/>
      <c r="AE662" s="1683"/>
      <c r="AF662" s="1683"/>
      <c r="AG662" s="1683"/>
      <c r="AH662" s="1683"/>
      <c r="AI662" s="1683"/>
      <c r="AJ662" s="1683"/>
      <c r="AK662" s="1683"/>
      <c r="AL662" s="1683"/>
      <c r="AM662" s="1683"/>
      <c r="AN662" s="1683"/>
      <c r="AO662" s="1683"/>
      <c r="AP662" s="1683"/>
      <c r="AQ662" s="1683"/>
      <c r="AR662" s="1683"/>
      <c r="AS662" s="1683"/>
      <c r="AT662" s="1683"/>
      <c r="AU662" s="1683"/>
      <c r="AV662" s="1683"/>
      <c r="AW662" s="1683"/>
      <c r="AX662" s="1683"/>
      <c r="AY662" s="1683"/>
      <c r="AZ662" s="1683"/>
      <c r="BA662" s="1683"/>
      <c r="BB662" s="1683"/>
    </row>
    <row r="663" spans="1:54">
      <c r="A663" s="326">
        <f t="shared" si="69"/>
        <v>53570</v>
      </c>
      <c r="B663" s="1678"/>
      <c r="C663" s="1679">
        <f t="shared" si="66"/>
        <v>1</v>
      </c>
      <c r="D663" s="1679">
        <f>PRODUCT(C$5:C663)</f>
        <v>3.55771976932645</v>
      </c>
      <c r="J663" s="1680"/>
      <c r="K663" s="1680"/>
      <c r="L663" s="1680"/>
      <c r="N663" s="1681"/>
      <c r="O663" s="1681"/>
      <c r="P663" s="1681"/>
      <c r="Q663" s="1681"/>
      <c r="R663" s="1681"/>
      <c r="T663" s="1681"/>
      <c r="U663" s="1681"/>
      <c r="W663" s="1681">
        <f t="shared" si="67"/>
        <v>0</v>
      </c>
      <c r="X663" s="1681"/>
      <c r="Y663" s="1681">
        <f t="shared" si="68"/>
        <v>0</v>
      </c>
      <c r="Z663" s="1681"/>
      <c r="AB663" s="1682"/>
      <c r="AC663" s="1682"/>
      <c r="AE663" s="1683"/>
      <c r="AF663" s="1683"/>
      <c r="AG663" s="1683"/>
      <c r="AH663" s="1683"/>
      <c r="AI663" s="1683"/>
      <c r="AJ663" s="1683"/>
      <c r="AK663" s="1683"/>
      <c r="AL663" s="1683"/>
      <c r="AM663" s="1683"/>
      <c r="AN663" s="1683"/>
      <c r="AO663" s="1683"/>
      <c r="AP663" s="1683"/>
      <c r="AQ663" s="1683"/>
      <c r="AR663" s="1683"/>
      <c r="AS663" s="1683"/>
      <c r="AT663" s="1683"/>
      <c r="AU663" s="1683"/>
      <c r="AV663" s="1683"/>
      <c r="AW663" s="1683"/>
      <c r="AX663" s="1683"/>
      <c r="AY663" s="1683"/>
      <c r="AZ663" s="1683"/>
      <c r="BA663" s="1683"/>
      <c r="BB663" s="1683"/>
    </row>
    <row r="664" spans="1:54">
      <c r="A664" s="326">
        <f t="shared" si="69"/>
        <v>53600</v>
      </c>
      <c r="B664" s="1678"/>
      <c r="C664" s="1679">
        <f t="shared" si="66"/>
        <v>1</v>
      </c>
      <c r="D664" s="1679">
        <f>PRODUCT(C$5:C664)</f>
        <v>3.55771976932645</v>
      </c>
      <c r="J664" s="1680"/>
      <c r="K664" s="1680"/>
      <c r="L664" s="1680"/>
      <c r="N664" s="1681"/>
      <c r="O664" s="1681"/>
      <c r="P664" s="1681"/>
      <c r="Q664" s="1681"/>
      <c r="R664" s="1681"/>
      <c r="T664" s="1681"/>
      <c r="U664" s="1681"/>
      <c r="W664" s="1681">
        <f t="shared" si="67"/>
        <v>0</v>
      </c>
      <c r="X664" s="1681"/>
      <c r="Y664" s="1681">
        <f t="shared" si="68"/>
        <v>0</v>
      </c>
      <c r="Z664" s="1681"/>
      <c r="AB664" s="1682"/>
      <c r="AC664" s="1682"/>
      <c r="AE664" s="1683"/>
      <c r="AF664" s="1683"/>
      <c r="AG664" s="1683"/>
      <c r="AH664" s="1683"/>
      <c r="AI664" s="1683"/>
      <c r="AJ664" s="1683"/>
      <c r="AK664" s="1683"/>
      <c r="AL664" s="1683"/>
      <c r="AM664" s="1683"/>
      <c r="AN664" s="1683"/>
      <c r="AO664" s="1683"/>
      <c r="AP664" s="1683"/>
      <c r="AQ664" s="1683"/>
      <c r="AR664" s="1683"/>
      <c r="AS664" s="1683"/>
      <c r="AT664" s="1683"/>
      <c r="AU664" s="1683"/>
      <c r="AV664" s="1683"/>
      <c r="AW664" s="1683"/>
      <c r="AX664" s="1683"/>
      <c r="AY664" s="1683"/>
      <c r="AZ664" s="1683"/>
      <c r="BA664" s="1683"/>
      <c r="BB664" s="1683"/>
    </row>
    <row r="665" spans="1:54">
      <c r="A665" s="326">
        <f t="shared" si="69"/>
        <v>53631</v>
      </c>
      <c r="B665" s="1678"/>
      <c r="C665" s="1679">
        <f t="shared" si="66"/>
        <v>1</v>
      </c>
      <c r="D665" s="1679">
        <f>PRODUCT(C$5:C665)</f>
        <v>3.55771976932645</v>
      </c>
      <c r="J665" s="1680"/>
      <c r="K665" s="1680"/>
      <c r="L665" s="1680"/>
      <c r="N665" s="1681"/>
      <c r="O665" s="1681"/>
      <c r="P665" s="1681"/>
      <c r="Q665" s="1681"/>
      <c r="R665" s="1681"/>
      <c r="T665" s="1681"/>
      <c r="U665" s="1681"/>
      <c r="W665" s="1681">
        <f t="shared" si="67"/>
        <v>0</v>
      </c>
      <c r="X665" s="1681"/>
      <c r="Y665" s="1681">
        <f t="shared" si="68"/>
        <v>0</v>
      </c>
      <c r="Z665" s="1681"/>
      <c r="AB665" s="1682"/>
      <c r="AC665" s="1682"/>
      <c r="AE665" s="1683"/>
      <c r="AF665" s="1683"/>
      <c r="AG665" s="1683"/>
      <c r="AH665" s="1683"/>
      <c r="AI665" s="1683"/>
      <c r="AJ665" s="1683"/>
      <c r="AK665" s="1683"/>
      <c r="AL665" s="1683"/>
      <c r="AM665" s="1683"/>
      <c r="AN665" s="1683"/>
      <c r="AO665" s="1683"/>
      <c r="AP665" s="1683"/>
      <c r="AQ665" s="1683"/>
      <c r="AR665" s="1683"/>
      <c r="AS665" s="1683"/>
      <c r="AT665" s="1683"/>
      <c r="AU665" s="1683"/>
      <c r="AV665" s="1683"/>
      <c r="AW665" s="1683"/>
      <c r="AX665" s="1683"/>
      <c r="AY665" s="1683"/>
      <c r="AZ665" s="1683"/>
      <c r="BA665" s="1683"/>
      <c r="BB665" s="1683"/>
    </row>
    <row r="666" spans="1:54">
      <c r="A666" s="326">
        <f t="shared" si="69"/>
        <v>53661</v>
      </c>
      <c r="B666" s="1678"/>
      <c r="C666" s="1679">
        <f t="shared" si="66"/>
        <v>1</v>
      </c>
      <c r="D666" s="1679">
        <f>PRODUCT(C$5:C666)</f>
        <v>3.55771976932645</v>
      </c>
      <c r="J666" s="1680"/>
      <c r="K666" s="1680"/>
      <c r="L666" s="1680"/>
      <c r="N666" s="1681"/>
      <c r="O666" s="1681"/>
      <c r="P666" s="1681"/>
      <c r="Q666" s="1681"/>
      <c r="R666" s="1681"/>
      <c r="T666" s="1681"/>
      <c r="U666" s="1681"/>
      <c r="W666" s="1681">
        <f t="shared" si="67"/>
        <v>0</v>
      </c>
      <c r="X666" s="1681"/>
      <c r="Y666" s="1681">
        <f t="shared" si="68"/>
        <v>0</v>
      </c>
      <c r="Z666" s="1681"/>
      <c r="AB666" s="1682"/>
      <c r="AC666" s="1682"/>
      <c r="AE666" s="1683"/>
      <c r="AF666" s="1683"/>
      <c r="AG666" s="1683"/>
      <c r="AH666" s="1683"/>
      <c r="AI666" s="1683"/>
      <c r="AJ666" s="1683"/>
      <c r="AK666" s="1683"/>
      <c r="AL666" s="1683"/>
      <c r="AM666" s="1683"/>
      <c r="AN666" s="1683"/>
      <c r="AO666" s="1683"/>
      <c r="AP666" s="1683"/>
      <c r="AQ666" s="1683"/>
      <c r="AR666" s="1683"/>
      <c r="AS666" s="1683"/>
      <c r="AT666" s="1683"/>
      <c r="AU666" s="1683"/>
      <c r="AV666" s="1683"/>
      <c r="AW666" s="1683"/>
      <c r="AX666" s="1683"/>
      <c r="AY666" s="1683"/>
      <c r="AZ666" s="1683"/>
      <c r="BA666" s="1683"/>
      <c r="BB666" s="1683"/>
    </row>
    <row r="667" spans="1:54">
      <c r="A667" s="326">
        <f t="shared" si="69"/>
        <v>53692</v>
      </c>
      <c r="B667" s="1678"/>
      <c r="C667" s="1679">
        <f t="shared" si="66"/>
        <v>1</v>
      </c>
      <c r="D667" s="1679">
        <f>PRODUCT(C$5:C667)</f>
        <v>3.55771976932645</v>
      </c>
      <c r="J667" s="1680"/>
      <c r="K667" s="1680"/>
      <c r="L667" s="1680"/>
      <c r="N667" s="1681"/>
      <c r="O667" s="1681"/>
      <c r="P667" s="1681"/>
      <c r="Q667" s="1681"/>
      <c r="R667" s="1681"/>
      <c r="T667" s="1681"/>
      <c r="U667" s="1681"/>
      <c r="W667" s="1681">
        <f t="shared" si="67"/>
        <v>0</v>
      </c>
      <c r="X667" s="1681"/>
      <c r="Y667" s="1681">
        <f t="shared" si="68"/>
        <v>0</v>
      </c>
      <c r="Z667" s="1681"/>
      <c r="AB667" s="1682"/>
      <c r="AC667" s="1682"/>
      <c r="AE667" s="1683"/>
      <c r="AF667" s="1683"/>
      <c r="AG667" s="1683"/>
      <c r="AH667" s="1683"/>
      <c r="AI667" s="1683"/>
      <c r="AJ667" s="1683"/>
      <c r="AK667" s="1683"/>
      <c r="AL667" s="1683"/>
      <c r="AM667" s="1683"/>
      <c r="AN667" s="1683"/>
      <c r="AO667" s="1683"/>
      <c r="AP667" s="1683"/>
      <c r="AQ667" s="1683"/>
      <c r="AR667" s="1683"/>
      <c r="AS667" s="1683"/>
      <c r="AT667" s="1683"/>
      <c r="AU667" s="1683"/>
      <c r="AV667" s="1683"/>
      <c r="AW667" s="1683"/>
      <c r="AX667" s="1683"/>
      <c r="AY667" s="1683"/>
      <c r="AZ667" s="1683"/>
      <c r="BA667" s="1683"/>
      <c r="BB667" s="1683"/>
    </row>
    <row r="668" spans="1:54">
      <c r="A668" s="326">
        <f t="shared" si="69"/>
        <v>53723</v>
      </c>
      <c r="B668" s="1678"/>
      <c r="C668" s="1679">
        <f t="shared" si="66"/>
        <v>1</v>
      </c>
      <c r="D668" s="1679">
        <f>PRODUCT(C$5:C668)</f>
        <v>3.55771976932645</v>
      </c>
      <c r="J668" s="1680"/>
      <c r="K668" s="1680"/>
      <c r="L668" s="1680"/>
      <c r="N668" s="1681"/>
      <c r="O668" s="1681"/>
      <c r="P668" s="1681"/>
      <c r="Q668" s="1681"/>
      <c r="R668" s="1681"/>
      <c r="T668" s="1681"/>
      <c r="U668" s="1681"/>
      <c r="W668" s="1681">
        <f t="shared" si="67"/>
        <v>0</v>
      </c>
      <c r="X668" s="1681"/>
      <c r="Y668" s="1681">
        <f t="shared" si="68"/>
        <v>0</v>
      </c>
      <c r="Z668" s="1681"/>
      <c r="AB668" s="1682"/>
      <c r="AC668" s="1682"/>
      <c r="AE668" s="1683"/>
      <c r="AF668" s="1683"/>
      <c r="AG668" s="1683"/>
      <c r="AH668" s="1683"/>
      <c r="AI668" s="1683"/>
      <c r="AJ668" s="1683"/>
      <c r="AK668" s="1683"/>
      <c r="AL668" s="1683"/>
      <c r="AM668" s="1683"/>
      <c r="AN668" s="1683"/>
      <c r="AO668" s="1683"/>
      <c r="AP668" s="1683"/>
      <c r="AQ668" s="1683"/>
      <c r="AR668" s="1683"/>
      <c r="AS668" s="1683"/>
      <c r="AT668" s="1683"/>
      <c r="AU668" s="1683"/>
      <c r="AV668" s="1683"/>
      <c r="AW668" s="1683"/>
      <c r="AX668" s="1683"/>
      <c r="AY668" s="1683"/>
      <c r="AZ668" s="1683"/>
      <c r="BA668" s="1683"/>
      <c r="BB668" s="1683"/>
    </row>
    <row r="669" spans="1:54">
      <c r="A669" s="326">
        <f t="shared" si="69"/>
        <v>53751</v>
      </c>
      <c r="B669" s="1678"/>
      <c r="C669" s="1679">
        <f t="shared" si="66"/>
        <v>1</v>
      </c>
      <c r="D669" s="1679">
        <f>PRODUCT(C$5:C669)</f>
        <v>3.55771976932645</v>
      </c>
      <c r="J669" s="1680"/>
      <c r="K669" s="1680"/>
      <c r="L669" s="1680"/>
      <c r="N669" s="1681"/>
      <c r="O669" s="1681"/>
      <c r="P669" s="1681"/>
      <c r="Q669" s="1681"/>
      <c r="R669" s="1681"/>
      <c r="T669" s="1681"/>
      <c r="U669" s="1681"/>
      <c r="W669" s="1681">
        <f t="shared" si="67"/>
        <v>0</v>
      </c>
      <c r="X669" s="1681"/>
      <c r="Y669" s="1681">
        <f t="shared" si="68"/>
        <v>0</v>
      </c>
      <c r="Z669" s="1681"/>
      <c r="AB669" s="1682"/>
      <c r="AC669" s="1682"/>
      <c r="AE669" s="1683"/>
      <c r="AF669" s="1683"/>
      <c r="AG669" s="1683"/>
      <c r="AH669" s="1683"/>
      <c r="AI669" s="1683"/>
      <c r="AJ669" s="1683"/>
      <c r="AK669" s="1683"/>
      <c r="AL669" s="1683"/>
      <c r="AM669" s="1683"/>
      <c r="AN669" s="1683"/>
      <c r="AO669" s="1683"/>
      <c r="AP669" s="1683"/>
      <c r="AQ669" s="1683"/>
      <c r="AR669" s="1683"/>
      <c r="AS669" s="1683"/>
      <c r="AT669" s="1683"/>
      <c r="AU669" s="1683"/>
      <c r="AV669" s="1683"/>
      <c r="AW669" s="1683"/>
      <c r="AX669" s="1683"/>
      <c r="AY669" s="1683"/>
      <c r="AZ669" s="1683"/>
      <c r="BA669" s="1683"/>
      <c r="BB669" s="1683"/>
    </row>
    <row r="670" spans="1:54">
      <c r="A670" s="326">
        <f t="shared" si="69"/>
        <v>53782</v>
      </c>
      <c r="B670" s="1678"/>
      <c r="C670" s="1679">
        <f t="shared" si="66"/>
        <v>1</v>
      </c>
      <c r="D670" s="1679">
        <f>PRODUCT(C$5:C670)</f>
        <v>3.55771976932645</v>
      </c>
      <c r="J670" s="1680"/>
      <c r="K670" s="1680"/>
      <c r="L670" s="1680"/>
      <c r="N670" s="1681"/>
      <c r="O670" s="1681"/>
      <c r="P670" s="1681"/>
      <c r="Q670" s="1681"/>
      <c r="R670" s="1681"/>
      <c r="T670" s="1681"/>
      <c r="U670" s="1681"/>
      <c r="W670" s="1681">
        <f t="shared" si="67"/>
        <v>0</v>
      </c>
      <c r="X670" s="1681"/>
      <c r="Y670" s="1681">
        <f t="shared" si="68"/>
        <v>0</v>
      </c>
      <c r="Z670" s="1681"/>
      <c r="AB670" s="1682"/>
      <c r="AC670" s="1682"/>
      <c r="AE670" s="1683"/>
      <c r="AF670" s="1683"/>
      <c r="AG670" s="1683"/>
      <c r="AH670" s="1683"/>
      <c r="AI670" s="1683"/>
      <c r="AJ670" s="1683"/>
      <c r="AK670" s="1683"/>
      <c r="AL670" s="1683"/>
      <c r="AM670" s="1683"/>
      <c r="AN670" s="1683"/>
      <c r="AO670" s="1683"/>
      <c r="AP670" s="1683"/>
      <c r="AQ670" s="1683"/>
      <c r="AR670" s="1683"/>
      <c r="AS670" s="1683"/>
      <c r="AT670" s="1683"/>
      <c r="AU670" s="1683"/>
      <c r="AV670" s="1683"/>
      <c r="AW670" s="1683"/>
      <c r="AX670" s="1683"/>
      <c r="AY670" s="1683"/>
      <c r="AZ670" s="1683"/>
      <c r="BA670" s="1683"/>
      <c r="BB670" s="1683"/>
    </row>
    <row r="671" spans="1:54">
      <c r="A671" s="326">
        <f t="shared" si="69"/>
        <v>53812</v>
      </c>
      <c r="B671" s="1678"/>
      <c r="C671" s="1679">
        <f t="shared" si="66"/>
        <v>1</v>
      </c>
      <c r="D671" s="1679">
        <f>PRODUCT(C$5:C671)</f>
        <v>3.55771976932645</v>
      </c>
      <c r="J671" s="1680"/>
      <c r="K671" s="1680"/>
      <c r="L671" s="1680"/>
      <c r="N671" s="1681"/>
      <c r="O671" s="1681"/>
      <c r="P671" s="1681"/>
      <c r="Q671" s="1681"/>
      <c r="R671" s="1681"/>
      <c r="T671" s="1681"/>
      <c r="U671" s="1681"/>
      <c r="W671" s="1681">
        <f t="shared" si="67"/>
        <v>0</v>
      </c>
      <c r="X671" s="1681"/>
      <c r="Y671" s="1681">
        <f t="shared" si="68"/>
        <v>0</v>
      </c>
      <c r="Z671" s="1681"/>
      <c r="AB671" s="1682"/>
      <c r="AC671" s="1682"/>
      <c r="AE671" s="1683"/>
      <c r="AF671" s="1683"/>
      <c r="AG671" s="1683"/>
      <c r="AH671" s="1683"/>
      <c r="AI671" s="1683"/>
      <c r="AJ671" s="1683"/>
      <c r="AK671" s="1683"/>
      <c r="AL671" s="1683"/>
      <c r="AM671" s="1683"/>
      <c r="AN671" s="1683"/>
      <c r="AO671" s="1683"/>
      <c r="AP671" s="1683"/>
      <c r="AQ671" s="1683"/>
      <c r="AR671" s="1683"/>
      <c r="AS671" s="1683"/>
      <c r="AT671" s="1683"/>
      <c r="AU671" s="1683"/>
      <c r="AV671" s="1683"/>
      <c r="AW671" s="1683"/>
      <c r="AX671" s="1683"/>
      <c r="AY671" s="1683"/>
      <c r="AZ671" s="1683"/>
      <c r="BA671" s="1683"/>
      <c r="BB671" s="1683"/>
    </row>
    <row r="672" spans="1:54">
      <c r="A672" s="326">
        <f t="shared" si="69"/>
        <v>53843</v>
      </c>
      <c r="B672" s="1678"/>
      <c r="C672" s="1679">
        <f t="shared" si="66"/>
        <v>1</v>
      </c>
      <c r="D672" s="1679">
        <f>PRODUCT(C$5:C672)</f>
        <v>3.55771976932645</v>
      </c>
      <c r="J672" s="1680"/>
      <c r="K672" s="1680"/>
      <c r="L672" s="1680"/>
      <c r="N672" s="1681"/>
      <c r="O672" s="1681"/>
      <c r="P672" s="1681"/>
      <c r="Q672" s="1681"/>
      <c r="R672" s="1681"/>
      <c r="T672" s="1681"/>
      <c r="U672" s="1681"/>
      <c r="W672" s="1681">
        <f t="shared" si="67"/>
        <v>0</v>
      </c>
      <c r="X672" s="1681"/>
      <c r="Y672" s="1681">
        <f t="shared" si="68"/>
        <v>0</v>
      </c>
      <c r="Z672" s="1681"/>
      <c r="AB672" s="1682"/>
      <c r="AC672" s="1682"/>
      <c r="AE672" s="1683"/>
      <c r="AF672" s="1683"/>
      <c r="AG672" s="1683"/>
      <c r="AH672" s="1683"/>
      <c r="AI672" s="1683"/>
      <c r="AJ672" s="1683"/>
      <c r="AK672" s="1683"/>
      <c r="AL672" s="1683"/>
      <c r="AM672" s="1683"/>
      <c r="AN672" s="1683"/>
      <c r="AO672" s="1683"/>
      <c r="AP672" s="1683"/>
      <c r="AQ672" s="1683"/>
      <c r="AR672" s="1683"/>
      <c r="AS672" s="1683"/>
      <c r="AT672" s="1683"/>
      <c r="AU672" s="1683"/>
      <c r="AV672" s="1683"/>
      <c r="AW672" s="1683"/>
      <c r="AX672" s="1683"/>
      <c r="AY672" s="1683"/>
      <c r="AZ672" s="1683"/>
      <c r="BA672" s="1683"/>
      <c r="BB672" s="1683"/>
    </row>
    <row r="673" spans="1:54">
      <c r="A673" s="326">
        <f t="shared" si="69"/>
        <v>53873</v>
      </c>
      <c r="B673" s="1678"/>
      <c r="C673" s="1679">
        <f t="shared" si="66"/>
        <v>1</v>
      </c>
      <c r="D673" s="1679">
        <f>PRODUCT(C$5:C673)</f>
        <v>3.55771976932645</v>
      </c>
      <c r="J673" s="1680"/>
      <c r="K673" s="1680"/>
      <c r="L673" s="1680"/>
      <c r="N673" s="1681"/>
      <c r="O673" s="1681"/>
      <c r="P673" s="1681"/>
      <c r="Q673" s="1681"/>
      <c r="R673" s="1681"/>
      <c r="T673" s="1681"/>
      <c r="U673" s="1681"/>
      <c r="W673" s="1681">
        <f t="shared" si="67"/>
        <v>0</v>
      </c>
      <c r="X673" s="1681"/>
      <c r="Y673" s="1681">
        <f t="shared" si="68"/>
        <v>0</v>
      </c>
      <c r="Z673" s="1681"/>
      <c r="AB673" s="1682"/>
      <c r="AC673" s="1682"/>
      <c r="AE673" s="1683"/>
      <c r="AF673" s="1683"/>
      <c r="AG673" s="1683"/>
      <c r="AH673" s="1683"/>
      <c r="AI673" s="1683"/>
      <c r="AJ673" s="1683"/>
      <c r="AK673" s="1683"/>
      <c r="AL673" s="1683"/>
      <c r="AM673" s="1683"/>
      <c r="AN673" s="1683"/>
      <c r="AO673" s="1683"/>
      <c r="AP673" s="1683"/>
      <c r="AQ673" s="1683"/>
      <c r="AR673" s="1683"/>
      <c r="AS673" s="1683"/>
      <c r="AT673" s="1683"/>
      <c r="AU673" s="1683"/>
      <c r="AV673" s="1683"/>
      <c r="AW673" s="1683"/>
      <c r="AX673" s="1683"/>
      <c r="AY673" s="1683"/>
      <c r="AZ673" s="1683"/>
      <c r="BA673" s="1683"/>
      <c r="BB673" s="1683"/>
    </row>
    <row r="674" spans="1:54">
      <c r="A674" s="326">
        <f t="shared" si="69"/>
        <v>53904</v>
      </c>
      <c r="B674" s="1678"/>
      <c r="C674" s="1679">
        <f t="shared" si="66"/>
        <v>1</v>
      </c>
      <c r="D674" s="1679">
        <f>PRODUCT(C$5:C674)</f>
        <v>3.55771976932645</v>
      </c>
      <c r="J674" s="1680"/>
      <c r="K674" s="1680"/>
      <c r="L674" s="1680"/>
      <c r="N674" s="1681"/>
      <c r="O674" s="1681"/>
      <c r="P674" s="1681"/>
      <c r="Q674" s="1681"/>
      <c r="R674" s="1681"/>
      <c r="T674" s="1681"/>
      <c r="U674" s="1681"/>
      <c r="W674" s="1681">
        <f t="shared" si="67"/>
        <v>0</v>
      </c>
      <c r="X674" s="1681"/>
      <c r="Y674" s="1681">
        <f t="shared" si="68"/>
        <v>0</v>
      </c>
      <c r="Z674" s="1681"/>
      <c r="AB674" s="1682"/>
      <c r="AC674" s="1682"/>
      <c r="AE674" s="1683"/>
      <c r="AF674" s="1683"/>
      <c r="AG674" s="1683"/>
      <c r="AH674" s="1683"/>
      <c r="AI674" s="1683"/>
      <c r="AJ674" s="1683"/>
      <c r="AK674" s="1683"/>
      <c r="AL674" s="1683"/>
      <c r="AM674" s="1683"/>
      <c r="AN674" s="1683"/>
      <c r="AO674" s="1683"/>
      <c r="AP674" s="1683"/>
      <c r="AQ674" s="1683"/>
      <c r="AR674" s="1683"/>
      <c r="AS674" s="1683"/>
      <c r="AT674" s="1683"/>
      <c r="AU674" s="1683"/>
      <c r="AV674" s="1683"/>
      <c r="AW674" s="1683"/>
      <c r="AX674" s="1683"/>
      <c r="AY674" s="1683"/>
      <c r="AZ674" s="1683"/>
      <c r="BA674" s="1683"/>
      <c r="BB674" s="1683"/>
    </row>
    <row r="675" spans="1:54">
      <c r="A675" s="326">
        <f t="shared" si="69"/>
        <v>53935</v>
      </c>
      <c r="B675" s="1678"/>
      <c r="C675" s="1679">
        <f t="shared" si="66"/>
        <v>1</v>
      </c>
      <c r="D675" s="1679">
        <f>PRODUCT(C$5:C675)</f>
        <v>3.55771976932645</v>
      </c>
      <c r="J675" s="1680"/>
      <c r="K675" s="1680"/>
      <c r="L675" s="1680"/>
      <c r="N675" s="1681"/>
      <c r="O675" s="1681"/>
      <c r="P675" s="1681"/>
      <c r="Q675" s="1681"/>
      <c r="R675" s="1681"/>
      <c r="T675" s="1681"/>
      <c r="U675" s="1681"/>
      <c r="W675" s="1681">
        <f t="shared" si="67"/>
        <v>0</v>
      </c>
      <c r="X675" s="1681"/>
      <c r="Y675" s="1681">
        <f t="shared" si="68"/>
        <v>0</v>
      </c>
      <c r="Z675" s="1681"/>
      <c r="AB675" s="1682"/>
      <c r="AC675" s="1682"/>
      <c r="AE675" s="1683"/>
      <c r="AF675" s="1683"/>
      <c r="AG675" s="1683"/>
      <c r="AH675" s="1683"/>
      <c r="AI675" s="1683"/>
      <c r="AJ675" s="1683"/>
      <c r="AK675" s="1683"/>
      <c r="AL675" s="1683"/>
      <c r="AM675" s="1683"/>
      <c r="AN675" s="1683"/>
      <c r="AO675" s="1683"/>
      <c r="AP675" s="1683"/>
      <c r="AQ675" s="1683"/>
      <c r="AR675" s="1683"/>
      <c r="AS675" s="1683"/>
      <c r="AT675" s="1683"/>
      <c r="AU675" s="1683"/>
      <c r="AV675" s="1683"/>
      <c r="AW675" s="1683"/>
      <c r="AX675" s="1683"/>
      <c r="AY675" s="1683"/>
      <c r="AZ675" s="1683"/>
      <c r="BA675" s="1683"/>
      <c r="BB675" s="1683"/>
    </row>
    <row r="676" spans="1:54">
      <c r="A676" s="326">
        <f t="shared" si="69"/>
        <v>53965</v>
      </c>
      <c r="B676" s="1678"/>
      <c r="C676" s="1679">
        <f t="shared" si="66"/>
        <v>1</v>
      </c>
      <c r="D676" s="1679">
        <f>PRODUCT(C$5:C676)</f>
        <v>3.55771976932645</v>
      </c>
      <c r="J676" s="1680"/>
      <c r="K676" s="1680"/>
      <c r="L676" s="1680"/>
      <c r="N676" s="1681"/>
      <c r="O676" s="1681"/>
      <c r="P676" s="1681"/>
      <c r="Q676" s="1681"/>
      <c r="R676" s="1681"/>
      <c r="T676" s="1681"/>
      <c r="U676" s="1681"/>
      <c r="W676" s="1681">
        <f t="shared" si="67"/>
        <v>0</v>
      </c>
      <c r="X676" s="1681"/>
      <c r="Y676" s="1681">
        <f t="shared" si="68"/>
        <v>0</v>
      </c>
      <c r="Z676" s="1681"/>
      <c r="AB676" s="1682"/>
      <c r="AC676" s="1682"/>
      <c r="AE676" s="1683"/>
      <c r="AF676" s="1683"/>
      <c r="AG676" s="1683"/>
      <c r="AH676" s="1683"/>
      <c r="AI676" s="1683"/>
      <c r="AJ676" s="1683"/>
      <c r="AK676" s="1683"/>
      <c r="AL676" s="1683"/>
      <c r="AM676" s="1683"/>
      <c r="AN676" s="1683"/>
      <c r="AO676" s="1683"/>
      <c r="AP676" s="1683"/>
      <c r="AQ676" s="1683"/>
      <c r="AR676" s="1683"/>
      <c r="AS676" s="1683"/>
      <c r="AT676" s="1683"/>
      <c r="AU676" s="1683"/>
      <c r="AV676" s="1683"/>
      <c r="AW676" s="1683"/>
      <c r="AX676" s="1683"/>
      <c r="AY676" s="1683"/>
      <c r="AZ676" s="1683"/>
      <c r="BA676" s="1683"/>
      <c r="BB676" s="1683"/>
    </row>
    <row r="677" spans="1:54">
      <c r="A677" s="326">
        <f t="shared" si="69"/>
        <v>53996</v>
      </c>
      <c r="B677" s="1678"/>
      <c r="C677" s="1679">
        <f t="shared" si="66"/>
        <v>1</v>
      </c>
      <c r="D677" s="1679">
        <f>PRODUCT(C$5:C677)</f>
        <v>3.55771976932645</v>
      </c>
      <c r="J677" s="1680"/>
      <c r="K677" s="1680"/>
      <c r="L677" s="1680"/>
      <c r="N677" s="1681"/>
      <c r="O677" s="1681"/>
      <c r="P677" s="1681"/>
      <c r="Q677" s="1681"/>
      <c r="R677" s="1681"/>
      <c r="T677" s="1681"/>
      <c r="U677" s="1681"/>
      <c r="W677" s="1681">
        <f t="shared" si="67"/>
        <v>0</v>
      </c>
      <c r="X677" s="1681"/>
      <c r="Y677" s="1681">
        <f t="shared" si="68"/>
        <v>0</v>
      </c>
      <c r="Z677" s="1681"/>
      <c r="AB677" s="1682"/>
      <c r="AC677" s="1682"/>
      <c r="AE677" s="1683"/>
      <c r="AF677" s="1683"/>
      <c r="AG677" s="1683"/>
      <c r="AH677" s="1683"/>
      <c r="AI677" s="1683"/>
      <c r="AJ677" s="1683"/>
      <c r="AK677" s="1683"/>
      <c r="AL677" s="1683"/>
      <c r="AM677" s="1683"/>
      <c r="AN677" s="1683"/>
      <c r="AO677" s="1683"/>
      <c r="AP677" s="1683"/>
      <c r="AQ677" s="1683"/>
      <c r="AR677" s="1683"/>
      <c r="AS677" s="1683"/>
      <c r="AT677" s="1683"/>
      <c r="AU677" s="1683"/>
      <c r="AV677" s="1683"/>
      <c r="AW677" s="1683"/>
      <c r="AX677" s="1683"/>
      <c r="AY677" s="1683"/>
      <c r="AZ677" s="1683"/>
      <c r="BA677" s="1683"/>
      <c r="BB677" s="1683"/>
    </row>
    <row r="678" spans="1:54">
      <c r="A678" s="326">
        <f t="shared" si="69"/>
        <v>54026</v>
      </c>
      <c r="B678" s="1678"/>
      <c r="C678" s="1679">
        <f t="shared" si="66"/>
        <v>1</v>
      </c>
      <c r="D678" s="1679">
        <f>PRODUCT(C$5:C678)</f>
        <v>3.55771976932645</v>
      </c>
      <c r="J678" s="1680"/>
      <c r="K678" s="1680"/>
      <c r="L678" s="1680"/>
      <c r="N678" s="1681"/>
      <c r="O678" s="1681"/>
      <c r="P678" s="1681"/>
      <c r="Q678" s="1681"/>
      <c r="R678" s="1681"/>
      <c r="T678" s="1681"/>
      <c r="U678" s="1681"/>
      <c r="W678" s="1681">
        <f t="shared" si="67"/>
        <v>0</v>
      </c>
      <c r="X678" s="1681"/>
      <c r="Y678" s="1681">
        <f t="shared" si="68"/>
        <v>0</v>
      </c>
      <c r="Z678" s="1681"/>
      <c r="AB678" s="1682"/>
      <c r="AC678" s="1682"/>
      <c r="AE678" s="1683"/>
      <c r="AF678" s="1683"/>
      <c r="AG678" s="1683"/>
      <c r="AH678" s="1683"/>
      <c r="AI678" s="1683"/>
      <c r="AJ678" s="1683"/>
      <c r="AK678" s="1683"/>
      <c r="AL678" s="1683"/>
      <c r="AM678" s="1683"/>
      <c r="AN678" s="1683"/>
      <c r="AO678" s="1683"/>
      <c r="AP678" s="1683"/>
      <c r="AQ678" s="1683"/>
      <c r="AR678" s="1683"/>
      <c r="AS678" s="1683"/>
      <c r="AT678" s="1683"/>
      <c r="AU678" s="1683"/>
      <c r="AV678" s="1683"/>
      <c r="AW678" s="1683"/>
      <c r="AX678" s="1683"/>
      <c r="AY678" s="1683"/>
      <c r="AZ678" s="1683"/>
      <c r="BA678" s="1683"/>
      <c r="BB678" s="1683"/>
    </row>
    <row r="679" spans="1:54">
      <c r="A679" s="326">
        <f t="shared" si="69"/>
        <v>54057</v>
      </c>
      <c r="B679" s="1678"/>
      <c r="C679" s="1679">
        <f t="shared" si="66"/>
        <v>1</v>
      </c>
      <c r="D679" s="1679">
        <f>PRODUCT(C$5:C679)</f>
        <v>3.55771976932645</v>
      </c>
      <c r="J679" s="1680"/>
      <c r="K679" s="1680"/>
      <c r="L679" s="1680"/>
      <c r="N679" s="1681"/>
      <c r="O679" s="1681"/>
      <c r="P679" s="1681"/>
      <c r="Q679" s="1681"/>
      <c r="R679" s="1681"/>
      <c r="T679" s="1681"/>
      <c r="U679" s="1681"/>
      <c r="W679" s="1681">
        <f t="shared" si="67"/>
        <v>0</v>
      </c>
      <c r="X679" s="1681"/>
      <c r="Y679" s="1681">
        <f t="shared" si="68"/>
        <v>0</v>
      </c>
      <c r="Z679" s="1681"/>
      <c r="AB679" s="1682"/>
      <c r="AC679" s="1682"/>
      <c r="AE679" s="1683"/>
      <c r="AF679" s="1683"/>
      <c r="AG679" s="1683"/>
      <c r="AH679" s="1683"/>
      <c r="AI679" s="1683"/>
      <c r="AJ679" s="1683"/>
      <c r="AK679" s="1683"/>
      <c r="AL679" s="1683"/>
      <c r="AM679" s="1683"/>
      <c r="AN679" s="1683"/>
      <c r="AO679" s="1683"/>
      <c r="AP679" s="1683"/>
      <c r="AQ679" s="1683"/>
      <c r="AR679" s="1683"/>
      <c r="AS679" s="1683"/>
      <c r="AT679" s="1683"/>
      <c r="AU679" s="1683"/>
      <c r="AV679" s="1683"/>
      <c r="AW679" s="1683"/>
      <c r="AX679" s="1683"/>
      <c r="AY679" s="1683"/>
      <c r="AZ679" s="1683"/>
      <c r="BA679" s="1683"/>
      <c r="BB679" s="1683"/>
    </row>
    <row r="680" spans="1:54">
      <c r="A680" s="326">
        <f t="shared" si="69"/>
        <v>54088</v>
      </c>
      <c r="B680" s="1678"/>
      <c r="C680" s="1679">
        <f t="shared" si="66"/>
        <v>1</v>
      </c>
      <c r="D680" s="1679">
        <f>PRODUCT(C$5:C680)</f>
        <v>3.55771976932645</v>
      </c>
      <c r="J680" s="1680"/>
      <c r="K680" s="1680"/>
      <c r="L680" s="1680"/>
      <c r="N680" s="1681"/>
      <c r="O680" s="1681"/>
      <c r="P680" s="1681"/>
      <c r="Q680" s="1681"/>
      <c r="R680" s="1681"/>
      <c r="T680" s="1681"/>
      <c r="U680" s="1681"/>
      <c r="W680" s="1681">
        <f t="shared" si="67"/>
        <v>0</v>
      </c>
      <c r="X680" s="1681"/>
      <c r="Y680" s="1681">
        <f t="shared" si="68"/>
        <v>0</v>
      </c>
      <c r="Z680" s="1681"/>
      <c r="AB680" s="1682"/>
      <c r="AC680" s="1682"/>
      <c r="AE680" s="1683"/>
      <c r="AF680" s="1683"/>
      <c r="AG680" s="1683"/>
      <c r="AH680" s="1683"/>
      <c r="AI680" s="1683"/>
      <c r="AJ680" s="1683"/>
      <c r="AK680" s="1683"/>
      <c r="AL680" s="1683"/>
      <c r="AM680" s="1683"/>
      <c r="AN680" s="1683"/>
      <c r="AO680" s="1683"/>
      <c r="AP680" s="1683"/>
      <c r="AQ680" s="1683"/>
      <c r="AR680" s="1683"/>
      <c r="AS680" s="1683"/>
      <c r="AT680" s="1683"/>
      <c r="AU680" s="1683"/>
      <c r="AV680" s="1683"/>
      <c r="AW680" s="1683"/>
      <c r="AX680" s="1683"/>
      <c r="AY680" s="1683"/>
      <c r="AZ680" s="1683"/>
      <c r="BA680" s="1683"/>
      <c r="BB680" s="1683"/>
    </row>
    <row r="681" spans="1:54">
      <c r="A681" s="326">
        <f t="shared" si="69"/>
        <v>54117</v>
      </c>
      <c r="B681" s="1678"/>
      <c r="C681" s="1679">
        <f t="shared" si="66"/>
        <v>1</v>
      </c>
      <c r="D681" s="1679">
        <f>PRODUCT(C$5:C681)</f>
        <v>3.55771976932645</v>
      </c>
      <c r="J681" s="1680"/>
      <c r="K681" s="1680"/>
      <c r="L681" s="1680"/>
      <c r="N681" s="1681"/>
      <c r="O681" s="1681"/>
      <c r="P681" s="1681"/>
      <c r="Q681" s="1681"/>
      <c r="R681" s="1681"/>
      <c r="T681" s="1681"/>
      <c r="U681" s="1681"/>
      <c r="W681" s="1681">
        <f t="shared" si="67"/>
        <v>0</v>
      </c>
      <c r="X681" s="1681"/>
      <c r="Y681" s="1681">
        <f t="shared" si="68"/>
        <v>0</v>
      </c>
      <c r="Z681" s="1681"/>
      <c r="AB681" s="1682"/>
      <c r="AC681" s="1682"/>
      <c r="AE681" s="1683"/>
      <c r="AF681" s="1683"/>
      <c r="AG681" s="1683"/>
      <c r="AH681" s="1683"/>
      <c r="AI681" s="1683"/>
      <c r="AJ681" s="1683"/>
      <c r="AK681" s="1683"/>
      <c r="AL681" s="1683"/>
      <c r="AM681" s="1683"/>
      <c r="AN681" s="1683"/>
      <c r="AO681" s="1683"/>
      <c r="AP681" s="1683"/>
      <c r="AQ681" s="1683"/>
      <c r="AR681" s="1683"/>
      <c r="AS681" s="1683"/>
      <c r="AT681" s="1683"/>
      <c r="AU681" s="1683"/>
      <c r="AV681" s="1683"/>
      <c r="AW681" s="1683"/>
      <c r="AX681" s="1683"/>
      <c r="AY681" s="1683"/>
      <c r="AZ681" s="1683"/>
      <c r="BA681" s="1683"/>
      <c r="BB681" s="1683"/>
    </row>
    <row r="682" spans="1:54">
      <c r="A682" s="326">
        <f t="shared" si="69"/>
        <v>54148</v>
      </c>
      <c r="B682" s="1678"/>
      <c r="C682" s="1679">
        <f t="shared" si="66"/>
        <v>1</v>
      </c>
      <c r="D682" s="1679">
        <f>PRODUCT(C$5:C682)</f>
        <v>3.55771976932645</v>
      </c>
      <c r="J682" s="1680"/>
      <c r="K682" s="1680"/>
      <c r="L682" s="1680"/>
      <c r="N682" s="1681"/>
      <c r="O682" s="1681"/>
      <c r="P682" s="1681"/>
      <c r="Q682" s="1681"/>
      <c r="R682" s="1681"/>
      <c r="T682" s="1681"/>
      <c r="U682" s="1681"/>
      <c r="W682" s="1681">
        <f t="shared" si="67"/>
        <v>0</v>
      </c>
      <c r="X682" s="1681"/>
      <c r="Y682" s="1681">
        <f t="shared" si="68"/>
        <v>0</v>
      </c>
      <c r="Z682" s="1681"/>
      <c r="AB682" s="1682"/>
      <c r="AC682" s="1682"/>
      <c r="AE682" s="1683"/>
      <c r="AF682" s="1683"/>
      <c r="AG682" s="1683"/>
      <c r="AH682" s="1683"/>
      <c r="AI682" s="1683"/>
      <c r="AJ682" s="1683"/>
      <c r="AK682" s="1683"/>
      <c r="AL682" s="1683"/>
      <c r="AM682" s="1683"/>
      <c r="AN682" s="1683"/>
      <c r="AO682" s="1683"/>
      <c r="AP682" s="1683"/>
      <c r="AQ682" s="1683"/>
      <c r="AR682" s="1683"/>
      <c r="AS682" s="1683"/>
      <c r="AT682" s="1683"/>
      <c r="AU682" s="1683"/>
      <c r="AV682" s="1683"/>
      <c r="AW682" s="1683"/>
      <c r="AX682" s="1683"/>
      <c r="AY682" s="1683"/>
      <c r="AZ682" s="1683"/>
      <c r="BA682" s="1683"/>
      <c r="BB682" s="1683"/>
    </row>
    <row r="683" spans="1:54">
      <c r="A683" s="326">
        <f t="shared" si="69"/>
        <v>54178</v>
      </c>
      <c r="B683" s="1678"/>
      <c r="C683" s="1679">
        <f t="shared" si="66"/>
        <v>1</v>
      </c>
      <c r="D683" s="1679">
        <f>PRODUCT(C$5:C683)</f>
        <v>3.55771976932645</v>
      </c>
      <c r="J683" s="1680"/>
      <c r="K683" s="1680"/>
      <c r="L683" s="1680"/>
      <c r="N683" s="1681"/>
      <c r="O683" s="1681"/>
      <c r="P683" s="1681"/>
      <c r="Q683" s="1681"/>
      <c r="R683" s="1681"/>
      <c r="T683" s="1681"/>
      <c r="U683" s="1681"/>
      <c r="W683" s="1681">
        <f t="shared" si="67"/>
        <v>0</v>
      </c>
      <c r="X683" s="1681"/>
      <c r="Y683" s="1681">
        <f t="shared" si="68"/>
        <v>0</v>
      </c>
      <c r="Z683" s="1681"/>
      <c r="AB683" s="1682"/>
      <c r="AC683" s="1682"/>
      <c r="AE683" s="1683"/>
      <c r="AF683" s="1683"/>
      <c r="AG683" s="1683"/>
      <c r="AH683" s="1683"/>
      <c r="AI683" s="1683"/>
      <c r="AJ683" s="1683"/>
      <c r="AK683" s="1683"/>
      <c r="AL683" s="1683"/>
      <c r="AM683" s="1683"/>
      <c r="AN683" s="1683"/>
      <c r="AO683" s="1683"/>
      <c r="AP683" s="1683"/>
      <c r="AQ683" s="1683"/>
      <c r="AR683" s="1683"/>
      <c r="AS683" s="1683"/>
      <c r="AT683" s="1683"/>
      <c r="AU683" s="1683"/>
      <c r="AV683" s="1683"/>
      <c r="AW683" s="1683"/>
      <c r="AX683" s="1683"/>
      <c r="AY683" s="1683"/>
      <c r="AZ683" s="1683"/>
      <c r="BA683" s="1683"/>
      <c r="BB683" s="1683"/>
    </row>
    <row r="684" spans="1:54">
      <c r="A684" s="326">
        <f t="shared" si="69"/>
        <v>54209</v>
      </c>
      <c r="B684" s="1678"/>
      <c r="C684" s="1679">
        <f t="shared" si="66"/>
        <v>1</v>
      </c>
      <c r="D684" s="1679">
        <f>PRODUCT(C$5:C684)</f>
        <v>3.55771976932645</v>
      </c>
      <c r="J684" s="1680"/>
      <c r="K684" s="1680"/>
      <c r="L684" s="1680"/>
      <c r="N684" s="1681"/>
      <c r="O684" s="1681"/>
      <c r="P684" s="1681"/>
      <c r="Q684" s="1681"/>
      <c r="R684" s="1681"/>
      <c r="T684" s="1681"/>
      <c r="U684" s="1681"/>
      <c r="W684" s="1681">
        <f t="shared" si="67"/>
        <v>0</v>
      </c>
      <c r="X684" s="1681"/>
      <c r="Y684" s="1681">
        <f t="shared" si="68"/>
        <v>0</v>
      </c>
      <c r="Z684" s="1681"/>
      <c r="AB684" s="1682"/>
      <c r="AC684" s="1682"/>
      <c r="AE684" s="1683"/>
      <c r="AF684" s="1683"/>
      <c r="AG684" s="1683"/>
      <c r="AH684" s="1683"/>
      <c r="AI684" s="1683"/>
      <c r="AJ684" s="1683"/>
      <c r="AK684" s="1683"/>
      <c r="AL684" s="1683"/>
      <c r="AM684" s="1683"/>
      <c r="AN684" s="1683"/>
      <c r="AO684" s="1683"/>
      <c r="AP684" s="1683"/>
      <c r="AQ684" s="1683"/>
      <c r="AR684" s="1683"/>
      <c r="AS684" s="1683"/>
      <c r="AT684" s="1683"/>
      <c r="AU684" s="1683"/>
      <c r="AV684" s="1683"/>
      <c r="AW684" s="1683"/>
      <c r="AX684" s="1683"/>
      <c r="AY684" s="1683"/>
      <c r="AZ684" s="1683"/>
      <c r="BA684" s="1683"/>
      <c r="BB684" s="1683"/>
    </row>
    <row r="685" spans="1:54">
      <c r="A685" s="326">
        <f t="shared" si="69"/>
        <v>54239</v>
      </c>
      <c r="B685" s="1678"/>
      <c r="C685" s="1679">
        <f t="shared" si="66"/>
        <v>1</v>
      </c>
      <c r="D685" s="1679">
        <f>PRODUCT(C$5:C685)</f>
        <v>3.55771976932645</v>
      </c>
      <c r="J685" s="1680"/>
      <c r="K685" s="1680"/>
      <c r="L685" s="1680"/>
      <c r="N685" s="1681"/>
      <c r="O685" s="1681"/>
      <c r="P685" s="1681"/>
      <c r="Q685" s="1681"/>
      <c r="R685" s="1681"/>
      <c r="T685" s="1681"/>
      <c r="U685" s="1681"/>
      <c r="W685" s="1681">
        <f t="shared" si="67"/>
        <v>0</v>
      </c>
      <c r="X685" s="1681"/>
      <c r="Y685" s="1681">
        <f t="shared" si="68"/>
        <v>0</v>
      </c>
      <c r="Z685" s="1681"/>
      <c r="AB685" s="1682"/>
      <c r="AC685" s="1682"/>
      <c r="AE685" s="1683"/>
      <c r="AF685" s="1683"/>
      <c r="AG685" s="1683"/>
      <c r="AH685" s="1683"/>
      <c r="AI685" s="1683"/>
      <c r="AJ685" s="1683"/>
      <c r="AK685" s="1683"/>
      <c r="AL685" s="1683"/>
      <c r="AM685" s="1683"/>
      <c r="AN685" s="1683"/>
      <c r="AO685" s="1683"/>
      <c r="AP685" s="1683"/>
      <c r="AQ685" s="1683"/>
      <c r="AR685" s="1683"/>
      <c r="AS685" s="1683"/>
      <c r="AT685" s="1683"/>
      <c r="AU685" s="1683"/>
      <c r="AV685" s="1683"/>
      <c r="AW685" s="1683"/>
      <c r="AX685" s="1683"/>
      <c r="AY685" s="1683"/>
      <c r="AZ685" s="1683"/>
      <c r="BA685" s="1683"/>
      <c r="BB685" s="1683"/>
    </row>
    <row r="686" spans="1:54">
      <c r="A686" s="326">
        <f t="shared" si="69"/>
        <v>54270</v>
      </c>
      <c r="B686" s="1678"/>
      <c r="C686" s="1679">
        <f t="shared" si="66"/>
        <v>1</v>
      </c>
      <c r="D686" s="1679">
        <f>PRODUCT(C$5:C686)</f>
        <v>3.55771976932645</v>
      </c>
      <c r="J686" s="1680"/>
      <c r="K686" s="1680"/>
      <c r="L686" s="1680"/>
      <c r="N686" s="1681"/>
      <c r="O686" s="1681"/>
      <c r="P686" s="1681"/>
      <c r="Q686" s="1681"/>
      <c r="R686" s="1681"/>
      <c r="T686" s="1681"/>
      <c r="U686" s="1681"/>
      <c r="W686" s="1681">
        <f t="shared" si="67"/>
        <v>0</v>
      </c>
      <c r="X686" s="1681"/>
      <c r="Y686" s="1681">
        <f t="shared" si="68"/>
        <v>0</v>
      </c>
      <c r="Z686" s="1681"/>
      <c r="AB686" s="1682"/>
      <c r="AC686" s="1682"/>
      <c r="AE686" s="1683"/>
      <c r="AF686" s="1683"/>
      <c r="AG686" s="1683"/>
      <c r="AH686" s="1683"/>
      <c r="AI686" s="1683"/>
      <c r="AJ686" s="1683"/>
      <c r="AK686" s="1683"/>
      <c r="AL686" s="1683"/>
      <c r="AM686" s="1683"/>
      <c r="AN686" s="1683"/>
      <c r="AO686" s="1683"/>
      <c r="AP686" s="1683"/>
      <c r="AQ686" s="1683"/>
      <c r="AR686" s="1683"/>
      <c r="AS686" s="1683"/>
      <c r="AT686" s="1683"/>
      <c r="AU686" s="1683"/>
      <c r="AV686" s="1683"/>
      <c r="AW686" s="1683"/>
      <c r="AX686" s="1683"/>
      <c r="AY686" s="1683"/>
      <c r="AZ686" s="1683"/>
      <c r="BA686" s="1683"/>
      <c r="BB686" s="1683"/>
    </row>
    <row r="687" spans="1:54">
      <c r="A687" s="326">
        <f t="shared" si="69"/>
        <v>54301</v>
      </c>
      <c r="B687" s="1678"/>
      <c r="C687" s="1679">
        <f t="shared" si="66"/>
        <v>1</v>
      </c>
      <c r="D687" s="1679">
        <f>PRODUCT(C$5:C687)</f>
        <v>3.55771976932645</v>
      </c>
      <c r="J687" s="1680"/>
      <c r="K687" s="1680"/>
      <c r="L687" s="1680"/>
      <c r="N687" s="1681"/>
      <c r="O687" s="1681"/>
      <c r="P687" s="1681"/>
      <c r="Q687" s="1681"/>
      <c r="R687" s="1681"/>
      <c r="T687" s="1681"/>
      <c r="U687" s="1681"/>
      <c r="W687" s="1681">
        <f t="shared" si="67"/>
        <v>0</v>
      </c>
      <c r="X687" s="1681"/>
      <c r="Y687" s="1681">
        <f t="shared" si="68"/>
        <v>0</v>
      </c>
      <c r="Z687" s="1681"/>
      <c r="AB687" s="1682"/>
      <c r="AC687" s="1682"/>
      <c r="AE687" s="1683"/>
      <c r="AF687" s="1683"/>
      <c r="AG687" s="1683"/>
      <c r="AH687" s="1683"/>
      <c r="AI687" s="1683"/>
      <c r="AJ687" s="1683"/>
      <c r="AK687" s="1683"/>
      <c r="AL687" s="1683"/>
      <c r="AM687" s="1683"/>
      <c r="AN687" s="1683"/>
      <c r="AO687" s="1683"/>
      <c r="AP687" s="1683"/>
      <c r="AQ687" s="1683"/>
      <c r="AR687" s="1683"/>
      <c r="AS687" s="1683"/>
      <c r="AT687" s="1683"/>
      <c r="AU687" s="1683"/>
      <c r="AV687" s="1683"/>
      <c r="AW687" s="1683"/>
      <c r="AX687" s="1683"/>
      <c r="AY687" s="1683"/>
      <c r="AZ687" s="1683"/>
      <c r="BA687" s="1683"/>
      <c r="BB687" s="1683"/>
    </row>
    <row r="688" spans="1:54">
      <c r="A688" s="326">
        <f t="shared" si="69"/>
        <v>54331</v>
      </c>
      <c r="B688" s="1678"/>
      <c r="C688" s="1679">
        <f t="shared" si="66"/>
        <v>1</v>
      </c>
      <c r="D688" s="1679">
        <f>PRODUCT(C$5:C688)</f>
        <v>3.55771976932645</v>
      </c>
      <c r="J688" s="1680"/>
      <c r="K688" s="1680"/>
      <c r="L688" s="1680"/>
      <c r="N688" s="1681"/>
      <c r="O688" s="1681"/>
      <c r="P688" s="1681"/>
      <c r="Q688" s="1681"/>
      <c r="R688" s="1681"/>
      <c r="T688" s="1681"/>
      <c r="U688" s="1681"/>
      <c r="W688" s="1681">
        <f t="shared" si="67"/>
        <v>0</v>
      </c>
      <c r="X688" s="1681"/>
      <c r="Y688" s="1681">
        <f t="shared" si="68"/>
        <v>0</v>
      </c>
      <c r="Z688" s="1681"/>
      <c r="AB688" s="1682"/>
      <c r="AC688" s="1682"/>
      <c r="AE688" s="1683"/>
      <c r="AF688" s="1683"/>
      <c r="AG688" s="1683"/>
      <c r="AH688" s="1683"/>
      <c r="AI688" s="1683"/>
      <c r="AJ688" s="1683"/>
      <c r="AK688" s="1683"/>
      <c r="AL688" s="1683"/>
      <c r="AM688" s="1683"/>
      <c r="AN688" s="1683"/>
      <c r="AO688" s="1683"/>
      <c r="AP688" s="1683"/>
      <c r="AQ688" s="1683"/>
      <c r="AR688" s="1683"/>
      <c r="AS688" s="1683"/>
      <c r="AT688" s="1683"/>
      <c r="AU688" s="1683"/>
      <c r="AV688" s="1683"/>
      <c r="AW688" s="1683"/>
      <c r="AX688" s="1683"/>
      <c r="AY688" s="1683"/>
      <c r="AZ688" s="1683"/>
      <c r="BA688" s="1683"/>
      <c r="BB688" s="1683"/>
    </row>
    <row r="689" spans="1:54">
      <c r="A689" s="326">
        <f t="shared" si="69"/>
        <v>54362</v>
      </c>
      <c r="B689" s="1678"/>
      <c r="C689" s="1679">
        <f t="shared" si="66"/>
        <v>1</v>
      </c>
      <c r="D689" s="1679">
        <f>PRODUCT(C$5:C689)</f>
        <v>3.55771976932645</v>
      </c>
      <c r="J689" s="1680"/>
      <c r="K689" s="1680"/>
      <c r="L689" s="1680"/>
      <c r="N689" s="1681"/>
      <c r="O689" s="1681"/>
      <c r="P689" s="1681"/>
      <c r="Q689" s="1681"/>
      <c r="R689" s="1681"/>
      <c r="T689" s="1681"/>
      <c r="U689" s="1681"/>
      <c r="W689" s="1681">
        <f t="shared" si="67"/>
        <v>0</v>
      </c>
      <c r="X689" s="1681"/>
      <c r="Y689" s="1681">
        <f t="shared" si="68"/>
        <v>0</v>
      </c>
      <c r="Z689" s="1681"/>
      <c r="AB689" s="1682"/>
      <c r="AC689" s="1682"/>
      <c r="AE689" s="1683"/>
      <c r="AF689" s="1683"/>
      <c r="AG689" s="1683"/>
      <c r="AH689" s="1683"/>
      <c r="AI689" s="1683"/>
      <c r="AJ689" s="1683"/>
      <c r="AK689" s="1683"/>
      <c r="AL689" s="1683"/>
      <c r="AM689" s="1683"/>
      <c r="AN689" s="1683"/>
      <c r="AO689" s="1683"/>
      <c r="AP689" s="1683"/>
      <c r="AQ689" s="1683"/>
      <c r="AR689" s="1683"/>
      <c r="AS689" s="1683"/>
      <c r="AT689" s="1683"/>
      <c r="AU689" s="1683"/>
      <c r="AV689" s="1683"/>
      <c r="AW689" s="1683"/>
      <c r="AX689" s="1683"/>
      <c r="AY689" s="1683"/>
      <c r="AZ689" s="1683"/>
      <c r="BA689" s="1683"/>
      <c r="BB689" s="1683"/>
    </row>
    <row r="690" spans="1:54">
      <c r="A690" s="326">
        <f t="shared" si="69"/>
        <v>54392</v>
      </c>
      <c r="B690" s="1678"/>
      <c r="C690" s="1679">
        <f t="shared" si="66"/>
        <v>1</v>
      </c>
      <c r="D690" s="1679">
        <f>PRODUCT(C$5:C690)</f>
        <v>3.55771976932645</v>
      </c>
      <c r="J690" s="1680"/>
      <c r="K690" s="1680"/>
      <c r="L690" s="1680"/>
      <c r="N690" s="1681"/>
      <c r="O690" s="1681"/>
      <c r="P690" s="1681"/>
      <c r="Q690" s="1681"/>
      <c r="R690" s="1681"/>
      <c r="T690" s="1681"/>
      <c r="U690" s="1681"/>
      <c r="W690" s="1681">
        <f t="shared" si="67"/>
        <v>0</v>
      </c>
      <c r="X690" s="1681"/>
      <c r="Y690" s="1681">
        <f t="shared" si="68"/>
        <v>0</v>
      </c>
      <c r="Z690" s="1681"/>
      <c r="AB690" s="1682"/>
      <c r="AC690" s="1682"/>
      <c r="AE690" s="1683"/>
      <c r="AF690" s="1683"/>
      <c r="AG690" s="1683"/>
      <c r="AH690" s="1683"/>
      <c r="AI690" s="1683"/>
      <c r="AJ690" s="1683"/>
      <c r="AK690" s="1683"/>
      <c r="AL690" s="1683"/>
      <c r="AM690" s="1683"/>
      <c r="AN690" s="1683"/>
      <c r="AO690" s="1683"/>
      <c r="AP690" s="1683"/>
      <c r="AQ690" s="1683"/>
      <c r="AR690" s="1683"/>
      <c r="AS690" s="1683"/>
      <c r="AT690" s="1683"/>
      <c r="AU690" s="1683"/>
      <c r="AV690" s="1683"/>
      <c r="AW690" s="1683"/>
      <c r="AX690" s="1683"/>
      <c r="AY690" s="1683"/>
      <c r="AZ690" s="1683"/>
      <c r="BA690" s="1683"/>
      <c r="BB690" s="1683"/>
    </row>
    <row r="691" spans="1:54">
      <c r="A691" s="326">
        <f t="shared" si="69"/>
        <v>54423</v>
      </c>
      <c r="B691" s="1678"/>
      <c r="C691" s="1679">
        <f t="shared" si="66"/>
        <v>1</v>
      </c>
      <c r="D691" s="1679">
        <f>PRODUCT(C$5:C691)</f>
        <v>3.55771976932645</v>
      </c>
      <c r="J691" s="1680"/>
      <c r="K691" s="1680"/>
      <c r="L691" s="1680"/>
      <c r="N691" s="1681"/>
      <c r="O691" s="1681"/>
      <c r="P691" s="1681"/>
      <c r="Q691" s="1681"/>
      <c r="R691" s="1681"/>
      <c r="T691" s="1681"/>
      <c r="U691" s="1681"/>
      <c r="W691" s="1681">
        <f t="shared" si="67"/>
        <v>0</v>
      </c>
      <c r="X691" s="1681"/>
      <c r="Y691" s="1681">
        <f t="shared" si="68"/>
        <v>0</v>
      </c>
      <c r="Z691" s="1681"/>
      <c r="AB691" s="1682"/>
      <c r="AC691" s="1682"/>
      <c r="AE691" s="1683"/>
      <c r="AF691" s="1683"/>
      <c r="AG691" s="1683"/>
      <c r="AH691" s="1683"/>
      <c r="AI691" s="1683"/>
      <c r="AJ691" s="1683"/>
      <c r="AK691" s="1683"/>
      <c r="AL691" s="1683"/>
      <c r="AM691" s="1683"/>
      <c r="AN691" s="1683"/>
      <c r="AO691" s="1683"/>
      <c r="AP691" s="1683"/>
      <c r="AQ691" s="1683"/>
      <c r="AR691" s="1683"/>
      <c r="AS691" s="1683"/>
      <c r="AT691" s="1683"/>
      <c r="AU691" s="1683"/>
      <c r="AV691" s="1683"/>
      <c r="AW691" s="1683"/>
      <c r="AX691" s="1683"/>
      <c r="AY691" s="1683"/>
      <c r="AZ691" s="1683"/>
      <c r="BA691" s="1683"/>
      <c r="BB691" s="1683"/>
    </row>
    <row r="692" spans="1:54">
      <c r="A692" s="326">
        <f t="shared" si="69"/>
        <v>54454</v>
      </c>
      <c r="B692" s="1678"/>
      <c r="C692" s="1679">
        <f t="shared" si="66"/>
        <v>1</v>
      </c>
      <c r="D692" s="1679">
        <f>PRODUCT(C$5:C692)</f>
        <v>3.55771976932645</v>
      </c>
      <c r="J692" s="1680"/>
      <c r="K692" s="1680"/>
      <c r="L692" s="1680"/>
      <c r="N692" s="1681"/>
      <c r="O692" s="1681"/>
      <c r="P692" s="1681"/>
      <c r="Q692" s="1681"/>
      <c r="R692" s="1681"/>
      <c r="T692" s="1681"/>
      <c r="U692" s="1681"/>
      <c r="W692" s="1681">
        <f t="shared" si="67"/>
        <v>0</v>
      </c>
      <c r="X692" s="1681"/>
      <c r="Y692" s="1681">
        <f t="shared" si="68"/>
        <v>0</v>
      </c>
      <c r="Z692" s="1681"/>
      <c r="AB692" s="1682"/>
      <c r="AC692" s="1682"/>
      <c r="AE692" s="1683"/>
      <c r="AF692" s="1683"/>
      <c r="AG692" s="1683"/>
      <c r="AH692" s="1683"/>
      <c r="AI692" s="1683"/>
      <c r="AJ692" s="1683"/>
      <c r="AK692" s="1683"/>
      <c r="AL692" s="1683"/>
      <c r="AM692" s="1683"/>
      <c r="AN692" s="1683"/>
      <c r="AO692" s="1683"/>
      <c r="AP692" s="1683"/>
      <c r="AQ692" s="1683"/>
      <c r="AR692" s="1683"/>
      <c r="AS692" s="1683"/>
      <c r="AT692" s="1683"/>
      <c r="AU692" s="1683"/>
      <c r="AV692" s="1683"/>
      <c r="AW692" s="1683"/>
      <c r="AX692" s="1683"/>
      <c r="AY692" s="1683"/>
      <c r="AZ692" s="1683"/>
      <c r="BA692" s="1683"/>
      <c r="BB692" s="1683"/>
    </row>
    <row r="693" spans="1:54">
      <c r="A693" s="326">
        <f t="shared" si="69"/>
        <v>54482</v>
      </c>
      <c r="B693" s="1678"/>
      <c r="C693" s="1679">
        <f t="shared" si="66"/>
        <v>1</v>
      </c>
      <c r="D693" s="1679">
        <f>PRODUCT(C$5:C693)</f>
        <v>3.55771976932645</v>
      </c>
      <c r="J693" s="1680"/>
      <c r="K693" s="1680"/>
      <c r="L693" s="1680"/>
      <c r="N693" s="1681"/>
      <c r="O693" s="1681"/>
      <c r="P693" s="1681"/>
      <c r="Q693" s="1681"/>
      <c r="R693" s="1681"/>
      <c r="T693" s="1681"/>
      <c r="U693" s="1681"/>
      <c r="W693" s="1681">
        <f t="shared" si="67"/>
        <v>0</v>
      </c>
      <c r="X693" s="1681"/>
      <c r="Y693" s="1681">
        <f t="shared" si="68"/>
        <v>0</v>
      </c>
      <c r="Z693" s="1681"/>
      <c r="AB693" s="1682"/>
      <c r="AC693" s="1682"/>
      <c r="AE693" s="1683"/>
      <c r="AF693" s="1683"/>
      <c r="AG693" s="1683"/>
      <c r="AH693" s="1683"/>
      <c r="AI693" s="1683"/>
      <c r="AJ693" s="1683"/>
      <c r="AK693" s="1683"/>
      <c r="AL693" s="1683"/>
      <c r="AM693" s="1683"/>
      <c r="AN693" s="1683"/>
      <c r="AO693" s="1683"/>
      <c r="AP693" s="1683"/>
      <c r="AQ693" s="1683"/>
      <c r="AR693" s="1683"/>
      <c r="AS693" s="1683"/>
      <c r="AT693" s="1683"/>
      <c r="AU693" s="1683"/>
      <c r="AV693" s="1683"/>
      <c r="AW693" s="1683"/>
      <c r="AX693" s="1683"/>
      <c r="AY693" s="1683"/>
      <c r="AZ693" s="1683"/>
      <c r="BA693" s="1683"/>
      <c r="BB693" s="1683"/>
    </row>
    <row r="694" spans="1:54">
      <c r="A694" s="326">
        <f t="shared" si="69"/>
        <v>54513</v>
      </c>
      <c r="B694" s="1678"/>
      <c r="C694" s="1679">
        <f t="shared" si="66"/>
        <v>1</v>
      </c>
      <c r="D694" s="1679">
        <f>PRODUCT(C$5:C694)</f>
        <v>3.55771976932645</v>
      </c>
      <c r="J694" s="1680"/>
      <c r="K694" s="1680"/>
      <c r="L694" s="1680"/>
      <c r="N694" s="1681"/>
      <c r="O694" s="1681"/>
      <c r="P694" s="1681"/>
      <c r="Q694" s="1681"/>
      <c r="R694" s="1681"/>
      <c r="T694" s="1681"/>
      <c r="U694" s="1681"/>
      <c r="W694" s="1681">
        <f t="shared" si="67"/>
        <v>0</v>
      </c>
      <c r="X694" s="1681"/>
      <c r="Y694" s="1681">
        <f t="shared" si="68"/>
        <v>0</v>
      </c>
      <c r="Z694" s="1681"/>
      <c r="AB694" s="1682"/>
      <c r="AC694" s="1682"/>
      <c r="AE694" s="1683"/>
      <c r="AF694" s="1683"/>
      <c r="AG694" s="1683"/>
      <c r="AH694" s="1683"/>
      <c r="AI694" s="1683"/>
      <c r="AJ694" s="1683"/>
      <c r="AK694" s="1683"/>
      <c r="AL694" s="1683"/>
      <c r="AM694" s="1683"/>
      <c r="AN694" s="1683"/>
      <c r="AO694" s="1683"/>
      <c r="AP694" s="1683"/>
      <c r="AQ694" s="1683"/>
      <c r="AR694" s="1683"/>
      <c r="AS694" s="1683"/>
      <c r="AT694" s="1683"/>
      <c r="AU694" s="1683"/>
      <c r="AV694" s="1683"/>
      <c r="AW694" s="1683"/>
      <c r="AX694" s="1683"/>
      <c r="AY694" s="1683"/>
      <c r="AZ694" s="1683"/>
      <c r="BA694" s="1683"/>
      <c r="BB694" s="1683"/>
    </row>
    <row r="695" spans="1:54">
      <c r="A695" s="326">
        <f t="shared" si="69"/>
        <v>54543</v>
      </c>
      <c r="B695" s="1678"/>
      <c r="C695" s="1679">
        <f t="shared" si="66"/>
        <v>1</v>
      </c>
      <c r="D695" s="1679">
        <f>PRODUCT(C$5:C695)</f>
        <v>3.55771976932645</v>
      </c>
      <c r="J695" s="1680"/>
      <c r="K695" s="1680"/>
      <c r="L695" s="1680"/>
      <c r="N695" s="1681"/>
      <c r="O695" s="1681"/>
      <c r="P695" s="1681"/>
      <c r="Q695" s="1681"/>
      <c r="R695" s="1681"/>
      <c r="T695" s="1681"/>
      <c r="U695" s="1681"/>
      <c r="W695" s="1681">
        <f t="shared" si="67"/>
        <v>0</v>
      </c>
      <c r="X695" s="1681"/>
      <c r="Y695" s="1681">
        <f t="shared" si="68"/>
        <v>0</v>
      </c>
      <c r="Z695" s="1681"/>
      <c r="AB695" s="1682"/>
      <c r="AC695" s="1682"/>
      <c r="AE695" s="1683"/>
      <c r="AF695" s="1683"/>
      <c r="AG695" s="1683"/>
      <c r="AH695" s="1683"/>
      <c r="AI695" s="1683"/>
      <c r="AJ695" s="1683"/>
      <c r="AK695" s="1683"/>
      <c r="AL695" s="1683"/>
      <c r="AM695" s="1683"/>
      <c r="AN695" s="1683"/>
      <c r="AO695" s="1683"/>
      <c r="AP695" s="1683"/>
      <c r="AQ695" s="1683"/>
      <c r="AR695" s="1683"/>
      <c r="AS695" s="1683"/>
      <c r="AT695" s="1683"/>
      <c r="AU695" s="1683"/>
      <c r="AV695" s="1683"/>
      <c r="AW695" s="1683"/>
      <c r="AX695" s="1683"/>
      <c r="AY695" s="1683"/>
      <c r="AZ695" s="1683"/>
      <c r="BA695" s="1683"/>
      <c r="BB695" s="1683"/>
    </row>
    <row r="696" spans="1:54">
      <c r="A696" s="326">
        <f t="shared" si="69"/>
        <v>54574</v>
      </c>
      <c r="B696" s="1678"/>
      <c r="C696" s="1679">
        <f t="shared" ref="C696:C759" si="70">IF(B696="",1,B696/100)</f>
        <v>1</v>
      </c>
      <c r="D696" s="1679">
        <f>PRODUCT(C$5:C696)</f>
        <v>3.55771976932645</v>
      </c>
      <c r="J696" s="1680"/>
      <c r="K696" s="1680"/>
      <c r="L696" s="1680"/>
      <c r="N696" s="1681"/>
      <c r="O696" s="1681"/>
      <c r="P696" s="1681"/>
      <c r="Q696" s="1681"/>
      <c r="R696" s="1681"/>
      <c r="T696" s="1681"/>
      <c r="U696" s="1681"/>
      <c r="W696" s="1681">
        <f t="shared" ref="W696:W759" si="71">Q696</f>
        <v>0</v>
      </c>
      <c r="X696" s="1681"/>
      <c r="Y696" s="1681">
        <f t="shared" ref="Y696:Y759" si="72">R696</f>
        <v>0</v>
      </c>
      <c r="Z696" s="1681"/>
      <c r="AB696" s="1682"/>
      <c r="AC696" s="1682"/>
      <c r="AE696" s="1683"/>
      <c r="AF696" s="1683"/>
      <c r="AG696" s="1683"/>
      <c r="AH696" s="1683"/>
      <c r="AI696" s="1683"/>
      <c r="AJ696" s="1683"/>
      <c r="AK696" s="1683"/>
      <c r="AL696" s="1683"/>
      <c r="AM696" s="1683"/>
      <c r="AN696" s="1683"/>
      <c r="AO696" s="1683"/>
      <c r="AP696" s="1683"/>
      <c r="AQ696" s="1683"/>
      <c r="AR696" s="1683"/>
      <c r="AS696" s="1683"/>
      <c r="AT696" s="1683"/>
      <c r="AU696" s="1683"/>
      <c r="AV696" s="1683"/>
      <c r="AW696" s="1683"/>
      <c r="AX696" s="1683"/>
      <c r="AY696" s="1683"/>
      <c r="AZ696" s="1683"/>
      <c r="BA696" s="1683"/>
      <c r="BB696" s="1683"/>
    </row>
    <row r="697" spans="1:54">
      <c r="A697" s="326">
        <f t="shared" si="69"/>
        <v>54604</v>
      </c>
      <c r="B697" s="1678"/>
      <c r="C697" s="1679">
        <f t="shared" si="70"/>
        <v>1</v>
      </c>
      <c r="D697" s="1679">
        <f>PRODUCT(C$5:C697)</f>
        <v>3.55771976932645</v>
      </c>
      <c r="J697" s="1680"/>
      <c r="K697" s="1680"/>
      <c r="L697" s="1680"/>
      <c r="N697" s="1681"/>
      <c r="O697" s="1681"/>
      <c r="P697" s="1681"/>
      <c r="Q697" s="1681"/>
      <c r="R697" s="1681"/>
      <c r="T697" s="1681"/>
      <c r="U697" s="1681"/>
      <c r="W697" s="1681">
        <f t="shared" si="71"/>
        <v>0</v>
      </c>
      <c r="X697" s="1681"/>
      <c r="Y697" s="1681">
        <f t="shared" si="72"/>
        <v>0</v>
      </c>
      <c r="Z697" s="1681"/>
      <c r="AB697" s="1682"/>
      <c r="AC697" s="1682"/>
      <c r="AE697" s="1683"/>
      <c r="AF697" s="1683"/>
      <c r="AG697" s="1683"/>
      <c r="AH697" s="1683"/>
      <c r="AI697" s="1683"/>
      <c r="AJ697" s="1683"/>
      <c r="AK697" s="1683"/>
      <c r="AL697" s="1683"/>
      <c r="AM697" s="1683"/>
      <c r="AN697" s="1683"/>
      <c r="AO697" s="1683"/>
      <c r="AP697" s="1683"/>
      <c r="AQ697" s="1683"/>
      <c r="AR697" s="1683"/>
      <c r="AS697" s="1683"/>
      <c r="AT697" s="1683"/>
      <c r="AU697" s="1683"/>
      <c r="AV697" s="1683"/>
      <c r="AW697" s="1683"/>
      <c r="AX697" s="1683"/>
      <c r="AY697" s="1683"/>
      <c r="AZ697" s="1683"/>
      <c r="BA697" s="1683"/>
      <c r="BB697" s="1683"/>
    </row>
    <row r="698" spans="1:54">
      <c r="A698" s="326">
        <f t="shared" si="69"/>
        <v>54635</v>
      </c>
      <c r="B698" s="1678"/>
      <c r="C698" s="1679">
        <f t="shared" si="70"/>
        <v>1</v>
      </c>
      <c r="D698" s="1679">
        <f>PRODUCT(C$5:C698)</f>
        <v>3.55771976932645</v>
      </c>
      <c r="J698" s="1680"/>
      <c r="K698" s="1680"/>
      <c r="L698" s="1680"/>
      <c r="N698" s="1681"/>
      <c r="O698" s="1681"/>
      <c r="P698" s="1681"/>
      <c r="Q698" s="1681"/>
      <c r="R698" s="1681"/>
      <c r="T698" s="1681"/>
      <c r="U698" s="1681"/>
      <c r="W698" s="1681">
        <f t="shared" si="71"/>
        <v>0</v>
      </c>
      <c r="X698" s="1681"/>
      <c r="Y698" s="1681">
        <f t="shared" si="72"/>
        <v>0</v>
      </c>
      <c r="Z698" s="1681"/>
      <c r="AB698" s="1682"/>
      <c r="AC698" s="1682"/>
      <c r="AE698" s="1683"/>
      <c r="AF698" s="1683"/>
      <c r="AG698" s="1683"/>
      <c r="AH698" s="1683"/>
      <c r="AI698" s="1683"/>
      <c r="AJ698" s="1683"/>
      <c r="AK698" s="1683"/>
      <c r="AL698" s="1683"/>
      <c r="AM698" s="1683"/>
      <c r="AN698" s="1683"/>
      <c r="AO698" s="1683"/>
      <c r="AP698" s="1683"/>
      <c r="AQ698" s="1683"/>
      <c r="AR698" s="1683"/>
      <c r="AS698" s="1683"/>
      <c r="AT698" s="1683"/>
      <c r="AU698" s="1683"/>
      <c r="AV698" s="1683"/>
      <c r="AW698" s="1683"/>
      <c r="AX698" s="1683"/>
      <c r="AY698" s="1683"/>
      <c r="AZ698" s="1683"/>
      <c r="BA698" s="1683"/>
      <c r="BB698" s="1683"/>
    </row>
    <row r="699" spans="1:54">
      <c r="A699" s="326">
        <f t="shared" si="69"/>
        <v>54666</v>
      </c>
      <c r="B699" s="1678"/>
      <c r="C699" s="1679">
        <f t="shared" si="70"/>
        <v>1</v>
      </c>
      <c r="D699" s="1679">
        <f>PRODUCT(C$5:C699)</f>
        <v>3.55771976932645</v>
      </c>
      <c r="J699" s="1680"/>
      <c r="K699" s="1680"/>
      <c r="L699" s="1680"/>
      <c r="N699" s="1681"/>
      <c r="O699" s="1681"/>
      <c r="P699" s="1681"/>
      <c r="Q699" s="1681"/>
      <c r="R699" s="1681"/>
      <c r="T699" s="1681"/>
      <c r="U699" s="1681"/>
      <c r="W699" s="1681">
        <f t="shared" si="71"/>
        <v>0</v>
      </c>
      <c r="X699" s="1681"/>
      <c r="Y699" s="1681">
        <f t="shared" si="72"/>
        <v>0</v>
      </c>
      <c r="Z699" s="1681"/>
      <c r="AB699" s="1682"/>
      <c r="AC699" s="1682"/>
      <c r="AE699" s="1683"/>
      <c r="AF699" s="1683"/>
      <c r="AG699" s="1683"/>
      <c r="AH699" s="1683"/>
      <c r="AI699" s="1683"/>
      <c r="AJ699" s="1683"/>
      <c r="AK699" s="1683"/>
      <c r="AL699" s="1683"/>
      <c r="AM699" s="1683"/>
      <c r="AN699" s="1683"/>
      <c r="AO699" s="1683"/>
      <c r="AP699" s="1683"/>
      <c r="AQ699" s="1683"/>
      <c r="AR699" s="1683"/>
      <c r="AS699" s="1683"/>
      <c r="AT699" s="1683"/>
      <c r="AU699" s="1683"/>
      <c r="AV699" s="1683"/>
      <c r="AW699" s="1683"/>
      <c r="AX699" s="1683"/>
      <c r="AY699" s="1683"/>
      <c r="AZ699" s="1683"/>
      <c r="BA699" s="1683"/>
      <c r="BB699" s="1683"/>
    </row>
    <row r="700" spans="1:54">
      <c r="A700" s="326">
        <f t="shared" si="69"/>
        <v>54696</v>
      </c>
      <c r="B700" s="1678"/>
      <c r="C700" s="1679">
        <f t="shared" si="70"/>
        <v>1</v>
      </c>
      <c r="D700" s="1679">
        <f>PRODUCT(C$5:C700)</f>
        <v>3.55771976932645</v>
      </c>
      <c r="J700" s="1680"/>
      <c r="K700" s="1680"/>
      <c r="L700" s="1680"/>
      <c r="N700" s="1681"/>
      <c r="O700" s="1681"/>
      <c r="P700" s="1681"/>
      <c r="Q700" s="1681"/>
      <c r="R700" s="1681"/>
      <c r="T700" s="1681"/>
      <c r="U700" s="1681"/>
      <c r="W700" s="1681">
        <f t="shared" si="71"/>
        <v>0</v>
      </c>
      <c r="X700" s="1681"/>
      <c r="Y700" s="1681">
        <f t="shared" si="72"/>
        <v>0</v>
      </c>
      <c r="Z700" s="1681"/>
      <c r="AB700" s="1682"/>
      <c r="AC700" s="1682"/>
      <c r="AE700" s="1683"/>
      <c r="AF700" s="1683"/>
      <c r="AG700" s="1683"/>
      <c r="AH700" s="1683"/>
      <c r="AI700" s="1683"/>
      <c r="AJ700" s="1683"/>
      <c r="AK700" s="1683"/>
      <c r="AL700" s="1683"/>
      <c r="AM700" s="1683"/>
      <c r="AN700" s="1683"/>
      <c r="AO700" s="1683"/>
      <c r="AP700" s="1683"/>
      <c r="AQ700" s="1683"/>
      <c r="AR700" s="1683"/>
      <c r="AS700" s="1683"/>
      <c r="AT700" s="1683"/>
      <c r="AU700" s="1683"/>
      <c r="AV700" s="1683"/>
      <c r="AW700" s="1683"/>
      <c r="AX700" s="1683"/>
      <c r="AY700" s="1683"/>
      <c r="AZ700" s="1683"/>
      <c r="BA700" s="1683"/>
      <c r="BB700" s="1683"/>
    </row>
    <row r="701" spans="1:54">
      <c r="A701" s="326">
        <f t="shared" si="69"/>
        <v>54727</v>
      </c>
      <c r="B701" s="1678"/>
      <c r="C701" s="1679">
        <f t="shared" si="70"/>
        <v>1</v>
      </c>
      <c r="D701" s="1679">
        <f>PRODUCT(C$5:C701)</f>
        <v>3.55771976932645</v>
      </c>
      <c r="J701" s="1680"/>
      <c r="K701" s="1680"/>
      <c r="L701" s="1680"/>
      <c r="N701" s="1681"/>
      <c r="O701" s="1681"/>
      <c r="P701" s="1681"/>
      <c r="Q701" s="1681"/>
      <c r="R701" s="1681"/>
      <c r="T701" s="1681"/>
      <c r="U701" s="1681"/>
      <c r="W701" s="1681">
        <f t="shared" si="71"/>
        <v>0</v>
      </c>
      <c r="X701" s="1681"/>
      <c r="Y701" s="1681">
        <f t="shared" si="72"/>
        <v>0</v>
      </c>
      <c r="Z701" s="1681"/>
      <c r="AB701" s="1682"/>
      <c r="AC701" s="1682"/>
      <c r="AE701" s="1683"/>
      <c r="AF701" s="1683"/>
      <c r="AG701" s="1683"/>
      <c r="AH701" s="1683"/>
      <c r="AI701" s="1683"/>
      <c r="AJ701" s="1683"/>
      <c r="AK701" s="1683"/>
      <c r="AL701" s="1683"/>
      <c r="AM701" s="1683"/>
      <c r="AN701" s="1683"/>
      <c r="AO701" s="1683"/>
      <c r="AP701" s="1683"/>
      <c r="AQ701" s="1683"/>
      <c r="AR701" s="1683"/>
      <c r="AS701" s="1683"/>
      <c r="AT701" s="1683"/>
      <c r="AU701" s="1683"/>
      <c r="AV701" s="1683"/>
      <c r="AW701" s="1683"/>
      <c r="AX701" s="1683"/>
      <c r="AY701" s="1683"/>
      <c r="AZ701" s="1683"/>
      <c r="BA701" s="1683"/>
      <c r="BB701" s="1683"/>
    </row>
    <row r="702" spans="1:54">
      <c r="A702" s="326">
        <f t="shared" si="69"/>
        <v>54757</v>
      </c>
      <c r="B702" s="1678"/>
      <c r="C702" s="1679">
        <f t="shared" si="70"/>
        <v>1</v>
      </c>
      <c r="D702" s="1679">
        <f>PRODUCT(C$5:C702)</f>
        <v>3.55771976932645</v>
      </c>
      <c r="J702" s="1680"/>
      <c r="K702" s="1680"/>
      <c r="L702" s="1680"/>
      <c r="N702" s="1681"/>
      <c r="O702" s="1681"/>
      <c r="P702" s="1681"/>
      <c r="Q702" s="1681"/>
      <c r="R702" s="1681"/>
      <c r="T702" s="1681"/>
      <c r="U702" s="1681"/>
      <c r="W702" s="1681">
        <f t="shared" si="71"/>
        <v>0</v>
      </c>
      <c r="X702" s="1681"/>
      <c r="Y702" s="1681">
        <f t="shared" si="72"/>
        <v>0</v>
      </c>
      <c r="Z702" s="1681"/>
      <c r="AB702" s="1682"/>
      <c r="AC702" s="1682"/>
      <c r="AE702" s="1683"/>
      <c r="AF702" s="1683"/>
      <c r="AG702" s="1683"/>
      <c r="AH702" s="1683"/>
      <c r="AI702" s="1683"/>
      <c r="AJ702" s="1683"/>
      <c r="AK702" s="1683"/>
      <c r="AL702" s="1683"/>
      <c r="AM702" s="1683"/>
      <c r="AN702" s="1683"/>
      <c r="AO702" s="1683"/>
      <c r="AP702" s="1683"/>
      <c r="AQ702" s="1683"/>
      <c r="AR702" s="1683"/>
      <c r="AS702" s="1683"/>
      <c r="AT702" s="1683"/>
      <c r="AU702" s="1683"/>
      <c r="AV702" s="1683"/>
      <c r="AW702" s="1683"/>
      <c r="AX702" s="1683"/>
      <c r="AY702" s="1683"/>
      <c r="AZ702" s="1683"/>
      <c r="BA702" s="1683"/>
      <c r="BB702" s="1683"/>
    </row>
    <row r="703" spans="1:54">
      <c r="A703" s="326">
        <f t="shared" si="69"/>
        <v>54788</v>
      </c>
      <c r="B703" s="1678"/>
      <c r="C703" s="1679">
        <f t="shared" si="70"/>
        <v>1</v>
      </c>
      <c r="D703" s="1679">
        <f>PRODUCT(C$5:C703)</f>
        <v>3.55771976932645</v>
      </c>
      <c r="J703" s="1680"/>
      <c r="K703" s="1680"/>
      <c r="L703" s="1680"/>
      <c r="N703" s="1681"/>
      <c r="O703" s="1681"/>
      <c r="P703" s="1681"/>
      <c r="Q703" s="1681"/>
      <c r="R703" s="1681"/>
      <c r="T703" s="1681"/>
      <c r="U703" s="1681"/>
      <c r="W703" s="1681">
        <f t="shared" si="71"/>
        <v>0</v>
      </c>
      <c r="X703" s="1681"/>
      <c r="Y703" s="1681">
        <f t="shared" si="72"/>
        <v>0</v>
      </c>
      <c r="Z703" s="1681"/>
      <c r="AB703" s="1682"/>
      <c r="AC703" s="1682"/>
      <c r="AE703" s="1683"/>
      <c r="AF703" s="1683"/>
      <c r="AG703" s="1683"/>
      <c r="AH703" s="1683"/>
      <c r="AI703" s="1683"/>
      <c r="AJ703" s="1683"/>
      <c r="AK703" s="1683"/>
      <c r="AL703" s="1683"/>
      <c r="AM703" s="1683"/>
      <c r="AN703" s="1683"/>
      <c r="AO703" s="1683"/>
      <c r="AP703" s="1683"/>
      <c r="AQ703" s="1683"/>
      <c r="AR703" s="1683"/>
      <c r="AS703" s="1683"/>
      <c r="AT703" s="1683"/>
      <c r="AU703" s="1683"/>
      <c r="AV703" s="1683"/>
      <c r="AW703" s="1683"/>
      <c r="AX703" s="1683"/>
      <c r="AY703" s="1683"/>
      <c r="AZ703" s="1683"/>
      <c r="BA703" s="1683"/>
      <c r="BB703" s="1683"/>
    </row>
    <row r="704" spans="1:54">
      <c r="A704" s="326">
        <f t="shared" si="69"/>
        <v>54819</v>
      </c>
      <c r="B704" s="1678"/>
      <c r="C704" s="1679">
        <f t="shared" si="70"/>
        <v>1</v>
      </c>
      <c r="D704" s="1679">
        <f>PRODUCT(C$5:C704)</f>
        <v>3.55771976932645</v>
      </c>
      <c r="J704" s="1680"/>
      <c r="K704" s="1680"/>
      <c r="L704" s="1680"/>
      <c r="N704" s="1681"/>
      <c r="O704" s="1681"/>
      <c r="P704" s="1681"/>
      <c r="Q704" s="1681"/>
      <c r="R704" s="1681"/>
      <c r="T704" s="1681"/>
      <c r="U704" s="1681"/>
      <c r="W704" s="1681">
        <f t="shared" si="71"/>
        <v>0</v>
      </c>
      <c r="X704" s="1681"/>
      <c r="Y704" s="1681">
        <f t="shared" si="72"/>
        <v>0</v>
      </c>
      <c r="Z704" s="1681"/>
      <c r="AB704" s="1682"/>
      <c r="AC704" s="1682"/>
      <c r="AE704" s="1683"/>
      <c r="AF704" s="1683"/>
      <c r="AG704" s="1683"/>
      <c r="AH704" s="1683"/>
      <c r="AI704" s="1683"/>
      <c r="AJ704" s="1683"/>
      <c r="AK704" s="1683"/>
      <c r="AL704" s="1683"/>
      <c r="AM704" s="1683"/>
      <c r="AN704" s="1683"/>
      <c r="AO704" s="1683"/>
      <c r="AP704" s="1683"/>
      <c r="AQ704" s="1683"/>
      <c r="AR704" s="1683"/>
      <c r="AS704" s="1683"/>
      <c r="AT704" s="1683"/>
      <c r="AU704" s="1683"/>
      <c r="AV704" s="1683"/>
      <c r="AW704" s="1683"/>
      <c r="AX704" s="1683"/>
      <c r="AY704" s="1683"/>
      <c r="AZ704" s="1683"/>
      <c r="BA704" s="1683"/>
      <c r="BB704" s="1683"/>
    </row>
    <row r="705" spans="1:54">
      <c r="A705" s="326">
        <f t="shared" si="69"/>
        <v>54847</v>
      </c>
      <c r="B705" s="1678"/>
      <c r="C705" s="1679">
        <f t="shared" si="70"/>
        <v>1</v>
      </c>
      <c r="D705" s="1679">
        <f>PRODUCT(C$5:C705)</f>
        <v>3.55771976932645</v>
      </c>
      <c r="J705" s="1680"/>
      <c r="K705" s="1680"/>
      <c r="L705" s="1680"/>
      <c r="N705" s="1681"/>
      <c r="O705" s="1681"/>
      <c r="P705" s="1681"/>
      <c r="Q705" s="1681"/>
      <c r="R705" s="1681"/>
      <c r="T705" s="1681"/>
      <c r="U705" s="1681"/>
      <c r="W705" s="1681">
        <f t="shared" si="71"/>
        <v>0</v>
      </c>
      <c r="X705" s="1681"/>
      <c r="Y705" s="1681">
        <f t="shared" si="72"/>
        <v>0</v>
      </c>
      <c r="Z705" s="1681"/>
      <c r="AB705" s="1682"/>
      <c r="AC705" s="1682"/>
      <c r="AE705" s="1683"/>
      <c r="AF705" s="1683"/>
      <c r="AG705" s="1683"/>
      <c r="AH705" s="1683"/>
      <c r="AI705" s="1683"/>
      <c r="AJ705" s="1683"/>
      <c r="AK705" s="1683"/>
      <c r="AL705" s="1683"/>
      <c r="AM705" s="1683"/>
      <c r="AN705" s="1683"/>
      <c r="AO705" s="1683"/>
      <c r="AP705" s="1683"/>
      <c r="AQ705" s="1683"/>
      <c r="AR705" s="1683"/>
      <c r="AS705" s="1683"/>
      <c r="AT705" s="1683"/>
      <c r="AU705" s="1683"/>
      <c r="AV705" s="1683"/>
      <c r="AW705" s="1683"/>
      <c r="AX705" s="1683"/>
      <c r="AY705" s="1683"/>
      <c r="AZ705" s="1683"/>
      <c r="BA705" s="1683"/>
      <c r="BB705" s="1683"/>
    </row>
    <row r="706" spans="1:54">
      <c r="A706" s="326">
        <f t="shared" si="69"/>
        <v>54878</v>
      </c>
      <c r="B706" s="1678"/>
      <c r="C706" s="1679">
        <f t="shared" si="70"/>
        <v>1</v>
      </c>
      <c r="D706" s="1679">
        <f>PRODUCT(C$5:C706)</f>
        <v>3.55771976932645</v>
      </c>
      <c r="J706" s="1680"/>
      <c r="K706" s="1680"/>
      <c r="L706" s="1680"/>
      <c r="N706" s="1681"/>
      <c r="O706" s="1681"/>
      <c r="P706" s="1681"/>
      <c r="Q706" s="1681"/>
      <c r="R706" s="1681"/>
      <c r="T706" s="1681"/>
      <c r="U706" s="1681"/>
      <c r="W706" s="1681">
        <f t="shared" si="71"/>
        <v>0</v>
      </c>
      <c r="X706" s="1681"/>
      <c r="Y706" s="1681">
        <f t="shared" si="72"/>
        <v>0</v>
      </c>
      <c r="Z706" s="1681"/>
      <c r="AB706" s="1682"/>
      <c r="AC706" s="1682"/>
      <c r="AE706" s="1683"/>
      <c r="AF706" s="1683"/>
      <c r="AG706" s="1683"/>
      <c r="AH706" s="1683"/>
      <c r="AI706" s="1683"/>
      <c r="AJ706" s="1683"/>
      <c r="AK706" s="1683"/>
      <c r="AL706" s="1683"/>
      <c r="AM706" s="1683"/>
      <c r="AN706" s="1683"/>
      <c r="AO706" s="1683"/>
      <c r="AP706" s="1683"/>
      <c r="AQ706" s="1683"/>
      <c r="AR706" s="1683"/>
      <c r="AS706" s="1683"/>
      <c r="AT706" s="1683"/>
      <c r="AU706" s="1683"/>
      <c r="AV706" s="1683"/>
      <c r="AW706" s="1683"/>
      <c r="AX706" s="1683"/>
      <c r="AY706" s="1683"/>
      <c r="AZ706" s="1683"/>
      <c r="BA706" s="1683"/>
      <c r="BB706" s="1683"/>
    </row>
    <row r="707" spans="1:54">
      <c r="A707" s="326">
        <f t="shared" si="69"/>
        <v>54908</v>
      </c>
      <c r="B707" s="1678"/>
      <c r="C707" s="1679">
        <f t="shared" si="70"/>
        <v>1</v>
      </c>
      <c r="D707" s="1679">
        <f>PRODUCT(C$5:C707)</f>
        <v>3.55771976932645</v>
      </c>
      <c r="J707" s="1680"/>
      <c r="K707" s="1680"/>
      <c r="L707" s="1680"/>
      <c r="N707" s="1681"/>
      <c r="O707" s="1681"/>
      <c r="P707" s="1681"/>
      <c r="Q707" s="1681"/>
      <c r="R707" s="1681"/>
      <c r="T707" s="1681"/>
      <c r="U707" s="1681"/>
      <c r="W707" s="1681">
        <f t="shared" si="71"/>
        <v>0</v>
      </c>
      <c r="X707" s="1681"/>
      <c r="Y707" s="1681">
        <f t="shared" si="72"/>
        <v>0</v>
      </c>
      <c r="Z707" s="1681"/>
      <c r="AB707" s="1682"/>
      <c r="AC707" s="1682"/>
      <c r="AE707" s="1683"/>
      <c r="AF707" s="1683"/>
      <c r="AG707" s="1683"/>
      <c r="AH707" s="1683"/>
      <c r="AI707" s="1683"/>
      <c r="AJ707" s="1683"/>
      <c r="AK707" s="1683"/>
      <c r="AL707" s="1683"/>
      <c r="AM707" s="1683"/>
      <c r="AN707" s="1683"/>
      <c r="AO707" s="1683"/>
      <c r="AP707" s="1683"/>
      <c r="AQ707" s="1683"/>
      <c r="AR707" s="1683"/>
      <c r="AS707" s="1683"/>
      <c r="AT707" s="1683"/>
      <c r="AU707" s="1683"/>
      <c r="AV707" s="1683"/>
      <c r="AW707" s="1683"/>
      <c r="AX707" s="1683"/>
      <c r="AY707" s="1683"/>
      <c r="AZ707" s="1683"/>
      <c r="BA707" s="1683"/>
      <c r="BB707" s="1683"/>
    </row>
    <row r="708" spans="1:54">
      <c r="A708" s="326">
        <f t="shared" si="69"/>
        <v>54939</v>
      </c>
      <c r="B708" s="1678"/>
      <c r="C708" s="1679">
        <f t="shared" si="70"/>
        <v>1</v>
      </c>
      <c r="D708" s="1679">
        <f>PRODUCT(C$5:C708)</f>
        <v>3.55771976932645</v>
      </c>
      <c r="J708" s="1680"/>
      <c r="K708" s="1680"/>
      <c r="L708" s="1680"/>
      <c r="N708" s="1681"/>
      <c r="O708" s="1681"/>
      <c r="P708" s="1681"/>
      <c r="Q708" s="1681"/>
      <c r="R708" s="1681"/>
      <c r="T708" s="1681"/>
      <c r="U708" s="1681"/>
      <c r="W708" s="1681">
        <f t="shared" si="71"/>
        <v>0</v>
      </c>
      <c r="X708" s="1681"/>
      <c r="Y708" s="1681">
        <f t="shared" si="72"/>
        <v>0</v>
      </c>
      <c r="Z708" s="1681"/>
      <c r="AB708" s="1682"/>
      <c r="AC708" s="1682"/>
      <c r="AE708" s="1683"/>
      <c r="AF708" s="1683"/>
      <c r="AG708" s="1683"/>
      <c r="AH708" s="1683"/>
      <c r="AI708" s="1683"/>
      <c r="AJ708" s="1683"/>
      <c r="AK708" s="1683"/>
      <c r="AL708" s="1683"/>
      <c r="AM708" s="1683"/>
      <c r="AN708" s="1683"/>
      <c r="AO708" s="1683"/>
      <c r="AP708" s="1683"/>
      <c r="AQ708" s="1683"/>
      <c r="AR708" s="1683"/>
      <c r="AS708" s="1683"/>
      <c r="AT708" s="1683"/>
      <c r="AU708" s="1683"/>
      <c r="AV708" s="1683"/>
      <c r="AW708" s="1683"/>
      <c r="AX708" s="1683"/>
      <c r="AY708" s="1683"/>
      <c r="AZ708" s="1683"/>
      <c r="BA708" s="1683"/>
      <c r="BB708" s="1683"/>
    </row>
    <row r="709" spans="1:54">
      <c r="A709" s="326">
        <f t="shared" si="69"/>
        <v>54969</v>
      </c>
      <c r="B709" s="1678"/>
      <c r="C709" s="1679">
        <f t="shared" si="70"/>
        <v>1</v>
      </c>
      <c r="D709" s="1679">
        <f>PRODUCT(C$5:C709)</f>
        <v>3.55771976932645</v>
      </c>
      <c r="J709" s="1680"/>
      <c r="K709" s="1680"/>
      <c r="L709" s="1680"/>
      <c r="N709" s="1681"/>
      <c r="O709" s="1681"/>
      <c r="P709" s="1681"/>
      <c r="Q709" s="1681"/>
      <c r="R709" s="1681"/>
      <c r="T709" s="1681"/>
      <c r="U709" s="1681"/>
      <c r="W709" s="1681">
        <f t="shared" si="71"/>
        <v>0</v>
      </c>
      <c r="X709" s="1681"/>
      <c r="Y709" s="1681">
        <f t="shared" si="72"/>
        <v>0</v>
      </c>
      <c r="Z709" s="1681"/>
      <c r="AB709" s="1682"/>
      <c r="AC709" s="1682"/>
      <c r="AE709" s="1683"/>
      <c r="AF709" s="1683"/>
      <c r="AG709" s="1683"/>
      <c r="AH709" s="1683"/>
      <c r="AI709" s="1683"/>
      <c r="AJ709" s="1683"/>
      <c r="AK709" s="1683"/>
      <c r="AL709" s="1683"/>
      <c r="AM709" s="1683"/>
      <c r="AN709" s="1683"/>
      <c r="AO709" s="1683"/>
      <c r="AP709" s="1683"/>
      <c r="AQ709" s="1683"/>
      <c r="AR709" s="1683"/>
      <c r="AS709" s="1683"/>
      <c r="AT709" s="1683"/>
      <c r="AU709" s="1683"/>
      <c r="AV709" s="1683"/>
      <c r="AW709" s="1683"/>
      <c r="AX709" s="1683"/>
      <c r="AY709" s="1683"/>
      <c r="AZ709" s="1683"/>
      <c r="BA709" s="1683"/>
      <c r="BB709" s="1683"/>
    </row>
    <row r="710" spans="1:54">
      <c r="A710" s="326">
        <f t="shared" si="69"/>
        <v>55000</v>
      </c>
      <c r="B710" s="1678"/>
      <c r="C710" s="1679">
        <f t="shared" si="70"/>
        <v>1</v>
      </c>
      <c r="D710" s="1679">
        <f>PRODUCT(C$5:C710)</f>
        <v>3.55771976932645</v>
      </c>
      <c r="J710" s="1680"/>
      <c r="K710" s="1680"/>
      <c r="L710" s="1680"/>
      <c r="N710" s="1681"/>
      <c r="O710" s="1681"/>
      <c r="P710" s="1681"/>
      <c r="Q710" s="1681"/>
      <c r="R710" s="1681"/>
      <c r="T710" s="1681"/>
      <c r="U710" s="1681"/>
      <c r="W710" s="1681">
        <f t="shared" si="71"/>
        <v>0</v>
      </c>
      <c r="X710" s="1681"/>
      <c r="Y710" s="1681">
        <f t="shared" si="72"/>
        <v>0</v>
      </c>
      <c r="Z710" s="1681"/>
      <c r="AB710" s="1682"/>
      <c r="AC710" s="1682"/>
      <c r="AE710" s="1683"/>
      <c r="AF710" s="1683"/>
      <c r="AG710" s="1683"/>
      <c r="AH710" s="1683"/>
      <c r="AI710" s="1683"/>
      <c r="AJ710" s="1683"/>
      <c r="AK710" s="1683"/>
      <c r="AL710" s="1683"/>
      <c r="AM710" s="1683"/>
      <c r="AN710" s="1683"/>
      <c r="AO710" s="1683"/>
      <c r="AP710" s="1683"/>
      <c r="AQ710" s="1683"/>
      <c r="AR710" s="1683"/>
      <c r="AS710" s="1683"/>
      <c r="AT710" s="1683"/>
      <c r="AU710" s="1683"/>
      <c r="AV710" s="1683"/>
      <c r="AW710" s="1683"/>
      <c r="AX710" s="1683"/>
      <c r="AY710" s="1683"/>
      <c r="AZ710" s="1683"/>
      <c r="BA710" s="1683"/>
      <c r="BB710" s="1683"/>
    </row>
    <row r="711" spans="1:54">
      <c r="A711" s="326">
        <f t="shared" si="69"/>
        <v>55031</v>
      </c>
      <c r="B711" s="1678"/>
      <c r="C711" s="1679">
        <f t="shared" si="70"/>
        <v>1</v>
      </c>
      <c r="D711" s="1679">
        <f>PRODUCT(C$5:C711)</f>
        <v>3.55771976932645</v>
      </c>
      <c r="J711" s="1680"/>
      <c r="K711" s="1680"/>
      <c r="L711" s="1680"/>
      <c r="N711" s="1681"/>
      <c r="O711" s="1681"/>
      <c r="P711" s="1681"/>
      <c r="Q711" s="1681"/>
      <c r="R711" s="1681"/>
      <c r="T711" s="1681"/>
      <c r="U711" s="1681"/>
      <c r="W711" s="1681">
        <f t="shared" si="71"/>
        <v>0</v>
      </c>
      <c r="X711" s="1681"/>
      <c r="Y711" s="1681">
        <f t="shared" si="72"/>
        <v>0</v>
      </c>
      <c r="Z711" s="1681"/>
      <c r="AB711" s="1682"/>
      <c r="AC711" s="1682"/>
      <c r="AE711" s="1683"/>
      <c r="AF711" s="1683"/>
      <c r="AG711" s="1683"/>
      <c r="AH711" s="1683"/>
      <c r="AI711" s="1683"/>
      <c r="AJ711" s="1683"/>
      <c r="AK711" s="1683"/>
      <c r="AL711" s="1683"/>
      <c r="AM711" s="1683"/>
      <c r="AN711" s="1683"/>
      <c r="AO711" s="1683"/>
      <c r="AP711" s="1683"/>
      <c r="AQ711" s="1683"/>
      <c r="AR711" s="1683"/>
      <c r="AS711" s="1683"/>
      <c r="AT711" s="1683"/>
      <c r="AU711" s="1683"/>
      <c r="AV711" s="1683"/>
      <c r="AW711" s="1683"/>
      <c r="AX711" s="1683"/>
      <c r="AY711" s="1683"/>
      <c r="AZ711" s="1683"/>
      <c r="BA711" s="1683"/>
      <c r="BB711" s="1683"/>
    </row>
    <row r="712" spans="1:54">
      <c r="A712" s="326">
        <f t="shared" si="69"/>
        <v>55061</v>
      </c>
      <c r="B712" s="1678"/>
      <c r="C712" s="1679">
        <f t="shared" si="70"/>
        <v>1</v>
      </c>
      <c r="D712" s="1679">
        <f>PRODUCT(C$5:C712)</f>
        <v>3.55771976932645</v>
      </c>
      <c r="J712" s="1680"/>
      <c r="K712" s="1680"/>
      <c r="L712" s="1680"/>
      <c r="N712" s="1681"/>
      <c r="O712" s="1681"/>
      <c r="P712" s="1681"/>
      <c r="Q712" s="1681"/>
      <c r="R712" s="1681"/>
      <c r="T712" s="1681"/>
      <c r="U712" s="1681"/>
      <c r="W712" s="1681">
        <f t="shared" si="71"/>
        <v>0</v>
      </c>
      <c r="X712" s="1681"/>
      <c r="Y712" s="1681">
        <f t="shared" si="72"/>
        <v>0</v>
      </c>
      <c r="Z712" s="1681"/>
      <c r="AB712" s="1682"/>
      <c r="AC712" s="1682"/>
      <c r="AE712" s="1683"/>
      <c r="AF712" s="1683"/>
      <c r="AG712" s="1683"/>
      <c r="AH712" s="1683"/>
      <c r="AI712" s="1683"/>
      <c r="AJ712" s="1683"/>
      <c r="AK712" s="1683"/>
      <c r="AL712" s="1683"/>
      <c r="AM712" s="1683"/>
      <c r="AN712" s="1683"/>
      <c r="AO712" s="1683"/>
      <c r="AP712" s="1683"/>
      <c r="AQ712" s="1683"/>
      <c r="AR712" s="1683"/>
      <c r="AS712" s="1683"/>
      <c r="AT712" s="1683"/>
      <c r="AU712" s="1683"/>
      <c r="AV712" s="1683"/>
      <c r="AW712" s="1683"/>
      <c r="AX712" s="1683"/>
      <c r="AY712" s="1683"/>
      <c r="AZ712" s="1683"/>
      <c r="BA712" s="1683"/>
      <c r="BB712" s="1683"/>
    </row>
    <row r="713" spans="1:54">
      <c r="A713" s="326">
        <f t="shared" si="69"/>
        <v>55092</v>
      </c>
      <c r="B713" s="1678"/>
      <c r="C713" s="1679">
        <f t="shared" si="70"/>
        <v>1</v>
      </c>
      <c r="D713" s="1679">
        <f>PRODUCT(C$5:C713)</f>
        <v>3.55771976932645</v>
      </c>
      <c r="J713" s="1680"/>
      <c r="K713" s="1680"/>
      <c r="L713" s="1680"/>
      <c r="N713" s="1681"/>
      <c r="O713" s="1681"/>
      <c r="P713" s="1681"/>
      <c r="Q713" s="1681"/>
      <c r="R713" s="1681"/>
      <c r="T713" s="1681"/>
      <c r="U713" s="1681"/>
      <c r="W713" s="1681">
        <f t="shared" si="71"/>
        <v>0</v>
      </c>
      <c r="X713" s="1681"/>
      <c r="Y713" s="1681">
        <f t="shared" si="72"/>
        <v>0</v>
      </c>
      <c r="Z713" s="1681"/>
      <c r="AB713" s="1682"/>
      <c r="AC713" s="1682"/>
      <c r="AE713" s="1683"/>
      <c r="AF713" s="1683"/>
      <c r="AG713" s="1683"/>
      <c r="AH713" s="1683"/>
      <c r="AI713" s="1683"/>
      <c r="AJ713" s="1683"/>
      <c r="AK713" s="1683"/>
      <c r="AL713" s="1683"/>
      <c r="AM713" s="1683"/>
      <c r="AN713" s="1683"/>
      <c r="AO713" s="1683"/>
      <c r="AP713" s="1683"/>
      <c r="AQ713" s="1683"/>
      <c r="AR713" s="1683"/>
      <c r="AS713" s="1683"/>
      <c r="AT713" s="1683"/>
      <c r="AU713" s="1683"/>
      <c r="AV713" s="1683"/>
      <c r="AW713" s="1683"/>
      <c r="AX713" s="1683"/>
      <c r="AY713" s="1683"/>
      <c r="AZ713" s="1683"/>
      <c r="BA713" s="1683"/>
      <c r="BB713" s="1683"/>
    </row>
    <row r="714" spans="1:54">
      <c r="A714" s="326">
        <f t="shared" si="69"/>
        <v>55122</v>
      </c>
      <c r="B714" s="1678"/>
      <c r="C714" s="1679">
        <f t="shared" si="70"/>
        <v>1</v>
      </c>
      <c r="D714" s="1679">
        <f>PRODUCT(C$5:C714)</f>
        <v>3.55771976932645</v>
      </c>
      <c r="J714" s="1680"/>
      <c r="K714" s="1680"/>
      <c r="L714" s="1680"/>
      <c r="N714" s="1681"/>
      <c r="O714" s="1681"/>
      <c r="P714" s="1681"/>
      <c r="Q714" s="1681"/>
      <c r="R714" s="1681"/>
      <c r="T714" s="1681"/>
      <c r="U714" s="1681"/>
      <c r="W714" s="1681">
        <f t="shared" si="71"/>
        <v>0</v>
      </c>
      <c r="X714" s="1681"/>
      <c r="Y714" s="1681">
        <f t="shared" si="72"/>
        <v>0</v>
      </c>
      <c r="Z714" s="1681"/>
      <c r="AB714" s="1682"/>
      <c r="AC714" s="1682"/>
      <c r="AE714" s="1683"/>
      <c r="AF714" s="1683"/>
      <c r="AG714" s="1683"/>
      <c r="AH714" s="1683"/>
      <c r="AI714" s="1683"/>
      <c r="AJ714" s="1683"/>
      <c r="AK714" s="1683"/>
      <c r="AL714" s="1683"/>
      <c r="AM714" s="1683"/>
      <c r="AN714" s="1683"/>
      <c r="AO714" s="1683"/>
      <c r="AP714" s="1683"/>
      <c r="AQ714" s="1683"/>
      <c r="AR714" s="1683"/>
      <c r="AS714" s="1683"/>
      <c r="AT714" s="1683"/>
      <c r="AU714" s="1683"/>
      <c r="AV714" s="1683"/>
      <c r="AW714" s="1683"/>
      <c r="AX714" s="1683"/>
      <c r="AY714" s="1683"/>
      <c r="AZ714" s="1683"/>
      <c r="BA714" s="1683"/>
      <c r="BB714" s="1683"/>
    </row>
    <row r="715" spans="1:54">
      <c r="A715" s="326">
        <f t="shared" si="69"/>
        <v>55153</v>
      </c>
      <c r="B715" s="1678"/>
      <c r="C715" s="1679">
        <f t="shared" si="70"/>
        <v>1</v>
      </c>
      <c r="D715" s="1679">
        <f>PRODUCT(C$5:C715)</f>
        <v>3.55771976932645</v>
      </c>
      <c r="J715" s="1680"/>
      <c r="K715" s="1680"/>
      <c r="L715" s="1680"/>
      <c r="N715" s="1681"/>
      <c r="O715" s="1681"/>
      <c r="P715" s="1681"/>
      <c r="Q715" s="1681"/>
      <c r="R715" s="1681"/>
      <c r="T715" s="1681"/>
      <c r="U715" s="1681"/>
      <c r="W715" s="1681">
        <f t="shared" si="71"/>
        <v>0</v>
      </c>
      <c r="X715" s="1681"/>
      <c r="Y715" s="1681">
        <f t="shared" si="72"/>
        <v>0</v>
      </c>
      <c r="Z715" s="1681"/>
      <c r="AB715" s="1682"/>
      <c r="AC715" s="1682"/>
      <c r="AE715" s="1683"/>
      <c r="AF715" s="1683"/>
      <c r="AG715" s="1683"/>
      <c r="AH715" s="1683"/>
      <c r="AI715" s="1683"/>
      <c r="AJ715" s="1683"/>
      <c r="AK715" s="1683"/>
      <c r="AL715" s="1683"/>
      <c r="AM715" s="1683"/>
      <c r="AN715" s="1683"/>
      <c r="AO715" s="1683"/>
      <c r="AP715" s="1683"/>
      <c r="AQ715" s="1683"/>
      <c r="AR715" s="1683"/>
      <c r="AS715" s="1683"/>
      <c r="AT715" s="1683"/>
      <c r="AU715" s="1683"/>
      <c r="AV715" s="1683"/>
      <c r="AW715" s="1683"/>
      <c r="AX715" s="1683"/>
      <c r="AY715" s="1683"/>
      <c r="AZ715" s="1683"/>
      <c r="BA715" s="1683"/>
      <c r="BB715" s="1683"/>
    </row>
    <row r="716" spans="1:54">
      <c r="A716" s="326">
        <f t="shared" si="69"/>
        <v>55184</v>
      </c>
      <c r="B716" s="1678"/>
      <c r="C716" s="1679">
        <f t="shared" si="70"/>
        <v>1</v>
      </c>
      <c r="D716" s="1679">
        <f>PRODUCT(C$5:C716)</f>
        <v>3.55771976932645</v>
      </c>
      <c r="J716" s="1680"/>
      <c r="K716" s="1680"/>
      <c r="L716" s="1680"/>
      <c r="N716" s="1681"/>
      <c r="O716" s="1681"/>
      <c r="P716" s="1681"/>
      <c r="Q716" s="1681"/>
      <c r="R716" s="1681"/>
      <c r="T716" s="1681"/>
      <c r="U716" s="1681"/>
      <c r="W716" s="1681">
        <f t="shared" si="71"/>
        <v>0</v>
      </c>
      <c r="X716" s="1681"/>
      <c r="Y716" s="1681">
        <f t="shared" si="72"/>
        <v>0</v>
      </c>
      <c r="Z716" s="1681"/>
      <c r="AB716" s="1682"/>
      <c r="AC716" s="1682"/>
      <c r="AE716" s="1683"/>
      <c r="AF716" s="1683"/>
      <c r="AG716" s="1683"/>
      <c r="AH716" s="1683"/>
      <c r="AI716" s="1683"/>
      <c r="AJ716" s="1683"/>
      <c r="AK716" s="1683"/>
      <c r="AL716" s="1683"/>
      <c r="AM716" s="1683"/>
      <c r="AN716" s="1683"/>
      <c r="AO716" s="1683"/>
      <c r="AP716" s="1683"/>
      <c r="AQ716" s="1683"/>
      <c r="AR716" s="1683"/>
      <c r="AS716" s="1683"/>
      <c r="AT716" s="1683"/>
      <c r="AU716" s="1683"/>
      <c r="AV716" s="1683"/>
      <c r="AW716" s="1683"/>
      <c r="AX716" s="1683"/>
      <c r="AY716" s="1683"/>
      <c r="AZ716" s="1683"/>
      <c r="BA716" s="1683"/>
      <c r="BB716" s="1683"/>
    </row>
    <row r="717" spans="1:54">
      <c r="A717" s="326">
        <f t="shared" si="69"/>
        <v>55212</v>
      </c>
      <c r="B717" s="1678"/>
      <c r="C717" s="1679">
        <f t="shared" si="70"/>
        <v>1</v>
      </c>
      <c r="D717" s="1679">
        <f>PRODUCT(C$5:C717)</f>
        <v>3.55771976932645</v>
      </c>
      <c r="J717" s="1680"/>
      <c r="K717" s="1680"/>
      <c r="L717" s="1680"/>
      <c r="N717" s="1681"/>
      <c r="O717" s="1681"/>
      <c r="P717" s="1681"/>
      <c r="Q717" s="1681"/>
      <c r="R717" s="1681"/>
      <c r="T717" s="1681"/>
      <c r="U717" s="1681"/>
      <c r="W717" s="1681">
        <f t="shared" si="71"/>
        <v>0</v>
      </c>
      <c r="X717" s="1681"/>
      <c r="Y717" s="1681">
        <f t="shared" si="72"/>
        <v>0</v>
      </c>
      <c r="Z717" s="1681"/>
      <c r="AB717" s="1682"/>
      <c r="AC717" s="1682"/>
      <c r="AE717" s="1683"/>
      <c r="AF717" s="1683"/>
      <c r="AG717" s="1683"/>
      <c r="AH717" s="1683"/>
      <c r="AI717" s="1683"/>
      <c r="AJ717" s="1683"/>
      <c r="AK717" s="1683"/>
      <c r="AL717" s="1683"/>
      <c r="AM717" s="1683"/>
      <c r="AN717" s="1683"/>
      <c r="AO717" s="1683"/>
      <c r="AP717" s="1683"/>
      <c r="AQ717" s="1683"/>
      <c r="AR717" s="1683"/>
      <c r="AS717" s="1683"/>
      <c r="AT717" s="1683"/>
      <c r="AU717" s="1683"/>
      <c r="AV717" s="1683"/>
      <c r="AW717" s="1683"/>
      <c r="AX717" s="1683"/>
      <c r="AY717" s="1683"/>
      <c r="AZ717" s="1683"/>
      <c r="BA717" s="1683"/>
      <c r="BB717" s="1683"/>
    </row>
    <row r="718" spans="1:54">
      <c r="A718" s="326">
        <f t="shared" si="69"/>
        <v>55243</v>
      </c>
      <c r="B718" s="1678"/>
      <c r="C718" s="1679">
        <f t="shared" si="70"/>
        <v>1</v>
      </c>
      <c r="D718" s="1679">
        <f>PRODUCT(C$5:C718)</f>
        <v>3.55771976932645</v>
      </c>
      <c r="J718" s="1680"/>
      <c r="K718" s="1680"/>
      <c r="L718" s="1680"/>
      <c r="N718" s="1681"/>
      <c r="O718" s="1681"/>
      <c r="P718" s="1681"/>
      <c r="Q718" s="1681"/>
      <c r="R718" s="1681"/>
      <c r="T718" s="1681"/>
      <c r="U718" s="1681"/>
      <c r="W718" s="1681">
        <f t="shared" si="71"/>
        <v>0</v>
      </c>
      <c r="X718" s="1681"/>
      <c r="Y718" s="1681">
        <f t="shared" si="72"/>
        <v>0</v>
      </c>
      <c r="Z718" s="1681"/>
      <c r="AB718" s="1682"/>
      <c r="AC718" s="1682"/>
      <c r="AE718" s="1683"/>
      <c r="AF718" s="1683"/>
      <c r="AG718" s="1683"/>
      <c r="AH718" s="1683"/>
      <c r="AI718" s="1683"/>
      <c r="AJ718" s="1683"/>
      <c r="AK718" s="1683"/>
      <c r="AL718" s="1683"/>
      <c r="AM718" s="1683"/>
      <c r="AN718" s="1683"/>
      <c r="AO718" s="1683"/>
      <c r="AP718" s="1683"/>
      <c r="AQ718" s="1683"/>
      <c r="AR718" s="1683"/>
      <c r="AS718" s="1683"/>
      <c r="AT718" s="1683"/>
      <c r="AU718" s="1683"/>
      <c r="AV718" s="1683"/>
      <c r="AW718" s="1683"/>
      <c r="AX718" s="1683"/>
      <c r="AY718" s="1683"/>
      <c r="AZ718" s="1683"/>
      <c r="BA718" s="1683"/>
      <c r="BB718" s="1683"/>
    </row>
    <row r="719" spans="1:54">
      <c r="A719" s="326">
        <f t="shared" si="69"/>
        <v>55273</v>
      </c>
      <c r="B719" s="1678"/>
      <c r="C719" s="1679">
        <f t="shared" si="70"/>
        <v>1</v>
      </c>
      <c r="D719" s="1679">
        <f>PRODUCT(C$5:C719)</f>
        <v>3.55771976932645</v>
      </c>
      <c r="J719" s="1680"/>
      <c r="K719" s="1680"/>
      <c r="L719" s="1680"/>
      <c r="N719" s="1681"/>
      <c r="O719" s="1681"/>
      <c r="P719" s="1681"/>
      <c r="Q719" s="1681"/>
      <c r="R719" s="1681"/>
      <c r="T719" s="1681"/>
      <c r="U719" s="1681"/>
      <c r="W719" s="1681">
        <f t="shared" si="71"/>
        <v>0</v>
      </c>
      <c r="X719" s="1681"/>
      <c r="Y719" s="1681">
        <f t="shared" si="72"/>
        <v>0</v>
      </c>
      <c r="Z719" s="1681"/>
      <c r="AB719" s="1682"/>
      <c r="AC719" s="1682"/>
      <c r="AE719" s="1683"/>
      <c r="AF719" s="1683"/>
      <c r="AG719" s="1683"/>
      <c r="AH719" s="1683"/>
      <c r="AI719" s="1683"/>
      <c r="AJ719" s="1683"/>
      <c r="AK719" s="1683"/>
      <c r="AL719" s="1683"/>
      <c r="AM719" s="1683"/>
      <c r="AN719" s="1683"/>
      <c r="AO719" s="1683"/>
      <c r="AP719" s="1683"/>
      <c r="AQ719" s="1683"/>
      <c r="AR719" s="1683"/>
      <c r="AS719" s="1683"/>
      <c r="AT719" s="1683"/>
      <c r="AU719" s="1683"/>
      <c r="AV719" s="1683"/>
      <c r="AW719" s="1683"/>
      <c r="AX719" s="1683"/>
      <c r="AY719" s="1683"/>
      <c r="AZ719" s="1683"/>
      <c r="BA719" s="1683"/>
      <c r="BB719" s="1683"/>
    </row>
    <row r="720" spans="1:54">
      <c r="A720" s="326">
        <f t="shared" si="69"/>
        <v>55304</v>
      </c>
      <c r="B720" s="1678"/>
      <c r="C720" s="1679">
        <f t="shared" si="70"/>
        <v>1</v>
      </c>
      <c r="D720" s="1679">
        <f>PRODUCT(C$5:C720)</f>
        <v>3.55771976932645</v>
      </c>
      <c r="J720" s="1680"/>
      <c r="K720" s="1680"/>
      <c r="L720" s="1680"/>
      <c r="N720" s="1681"/>
      <c r="O720" s="1681"/>
      <c r="P720" s="1681"/>
      <c r="Q720" s="1681"/>
      <c r="R720" s="1681"/>
      <c r="T720" s="1681"/>
      <c r="U720" s="1681"/>
      <c r="W720" s="1681">
        <f t="shared" si="71"/>
        <v>0</v>
      </c>
      <c r="X720" s="1681"/>
      <c r="Y720" s="1681">
        <f t="shared" si="72"/>
        <v>0</v>
      </c>
      <c r="Z720" s="1681"/>
      <c r="AB720" s="1682"/>
      <c r="AC720" s="1682"/>
      <c r="AE720" s="1683"/>
      <c r="AF720" s="1683"/>
      <c r="AG720" s="1683"/>
      <c r="AH720" s="1683"/>
      <c r="AI720" s="1683"/>
      <c r="AJ720" s="1683"/>
      <c r="AK720" s="1683"/>
      <c r="AL720" s="1683"/>
      <c r="AM720" s="1683"/>
      <c r="AN720" s="1683"/>
      <c r="AO720" s="1683"/>
      <c r="AP720" s="1683"/>
      <c r="AQ720" s="1683"/>
      <c r="AR720" s="1683"/>
      <c r="AS720" s="1683"/>
      <c r="AT720" s="1683"/>
      <c r="AU720" s="1683"/>
      <c r="AV720" s="1683"/>
      <c r="AW720" s="1683"/>
      <c r="AX720" s="1683"/>
      <c r="AY720" s="1683"/>
      <c r="AZ720" s="1683"/>
      <c r="BA720" s="1683"/>
      <c r="BB720" s="1683"/>
    </row>
    <row r="721" spans="1:54">
      <c r="A721" s="326">
        <f t="shared" si="69"/>
        <v>55334</v>
      </c>
      <c r="B721" s="1678"/>
      <c r="C721" s="1679">
        <f t="shared" si="70"/>
        <v>1</v>
      </c>
      <c r="D721" s="1679">
        <f>PRODUCT(C$5:C721)</f>
        <v>3.55771976932645</v>
      </c>
      <c r="J721" s="1680"/>
      <c r="K721" s="1680"/>
      <c r="L721" s="1680"/>
      <c r="N721" s="1681"/>
      <c r="O721" s="1681"/>
      <c r="P721" s="1681"/>
      <c r="Q721" s="1681"/>
      <c r="R721" s="1681"/>
      <c r="T721" s="1681"/>
      <c r="U721" s="1681"/>
      <c r="W721" s="1681">
        <f t="shared" si="71"/>
        <v>0</v>
      </c>
      <c r="X721" s="1681"/>
      <c r="Y721" s="1681">
        <f t="shared" si="72"/>
        <v>0</v>
      </c>
      <c r="Z721" s="1681"/>
      <c r="AB721" s="1682"/>
      <c r="AC721" s="1682"/>
      <c r="AE721" s="1683"/>
      <c r="AF721" s="1683"/>
      <c r="AG721" s="1683"/>
      <c r="AH721" s="1683"/>
      <c r="AI721" s="1683"/>
      <c r="AJ721" s="1683"/>
      <c r="AK721" s="1683"/>
      <c r="AL721" s="1683"/>
      <c r="AM721" s="1683"/>
      <c r="AN721" s="1683"/>
      <c r="AO721" s="1683"/>
      <c r="AP721" s="1683"/>
      <c r="AQ721" s="1683"/>
      <c r="AR721" s="1683"/>
      <c r="AS721" s="1683"/>
      <c r="AT721" s="1683"/>
      <c r="AU721" s="1683"/>
      <c r="AV721" s="1683"/>
      <c r="AW721" s="1683"/>
      <c r="AX721" s="1683"/>
      <c r="AY721" s="1683"/>
      <c r="AZ721" s="1683"/>
      <c r="BA721" s="1683"/>
      <c r="BB721" s="1683"/>
    </row>
    <row r="722" spans="1:54">
      <c r="A722" s="326">
        <f t="shared" si="69"/>
        <v>55365</v>
      </c>
      <c r="B722" s="1678"/>
      <c r="C722" s="1679">
        <f t="shared" si="70"/>
        <v>1</v>
      </c>
      <c r="D722" s="1679">
        <f>PRODUCT(C$5:C722)</f>
        <v>3.55771976932645</v>
      </c>
      <c r="J722" s="1680"/>
      <c r="K722" s="1680"/>
      <c r="L722" s="1680"/>
      <c r="N722" s="1681"/>
      <c r="O722" s="1681"/>
      <c r="P722" s="1681"/>
      <c r="Q722" s="1681"/>
      <c r="R722" s="1681"/>
      <c r="T722" s="1681"/>
      <c r="U722" s="1681"/>
      <c r="W722" s="1681">
        <f t="shared" si="71"/>
        <v>0</v>
      </c>
      <c r="X722" s="1681"/>
      <c r="Y722" s="1681">
        <f t="shared" si="72"/>
        <v>0</v>
      </c>
      <c r="Z722" s="1681"/>
      <c r="AB722" s="1682"/>
      <c r="AC722" s="1682"/>
      <c r="AE722" s="1683"/>
      <c r="AF722" s="1683"/>
      <c r="AG722" s="1683"/>
      <c r="AH722" s="1683"/>
      <c r="AI722" s="1683"/>
      <c r="AJ722" s="1683"/>
      <c r="AK722" s="1683"/>
      <c r="AL722" s="1683"/>
      <c r="AM722" s="1683"/>
      <c r="AN722" s="1683"/>
      <c r="AO722" s="1683"/>
      <c r="AP722" s="1683"/>
      <c r="AQ722" s="1683"/>
      <c r="AR722" s="1683"/>
      <c r="AS722" s="1683"/>
      <c r="AT722" s="1683"/>
      <c r="AU722" s="1683"/>
      <c r="AV722" s="1683"/>
      <c r="AW722" s="1683"/>
      <c r="AX722" s="1683"/>
      <c r="AY722" s="1683"/>
      <c r="AZ722" s="1683"/>
      <c r="BA722" s="1683"/>
      <c r="BB722" s="1683"/>
    </row>
    <row r="723" spans="1:54">
      <c r="A723" s="326">
        <f t="shared" si="69"/>
        <v>55396</v>
      </c>
      <c r="B723" s="1678"/>
      <c r="C723" s="1679">
        <f t="shared" si="70"/>
        <v>1</v>
      </c>
      <c r="D723" s="1679">
        <f>PRODUCT(C$5:C723)</f>
        <v>3.55771976932645</v>
      </c>
      <c r="J723" s="1680"/>
      <c r="K723" s="1680"/>
      <c r="L723" s="1680"/>
      <c r="N723" s="1681"/>
      <c r="O723" s="1681"/>
      <c r="P723" s="1681"/>
      <c r="Q723" s="1681"/>
      <c r="R723" s="1681"/>
      <c r="T723" s="1681"/>
      <c r="U723" s="1681"/>
      <c r="W723" s="1681">
        <f t="shared" si="71"/>
        <v>0</v>
      </c>
      <c r="X723" s="1681"/>
      <c r="Y723" s="1681">
        <f t="shared" si="72"/>
        <v>0</v>
      </c>
      <c r="Z723" s="1681"/>
      <c r="AB723" s="1682"/>
      <c r="AC723" s="1682"/>
      <c r="AE723" s="1683"/>
      <c r="AF723" s="1683"/>
      <c r="AG723" s="1683"/>
      <c r="AH723" s="1683"/>
      <c r="AI723" s="1683"/>
      <c r="AJ723" s="1683"/>
      <c r="AK723" s="1683"/>
      <c r="AL723" s="1683"/>
      <c r="AM723" s="1683"/>
      <c r="AN723" s="1683"/>
      <c r="AO723" s="1683"/>
      <c r="AP723" s="1683"/>
      <c r="AQ723" s="1683"/>
      <c r="AR723" s="1683"/>
      <c r="AS723" s="1683"/>
      <c r="AT723" s="1683"/>
      <c r="AU723" s="1683"/>
      <c r="AV723" s="1683"/>
      <c r="AW723" s="1683"/>
      <c r="AX723" s="1683"/>
      <c r="AY723" s="1683"/>
      <c r="AZ723" s="1683"/>
      <c r="BA723" s="1683"/>
      <c r="BB723" s="1683"/>
    </row>
    <row r="724" spans="1:54">
      <c r="A724" s="326">
        <f t="shared" si="69"/>
        <v>55426</v>
      </c>
      <c r="B724" s="1678"/>
      <c r="C724" s="1679">
        <f t="shared" si="70"/>
        <v>1</v>
      </c>
      <c r="D724" s="1679">
        <f>PRODUCT(C$5:C724)</f>
        <v>3.55771976932645</v>
      </c>
      <c r="J724" s="1680"/>
      <c r="K724" s="1680"/>
      <c r="L724" s="1680"/>
      <c r="N724" s="1681"/>
      <c r="O724" s="1681"/>
      <c r="P724" s="1681"/>
      <c r="Q724" s="1681"/>
      <c r="R724" s="1681"/>
      <c r="T724" s="1681"/>
      <c r="U724" s="1681"/>
      <c r="W724" s="1681">
        <f t="shared" si="71"/>
        <v>0</v>
      </c>
      <c r="X724" s="1681"/>
      <c r="Y724" s="1681">
        <f t="shared" si="72"/>
        <v>0</v>
      </c>
      <c r="Z724" s="1681"/>
      <c r="AB724" s="1682"/>
      <c r="AC724" s="1682"/>
      <c r="AE724" s="1683"/>
      <c r="AF724" s="1683"/>
      <c r="AG724" s="1683"/>
      <c r="AH724" s="1683"/>
      <c r="AI724" s="1683"/>
      <c r="AJ724" s="1683"/>
      <c r="AK724" s="1683"/>
      <c r="AL724" s="1683"/>
      <c r="AM724" s="1683"/>
      <c r="AN724" s="1683"/>
      <c r="AO724" s="1683"/>
      <c r="AP724" s="1683"/>
      <c r="AQ724" s="1683"/>
      <c r="AR724" s="1683"/>
      <c r="AS724" s="1683"/>
      <c r="AT724" s="1683"/>
      <c r="AU724" s="1683"/>
      <c r="AV724" s="1683"/>
      <c r="AW724" s="1683"/>
      <c r="AX724" s="1683"/>
      <c r="AY724" s="1683"/>
      <c r="AZ724" s="1683"/>
      <c r="BA724" s="1683"/>
      <c r="BB724" s="1683"/>
    </row>
    <row r="725" spans="1:54">
      <c r="A725" s="326">
        <f t="shared" si="69"/>
        <v>55457</v>
      </c>
      <c r="B725" s="1678"/>
      <c r="C725" s="1679">
        <f t="shared" si="70"/>
        <v>1</v>
      </c>
      <c r="D725" s="1679">
        <f>PRODUCT(C$5:C725)</f>
        <v>3.55771976932645</v>
      </c>
      <c r="J725" s="1680"/>
      <c r="K725" s="1680"/>
      <c r="L725" s="1680"/>
      <c r="N725" s="1681"/>
      <c r="O725" s="1681"/>
      <c r="P725" s="1681"/>
      <c r="Q725" s="1681"/>
      <c r="R725" s="1681"/>
      <c r="T725" s="1681"/>
      <c r="U725" s="1681"/>
      <c r="W725" s="1681">
        <f t="shared" si="71"/>
        <v>0</v>
      </c>
      <c r="X725" s="1681"/>
      <c r="Y725" s="1681">
        <f t="shared" si="72"/>
        <v>0</v>
      </c>
      <c r="Z725" s="1681"/>
      <c r="AB725" s="1682"/>
      <c r="AC725" s="1682"/>
      <c r="AE725" s="1683"/>
      <c r="AF725" s="1683"/>
      <c r="AG725" s="1683"/>
      <c r="AH725" s="1683"/>
      <c r="AI725" s="1683"/>
      <c r="AJ725" s="1683"/>
      <c r="AK725" s="1683"/>
      <c r="AL725" s="1683"/>
      <c r="AM725" s="1683"/>
      <c r="AN725" s="1683"/>
      <c r="AO725" s="1683"/>
      <c r="AP725" s="1683"/>
      <c r="AQ725" s="1683"/>
      <c r="AR725" s="1683"/>
      <c r="AS725" s="1683"/>
      <c r="AT725" s="1683"/>
      <c r="AU725" s="1683"/>
      <c r="AV725" s="1683"/>
      <c r="AW725" s="1683"/>
      <c r="AX725" s="1683"/>
      <c r="AY725" s="1683"/>
      <c r="AZ725" s="1683"/>
      <c r="BA725" s="1683"/>
      <c r="BB725" s="1683"/>
    </row>
    <row r="726" spans="1:54">
      <c r="A726" s="326">
        <f t="shared" ref="A726:A789" si="73">DATE(IF(MONTH(A725)=12,YEAR(A725)+1,YEAR(A725)),MONTH(A725+1)+1,1)-1</f>
        <v>55487</v>
      </c>
      <c r="B726" s="1678"/>
      <c r="C726" s="1679">
        <f t="shared" si="70"/>
        <v>1</v>
      </c>
      <c r="D726" s="1679">
        <f>PRODUCT(C$5:C726)</f>
        <v>3.55771976932645</v>
      </c>
      <c r="J726" s="1680"/>
      <c r="K726" s="1680"/>
      <c r="L726" s="1680"/>
      <c r="N726" s="1681"/>
      <c r="O726" s="1681"/>
      <c r="P726" s="1681"/>
      <c r="Q726" s="1681"/>
      <c r="R726" s="1681"/>
      <c r="T726" s="1681"/>
      <c r="U726" s="1681"/>
      <c r="W726" s="1681">
        <f t="shared" si="71"/>
        <v>0</v>
      </c>
      <c r="X726" s="1681"/>
      <c r="Y726" s="1681">
        <f t="shared" si="72"/>
        <v>0</v>
      </c>
      <c r="Z726" s="1681"/>
      <c r="AB726" s="1682"/>
      <c r="AC726" s="1682"/>
      <c r="AE726" s="1683"/>
      <c r="AF726" s="1683"/>
      <c r="AG726" s="1683"/>
      <c r="AH726" s="1683"/>
      <c r="AI726" s="1683"/>
      <c r="AJ726" s="1683"/>
      <c r="AK726" s="1683"/>
      <c r="AL726" s="1683"/>
      <c r="AM726" s="1683"/>
      <c r="AN726" s="1683"/>
      <c r="AO726" s="1683"/>
      <c r="AP726" s="1683"/>
      <c r="AQ726" s="1683"/>
      <c r="AR726" s="1683"/>
      <c r="AS726" s="1683"/>
      <c r="AT726" s="1683"/>
      <c r="AU726" s="1683"/>
      <c r="AV726" s="1683"/>
      <c r="AW726" s="1683"/>
      <c r="AX726" s="1683"/>
      <c r="AY726" s="1683"/>
      <c r="AZ726" s="1683"/>
      <c r="BA726" s="1683"/>
      <c r="BB726" s="1683"/>
    </row>
    <row r="727" spans="1:54">
      <c r="A727" s="326">
        <f t="shared" si="73"/>
        <v>55518</v>
      </c>
      <c r="B727" s="1678"/>
      <c r="C727" s="1679">
        <f t="shared" si="70"/>
        <v>1</v>
      </c>
      <c r="D727" s="1679">
        <f>PRODUCT(C$5:C727)</f>
        <v>3.55771976932645</v>
      </c>
      <c r="J727" s="1680"/>
      <c r="K727" s="1680"/>
      <c r="L727" s="1680"/>
      <c r="N727" s="1681"/>
      <c r="O727" s="1681"/>
      <c r="P727" s="1681"/>
      <c r="Q727" s="1681"/>
      <c r="R727" s="1681"/>
      <c r="T727" s="1681"/>
      <c r="U727" s="1681"/>
      <c r="W727" s="1681">
        <f t="shared" si="71"/>
        <v>0</v>
      </c>
      <c r="X727" s="1681"/>
      <c r="Y727" s="1681">
        <f t="shared" si="72"/>
        <v>0</v>
      </c>
      <c r="Z727" s="1681"/>
      <c r="AB727" s="1682"/>
      <c r="AC727" s="1682"/>
      <c r="AE727" s="1683"/>
      <c r="AF727" s="1683"/>
      <c r="AG727" s="1683"/>
      <c r="AH727" s="1683"/>
      <c r="AI727" s="1683"/>
      <c r="AJ727" s="1683"/>
      <c r="AK727" s="1683"/>
      <c r="AL727" s="1683"/>
      <c r="AM727" s="1683"/>
      <c r="AN727" s="1683"/>
      <c r="AO727" s="1683"/>
      <c r="AP727" s="1683"/>
      <c r="AQ727" s="1683"/>
      <c r="AR727" s="1683"/>
      <c r="AS727" s="1683"/>
      <c r="AT727" s="1683"/>
      <c r="AU727" s="1683"/>
      <c r="AV727" s="1683"/>
      <c r="AW727" s="1683"/>
      <c r="AX727" s="1683"/>
      <c r="AY727" s="1683"/>
      <c r="AZ727" s="1683"/>
      <c r="BA727" s="1683"/>
      <c r="BB727" s="1683"/>
    </row>
    <row r="728" spans="1:54">
      <c r="A728" s="326">
        <f t="shared" si="73"/>
        <v>55549</v>
      </c>
      <c r="B728" s="1678"/>
      <c r="C728" s="1679">
        <f t="shared" si="70"/>
        <v>1</v>
      </c>
      <c r="D728" s="1679">
        <f>PRODUCT(C$5:C728)</f>
        <v>3.55771976932645</v>
      </c>
      <c r="J728" s="1680"/>
      <c r="K728" s="1680"/>
      <c r="L728" s="1680"/>
      <c r="N728" s="1681"/>
      <c r="O728" s="1681"/>
      <c r="P728" s="1681"/>
      <c r="Q728" s="1681"/>
      <c r="R728" s="1681"/>
      <c r="T728" s="1681"/>
      <c r="U728" s="1681"/>
      <c r="W728" s="1681">
        <f t="shared" si="71"/>
        <v>0</v>
      </c>
      <c r="X728" s="1681"/>
      <c r="Y728" s="1681">
        <f t="shared" si="72"/>
        <v>0</v>
      </c>
      <c r="Z728" s="1681"/>
      <c r="AB728" s="1682"/>
      <c r="AC728" s="1682"/>
      <c r="AE728" s="1683"/>
      <c r="AF728" s="1683"/>
      <c r="AG728" s="1683"/>
      <c r="AH728" s="1683"/>
      <c r="AI728" s="1683"/>
      <c r="AJ728" s="1683"/>
      <c r="AK728" s="1683"/>
      <c r="AL728" s="1683"/>
      <c r="AM728" s="1683"/>
      <c r="AN728" s="1683"/>
      <c r="AO728" s="1683"/>
      <c r="AP728" s="1683"/>
      <c r="AQ728" s="1683"/>
      <c r="AR728" s="1683"/>
      <c r="AS728" s="1683"/>
      <c r="AT728" s="1683"/>
      <c r="AU728" s="1683"/>
      <c r="AV728" s="1683"/>
      <c r="AW728" s="1683"/>
      <c r="AX728" s="1683"/>
      <c r="AY728" s="1683"/>
      <c r="AZ728" s="1683"/>
      <c r="BA728" s="1683"/>
      <c r="BB728" s="1683"/>
    </row>
    <row r="729" spans="1:54">
      <c r="A729" s="326">
        <f t="shared" si="73"/>
        <v>55578</v>
      </c>
      <c r="B729" s="1678"/>
      <c r="C729" s="1679">
        <f t="shared" si="70"/>
        <v>1</v>
      </c>
      <c r="D729" s="1679">
        <f>PRODUCT(C$5:C729)</f>
        <v>3.55771976932645</v>
      </c>
      <c r="J729" s="1680"/>
      <c r="K729" s="1680"/>
      <c r="L729" s="1680"/>
      <c r="N729" s="1681"/>
      <c r="O729" s="1681"/>
      <c r="P729" s="1681"/>
      <c r="Q729" s="1681"/>
      <c r="R729" s="1681"/>
      <c r="T729" s="1681"/>
      <c r="U729" s="1681"/>
      <c r="W729" s="1681">
        <f t="shared" si="71"/>
        <v>0</v>
      </c>
      <c r="X729" s="1681"/>
      <c r="Y729" s="1681">
        <f t="shared" si="72"/>
        <v>0</v>
      </c>
      <c r="Z729" s="1681"/>
      <c r="AB729" s="1682"/>
      <c r="AC729" s="1682"/>
      <c r="AE729" s="1683"/>
      <c r="AF729" s="1683"/>
      <c r="AG729" s="1683"/>
      <c r="AH729" s="1683"/>
      <c r="AI729" s="1683"/>
      <c r="AJ729" s="1683"/>
      <c r="AK729" s="1683"/>
      <c r="AL729" s="1683"/>
      <c r="AM729" s="1683"/>
      <c r="AN729" s="1683"/>
      <c r="AO729" s="1683"/>
      <c r="AP729" s="1683"/>
      <c r="AQ729" s="1683"/>
      <c r="AR729" s="1683"/>
      <c r="AS729" s="1683"/>
      <c r="AT729" s="1683"/>
      <c r="AU729" s="1683"/>
      <c r="AV729" s="1683"/>
      <c r="AW729" s="1683"/>
      <c r="AX729" s="1683"/>
      <c r="AY729" s="1683"/>
      <c r="AZ729" s="1683"/>
      <c r="BA729" s="1683"/>
      <c r="BB729" s="1683"/>
    </row>
    <row r="730" spans="1:54">
      <c r="A730" s="326">
        <f t="shared" si="73"/>
        <v>55609</v>
      </c>
      <c r="B730" s="1678"/>
      <c r="C730" s="1679">
        <f t="shared" si="70"/>
        <v>1</v>
      </c>
      <c r="D730" s="1679">
        <f>PRODUCT(C$5:C730)</f>
        <v>3.55771976932645</v>
      </c>
      <c r="J730" s="1680"/>
      <c r="K730" s="1680"/>
      <c r="L730" s="1680"/>
      <c r="N730" s="1681"/>
      <c r="O730" s="1681"/>
      <c r="P730" s="1681"/>
      <c r="Q730" s="1681"/>
      <c r="R730" s="1681"/>
      <c r="T730" s="1681"/>
      <c r="U730" s="1681"/>
      <c r="W730" s="1681">
        <f t="shared" si="71"/>
        <v>0</v>
      </c>
      <c r="X730" s="1681"/>
      <c r="Y730" s="1681">
        <f t="shared" si="72"/>
        <v>0</v>
      </c>
      <c r="Z730" s="1681"/>
      <c r="AB730" s="1682"/>
      <c r="AC730" s="1682"/>
      <c r="AE730" s="1683"/>
      <c r="AF730" s="1683"/>
      <c r="AG730" s="1683"/>
      <c r="AH730" s="1683"/>
      <c r="AI730" s="1683"/>
      <c r="AJ730" s="1683"/>
      <c r="AK730" s="1683"/>
      <c r="AL730" s="1683"/>
      <c r="AM730" s="1683"/>
      <c r="AN730" s="1683"/>
      <c r="AO730" s="1683"/>
      <c r="AP730" s="1683"/>
      <c r="AQ730" s="1683"/>
      <c r="AR730" s="1683"/>
      <c r="AS730" s="1683"/>
      <c r="AT730" s="1683"/>
      <c r="AU730" s="1683"/>
      <c r="AV730" s="1683"/>
      <c r="AW730" s="1683"/>
      <c r="AX730" s="1683"/>
      <c r="AY730" s="1683"/>
      <c r="AZ730" s="1683"/>
      <c r="BA730" s="1683"/>
      <c r="BB730" s="1683"/>
    </row>
    <row r="731" spans="1:54">
      <c r="A731" s="326">
        <f t="shared" si="73"/>
        <v>55639</v>
      </c>
      <c r="B731" s="1678"/>
      <c r="C731" s="1679">
        <f t="shared" si="70"/>
        <v>1</v>
      </c>
      <c r="D731" s="1679">
        <f>PRODUCT(C$5:C731)</f>
        <v>3.55771976932645</v>
      </c>
      <c r="J731" s="1680"/>
      <c r="K731" s="1680"/>
      <c r="L731" s="1680"/>
      <c r="N731" s="1681"/>
      <c r="O731" s="1681"/>
      <c r="P731" s="1681"/>
      <c r="Q731" s="1681"/>
      <c r="R731" s="1681"/>
      <c r="T731" s="1681"/>
      <c r="U731" s="1681"/>
      <c r="W731" s="1681">
        <f t="shared" si="71"/>
        <v>0</v>
      </c>
      <c r="X731" s="1681"/>
      <c r="Y731" s="1681">
        <f t="shared" si="72"/>
        <v>0</v>
      </c>
      <c r="Z731" s="1681"/>
      <c r="AB731" s="1682"/>
      <c r="AC731" s="1682"/>
      <c r="AE731" s="1683"/>
      <c r="AF731" s="1683"/>
      <c r="AG731" s="1683"/>
      <c r="AH731" s="1683"/>
      <c r="AI731" s="1683"/>
      <c r="AJ731" s="1683"/>
      <c r="AK731" s="1683"/>
      <c r="AL731" s="1683"/>
      <c r="AM731" s="1683"/>
      <c r="AN731" s="1683"/>
      <c r="AO731" s="1683"/>
      <c r="AP731" s="1683"/>
      <c r="AQ731" s="1683"/>
      <c r="AR731" s="1683"/>
      <c r="AS731" s="1683"/>
      <c r="AT731" s="1683"/>
      <c r="AU731" s="1683"/>
      <c r="AV731" s="1683"/>
      <c r="AW731" s="1683"/>
      <c r="AX731" s="1683"/>
      <c r="AY731" s="1683"/>
      <c r="AZ731" s="1683"/>
      <c r="BA731" s="1683"/>
      <c r="BB731" s="1683"/>
    </row>
    <row r="732" spans="1:54">
      <c r="A732" s="326">
        <f t="shared" si="73"/>
        <v>55670</v>
      </c>
      <c r="B732" s="1678"/>
      <c r="C732" s="1679">
        <f t="shared" si="70"/>
        <v>1</v>
      </c>
      <c r="D732" s="1679">
        <f>PRODUCT(C$5:C732)</f>
        <v>3.55771976932645</v>
      </c>
      <c r="J732" s="1680"/>
      <c r="K732" s="1680"/>
      <c r="L732" s="1680"/>
      <c r="N732" s="1681"/>
      <c r="O732" s="1681"/>
      <c r="P732" s="1681"/>
      <c r="Q732" s="1681"/>
      <c r="R732" s="1681"/>
      <c r="T732" s="1681"/>
      <c r="U732" s="1681"/>
      <c r="W732" s="1681">
        <f t="shared" si="71"/>
        <v>0</v>
      </c>
      <c r="X732" s="1681"/>
      <c r="Y732" s="1681">
        <f t="shared" si="72"/>
        <v>0</v>
      </c>
      <c r="Z732" s="1681"/>
      <c r="AB732" s="1682"/>
      <c r="AC732" s="1682"/>
      <c r="AE732" s="1683"/>
      <c r="AF732" s="1683"/>
      <c r="AG732" s="1683"/>
      <c r="AH732" s="1683"/>
      <c r="AI732" s="1683"/>
      <c r="AJ732" s="1683"/>
      <c r="AK732" s="1683"/>
      <c r="AL732" s="1683"/>
      <c r="AM732" s="1683"/>
      <c r="AN732" s="1683"/>
      <c r="AO732" s="1683"/>
      <c r="AP732" s="1683"/>
      <c r="AQ732" s="1683"/>
      <c r="AR732" s="1683"/>
      <c r="AS732" s="1683"/>
      <c r="AT732" s="1683"/>
      <c r="AU732" s="1683"/>
      <c r="AV732" s="1683"/>
      <c r="AW732" s="1683"/>
      <c r="AX732" s="1683"/>
      <c r="AY732" s="1683"/>
      <c r="AZ732" s="1683"/>
      <c r="BA732" s="1683"/>
      <c r="BB732" s="1683"/>
    </row>
    <row r="733" spans="1:54">
      <c r="A733" s="326">
        <f t="shared" si="73"/>
        <v>55700</v>
      </c>
      <c r="B733" s="1678"/>
      <c r="C733" s="1679">
        <f t="shared" si="70"/>
        <v>1</v>
      </c>
      <c r="D733" s="1679">
        <f>PRODUCT(C$5:C733)</f>
        <v>3.55771976932645</v>
      </c>
      <c r="J733" s="1680"/>
      <c r="K733" s="1680"/>
      <c r="L733" s="1680"/>
      <c r="N733" s="1681"/>
      <c r="O733" s="1681"/>
      <c r="P733" s="1681"/>
      <c r="Q733" s="1681"/>
      <c r="R733" s="1681"/>
      <c r="T733" s="1681"/>
      <c r="U733" s="1681"/>
      <c r="W733" s="1681">
        <f t="shared" si="71"/>
        <v>0</v>
      </c>
      <c r="X733" s="1681"/>
      <c r="Y733" s="1681">
        <f t="shared" si="72"/>
        <v>0</v>
      </c>
      <c r="Z733" s="1681"/>
      <c r="AB733" s="1682"/>
      <c r="AC733" s="1682"/>
      <c r="AE733" s="1683"/>
      <c r="AF733" s="1683"/>
      <c r="AG733" s="1683"/>
      <c r="AH733" s="1683"/>
      <c r="AI733" s="1683"/>
      <c r="AJ733" s="1683"/>
      <c r="AK733" s="1683"/>
      <c r="AL733" s="1683"/>
      <c r="AM733" s="1683"/>
      <c r="AN733" s="1683"/>
      <c r="AO733" s="1683"/>
      <c r="AP733" s="1683"/>
      <c r="AQ733" s="1683"/>
      <c r="AR733" s="1683"/>
      <c r="AS733" s="1683"/>
      <c r="AT733" s="1683"/>
      <c r="AU733" s="1683"/>
      <c r="AV733" s="1683"/>
      <c r="AW733" s="1683"/>
      <c r="AX733" s="1683"/>
      <c r="AY733" s="1683"/>
      <c r="AZ733" s="1683"/>
      <c r="BA733" s="1683"/>
      <c r="BB733" s="1683"/>
    </row>
    <row r="734" spans="1:54">
      <c r="A734" s="326">
        <f t="shared" si="73"/>
        <v>55731</v>
      </c>
      <c r="B734" s="1678"/>
      <c r="C734" s="1679">
        <f t="shared" si="70"/>
        <v>1</v>
      </c>
      <c r="D734" s="1679">
        <f>PRODUCT(C$5:C734)</f>
        <v>3.55771976932645</v>
      </c>
      <c r="J734" s="1680"/>
      <c r="K734" s="1680"/>
      <c r="L734" s="1680"/>
      <c r="N734" s="1681"/>
      <c r="O734" s="1681"/>
      <c r="P734" s="1681"/>
      <c r="Q734" s="1681"/>
      <c r="R734" s="1681"/>
      <c r="T734" s="1681"/>
      <c r="U734" s="1681"/>
      <c r="W734" s="1681">
        <f t="shared" si="71"/>
        <v>0</v>
      </c>
      <c r="X734" s="1681"/>
      <c r="Y734" s="1681">
        <f t="shared" si="72"/>
        <v>0</v>
      </c>
      <c r="Z734" s="1681"/>
      <c r="AB734" s="1682"/>
      <c r="AC734" s="1682"/>
      <c r="AE734" s="1683"/>
      <c r="AF734" s="1683"/>
      <c r="AG734" s="1683"/>
      <c r="AH734" s="1683"/>
      <c r="AI734" s="1683"/>
      <c r="AJ734" s="1683"/>
      <c r="AK734" s="1683"/>
      <c r="AL734" s="1683"/>
      <c r="AM734" s="1683"/>
      <c r="AN734" s="1683"/>
      <c r="AO734" s="1683"/>
      <c r="AP734" s="1683"/>
      <c r="AQ734" s="1683"/>
      <c r="AR734" s="1683"/>
      <c r="AS734" s="1683"/>
      <c r="AT734" s="1683"/>
      <c r="AU734" s="1683"/>
      <c r="AV734" s="1683"/>
      <c r="AW734" s="1683"/>
      <c r="AX734" s="1683"/>
      <c r="AY734" s="1683"/>
      <c r="AZ734" s="1683"/>
      <c r="BA734" s="1683"/>
      <c r="BB734" s="1683"/>
    </row>
    <row r="735" spans="1:54">
      <c r="A735" s="326">
        <f t="shared" si="73"/>
        <v>55762</v>
      </c>
      <c r="B735" s="1678"/>
      <c r="C735" s="1679">
        <f t="shared" si="70"/>
        <v>1</v>
      </c>
      <c r="D735" s="1679">
        <f>PRODUCT(C$5:C735)</f>
        <v>3.55771976932645</v>
      </c>
      <c r="J735" s="1680"/>
      <c r="K735" s="1680"/>
      <c r="L735" s="1680"/>
      <c r="N735" s="1681"/>
      <c r="O735" s="1681"/>
      <c r="P735" s="1681"/>
      <c r="Q735" s="1681"/>
      <c r="R735" s="1681"/>
      <c r="T735" s="1681"/>
      <c r="U735" s="1681"/>
      <c r="W735" s="1681">
        <f t="shared" si="71"/>
        <v>0</v>
      </c>
      <c r="X735" s="1681"/>
      <c r="Y735" s="1681">
        <f t="shared" si="72"/>
        <v>0</v>
      </c>
      <c r="Z735" s="1681"/>
      <c r="AB735" s="1682"/>
      <c r="AC735" s="1682"/>
      <c r="AE735" s="1683"/>
      <c r="AF735" s="1683"/>
      <c r="AG735" s="1683"/>
      <c r="AH735" s="1683"/>
      <c r="AI735" s="1683"/>
      <c r="AJ735" s="1683"/>
      <c r="AK735" s="1683"/>
      <c r="AL735" s="1683"/>
      <c r="AM735" s="1683"/>
      <c r="AN735" s="1683"/>
      <c r="AO735" s="1683"/>
      <c r="AP735" s="1683"/>
      <c r="AQ735" s="1683"/>
      <c r="AR735" s="1683"/>
      <c r="AS735" s="1683"/>
      <c r="AT735" s="1683"/>
      <c r="AU735" s="1683"/>
      <c r="AV735" s="1683"/>
      <c r="AW735" s="1683"/>
      <c r="AX735" s="1683"/>
      <c r="AY735" s="1683"/>
      <c r="AZ735" s="1683"/>
      <c r="BA735" s="1683"/>
      <c r="BB735" s="1683"/>
    </row>
    <row r="736" spans="1:54">
      <c r="A736" s="326">
        <f t="shared" si="73"/>
        <v>55792</v>
      </c>
      <c r="B736" s="1678"/>
      <c r="C736" s="1679">
        <f t="shared" si="70"/>
        <v>1</v>
      </c>
      <c r="D736" s="1679">
        <f>PRODUCT(C$5:C736)</f>
        <v>3.55771976932645</v>
      </c>
      <c r="J736" s="1680"/>
      <c r="K736" s="1680"/>
      <c r="L736" s="1680"/>
      <c r="N736" s="1681"/>
      <c r="O736" s="1681"/>
      <c r="P736" s="1681"/>
      <c r="Q736" s="1681"/>
      <c r="R736" s="1681"/>
      <c r="T736" s="1681"/>
      <c r="U736" s="1681"/>
      <c r="W736" s="1681">
        <f t="shared" si="71"/>
        <v>0</v>
      </c>
      <c r="X736" s="1681"/>
      <c r="Y736" s="1681">
        <f t="shared" si="72"/>
        <v>0</v>
      </c>
      <c r="Z736" s="1681"/>
      <c r="AB736" s="1682"/>
      <c r="AC736" s="1682"/>
      <c r="AE736" s="1683"/>
      <c r="AF736" s="1683"/>
      <c r="AG736" s="1683"/>
      <c r="AH736" s="1683"/>
      <c r="AI736" s="1683"/>
      <c r="AJ736" s="1683"/>
      <c r="AK736" s="1683"/>
      <c r="AL736" s="1683"/>
      <c r="AM736" s="1683"/>
      <c r="AN736" s="1683"/>
      <c r="AO736" s="1683"/>
      <c r="AP736" s="1683"/>
      <c r="AQ736" s="1683"/>
      <c r="AR736" s="1683"/>
      <c r="AS736" s="1683"/>
      <c r="AT736" s="1683"/>
      <c r="AU736" s="1683"/>
      <c r="AV736" s="1683"/>
      <c r="AW736" s="1683"/>
      <c r="AX736" s="1683"/>
      <c r="AY736" s="1683"/>
      <c r="AZ736" s="1683"/>
      <c r="BA736" s="1683"/>
      <c r="BB736" s="1683"/>
    </row>
    <row r="737" spans="1:54">
      <c r="A737" s="326">
        <f t="shared" si="73"/>
        <v>55823</v>
      </c>
      <c r="B737" s="1678"/>
      <c r="C737" s="1679">
        <f t="shared" si="70"/>
        <v>1</v>
      </c>
      <c r="D737" s="1679">
        <f>PRODUCT(C$5:C737)</f>
        <v>3.55771976932645</v>
      </c>
      <c r="J737" s="1680"/>
      <c r="K737" s="1680"/>
      <c r="L737" s="1680"/>
      <c r="N737" s="1681"/>
      <c r="O737" s="1681"/>
      <c r="P737" s="1681"/>
      <c r="Q737" s="1681"/>
      <c r="R737" s="1681"/>
      <c r="T737" s="1681"/>
      <c r="U737" s="1681"/>
      <c r="W737" s="1681">
        <f t="shared" si="71"/>
        <v>0</v>
      </c>
      <c r="X737" s="1681"/>
      <c r="Y737" s="1681">
        <f t="shared" si="72"/>
        <v>0</v>
      </c>
      <c r="Z737" s="1681"/>
      <c r="AB737" s="1682"/>
      <c r="AC737" s="1682"/>
      <c r="AE737" s="1683"/>
      <c r="AF737" s="1683"/>
      <c r="AG737" s="1683"/>
      <c r="AH737" s="1683"/>
      <c r="AI737" s="1683"/>
      <c r="AJ737" s="1683"/>
      <c r="AK737" s="1683"/>
      <c r="AL737" s="1683"/>
      <c r="AM737" s="1683"/>
      <c r="AN737" s="1683"/>
      <c r="AO737" s="1683"/>
      <c r="AP737" s="1683"/>
      <c r="AQ737" s="1683"/>
      <c r="AR737" s="1683"/>
      <c r="AS737" s="1683"/>
      <c r="AT737" s="1683"/>
      <c r="AU737" s="1683"/>
      <c r="AV737" s="1683"/>
      <c r="AW737" s="1683"/>
      <c r="AX737" s="1683"/>
      <c r="AY737" s="1683"/>
      <c r="AZ737" s="1683"/>
      <c r="BA737" s="1683"/>
      <c r="BB737" s="1683"/>
    </row>
    <row r="738" spans="1:54">
      <c r="A738" s="326">
        <f t="shared" si="73"/>
        <v>55853</v>
      </c>
      <c r="B738" s="1678"/>
      <c r="C738" s="1679">
        <f t="shared" si="70"/>
        <v>1</v>
      </c>
      <c r="D738" s="1679">
        <f>PRODUCT(C$5:C738)</f>
        <v>3.55771976932645</v>
      </c>
      <c r="J738" s="1680"/>
      <c r="K738" s="1680"/>
      <c r="L738" s="1680"/>
      <c r="N738" s="1681"/>
      <c r="O738" s="1681"/>
      <c r="P738" s="1681"/>
      <c r="Q738" s="1681"/>
      <c r="R738" s="1681"/>
      <c r="T738" s="1681"/>
      <c r="U738" s="1681"/>
      <c r="W738" s="1681">
        <f t="shared" si="71"/>
        <v>0</v>
      </c>
      <c r="X738" s="1681"/>
      <c r="Y738" s="1681">
        <f t="shared" si="72"/>
        <v>0</v>
      </c>
      <c r="Z738" s="1681"/>
      <c r="AB738" s="1682"/>
      <c r="AC738" s="1682"/>
      <c r="AE738" s="1683"/>
      <c r="AF738" s="1683"/>
      <c r="AG738" s="1683"/>
      <c r="AH738" s="1683"/>
      <c r="AI738" s="1683"/>
      <c r="AJ738" s="1683"/>
      <c r="AK738" s="1683"/>
      <c r="AL738" s="1683"/>
      <c r="AM738" s="1683"/>
      <c r="AN738" s="1683"/>
      <c r="AO738" s="1683"/>
      <c r="AP738" s="1683"/>
      <c r="AQ738" s="1683"/>
      <c r="AR738" s="1683"/>
      <c r="AS738" s="1683"/>
      <c r="AT738" s="1683"/>
      <c r="AU738" s="1683"/>
      <c r="AV738" s="1683"/>
      <c r="AW738" s="1683"/>
      <c r="AX738" s="1683"/>
      <c r="AY738" s="1683"/>
      <c r="AZ738" s="1683"/>
      <c r="BA738" s="1683"/>
      <c r="BB738" s="1683"/>
    </row>
    <row r="739" spans="1:54">
      <c r="A739" s="326">
        <f t="shared" si="73"/>
        <v>55884</v>
      </c>
      <c r="B739" s="1678"/>
      <c r="C739" s="1679">
        <f t="shared" si="70"/>
        <v>1</v>
      </c>
      <c r="D739" s="1679">
        <f>PRODUCT(C$5:C739)</f>
        <v>3.55771976932645</v>
      </c>
      <c r="J739" s="1680"/>
      <c r="K739" s="1680"/>
      <c r="L739" s="1680"/>
      <c r="N739" s="1681"/>
      <c r="O739" s="1681"/>
      <c r="P739" s="1681"/>
      <c r="Q739" s="1681"/>
      <c r="R739" s="1681"/>
      <c r="T739" s="1681"/>
      <c r="U739" s="1681"/>
      <c r="W739" s="1681">
        <f t="shared" si="71"/>
        <v>0</v>
      </c>
      <c r="X739" s="1681"/>
      <c r="Y739" s="1681">
        <f t="shared" si="72"/>
        <v>0</v>
      </c>
      <c r="Z739" s="1681"/>
      <c r="AB739" s="1682"/>
      <c r="AC739" s="1682"/>
      <c r="AE739" s="1683"/>
      <c r="AF739" s="1683"/>
      <c r="AG739" s="1683"/>
      <c r="AH739" s="1683"/>
      <c r="AI739" s="1683"/>
      <c r="AJ739" s="1683"/>
      <c r="AK739" s="1683"/>
      <c r="AL739" s="1683"/>
      <c r="AM739" s="1683"/>
      <c r="AN739" s="1683"/>
      <c r="AO739" s="1683"/>
      <c r="AP739" s="1683"/>
      <c r="AQ739" s="1683"/>
      <c r="AR739" s="1683"/>
      <c r="AS739" s="1683"/>
      <c r="AT739" s="1683"/>
      <c r="AU739" s="1683"/>
      <c r="AV739" s="1683"/>
      <c r="AW739" s="1683"/>
      <c r="AX739" s="1683"/>
      <c r="AY739" s="1683"/>
      <c r="AZ739" s="1683"/>
      <c r="BA739" s="1683"/>
      <c r="BB739" s="1683"/>
    </row>
    <row r="740" spans="1:54">
      <c r="A740" s="326">
        <f t="shared" si="73"/>
        <v>55915</v>
      </c>
      <c r="B740" s="1678"/>
      <c r="C740" s="1679">
        <f t="shared" si="70"/>
        <v>1</v>
      </c>
      <c r="D740" s="1679">
        <f>PRODUCT(C$5:C740)</f>
        <v>3.55771976932645</v>
      </c>
      <c r="J740" s="1680"/>
      <c r="K740" s="1680"/>
      <c r="L740" s="1680"/>
      <c r="N740" s="1681"/>
      <c r="O740" s="1681"/>
      <c r="P740" s="1681"/>
      <c r="Q740" s="1681"/>
      <c r="R740" s="1681"/>
      <c r="T740" s="1681"/>
      <c r="U740" s="1681"/>
      <c r="W740" s="1681">
        <f t="shared" si="71"/>
        <v>0</v>
      </c>
      <c r="X740" s="1681"/>
      <c r="Y740" s="1681">
        <f t="shared" si="72"/>
        <v>0</v>
      </c>
      <c r="Z740" s="1681"/>
      <c r="AB740" s="1682"/>
      <c r="AC740" s="1682"/>
      <c r="AE740" s="1683"/>
      <c r="AF740" s="1683"/>
      <c r="AG740" s="1683"/>
      <c r="AH740" s="1683"/>
      <c r="AI740" s="1683"/>
      <c r="AJ740" s="1683"/>
      <c r="AK740" s="1683"/>
      <c r="AL740" s="1683"/>
      <c r="AM740" s="1683"/>
      <c r="AN740" s="1683"/>
      <c r="AO740" s="1683"/>
      <c r="AP740" s="1683"/>
      <c r="AQ740" s="1683"/>
      <c r="AR740" s="1683"/>
      <c r="AS740" s="1683"/>
      <c r="AT740" s="1683"/>
      <c r="AU740" s="1683"/>
      <c r="AV740" s="1683"/>
      <c r="AW740" s="1683"/>
      <c r="AX740" s="1683"/>
      <c r="AY740" s="1683"/>
      <c r="AZ740" s="1683"/>
      <c r="BA740" s="1683"/>
      <c r="BB740" s="1683"/>
    </row>
    <row r="741" spans="1:54">
      <c r="A741" s="326">
        <f t="shared" si="73"/>
        <v>55943</v>
      </c>
      <c r="B741" s="1678"/>
      <c r="C741" s="1679">
        <f t="shared" si="70"/>
        <v>1</v>
      </c>
      <c r="D741" s="1679">
        <f>PRODUCT(C$5:C741)</f>
        <v>3.55771976932645</v>
      </c>
      <c r="J741" s="1680"/>
      <c r="K741" s="1680"/>
      <c r="L741" s="1680"/>
      <c r="N741" s="1681"/>
      <c r="O741" s="1681"/>
      <c r="P741" s="1681"/>
      <c r="Q741" s="1681"/>
      <c r="R741" s="1681"/>
      <c r="T741" s="1681"/>
      <c r="U741" s="1681"/>
      <c r="W741" s="1681">
        <f t="shared" si="71"/>
        <v>0</v>
      </c>
      <c r="X741" s="1681"/>
      <c r="Y741" s="1681">
        <f t="shared" si="72"/>
        <v>0</v>
      </c>
      <c r="Z741" s="1681"/>
      <c r="AB741" s="1682"/>
      <c r="AC741" s="1682"/>
      <c r="AE741" s="1683"/>
      <c r="AF741" s="1683"/>
      <c r="AG741" s="1683"/>
      <c r="AH741" s="1683"/>
      <c r="AI741" s="1683"/>
      <c r="AJ741" s="1683"/>
      <c r="AK741" s="1683"/>
      <c r="AL741" s="1683"/>
      <c r="AM741" s="1683"/>
      <c r="AN741" s="1683"/>
      <c r="AO741" s="1683"/>
      <c r="AP741" s="1683"/>
      <c r="AQ741" s="1683"/>
      <c r="AR741" s="1683"/>
      <c r="AS741" s="1683"/>
      <c r="AT741" s="1683"/>
      <c r="AU741" s="1683"/>
      <c r="AV741" s="1683"/>
      <c r="AW741" s="1683"/>
      <c r="AX741" s="1683"/>
      <c r="AY741" s="1683"/>
      <c r="AZ741" s="1683"/>
      <c r="BA741" s="1683"/>
      <c r="BB741" s="1683"/>
    </row>
    <row r="742" spans="1:54">
      <c r="A742" s="326">
        <f t="shared" si="73"/>
        <v>55974</v>
      </c>
      <c r="B742" s="1678"/>
      <c r="C742" s="1679">
        <f t="shared" si="70"/>
        <v>1</v>
      </c>
      <c r="D742" s="1679">
        <f>PRODUCT(C$5:C742)</f>
        <v>3.55771976932645</v>
      </c>
      <c r="J742" s="1680"/>
      <c r="K742" s="1680"/>
      <c r="L742" s="1680"/>
      <c r="N742" s="1681"/>
      <c r="O742" s="1681"/>
      <c r="P742" s="1681"/>
      <c r="Q742" s="1681"/>
      <c r="R742" s="1681"/>
      <c r="T742" s="1681"/>
      <c r="U742" s="1681"/>
      <c r="W742" s="1681">
        <f t="shared" si="71"/>
        <v>0</v>
      </c>
      <c r="X742" s="1681"/>
      <c r="Y742" s="1681">
        <f t="shared" si="72"/>
        <v>0</v>
      </c>
      <c r="Z742" s="1681"/>
      <c r="AB742" s="1682"/>
      <c r="AC742" s="1682"/>
      <c r="AE742" s="1683"/>
      <c r="AF742" s="1683"/>
      <c r="AG742" s="1683"/>
      <c r="AH742" s="1683"/>
      <c r="AI742" s="1683"/>
      <c r="AJ742" s="1683"/>
      <c r="AK742" s="1683"/>
      <c r="AL742" s="1683"/>
      <c r="AM742" s="1683"/>
      <c r="AN742" s="1683"/>
      <c r="AO742" s="1683"/>
      <c r="AP742" s="1683"/>
      <c r="AQ742" s="1683"/>
      <c r="AR742" s="1683"/>
      <c r="AS742" s="1683"/>
      <c r="AT742" s="1683"/>
      <c r="AU742" s="1683"/>
      <c r="AV742" s="1683"/>
      <c r="AW742" s="1683"/>
      <c r="AX742" s="1683"/>
      <c r="AY742" s="1683"/>
      <c r="AZ742" s="1683"/>
      <c r="BA742" s="1683"/>
      <c r="BB742" s="1683"/>
    </row>
    <row r="743" spans="1:54">
      <c r="A743" s="326">
        <f t="shared" si="73"/>
        <v>56004</v>
      </c>
      <c r="B743" s="1678"/>
      <c r="C743" s="1679">
        <f t="shared" si="70"/>
        <v>1</v>
      </c>
      <c r="D743" s="1679">
        <f>PRODUCT(C$5:C743)</f>
        <v>3.55771976932645</v>
      </c>
      <c r="J743" s="1680"/>
      <c r="K743" s="1680"/>
      <c r="L743" s="1680"/>
      <c r="N743" s="1681"/>
      <c r="O743" s="1681"/>
      <c r="P743" s="1681"/>
      <c r="Q743" s="1681"/>
      <c r="R743" s="1681"/>
      <c r="T743" s="1681"/>
      <c r="U743" s="1681"/>
      <c r="W743" s="1681">
        <f t="shared" si="71"/>
        <v>0</v>
      </c>
      <c r="X743" s="1681"/>
      <c r="Y743" s="1681">
        <f t="shared" si="72"/>
        <v>0</v>
      </c>
      <c r="Z743" s="1681"/>
      <c r="AB743" s="1682"/>
      <c r="AC743" s="1682"/>
      <c r="AE743" s="1683"/>
      <c r="AF743" s="1683"/>
      <c r="AG743" s="1683"/>
      <c r="AH743" s="1683"/>
      <c r="AI743" s="1683"/>
      <c r="AJ743" s="1683"/>
      <c r="AK743" s="1683"/>
      <c r="AL743" s="1683"/>
      <c r="AM743" s="1683"/>
      <c r="AN743" s="1683"/>
      <c r="AO743" s="1683"/>
      <c r="AP743" s="1683"/>
      <c r="AQ743" s="1683"/>
      <c r="AR743" s="1683"/>
      <c r="AS743" s="1683"/>
      <c r="AT743" s="1683"/>
      <c r="AU743" s="1683"/>
      <c r="AV743" s="1683"/>
      <c r="AW743" s="1683"/>
      <c r="AX743" s="1683"/>
      <c r="AY743" s="1683"/>
      <c r="AZ743" s="1683"/>
      <c r="BA743" s="1683"/>
      <c r="BB743" s="1683"/>
    </row>
    <row r="744" spans="1:54">
      <c r="A744" s="326">
        <f t="shared" si="73"/>
        <v>56035</v>
      </c>
      <c r="B744" s="1678"/>
      <c r="C744" s="1679">
        <f t="shared" si="70"/>
        <v>1</v>
      </c>
      <c r="D744" s="1679">
        <f>PRODUCT(C$5:C744)</f>
        <v>3.55771976932645</v>
      </c>
      <c r="J744" s="1680"/>
      <c r="K744" s="1680"/>
      <c r="L744" s="1680"/>
      <c r="N744" s="1681"/>
      <c r="O744" s="1681"/>
      <c r="P744" s="1681"/>
      <c r="Q744" s="1681"/>
      <c r="R744" s="1681"/>
      <c r="T744" s="1681"/>
      <c r="U744" s="1681"/>
      <c r="W744" s="1681">
        <f t="shared" si="71"/>
        <v>0</v>
      </c>
      <c r="X744" s="1681"/>
      <c r="Y744" s="1681">
        <f t="shared" si="72"/>
        <v>0</v>
      </c>
      <c r="Z744" s="1681"/>
      <c r="AB744" s="1682"/>
      <c r="AC744" s="1682"/>
      <c r="AE744" s="1683"/>
      <c r="AF744" s="1683"/>
      <c r="AG744" s="1683"/>
      <c r="AH744" s="1683"/>
      <c r="AI744" s="1683"/>
      <c r="AJ744" s="1683"/>
      <c r="AK744" s="1683"/>
      <c r="AL744" s="1683"/>
      <c r="AM744" s="1683"/>
      <c r="AN744" s="1683"/>
      <c r="AO744" s="1683"/>
      <c r="AP744" s="1683"/>
      <c r="AQ744" s="1683"/>
      <c r="AR744" s="1683"/>
      <c r="AS744" s="1683"/>
      <c r="AT744" s="1683"/>
      <c r="AU744" s="1683"/>
      <c r="AV744" s="1683"/>
      <c r="AW744" s="1683"/>
      <c r="AX744" s="1683"/>
      <c r="AY744" s="1683"/>
      <c r="AZ744" s="1683"/>
      <c r="BA744" s="1683"/>
      <c r="BB744" s="1683"/>
    </row>
    <row r="745" spans="1:54">
      <c r="A745" s="326">
        <f t="shared" si="73"/>
        <v>56065</v>
      </c>
      <c r="B745" s="1678"/>
      <c r="C745" s="1679">
        <f t="shared" si="70"/>
        <v>1</v>
      </c>
      <c r="D745" s="1679">
        <f>PRODUCT(C$5:C745)</f>
        <v>3.55771976932645</v>
      </c>
      <c r="J745" s="1680"/>
      <c r="K745" s="1680"/>
      <c r="L745" s="1680"/>
      <c r="N745" s="1681"/>
      <c r="O745" s="1681"/>
      <c r="P745" s="1681"/>
      <c r="Q745" s="1681"/>
      <c r="R745" s="1681"/>
      <c r="T745" s="1681"/>
      <c r="U745" s="1681"/>
      <c r="W745" s="1681">
        <f t="shared" si="71"/>
        <v>0</v>
      </c>
      <c r="X745" s="1681"/>
      <c r="Y745" s="1681">
        <f t="shared" si="72"/>
        <v>0</v>
      </c>
      <c r="Z745" s="1681"/>
      <c r="AB745" s="1682"/>
      <c r="AC745" s="1682"/>
      <c r="AE745" s="1683"/>
      <c r="AF745" s="1683"/>
      <c r="AG745" s="1683"/>
      <c r="AH745" s="1683"/>
      <c r="AI745" s="1683"/>
      <c r="AJ745" s="1683"/>
      <c r="AK745" s="1683"/>
      <c r="AL745" s="1683"/>
      <c r="AM745" s="1683"/>
      <c r="AN745" s="1683"/>
      <c r="AO745" s="1683"/>
      <c r="AP745" s="1683"/>
      <c r="AQ745" s="1683"/>
      <c r="AR745" s="1683"/>
      <c r="AS745" s="1683"/>
      <c r="AT745" s="1683"/>
      <c r="AU745" s="1683"/>
      <c r="AV745" s="1683"/>
      <c r="AW745" s="1683"/>
      <c r="AX745" s="1683"/>
      <c r="AY745" s="1683"/>
      <c r="AZ745" s="1683"/>
      <c r="BA745" s="1683"/>
      <c r="BB745" s="1683"/>
    </row>
    <row r="746" spans="1:54">
      <c r="A746" s="326">
        <f t="shared" si="73"/>
        <v>56096</v>
      </c>
      <c r="B746" s="1678"/>
      <c r="C746" s="1679">
        <f t="shared" si="70"/>
        <v>1</v>
      </c>
      <c r="D746" s="1679">
        <f>PRODUCT(C$5:C746)</f>
        <v>3.55771976932645</v>
      </c>
      <c r="J746" s="1680"/>
      <c r="K746" s="1680"/>
      <c r="L746" s="1680"/>
      <c r="N746" s="1681"/>
      <c r="O746" s="1681"/>
      <c r="P746" s="1681"/>
      <c r="Q746" s="1681"/>
      <c r="R746" s="1681"/>
      <c r="T746" s="1681"/>
      <c r="U746" s="1681"/>
      <c r="W746" s="1681">
        <f t="shared" si="71"/>
        <v>0</v>
      </c>
      <c r="X746" s="1681"/>
      <c r="Y746" s="1681">
        <f t="shared" si="72"/>
        <v>0</v>
      </c>
      <c r="Z746" s="1681"/>
      <c r="AB746" s="1682"/>
      <c r="AC746" s="1682"/>
      <c r="AE746" s="1683"/>
      <c r="AF746" s="1683"/>
      <c r="AG746" s="1683"/>
      <c r="AH746" s="1683"/>
      <c r="AI746" s="1683"/>
      <c r="AJ746" s="1683"/>
      <c r="AK746" s="1683"/>
      <c r="AL746" s="1683"/>
      <c r="AM746" s="1683"/>
      <c r="AN746" s="1683"/>
      <c r="AO746" s="1683"/>
      <c r="AP746" s="1683"/>
      <c r="AQ746" s="1683"/>
      <c r="AR746" s="1683"/>
      <c r="AS746" s="1683"/>
      <c r="AT746" s="1683"/>
      <c r="AU746" s="1683"/>
      <c r="AV746" s="1683"/>
      <c r="AW746" s="1683"/>
      <c r="AX746" s="1683"/>
      <c r="AY746" s="1683"/>
      <c r="AZ746" s="1683"/>
      <c r="BA746" s="1683"/>
      <c r="BB746" s="1683"/>
    </row>
    <row r="747" spans="1:54">
      <c r="A747" s="326">
        <f t="shared" si="73"/>
        <v>56127</v>
      </c>
      <c r="B747" s="1678"/>
      <c r="C747" s="1679">
        <f t="shared" si="70"/>
        <v>1</v>
      </c>
      <c r="D747" s="1679">
        <f>PRODUCT(C$5:C747)</f>
        <v>3.55771976932645</v>
      </c>
      <c r="J747" s="1680"/>
      <c r="K747" s="1680"/>
      <c r="L747" s="1680"/>
      <c r="N747" s="1681"/>
      <c r="O747" s="1681"/>
      <c r="P747" s="1681"/>
      <c r="Q747" s="1681"/>
      <c r="R747" s="1681"/>
      <c r="T747" s="1681"/>
      <c r="U747" s="1681"/>
      <c r="W747" s="1681">
        <f t="shared" si="71"/>
        <v>0</v>
      </c>
      <c r="X747" s="1681"/>
      <c r="Y747" s="1681">
        <f t="shared" si="72"/>
        <v>0</v>
      </c>
      <c r="Z747" s="1681"/>
      <c r="AB747" s="1682"/>
      <c r="AC747" s="1682"/>
      <c r="AE747" s="1683"/>
      <c r="AF747" s="1683"/>
      <c r="AG747" s="1683"/>
      <c r="AH747" s="1683"/>
      <c r="AI747" s="1683"/>
      <c r="AJ747" s="1683"/>
      <c r="AK747" s="1683"/>
      <c r="AL747" s="1683"/>
      <c r="AM747" s="1683"/>
      <c r="AN747" s="1683"/>
      <c r="AO747" s="1683"/>
      <c r="AP747" s="1683"/>
      <c r="AQ747" s="1683"/>
      <c r="AR747" s="1683"/>
      <c r="AS747" s="1683"/>
      <c r="AT747" s="1683"/>
      <c r="AU747" s="1683"/>
      <c r="AV747" s="1683"/>
      <c r="AW747" s="1683"/>
      <c r="AX747" s="1683"/>
      <c r="AY747" s="1683"/>
      <c r="AZ747" s="1683"/>
      <c r="BA747" s="1683"/>
      <c r="BB747" s="1683"/>
    </row>
    <row r="748" spans="1:54">
      <c r="A748" s="326">
        <f t="shared" si="73"/>
        <v>56157</v>
      </c>
      <c r="B748" s="1678"/>
      <c r="C748" s="1679">
        <f t="shared" si="70"/>
        <v>1</v>
      </c>
      <c r="D748" s="1679">
        <f>PRODUCT(C$5:C748)</f>
        <v>3.55771976932645</v>
      </c>
      <c r="J748" s="1680"/>
      <c r="K748" s="1680"/>
      <c r="L748" s="1680"/>
      <c r="N748" s="1681"/>
      <c r="O748" s="1681"/>
      <c r="P748" s="1681"/>
      <c r="Q748" s="1681"/>
      <c r="R748" s="1681"/>
      <c r="T748" s="1681"/>
      <c r="U748" s="1681"/>
      <c r="W748" s="1681">
        <f t="shared" si="71"/>
        <v>0</v>
      </c>
      <c r="X748" s="1681"/>
      <c r="Y748" s="1681">
        <f t="shared" si="72"/>
        <v>0</v>
      </c>
      <c r="Z748" s="1681"/>
      <c r="AB748" s="1682"/>
      <c r="AC748" s="1682"/>
      <c r="AE748" s="1683"/>
      <c r="AF748" s="1683"/>
      <c r="AG748" s="1683"/>
      <c r="AH748" s="1683"/>
      <c r="AI748" s="1683"/>
      <c r="AJ748" s="1683"/>
      <c r="AK748" s="1683"/>
      <c r="AL748" s="1683"/>
      <c r="AM748" s="1683"/>
      <c r="AN748" s="1683"/>
      <c r="AO748" s="1683"/>
      <c r="AP748" s="1683"/>
      <c r="AQ748" s="1683"/>
      <c r="AR748" s="1683"/>
      <c r="AS748" s="1683"/>
      <c r="AT748" s="1683"/>
      <c r="AU748" s="1683"/>
      <c r="AV748" s="1683"/>
      <c r="AW748" s="1683"/>
      <c r="AX748" s="1683"/>
      <c r="AY748" s="1683"/>
      <c r="AZ748" s="1683"/>
      <c r="BA748" s="1683"/>
      <c r="BB748" s="1683"/>
    </row>
    <row r="749" spans="1:54">
      <c r="A749" s="326">
        <f t="shared" si="73"/>
        <v>56188</v>
      </c>
      <c r="B749" s="1678"/>
      <c r="C749" s="1679">
        <f t="shared" si="70"/>
        <v>1</v>
      </c>
      <c r="D749" s="1679">
        <f>PRODUCT(C$5:C749)</f>
        <v>3.55771976932645</v>
      </c>
      <c r="J749" s="1680"/>
      <c r="K749" s="1680"/>
      <c r="L749" s="1680"/>
      <c r="N749" s="1681"/>
      <c r="O749" s="1681"/>
      <c r="P749" s="1681"/>
      <c r="Q749" s="1681"/>
      <c r="R749" s="1681"/>
      <c r="T749" s="1681"/>
      <c r="U749" s="1681"/>
      <c r="W749" s="1681">
        <f t="shared" si="71"/>
        <v>0</v>
      </c>
      <c r="X749" s="1681"/>
      <c r="Y749" s="1681">
        <f t="shared" si="72"/>
        <v>0</v>
      </c>
      <c r="Z749" s="1681"/>
      <c r="AB749" s="1682"/>
      <c r="AC749" s="1682"/>
      <c r="AE749" s="1683"/>
      <c r="AF749" s="1683"/>
      <c r="AG749" s="1683"/>
      <c r="AH749" s="1683"/>
      <c r="AI749" s="1683"/>
      <c r="AJ749" s="1683"/>
      <c r="AK749" s="1683"/>
      <c r="AL749" s="1683"/>
      <c r="AM749" s="1683"/>
      <c r="AN749" s="1683"/>
      <c r="AO749" s="1683"/>
      <c r="AP749" s="1683"/>
      <c r="AQ749" s="1683"/>
      <c r="AR749" s="1683"/>
      <c r="AS749" s="1683"/>
      <c r="AT749" s="1683"/>
      <c r="AU749" s="1683"/>
      <c r="AV749" s="1683"/>
      <c r="AW749" s="1683"/>
      <c r="AX749" s="1683"/>
      <c r="AY749" s="1683"/>
      <c r="AZ749" s="1683"/>
      <c r="BA749" s="1683"/>
      <c r="BB749" s="1683"/>
    </row>
    <row r="750" spans="1:54">
      <c r="A750" s="326">
        <f t="shared" si="73"/>
        <v>56218</v>
      </c>
      <c r="B750" s="1678"/>
      <c r="C750" s="1679">
        <f t="shared" si="70"/>
        <v>1</v>
      </c>
      <c r="D750" s="1679">
        <f>PRODUCT(C$5:C750)</f>
        <v>3.55771976932645</v>
      </c>
      <c r="J750" s="1680"/>
      <c r="K750" s="1680"/>
      <c r="L750" s="1680"/>
      <c r="N750" s="1681"/>
      <c r="O750" s="1681"/>
      <c r="P750" s="1681"/>
      <c r="Q750" s="1681"/>
      <c r="R750" s="1681"/>
      <c r="T750" s="1681"/>
      <c r="U750" s="1681"/>
      <c r="W750" s="1681">
        <f t="shared" si="71"/>
        <v>0</v>
      </c>
      <c r="X750" s="1681"/>
      <c r="Y750" s="1681">
        <f t="shared" si="72"/>
        <v>0</v>
      </c>
      <c r="Z750" s="1681"/>
      <c r="AB750" s="1682"/>
      <c r="AC750" s="1682"/>
      <c r="AE750" s="1683"/>
      <c r="AF750" s="1683"/>
      <c r="AG750" s="1683"/>
      <c r="AH750" s="1683"/>
      <c r="AI750" s="1683"/>
      <c r="AJ750" s="1683"/>
      <c r="AK750" s="1683"/>
      <c r="AL750" s="1683"/>
      <c r="AM750" s="1683"/>
      <c r="AN750" s="1683"/>
      <c r="AO750" s="1683"/>
      <c r="AP750" s="1683"/>
      <c r="AQ750" s="1683"/>
      <c r="AR750" s="1683"/>
      <c r="AS750" s="1683"/>
      <c r="AT750" s="1683"/>
      <c r="AU750" s="1683"/>
      <c r="AV750" s="1683"/>
      <c r="AW750" s="1683"/>
      <c r="AX750" s="1683"/>
      <c r="AY750" s="1683"/>
      <c r="AZ750" s="1683"/>
      <c r="BA750" s="1683"/>
      <c r="BB750" s="1683"/>
    </row>
    <row r="751" spans="1:54">
      <c r="A751" s="326">
        <f t="shared" si="73"/>
        <v>56249</v>
      </c>
      <c r="B751" s="1678"/>
      <c r="C751" s="1679">
        <f t="shared" si="70"/>
        <v>1</v>
      </c>
      <c r="D751" s="1679">
        <f>PRODUCT(C$5:C751)</f>
        <v>3.55771976932645</v>
      </c>
      <c r="J751" s="1680"/>
      <c r="K751" s="1680"/>
      <c r="L751" s="1680"/>
      <c r="N751" s="1681"/>
      <c r="O751" s="1681"/>
      <c r="P751" s="1681"/>
      <c r="Q751" s="1681"/>
      <c r="R751" s="1681"/>
      <c r="T751" s="1681"/>
      <c r="U751" s="1681"/>
      <c r="W751" s="1681">
        <f t="shared" si="71"/>
        <v>0</v>
      </c>
      <c r="X751" s="1681"/>
      <c r="Y751" s="1681">
        <f t="shared" si="72"/>
        <v>0</v>
      </c>
      <c r="Z751" s="1681"/>
      <c r="AB751" s="1682"/>
      <c r="AC751" s="1682"/>
      <c r="AE751" s="1683"/>
      <c r="AF751" s="1683"/>
      <c r="AG751" s="1683"/>
      <c r="AH751" s="1683"/>
      <c r="AI751" s="1683"/>
      <c r="AJ751" s="1683"/>
      <c r="AK751" s="1683"/>
      <c r="AL751" s="1683"/>
      <c r="AM751" s="1683"/>
      <c r="AN751" s="1683"/>
      <c r="AO751" s="1683"/>
      <c r="AP751" s="1683"/>
      <c r="AQ751" s="1683"/>
      <c r="AR751" s="1683"/>
      <c r="AS751" s="1683"/>
      <c r="AT751" s="1683"/>
      <c r="AU751" s="1683"/>
      <c r="AV751" s="1683"/>
      <c r="AW751" s="1683"/>
      <c r="AX751" s="1683"/>
      <c r="AY751" s="1683"/>
      <c r="AZ751" s="1683"/>
      <c r="BA751" s="1683"/>
      <c r="BB751" s="1683"/>
    </row>
    <row r="752" spans="1:54">
      <c r="A752" s="326">
        <f t="shared" si="73"/>
        <v>56280</v>
      </c>
      <c r="B752" s="1678"/>
      <c r="C752" s="1679">
        <f t="shared" si="70"/>
        <v>1</v>
      </c>
      <c r="D752" s="1679">
        <f>PRODUCT(C$5:C752)</f>
        <v>3.55771976932645</v>
      </c>
      <c r="J752" s="1680"/>
      <c r="K752" s="1680"/>
      <c r="L752" s="1680"/>
      <c r="N752" s="1681"/>
      <c r="O752" s="1681"/>
      <c r="P752" s="1681"/>
      <c r="Q752" s="1681"/>
      <c r="R752" s="1681"/>
      <c r="T752" s="1681"/>
      <c r="U752" s="1681"/>
      <c r="W752" s="1681">
        <f t="shared" si="71"/>
        <v>0</v>
      </c>
      <c r="X752" s="1681"/>
      <c r="Y752" s="1681">
        <f t="shared" si="72"/>
        <v>0</v>
      </c>
      <c r="Z752" s="1681"/>
      <c r="AB752" s="1682"/>
      <c r="AC752" s="1682"/>
      <c r="AE752" s="1683"/>
      <c r="AF752" s="1683"/>
      <c r="AG752" s="1683"/>
      <c r="AH752" s="1683"/>
      <c r="AI752" s="1683"/>
      <c r="AJ752" s="1683"/>
      <c r="AK752" s="1683"/>
      <c r="AL752" s="1683"/>
      <c r="AM752" s="1683"/>
      <c r="AN752" s="1683"/>
      <c r="AO752" s="1683"/>
      <c r="AP752" s="1683"/>
      <c r="AQ752" s="1683"/>
      <c r="AR752" s="1683"/>
      <c r="AS752" s="1683"/>
      <c r="AT752" s="1683"/>
      <c r="AU752" s="1683"/>
      <c r="AV752" s="1683"/>
      <c r="AW752" s="1683"/>
      <c r="AX752" s="1683"/>
      <c r="AY752" s="1683"/>
      <c r="AZ752" s="1683"/>
      <c r="BA752" s="1683"/>
      <c r="BB752" s="1683"/>
    </row>
    <row r="753" spans="1:54">
      <c r="A753" s="326">
        <f t="shared" si="73"/>
        <v>56308</v>
      </c>
      <c r="B753" s="1678"/>
      <c r="C753" s="1679">
        <f t="shared" si="70"/>
        <v>1</v>
      </c>
      <c r="D753" s="1679">
        <f>PRODUCT(C$5:C753)</f>
        <v>3.55771976932645</v>
      </c>
      <c r="J753" s="1680"/>
      <c r="K753" s="1680"/>
      <c r="L753" s="1680"/>
      <c r="N753" s="1681"/>
      <c r="O753" s="1681"/>
      <c r="P753" s="1681"/>
      <c r="Q753" s="1681"/>
      <c r="R753" s="1681"/>
      <c r="T753" s="1681"/>
      <c r="U753" s="1681"/>
      <c r="W753" s="1681">
        <f t="shared" si="71"/>
        <v>0</v>
      </c>
      <c r="X753" s="1681"/>
      <c r="Y753" s="1681">
        <f t="shared" si="72"/>
        <v>0</v>
      </c>
      <c r="Z753" s="1681"/>
      <c r="AB753" s="1682"/>
      <c r="AC753" s="1682"/>
      <c r="AE753" s="1683"/>
      <c r="AF753" s="1683"/>
      <c r="AG753" s="1683"/>
      <c r="AH753" s="1683"/>
      <c r="AI753" s="1683"/>
      <c r="AJ753" s="1683"/>
      <c r="AK753" s="1683"/>
      <c r="AL753" s="1683"/>
      <c r="AM753" s="1683"/>
      <c r="AN753" s="1683"/>
      <c r="AO753" s="1683"/>
      <c r="AP753" s="1683"/>
      <c r="AQ753" s="1683"/>
      <c r="AR753" s="1683"/>
      <c r="AS753" s="1683"/>
      <c r="AT753" s="1683"/>
      <c r="AU753" s="1683"/>
      <c r="AV753" s="1683"/>
      <c r="AW753" s="1683"/>
      <c r="AX753" s="1683"/>
      <c r="AY753" s="1683"/>
      <c r="AZ753" s="1683"/>
      <c r="BA753" s="1683"/>
      <c r="BB753" s="1683"/>
    </row>
    <row r="754" spans="1:54">
      <c r="A754" s="326">
        <f t="shared" si="73"/>
        <v>56339</v>
      </c>
      <c r="B754" s="1678"/>
      <c r="C754" s="1679">
        <f t="shared" si="70"/>
        <v>1</v>
      </c>
      <c r="D754" s="1679">
        <f>PRODUCT(C$5:C754)</f>
        <v>3.55771976932645</v>
      </c>
      <c r="J754" s="1680"/>
      <c r="K754" s="1680"/>
      <c r="L754" s="1680"/>
      <c r="N754" s="1681"/>
      <c r="O754" s="1681"/>
      <c r="P754" s="1681"/>
      <c r="Q754" s="1681"/>
      <c r="R754" s="1681"/>
      <c r="T754" s="1681"/>
      <c r="U754" s="1681"/>
      <c r="W754" s="1681">
        <f t="shared" si="71"/>
        <v>0</v>
      </c>
      <c r="X754" s="1681"/>
      <c r="Y754" s="1681">
        <f t="shared" si="72"/>
        <v>0</v>
      </c>
      <c r="Z754" s="1681"/>
      <c r="AB754" s="1682"/>
      <c r="AC754" s="1682"/>
      <c r="AE754" s="1683"/>
      <c r="AF754" s="1683"/>
      <c r="AG754" s="1683"/>
      <c r="AH754" s="1683"/>
      <c r="AI754" s="1683"/>
      <c r="AJ754" s="1683"/>
      <c r="AK754" s="1683"/>
      <c r="AL754" s="1683"/>
      <c r="AM754" s="1683"/>
      <c r="AN754" s="1683"/>
      <c r="AO754" s="1683"/>
      <c r="AP754" s="1683"/>
      <c r="AQ754" s="1683"/>
      <c r="AR754" s="1683"/>
      <c r="AS754" s="1683"/>
      <c r="AT754" s="1683"/>
      <c r="AU754" s="1683"/>
      <c r="AV754" s="1683"/>
      <c r="AW754" s="1683"/>
      <c r="AX754" s="1683"/>
      <c r="AY754" s="1683"/>
      <c r="AZ754" s="1683"/>
      <c r="BA754" s="1683"/>
      <c r="BB754" s="1683"/>
    </row>
    <row r="755" spans="1:54">
      <c r="A755" s="326">
        <f t="shared" si="73"/>
        <v>56369</v>
      </c>
      <c r="B755" s="1678"/>
      <c r="C755" s="1679">
        <f t="shared" si="70"/>
        <v>1</v>
      </c>
      <c r="D755" s="1679">
        <f>PRODUCT(C$5:C755)</f>
        <v>3.55771976932645</v>
      </c>
      <c r="J755" s="1680"/>
      <c r="K755" s="1680"/>
      <c r="L755" s="1680"/>
      <c r="N755" s="1681"/>
      <c r="O755" s="1681"/>
      <c r="P755" s="1681"/>
      <c r="Q755" s="1681"/>
      <c r="R755" s="1681"/>
      <c r="T755" s="1681"/>
      <c r="U755" s="1681"/>
      <c r="W755" s="1681">
        <f t="shared" si="71"/>
        <v>0</v>
      </c>
      <c r="X755" s="1681"/>
      <c r="Y755" s="1681">
        <f t="shared" si="72"/>
        <v>0</v>
      </c>
      <c r="Z755" s="1681"/>
      <c r="AB755" s="1682"/>
      <c r="AC755" s="1682"/>
      <c r="AE755" s="1683"/>
      <c r="AF755" s="1683"/>
      <c r="AG755" s="1683"/>
      <c r="AH755" s="1683"/>
      <c r="AI755" s="1683"/>
      <c r="AJ755" s="1683"/>
      <c r="AK755" s="1683"/>
      <c r="AL755" s="1683"/>
      <c r="AM755" s="1683"/>
      <c r="AN755" s="1683"/>
      <c r="AO755" s="1683"/>
      <c r="AP755" s="1683"/>
      <c r="AQ755" s="1683"/>
      <c r="AR755" s="1683"/>
      <c r="AS755" s="1683"/>
      <c r="AT755" s="1683"/>
      <c r="AU755" s="1683"/>
      <c r="AV755" s="1683"/>
      <c r="AW755" s="1683"/>
      <c r="AX755" s="1683"/>
      <c r="AY755" s="1683"/>
      <c r="AZ755" s="1683"/>
      <c r="BA755" s="1683"/>
      <c r="BB755" s="1683"/>
    </row>
    <row r="756" spans="1:54">
      <c r="A756" s="326">
        <f t="shared" si="73"/>
        <v>56400</v>
      </c>
      <c r="B756" s="1678"/>
      <c r="C756" s="1679">
        <f t="shared" si="70"/>
        <v>1</v>
      </c>
      <c r="D756" s="1679">
        <f>PRODUCT(C$5:C756)</f>
        <v>3.55771976932645</v>
      </c>
      <c r="J756" s="1680"/>
      <c r="K756" s="1680"/>
      <c r="L756" s="1680"/>
      <c r="N756" s="1681"/>
      <c r="O756" s="1681"/>
      <c r="P756" s="1681"/>
      <c r="Q756" s="1681"/>
      <c r="R756" s="1681"/>
      <c r="T756" s="1681"/>
      <c r="U756" s="1681"/>
      <c r="W756" s="1681">
        <f t="shared" si="71"/>
        <v>0</v>
      </c>
      <c r="X756" s="1681"/>
      <c r="Y756" s="1681">
        <f t="shared" si="72"/>
        <v>0</v>
      </c>
      <c r="Z756" s="1681"/>
      <c r="AB756" s="1682"/>
      <c r="AC756" s="1682"/>
      <c r="AE756" s="1683"/>
      <c r="AF756" s="1683"/>
      <c r="AG756" s="1683"/>
      <c r="AH756" s="1683"/>
      <c r="AI756" s="1683"/>
      <c r="AJ756" s="1683"/>
      <c r="AK756" s="1683"/>
      <c r="AL756" s="1683"/>
      <c r="AM756" s="1683"/>
      <c r="AN756" s="1683"/>
      <c r="AO756" s="1683"/>
      <c r="AP756" s="1683"/>
      <c r="AQ756" s="1683"/>
      <c r="AR756" s="1683"/>
      <c r="AS756" s="1683"/>
      <c r="AT756" s="1683"/>
      <c r="AU756" s="1683"/>
      <c r="AV756" s="1683"/>
      <c r="AW756" s="1683"/>
      <c r="AX756" s="1683"/>
      <c r="AY756" s="1683"/>
      <c r="AZ756" s="1683"/>
      <c r="BA756" s="1683"/>
      <c r="BB756" s="1683"/>
    </row>
    <row r="757" spans="1:54">
      <c r="A757" s="326">
        <f t="shared" si="73"/>
        <v>56430</v>
      </c>
      <c r="B757" s="1678"/>
      <c r="C757" s="1679">
        <f t="shared" si="70"/>
        <v>1</v>
      </c>
      <c r="D757" s="1679">
        <f>PRODUCT(C$5:C757)</f>
        <v>3.55771976932645</v>
      </c>
      <c r="J757" s="1680"/>
      <c r="K757" s="1680"/>
      <c r="L757" s="1680"/>
      <c r="N757" s="1681"/>
      <c r="O757" s="1681"/>
      <c r="P757" s="1681"/>
      <c r="Q757" s="1681"/>
      <c r="R757" s="1681"/>
      <c r="T757" s="1681"/>
      <c r="U757" s="1681"/>
      <c r="W757" s="1681">
        <f t="shared" si="71"/>
        <v>0</v>
      </c>
      <c r="X757" s="1681"/>
      <c r="Y757" s="1681">
        <f t="shared" si="72"/>
        <v>0</v>
      </c>
      <c r="Z757" s="1681"/>
      <c r="AB757" s="1682"/>
      <c r="AC757" s="1682"/>
      <c r="AE757" s="1683"/>
      <c r="AF757" s="1683"/>
      <c r="AG757" s="1683"/>
      <c r="AH757" s="1683"/>
      <c r="AI757" s="1683"/>
      <c r="AJ757" s="1683"/>
      <c r="AK757" s="1683"/>
      <c r="AL757" s="1683"/>
      <c r="AM757" s="1683"/>
      <c r="AN757" s="1683"/>
      <c r="AO757" s="1683"/>
      <c r="AP757" s="1683"/>
      <c r="AQ757" s="1683"/>
      <c r="AR757" s="1683"/>
      <c r="AS757" s="1683"/>
      <c r="AT757" s="1683"/>
      <c r="AU757" s="1683"/>
      <c r="AV757" s="1683"/>
      <c r="AW757" s="1683"/>
      <c r="AX757" s="1683"/>
      <c r="AY757" s="1683"/>
      <c r="AZ757" s="1683"/>
      <c r="BA757" s="1683"/>
      <c r="BB757" s="1683"/>
    </row>
    <row r="758" spans="1:54">
      <c r="A758" s="326">
        <f t="shared" si="73"/>
        <v>56461</v>
      </c>
      <c r="B758" s="1678"/>
      <c r="C758" s="1679">
        <f t="shared" si="70"/>
        <v>1</v>
      </c>
      <c r="D758" s="1679">
        <f>PRODUCT(C$5:C758)</f>
        <v>3.55771976932645</v>
      </c>
      <c r="J758" s="1680"/>
      <c r="K758" s="1680"/>
      <c r="L758" s="1680"/>
      <c r="N758" s="1681"/>
      <c r="O758" s="1681"/>
      <c r="P758" s="1681"/>
      <c r="Q758" s="1681"/>
      <c r="R758" s="1681"/>
      <c r="T758" s="1681"/>
      <c r="U758" s="1681"/>
      <c r="W758" s="1681">
        <f t="shared" si="71"/>
        <v>0</v>
      </c>
      <c r="X758" s="1681"/>
      <c r="Y758" s="1681">
        <f t="shared" si="72"/>
        <v>0</v>
      </c>
      <c r="Z758" s="1681"/>
      <c r="AB758" s="1682"/>
      <c r="AC758" s="1682"/>
      <c r="AE758" s="1683"/>
      <c r="AF758" s="1683"/>
      <c r="AG758" s="1683"/>
      <c r="AH758" s="1683"/>
      <c r="AI758" s="1683"/>
      <c r="AJ758" s="1683"/>
      <c r="AK758" s="1683"/>
      <c r="AL758" s="1683"/>
      <c r="AM758" s="1683"/>
      <c r="AN758" s="1683"/>
      <c r="AO758" s="1683"/>
      <c r="AP758" s="1683"/>
      <c r="AQ758" s="1683"/>
      <c r="AR758" s="1683"/>
      <c r="AS758" s="1683"/>
      <c r="AT758" s="1683"/>
      <c r="AU758" s="1683"/>
      <c r="AV758" s="1683"/>
      <c r="AW758" s="1683"/>
      <c r="AX758" s="1683"/>
      <c r="AY758" s="1683"/>
      <c r="AZ758" s="1683"/>
      <c r="BA758" s="1683"/>
      <c r="BB758" s="1683"/>
    </row>
    <row r="759" spans="1:54">
      <c r="A759" s="326">
        <f t="shared" si="73"/>
        <v>56492</v>
      </c>
      <c r="B759" s="1678"/>
      <c r="C759" s="1679">
        <f t="shared" si="70"/>
        <v>1</v>
      </c>
      <c r="D759" s="1679">
        <f>PRODUCT(C$5:C759)</f>
        <v>3.55771976932645</v>
      </c>
      <c r="J759" s="1680"/>
      <c r="K759" s="1680"/>
      <c r="L759" s="1680"/>
      <c r="N759" s="1681"/>
      <c r="O759" s="1681"/>
      <c r="P759" s="1681"/>
      <c r="Q759" s="1681"/>
      <c r="R759" s="1681"/>
      <c r="T759" s="1681"/>
      <c r="U759" s="1681"/>
      <c r="W759" s="1681">
        <f t="shared" si="71"/>
        <v>0</v>
      </c>
      <c r="X759" s="1681"/>
      <c r="Y759" s="1681">
        <f t="shared" si="72"/>
        <v>0</v>
      </c>
      <c r="Z759" s="1681"/>
      <c r="AB759" s="1682"/>
      <c r="AC759" s="1682"/>
      <c r="AE759" s="1683"/>
      <c r="AF759" s="1683"/>
      <c r="AG759" s="1683"/>
      <c r="AH759" s="1683"/>
      <c r="AI759" s="1683"/>
      <c r="AJ759" s="1683"/>
      <c r="AK759" s="1683"/>
      <c r="AL759" s="1683"/>
      <c r="AM759" s="1683"/>
      <c r="AN759" s="1683"/>
      <c r="AO759" s="1683"/>
      <c r="AP759" s="1683"/>
      <c r="AQ759" s="1683"/>
      <c r="AR759" s="1683"/>
      <c r="AS759" s="1683"/>
      <c r="AT759" s="1683"/>
      <c r="AU759" s="1683"/>
      <c r="AV759" s="1683"/>
      <c r="AW759" s="1683"/>
      <c r="AX759" s="1683"/>
      <c r="AY759" s="1683"/>
      <c r="AZ759" s="1683"/>
      <c r="BA759" s="1683"/>
      <c r="BB759" s="1683"/>
    </row>
    <row r="760" spans="1:54">
      <c r="A760" s="326">
        <f t="shared" si="73"/>
        <v>56522</v>
      </c>
      <c r="B760" s="1678"/>
      <c r="C760" s="1679">
        <f t="shared" ref="C760:C823" si="74">IF(B760="",1,B760/100)</f>
        <v>1</v>
      </c>
      <c r="D760" s="1679">
        <f>PRODUCT(C$5:C760)</f>
        <v>3.55771976932645</v>
      </c>
      <c r="J760" s="1680"/>
      <c r="K760" s="1680"/>
      <c r="L760" s="1680"/>
      <c r="N760" s="1681"/>
      <c r="O760" s="1681"/>
      <c r="P760" s="1681"/>
      <c r="Q760" s="1681"/>
      <c r="R760" s="1681"/>
      <c r="T760" s="1681"/>
      <c r="U760" s="1681"/>
      <c r="W760" s="1681">
        <f t="shared" ref="W760:W823" si="75">Q760</f>
        <v>0</v>
      </c>
      <c r="X760" s="1681"/>
      <c r="Y760" s="1681">
        <f t="shared" ref="Y760:Y823" si="76">R760</f>
        <v>0</v>
      </c>
      <c r="Z760" s="1681"/>
      <c r="AB760" s="1682"/>
      <c r="AC760" s="1682"/>
      <c r="AE760" s="1683"/>
      <c r="AF760" s="1683"/>
      <c r="AG760" s="1683"/>
      <c r="AH760" s="1683"/>
      <c r="AI760" s="1683"/>
      <c r="AJ760" s="1683"/>
      <c r="AK760" s="1683"/>
      <c r="AL760" s="1683"/>
      <c r="AM760" s="1683"/>
      <c r="AN760" s="1683"/>
      <c r="AO760" s="1683"/>
      <c r="AP760" s="1683"/>
      <c r="AQ760" s="1683"/>
      <c r="AR760" s="1683"/>
      <c r="AS760" s="1683"/>
      <c r="AT760" s="1683"/>
      <c r="AU760" s="1683"/>
      <c r="AV760" s="1683"/>
      <c r="AW760" s="1683"/>
      <c r="AX760" s="1683"/>
      <c r="AY760" s="1683"/>
      <c r="AZ760" s="1683"/>
      <c r="BA760" s="1683"/>
      <c r="BB760" s="1683"/>
    </row>
    <row r="761" spans="1:54">
      <c r="A761" s="326">
        <f t="shared" si="73"/>
        <v>56553</v>
      </c>
      <c r="B761" s="1678"/>
      <c r="C761" s="1679">
        <f t="shared" si="74"/>
        <v>1</v>
      </c>
      <c r="D761" s="1679">
        <f>PRODUCT(C$5:C761)</f>
        <v>3.55771976932645</v>
      </c>
      <c r="J761" s="1680"/>
      <c r="K761" s="1680"/>
      <c r="L761" s="1680"/>
      <c r="N761" s="1681"/>
      <c r="O761" s="1681"/>
      <c r="P761" s="1681"/>
      <c r="Q761" s="1681"/>
      <c r="R761" s="1681"/>
      <c r="T761" s="1681"/>
      <c r="U761" s="1681"/>
      <c r="W761" s="1681">
        <f t="shared" si="75"/>
        <v>0</v>
      </c>
      <c r="X761" s="1681"/>
      <c r="Y761" s="1681">
        <f t="shared" si="76"/>
        <v>0</v>
      </c>
      <c r="Z761" s="1681"/>
      <c r="AB761" s="1682"/>
      <c r="AC761" s="1682"/>
      <c r="AE761" s="1683"/>
      <c r="AF761" s="1683"/>
      <c r="AG761" s="1683"/>
      <c r="AH761" s="1683"/>
      <c r="AI761" s="1683"/>
      <c r="AJ761" s="1683"/>
      <c r="AK761" s="1683"/>
      <c r="AL761" s="1683"/>
      <c r="AM761" s="1683"/>
      <c r="AN761" s="1683"/>
      <c r="AO761" s="1683"/>
      <c r="AP761" s="1683"/>
      <c r="AQ761" s="1683"/>
      <c r="AR761" s="1683"/>
      <c r="AS761" s="1683"/>
      <c r="AT761" s="1683"/>
      <c r="AU761" s="1683"/>
      <c r="AV761" s="1683"/>
      <c r="AW761" s="1683"/>
      <c r="AX761" s="1683"/>
      <c r="AY761" s="1683"/>
      <c r="AZ761" s="1683"/>
      <c r="BA761" s="1683"/>
      <c r="BB761" s="1683"/>
    </row>
    <row r="762" spans="1:54">
      <c r="A762" s="326">
        <f t="shared" si="73"/>
        <v>56583</v>
      </c>
      <c r="B762" s="1678"/>
      <c r="C762" s="1679">
        <f t="shared" si="74"/>
        <v>1</v>
      </c>
      <c r="D762" s="1679">
        <f>PRODUCT(C$5:C762)</f>
        <v>3.55771976932645</v>
      </c>
      <c r="J762" s="1680"/>
      <c r="K762" s="1680"/>
      <c r="L762" s="1680"/>
      <c r="N762" s="1681"/>
      <c r="O762" s="1681"/>
      <c r="P762" s="1681"/>
      <c r="Q762" s="1681"/>
      <c r="R762" s="1681"/>
      <c r="T762" s="1681"/>
      <c r="U762" s="1681"/>
      <c r="W762" s="1681">
        <f t="shared" si="75"/>
        <v>0</v>
      </c>
      <c r="X762" s="1681"/>
      <c r="Y762" s="1681">
        <f t="shared" si="76"/>
        <v>0</v>
      </c>
      <c r="Z762" s="1681"/>
      <c r="AB762" s="1682"/>
      <c r="AC762" s="1682"/>
      <c r="AE762" s="1683"/>
      <c r="AF762" s="1683"/>
      <c r="AG762" s="1683"/>
      <c r="AH762" s="1683"/>
      <c r="AI762" s="1683"/>
      <c r="AJ762" s="1683"/>
      <c r="AK762" s="1683"/>
      <c r="AL762" s="1683"/>
      <c r="AM762" s="1683"/>
      <c r="AN762" s="1683"/>
      <c r="AO762" s="1683"/>
      <c r="AP762" s="1683"/>
      <c r="AQ762" s="1683"/>
      <c r="AR762" s="1683"/>
      <c r="AS762" s="1683"/>
      <c r="AT762" s="1683"/>
      <c r="AU762" s="1683"/>
      <c r="AV762" s="1683"/>
      <c r="AW762" s="1683"/>
      <c r="AX762" s="1683"/>
      <c r="AY762" s="1683"/>
      <c r="AZ762" s="1683"/>
      <c r="BA762" s="1683"/>
      <c r="BB762" s="1683"/>
    </row>
    <row r="763" spans="1:54">
      <c r="A763" s="326">
        <f t="shared" si="73"/>
        <v>56614</v>
      </c>
      <c r="B763" s="1678"/>
      <c r="C763" s="1679">
        <f t="shared" si="74"/>
        <v>1</v>
      </c>
      <c r="D763" s="1679">
        <f>PRODUCT(C$5:C763)</f>
        <v>3.55771976932645</v>
      </c>
      <c r="J763" s="1680"/>
      <c r="K763" s="1680"/>
      <c r="L763" s="1680"/>
      <c r="N763" s="1681"/>
      <c r="O763" s="1681"/>
      <c r="P763" s="1681"/>
      <c r="Q763" s="1681"/>
      <c r="R763" s="1681"/>
      <c r="T763" s="1681"/>
      <c r="U763" s="1681"/>
      <c r="W763" s="1681">
        <f t="shared" si="75"/>
        <v>0</v>
      </c>
      <c r="X763" s="1681"/>
      <c r="Y763" s="1681">
        <f t="shared" si="76"/>
        <v>0</v>
      </c>
      <c r="Z763" s="1681"/>
      <c r="AB763" s="1682"/>
      <c r="AC763" s="1682"/>
      <c r="AE763" s="1683"/>
      <c r="AF763" s="1683"/>
      <c r="AG763" s="1683"/>
      <c r="AH763" s="1683"/>
      <c r="AI763" s="1683"/>
      <c r="AJ763" s="1683"/>
      <c r="AK763" s="1683"/>
      <c r="AL763" s="1683"/>
      <c r="AM763" s="1683"/>
      <c r="AN763" s="1683"/>
      <c r="AO763" s="1683"/>
      <c r="AP763" s="1683"/>
      <c r="AQ763" s="1683"/>
      <c r="AR763" s="1683"/>
      <c r="AS763" s="1683"/>
      <c r="AT763" s="1683"/>
      <c r="AU763" s="1683"/>
      <c r="AV763" s="1683"/>
      <c r="AW763" s="1683"/>
      <c r="AX763" s="1683"/>
      <c r="AY763" s="1683"/>
      <c r="AZ763" s="1683"/>
      <c r="BA763" s="1683"/>
      <c r="BB763" s="1683"/>
    </row>
    <row r="764" spans="1:54">
      <c r="A764" s="326">
        <f t="shared" si="73"/>
        <v>56645</v>
      </c>
      <c r="B764" s="1678"/>
      <c r="C764" s="1679">
        <f t="shared" si="74"/>
        <v>1</v>
      </c>
      <c r="D764" s="1679">
        <f>PRODUCT(C$5:C764)</f>
        <v>3.55771976932645</v>
      </c>
      <c r="J764" s="1680"/>
      <c r="K764" s="1680"/>
      <c r="L764" s="1680"/>
      <c r="N764" s="1681"/>
      <c r="O764" s="1681"/>
      <c r="P764" s="1681"/>
      <c r="Q764" s="1681"/>
      <c r="R764" s="1681"/>
      <c r="T764" s="1681"/>
      <c r="U764" s="1681"/>
      <c r="W764" s="1681">
        <f t="shared" si="75"/>
        <v>0</v>
      </c>
      <c r="X764" s="1681"/>
      <c r="Y764" s="1681">
        <f t="shared" si="76"/>
        <v>0</v>
      </c>
      <c r="Z764" s="1681"/>
      <c r="AB764" s="1682"/>
      <c r="AC764" s="1682"/>
      <c r="AE764" s="1683"/>
      <c r="AF764" s="1683"/>
      <c r="AG764" s="1683"/>
      <c r="AH764" s="1683"/>
      <c r="AI764" s="1683"/>
      <c r="AJ764" s="1683"/>
      <c r="AK764" s="1683"/>
      <c r="AL764" s="1683"/>
      <c r="AM764" s="1683"/>
      <c r="AN764" s="1683"/>
      <c r="AO764" s="1683"/>
      <c r="AP764" s="1683"/>
      <c r="AQ764" s="1683"/>
      <c r="AR764" s="1683"/>
      <c r="AS764" s="1683"/>
      <c r="AT764" s="1683"/>
      <c r="AU764" s="1683"/>
      <c r="AV764" s="1683"/>
      <c r="AW764" s="1683"/>
      <c r="AX764" s="1683"/>
      <c r="AY764" s="1683"/>
      <c r="AZ764" s="1683"/>
      <c r="BA764" s="1683"/>
      <c r="BB764" s="1683"/>
    </row>
    <row r="765" spans="1:54">
      <c r="A765" s="326">
        <f t="shared" si="73"/>
        <v>56673</v>
      </c>
      <c r="B765" s="1678"/>
      <c r="C765" s="1679">
        <f t="shared" si="74"/>
        <v>1</v>
      </c>
      <c r="D765" s="1679">
        <f>PRODUCT(C$5:C765)</f>
        <v>3.55771976932645</v>
      </c>
      <c r="J765" s="1680"/>
      <c r="K765" s="1680"/>
      <c r="L765" s="1680"/>
      <c r="N765" s="1681"/>
      <c r="O765" s="1681"/>
      <c r="P765" s="1681"/>
      <c r="Q765" s="1681"/>
      <c r="R765" s="1681"/>
      <c r="T765" s="1681"/>
      <c r="U765" s="1681"/>
      <c r="W765" s="1681">
        <f t="shared" si="75"/>
        <v>0</v>
      </c>
      <c r="X765" s="1681"/>
      <c r="Y765" s="1681">
        <f t="shared" si="76"/>
        <v>0</v>
      </c>
      <c r="Z765" s="1681"/>
      <c r="AB765" s="1682"/>
      <c r="AC765" s="1682"/>
      <c r="AE765" s="1683"/>
      <c r="AF765" s="1683"/>
      <c r="AG765" s="1683"/>
      <c r="AH765" s="1683"/>
      <c r="AI765" s="1683"/>
      <c r="AJ765" s="1683"/>
      <c r="AK765" s="1683"/>
      <c r="AL765" s="1683"/>
      <c r="AM765" s="1683"/>
      <c r="AN765" s="1683"/>
      <c r="AO765" s="1683"/>
      <c r="AP765" s="1683"/>
      <c r="AQ765" s="1683"/>
      <c r="AR765" s="1683"/>
      <c r="AS765" s="1683"/>
      <c r="AT765" s="1683"/>
      <c r="AU765" s="1683"/>
      <c r="AV765" s="1683"/>
      <c r="AW765" s="1683"/>
      <c r="AX765" s="1683"/>
      <c r="AY765" s="1683"/>
      <c r="AZ765" s="1683"/>
      <c r="BA765" s="1683"/>
      <c r="BB765" s="1683"/>
    </row>
    <row r="766" spans="1:54">
      <c r="A766" s="326">
        <f t="shared" si="73"/>
        <v>56704</v>
      </c>
      <c r="B766" s="1678"/>
      <c r="C766" s="1679">
        <f t="shared" si="74"/>
        <v>1</v>
      </c>
      <c r="D766" s="1679">
        <f>PRODUCT(C$5:C766)</f>
        <v>3.55771976932645</v>
      </c>
      <c r="J766" s="1680"/>
      <c r="K766" s="1680"/>
      <c r="L766" s="1680"/>
      <c r="N766" s="1681"/>
      <c r="O766" s="1681"/>
      <c r="P766" s="1681"/>
      <c r="Q766" s="1681"/>
      <c r="R766" s="1681"/>
      <c r="T766" s="1681"/>
      <c r="U766" s="1681"/>
      <c r="W766" s="1681">
        <f t="shared" si="75"/>
        <v>0</v>
      </c>
      <c r="X766" s="1681"/>
      <c r="Y766" s="1681">
        <f t="shared" si="76"/>
        <v>0</v>
      </c>
      <c r="Z766" s="1681"/>
      <c r="AB766" s="1682"/>
      <c r="AC766" s="1682"/>
      <c r="AE766" s="1683"/>
      <c r="AF766" s="1683"/>
      <c r="AG766" s="1683"/>
      <c r="AH766" s="1683"/>
      <c r="AI766" s="1683"/>
      <c r="AJ766" s="1683"/>
      <c r="AK766" s="1683"/>
      <c r="AL766" s="1683"/>
      <c r="AM766" s="1683"/>
      <c r="AN766" s="1683"/>
      <c r="AO766" s="1683"/>
      <c r="AP766" s="1683"/>
      <c r="AQ766" s="1683"/>
      <c r="AR766" s="1683"/>
      <c r="AS766" s="1683"/>
      <c r="AT766" s="1683"/>
      <c r="AU766" s="1683"/>
      <c r="AV766" s="1683"/>
      <c r="AW766" s="1683"/>
      <c r="AX766" s="1683"/>
      <c r="AY766" s="1683"/>
      <c r="AZ766" s="1683"/>
      <c r="BA766" s="1683"/>
      <c r="BB766" s="1683"/>
    </row>
    <row r="767" spans="1:54">
      <c r="A767" s="326">
        <f t="shared" si="73"/>
        <v>56734</v>
      </c>
      <c r="B767" s="1678"/>
      <c r="C767" s="1679">
        <f t="shared" si="74"/>
        <v>1</v>
      </c>
      <c r="D767" s="1679">
        <f>PRODUCT(C$5:C767)</f>
        <v>3.55771976932645</v>
      </c>
      <c r="J767" s="1680"/>
      <c r="K767" s="1680"/>
      <c r="L767" s="1680"/>
      <c r="N767" s="1681"/>
      <c r="O767" s="1681"/>
      <c r="P767" s="1681"/>
      <c r="Q767" s="1681"/>
      <c r="R767" s="1681"/>
      <c r="T767" s="1681"/>
      <c r="U767" s="1681"/>
      <c r="W767" s="1681">
        <f t="shared" si="75"/>
        <v>0</v>
      </c>
      <c r="X767" s="1681"/>
      <c r="Y767" s="1681">
        <f t="shared" si="76"/>
        <v>0</v>
      </c>
      <c r="Z767" s="1681"/>
      <c r="AB767" s="1682"/>
      <c r="AC767" s="1682"/>
      <c r="AE767" s="1683"/>
      <c r="AF767" s="1683"/>
      <c r="AG767" s="1683"/>
      <c r="AH767" s="1683"/>
      <c r="AI767" s="1683"/>
      <c r="AJ767" s="1683"/>
      <c r="AK767" s="1683"/>
      <c r="AL767" s="1683"/>
      <c r="AM767" s="1683"/>
      <c r="AN767" s="1683"/>
      <c r="AO767" s="1683"/>
      <c r="AP767" s="1683"/>
      <c r="AQ767" s="1683"/>
      <c r="AR767" s="1683"/>
      <c r="AS767" s="1683"/>
      <c r="AT767" s="1683"/>
      <c r="AU767" s="1683"/>
      <c r="AV767" s="1683"/>
      <c r="AW767" s="1683"/>
      <c r="AX767" s="1683"/>
      <c r="AY767" s="1683"/>
      <c r="AZ767" s="1683"/>
      <c r="BA767" s="1683"/>
      <c r="BB767" s="1683"/>
    </row>
    <row r="768" spans="1:54">
      <c r="A768" s="326">
        <f t="shared" si="73"/>
        <v>56765</v>
      </c>
      <c r="B768" s="1678"/>
      <c r="C768" s="1679">
        <f t="shared" si="74"/>
        <v>1</v>
      </c>
      <c r="D768" s="1679">
        <f>PRODUCT(C$5:C768)</f>
        <v>3.55771976932645</v>
      </c>
      <c r="J768" s="1680"/>
      <c r="K768" s="1680"/>
      <c r="L768" s="1680"/>
      <c r="N768" s="1681"/>
      <c r="O768" s="1681"/>
      <c r="P768" s="1681"/>
      <c r="Q768" s="1681"/>
      <c r="R768" s="1681"/>
      <c r="T768" s="1681"/>
      <c r="U768" s="1681"/>
      <c r="W768" s="1681">
        <f t="shared" si="75"/>
        <v>0</v>
      </c>
      <c r="X768" s="1681"/>
      <c r="Y768" s="1681">
        <f t="shared" si="76"/>
        <v>0</v>
      </c>
      <c r="Z768" s="1681"/>
      <c r="AB768" s="1682"/>
      <c r="AC768" s="1682"/>
      <c r="AE768" s="1683"/>
      <c r="AF768" s="1683"/>
      <c r="AG768" s="1683"/>
      <c r="AH768" s="1683"/>
      <c r="AI768" s="1683"/>
      <c r="AJ768" s="1683"/>
      <c r="AK768" s="1683"/>
      <c r="AL768" s="1683"/>
      <c r="AM768" s="1683"/>
      <c r="AN768" s="1683"/>
      <c r="AO768" s="1683"/>
      <c r="AP768" s="1683"/>
      <c r="AQ768" s="1683"/>
      <c r="AR768" s="1683"/>
      <c r="AS768" s="1683"/>
      <c r="AT768" s="1683"/>
      <c r="AU768" s="1683"/>
      <c r="AV768" s="1683"/>
      <c r="AW768" s="1683"/>
      <c r="AX768" s="1683"/>
      <c r="AY768" s="1683"/>
      <c r="AZ768" s="1683"/>
      <c r="BA768" s="1683"/>
      <c r="BB768" s="1683"/>
    </row>
    <row r="769" spans="1:54">
      <c r="A769" s="326">
        <f t="shared" si="73"/>
        <v>56795</v>
      </c>
      <c r="B769" s="1678"/>
      <c r="C769" s="1679">
        <f t="shared" si="74"/>
        <v>1</v>
      </c>
      <c r="D769" s="1679">
        <f>PRODUCT(C$5:C769)</f>
        <v>3.55771976932645</v>
      </c>
      <c r="J769" s="1680"/>
      <c r="K769" s="1680"/>
      <c r="L769" s="1680"/>
      <c r="N769" s="1681"/>
      <c r="O769" s="1681"/>
      <c r="P769" s="1681"/>
      <c r="Q769" s="1681"/>
      <c r="R769" s="1681"/>
      <c r="T769" s="1681"/>
      <c r="U769" s="1681"/>
      <c r="W769" s="1681">
        <f t="shared" si="75"/>
        <v>0</v>
      </c>
      <c r="X769" s="1681"/>
      <c r="Y769" s="1681">
        <f t="shared" si="76"/>
        <v>0</v>
      </c>
      <c r="Z769" s="1681"/>
      <c r="AB769" s="1682"/>
      <c r="AC769" s="1682"/>
      <c r="AE769" s="1683"/>
      <c r="AF769" s="1683"/>
      <c r="AG769" s="1683"/>
      <c r="AH769" s="1683"/>
      <c r="AI769" s="1683"/>
      <c r="AJ769" s="1683"/>
      <c r="AK769" s="1683"/>
      <c r="AL769" s="1683"/>
      <c r="AM769" s="1683"/>
      <c r="AN769" s="1683"/>
      <c r="AO769" s="1683"/>
      <c r="AP769" s="1683"/>
      <c r="AQ769" s="1683"/>
      <c r="AR769" s="1683"/>
      <c r="AS769" s="1683"/>
      <c r="AT769" s="1683"/>
      <c r="AU769" s="1683"/>
      <c r="AV769" s="1683"/>
      <c r="AW769" s="1683"/>
      <c r="AX769" s="1683"/>
      <c r="AY769" s="1683"/>
      <c r="AZ769" s="1683"/>
      <c r="BA769" s="1683"/>
      <c r="BB769" s="1683"/>
    </row>
    <row r="770" spans="1:54">
      <c r="A770" s="326">
        <f t="shared" si="73"/>
        <v>56826</v>
      </c>
      <c r="B770" s="1678"/>
      <c r="C770" s="1679">
        <f t="shared" si="74"/>
        <v>1</v>
      </c>
      <c r="D770" s="1679">
        <f>PRODUCT(C$5:C770)</f>
        <v>3.55771976932645</v>
      </c>
      <c r="J770" s="1680"/>
      <c r="K770" s="1680"/>
      <c r="L770" s="1680"/>
      <c r="N770" s="1681"/>
      <c r="O770" s="1681"/>
      <c r="P770" s="1681"/>
      <c r="Q770" s="1681"/>
      <c r="R770" s="1681"/>
      <c r="T770" s="1681"/>
      <c r="U770" s="1681"/>
      <c r="W770" s="1681">
        <f t="shared" si="75"/>
        <v>0</v>
      </c>
      <c r="X770" s="1681"/>
      <c r="Y770" s="1681">
        <f t="shared" si="76"/>
        <v>0</v>
      </c>
      <c r="Z770" s="1681"/>
      <c r="AB770" s="1682"/>
      <c r="AC770" s="1682"/>
      <c r="AE770" s="1683"/>
      <c r="AF770" s="1683"/>
      <c r="AG770" s="1683"/>
      <c r="AH770" s="1683"/>
      <c r="AI770" s="1683"/>
      <c r="AJ770" s="1683"/>
      <c r="AK770" s="1683"/>
      <c r="AL770" s="1683"/>
      <c r="AM770" s="1683"/>
      <c r="AN770" s="1683"/>
      <c r="AO770" s="1683"/>
      <c r="AP770" s="1683"/>
      <c r="AQ770" s="1683"/>
      <c r="AR770" s="1683"/>
      <c r="AS770" s="1683"/>
      <c r="AT770" s="1683"/>
      <c r="AU770" s="1683"/>
      <c r="AV770" s="1683"/>
      <c r="AW770" s="1683"/>
      <c r="AX770" s="1683"/>
      <c r="AY770" s="1683"/>
      <c r="AZ770" s="1683"/>
      <c r="BA770" s="1683"/>
      <c r="BB770" s="1683"/>
    </row>
    <row r="771" spans="1:54">
      <c r="A771" s="326">
        <f t="shared" si="73"/>
        <v>56857</v>
      </c>
      <c r="B771" s="1678"/>
      <c r="C771" s="1679">
        <f t="shared" si="74"/>
        <v>1</v>
      </c>
      <c r="D771" s="1679">
        <f>PRODUCT(C$5:C771)</f>
        <v>3.55771976932645</v>
      </c>
      <c r="J771" s="1680"/>
      <c r="K771" s="1680"/>
      <c r="L771" s="1680"/>
      <c r="N771" s="1681"/>
      <c r="O771" s="1681"/>
      <c r="P771" s="1681"/>
      <c r="Q771" s="1681"/>
      <c r="R771" s="1681"/>
      <c r="T771" s="1681"/>
      <c r="U771" s="1681"/>
      <c r="W771" s="1681">
        <f t="shared" si="75"/>
        <v>0</v>
      </c>
      <c r="X771" s="1681"/>
      <c r="Y771" s="1681">
        <f t="shared" si="76"/>
        <v>0</v>
      </c>
      <c r="Z771" s="1681"/>
      <c r="AB771" s="1682"/>
      <c r="AC771" s="1682"/>
      <c r="AE771" s="1683"/>
      <c r="AF771" s="1683"/>
      <c r="AG771" s="1683"/>
      <c r="AH771" s="1683"/>
      <c r="AI771" s="1683"/>
      <c r="AJ771" s="1683"/>
      <c r="AK771" s="1683"/>
      <c r="AL771" s="1683"/>
      <c r="AM771" s="1683"/>
      <c r="AN771" s="1683"/>
      <c r="AO771" s="1683"/>
      <c r="AP771" s="1683"/>
      <c r="AQ771" s="1683"/>
      <c r="AR771" s="1683"/>
      <c r="AS771" s="1683"/>
      <c r="AT771" s="1683"/>
      <c r="AU771" s="1683"/>
      <c r="AV771" s="1683"/>
      <c r="AW771" s="1683"/>
      <c r="AX771" s="1683"/>
      <c r="AY771" s="1683"/>
      <c r="AZ771" s="1683"/>
      <c r="BA771" s="1683"/>
      <c r="BB771" s="1683"/>
    </row>
    <row r="772" spans="1:54">
      <c r="A772" s="326">
        <f t="shared" si="73"/>
        <v>56887</v>
      </c>
      <c r="B772" s="1678"/>
      <c r="C772" s="1679">
        <f t="shared" si="74"/>
        <v>1</v>
      </c>
      <c r="D772" s="1679">
        <f>PRODUCT(C$5:C772)</f>
        <v>3.55771976932645</v>
      </c>
      <c r="J772" s="1680"/>
      <c r="K772" s="1680"/>
      <c r="L772" s="1680"/>
      <c r="N772" s="1681"/>
      <c r="O772" s="1681"/>
      <c r="P772" s="1681"/>
      <c r="Q772" s="1681"/>
      <c r="R772" s="1681"/>
      <c r="T772" s="1681"/>
      <c r="U772" s="1681"/>
      <c r="W772" s="1681">
        <f t="shared" si="75"/>
        <v>0</v>
      </c>
      <c r="X772" s="1681"/>
      <c r="Y772" s="1681">
        <f t="shared" si="76"/>
        <v>0</v>
      </c>
      <c r="Z772" s="1681"/>
      <c r="AB772" s="1682"/>
      <c r="AC772" s="1682"/>
      <c r="AE772" s="1683"/>
      <c r="AF772" s="1683"/>
      <c r="AG772" s="1683"/>
      <c r="AH772" s="1683"/>
      <c r="AI772" s="1683"/>
      <c r="AJ772" s="1683"/>
      <c r="AK772" s="1683"/>
      <c r="AL772" s="1683"/>
      <c r="AM772" s="1683"/>
      <c r="AN772" s="1683"/>
      <c r="AO772" s="1683"/>
      <c r="AP772" s="1683"/>
      <c r="AQ772" s="1683"/>
      <c r="AR772" s="1683"/>
      <c r="AS772" s="1683"/>
      <c r="AT772" s="1683"/>
      <c r="AU772" s="1683"/>
      <c r="AV772" s="1683"/>
      <c r="AW772" s="1683"/>
      <c r="AX772" s="1683"/>
      <c r="AY772" s="1683"/>
      <c r="AZ772" s="1683"/>
      <c r="BA772" s="1683"/>
      <c r="BB772" s="1683"/>
    </row>
    <row r="773" spans="1:54">
      <c r="A773" s="326">
        <f t="shared" si="73"/>
        <v>56918</v>
      </c>
      <c r="B773" s="1678"/>
      <c r="C773" s="1679">
        <f t="shared" si="74"/>
        <v>1</v>
      </c>
      <c r="D773" s="1679">
        <f>PRODUCT(C$5:C773)</f>
        <v>3.55771976932645</v>
      </c>
      <c r="J773" s="1680"/>
      <c r="K773" s="1680"/>
      <c r="L773" s="1680"/>
      <c r="N773" s="1681"/>
      <c r="O773" s="1681"/>
      <c r="P773" s="1681"/>
      <c r="Q773" s="1681"/>
      <c r="R773" s="1681"/>
      <c r="T773" s="1681"/>
      <c r="U773" s="1681"/>
      <c r="W773" s="1681">
        <f t="shared" si="75"/>
        <v>0</v>
      </c>
      <c r="X773" s="1681"/>
      <c r="Y773" s="1681">
        <f t="shared" si="76"/>
        <v>0</v>
      </c>
      <c r="Z773" s="1681"/>
      <c r="AB773" s="1682"/>
      <c r="AC773" s="1682"/>
      <c r="AE773" s="1683"/>
      <c r="AF773" s="1683"/>
      <c r="AG773" s="1683"/>
      <c r="AH773" s="1683"/>
      <c r="AI773" s="1683"/>
      <c r="AJ773" s="1683"/>
      <c r="AK773" s="1683"/>
      <c r="AL773" s="1683"/>
      <c r="AM773" s="1683"/>
      <c r="AN773" s="1683"/>
      <c r="AO773" s="1683"/>
      <c r="AP773" s="1683"/>
      <c r="AQ773" s="1683"/>
      <c r="AR773" s="1683"/>
      <c r="AS773" s="1683"/>
      <c r="AT773" s="1683"/>
      <c r="AU773" s="1683"/>
      <c r="AV773" s="1683"/>
      <c r="AW773" s="1683"/>
      <c r="AX773" s="1683"/>
      <c r="AY773" s="1683"/>
      <c r="AZ773" s="1683"/>
      <c r="BA773" s="1683"/>
      <c r="BB773" s="1683"/>
    </row>
    <row r="774" spans="1:54">
      <c r="A774" s="326">
        <f t="shared" si="73"/>
        <v>56948</v>
      </c>
      <c r="B774" s="1678"/>
      <c r="C774" s="1679">
        <f t="shared" si="74"/>
        <v>1</v>
      </c>
      <c r="D774" s="1679">
        <f>PRODUCT(C$5:C774)</f>
        <v>3.55771976932645</v>
      </c>
      <c r="J774" s="1680"/>
      <c r="K774" s="1680"/>
      <c r="L774" s="1680"/>
      <c r="N774" s="1681"/>
      <c r="O774" s="1681"/>
      <c r="P774" s="1681"/>
      <c r="Q774" s="1681"/>
      <c r="R774" s="1681"/>
      <c r="T774" s="1681"/>
      <c r="U774" s="1681"/>
      <c r="W774" s="1681">
        <f t="shared" si="75"/>
        <v>0</v>
      </c>
      <c r="X774" s="1681"/>
      <c r="Y774" s="1681">
        <f t="shared" si="76"/>
        <v>0</v>
      </c>
      <c r="Z774" s="1681"/>
      <c r="AB774" s="1682"/>
      <c r="AC774" s="1682"/>
      <c r="AE774" s="1683"/>
      <c r="AF774" s="1683"/>
      <c r="AG774" s="1683"/>
      <c r="AH774" s="1683"/>
      <c r="AI774" s="1683"/>
      <c r="AJ774" s="1683"/>
      <c r="AK774" s="1683"/>
      <c r="AL774" s="1683"/>
      <c r="AM774" s="1683"/>
      <c r="AN774" s="1683"/>
      <c r="AO774" s="1683"/>
      <c r="AP774" s="1683"/>
      <c r="AQ774" s="1683"/>
      <c r="AR774" s="1683"/>
      <c r="AS774" s="1683"/>
      <c r="AT774" s="1683"/>
      <c r="AU774" s="1683"/>
      <c r="AV774" s="1683"/>
      <c r="AW774" s="1683"/>
      <c r="AX774" s="1683"/>
      <c r="AY774" s="1683"/>
      <c r="AZ774" s="1683"/>
      <c r="BA774" s="1683"/>
      <c r="BB774" s="1683"/>
    </row>
    <row r="775" spans="1:54">
      <c r="A775" s="326">
        <f t="shared" si="73"/>
        <v>56979</v>
      </c>
      <c r="B775" s="1678"/>
      <c r="C775" s="1679">
        <f t="shared" si="74"/>
        <v>1</v>
      </c>
      <c r="D775" s="1679">
        <f>PRODUCT(C$5:C775)</f>
        <v>3.55771976932645</v>
      </c>
      <c r="J775" s="1680"/>
      <c r="K775" s="1680"/>
      <c r="L775" s="1680"/>
      <c r="N775" s="1681"/>
      <c r="O775" s="1681"/>
      <c r="P775" s="1681"/>
      <c r="Q775" s="1681"/>
      <c r="R775" s="1681"/>
      <c r="T775" s="1681"/>
      <c r="U775" s="1681"/>
      <c r="W775" s="1681">
        <f t="shared" si="75"/>
        <v>0</v>
      </c>
      <c r="X775" s="1681"/>
      <c r="Y775" s="1681">
        <f t="shared" si="76"/>
        <v>0</v>
      </c>
      <c r="Z775" s="1681"/>
      <c r="AB775" s="1682"/>
      <c r="AC775" s="1682"/>
      <c r="AE775" s="1683"/>
      <c r="AF775" s="1683"/>
      <c r="AG775" s="1683"/>
      <c r="AH775" s="1683"/>
      <c r="AI775" s="1683"/>
      <c r="AJ775" s="1683"/>
      <c r="AK775" s="1683"/>
      <c r="AL775" s="1683"/>
      <c r="AM775" s="1683"/>
      <c r="AN775" s="1683"/>
      <c r="AO775" s="1683"/>
      <c r="AP775" s="1683"/>
      <c r="AQ775" s="1683"/>
      <c r="AR775" s="1683"/>
      <c r="AS775" s="1683"/>
      <c r="AT775" s="1683"/>
      <c r="AU775" s="1683"/>
      <c r="AV775" s="1683"/>
      <c r="AW775" s="1683"/>
      <c r="AX775" s="1683"/>
      <c r="AY775" s="1683"/>
      <c r="AZ775" s="1683"/>
      <c r="BA775" s="1683"/>
      <c r="BB775" s="1683"/>
    </row>
    <row r="776" spans="1:54">
      <c r="A776" s="326">
        <f t="shared" si="73"/>
        <v>57010</v>
      </c>
      <c r="B776" s="1678"/>
      <c r="C776" s="1679">
        <f t="shared" si="74"/>
        <v>1</v>
      </c>
      <c r="D776" s="1679">
        <f>PRODUCT(C$5:C776)</f>
        <v>3.55771976932645</v>
      </c>
      <c r="J776" s="1680"/>
      <c r="K776" s="1680"/>
      <c r="L776" s="1680"/>
      <c r="N776" s="1681"/>
      <c r="O776" s="1681"/>
      <c r="P776" s="1681"/>
      <c r="Q776" s="1681"/>
      <c r="R776" s="1681"/>
      <c r="T776" s="1681"/>
      <c r="U776" s="1681"/>
      <c r="W776" s="1681">
        <f t="shared" si="75"/>
        <v>0</v>
      </c>
      <c r="X776" s="1681"/>
      <c r="Y776" s="1681">
        <f t="shared" si="76"/>
        <v>0</v>
      </c>
      <c r="Z776" s="1681"/>
      <c r="AB776" s="1682"/>
      <c r="AC776" s="1682"/>
      <c r="AE776" s="1683"/>
      <c r="AF776" s="1683"/>
      <c r="AG776" s="1683"/>
      <c r="AH776" s="1683"/>
      <c r="AI776" s="1683"/>
      <c r="AJ776" s="1683"/>
      <c r="AK776" s="1683"/>
      <c r="AL776" s="1683"/>
      <c r="AM776" s="1683"/>
      <c r="AN776" s="1683"/>
      <c r="AO776" s="1683"/>
      <c r="AP776" s="1683"/>
      <c r="AQ776" s="1683"/>
      <c r="AR776" s="1683"/>
      <c r="AS776" s="1683"/>
      <c r="AT776" s="1683"/>
      <c r="AU776" s="1683"/>
      <c r="AV776" s="1683"/>
      <c r="AW776" s="1683"/>
      <c r="AX776" s="1683"/>
      <c r="AY776" s="1683"/>
      <c r="AZ776" s="1683"/>
      <c r="BA776" s="1683"/>
      <c r="BB776" s="1683"/>
    </row>
    <row r="777" spans="1:54">
      <c r="A777" s="326">
        <f t="shared" si="73"/>
        <v>57039</v>
      </c>
      <c r="B777" s="1678"/>
      <c r="C777" s="1679">
        <f t="shared" si="74"/>
        <v>1</v>
      </c>
      <c r="D777" s="1679">
        <f>PRODUCT(C$5:C777)</f>
        <v>3.55771976932645</v>
      </c>
      <c r="J777" s="1680"/>
      <c r="K777" s="1680"/>
      <c r="L777" s="1680"/>
      <c r="N777" s="1681"/>
      <c r="O777" s="1681"/>
      <c r="P777" s="1681"/>
      <c r="Q777" s="1681"/>
      <c r="R777" s="1681"/>
      <c r="T777" s="1681"/>
      <c r="U777" s="1681"/>
      <c r="W777" s="1681">
        <f t="shared" si="75"/>
        <v>0</v>
      </c>
      <c r="X777" s="1681"/>
      <c r="Y777" s="1681">
        <f t="shared" si="76"/>
        <v>0</v>
      </c>
      <c r="Z777" s="1681"/>
      <c r="AB777" s="1682"/>
      <c r="AC777" s="1682"/>
      <c r="AE777" s="1683"/>
      <c r="AF777" s="1683"/>
      <c r="AG777" s="1683"/>
      <c r="AH777" s="1683"/>
      <c r="AI777" s="1683"/>
      <c r="AJ777" s="1683"/>
      <c r="AK777" s="1683"/>
      <c r="AL777" s="1683"/>
      <c r="AM777" s="1683"/>
      <c r="AN777" s="1683"/>
      <c r="AO777" s="1683"/>
      <c r="AP777" s="1683"/>
      <c r="AQ777" s="1683"/>
      <c r="AR777" s="1683"/>
      <c r="AS777" s="1683"/>
      <c r="AT777" s="1683"/>
      <c r="AU777" s="1683"/>
      <c r="AV777" s="1683"/>
      <c r="AW777" s="1683"/>
      <c r="AX777" s="1683"/>
      <c r="AY777" s="1683"/>
      <c r="AZ777" s="1683"/>
      <c r="BA777" s="1683"/>
      <c r="BB777" s="1683"/>
    </row>
    <row r="778" spans="1:54">
      <c r="A778" s="326">
        <f t="shared" si="73"/>
        <v>57070</v>
      </c>
      <c r="B778" s="1678"/>
      <c r="C778" s="1679">
        <f t="shared" si="74"/>
        <v>1</v>
      </c>
      <c r="D778" s="1679">
        <f>PRODUCT(C$5:C778)</f>
        <v>3.55771976932645</v>
      </c>
      <c r="J778" s="1680"/>
      <c r="K778" s="1680"/>
      <c r="L778" s="1680"/>
      <c r="N778" s="1681"/>
      <c r="O778" s="1681"/>
      <c r="P778" s="1681"/>
      <c r="Q778" s="1681"/>
      <c r="R778" s="1681"/>
      <c r="T778" s="1681"/>
      <c r="U778" s="1681"/>
      <c r="W778" s="1681">
        <f t="shared" si="75"/>
        <v>0</v>
      </c>
      <c r="X778" s="1681"/>
      <c r="Y778" s="1681">
        <f t="shared" si="76"/>
        <v>0</v>
      </c>
      <c r="Z778" s="1681"/>
      <c r="AB778" s="1682"/>
      <c r="AC778" s="1682"/>
      <c r="AE778" s="1683"/>
      <c r="AF778" s="1683"/>
      <c r="AG778" s="1683"/>
      <c r="AH778" s="1683"/>
      <c r="AI778" s="1683"/>
      <c r="AJ778" s="1683"/>
      <c r="AK778" s="1683"/>
      <c r="AL778" s="1683"/>
      <c r="AM778" s="1683"/>
      <c r="AN778" s="1683"/>
      <c r="AO778" s="1683"/>
      <c r="AP778" s="1683"/>
      <c r="AQ778" s="1683"/>
      <c r="AR778" s="1683"/>
      <c r="AS778" s="1683"/>
      <c r="AT778" s="1683"/>
      <c r="AU778" s="1683"/>
      <c r="AV778" s="1683"/>
      <c r="AW778" s="1683"/>
      <c r="AX778" s="1683"/>
      <c r="AY778" s="1683"/>
      <c r="AZ778" s="1683"/>
      <c r="BA778" s="1683"/>
      <c r="BB778" s="1683"/>
    </row>
    <row r="779" spans="1:54">
      <c r="A779" s="326">
        <f t="shared" si="73"/>
        <v>57100</v>
      </c>
      <c r="B779" s="1678"/>
      <c r="C779" s="1679">
        <f t="shared" si="74"/>
        <v>1</v>
      </c>
      <c r="D779" s="1679">
        <f>PRODUCT(C$5:C779)</f>
        <v>3.55771976932645</v>
      </c>
      <c r="J779" s="1680"/>
      <c r="K779" s="1680"/>
      <c r="L779" s="1680"/>
      <c r="N779" s="1681"/>
      <c r="O779" s="1681"/>
      <c r="P779" s="1681"/>
      <c r="Q779" s="1681"/>
      <c r="R779" s="1681"/>
      <c r="T779" s="1681"/>
      <c r="U779" s="1681"/>
      <c r="W779" s="1681">
        <f t="shared" si="75"/>
        <v>0</v>
      </c>
      <c r="X779" s="1681"/>
      <c r="Y779" s="1681">
        <f t="shared" si="76"/>
        <v>0</v>
      </c>
      <c r="Z779" s="1681"/>
      <c r="AB779" s="1682"/>
      <c r="AC779" s="1682"/>
      <c r="AE779" s="1683"/>
      <c r="AF779" s="1683"/>
      <c r="AG779" s="1683"/>
      <c r="AH779" s="1683"/>
      <c r="AI779" s="1683"/>
      <c r="AJ779" s="1683"/>
      <c r="AK779" s="1683"/>
      <c r="AL779" s="1683"/>
      <c r="AM779" s="1683"/>
      <c r="AN779" s="1683"/>
      <c r="AO779" s="1683"/>
      <c r="AP779" s="1683"/>
      <c r="AQ779" s="1683"/>
      <c r="AR779" s="1683"/>
      <c r="AS779" s="1683"/>
      <c r="AT779" s="1683"/>
      <c r="AU779" s="1683"/>
      <c r="AV779" s="1683"/>
      <c r="AW779" s="1683"/>
      <c r="AX779" s="1683"/>
      <c r="AY779" s="1683"/>
      <c r="AZ779" s="1683"/>
      <c r="BA779" s="1683"/>
      <c r="BB779" s="1683"/>
    </row>
    <row r="780" spans="1:54">
      <c r="A780" s="326">
        <f t="shared" si="73"/>
        <v>57131</v>
      </c>
      <c r="B780" s="1678"/>
      <c r="C780" s="1679">
        <f t="shared" si="74"/>
        <v>1</v>
      </c>
      <c r="D780" s="1679">
        <f>PRODUCT(C$5:C780)</f>
        <v>3.55771976932645</v>
      </c>
      <c r="J780" s="1680"/>
      <c r="K780" s="1680"/>
      <c r="L780" s="1680"/>
      <c r="N780" s="1681"/>
      <c r="O780" s="1681"/>
      <c r="P780" s="1681"/>
      <c r="Q780" s="1681"/>
      <c r="R780" s="1681"/>
      <c r="T780" s="1681"/>
      <c r="U780" s="1681"/>
      <c r="W780" s="1681">
        <f t="shared" si="75"/>
        <v>0</v>
      </c>
      <c r="X780" s="1681"/>
      <c r="Y780" s="1681">
        <f t="shared" si="76"/>
        <v>0</v>
      </c>
      <c r="Z780" s="1681"/>
      <c r="AB780" s="1682"/>
      <c r="AC780" s="1682"/>
      <c r="AE780" s="1683"/>
      <c r="AF780" s="1683"/>
      <c r="AG780" s="1683"/>
      <c r="AH780" s="1683"/>
      <c r="AI780" s="1683"/>
      <c r="AJ780" s="1683"/>
      <c r="AK780" s="1683"/>
      <c r="AL780" s="1683"/>
      <c r="AM780" s="1683"/>
      <c r="AN780" s="1683"/>
      <c r="AO780" s="1683"/>
      <c r="AP780" s="1683"/>
      <c r="AQ780" s="1683"/>
      <c r="AR780" s="1683"/>
      <c r="AS780" s="1683"/>
      <c r="AT780" s="1683"/>
      <c r="AU780" s="1683"/>
      <c r="AV780" s="1683"/>
      <c r="AW780" s="1683"/>
      <c r="AX780" s="1683"/>
      <c r="AY780" s="1683"/>
      <c r="AZ780" s="1683"/>
      <c r="BA780" s="1683"/>
      <c r="BB780" s="1683"/>
    </row>
    <row r="781" spans="1:54">
      <c r="A781" s="326">
        <f t="shared" si="73"/>
        <v>57161</v>
      </c>
      <c r="B781" s="1678"/>
      <c r="C781" s="1679">
        <f t="shared" si="74"/>
        <v>1</v>
      </c>
      <c r="D781" s="1679">
        <f>PRODUCT(C$5:C781)</f>
        <v>3.55771976932645</v>
      </c>
      <c r="J781" s="1680"/>
      <c r="K781" s="1680"/>
      <c r="L781" s="1680"/>
      <c r="N781" s="1681"/>
      <c r="O781" s="1681"/>
      <c r="P781" s="1681"/>
      <c r="Q781" s="1681"/>
      <c r="R781" s="1681"/>
      <c r="T781" s="1681"/>
      <c r="U781" s="1681"/>
      <c r="W781" s="1681">
        <f t="shared" si="75"/>
        <v>0</v>
      </c>
      <c r="X781" s="1681"/>
      <c r="Y781" s="1681">
        <f t="shared" si="76"/>
        <v>0</v>
      </c>
      <c r="Z781" s="1681"/>
      <c r="AB781" s="1682"/>
      <c r="AC781" s="1682"/>
      <c r="AE781" s="1683"/>
      <c r="AF781" s="1683"/>
      <c r="AG781" s="1683"/>
      <c r="AH781" s="1683"/>
      <c r="AI781" s="1683"/>
      <c r="AJ781" s="1683"/>
      <c r="AK781" s="1683"/>
      <c r="AL781" s="1683"/>
      <c r="AM781" s="1683"/>
      <c r="AN781" s="1683"/>
      <c r="AO781" s="1683"/>
      <c r="AP781" s="1683"/>
      <c r="AQ781" s="1683"/>
      <c r="AR781" s="1683"/>
      <c r="AS781" s="1683"/>
      <c r="AT781" s="1683"/>
      <c r="AU781" s="1683"/>
      <c r="AV781" s="1683"/>
      <c r="AW781" s="1683"/>
      <c r="AX781" s="1683"/>
      <c r="AY781" s="1683"/>
      <c r="AZ781" s="1683"/>
      <c r="BA781" s="1683"/>
      <c r="BB781" s="1683"/>
    </row>
    <row r="782" spans="1:54">
      <c r="A782" s="326">
        <f t="shared" si="73"/>
        <v>57192</v>
      </c>
      <c r="B782" s="1678"/>
      <c r="C782" s="1679">
        <f t="shared" si="74"/>
        <v>1</v>
      </c>
      <c r="D782" s="1679">
        <f>PRODUCT(C$5:C782)</f>
        <v>3.55771976932645</v>
      </c>
      <c r="J782" s="1680"/>
      <c r="K782" s="1680"/>
      <c r="L782" s="1680"/>
      <c r="N782" s="1681"/>
      <c r="O782" s="1681"/>
      <c r="P782" s="1681"/>
      <c r="Q782" s="1681"/>
      <c r="R782" s="1681"/>
      <c r="T782" s="1681"/>
      <c r="U782" s="1681"/>
      <c r="W782" s="1681">
        <f t="shared" si="75"/>
        <v>0</v>
      </c>
      <c r="X782" s="1681"/>
      <c r="Y782" s="1681">
        <f t="shared" si="76"/>
        <v>0</v>
      </c>
      <c r="Z782" s="1681"/>
      <c r="AB782" s="1682"/>
      <c r="AC782" s="1682"/>
      <c r="AE782" s="1683"/>
      <c r="AF782" s="1683"/>
      <c r="AG782" s="1683"/>
      <c r="AH782" s="1683"/>
      <c r="AI782" s="1683"/>
      <c r="AJ782" s="1683"/>
      <c r="AK782" s="1683"/>
      <c r="AL782" s="1683"/>
      <c r="AM782" s="1683"/>
      <c r="AN782" s="1683"/>
      <c r="AO782" s="1683"/>
      <c r="AP782" s="1683"/>
      <c r="AQ782" s="1683"/>
      <c r="AR782" s="1683"/>
      <c r="AS782" s="1683"/>
      <c r="AT782" s="1683"/>
      <c r="AU782" s="1683"/>
      <c r="AV782" s="1683"/>
      <c r="AW782" s="1683"/>
      <c r="AX782" s="1683"/>
      <c r="AY782" s="1683"/>
      <c r="AZ782" s="1683"/>
      <c r="BA782" s="1683"/>
      <c r="BB782" s="1683"/>
    </row>
    <row r="783" spans="1:54">
      <c r="A783" s="326">
        <f t="shared" si="73"/>
        <v>57223</v>
      </c>
      <c r="B783" s="1678"/>
      <c r="C783" s="1679">
        <f t="shared" si="74"/>
        <v>1</v>
      </c>
      <c r="D783" s="1679">
        <f>PRODUCT(C$5:C783)</f>
        <v>3.55771976932645</v>
      </c>
      <c r="J783" s="1680"/>
      <c r="K783" s="1680"/>
      <c r="L783" s="1680"/>
      <c r="N783" s="1681"/>
      <c r="O783" s="1681"/>
      <c r="P783" s="1681"/>
      <c r="Q783" s="1681"/>
      <c r="R783" s="1681"/>
      <c r="T783" s="1681"/>
      <c r="U783" s="1681"/>
      <c r="W783" s="1681">
        <f t="shared" si="75"/>
        <v>0</v>
      </c>
      <c r="X783" s="1681"/>
      <c r="Y783" s="1681">
        <f t="shared" si="76"/>
        <v>0</v>
      </c>
      <c r="Z783" s="1681"/>
      <c r="AB783" s="1682"/>
      <c r="AC783" s="1682"/>
      <c r="AE783" s="1683"/>
      <c r="AF783" s="1683"/>
      <c r="AG783" s="1683"/>
      <c r="AH783" s="1683"/>
      <c r="AI783" s="1683"/>
      <c r="AJ783" s="1683"/>
      <c r="AK783" s="1683"/>
      <c r="AL783" s="1683"/>
      <c r="AM783" s="1683"/>
      <c r="AN783" s="1683"/>
      <c r="AO783" s="1683"/>
      <c r="AP783" s="1683"/>
      <c r="AQ783" s="1683"/>
      <c r="AR783" s="1683"/>
      <c r="AS783" s="1683"/>
      <c r="AT783" s="1683"/>
      <c r="AU783" s="1683"/>
      <c r="AV783" s="1683"/>
      <c r="AW783" s="1683"/>
      <c r="AX783" s="1683"/>
      <c r="AY783" s="1683"/>
      <c r="AZ783" s="1683"/>
      <c r="BA783" s="1683"/>
      <c r="BB783" s="1683"/>
    </row>
    <row r="784" spans="1:54">
      <c r="A784" s="326">
        <f t="shared" si="73"/>
        <v>57253</v>
      </c>
      <c r="B784" s="1678"/>
      <c r="C784" s="1679">
        <f t="shared" si="74"/>
        <v>1</v>
      </c>
      <c r="D784" s="1679">
        <f>PRODUCT(C$5:C784)</f>
        <v>3.55771976932645</v>
      </c>
      <c r="J784" s="1680"/>
      <c r="K784" s="1680"/>
      <c r="L784" s="1680"/>
      <c r="N784" s="1681"/>
      <c r="O784" s="1681"/>
      <c r="P784" s="1681"/>
      <c r="Q784" s="1681"/>
      <c r="R784" s="1681"/>
      <c r="T784" s="1681"/>
      <c r="U784" s="1681"/>
      <c r="W784" s="1681">
        <f t="shared" si="75"/>
        <v>0</v>
      </c>
      <c r="X784" s="1681"/>
      <c r="Y784" s="1681">
        <f t="shared" si="76"/>
        <v>0</v>
      </c>
      <c r="Z784" s="1681"/>
      <c r="AB784" s="1682"/>
      <c r="AC784" s="1682"/>
      <c r="AE784" s="1683"/>
      <c r="AF784" s="1683"/>
      <c r="AG784" s="1683"/>
      <c r="AH784" s="1683"/>
      <c r="AI784" s="1683"/>
      <c r="AJ784" s="1683"/>
      <c r="AK784" s="1683"/>
      <c r="AL784" s="1683"/>
      <c r="AM784" s="1683"/>
      <c r="AN784" s="1683"/>
      <c r="AO784" s="1683"/>
      <c r="AP784" s="1683"/>
      <c r="AQ784" s="1683"/>
      <c r="AR784" s="1683"/>
      <c r="AS784" s="1683"/>
      <c r="AT784" s="1683"/>
      <c r="AU784" s="1683"/>
      <c r="AV784" s="1683"/>
      <c r="AW784" s="1683"/>
      <c r="AX784" s="1683"/>
      <c r="AY784" s="1683"/>
      <c r="AZ784" s="1683"/>
      <c r="BA784" s="1683"/>
      <c r="BB784" s="1683"/>
    </row>
    <row r="785" spans="1:54">
      <c r="A785" s="326">
        <f t="shared" si="73"/>
        <v>57284</v>
      </c>
      <c r="B785" s="1678"/>
      <c r="C785" s="1679">
        <f t="shared" si="74"/>
        <v>1</v>
      </c>
      <c r="D785" s="1679">
        <f>PRODUCT(C$5:C785)</f>
        <v>3.55771976932645</v>
      </c>
      <c r="J785" s="1680"/>
      <c r="K785" s="1680"/>
      <c r="L785" s="1680"/>
      <c r="N785" s="1681"/>
      <c r="O785" s="1681"/>
      <c r="P785" s="1681"/>
      <c r="Q785" s="1681"/>
      <c r="R785" s="1681"/>
      <c r="T785" s="1681"/>
      <c r="U785" s="1681"/>
      <c r="W785" s="1681">
        <f t="shared" si="75"/>
        <v>0</v>
      </c>
      <c r="X785" s="1681"/>
      <c r="Y785" s="1681">
        <f t="shared" si="76"/>
        <v>0</v>
      </c>
      <c r="Z785" s="1681"/>
      <c r="AB785" s="1682"/>
      <c r="AC785" s="1682"/>
      <c r="AE785" s="1683"/>
      <c r="AF785" s="1683"/>
      <c r="AG785" s="1683"/>
      <c r="AH785" s="1683"/>
      <c r="AI785" s="1683"/>
      <c r="AJ785" s="1683"/>
      <c r="AK785" s="1683"/>
      <c r="AL785" s="1683"/>
      <c r="AM785" s="1683"/>
      <c r="AN785" s="1683"/>
      <c r="AO785" s="1683"/>
      <c r="AP785" s="1683"/>
      <c r="AQ785" s="1683"/>
      <c r="AR785" s="1683"/>
      <c r="AS785" s="1683"/>
      <c r="AT785" s="1683"/>
      <c r="AU785" s="1683"/>
      <c r="AV785" s="1683"/>
      <c r="AW785" s="1683"/>
      <c r="AX785" s="1683"/>
      <c r="AY785" s="1683"/>
      <c r="AZ785" s="1683"/>
      <c r="BA785" s="1683"/>
      <c r="BB785" s="1683"/>
    </row>
    <row r="786" spans="1:54">
      <c r="A786" s="326">
        <f t="shared" si="73"/>
        <v>57314</v>
      </c>
      <c r="B786" s="1678"/>
      <c r="C786" s="1679">
        <f t="shared" si="74"/>
        <v>1</v>
      </c>
      <c r="D786" s="1679">
        <f>PRODUCT(C$5:C786)</f>
        <v>3.55771976932645</v>
      </c>
      <c r="J786" s="1680"/>
      <c r="K786" s="1680"/>
      <c r="L786" s="1680"/>
      <c r="N786" s="1681"/>
      <c r="O786" s="1681"/>
      <c r="P786" s="1681"/>
      <c r="Q786" s="1681"/>
      <c r="R786" s="1681"/>
      <c r="T786" s="1681"/>
      <c r="U786" s="1681"/>
      <c r="W786" s="1681">
        <f t="shared" si="75"/>
        <v>0</v>
      </c>
      <c r="X786" s="1681"/>
      <c r="Y786" s="1681">
        <f t="shared" si="76"/>
        <v>0</v>
      </c>
      <c r="Z786" s="1681"/>
      <c r="AB786" s="1682"/>
      <c r="AC786" s="1682"/>
      <c r="AE786" s="1683"/>
      <c r="AF786" s="1683"/>
      <c r="AG786" s="1683"/>
      <c r="AH786" s="1683"/>
      <c r="AI786" s="1683"/>
      <c r="AJ786" s="1683"/>
      <c r="AK786" s="1683"/>
      <c r="AL786" s="1683"/>
      <c r="AM786" s="1683"/>
      <c r="AN786" s="1683"/>
      <c r="AO786" s="1683"/>
      <c r="AP786" s="1683"/>
      <c r="AQ786" s="1683"/>
      <c r="AR786" s="1683"/>
      <c r="AS786" s="1683"/>
      <c r="AT786" s="1683"/>
      <c r="AU786" s="1683"/>
      <c r="AV786" s="1683"/>
      <c r="AW786" s="1683"/>
      <c r="AX786" s="1683"/>
      <c r="AY786" s="1683"/>
      <c r="AZ786" s="1683"/>
      <c r="BA786" s="1683"/>
      <c r="BB786" s="1683"/>
    </row>
    <row r="787" spans="1:54">
      <c r="A787" s="326">
        <f t="shared" si="73"/>
        <v>57345</v>
      </c>
      <c r="B787" s="1678"/>
      <c r="C787" s="1679">
        <f t="shared" si="74"/>
        <v>1</v>
      </c>
      <c r="D787" s="1679">
        <f>PRODUCT(C$5:C787)</f>
        <v>3.55771976932645</v>
      </c>
      <c r="J787" s="1680"/>
      <c r="K787" s="1680"/>
      <c r="L787" s="1680"/>
      <c r="N787" s="1681"/>
      <c r="O787" s="1681"/>
      <c r="P787" s="1681"/>
      <c r="Q787" s="1681"/>
      <c r="R787" s="1681"/>
      <c r="T787" s="1681"/>
      <c r="U787" s="1681"/>
      <c r="W787" s="1681">
        <f t="shared" si="75"/>
        <v>0</v>
      </c>
      <c r="X787" s="1681"/>
      <c r="Y787" s="1681">
        <f t="shared" si="76"/>
        <v>0</v>
      </c>
      <c r="Z787" s="1681"/>
      <c r="AB787" s="1682"/>
      <c r="AC787" s="1682"/>
      <c r="AE787" s="1683"/>
      <c r="AF787" s="1683"/>
      <c r="AG787" s="1683"/>
      <c r="AH787" s="1683"/>
      <c r="AI787" s="1683"/>
      <c r="AJ787" s="1683"/>
      <c r="AK787" s="1683"/>
      <c r="AL787" s="1683"/>
      <c r="AM787" s="1683"/>
      <c r="AN787" s="1683"/>
      <c r="AO787" s="1683"/>
      <c r="AP787" s="1683"/>
      <c r="AQ787" s="1683"/>
      <c r="AR787" s="1683"/>
      <c r="AS787" s="1683"/>
      <c r="AT787" s="1683"/>
      <c r="AU787" s="1683"/>
      <c r="AV787" s="1683"/>
      <c r="AW787" s="1683"/>
      <c r="AX787" s="1683"/>
      <c r="AY787" s="1683"/>
      <c r="AZ787" s="1683"/>
      <c r="BA787" s="1683"/>
      <c r="BB787" s="1683"/>
    </row>
    <row r="788" spans="1:54">
      <c r="A788" s="326">
        <f t="shared" si="73"/>
        <v>57376</v>
      </c>
      <c r="B788" s="1678"/>
      <c r="C788" s="1679">
        <f t="shared" si="74"/>
        <v>1</v>
      </c>
      <c r="D788" s="1679">
        <f>PRODUCT(C$5:C788)</f>
        <v>3.55771976932645</v>
      </c>
      <c r="J788" s="1680"/>
      <c r="K788" s="1680"/>
      <c r="L788" s="1680"/>
      <c r="N788" s="1681"/>
      <c r="O788" s="1681"/>
      <c r="P788" s="1681"/>
      <c r="Q788" s="1681"/>
      <c r="R788" s="1681"/>
      <c r="T788" s="1681"/>
      <c r="U788" s="1681"/>
      <c r="W788" s="1681">
        <f t="shared" si="75"/>
        <v>0</v>
      </c>
      <c r="X788" s="1681"/>
      <c r="Y788" s="1681">
        <f t="shared" si="76"/>
        <v>0</v>
      </c>
      <c r="Z788" s="1681"/>
      <c r="AB788" s="1682"/>
      <c r="AC788" s="1682"/>
      <c r="AE788" s="1683"/>
      <c r="AF788" s="1683"/>
      <c r="AG788" s="1683"/>
      <c r="AH788" s="1683"/>
      <c r="AI788" s="1683"/>
      <c r="AJ788" s="1683"/>
      <c r="AK788" s="1683"/>
      <c r="AL788" s="1683"/>
      <c r="AM788" s="1683"/>
      <c r="AN788" s="1683"/>
      <c r="AO788" s="1683"/>
      <c r="AP788" s="1683"/>
      <c r="AQ788" s="1683"/>
      <c r="AR788" s="1683"/>
      <c r="AS788" s="1683"/>
      <c r="AT788" s="1683"/>
      <c r="AU788" s="1683"/>
      <c r="AV788" s="1683"/>
      <c r="AW788" s="1683"/>
      <c r="AX788" s="1683"/>
      <c r="AY788" s="1683"/>
      <c r="AZ788" s="1683"/>
      <c r="BA788" s="1683"/>
      <c r="BB788" s="1683"/>
    </row>
    <row r="789" spans="1:54">
      <c r="A789" s="326">
        <f t="shared" si="73"/>
        <v>57404</v>
      </c>
      <c r="B789" s="1678"/>
      <c r="C789" s="1679">
        <f t="shared" si="74"/>
        <v>1</v>
      </c>
      <c r="D789" s="1679">
        <f>PRODUCT(C$5:C789)</f>
        <v>3.55771976932645</v>
      </c>
      <c r="J789" s="1680"/>
      <c r="K789" s="1680"/>
      <c r="L789" s="1680"/>
      <c r="N789" s="1681"/>
      <c r="O789" s="1681"/>
      <c r="P789" s="1681"/>
      <c r="Q789" s="1681"/>
      <c r="R789" s="1681"/>
      <c r="T789" s="1681"/>
      <c r="U789" s="1681"/>
      <c r="W789" s="1681">
        <f t="shared" si="75"/>
        <v>0</v>
      </c>
      <c r="X789" s="1681"/>
      <c r="Y789" s="1681">
        <f t="shared" si="76"/>
        <v>0</v>
      </c>
      <c r="Z789" s="1681"/>
      <c r="AB789" s="1682"/>
      <c r="AC789" s="1682"/>
      <c r="AE789" s="1683"/>
      <c r="AF789" s="1683"/>
      <c r="AG789" s="1683"/>
      <c r="AH789" s="1683"/>
      <c r="AI789" s="1683"/>
      <c r="AJ789" s="1683"/>
      <c r="AK789" s="1683"/>
      <c r="AL789" s="1683"/>
      <c r="AM789" s="1683"/>
      <c r="AN789" s="1683"/>
      <c r="AO789" s="1683"/>
      <c r="AP789" s="1683"/>
      <c r="AQ789" s="1683"/>
      <c r="AR789" s="1683"/>
      <c r="AS789" s="1683"/>
      <c r="AT789" s="1683"/>
      <c r="AU789" s="1683"/>
      <c r="AV789" s="1683"/>
      <c r="AW789" s="1683"/>
      <c r="AX789" s="1683"/>
      <c r="AY789" s="1683"/>
      <c r="AZ789" s="1683"/>
      <c r="BA789" s="1683"/>
      <c r="BB789" s="1683"/>
    </row>
    <row r="790" spans="1:54">
      <c r="A790" s="326">
        <f t="shared" ref="A790:A835" si="77">DATE(IF(MONTH(A789)=12,YEAR(A789)+1,YEAR(A789)),MONTH(A789+1)+1,1)-1</f>
        <v>57435</v>
      </c>
      <c r="B790" s="1678"/>
      <c r="C790" s="1679">
        <f t="shared" si="74"/>
        <v>1</v>
      </c>
      <c r="D790" s="1679">
        <f>PRODUCT(C$5:C790)</f>
        <v>3.55771976932645</v>
      </c>
      <c r="J790" s="1680"/>
      <c r="K790" s="1680"/>
      <c r="L790" s="1680"/>
      <c r="N790" s="1681"/>
      <c r="O790" s="1681"/>
      <c r="P790" s="1681"/>
      <c r="Q790" s="1681"/>
      <c r="R790" s="1681"/>
      <c r="T790" s="1681"/>
      <c r="U790" s="1681"/>
      <c r="W790" s="1681">
        <f t="shared" si="75"/>
        <v>0</v>
      </c>
      <c r="X790" s="1681"/>
      <c r="Y790" s="1681">
        <f t="shared" si="76"/>
        <v>0</v>
      </c>
      <c r="Z790" s="1681"/>
      <c r="AB790" s="1682"/>
      <c r="AC790" s="1682"/>
      <c r="AE790" s="1683"/>
      <c r="AF790" s="1683"/>
      <c r="AG790" s="1683"/>
      <c r="AH790" s="1683"/>
      <c r="AI790" s="1683"/>
      <c r="AJ790" s="1683"/>
      <c r="AK790" s="1683"/>
      <c r="AL790" s="1683"/>
      <c r="AM790" s="1683"/>
      <c r="AN790" s="1683"/>
      <c r="AO790" s="1683"/>
      <c r="AP790" s="1683"/>
      <c r="AQ790" s="1683"/>
      <c r="AR790" s="1683"/>
      <c r="AS790" s="1683"/>
      <c r="AT790" s="1683"/>
      <c r="AU790" s="1683"/>
      <c r="AV790" s="1683"/>
      <c r="AW790" s="1683"/>
      <c r="AX790" s="1683"/>
      <c r="AY790" s="1683"/>
      <c r="AZ790" s="1683"/>
      <c r="BA790" s="1683"/>
      <c r="BB790" s="1683"/>
    </row>
    <row r="791" spans="1:54">
      <c r="A791" s="326">
        <f t="shared" si="77"/>
        <v>57465</v>
      </c>
      <c r="B791" s="1678"/>
      <c r="C791" s="1679">
        <f t="shared" si="74"/>
        <v>1</v>
      </c>
      <c r="D791" s="1679">
        <f>PRODUCT(C$5:C791)</f>
        <v>3.55771976932645</v>
      </c>
      <c r="J791" s="1680"/>
      <c r="K791" s="1680"/>
      <c r="L791" s="1680"/>
      <c r="N791" s="1681"/>
      <c r="O791" s="1681"/>
      <c r="P791" s="1681"/>
      <c r="Q791" s="1681"/>
      <c r="R791" s="1681"/>
      <c r="T791" s="1681"/>
      <c r="U791" s="1681"/>
      <c r="W791" s="1681">
        <f t="shared" si="75"/>
        <v>0</v>
      </c>
      <c r="X791" s="1681"/>
      <c r="Y791" s="1681">
        <f t="shared" si="76"/>
        <v>0</v>
      </c>
      <c r="Z791" s="1681"/>
      <c r="AB791" s="1682"/>
      <c r="AC791" s="1682"/>
      <c r="AE791" s="1683"/>
      <c r="AF791" s="1683"/>
      <c r="AG791" s="1683"/>
      <c r="AH791" s="1683"/>
      <c r="AI791" s="1683"/>
      <c r="AJ791" s="1683"/>
      <c r="AK791" s="1683"/>
      <c r="AL791" s="1683"/>
      <c r="AM791" s="1683"/>
      <c r="AN791" s="1683"/>
      <c r="AO791" s="1683"/>
      <c r="AP791" s="1683"/>
      <c r="AQ791" s="1683"/>
      <c r="AR791" s="1683"/>
      <c r="AS791" s="1683"/>
      <c r="AT791" s="1683"/>
      <c r="AU791" s="1683"/>
      <c r="AV791" s="1683"/>
      <c r="AW791" s="1683"/>
      <c r="AX791" s="1683"/>
      <c r="AY791" s="1683"/>
      <c r="AZ791" s="1683"/>
      <c r="BA791" s="1683"/>
      <c r="BB791" s="1683"/>
    </row>
    <row r="792" spans="1:54">
      <c r="A792" s="326">
        <f t="shared" si="77"/>
        <v>57496</v>
      </c>
      <c r="B792" s="1678"/>
      <c r="C792" s="1679">
        <f t="shared" si="74"/>
        <v>1</v>
      </c>
      <c r="D792" s="1679">
        <f>PRODUCT(C$5:C792)</f>
        <v>3.55771976932645</v>
      </c>
      <c r="J792" s="1680"/>
      <c r="K792" s="1680"/>
      <c r="L792" s="1680"/>
      <c r="N792" s="1681"/>
      <c r="O792" s="1681"/>
      <c r="P792" s="1681"/>
      <c r="Q792" s="1681"/>
      <c r="R792" s="1681"/>
      <c r="T792" s="1681"/>
      <c r="U792" s="1681"/>
      <c r="W792" s="1681">
        <f t="shared" si="75"/>
        <v>0</v>
      </c>
      <c r="X792" s="1681"/>
      <c r="Y792" s="1681">
        <f t="shared" si="76"/>
        <v>0</v>
      </c>
      <c r="Z792" s="1681"/>
      <c r="AB792" s="1682"/>
      <c r="AC792" s="1682"/>
      <c r="AE792" s="1683"/>
      <c r="AF792" s="1683"/>
      <c r="AG792" s="1683"/>
      <c r="AH792" s="1683"/>
      <c r="AI792" s="1683"/>
      <c r="AJ792" s="1683"/>
      <c r="AK792" s="1683"/>
      <c r="AL792" s="1683"/>
      <c r="AM792" s="1683"/>
      <c r="AN792" s="1683"/>
      <c r="AO792" s="1683"/>
      <c r="AP792" s="1683"/>
      <c r="AQ792" s="1683"/>
      <c r="AR792" s="1683"/>
      <c r="AS792" s="1683"/>
      <c r="AT792" s="1683"/>
      <c r="AU792" s="1683"/>
      <c r="AV792" s="1683"/>
      <c r="AW792" s="1683"/>
      <c r="AX792" s="1683"/>
      <c r="AY792" s="1683"/>
      <c r="AZ792" s="1683"/>
      <c r="BA792" s="1683"/>
      <c r="BB792" s="1683"/>
    </row>
    <row r="793" spans="1:54">
      <c r="A793" s="326">
        <f t="shared" si="77"/>
        <v>57526</v>
      </c>
      <c r="B793" s="1678"/>
      <c r="C793" s="1679">
        <f t="shared" si="74"/>
        <v>1</v>
      </c>
      <c r="D793" s="1679">
        <f>PRODUCT(C$5:C793)</f>
        <v>3.55771976932645</v>
      </c>
      <c r="J793" s="1680"/>
      <c r="K793" s="1680"/>
      <c r="L793" s="1680"/>
      <c r="N793" s="1681"/>
      <c r="O793" s="1681"/>
      <c r="P793" s="1681"/>
      <c r="Q793" s="1681"/>
      <c r="R793" s="1681"/>
      <c r="T793" s="1681"/>
      <c r="U793" s="1681"/>
      <c r="W793" s="1681">
        <f t="shared" si="75"/>
        <v>0</v>
      </c>
      <c r="X793" s="1681"/>
      <c r="Y793" s="1681">
        <f t="shared" si="76"/>
        <v>0</v>
      </c>
      <c r="Z793" s="1681"/>
      <c r="AB793" s="1682"/>
      <c r="AC793" s="1682"/>
      <c r="AE793" s="1683"/>
      <c r="AF793" s="1683"/>
      <c r="AG793" s="1683"/>
      <c r="AH793" s="1683"/>
      <c r="AI793" s="1683"/>
      <c r="AJ793" s="1683"/>
      <c r="AK793" s="1683"/>
      <c r="AL793" s="1683"/>
      <c r="AM793" s="1683"/>
      <c r="AN793" s="1683"/>
      <c r="AO793" s="1683"/>
      <c r="AP793" s="1683"/>
      <c r="AQ793" s="1683"/>
      <c r="AR793" s="1683"/>
      <c r="AS793" s="1683"/>
      <c r="AT793" s="1683"/>
      <c r="AU793" s="1683"/>
      <c r="AV793" s="1683"/>
      <c r="AW793" s="1683"/>
      <c r="AX793" s="1683"/>
      <c r="AY793" s="1683"/>
      <c r="AZ793" s="1683"/>
      <c r="BA793" s="1683"/>
      <c r="BB793" s="1683"/>
    </row>
    <row r="794" spans="1:54">
      <c r="A794" s="326">
        <f t="shared" si="77"/>
        <v>57557</v>
      </c>
      <c r="B794" s="1678"/>
      <c r="C794" s="1679">
        <f t="shared" si="74"/>
        <v>1</v>
      </c>
      <c r="D794" s="1679">
        <f>PRODUCT(C$5:C794)</f>
        <v>3.55771976932645</v>
      </c>
      <c r="J794" s="1680"/>
      <c r="K794" s="1680"/>
      <c r="L794" s="1680"/>
      <c r="N794" s="1681"/>
      <c r="O794" s="1681"/>
      <c r="P794" s="1681"/>
      <c r="Q794" s="1681"/>
      <c r="R794" s="1681"/>
      <c r="T794" s="1681"/>
      <c r="U794" s="1681"/>
      <c r="W794" s="1681">
        <f t="shared" si="75"/>
        <v>0</v>
      </c>
      <c r="X794" s="1681"/>
      <c r="Y794" s="1681">
        <f t="shared" si="76"/>
        <v>0</v>
      </c>
      <c r="Z794" s="1681"/>
      <c r="AB794" s="1682"/>
      <c r="AC794" s="1682"/>
      <c r="AE794" s="1683"/>
      <c r="AF794" s="1683"/>
      <c r="AG794" s="1683"/>
      <c r="AH794" s="1683"/>
      <c r="AI794" s="1683"/>
      <c r="AJ794" s="1683"/>
      <c r="AK794" s="1683"/>
      <c r="AL794" s="1683"/>
      <c r="AM794" s="1683"/>
      <c r="AN794" s="1683"/>
      <c r="AO794" s="1683"/>
      <c r="AP794" s="1683"/>
      <c r="AQ794" s="1683"/>
      <c r="AR794" s="1683"/>
      <c r="AS794" s="1683"/>
      <c r="AT794" s="1683"/>
      <c r="AU794" s="1683"/>
      <c r="AV794" s="1683"/>
      <c r="AW794" s="1683"/>
      <c r="AX794" s="1683"/>
      <c r="AY794" s="1683"/>
      <c r="AZ794" s="1683"/>
      <c r="BA794" s="1683"/>
      <c r="BB794" s="1683"/>
    </row>
    <row r="795" spans="1:54">
      <c r="A795" s="326">
        <f t="shared" si="77"/>
        <v>57588</v>
      </c>
      <c r="B795" s="1678"/>
      <c r="C795" s="1679">
        <f t="shared" si="74"/>
        <v>1</v>
      </c>
      <c r="D795" s="1679">
        <f>PRODUCT(C$5:C795)</f>
        <v>3.55771976932645</v>
      </c>
      <c r="J795" s="1680"/>
      <c r="K795" s="1680"/>
      <c r="L795" s="1680"/>
      <c r="N795" s="1681"/>
      <c r="O795" s="1681"/>
      <c r="P795" s="1681"/>
      <c r="Q795" s="1681"/>
      <c r="R795" s="1681"/>
      <c r="T795" s="1681"/>
      <c r="U795" s="1681"/>
      <c r="W795" s="1681">
        <f t="shared" si="75"/>
        <v>0</v>
      </c>
      <c r="X795" s="1681"/>
      <c r="Y795" s="1681">
        <f t="shared" si="76"/>
        <v>0</v>
      </c>
      <c r="Z795" s="1681"/>
      <c r="AB795" s="1682"/>
      <c r="AC795" s="1682"/>
      <c r="AE795" s="1683"/>
      <c r="AF795" s="1683"/>
      <c r="AG795" s="1683"/>
      <c r="AH795" s="1683"/>
      <c r="AI795" s="1683"/>
      <c r="AJ795" s="1683"/>
      <c r="AK795" s="1683"/>
      <c r="AL795" s="1683"/>
      <c r="AM795" s="1683"/>
      <c r="AN795" s="1683"/>
      <c r="AO795" s="1683"/>
      <c r="AP795" s="1683"/>
      <c r="AQ795" s="1683"/>
      <c r="AR795" s="1683"/>
      <c r="AS795" s="1683"/>
      <c r="AT795" s="1683"/>
      <c r="AU795" s="1683"/>
      <c r="AV795" s="1683"/>
      <c r="AW795" s="1683"/>
      <c r="AX795" s="1683"/>
      <c r="AY795" s="1683"/>
      <c r="AZ795" s="1683"/>
      <c r="BA795" s="1683"/>
      <c r="BB795" s="1683"/>
    </row>
    <row r="796" spans="1:54">
      <c r="A796" s="326">
        <f t="shared" si="77"/>
        <v>57618</v>
      </c>
      <c r="B796" s="1678"/>
      <c r="C796" s="1679">
        <f t="shared" si="74"/>
        <v>1</v>
      </c>
      <c r="D796" s="1679">
        <f>PRODUCT(C$5:C796)</f>
        <v>3.55771976932645</v>
      </c>
      <c r="J796" s="1680"/>
      <c r="K796" s="1680"/>
      <c r="L796" s="1680"/>
      <c r="N796" s="1681"/>
      <c r="O796" s="1681"/>
      <c r="P796" s="1681"/>
      <c r="Q796" s="1681"/>
      <c r="R796" s="1681"/>
      <c r="T796" s="1681"/>
      <c r="U796" s="1681"/>
      <c r="W796" s="1681">
        <f t="shared" si="75"/>
        <v>0</v>
      </c>
      <c r="X796" s="1681"/>
      <c r="Y796" s="1681">
        <f t="shared" si="76"/>
        <v>0</v>
      </c>
      <c r="Z796" s="1681"/>
      <c r="AB796" s="1682"/>
      <c r="AC796" s="1682"/>
      <c r="AE796" s="1683"/>
      <c r="AF796" s="1683"/>
      <c r="AG796" s="1683"/>
      <c r="AH796" s="1683"/>
      <c r="AI796" s="1683"/>
      <c r="AJ796" s="1683"/>
      <c r="AK796" s="1683"/>
      <c r="AL796" s="1683"/>
      <c r="AM796" s="1683"/>
      <c r="AN796" s="1683"/>
      <c r="AO796" s="1683"/>
      <c r="AP796" s="1683"/>
      <c r="AQ796" s="1683"/>
      <c r="AR796" s="1683"/>
      <c r="AS796" s="1683"/>
      <c r="AT796" s="1683"/>
      <c r="AU796" s="1683"/>
      <c r="AV796" s="1683"/>
      <c r="AW796" s="1683"/>
      <c r="AX796" s="1683"/>
      <c r="AY796" s="1683"/>
      <c r="AZ796" s="1683"/>
      <c r="BA796" s="1683"/>
      <c r="BB796" s="1683"/>
    </row>
    <row r="797" spans="1:54">
      <c r="A797" s="326">
        <f t="shared" si="77"/>
        <v>57649</v>
      </c>
      <c r="B797" s="1678"/>
      <c r="C797" s="1679">
        <f t="shared" si="74"/>
        <v>1</v>
      </c>
      <c r="D797" s="1679">
        <f>PRODUCT(C$5:C797)</f>
        <v>3.55771976932645</v>
      </c>
      <c r="J797" s="1680"/>
      <c r="K797" s="1680"/>
      <c r="L797" s="1680"/>
      <c r="N797" s="1681"/>
      <c r="O797" s="1681"/>
      <c r="P797" s="1681"/>
      <c r="Q797" s="1681"/>
      <c r="R797" s="1681"/>
      <c r="T797" s="1681"/>
      <c r="U797" s="1681"/>
      <c r="W797" s="1681">
        <f t="shared" si="75"/>
        <v>0</v>
      </c>
      <c r="X797" s="1681"/>
      <c r="Y797" s="1681">
        <f t="shared" si="76"/>
        <v>0</v>
      </c>
      <c r="Z797" s="1681"/>
      <c r="AB797" s="1682"/>
      <c r="AC797" s="1682"/>
      <c r="AE797" s="1683"/>
      <c r="AF797" s="1683"/>
      <c r="AG797" s="1683"/>
      <c r="AH797" s="1683"/>
      <c r="AI797" s="1683"/>
      <c r="AJ797" s="1683"/>
      <c r="AK797" s="1683"/>
      <c r="AL797" s="1683"/>
      <c r="AM797" s="1683"/>
      <c r="AN797" s="1683"/>
      <c r="AO797" s="1683"/>
      <c r="AP797" s="1683"/>
      <c r="AQ797" s="1683"/>
      <c r="AR797" s="1683"/>
      <c r="AS797" s="1683"/>
      <c r="AT797" s="1683"/>
      <c r="AU797" s="1683"/>
      <c r="AV797" s="1683"/>
      <c r="AW797" s="1683"/>
      <c r="AX797" s="1683"/>
      <c r="AY797" s="1683"/>
      <c r="AZ797" s="1683"/>
      <c r="BA797" s="1683"/>
      <c r="BB797" s="1683"/>
    </row>
    <row r="798" spans="1:54">
      <c r="A798" s="326">
        <f t="shared" si="77"/>
        <v>57679</v>
      </c>
      <c r="B798" s="1678"/>
      <c r="C798" s="1679">
        <f t="shared" si="74"/>
        <v>1</v>
      </c>
      <c r="D798" s="1679">
        <f>PRODUCT(C$5:C798)</f>
        <v>3.55771976932645</v>
      </c>
      <c r="J798" s="1680"/>
      <c r="K798" s="1680"/>
      <c r="L798" s="1680"/>
      <c r="N798" s="1681"/>
      <c r="O798" s="1681"/>
      <c r="P798" s="1681"/>
      <c r="Q798" s="1681"/>
      <c r="R798" s="1681"/>
      <c r="T798" s="1681"/>
      <c r="U798" s="1681"/>
      <c r="W798" s="1681">
        <f t="shared" si="75"/>
        <v>0</v>
      </c>
      <c r="X798" s="1681"/>
      <c r="Y798" s="1681">
        <f t="shared" si="76"/>
        <v>0</v>
      </c>
      <c r="Z798" s="1681"/>
      <c r="AB798" s="1682"/>
      <c r="AC798" s="1682"/>
      <c r="AE798" s="1683"/>
      <c r="AF798" s="1683"/>
      <c r="AG798" s="1683"/>
      <c r="AH798" s="1683"/>
      <c r="AI798" s="1683"/>
      <c r="AJ798" s="1683"/>
      <c r="AK798" s="1683"/>
      <c r="AL798" s="1683"/>
      <c r="AM798" s="1683"/>
      <c r="AN798" s="1683"/>
      <c r="AO798" s="1683"/>
      <c r="AP798" s="1683"/>
      <c r="AQ798" s="1683"/>
      <c r="AR798" s="1683"/>
      <c r="AS798" s="1683"/>
      <c r="AT798" s="1683"/>
      <c r="AU798" s="1683"/>
      <c r="AV798" s="1683"/>
      <c r="AW798" s="1683"/>
      <c r="AX798" s="1683"/>
      <c r="AY798" s="1683"/>
      <c r="AZ798" s="1683"/>
      <c r="BA798" s="1683"/>
      <c r="BB798" s="1683"/>
    </row>
    <row r="799" spans="1:54">
      <c r="A799" s="326">
        <f t="shared" si="77"/>
        <v>57710</v>
      </c>
      <c r="B799" s="1678"/>
      <c r="C799" s="1679">
        <f t="shared" si="74"/>
        <v>1</v>
      </c>
      <c r="D799" s="1679">
        <f>PRODUCT(C$5:C799)</f>
        <v>3.55771976932645</v>
      </c>
      <c r="J799" s="1680"/>
      <c r="K799" s="1680"/>
      <c r="L799" s="1680"/>
      <c r="N799" s="1681"/>
      <c r="O799" s="1681"/>
      <c r="P799" s="1681"/>
      <c r="Q799" s="1681"/>
      <c r="R799" s="1681"/>
      <c r="T799" s="1681"/>
      <c r="U799" s="1681"/>
      <c r="W799" s="1681">
        <f t="shared" si="75"/>
        <v>0</v>
      </c>
      <c r="X799" s="1681"/>
      <c r="Y799" s="1681">
        <f t="shared" si="76"/>
        <v>0</v>
      </c>
      <c r="Z799" s="1681"/>
      <c r="AB799" s="1682"/>
      <c r="AC799" s="1682"/>
      <c r="AE799" s="1683"/>
      <c r="AF799" s="1683"/>
      <c r="AG799" s="1683"/>
      <c r="AH799" s="1683"/>
      <c r="AI799" s="1683"/>
      <c r="AJ799" s="1683"/>
      <c r="AK799" s="1683"/>
      <c r="AL799" s="1683"/>
      <c r="AM799" s="1683"/>
      <c r="AN799" s="1683"/>
      <c r="AO799" s="1683"/>
      <c r="AP799" s="1683"/>
      <c r="AQ799" s="1683"/>
      <c r="AR799" s="1683"/>
      <c r="AS799" s="1683"/>
      <c r="AT799" s="1683"/>
      <c r="AU799" s="1683"/>
      <c r="AV799" s="1683"/>
      <c r="AW799" s="1683"/>
      <c r="AX799" s="1683"/>
      <c r="AY799" s="1683"/>
      <c r="AZ799" s="1683"/>
      <c r="BA799" s="1683"/>
      <c r="BB799" s="1683"/>
    </row>
    <row r="800" spans="1:54">
      <c r="A800" s="326">
        <f t="shared" si="77"/>
        <v>57741</v>
      </c>
      <c r="B800" s="1678"/>
      <c r="C800" s="1679">
        <f t="shared" si="74"/>
        <v>1</v>
      </c>
      <c r="D800" s="1679">
        <f>PRODUCT(C$5:C800)</f>
        <v>3.55771976932645</v>
      </c>
      <c r="J800" s="1680"/>
      <c r="K800" s="1680"/>
      <c r="L800" s="1680"/>
      <c r="N800" s="1681"/>
      <c r="O800" s="1681"/>
      <c r="P800" s="1681"/>
      <c r="Q800" s="1681"/>
      <c r="R800" s="1681"/>
      <c r="T800" s="1681"/>
      <c r="U800" s="1681"/>
      <c r="W800" s="1681">
        <f t="shared" si="75"/>
        <v>0</v>
      </c>
      <c r="X800" s="1681"/>
      <c r="Y800" s="1681">
        <f t="shared" si="76"/>
        <v>0</v>
      </c>
      <c r="Z800" s="1681"/>
      <c r="AB800" s="1682"/>
      <c r="AC800" s="1682"/>
      <c r="AE800" s="1683"/>
      <c r="AF800" s="1683"/>
      <c r="AG800" s="1683"/>
      <c r="AH800" s="1683"/>
      <c r="AI800" s="1683"/>
      <c r="AJ800" s="1683"/>
      <c r="AK800" s="1683"/>
      <c r="AL800" s="1683"/>
      <c r="AM800" s="1683"/>
      <c r="AN800" s="1683"/>
      <c r="AO800" s="1683"/>
      <c r="AP800" s="1683"/>
      <c r="AQ800" s="1683"/>
      <c r="AR800" s="1683"/>
      <c r="AS800" s="1683"/>
      <c r="AT800" s="1683"/>
      <c r="AU800" s="1683"/>
      <c r="AV800" s="1683"/>
      <c r="AW800" s="1683"/>
      <c r="AX800" s="1683"/>
      <c r="AY800" s="1683"/>
      <c r="AZ800" s="1683"/>
      <c r="BA800" s="1683"/>
      <c r="BB800" s="1683"/>
    </row>
    <row r="801" spans="1:54">
      <c r="A801" s="326">
        <f t="shared" si="77"/>
        <v>57769</v>
      </c>
      <c r="B801" s="1678"/>
      <c r="C801" s="1679">
        <f t="shared" si="74"/>
        <v>1</v>
      </c>
      <c r="D801" s="1679">
        <f>PRODUCT(C$5:C801)</f>
        <v>3.55771976932645</v>
      </c>
      <c r="J801" s="1680"/>
      <c r="K801" s="1680"/>
      <c r="L801" s="1680"/>
      <c r="N801" s="1681"/>
      <c r="O801" s="1681"/>
      <c r="P801" s="1681"/>
      <c r="Q801" s="1681"/>
      <c r="R801" s="1681"/>
      <c r="T801" s="1681"/>
      <c r="U801" s="1681"/>
      <c r="W801" s="1681">
        <f t="shared" si="75"/>
        <v>0</v>
      </c>
      <c r="X801" s="1681"/>
      <c r="Y801" s="1681">
        <f t="shared" si="76"/>
        <v>0</v>
      </c>
      <c r="Z801" s="1681"/>
      <c r="AB801" s="1682"/>
      <c r="AC801" s="1682"/>
      <c r="AE801" s="1683"/>
      <c r="AF801" s="1683"/>
      <c r="AG801" s="1683"/>
      <c r="AH801" s="1683"/>
      <c r="AI801" s="1683"/>
      <c r="AJ801" s="1683"/>
      <c r="AK801" s="1683"/>
      <c r="AL801" s="1683"/>
      <c r="AM801" s="1683"/>
      <c r="AN801" s="1683"/>
      <c r="AO801" s="1683"/>
      <c r="AP801" s="1683"/>
      <c r="AQ801" s="1683"/>
      <c r="AR801" s="1683"/>
      <c r="AS801" s="1683"/>
      <c r="AT801" s="1683"/>
      <c r="AU801" s="1683"/>
      <c r="AV801" s="1683"/>
      <c r="AW801" s="1683"/>
      <c r="AX801" s="1683"/>
      <c r="AY801" s="1683"/>
      <c r="AZ801" s="1683"/>
      <c r="BA801" s="1683"/>
      <c r="BB801" s="1683"/>
    </row>
    <row r="802" spans="1:54">
      <c r="A802" s="326">
        <f t="shared" si="77"/>
        <v>57800</v>
      </c>
      <c r="B802" s="1678"/>
      <c r="C802" s="1679">
        <f t="shared" si="74"/>
        <v>1</v>
      </c>
      <c r="D802" s="1679">
        <f>PRODUCT(C$5:C802)</f>
        <v>3.55771976932645</v>
      </c>
      <c r="J802" s="1680"/>
      <c r="K802" s="1680"/>
      <c r="L802" s="1680"/>
      <c r="N802" s="1681"/>
      <c r="O802" s="1681"/>
      <c r="P802" s="1681"/>
      <c r="Q802" s="1681"/>
      <c r="R802" s="1681"/>
      <c r="T802" s="1681"/>
      <c r="U802" s="1681"/>
      <c r="W802" s="1681">
        <f t="shared" si="75"/>
        <v>0</v>
      </c>
      <c r="X802" s="1681"/>
      <c r="Y802" s="1681">
        <f t="shared" si="76"/>
        <v>0</v>
      </c>
      <c r="Z802" s="1681"/>
      <c r="AB802" s="1682"/>
      <c r="AC802" s="1682"/>
      <c r="AE802" s="1683"/>
      <c r="AF802" s="1683"/>
      <c r="AG802" s="1683"/>
      <c r="AH802" s="1683"/>
      <c r="AI802" s="1683"/>
      <c r="AJ802" s="1683"/>
      <c r="AK802" s="1683"/>
      <c r="AL802" s="1683"/>
      <c r="AM802" s="1683"/>
      <c r="AN802" s="1683"/>
      <c r="AO802" s="1683"/>
      <c r="AP802" s="1683"/>
      <c r="AQ802" s="1683"/>
      <c r="AR802" s="1683"/>
      <c r="AS802" s="1683"/>
      <c r="AT802" s="1683"/>
      <c r="AU802" s="1683"/>
      <c r="AV802" s="1683"/>
      <c r="AW802" s="1683"/>
      <c r="AX802" s="1683"/>
      <c r="AY802" s="1683"/>
      <c r="AZ802" s="1683"/>
      <c r="BA802" s="1683"/>
      <c r="BB802" s="1683"/>
    </row>
    <row r="803" spans="1:54">
      <c r="A803" s="326">
        <f t="shared" si="77"/>
        <v>57830</v>
      </c>
      <c r="B803" s="1678"/>
      <c r="C803" s="1679">
        <f t="shared" si="74"/>
        <v>1</v>
      </c>
      <c r="D803" s="1679">
        <f>PRODUCT(C$5:C803)</f>
        <v>3.55771976932645</v>
      </c>
      <c r="J803" s="1680"/>
      <c r="K803" s="1680"/>
      <c r="L803" s="1680"/>
      <c r="N803" s="1681"/>
      <c r="O803" s="1681"/>
      <c r="P803" s="1681"/>
      <c r="Q803" s="1681"/>
      <c r="R803" s="1681"/>
      <c r="T803" s="1681"/>
      <c r="U803" s="1681"/>
      <c r="W803" s="1681">
        <f t="shared" si="75"/>
        <v>0</v>
      </c>
      <c r="X803" s="1681"/>
      <c r="Y803" s="1681">
        <f t="shared" si="76"/>
        <v>0</v>
      </c>
      <c r="Z803" s="1681"/>
      <c r="AB803" s="1682"/>
      <c r="AC803" s="1682"/>
      <c r="AE803" s="1683"/>
      <c r="AF803" s="1683"/>
      <c r="AG803" s="1683"/>
      <c r="AH803" s="1683"/>
      <c r="AI803" s="1683"/>
      <c r="AJ803" s="1683"/>
      <c r="AK803" s="1683"/>
      <c r="AL803" s="1683"/>
      <c r="AM803" s="1683"/>
      <c r="AN803" s="1683"/>
      <c r="AO803" s="1683"/>
      <c r="AP803" s="1683"/>
      <c r="AQ803" s="1683"/>
      <c r="AR803" s="1683"/>
      <c r="AS803" s="1683"/>
      <c r="AT803" s="1683"/>
      <c r="AU803" s="1683"/>
      <c r="AV803" s="1683"/>
      <c r="AW803" s="1683"/>
      <c r="AX803" s="1683"/>
      <c r="AY803" s="1683"/>
      <c r="AZ803" s="1683"/>
      <c r="BA803" s="1683"/>
      <c r="BB803" s="1683"/>
    </row>
    <row r="804" spans="1:54">
      <c r="A804" s="326">
        <f t="shared" si="77"/>
        <v>57861</v>
      </c>
      <c r="B804" s="1678"/>
      <c r="C804" s="1679">
        <f t="shared" si="74"/>
        <v>1</v>
      </c>
      <c r="D804" s="1679">
        <f>PRODUCT(C$5:C804)</f>
        <v>3.55771976932645</v>
      </c>
      <c r="J804" s="1680"/>
      <c r="K804" s="1680"/>
      <c r="L804" s="1680"/>
      <c r="N804" s="1681"/>
      <c r="O804" s="1681"/>
      <c r="P804" s="1681"/>
      <c r="Q804" s="1681"/>
      <c r="R804" s="1681"/>
      <c r="T804" s="1681"/>
      <c r="U804" s="1681"/>
      <c r="W804" s="1681">
        <f t="shared" si="75"/>
        <v>0</v>
      </c>
      <c r="X804" s="1681"/>
      <c r="Y804" s="1681">
        <f t="shared" si="76"/>
        <v>0</v>
      </c>
      <c r="Z804" s="1681"/>
      <c r="AB804" s="1682"/>
      <c r="AC804" s="1682"/>
      <c r="AE804" s="1683"/>
      <c r="AF804" s="1683"/>
      <c r="AG804" s="1683"/>
      <c r="AH804" s="1683"/>
      <c r="AI804" s="1683"/>
      <c r="AJ804" s="1683"/>
      <c r="AK804" s="1683"/>
      <c r="AL804" s="1683"/>
      <c r="AM804" s="1683"/>
      <c r="AN804" s="1683"/>
      <c r="AO804" s="1683"/>
      <c r="AP804" s="1683"/>
      <c r="AQ804" s="1683"/>
      <c r="AR804" s="1683"/>
      <c r="AS804" s="1683"/>
      <c r="AT804" s="1683"/>
      <c r="AU804" s="1683"/>
      <c r="AV804" s="1683"/>
      <c r="AW804" s="1683"/>
      <c r="AX804" s="1683"/>
      <c r="AY804" s="1683"/>
      <c r="AZ804" s="1683"/>
      <c r="BA804" s="1683"/>
      <c r="BB804" s="1683"/>
    </row>
    <row r="805" spans="1:54">
      <c r="A805" s="326">
        <f t="shared" si="77"/>
        <v>57891</v>
      </c>
      <c r="B805" s="1678"/>
      <c r="C805" s="1679">
        <f t="shared" si="74"/>
        <v>1</v>
      </c>
      <c r="D805" s="1679">
        <f>PRODUCT(C$5:C805)</f>
        <v>3.55771976932645</v>
      </c>
      <c r="J805" s="1680"/>
      <c r="K805" s="1680"/>
      <c r="L805" s="1680"/>
      <c r="N805" s="1681"/>
      <c r="O805" s="1681"/>
      <c r="P805" s="1681"/>
      <c r="Q805" s="1681"/>
      <c r="R805" s="1681"/>
      <c r="T805" s="1681"/>
      <c r="U805" s="1681"/>
      <c r="W805" s="1681">
        <f t="shared" si="75"/>
        <v>0</v>
      </c>
      <c r="X805" s="1681"/>
      <c r="Y805" s="1681">
        <f t="shared" si="76"/>
        <v>0</v>
      </c>
      <c r="Z805" s="1681"/>
      <c r="AB805" s="1682"/>
      <c r="AC805" s="1682"/>
      <c r="AE805" s="1683"/>
      <c r="AF805" s="1683"/>
      <c r="AG805" s="1683"/>
      <c r="AH805" s="1683"/>
      <c r="AI805" s="1683"/>
      <c r="AJ805" s="1683"/>
      <c r="AK805" s="1683"/>
      <c r="AL805" s="1683"/>
      <c r="AM805" s="1683"/>
      <c r="AN805" s="1683"/>
      <c r="AO805" s="1683"/>
      <c r="AP805" s="1683"/>
      <c r="AQ805" s="1683"/>
      <c r="AR805" s="1683"/>
      <c r="AS805" s="1683"/>
      <c r="AT805" s="1683"/>
      <c r="AU805" s="1683"/>
      <c r="AV805" s="1683"/>
      <c r="AW805" s="1683"/>
      <c r="AX805" s="1683"/>
      <c r="AY805" s="1683"/>
      <c r="AZ805" s="1683"/>
      <c r="BA805" s="1683"/>
      <c r="BB805" s="1683"/>
    </row>
    <row r="806" spans="1:54">
      <c r="A806" s="326">
        <f t="shared" si="77"/>
        <v>57922</v>
      </c>
      <c r="B806" s="1678"/>
      <c r="C806" s="1679">
        <f t="shared" si="74"/>
        <v>1</v>
      </c>
      <c r="D806" s="1679">
        <f>PRODUCT(C$5:C806)</f>
        <v>3.55771976932645</v>
      </c>
      <c r="J806" s="1680"/>
      <c r="K806" s="1680"/>
      <c r="L806" s="1680"/>
      <c r="N806" s="1681"/>
      <c r="O806" s="1681"/>
      <c r="P806" s="1681"/>
      <c r="Q806" s="1681"/>
      <c r="R806" s="1681"/>
      <c r="T806" s="1681"/>
      <c r="U806" s="1681"/>
      <c r="W806" s="1681">
        <f t="shared" si="75"/>
        <v>0</v>
      </c>
      <c r="X806" s="1681"/>
      <c r="Y806" s="1681">
        <f t="shared" si="76"/>
        <v>0</v>
      </c>
      <c r="Z806" s="1681"/>
      <c r="AB806" s="1682"/>
      <c r="AC806" s="1682"/>
      <c r="AE806" s="1683"/>
      <c r="AF806" s="1683"/>
      <c r="AG806" s="1683"/>
      <c r="AH806" s="1683"/>
      <c r="AI806" s="1683"/>
      <c r="AJ806" s="1683"/>
      <c r="AK806" s="1683"/>
      <c r="AL806" s="1683"/>
      <c r="AM806" s="1683"/>
      <c r="AN806" s="1683"/>
      <c r="AO806" s="1683"/>
      <c r="AP806" s="1683"/>
      <c r="AQ806" s="1683"/>
      <c r="AR806" s="1683"/>
      <c r="AS806" s="1683"/>
      <c r="AT806" s="1683"/>
      <c r="AU806" s="1683"/>
      <c r="AV806" s="1683"/>
      <c r="AW806" s="1683"/>
      <c r="AX806" s="1683"/>
      <c r="AY806" s="1683"/>
      <c r="AZ806" s="1683"/>
      <c r="BA806" s="1683"/>
      <c r="BB806" s="1683"/>
    </row>
    <row r="807" spans="1:54">
      <c r="A807" s="326">
        <f t="shared" si="77"/>
        <v>57953</v>
      </c>
      <c r="B807" s="1678"/>
      <c r="C807" s="1679">
        <f t="shared" si="74"/>
        <v>1</v>
      </c>
      <c r="D807" s="1679">
        <f>PRODUCT(C$5:C807)</f>
        <v>3.55771976932645</v>
      </c>
      <c r="J807" s="1680"/>
      <c r="K807" s="1680"/>
      <c r="L807" s="1680"/>
      <c r="N807" s="1681"/>
      <c r="O807" s="1681"/>
      <c r="P807" s="1681"/>
      <c r="Q807" s="1681"/>
      <c r="R807" s="1681"/>
      <c r="T807" s="1681"/>
      <c r="U807" s="1681"/>
      <c r="W807" s="1681">
        <f t="shared" si="75"/>
        <v>0</v>
      </c>
      <c r="X807" s="1681"/>
      <c r="Y807" s="1681">
        <f t="shared" si="76"/>
        <v>0</v>
      </c>
      <c r="Z807" s="1681"/>
      <c r="AB807" s="1682"/>
      <c r="AC807" s="1682"/>
      <c r="AE807" s="1683"/>
      <c r="AF807" s="1683"/>
      <c r="AG807" s="1683"/>
      <c r="AH807" s="1683"/>
      <c r="AI807" s="1683"/>
      <c r="AJ807" s="1683"/>
      <c r="AK807" s="1683"/>
      <c r="AL807" s="1683"/>
      <c r="AM807" s="1683"/>
      <c r="AN807" s="1683"/>
      <c r="AO807" s="1683"/>
      <c r="AP807" s="1683"/>
      <c r="AQ807" s="1683"/>
      <c r="AR807" s="1683"/>
      <c r="AS807" s="1683"/>
      <c r="AT807" s="1683"/>
      <c r="AU807" s="1683"/>
      <c r="AV807" s="1683"/>
      <c r="AW807" s="1683"/>
      <c r="AX807" s="1683"/>
      <c r="AY807" s="1683"/>
      <c r="AZ807" s="1683"/>
      <c r="BA807" s="1683"/>
      <c r="BB807" s="1683"/>
    </row>
    <row r="808" spans="1:54">
      <c r="A808" s="326">
        <f t="shared" si="77"/>
        <v>57983</v>
      </c>
      <c r="B808" s="1678"/>
      <c r="C808" s="1679">
        <f t="shared" si="74"/>
        <v>1</v>
      </c>
      <c r="D808" s="1679">
        <f>PRODUCT(C$5:C808)</f>
        <v>3.55771976932645</v>
      </c>
      <c r="J808" s="1680"/>
      <c r="K808" s="1680"/>
      <c r="L808" s="1680"/>
      <c r="N808" s="1681"/>
      <c r="O808" s="1681"/>
      <c r="P808" s="1681"/>
      <c r="Q808" s="1681"/>
      <c r="R808" s="1681"/>
      <c r="T808" s="1681"/>
      <c r="U808" s="1681"/>
      <c r="W808" s="1681">
        <f t="shared" si="75"/>
        <v>0</v>
      </c>
      <c r="X808" s="1681"/>
      <c r="Y808" s="1681">
        <f t="shared" si="76"/>
        <v>0</v>
      </c>
      <c r="Z808" s="1681"/>
      <c r="AB808" s="1682"/>
      <c r="AC808" s="1682"/>
      <c r="AE808" s="1683"/>
      <c r="AF808" s="1683"/>
      <c r="AG808" s="1683"/>
      <c r="AH808" s="1683"/>
      <c r="AI808" s="1683"/>
      <c r="AJ808" s="1683"/>
      <c r="AK808" s="1683"/>
      <c r="AL808" s="1683"/>
      <c r="AM808" s="1683"/>
      <c r="AN808" s="1683"/>
      <c r="AO808" s="1683"/>
      <c r="AP808" s="1683"/>
      <c r="AQ808" s="1683"/>
      <c r="AR808" s="1683"/>
      <c r="AS808" s="1683"/>
      <c r="AT808" s="1683"/>
      <c r="AU808" s="1683"/>
      <c r="AV808" s="1683"/>
      <c r="AW808" s="1683"/>
      <c r="AX808" s="1683"/>
      <c r="AY808" s="1683"/>
      <c r="AZ808" s="1683"/>
      <c r="BA808" s="1683"/>
      <c r="BB808" s="1683"/>
    </row>
    <row r="809" spans="1:54">
      <c r="A809" s="326">
        <f t="shared" si="77"/>
        <v>58014</v>
      </c>
      <c r="B809" s="1678"/>
      <c r="C809" s="1679">
        <f t="shared" si="74"/>
        <v>1</v>
      </c>
      <c r="D809" s="1679">
        <f>PRODUCT(C$5:C809)</f>
        <v>3.55771976932645</v>
      </c>
      <c r="J809" s="1680"/>
      <c r="K809" s="1680"/>
      <c r="L809" s="1680"/>
      <c r="N809" s="1681"/>
      <c r="O809" s="1681"/>
      <c r="P809" s="1681"/>
      <c r="Q809" s="1681"/>
      <c r="R809" s="1681"/>
      <c r="T809" s="1681"/>
      <c r="U809" s="1681"/>
      <c r="W809" s="1681">
        <f t="shared" si="75"/>
        <v>0</v>
      </c>
      <c r="X809" s="1681"/>
      <c r="Y809" s="1681">
        <f t="shared" si="76"/>
        <v>0</v>
      </c>
      <c r="Z809" s="1681"/>
      <c r="AB809" s="1682"/>
      <c r="AC809" s="1682"/>
      <c r="AE809" s="1683"/>
      <c r="AF809" s="1683"/>
      <c r="AG809" s="1683"/>
      <c r="AH809" s="1683"/>
      <c r="AI809" s="1683"/>
      <c r="AJ809" s="1683"/>
      <c r="AK809" s="1683"/>
      <c r="AL809" s="1683"/>
      <c r="AM809" s="1683"/>
      <c r="AN809" s="1683"/>
      <c r="AO809" s="1683"/>
      <c r="AP809" s="1683"/>
      <c r="AQ809" s="1683"/>
      <c r="AR809" s="1683"/>
      <c r="AS809" s="1683"/>
      <c r="AT809" s="1683"/>
      <c r="AU809" s="1683"/>
      <c r="AV809" s="1683"/>
      <c r="AW809" s="1683"/>
      <c r="AX809" s="1683"/>
      <c r="AY809" s="1683"/>
      <c r="AZ809" s="1683"/>
      <c r="BA809" s="1683"/>
      <c r="BB809" s="1683"/>
    </row>
    <row r="810" spans="1:54">
      <c r="A810" s="326">
        <f t="shared" si="77"/>
        <v>58044</v>
      </c>
      <c r="B810" s="1678"/>
      <c r="C810" s="1679">
        <f t="shared" si="74"/>
        <v>1</v>
      </c>
      <c r="D810" s="1679">
        <f>PRODUCT(C$5:C810)</f>
        <v>3.55771976932645</v>
      </c>
      <c r="J810" s="1680"/>
      <c r="K810" s="1680"/>
      <c r="L810" s="1680"/>
      <c r="N810" s="1681"/>
      <c r="O810" s="1681"/>
      <c r="P810" s="1681"/>
      <c r="Q810" s="1681"/>
      <c r="R810" s="1681"/>
      <c r="T810" s="1681"/>
      <c r="U810" s="1681"/>
      <c r="W810" s="1681">
        <f t="shared" si="75"/>
        <v>0</v>
      </c>
      <c r="X810" s="1681"/>
      <c r="Y810" s="1681">
        <f t="shared" si="76"/>
        <v>0</v>
      </c>
      <c r="Z810" s="1681"/>
      <c r="AB810" s="1682"/>
      <c r="AC810" s="1682"/>
      <c r="AE810" s="1683"/>
      <c r="AF810" s="1683"/>
      <c r="AG810" s="1683"/>
      <c r="AH810" s="1683"/>
      <c r="AI810" s="1683"/>
      <c r="AJ810" s="1683"/>
      <c r="AK810" s="1683"/>
      <c r="AL810" s="1683"/>
      <c r="AM810" s="1683"/>
      <c r="AN810" s="1683"/>
      <c r="AO810" s="1683"/>
      <c r="AP810" s="1683"/>
      <c r="AQ810" s="1683"/>
      <c r="AR810" s="1683"/>
      <c r="AS810" s="1683"/>
      <c r="AT810" s="1683"/>
      <c r="AU810" s="1683"/>
      <c r="AV810" s="1683"/>
      <c r="AW810" s="1683"/>
      <c r="AX810" s="1683"/>
      <c r="AY810" s="1683"/>
      <c r="AZ810" s="1683"/>
      <c r="BA810" s="1683"/>
      <c r="BB810" s="1683"/>
    </row>
    <row r="811" spans="1:54">
      <c r="A811" s="326">
        <f t="shared" si="77"/>
        <v>58075</v>
      </c>
      <c r="B811" s="1678"/>
      <c r="C811" s="1679">
        <f t="shared" si="74"/>
        <v>1</v>
      </c>
      <c r="D811" s="1679">
        <f>PRODUCT(C$5:C811)</f>
        <v>3.55771976932645</v>
      </c>
      <c r="J811" s="1680"/>
      <c r="K811" s="1680"/>
      <c r="L811" s="1680"/>
      <c r="N811" s="1681"/>
      <c r="O811" s="1681"/>
      <c r="P811" s="1681"/>
      <c r="Q811" s="1681"/>
      <c r="R811" s="1681"/>
      <c r="T811" s="1681"/>
      <c r="U811" s="1681"/>
      <c r="W811" s="1681">
        <f t="shared" si="75"/>
        <v>0</v>
      </c>
      <c r="X811" s="1681"/>
      <c r="Y811" s="1681">
        <f t="shared" si="76"/>
        <v>0</v>
      </c>
      <c r="Z811" s="1681"/>
      <c r="AB811" s="1682"/>
      <c r="AC811" s="1682"/>
      <c r="AE811" s="1683"/>
      <c r="AF811" s="1683"/>
      <c r="AG811" s="1683"/>
      <c r="AH811" s="1683"/>
      <c r="AI811" s="1683"/>
      <c r="AJ811" s="1683"/>
      <c r="AK811" s="1683"/>
      <c r="AL811" s="1683"/>
      <c r="AM811" s="1683"/>
      <c r="AN811" s="1683"/>
      <c r="AO811" s="1683"/>
      <c r="AP811" s="1683"/>
      <c r="AQ811" s="1683"/>
      <c r="AR811" s="1683"/>
      <c r="AS811" s="1683"/>
      <c r="AT811" s="1683"/>
      <c r="AU811" s="1683"/>
      <c r="AV811" s="1683"/>
      <c r="AW811" s="1683"/>
      <c r="AX811" s="1683"/>
      <c r="AY811" s="1683"/>
      <c r="AZ811" s="1683"/>
      <c r="BA811" s="1683"/>
      <c r="BB811" s="1683"/>
    </row>
    <row r="812" spans="1:54">
      <c r="A812" s="326">
        <f t="shared" si="77"/>
        <v>58106</v>
      </c>
      <c r="B812" s="1678"/>
      <c r="C812" s="1679">
        <f t="shared" si="74"/>
        <v>1</v>
      </c>
      <c r="D812" s="1679">
        <f>PRODUCT(C$5:C812)</f>
        <v>3.55771976932645</v>
      </c>
      <c r="J812" s="1680"/>
      <c r="K812" s="1680"/>
      <c r="L812" s="1680"/>
      <c r="N812" s="1681"/>
      <c r="O812" s="1681"/>
      <c r="P812" s="1681"/>
      <c r="Q812" s="1681"/>
      <c r="R812" s="1681"/>
      <c r="T812" s="1681"/>
      <c r="U812" s="1681"/>
      <c r="W812" s="1681">
        <f t="shared" si="75"/>
        <v>0</v>
      </c>
      <c r="X812" s="1681"/>
      <c r="Y812" s="1681">
        <f t="shared" si="76"/>
        <v>0</v>
      </c>
      <c r="Z812" s="1681"/>
      <c r="AB812" s="1682"/>
      <c r="AC812" s="1682"/>
      <c r="AE812" s="1683"/>
      <c r="AF812" s="1683"/>
      <c r="AG812" s="1683"/>
      <c r="AH812" s="1683"/>
      <c r="AI812" s="1683"/>
      <c r="AJ812" s="1683"/>
      <c r="AK812" s="1683"/>
      <c r="AL812" s="1683"/>
      <c r="AM812" s="1683"/>
      <c r="AN812" s="1683"/>
      <c r="AO812" s="1683"/>
      <c r="AP812" s="1683"/>
      <c r="AQ812" s="1683"/>
      <c r="AR812" s="1683"/>
      <c r="AS812" s="1683"/>
      <c r="AT812" s="1683"/>
      <c r="AU812" s="1683"/>
      <c r="AV812" s="1683"/>
      <c r="AW812" s="1683"/>
      <c r="AX812" s="1683"/>
      <c r="AY812" s="1683"/>
      <c r="AZ812" s="1683"/>
      <c r="BA812" s="1683"/>
      <c r="BB812" s="1683"/>
    </row>
    <row r="813" spans="1:54">
      <c r="A813" s="326">
        <f t="shared" si="77"/>
        <v>58134</v>
      </c>
      <c r="B813" s="1678"/>
      <c r="C813" s="1679">
        <f t="shared" si="74"/>
        <v>1</v>
      </c>
      <c r="D813" s="1679">
        <f>PRODUCT(C$5:C813)</f>
        <v>3.55771976932645</v>
      </c>
      <c r="J813" s="1680"/>
      <c r="K813" s="1680"/>
      <c r="L813" s="1680"/>
      <c r="N813" s="1681"/>
      <c r="O813" s="1681"/>
      <c r="P813" s="1681"/>
      <c r="Q813" s="1681"/>
      <c r="R813" s="1681"/>
      <c r="T813" s="1681"/>
      <c r="U813" s="1681"/>
      <c r="W813" s="1681">
        <f t="shared" si="75"/>
        <v>0</v>
      </c>
      <c r="X813" s="1681"/>
      <c r="Y813" s="1681">
        <f t="shared" si="76"/>
        <v>0</v>
      </c>
      <c r="Z813" s="1681"/>
      <c r="AB813" s="1682"/>
      <c r="AC813" s="1682"/>
      <c r="AE813" s="1683"/>
      <c r="AF813" s="1683"/>
      <c r="AG813" s="1683"/>
      <c r="AH813" s="1683"/>
      <c r="AI813" s="1683"/>
      <c r="AJ813" s="1683"/>
      <c r="AK813" s="1683"/>
      <c r="AL813" s="1683"/>
      <c r="AM813" s="1683"/>
      <c r="AN813" s="1683"/>
      <c r="AO813" s="1683"/>
      <c r="AP813" s="1683"/>
      <c r="AQ813" s="1683"/>
      <c r="AR813" s="1683"/>
      <c r="AS813" s="1683"/>
      <c r="AT813" s="1683"/>
      <c r="AU813" s="1683"/>
      <c r="AV813" s="1683"/>
      <c r="AW813" s="1683"/>
      <c r="AX813" s="1683"/>
      <c r="AY813" s="1683"/>
      <c r="AZ813" s="1683"/>
      <c r="BA813" s="1683"/>
      <c r="BB813" s="1683"/>
    </row>
    <row r="814" spans="1:54">
      <c r="A814" s="326">
        <f t="shared" si="77"/>
        <v>58165</v>
      </c>
      <c r="B814" s="1678"/>
      <c r="C814" s="1679">
        <f t="shared" si="74"/>
        <v>1</v>
      </c>
      <c r="D814" s="1679">
        <f>PRODUCT(C$5:C814)</f>
        <v>3.55771976932645</v>
      </c>
      <c r="J814" s="1680"/>
      <c r="K814" s="1680"/>
      <c r="L814" s="1680"/>
      <c r="N814" s="1681"/>
      <c r="O814" s="1681"/>
      <c r="P814" s="1681"/>
      <c r="Q814" s="1681"/>
      <c r="R814" s="1681"/>
      <c r="T814" s="1681"/>
      <c r="U814" s="1681"/>
      <c r="W814" s="1681">
        <f t="shared" si="75"/>
        <v>0</v>
      </c>
      <c r="X814" s="1681"/>
      <c r="Y814" s="1681">
        <f t="shared" si="76"/>
        <v>0</v>
      </c>
      <c r="Z814" s="1681"/>
      <c r="AB814" s="1682"/>
      <c r="AC814" s="1682"/>
      <c r="AE814" s="1683"/>
      <c r="AF814" s="1683"/>
      <c r="AG814" s="1683"/>
      <c r="AH814" s="1683"/>
      <c r="AI814" s="1683"/>
      <c r="AJ814" s="1683"/>
      <c r="AK814" s="1683"/>
      <c r="AL814" s="1683"/>
      <c r="AM814" s="1683"/>
      <c r="AN814" s="1683"/>
      <c r="AO814" s="1683"/>
      <c r="AP814" s="1683"/>
      <c r="AQ814" s="1683"/>
      <c r="AR814" s="1683"/>
      <c r="AS814" s="1683"/>
      <c r="AT814" s="1683"/>
      <c r="AU814" s="1683"/>
      <c r="AV814" s="1683"/>
      <c r="AW814" s="1683"/>
      <c r="AX814" s="1683"/>
      <c r="AY814" s="1683"/>
      <c r="AZ814" s="1683"/>
      <c r="BA814" s="1683"/>
      <c r="BB814" s="1683"/>
    </row>
    <row r="815" spans="1:54">
      <c r="A815" s="326">
        <f t="shared" si="77"/>
        <v>58195</v>
      </c>
      <c r="B815" s="1678"/>
      <c r="C815" s="1679">
        <f t="shared" si="74"/>
        <v>1</v>
      </c>
      <c r="D815" s="1679">
        <f>PRODUCT(C$5:C815)</f>
        <v>3.55771976932645</v>
      </c>
      <c r="J815" s="1680"/>
      <c r="K815" s="1680"/>
      <c r="L815" s="1680"/>
      <c r="N815" s="1681"/>
      <c r="O815" s="1681"/>
      <c r="P815" s="1681"/>
      <c r="Q815" s="1681"/>
      <c r="R815" s="1681"/>
      <c r="T815" s="1681"/>
      <c r="U815" s="1681"/>
      <c r="W815" s="1681">
        <f t="shared" si="75"/>
        <v>0</v>
      </c>
      <c r="X815" s="1681"/>
      <c r="Y815" s="1681">
        <f t="shared" si="76"/>
        <v>0</v>
      </c>
      <c r="Z815" s="1681"/>
      <c r="AB815" s="1682"/>
      <c r="AC815" s="1682"/>
      <c r="AE815" s="1683"/>
      <c r="AF815" s="1683"/>
      <c r="AG815" s="1683"/>
      <c r="AH815" s="1683"/>
      <c r="AI815" s="1683"/>
      <c r="AJ815" s="1683"/>
      <c r="AK815" s="1683"/>
      <c r="AL815" s="1683"/>
      <c r="AM815" s="1683"/>
      <c r="AN815" s="1683"/>
      <c r="AO815" s="1683"/>
      <c r="AP815" s="1683"/>
      <c r="AQ815" s="1683"/>
      <c r="AR815" s="1683"/>
      <c r="AS815" s="1683"/>
      <c r="AT815" s="1683"/>
      <c r="AU815" s="1683"/>
      <c r="AV815" s="1683"/>
      <c r="AW815" s="1683"/>
      <c r="AX815" s="1683"/>
      <c r="AY815" s="1683"/>
      <c r="AZ815" s="1683"/>
      <c r="BA815" s="1683"/>
      <c r="BB815" s="1683"/>
    </row>
    <row r="816" spans="1:54">
      <c r="A816" s="326">
        <f t="shared" si="77"/>
        <v>58226</v>
      </c>
      <c r="B816" s="1678"/>
      <c r="C816" s="1679">
        <f t="shared" si="74"/>
        <v>1</v>
      </c>
      <c r="D816" s="1679">
        <f>PRODUCT(C$5:C816)</f>
        <v>3.55771976932645</v>
      </c>
      <c r="J816" s="1680"/>
      <c r="K816" s="1680"/>
      <c r="L816" s="1680"/>
      <c r="N816" s="1681"/>
      <c r="O816" s="1681"/>
      <c r="P816" s="1681"/>
      <c r="Q816" s="1681"/>
      <c r="R816" s="1681"/>
      <c r="T816" s="1681"/>
      <c r="U816" s="1681"/>
      <c r="W816" s="1681">
        <f t="shared" si="75"/>
        <v>0</v>
      </c>
      <c r="X816" s="1681"/>
      <c r="Y816" s="1681">
        <f t="shared" si="76"/>
        <v>0</v>
      </c>
      <c r="Z816" s="1681"/>
      <c r="AB816" s="1682"/>
      <c r="AC816" s="1682"/>
      <c r="AE816" s="1683"/>
      <c r="AF816" s="1683"/>
      <c r="AG816" s="1683"/>
      <c r="AH816" s="1683"/>
      <c r="AI816" s="1683"/>
      <c r="AJ816" s="1683"/>
      <c r="AK816" s="1683"/>
      <c r="AL816" s="1683"/>
      <c r="AM816" s="1683"/>
      <c r="AN816" s="1683"/>
      <c r="AO816" s="1683"/>
      <c r="AP816" s="1683"/>
      <c r="AQ816" s="1683"/>
      <c r="AR816" s="1683"/>
      <c r="AS816" s="1683"/>
      <c r="AT816" s="1683"/>
      <c r="AU816" s="1683"/>
      <c r="AV816" s="1683"/>
      <c r="AW816" s="1683"/>
      <c r="AX816" s="1683"/>
      <c r="AY816" s="1683"/>
      <c r="AZ816" s="1683"/>
      <c r="BA816" s="1683"/>
      <c r="BB816" s="1683"/>
    </row>
    <row r="817" spans="1:54">
      <c r="A817" s="326">
        <f t="shared" si="77"/>
        <v>58256</v>
      </c>
      <c r="B817" s="1678"/>
      <c r="C817" s="1679">
        <f t="shared" si="74"/>
        <v>1</v>
      </c>
      <c r="D817" s="1679">
        <f>PRODUCT(C$5:C817)</f>
        <v>3.55771976932645</v>
      </c>
      <c r="J817" s="1680"/>
      <c r="K817" s="1680"/>
      <c r="L817" s="1680"/>
      <c r="N817" s="1681"/>
      <c r="O817" s="1681"/>
      <c r="P817" s="1681"/>
      <c r="Q817" s="1681"/>
      <c r="R817" s="1681"/>
      <c r="T817" s="1681"/>
      <c r="U817" s="1681"/>
      <c r="W817" s="1681">
        <f t="shared" si="75"/>
        <v>0</v>
      </c>
      <c r="X817" s="1681"/>
      <c r="Y817" s="1681">
        <f t="shared" si="76"/>
        <v>0</v>
      </c>
      <c r="Z817" s="1681"/>
      <c r="AB817" s="1682"/>
      <c r="AC817" s="1682"/>
      <c r="AE817" s="1683"/>
      <c r="AF817" s="1683"/>
      <c r="AG817" s="1683"/>
      <c r="AH817" s="1683"/>
      <c r="AI817" s="1683"/>
      <c r="AJ817" s="1683"/>
      <c r="AK817" s="1683"/>
      <c r="AL817" s="1683"/>
      <c r="AM817" s="1683"/>
      <c r="AN817" s="1683"/>
      <c r="AO817" s="1683"/>
      <c r="AP817" s="1683"/>
      <c r="AQ817" s="1683"/>
      <c r="AR817" s="1683"/>
      <c r="AS817" s="1683"/>
      <c r="AT817" s="1683"/>
      <c r="AU817" s="1683"/>
      <c r="AV817" s="1683"/>
      <c r="AW817" s="1683"/>
      <c r="AX817" s="1683"/>
      <c r="AY817" s="1683"/>
      <c r="AZ817" s="1683"/>
      <c r="BA817" s="1683"/>
      <c r="BB817" s="1683"/>
    </row>
    <row r="818" spans="1:54">
      <c r="A818" s="326">
        <f t="shared" si="77"/>
        <v>58287</v>
      </c>
      <c r="B818" s="1678"/>
      <c r="C818" s="1679">
        <f t="shared" si="74"/>
        <v>1</v>
      </c>
      <c r="D818" s="1679">
        <f>PRODUCT(C$5:C818)</f>
        <v>3.55771976932645</v>
      </c>
      <c r="J818" s="1680"/>
      <c r="K818" s="1680"/>
      <c r="L818" s="1680"/>
      <c r="N818" s="1681"/>
      <c r="O818" s="1681"/>
      <c r="P818" s="1681"/>
      <c r="Q818" s="1681"/>
      <c r="R818" s="1681"/>
      <c r="T818" s="1681"/>
      <c r="U818" s="1681"/>
      <c r="W818" s="1681">
        <f t="shared" si="75"/>
        <v>0</v>
      </c>
      <c r="X818" s="1681"/>
      <c r="Y818" s="1681">
        <f t="shared" si="76"/>
        <v>0</v>
      </c>
      <c r="Z818" s="1681"/>
      <c r="AB818" s="1682"/>
      <c r="AC818" s="1682"/>
      <c r="AE818" s="1683"/>
      <c r="AF818" s="1683"/>
      <c r="AG818" s="1683"/>
      <c r="AH818" s="1683"/>
      <c r="AI818" s="1683"/>
      <c r="AJ818" s="1683"/>
      <c r="AK818" s="1683"/>
      <c r="AL818" s="1683"/>
      <c r="AM818" s="1683"/>
      <c r="AN818" s="1683"/>
      <c r="AO818" s="1683"/>
      <c r="AP818" s="1683"/>
      <c r="AQ818" s="1683"/>
      <c r="AR818" s="1683"/>
      <c r="AS818" s="1683"/>
      <c r="AT818" s="1683"/>
      <c r="AU818" s="1683"/>
      <c r="AV818" s="1683"/>
      <c r="AW818" s="1683"/>
      <c r="AX818" s="1683"/>
      <c r="AY818" s="1683"/>
      <c r="AZ818" s="1683"/>
      <c r="BA818" s="1683"/>
      <c r="BB818" s="1683"/>
    </row>
    <row r="819" spans="1:54">
      <c r="A819" s="326">
        <f t="shared" si="77"/>
        <v>58318</v>
      </c>
      <c r="B819" s="1678"/>
      <c r="C819" s="1679">
        <f t="shared" si="74"/>
        <v>1</v>
      </c>
      <c r="D819" s="1679">
        <f>PRODUCT(C$5:C819)</f>
        <v>3.55771976932645</v>
      </c>
      <c r="J819" s="1680"/>
      <c r="K819" s="1680"/>
      <c r="L819" s="1680"/>
      <c r="N819" s="1681"/>
      <c r="O819" s="1681"/>
      <c r="P819" s="1681"/>
      <c r="Q819" s="1681"/>
      <c r="R819" s="1681"/>
      <c r="T819" s="1681"/>
      <c r="U819" s="1681"/>
      <c r="W819" s="1681">
        <f t="shared" si="75"/>
        <v>0</v>
      </c>
      <c r="X819" s="1681"/>
      <c r="Y819" s="1681">
        <f t="shared" si="76"/>
        <v>0</v>
      </c>
      <c r="Z819" s="1681"/>
      <c r="AB819" s="1682"/>
      <c r="AC819" s="1682"/>
      <c r="AE819" s="1683"/>
      <c r="AF819" s="1683"/>
      <c r="AG819" s="1683"/>
      <c r="AH819" s="1683"/>
      <c r="AI819" s="1683"/>
      <c r="AJ819" s="1683"/>
      <c r="AK819" s="1683"/>
      <c r="AL819" s="1683"/>
      <c r="AM819" s="1683"/>
      <c r="AN819" s="1683"/>
      <c r="AO819" s="1683"/>
      <c r="AP819" s="1683"/>
      <c r="AQ819" s="1683"/>
      <c r="AR819" s="1683"/>
      <c r="AS819" s="1683"/>
      <c r="AT819" s="1683"/>
      <c r="AU819" s="1683"/>
      <c r="AV819" s="1683"/>
      <c r="AW819" s="1683"/>
      <c r="AX819" s="1683"/>
      <c r="AY819" s="1683"/>
      <c r="AZ819" s="1683"/>
      <c r="BA819" s="1683"/>
      <c r="BB819" s="1683"/>
    </row>
    <row r="820" spans="1:54">
      <c r="A820" s="326">
        <f t="shared" si="77"/>
        <v>58348</v>
      </c>
      <c r="B820" s="1678"/>
      <c r="C820" s="1679">
        <f t="shared" si="74"/>
        <v>1</v>
      </c>
      <c r="D820" s="1679">
        <f>PRODUCT(C$5:C820)</f>
        <v>3.55771976932645</v>
      </c>
      <c r="J820" s="1680"/>
      <c r="K820" s="1680"/>
      <c r="L820" s="1680"/>
      <c r="N820" s="1681"/>
      <c r="O820" s="1681"/>
      <c r="P820" s="1681"/>
      <c r="Q820" s="1681"/>
      <c r="R820" s="1681"/>
      <c r="T820" s="1681"/>
      <c r="U820" s="1681"/>
      <c r="W820" s="1681">
        <f t="shared" si="75"/>
        <v>0</v>
      </c>
      <c r="X820" s="1681"/>
      <c r="Y820" s="1681">
        <f t="shared" si="76"/>
        <v>0</v>
      </c>
      <c r="Z820" s="1681"/>
      <c r="AB820" s="1682"/>
      <c r="AC820" s="1682"/>
      <c r="AE820" s="1683"/>
      <c r="AF820" s="1683"/>
      <c r="AG820" s="1683"/>
      <c r="AH820" s="1683"/>
      <c r="AI820" s="1683"/>
      <c r="AJ820" s="1683"/>
      <c r="AK820" s="1683"/>
      <c r="AL820" s="1683"/>
      <c r="AM820" s="1683"/>
      <c r="AN820" s="1683"/>
      <c r="AO820" s="1683"/>
      <c r="AP820" s="1683"/>
      <c r="AQ820" s="1683"/>
      <c r="AR820" s="1683"/>
      <c r="AS820" s="1683"/>
      <c r="AT820" s="1683"/>
      <c r="AU820" s="1683"/>
      <c r="AV820" s="1683"/>
      <c r="AW820" s="1683"/>
      <c r="AX820" s="1683"/>
      <c r="AY820" s="1683"/>
      <c r="AZ820" s="1683"/>
      <c r="BA820" s="1683"/>
      <c r="BB820" s="1683"/>
    </row>
    <row r="821" spans="1:54">
      <c r="A821" s="326">
        <f t="shared" si="77"/>
        <v>58379</v>
      </c>
      <c r="B821" s="1678"/>
      <c r="C821" s="1679">
        <f t="shared" si="74"/>
        <v>1</v>
      </c>
      <c r="D821" s="1679">
        <f>PRODUCT(C$5:C821)</f>
        <v>3.55771976932645</v>
      </c>
      <c r="J821" s="1680"/>
      <c r="K821" s="1680"/>
      <c r="L821" s="1680"/>
      <c r="N821" s="1681"/>
      <c r="O821" s="1681"/>
      <c r="P821" s="1681"/>
      <c r="Q821" s="1681"/>
      <c r="R821" s="1681"/>
      <c r="T821" s="1681"/>
      <c r="U821" s="1681"/>
      <c r="W821" s="1681">
        <f t="shared" si="75"/>
        <v>0</v>
      </c>
      <c r="X821" s="1681"/>
      <c r="Y821" s="1681">
        <f t="shared" si="76"/>
        <v>0</v>
      </c>
      <c r="Z821" s="1681"/>
      <c r="AB821" s="1682"/>
      <c r="AC821" s="1682"/>
      <c r="AE821" s="1683"/>
      <c r="AF821" s="1683"/>
      <c r="AG821" s="1683"/>
      <c r="AH821" s="1683"/>
      <c r="AI821" s="1683"/>
      <c r="AJ821" s="1683"/>
      <c r="AK821" s="1683"/>
      <c r="AL821" s="1683"/>
      <c r="AM821" s="1683"/>
      <c r="AN821" s="1683"/>
      <c r="AO821" s="1683"/>
      <c r="AP821" s="1683"/>
      <c r="AQ821" s="1683"/>
      <c r="AR821" s="1683"/>
      <c r="AS821" s="1683"/>
      <c r="AT821" s="1683"/>
      <c r="AU821" s="1683"/>
      <c r="AV821" s="1683"/>
      <c r="AW821" s="1683"/>
      <c r="AX821" s="1683"/>
      <c r="AY821" s="1683"/>
      <c r="AZ821" s="1683"/>
      <c r="BA821" s="1683"/>
      <c r="BB821" s="1683"/>
    </row>
    <row r="822" spans="1:54">
      <c r="A822" s="326">
        <f t="shared" si="77"/>
        <v>58409</v>
      </c>
      <c r="B822" s="1678"/>
      <c r="C822" s="1679">
        <f t="shared" si="74"/>
        <v>1</v>
      </c>
      <c r="D822" s="1679">
        <f>PRODUCT(C$5:C822)</f>
        <v>3.55771976932645</v>
      </c>
      <c r="J822" s="1680"/>
      <c r="K822" s="1680"/>
      <c r="L822" s="1680"/>
      <c r="N822" s="1681"/>
      <c r="O822" s="1681"/>
      <c r="P822" s="1681"/>
      <c r="Q822" s="1681"/>
      <c r="R822" s="1681"/>
      <c r="T822" s="1681"/>
      <c r="U822" s="1681"/>
      <c r="W822" s="1681">
        <f t="shared" si="75"/>
        <v>0</v>
      </c>
      <c r="X822" s="1681"/>
      <c r="Y822" s="1681">
        <f t="shared" si="76"/>
        <v>0</v>
      </c>
      <c r="Z822" s="1681"/>
      <c r="AB822" s="1682"/>
      <c r="AC822" s="1682"/>
      <c r="AE822" s="1683"/>
      <c r="AF822" s="1683"/>
      <c r="AG822" s="1683"/>
      <c r="AH822" s="1683"/>
      <c r="AI822" s="1683"/>
      <c r="AJ822" s="1683"/>
      <c r="AK822" s="1683"/>
      <c r="AL822" s="1683"/>
      <c r="AM822" s="1683"/>
      <c r="AN822" s="1683"/>
      <c r="AO822" s="1683"/>
      <c r="AP822" s="1683"/>
      <c r="AQ822" s="1683"/>
      <c r="AR822" s="1683"/>
      <c r="AS822" s="1683"/>
      <c r="AT822" s="1683"/>
      <c r="AU822" s="1683"/>
      <c r="AV822" s="1683"/>
      <c r="AW822" s="1683"/>
      <c r="AX822" s="1683"/>
      <c r="AY822" s="1683"/>
      <c r="AZ822" s="1683"/>
      <c r="BA822" s="1683"/>
      <c r="BB822" s="1683"/>
    </row>
    <row r="823" spans="1:54">
      <c r="A823" s="326">
        <f t="shared" si="77"/>
        <v>58440</v>
      </c>
      <c r="B823" s="1678"/>
      <c r="C823" s="1679">
        <f t="shared" si="74"/>
        <v>1</v>
      </c>
      <c r="D823" s="1679">
        <f>PRODUCT(C$5:C823)</f>
        <v>3.55771976932645</v>
      </c>
      <c r="J823" s="1680"/>
      <c r="K823" s="1680"/>
      <c r="L823" s="1680"/>
      <c r="N823" s="1681"/>
      <c r="O823" s="1681"/>
      <c r="P823" s="1681"/>
      <c r="Q823" s="1681"/>
      <c r="R823" s="1681"/>
      <c r="T823" s="1681"/>
      <c r="U823" s="1681"/>
      <c r="W823" s="1681">
        <f t="shared" si="75"/>
        <v>0</v>
      </c>
      <c r="X823" s="1681"/>
      <c r="Y823" s="1681">
        <f t="shared" si="76"/>
        <v>0</v>
      </c>
      <c r="Z823" s="1681"/>
      <c r="AB823" s="1682"/>
      <c r="AC823" s="1682"/>
      <c r="AE823" s="1683"/>
      <c r="AF823" s="1683"/>
      <c r="AG823" s="1683"/>
      <c r="AH823" s="1683"/>
      <c r="AI823" s="1683"/>
      <c r="AJ823" s="1683"/>
      <c r="AK823" s="1683"/>
      <c r="AL823" s="1683"/>
      <c r="AM823" s="1683"/>
      <c r="AN823" s="1683"/>
      <c r="AO823" s="1683"/>
      <c r="AP823" s="1683"/>
      <c r="AQ823" s="1683"/>
      <c r="AR823" s="1683"/>
      <c r="AS823" s="1683"/>
      <c r="AT823" s="1683"/>
      <c r="AU823" s="1683"/>
      <c r="AV823" s="1683"/>
      <c r="AW823" s="1683"/>
      <c r="AX823" s="1683"/>
      <c r="AY823" s="1683"/>
      <c r="AZ823" s="1683"/>
      <c r="BA823" s="1683"/>
      <c r="BB823" s="1683"/>
    </row>
    <row r="824" spans="1:54">
      <c r="A824" s="326">
        <f t="shared" si="77"/>
        <v>58471</v>
      </c>
      <c r="B824" s="1678"/>
      <c r="C824" s="1679">
        <f t="shared" ref="C824:C835" si="78">IF(B824="",1,B824/100)</f>
        <v>1</v>
      </c>
      <c r="D824" s="1679">
        <f>PRODUCT(C$5:C824)</f>
        <v>3.55771976932645</v>
      </c>
      <c r="J824" s="1680"/>
      <c r="K824" s="1680"/>
      <c r="L824" s="1680"/>
      <c r="N824" s="1681"/>
      <c r="O824" s="1681"/>
      <c r="P824" s="1681"/>
      <c r="Q824" s="1681"/>
      <c r="R824" s="1681"/>
      <c r="T824" s="1681"/>
      <c r="U824" s="1681"/>
      <c r="W824" s="1681">
        <f t="shared" ref="W824:W835" si="79">Q824</f>
        <v>0</v>
      </c>
      <c r="X824" s="1681"/>
      <c r="Y824" s="1681">
        <f t="shared" ref="Y824:Y835" si="80">R824</f>
        <v>0</v>
      </c>
      <c r="Z824" s="1681"/>
      <c r="AB824" s="1682"/>
      <c r="AC824" s="1682"/>
      <c r="AE824" s="1683"/>
      <c r="AF824" s="1683"/>
      <c r="AG824" s="1683"/>
      <c r="AH824" s="1683"/>
      <c r="AI824" s="1683"/>
      <c r="AJ824" s="1683"/>
      <c r="AK824" s="1683"/>
      <c r="AL824" s="1683"/>
      <c r="AM824" s="1683"/>
      <c r="AN824" s="1683"/>
      <c r="AO824" s="1683"/>
      <c r="AP824" s="1683"/>
      <c r="AQ824" s="1683"/>
      <c r="AR824" s="1683"/>
      <c r="AS824" s="1683"/>
      <c r="AT824" s="1683"/>
      <c r="AU824" s="1683"/>
      <c r="AV824" s="1683"/>
      <c r="AW824" s="1683"/>
      <c r="AX824" s="1683"/>
      <c r="AY824" s="1683"/>
      <c r="AZ824" s="1683"/>
      <c r="BA824" s="1683"/>
      <c r="BB824" s="1683"/>
    </row>
    <row r="825" spans="1:54">
      <c r="A825" s="326">
        <f t="shared" si="77"/>
        <v>58500</v>
      </c>
      <c r="B825" s="1678"/>
      <c r="C825" s="1679">
        <f t="shared" si="78"/>
        <v>1</v>
      </c>
      <c r="D825" s="1679">
        <f>PRODUCT(C$5:C825)</f>
        <v>3.55771976932645</v>
      </c>
      <c r="J825" s="1680"/>
      <c r="K825" s="1680"/>
      <c r="L825" s="1680"/>
      <c r="N825" s="1681"/>
      <c r="O825" s="1681"/>
      <c r="P825" s="1681"/>
      <c r="Q825" s="1681"/>
      <c r="R825" s="1681"/>
      <c r="T825" s="1681"/>
      <c r="U825" s="1681"/>
      <c r="W825" s="1681">
        <f t="shared" si="79"/>
        <v>0</v>
      </c>
      <c r="X825" s="1681"/>
      <c r="Y825" s="1681">
        <f t="shared" si="80"/>
        <v>0</v>
      </c>
      <c r="Z825" s="1681"/>
      <c r="AB825" s="1682"/>
      <c r="AC825" s="1682"/>
      <c r="AE825" s="1683"/>
      <c r="AF825" s="1683"/>
      <c r="AG825" s="1683"/>
      <c r="AH825" s="1683"/>
      <c r="AI825" s="1683"/>
      <c r="AJ825" s="1683"/>
      <c r="AK825" s="1683"/>
      <c r="AL825" s="1683"/>
      <c r="AM825" s="1683"/>
      <c r="AN825" s="1683"/>
      <c r="AO825" s="1683"/>
      <c r="AP825" s="1683"/>
      <c r="AQ825" s="1683"/>
      <c r="AR825" s="1683"/>
      <c r="AS825" s="1683"/>
      <c r="AT825" s="1683"/>
      <c r="AU825" s="1683"/>
      <c r="AV825" s="1683"/>
      <c r="AW825" s="1683"/>
      <c r="AX825" s="1683"/>
      <c r="AY825" s="1683"/>
      <c r="AZ825" s="1683"/>
      <c r="BA825" s="1683"/>
      <c r="BB825" s="1683"/>
    </row>
    <row r="826" spans="1:54">
      <c r="A826" s="326">
        <f t="shared" si="77"/>
        <v>58531</v>
      </c>
      <c r="B826" s="1678"/>
      <c r="C826" s="1679">
        <f t="shared" si="78"/>
        <v>1</v>
      </c>
      <c r="D826" s="1679">
        <f>PRODUCT(C$5:C826)</f>
        <v>3.55771976932645</v>
      </c>
      <c r="J826" s="1680"/>
      <c r="K826" s="1680"/>
      <c r="L826" s="1680"/>
      <c r="N826" s="1681"/>
      <c r="O826" s="1681"/>
      <c r="P826" s="1681"/>
      <c r="Q826" s="1681"/>
      <c r="R826" s="1681"/>
      <c r="T826" s="1681"/>
      <c r="U826" s="1681"/>
      <c r="W826" s="1681">
        <f t="shared" si="79"/>
        <v>0</v>
      </c>
      <c r="X826" s="1681"/>
      <c r="Y826" s="1681">
        <f t="shared" si="80"/>
        <v>0</v>
      </c>
      <c r="Z826" s="1681"/>
      <c r="AB826" s="1682"/>
      <c r="AC826" s="1682"/>
      <c r="AE826" s="1683"/>
      <c r="AF826" s="1683"/>
      <c r="AG826" s="1683"/>
      <c r="AH826" s="1683"/>
      <c r="AI826" s="1683"/>
      <c r="AJ826" s="1683"/>
      <c r="AK826" s="1683"/>
      <c r="AL826" s="1683"/>
      <c r="AM826" s="1683"/>
      <c r="AN826" s="1683"/>
      <c r="AO826" s="1683"/>
      <c r="AP826" s="1683"/>
      <c r="AQ826" s="1683"/>
      <c r="AR826" s="1683"/>
      <c r="AS826" s="1683"/>
      <c r="AT826" s="1683"/>
      <c r="AU826" s="1683"/>
      <c r="AV826" s="1683"/>
      <c r="AW826" s="1683"/>
      <c r="AX826" s="1683"/>
      <c r="AY826" s="1683"/>
      <c r="AZ826" s="1683"/>
      <c r="BA826" s="1683"/>
      <c r="BB826" s="1683"/>
    </row>
    <row r="827" spans="1:54">
      <c r="A827" s="326">
        <f t="shared" si="77"/>
        <v>58561</v>
      </c>
      <c r="B827" s="1678"/>
      <c r="C827" s="1679">
        <f t="shared" si="78"/>
        <v>1</v>
      </c>
      <c r="D827" s="1679">
        <f>PRODUCT(C$5:C827)</f>
        <v>3.55771976932645</v>
      </c>
      <c r="J827" s="1680"/>
      <c r="K827" s="1680"/>
      <c r="L827" s="1680"/>
      <c r="N827" s="1681"/>
      <c r="O827" s="1681"/>
      <c r="P827" s="1681"/>
      <c r="Q827" s="1681"/>
      <c r="R827" s="1681"/>
      <c r="T827" s="1681"/>
      <c r="U827" s="1681"/>
      <c r="W827" s="1681">
        <f t="shared" si="79"/>
        <v>0</v>
      </c>
      <c r="X827" s="1681"/>
      <c r="Y827" s="1681">
        <f t="shared" si="80"/>
        <v>0</v>
      </c>
      <c r="Z827" s="1681"/>
      <c r="AB827" s="1682"/>
      <c r="AC827" s="1682"/>
      <c r="AE827" s="1683"/>
      <c r="AF827" s="1683"/>
      <c r="AG827" s="1683"/>
      <c r="AH827" s="1683"/>
      <c r="AI827" s="1683"/>
      <c r="AJ827" s="1683"/>
      <c r="AK827" s="1683"/>
      <c r="AL827" s="1683"/>
      <c r="AM827" s="1683"/>
      <c r="AN827" s="1683"/>
      <c r="AO827" s="1683"/>
      <c r="AP827" s="1683"/>
      <c r="AQ827" s="1683"/>
      <c r="AR827" s="1683"/>
      <c r="AS827" s="1683"/>
      <c r="AT827" s="1683"/>
      <c r="AU827" s="1683"/>
      <c r="AV827" s="1683"/>
      <c r="AW827" s="1683"/>
      <c r="AX827" s="1683"/>
      <c r="AY827" s="1683"/>
      <c r="AZ827" s="1683"/>
      <c r="BA827" s="1683"/>
      <c r="BB827" s="1683"/>
    </row>
    <row r="828" spans="1:54">
      <c r="A828" s="326">
        <f t="shared" si="77"/>
        <v>58592</v>
      </c>
      <c r="B828" s="1678"/>
      <c r="C828" s="1679">
        <f t="shared" si="78"/>
        <v>1</v>
      </c>
      <c r="D828" s="1679">
        <f>PRODUCT(C$5:C828)</f>
        <v>3.55771976932645</v>
      </c>
      <c r="J828" s="1680"/>
      <c r="K828" s="1680"/>
      <c r="L828" s="1680"/>
      <c r="N828" s="1681"/>
      <c r="O828" s="1681"/>
      <c r="P828" s="1681"/>
      <c r="Q828" s="1681"/>
      <c r="R828" s="1681"/>
      <c r="T828" s="1681"/>
      <c r="U828" s="1681"/>
      <c r="W828" s="1681">
        <f t="shared" si="79"/>
        <v>0</v>
      </c>
      <c r="X828" s="1681"/>
      <c r="Y828" s="1681">
        <f t="shared" si="80"/>
        <v>0</v>
      </c>
      <c r="Z828" s="1681"/>
      <c r="AB828" s="1682"/>
      <c r="AC828" s="1682"/>
      <c r="AE828" s="1683"/>
      <c r="AF828" s="1683"/>
      <c r="AG828" s="1683"/>
      <c r="AH828" s="1683"/>
      <c r="AI828" s="1683"/>
      <c r="AJ828" s="1683"/>
      <c r="AK828" s="1683"/>
      <c r="AL828" s="1683"/>
      <c r="AM828" s="1683"/>
      <c r="AN828" s="1683"/>
      <c r="AO828" s="1683"/>
      <c r="AP828" s="1683"/>
      <c r="AQ828" s="1683"/>
      <c r="AR828" s="1683"/>
      <c r="AS828" s="1683"/>
      <c r="AT828" s="1683"/>
      <c r="AU828" s="1683"/>
      <c r="AV828" s="1683"/>
      <c r="AW828" s="1683"/>
      <c r="AX828" s="1683"/>
      <c r="AY828" s="1683"/>
      <c r="AZ828" s="1683"/>
      <c r="BA828" s="1683"/>
      <c r="BB828" s="1683"/>
    </row>
    <row r="829" spans="1:54">
      <c r="A829" s="326">
        <f t="shared" si="77"/>
        <v>58622</v>
      </c>
      <c r="B829" s="1678"/>
      <c r="C829" s="1679">
        <f t="shared" si="78"/>
        <v>1</v>
      </c>
      <c r="D829" s="1679">
        <f>PRODUCT(C$5:C829)</f>
        <v>3.55771976932645</v>
      </c>
      <c r="J829" s="1680"/>
      <c r="K829" s="1680"/>
      <c r="L829" s="1680"/>
      <c r="N829" s="1681"/>
      <c r="O829" s="1681"/>
      <c r="P829" s="1681"/>
      <c r="Q829" s="1681"/>
      <c r="R829" s="1681"/>
      <c r="T829" s="1681"/>
      <c r="U829" s="1681"/>
      <c r="W829" s="1681">
        <f t="shared" si="79"/>
        <v>0</v>
      </c>
      <c r="X829" s="1681"/>
      <c r="Y829" s="1681">
        <f t="shared" si="80"/>
        <v>0</v>
      </c>
      <c r="Z829" s="1681"/>
      <c r="AB829" s="1682"/>
      <c r="AC829" s="1682"/>
      <c r="AE829" s="1683"/>
      <c r="AF829" s="1683"/>
      <c r="AG829" s="1683"/>
      <c r="AH829" s="1683"/>
      <c r="AI829" s="1683"/>
      <c r="AJ829" s="1683"/>
      <c r="AK829" s="1683"/>
      <c r="AL829" s="1683"/>
      <c r="AM829" s="1683"/>
      <c r="AN829" s="1683"/>
      <c r="AO829" s="1683"/>
      <c r="AP829" s="1683"/>
      <c r="AQ829" s="1683"/>
      <c r="AR829" s="1683"/>
      <c r="AS829" s="1683"/>
      <c r="AT829" s="1683"/>
      <c r="AU829" s="1683"/>
      <c r="AV829" s="1683"/>
      <c r="AW829" s="1683"/>
      <c r="AX829" s="1683"/>
      <c r="AY829" s="1683"/>
      <c r="AZ829" s="1683"/>
      <c r="BA829" s="1683"/>
      <c r="BB829" s="1683"/>
    </row>
    <row r="830" spans="1:54">
      <c r="A830" s="326">
        <f t="shared" si="77"/>
        <v>58653</v>
      </c>
      <c r="B830" s="1678"/>
      <c r="C830" s="1679">
        <f t="shared" si="78"/>
        <v>1</v>
      </c>
      <c r="D830" s="1679">
        <f>PRODUCT(C$5:C830)</f>
        <v>3.55771976932645</v>
      </c>
      <c r="J830" s="1680"/>
      <c r="K830" s="1680"/>
      <c r="L830" s="1680"/>
      <c r="N830" s="1681"/>
      <c r="O830" s="1681"/>
      <c r="P830" s="1681"/>
      <c r="Q830" s="1681"/>
      <c r="R830" s="1681"/>
      <c r="T830" s="1681"/>
      <c r="U830" s="1681"/>
      <c r="W830" s="1681">
        <f t="shared" si="79"/>
        <v>0</v>
      </c>
      <c r="X830" s="1681"/>
      <c r="Y830" s="1681">
        <f t="shared" si="80"/>
        <v>0</v>
      </c>
      <c r="Z830" s="1681"/>
      <c r="AB830" s="1682"/>
      <c r="AC830" s="1682"/>
      <c r="AE830" s="1683"/>
      <c r="AF830" s="1683"/>
      <c r="AG830" s="1683"/>
      <c r="AH830" s="1683"/>
      <c r="AI830" s="1683"/>
      <c r="AJ830" s="1683"/>
      <c r="AK830" s="1683"/>
      <c r="AL830" s="1683"/>
      <c r="AM830" s="1683"/>
      <c r="AN830" s="1683"/>
      <c r="AO830" s="1683"/>
      <c r="AP830" s="1683"/>
      <c r="AQ830" s="1683"/>
      <c r="AR830" s="1683"/>
      <c r="AS830" s="1683"/>
      <c r="AT830" s="1683"/>
      <c r="AU830" s="1683"/>
      <c r="AV830" s="1683"/>
      <c r="AW830" s="1683"/>
      <c r="AX830" s="1683"/>
      <c r="AY830" s="1683"/>
      <c r="AZ830" s="1683"/>
      <c r="BA830" s="1683"/>
      <c r="BB830" s="1683"/>
    </row>
    <row r="831" spans="1:54">
      <c r="A831" s="326">
        <f t="shared" si="77"/>
        <v>58684</v>
      </c>
      <c r="B831" s="1678"/>
      <c r="C831" s="1679">
        <f t="shared" si="78"/>
        <v>1</v>
      </c>
      <c r="D831" s="1679">
        <f>PRODUCT(C$5:C831)</f>
        <v>3.55771976932645</v>
      </c>
      <c r="J831" s="1680"/>
      <c r="K831" s="1680"/>
      <c r="L831" s="1680"/>
      <c r="N831" s="1681"/>
      <c r="O831" s="1681"/>
      <c r="P831" s="1681"/>
      <c r="Q831" s="1681"/>
      <c r="R831" s="1681"/>
      <c r="T831" s="1681"/>
      <c r="U831" s="1681"/>
      <c r="W831" s="1681">
        <f t="shared" si="79"/>
        <v>0</v>
      </c>
      <c r="X831" s="1681"/>
      <c r="Y831" s="1681">
        <f t="shared" si="80"/>
        <v>0</v>
      </c>
      <c r="Z831" s="1681"/>
      <c r="AB831" s="1682"/>
      <c r="AC831" s="1682"/>
      <c r="AE831" s="1683"/>
      <c r="AF831" s="1683"/>
      <c r="AG831" s="1683"/>
      <c r="AH831" s="1683"/>
      <c r="AI831" s="1683"/>
      <c r="AJ831" s="1683"/>
      <c r="AK831" s="1683"/>
      <c r="AL831" s="1683"/>
      <c r="AM831" s="1683"/>
      <c r="AN831" s="1683"/>
      <c r="AO831" s="1683"/>
      <c r="AP831" s="1683"/>
      <c r="AQ831" s="1683"/>
      <c r="AR831" s="1683"/>
      <c r="AS831" s="1683"/>
      <c r="AT831" s="1683"/>
      <c r="AU831" s="1683"/>
      <c r="AV831" s="1683"/>
      <c r="AW831" s="1683"/>
      <c r="AX831" s="1683"/>
      <c r="AY831" s="1683"/>
      <c r="AZ831" s="1683"/>
      <c r="BA831" s="1683"/>
      <c r="BB831" s="1683"/>
    </row>
    <row r="832" spans="1:54">
      <c r="A832" s="326">
        <f t="shared" si="77"/>
        <v>58714</v>
      </c>
      <c r="B832" s="1678"/>
      <c r="C832" s="1679">
        <f t="shared" si="78"/>
        <v>1</v>
      </c>
      <c r="D832" s="1679">
        <f>PRODUCT(C$5:C832)</f>
        <v>3.55771976932645</v>
      </c>
      <c r="J832" s="1680"/>
      <c r="K832" s="1680"/>
      <c r="L832" s="1680"/>
      <c r="N832" s="1681"/>
      <c r="O832" s="1681"/>
      <c r="P832" s="1681"/>
      <c r="Q832" s="1681"/>
      <c r="R832" s="1681"/>
      <c r="T832" s="1681"/>
      <c r="U832" s="1681"/>
      <c r="W832" s="1681">
        <f t="shared" si="79"/>
        <v>0</v>
      </c>
      <c r="X832" s="1681"/>
      <c r="Y832" s="1681">
        <f t="shared" si="80"/>
        <v>0</v>
      </c>
      <c r="Z832" s="1681"/>
      <c r="AB832" s="1682"/>
      <c r="AC832" s="1682"/>
      <c r="AE832" s="1683"/>
      <c r="AF832" s="1683"/>
      <c r="AG832" s="1683"/>
      <c r="AH832" s="1683"/>
      <c r="AI832" s="1683"/>
      <c r="AJ832" s="1683"/>
      <c r="AK832" s="1683"/>
      <c r="AL832" s="1683"/>
      <c r="AM832" s="1683"/>
      <c r="AN832" s="1683"/>
      <c r="AO832" s="1683"/>
      <c r="AP832" s="1683"/>
      <c r="AQ832" s="1683"/>
      <c r="AR832" s="1683"/>
      <c r="AS832" s="1683"/>
      <c r="AT832" s="1683"/>
      <c r="AU832" s="1683"/>
      <c r="AV832" s="1683"/>
      <c r="AW832" s="1683"/>
      <c r="AX832" s="1683"/>
      <c r="AY832" s="1683"/>
      <c r="AZ832" s="1683"/>
      <c r="BA832" s="1683"/>
      <c r="BB832" s="1683"/>
    </row>
    <row r="833" spans="1:54">
      <c r="A833" s="326">
        <f t="shared" si="77"/>
        <v>58745</v>
      </c>
      <c r="B833" s="1678"/>
      <c r="C833" s="1679">
        <f t="shared" si="78"/>
        <v>1</v>
      </c>
      <c r="D833" s="1679">
        <f>PRODUCT(C$5:C833)</f>
        <v>3.55771976932645</v>
      </c>
      <c r="J833" s="1680"/>
      <c r="K833" s="1680"/>
      <c r="L833" s="1680"/>
      <c r="N833" s="1681"/>
      <c r="O833" s="1681"/>
      <c r="P833" s="1681"/>
      <c r="Q833" s="1681"/>
      <c r="R833" s="1681"/>
      <c r="T833" s="1681"/>
      <c r="U833" s="1681"/>
      <c r="W833" s="1681">
        <f t="shared" si="79"/>
        <v>0</v>
      </c>
      <c r="X833" s="1681"/>
      <c r="Y833" s="1681">
        <f t="shared" si="80"/>
        <v>0</v>
      </c>
      <c r="Z833" s="1681"/>
      <c r="AB833" s="1682"/>
      <c r="AC833" s="1682"/>
      <c r="AE833" s="1683"/>
      <c r="AF833" s="1683"/>
      <c r="AG833" s="1683"/>
      <c r="AH833" s="1683"/>
      <c r="AI833" s="1683"/>
      <c r="AJ833" s="1683"/>
      <c r="AK833" s="1683"/>
      <c r="AL833" s="1683"/>
      <c r="AM833" s="1683"/>
      <c r="AN833" s="1683"/>
      <c r="AO833" s="1683"/>
      <c r="AP833" s="1683"/>
      <c r="AQ833" s="1683"/>
      <c r="AR833" s="1683"/>
      <c r="AS833" s="1683"/>
      <c r="AT833" s="1683"/>
      <c r="AU833" s="1683"/>
      <c r="AV833" s="1683"/>
      <c r="AW833" s="1683"/>
      <c r="AX833" s="1683"/>
      <c r="AY833" s="1683"/>
      <c r="AZ833" s="1683"/>
      <c r="BA833" s="1683"/>
      <c r="BB833" s="1683"/>
    </row>
    <row r="834" spans="1:54">
      <c r="A834" s="326">
        <f t="shared" si="77"/>
        <v>58775</v>
      </c>
      <c r="B834" s="1678"/>
      <c r="C834" s="1679">
        <f t="shared" si="78"/>
        <v>1</v>
      </c>
      <c r="D834" s="1679">
        <f>PRODUCT(C$5:C834)</f>
        <v>3.55771976932645</v>
      </c>
      <c r="J834" s="1680"/>
      <c r="K834" s="1680"/>
      <c r="L834" s="1680"/>
      <c r="N834" s="1681"/>
      <c r="O834" s="1681"/>
      <c r="P834" s="1681"/>
      <c r="Q834" s="1681"/>
      <c r="R834" s="1681"/>
      <c r="T834" s="1681"/>
      <c r="U834" s="1681"/>
      <c r="W834" s="1681">
        <f t="shared" si="79"/>
        <v>0</v>
      </c>
      <c r="X834" s="1681"/>
      <c r="Y834" s="1681">
        <f t="shared" si="80"/>
        <v>0</v>
      </c>
      <c r="Z834" s="1681"/>
      <c r="AB834" s="1682"/>
      <c r="AC834" s="1682"/>
      <c r="AE834" s="1683"/>
      <c r="AF834" s="1683"/>
      <c r="AG834" s="1683"/>
      <c r="AH834" s="1683"/>
      <c r="AI834" s="1683"/>
      <c r="AJ834" s="1683"/>
      <c r="AK834" s="1683"/>
      <c r="AL834" s="1683"/>
      <c r="AM834" s="1683"/>
      <c r="AN834" s="1683"/>
      <c r="AO834" s="1683"/>
      <c r="AP834" s="1683"/>
      <c r="AQ834" s="1683"/>
      <c r="AR834" s="1683"/>
      <c r="AS834" s="1683"/>
      <c r="AT834" s="1683"/>
      <c r="AU834" s="1683"/>
      <c r="AV834" s="1683"/>
      <c r="AW834" s="1683"/>
      <c r="AX834" s="1683"/>
      <c r="AY834" s="1683"/>
      <c r="AZ834" s="1683"/>
      <c r="BA834" s="1683"/>
      <c r="BB834" s="1683"/>
    </row>
    <row r="835" spans="1:54">
      <c r="A835" s="326">
        <f t="shared" si="77"/>
        <v>58806</v>
      </c>
      <c r="B835" s="1678"/>
      <c r="C835" s="1679">
        <f t="shared" si="78"/>
        <v>1</v>
      </c>
      <c r="D835" s="1679">
        <f>PRODUCT(C$5:C835)</f>
        <v>3.55771976932645</v>
      </c>
      <c r="J835" s="1680"/>
      <c r="K835" s="1680"/>
      <c r="L835" s="1680"/>
      <c r="N835" s="1681"/>
      <c r="O835" s="1681"/>
      <c r="P835" s="1681"/>
      <c r="Q835" s="1681"/>
      <c r="R835" s="1681"/>
      <c r="T835" s="1681"/>
      <c r="U835" s="1681"/>
      <c r="W835" s="1681">
        <f t="shared" si="79"/>
        <v>0</v>
      </c>
      <c r="X835" s="1681"/>
      <c r="Y835" s="1681">
        <f t="shared" si="80"/>
        <v>0</v>
      </c>
      <c r="Z835" s="1681"/>
      <c r="AB835" s="1682"/>
      <c r="AC835" s="1682"/>
      <c r="AE835" s="1683"/>
      <c r="AF835" s="1683"/>
      <c r="AG835" s="1683"/>
      <c r="AH835" s="1683"/>
      <c r="AI835" s="1683"/>
      <c r="AJ835" s="1683"/>
      <c r="AK835" s="1683"/>
      <c r="AL835" s="1683"/>
      <c r="AM835" s="1683"/>
      <c r="AN835" s="1683"/>
      <c r="AO835" s="1683"/>
      <c r="AP835" s="1683"/>
      <c r="AQ835" s="1683"/>
      <c r="AR835" s="1683"/>
      <c r="AS835" s="1683"/>
      <c r="AT835" s="1683"/>
      <c r="AU835" s="1683"/>
      <c r="AV835" s="1683"/>
      <c r="AW835" s="1683"/>
      <c r="AX835" s="1683"/>
      <c r="AY835" s="1683"/>
      <c r="AZ835" s="1683"/>
      <c r="BA835" s="1683"/>
      <c r="BB835" s="1683"/>
    </row>
  </sheetData>
  <mergeCells count="9">
    <mergeCell ref="B2:D2"/>
    <mergeCell ref="F2:H2"/>
    <mergeCell ref="J2:L2"/>
    <mergeCell ref="N2:R2"/>
    <mergeCell ref="T2:U2"/>
    <mergeCell ref="W2:Z2"/>
    <mergeCell ref="AB2:AC2"/>
    <mergeCell ref="AE2:BB2"/>
    <mergeCell ref="A2:A3"/>
  </mergeCells>
  <conditionalFormatting sqref="A374:I403">
    <cfRule type="expression" dxfId="2" priority="3">
      <formula>$A374&gt;TODAY()</formula>
    </cfRule>
  </conditionalFormatting>
  <conditionalFormatting sqref="M374:AA374 AD374:BB374">
    <cfRule type="expression" dxfId="2" priority="10">
      <formula>$A374&gt;TODAY()</formula>
    </cfRule>
  </conditionalFormatting>
  <conditionalFormatting sqref="M375:BB403">
    <cfRule type="expression" dxfId="2" priority="1">
      <formula>$A375&gt;TODAY()</formula>
    </cfRule>
  </conditionalFormatting>
  <conditionalFormatting sqref="A404:BB835">
    <cfRule type="expression" dxfId="2" priority="8">
      <formula>$A404&gt;TODAY()</formula>
    </cfRule>
  </conditionalFormatting>
  <pageMargins left="0.7" right="0.7" top="0.75" bottom="0.75" header="0.3" footer="0.3"/>
  <headerFooter/>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7"/>
  <dimension ref="A1:BX38"/>
  <sheetViews>
    <sheetView workbookViewId="0">
      <selection activeCell="E45" sqref="E45"/>
    </sheetView>
  </sheetViews>
  <sheetFormatPr defaultColWidth="9" defaultRowHeight="13.2"/>
  <cols>
    <col min="1" max="1" width="4.6" style="74" customWidth="1"/>
    <col min="2" max="2" width="20.7" style="75" customWidth="1"/>
    <col min="3" max="4" width="8.7" style="75" customWidth="1"/>
    <col min="5" max="5" width="5.7" style="75" customWidth="1"/>
    <col min="6" max="6" width="6.1" style="165" customWidth="1" outlineLevel="1"/>
    <col min="7" max="8" width="4.6" style="75" customWidth="1" outlineLevel="1"/>
    <col min="9" max="9" width="6.1" style="75" customWidth="1" outlineLevel="1"/>
    <col min="10" max="10" width="12.7" style="75" customWidth="1" outlineLevel="1"/>
    <col min="11" max="11" width="12.7" style="76" customWidth="1" outlineLevel="1"/>
    <col min="12" max="13" width="18.6" style="75" customWidth="1"/>
    <col min="14" max="15" width="8.6" style="75" customWidth="1"/>
    <col min="16" max="52" width="9" style="75" hidden="1" customWidth="1" outlineLevel="1"/>
    <col min="53" max="53" width="14.7" style="75" customWidth="1" collapsed="1"/>
    <col min="54" max="54" width="6.7" style="75" customWidth="1"/>
    <col min="55" max="56" width="5.1" style="165" customWidth="1"/>
    <col min="57" max="57" width="8.7" style="165" customWidth="1"/>
    <col min="58" max="59" width="9.6" style="75" customWidth="1"/>
    <col min="60" max="62" width="5" style="75" customWidth="1"/>
    <col min="63" max="63" width="5.1" style="75" customWidth="1"/>
    <col min="64" max="64" width="6.7" style="75" customWidth="1"/>
    <col min="65" max="65" width="10.3" style="75" customWidth="1"/>
    <col min="66" max="66" width="8.7" style="75" customWidth="1"/>
    <col min="67" max="67" width="7.1" style="75" customWidth="1"/>
    <col min="68" max="68" width="1.6" style="77" customWidth="1"/>
    <col min="69" max="69" width="10.6" style="78" customWidth="1"/>
    <col min="70" max="70" width="10.6" style="77" customWidth="1"/>
    <col min="71" max="71" width="4.6" style="78" customWidth="1"/>
    <col min="72" max="72" width="10.6" style="78" customWidth="1"/>
    <col min="73" max="74" width="4.6" style="78" customWidth="1"/>
    <col min="75" max="75" width="10.6" style="78" customWidth="1"/>
    <col min="76" max="76" width="5" style="77" customWidth="1"/>
    <col min="77" max="16384" width="9" style="75"/>
  </cols>
  <sheetData>
    <row r="1" s="86" customFormat="1" ht="13.8" spans="1:76">
      <c r="A1" s="203" t="s">
        <v>1591</v>
      </c>
      <c r="B1" s="204" t="s">
        <v>1592</v>
      </c>
      <c r="C1" s="82"/>
      <c r="D1" s="82"/>
      <c r="E1" s="82"/>
      <c r="F1" s="82"/>
      <c r="G1" s="82"/>
      <c r="H1" s="82"/>
      <c r="I1" s="82"/>
      <c r="J1" s="82"/>
      <c r="K1" s="205"/>
      <c r="L1" s="82"/>
      <c r="M1" s="82"/>
      <c r="N1" s="82"/>
      <c r="O1" s="82"/>
      <c r="BA1" s="84" t="str">
        <f>参数表!BA1</f>
        <v>注意：补充特殊事项、作价等均从BA列开始填写</v>
      </c>
      <c r="BB1" s="85"/>
      <c r="BC1" s="82"/>
      <c r="BD1" s="82"/>
      <c r="BE1" s="82"/>
      <c r="BP1" s="87"/>
      <c r="BQ1" s="88"/>
      <c r="BR1" s="87"/>
      <c r="BS1" s="88"/>
      <c r="BT1" s="88"/>
      <c r="BU1" s="88"/>
      <c r="BV1" s="88"/>
      <c r="BW1" s="88"/>
      <c r="BX1" s="87"/>
    </row>
    <row r="2" s="71" customFormat="1" ht="30" customHeight="1" spans="1:76">
      <c r="A2" s="283" t="s">
        <v>5224</v>
      </c>
      <c r="B2" s="89"/>
      <c r="C2" s="89"/>
      <c r="D2" s="89"/>
      <c r="E2" s="89"/>
      <c r="F2" s="89"/>
      <c r="G2" s="89"/>
      <c r="H2" s="89"/>
      <c r="I2" s="89"/>
      <c r="J2" s="89"/>
      <c r="K2" s="89"/>
      <c r="L2" s="89"/>
      <c r="M2" s="89"/>
      <c r="N2" s="89"/>
      <c r="O2" s="89"/>
      <c r="BA2" s="90" t="str">
        <f>参数表!BA2</f>
        <v>评估基准日：</v>
      </c>
      <c r="BB2" s="91" t="str">
        <f>参数表!BB2</f>
        <v>2025年7月31日</v>
      </c>
      <c r="BC2" s="171"/>
      <c r="BD2" s="171"/>
      <c r="BE2" s="171"/>
      <c r="BP2" s="92"/>
      <c r="BQ2" s="93"/>
      <c r="BR2" s="92"/>
      <c r="BS2" s="93"/>
      <c r="BT2" s="93"/>
      <c r="BU2" s="93"/>
      <c r="BV2" s="93"/>
      <c r="BW2" s="93"/>
      <c r="BX2" s="92"/>
    </row>
    <row r="3" ht="15" customHeight="1" spans="1:76">
      <c r="A3" s="94" t="str">
        <f>参数表!F5</f>
        <v>评估基准日：2025年7月31日</v>
      </c>
      <c r="B3" s="94"/>
      <c r="C3" s="94"/>
      <c r="D3" s="94"/>
      <c r="E3" s="94"/>
      <c r="F3" s="94"/>
      <c r="G3" s="94"/>
      <c r="H3" s="94"/>
      <c r="I3" s="94"/>
      <c r="J3" s="94"/>
      <c r="K3" s="94"/>
      <c r="L3" s="94"/>
      <c r="M3" s="95"/>
      <c r="N3" s="95"/>
      <c r="O3" s="95"/>
      <c r="BA3" s="90" t="str">
        <f>参数表!BA3</f>
        <v>是否显示评估值：</v>
      </c>
      <c r="BB3" s="90" t="str">
        <f>参数表!BB3</f>
        <v>是</v>
      </c>
      <c r="BR3" s="78"/>
    </row>
    <row r="4" ht="15" customHeight="1" spans="1:76">
      <c r="A4" s="96"/>
      <c r="B4" s="94"/>
      <c r="C4" s="94"/>
      <c r="D4" s="94"/>
      <c r="E4" s="94"/>
      <c r="F4" s="94"/>
      <c r="G4" s="94"/>
      <c r="H4" s="94"/>
      <c r="I4" s="94"/>
      <c r="J4" s="94"/>
      <c r="K4" s="97"/>
      <c r="L4" s="94"/>
      <c r="M4" s="95"/>
      <c r="N4" s="95"/>
      <c r="O4" s="98" t="str">
        <f>"表"&amp;$BA4</f>
        <v>表5-8-2</v>
      </c>
      <c r="BA4" s="95" t="str">
        <f>合同负总!A8</f>
        <v>5-8-2</v>
      </c>
      <c r="BB4" s="100">
        <f>MAX(COUNTA(A7:A26),COUNTA(B7:B26),COUNTA(J7:J26),COUNTA(L7:L26))</f>
        <v>20</v>
      </c>
      <c r="BC4" s="101">
        <f>ROW(A6)+1</f>
        <v>7</v>
      </c>
      <c r="BD4" s="77"/>
      <c r="BE4" s="77"/>
      <c r="BR4" s="78"/>
    </row>
    <row r="5" ht="15" customHeight="1" spans="1:76">
      <c r="A5" s="102" t="str">
        <f>参数表!F3</f>
        <v>产权持有单位:中煤第五建设有限公司</v>
      </c>
      <c r="B5" s="103"/>
      <c r="C5" s="103"/>
      <c r="D5" s="103"/>
      <c r="E5" s="103"/>
      <c r="F5" s="95"/>
      <c r="G5" s="103"/>
      <c r="H5" s="103"/>
      <c r="I5" s="103"/>
      <c r="J5" s="103"/>
      <c r="K5" s="104"/>
      <c r="L5" s="103"/>
      <c r="M5" s="103"/>
      <c r="N5" s="103"/>
      <c r="O5" s="98" t="s">
        <v>236</v>
      </c>
      <c r="BA5" s="103"/>
      <c r="BB5" s="105" t="str">
        <f ca="1">判断表!C107</f>
        <v>中煤第五建设有限公司第三工程处拟处置实物资产项目\[0000-3基础法明细表.xlsx]合同负-其他</v>
      </c>
      <c r="BC5" s="106">
        <f>IFERROR(SUMIF(BC7:BC26,"√",L7:L26)/L27,0)</f>
        <v>0</v>
      </c>
      <c r="BD5" s="107"/>
      <c r="BE5" s="107"/>
      <c r="BF5" s="284">
        <f>分类汇总!I15</f>
        <v>0</v>
      </c>
      <c r="BG5" s="284">
        <f>分类汇总!K15</f>
        <v>0</v>
      </c>
      <c r="BH5" s="165"/>
      <c r="BI5" s="165"/>
      <c r="BJ5" s="165"/>
      <c r="BK5" s="165"/>
      <c r="BL5" s="165"/>
      <c r="BM5" s="165"/>
      <c r="BP5" s="111"/>
      <c r="BR5" s="78"/>
      <c r="BX5" s="111"/>
    </row>
    <row r="6" s="72" customFormat="1" ht="26.7" customHeight="1" spans="1:76">
      <c r="A6" s="112" t="s">
        <v>305</v>
      </c>
      <c r="B6" s="113" t="s">
        <v>2062</v>
      </c>
      <c r="C6" s="113" t="s">
        <v>1898</v>
      </c>
      <c r="D6" s="113" t="s">
        <v>1961</v>
      </c>
      <c r="E6" s="113" t="s">
        <v>1962</v>
      </c>
      <c r="F6" s="118" t="s">
        <v>1963</v>
      </c>
      <c r="G6" s="114" t="s">
        <v>1631</v>
      </c>
      <c r="H6" s="115" t="s">
        <v>1632</v>
      </c>
      <c r="I6" s="115" t="s">
        <v>1633</v>
      </c>
      <c r="J6" s="113" t="s">
        <v>1549</v>
      </c>
      <c r="K6" s="285" t="s">
        <v>1927</v>
      </c>
      <c r="L6" s="113" t="s">
        <v>1523</v>
      </c>
      <c r="M6" s="113" t="s">
        <v>1550</v>
      </c>
      <c r="N6" s="118" t="s">
        <v>1551</v>
      </c>
      <c r="O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91" t="s">
        <v>467</v>
      </c>
      <c r="BP6" s="119"/>
      <c r="BQ6" s="120" t="s">
        <v>1645</v>
      </c>
      <c r="BR6" s="121" t="s">
        <v>1646</v>
      </c>
      <c r="BS6" s="121" t="s">
        <v>1647</v>
      </c>
      <c r="BT6" s="121" t="s">
        <v>1648</v>
      </c>
      <c r="BU6" s="121" t="s">
        <v>1647</v>
      </c>
      <c r="BV6" s="121" t="s">
        <v>1647</v>
      </c>
      <c r="BW6" s="121" t="s">
        <v>1649</v>
      </c>
      <c r="BX6" s="122" t="s">
        <v>1650</v>
      </c>
    </row>
    <row r="7" ht="15" customHeight="1" spans="1:76">
      <c r="A7" s="123" t="str">
        <f>IF(B7="","",COUNT(A$6:A6)+1)</f>
        <v/>
      </c>
      <c r="B7" s="124"/>
      <c r="C7" s="126"/>
      <c r="D7" s="125"/>
      <c r="E7" s="126" t="str">
        <f t="shared" ref="E7:E26" si="0">IF(OR(L7=0,L7=""),"",IF(BO7&gt;5,"5年以上",IF(BO7&gt;4,"4-5年",IF(BO7&gt;3,"3-4年",IF(BO7&gt;2,"2-3年",IF(BO7&gt;1,"1-2年","1年以内"))))))</f>
        <v/>
      </c>
      <c r="F7" s="126"/>
      <c r="G7" s="127"/>
      <c r="H7" s="127" t="str">
        <f>IFERROR(VLOOKUP(G7,参数表!$H$2:$I$50,2,FALSE),"")</f>
        <v/>
      </c>
      <c r="I7" s="128" t="str">
        <f t="shared" ref="I7:I26" si="1">IFERROR(IF(OR(G7="人民币",G7=""),"",L7/H7),"")</f>
        <v/>
      </c>
      <c r="J7" s="129"/>
      <c r="K7" s="130"/>
      <c r="L7" s="129" t="str">
        <f t="shared" ref="L7:L26" si="2">IF(B7="","",J7+K7)</f>
        <v/>
      </c>
      <c r="M7" s="129" t="str">
        <f t="shared" ref="M7:M26" si="3">IF(B7="","",IF($BB$3="是",L7,""))</f>
        <v/>
      </c>
      <c r="N7" s="129" t="str">
        <f>IFERROR(#REF!/(M7-#REF!)*100,"")</f>
        <v/>
      </c>
      <c r="O7" s="131"/>
      <c r="BA7" s="78"/>
      <c r="BB7" s="132" t="s">
        <v>5225</v>
      </c>
      <c r="BC7" s="133"/>
      <c r="BD7" s="132" t="str">
        <f>IF(OR(B7="",BC7=""),"",COUNTIF(BC$7:BC7,"√"))</f>
        <v/>
      </c>
      <c r="BE7" s="134" t="str">
        <f t="shared" ref="BE7:BE26" si="4">IF(BC7="","",BB7&amp;"︱"&amp;B7&amp;"︱"&amp;TEXT(J7,"#,##0.00"))</f>
        <v/>
      </c>
      <c r="BF7" s="135" t="str">
        <f>IF($B7="","",IF(BF$5=0,"OK","出错"))</f>
        <v/>
      </c>
      <c r="BG7" s="135" t="str">
        <f>IF($B7="","",IF(BG$5=0,"OK","出错"))</f>
        <v/>
      </c>
      <c r="BH7" s="136"/>
      <c r="BI7" s="136"/>
      <c r="BJ7" s="136"/>
      <c r="BK7" s="136"/>
      <c r="BL7" s="136"/>
      <c r="BM7" s="137"/>
      <c r="BN7" s="137"/>
      <c r="BO7" s="156">
        <f t="shared" ref="BO7:BO26" si="5">(BB$2-D7)/365.25</f>
        <v>125.582477754962</v>
      </c>
      <c r="BQ7" s="134" t="str">
        <f>IF(COUNTIF(BQ$6:BQ6,C7)&gt;0,"",C7)&amp;""</f>
        <v/>
      </c>
      <c r="BR7" s="138">
        <f>SUMIF(C$7:C$26,BQ7,L$7:L$26)</f>
        <v>0</v>
      </c>
      <c r="BS7" s="132">
        <f t="shared" ref="BS7" si="6">RANK(BR7,BR$7:BR$26)</f>
        <v>1</v>
      </c>
      <c r="BT7" s="138">
        <f>SUMIF(C$7:C$26,BQ7,M$7:M$26)</f>
        <v>0</v>
      </c>
      <c r="BU7" s="132">
        <f>RANK(BT7,BT$7:BT$26)</f>
        <v>1</v>
      </c>
      <c r="BV7" s="138">
        <f>SUM(BR7:BR26)</f>
        <v>0</v>
      </c>
      <c r="BW7" s="138"/>
      <c r="BX7" s="138"/>
    </row>
    <row r="8" ht="15" customHeight="1" spans="1:76">
      <c r="A8" s="123" t="str">
        <f>IF(B8="","",COUNT(A$6:A7)+1)</f>
        <v/>
      </c>
      <c r="B8" s="139"/>
      <c r="C8" s="141"/>
      <c r="D8" s="140"/>
      <c r="E8" s="126" t="str">
        <f t="shared" si="0"/>
        <v/>
      </c>
      <c r="F8" s="141"/>
      <c r="G8" s="142"/>
      <c r="H8" s="127" t="str">
        <f>IFERROR(VLOOKUP(G8,参数表!$H$2:$I$50,2,FALSE),"")</f>
        <v/>
      </c>
      <c r="I8" s="128" t="str">
        <f t="shared" si="1"/>
        <v/>
      </c>
      <c r="J8" s="143"/>
      <c r="K8" s="144"/>
      <c r="L8" s="129" t="str">
        <f t="shared" si="2"/>
        <v/>
      </c>
      <c r="M8" s="129" t="str">
        <f t="shared" si="3"/>
        <v/>
      </c>
      <c r="N8" s="129" t="str">
        <f>IFERROR(#REF!/(M8-#REF!)*100,"")</f>
        <v/>
      </c>
      <c r="O8" s="145"/>
      <c r="BA8" s="78"/>
      <c r="BB8" s="132" t="s">
        <v>5226</v>
      </c>
      <c r="BC8" s="133"/>
      <c r="BD8" s="132" t="str">
        <f>IF(OR(B8="",BC8=""),"",COUNTIF(BC$7:BC8,"√"))</f>
        <v/>
      </c>
      <c r="BE8" s="134" t="str">
        <f t="shared" si="4"/>
        <v/>
      </c>
      <c r="BF8" s="135" t="str">
        <f t="shared" ref="BF8:BG26" si="7">IF($B8="","",IF(BF$5=0,"OK","出错"))</f>
        <v/>
      </c>
      <c r="BG8" s="135" t="str">
        <f t="shared" si="7"/>
        <v/>
      </c>
      <c r="BH8" s="136"/>
      <c r="BI8" s="136"/>
      <c r="BJ8" s="136"/>
      <c r="BK8" s="136"/>
      <c r="BL8" s="136"/>
      <c r="BM8" s="137"/>
      <c r="BN8" s="137"/>
      <c r="BO8" s="156">
        <f t="shared" si="5"/>
        <v>125.582477754962</v>
      </c>
      <c r="BQ8" s="134" t="str">
        <f>IF(COUNTIF(BQ$6:BQ7,C8)&gt;0,"",C8)&amp;""</f>
        <v/>
      </c>
      <c r="BR8" s="138">
        <f t="shared" ref="BR8:BR26" si="8">SUMIF(C$7:C$26,BQ8,L$7:L$26)</f>
        <v>0</v>
      </c>
      <c r="BS8" s="132">
        <f t="shared" ref="BS8:BS26" si="9">RANK(BR8,BR$7:BR$26)</f>
        <v>1</v>
      </c>
      <c r="BT8" s="138">
        <f t="shared" ref="BT8:BT26" si="10">SUMIF(C$7:C$26,BQ8,M$7:M$26)</f>
        <v>0</v>
      </c>
      <c r="BU8" s="132">
        <f t="shared" ref="BU8:BU26" si="11">RANK(BT8,BT$7:BT$26)</f>
        <v>1</v>
      </c>
      <c r="BV8" s="138">
        <f>SUM(BT7:BT26)</f>
        <v>0</v>
      </c>
      <c r="BW8" s="138"/>
      <c r="BX8" s="138"/>
    </row>
    <row r="9" ht="15" customHeight="1" spans="1:76">
      <c r="A9" s="123" t="str">
        <f>IF(B9="","",COUNT(A$6:A8)+1)</f>
        <v/>
      </c>
      <c r="B9" s="139"/>
      <c r="C9" s="141"/>
      <c r="D9" s="140"/>
      <c r="E9" s="126" t="str">
        <f t="shared" si="0"/>
        <v/>
      </c>
      <c r="F9" s="141"/>
      <c r="G9" s="142"/>
      <c r="H9" s="127" t="str">
        <f>IFERROR(VLOOKUP(G9,参数表!$H$2:$I$50,2,FALSE),"")</f>
        <v/>
      </c>
      <c r="I9" s="128" t="str">
        <f t="shared" si="1"/>
        <v/>
      </c>
      <c r="J9" s="143"/>
      <c r="K9" s="144"/>
      <c r="L9" s="129" t="str">
        <f t="shared" si="2"/>
        <v/>
      </c>
      <c r="M9" s="129" t="str">
        <f t="shared" si="3"/>
        <v/>
      </c>
      <c r="N9" s="129" t="str">
        <f>IFERROR(#REF!/(M9-#REF!)*100,"")</f>
        <v/>
      </c>
      <c r="O9" s="145"/>
      <c r="BA9" s="78"/>
      <c r="BB9" s="132" t="s">
        <v>5227</v>
      </c>
      <c r="BC9" s="133"/>
      <c r="BD9" s="132" t="str">
        <f>IF(OR(B9="",BC9=""),"",COUNTIF(BC$7:BC9,"√"))</f>
        <v/>
      </c>
      <c r="BE9" s="134" t="str">
        <f t="shared" si="4"/>
        <v/>
      </c>
      <c r="BF9" s="135" t="str">
        <f t="shared" si="7"/>
        <v/>
      </c>
      <c r="BG9" s="135" t="str">
        <f t="shared" si="7"/>
        <v/>
      </c>
      <c r="BH9" s="136"/>
      <c r="BI9" s="136"/>
      <c r="BJ9" s="136"/>
      <c r="BK9" s="136"/>
      <c r="BL9" s="136"/>
      <c r="BM9" s="137"/>
      <c r="BN9" s="137"/>
      <c r="BO9" s="156">
        <f t="shared" si="5"/>
        <v>125.582477754962</v>
      </c>
      <c r="BQ9" s="134" t="str">
        <f>IF(COUNTIF(BQ$6:BQ8,C9)&gt;0,"",C9)&amp;""</f>
        <v/>
      </c>
      <c r="BR9" s="138">
        <f t="shared" si="8"/>
        <v>0</v>
      </c>
      <c r="BS9" s="132">
        <f t="shared" si="9"/>
        <v>1</v>
      </c>
      <c r="BT9" s="138">
        <f t="shared" si="10"/>
        <v>0</v>
      </c>
      <c r="BU9" s="132">
        <f t="shared" si="11"/>
        <v>1</v>
      </c>
      <c r="BV9" s="132">
        <v>1</v>
      </c>
      <c r="BW9" s="134" t="str">
        <f>IFERROR(INDEX(BQ$7:BQ$26,MATCH(BV9,IF(BV$7=0,BU$7:BU$26,BS$7:BS$26),0))&amp;"","")</f>
        <v/>
      </c>
      <c r="BX9" s="146" t="str">
        <f>IF(BW10="","",IF(BW11="","和","、"))</f>
        <v/>
      </c>
    </row>
    <row r="10" ht="15" customHeight="1" spans="1:76">
      <c r="A10" s="123" t="str">
        <f>IF(B10="","",COUNT(A$6:A9)+1)</f>
        <v/>
      </c>
      <c r="B10" s="139"/>
      <c r="C10" s="141"/>
      <c r="D10" s="140"/>
      <c r="E10" s="126" t="str">
        <f t="shared" si="0"/>
        <v/>
      </c>
      <c r="F10" s="141"/>
      <c r="G10" s="142"/>
      <c r="H10" s="127" t="str">
        <f>IFERROR(VLOOKUP(G10,参数表!$H$2:$I$50,2,FALSE),"")</f>
        <v/>
      </c>
      <c r="I10" s="128" t="str">
        <f t="shared" si="1"/>
        <v/>
      </c>
      <c r="J10" s="143"/>
      <c r="K10" s="144"/>
      <c r="L10" s="129" t="str">
        <f t="shared" si="2"/>
        <v/>
      </c>
      <c r="M10" s="129" t="str">
        <f t="shared" si="3"/>
        <v/>
      </c>
      <c r="N10" s="129" t="str">
        <f>IFERROR(#REF!/(M10-#REF!)*100,"")</f>
        <v/>
      </c>
      <c r="O10" s="145"/>
      <c r="BA10" s="78"/>
      <c r="BB10" s="132" t="s">
        <v>5228</v>
      </c>
      <c r="BC10" s="133"/>
      <c r="BD10" s="132" t="str">
        <f>IF(OR(B10="",BC10=""),"",COUNTIF(BC$7:BC10,"√"))</f>
        <v/>
      </c>
      <c r="BE10" s="134" t="str">
        <f t="shared" si="4"/>
        <v/>
      </c>
      <c r="BF10" s="135" t="str">
        <f t="shared" si="7"/>
        <v/>
      </c>
      <c r="BG10" s="135" t="str">
        <f t="shared" si="7"/>
        <v/>
      </c>
      <c r="BH10" s="136"/>
      <c r="BI10" s="136"/>
      <c r="BJ10" s="136"/>
      <c r="BK10" s="136"/>
      <c r="BL10" s="136"/>
      <c r="BM10" s="137"/>
      <c r="BN10" s="137"/>
      <c r="BO10" s="156">
        <f t="shared" si="5"/>
        <v>125.582477754962</v>
      </c>
      <c r="BQ10" s="134" t="str">
        <f>IF(COUNTIF(BQ$6:BQ9,C10)&gt;0,"",C10)&amp;""</f>
        <v/>
      </c>
      <c r="BR10" s="138">
        <f t="shared" si="8"/>
        <v>0</v>
      </c>
      <c r="BS10" s="132">
        <f t="shared" si="9"/>
        <v>1</v>
      </c>
      <c r="BT10" s="138">
        <f t="shared" si="10"/>
        <v>0</v>
      </c>
      <c r="BU10" s="132">
        <f t="shared" si="11"/>
        <v>1</v>
      </c>
      <c r="BV10" s="132">
        <v>2</v>
      </c>
      <c r="BW10" s="134" t="str">
        <f t="shared" ref="BW10:BW13" si="12">IFERROR(INDEX(BQ$7:BQ$26,MATCH(BV10,IF(BV$7=0,BU$7:BU$26,BS$7:BS$26),0))&amp;"","")</f>
        <v/>
      </c>
      <c r="BX10" s="146" t="str">
        <f t="shared" ref="BX10:BX11" si="13">IF(BW11="","",IF(BW12="","和","、"))</f>
        <v/>
      </c>
    </row>
    <row r="11" ht="15" customHeight="1" spans="1:76">
      <c r="A11" s="123" t="str">
        <f>IF(B11="","",COUNT(A$6:A10)+1)</f>
        <v/>
      </c>
      <c r="B11" s="139"/>
      <c r="C11" s="141"/>
      <c r="D11" s="140"/>
      <c r="E11" s="126" t="str">
        <f t="shared" si="0"/>
        <v/>
      </c>
      <c r="F11" s="141"/>
      <c r="G11" s="142"/>
      <c r="H11" s="127" t="str">
        <f>IFERROR(VLOOKUP(G11,参数表!$H$2:$I$50,2,FALSE),"")</f>
        <v/>
      </c>
      <c r="I11" s="128" t="str">
        <f t="shared" si="1"/>
        <v/>
      </c>
      <c r="J11" s="143"/>
      <c r="K11" s="144"/>
      <c r="L11" s="129" t="str">
        <f t="shared" si="2"/>
        <v/>
      </c>
      <c r="M11" s="129" t="str">
        <f t="shared" si="3"/>
        <v/>
      </c>
      <c r="N11" s="129" t="str">
        <f>IFERROR(#REF!/(M11-#REF!)*100,"")</f>
        <v/>
      </c>
      <c r="O11" s="145"/>
      <c r="BA11" s="78"/>
      <c r="BB11" s="132" t="s">
        <v>5229</v>
      </c>
      <c r="BC11" s="133"/>
      <c r="BD11" s="132" t="str">
        <f>IF(OR(B11="",BC11=""),"",COUNTIF(BC$7:BC11,"√"))</f>
        <v/>
      </c>
      <c r="BE11" s="134" t="str">
        <f t="shared" si="4"/>
        <v/>
      </c>
      <c r="BF11" s="135" t="str">
        <f t="shared" si="7"/>
        <v/>
      </c>
      <c r="BG11" s="135" t="str">
        <f t="shared" si="7"/>
        <v/>
      </c>
      <c r="BH11" s="136"/>
      <c r="BI11" s="136"/>
      <c r="BJ11" s="136"/>
      <c r="BK11" s="136"/>
      <c r="BL11" s="136"/>
      <c r="BM11" s="137"/>
      <c r="BN11" s="137"/>
      <c r="BO11" s="156">
        <f t="shared" si="5"/>
        <v>125.582477754962</v>
      </c>
      <c r="BQ11" s="134" t="str">
        <f>IF(COUNTIF(BQ$6:BQ10,C11)&gt;0,"",C11)&amp;""</f>
        <v/>
      </c>
      <c r="BR11" s="138">
        <f t="shared" si="8"/>
        <v>0</v>
      </c>
      <c r="BS11" s="132">
        <f t="shared" si="9"/>
        <v>1</v>
      </c>
      <c r="BT11" s="138">
        <f t="shared" si="10"/>
        <v>0</v>
      </c>
      <c r="BU11" s="132">
        <f t="shared" si="11"/>
        <v>1</v>
      </c>
      <c r="BV11" s="132">
        <v>3</v>
      </c>
      <c r="BW11" s="134" t="str">
        <f t="shared" si="12"/>
        <v/>
      </c>
      <c r="BX11" s="146" t="str">
        <f t="shared" si="13"/>
        <v/>
      </c>
    </row>
    <row r="12" ht="15" customHeight="1" spans="1:76">
      <c r="A12" s="123" t="str">
        <f>IF(B12="","",COUNT(A$6:A11)+1)</f>
        <v/>
      </c>
      <c r="B12" s="139"/>
      <c r="C12" s="141"/>
      <c r="D12" s="140"/>
      <c r="E12" s="126" t="str">
        <f t="shared" si="0"/>
        <v/>
      </c>
      <c r="F12" s="141"/>
      <c r="G12" s="142"/>
      <c r="H12" s="127" t="str">
        <f>IFERROR(VLOOKUP(G12,参数表!$H$2:$I$50,2,FALSE),"")</f>
        <v/>
      </c>
      <c r="I12" s="128" t="str">
        <f t="shared" si="1"/>
        <v/>
      </c>
      <c r="J12" s="143"/>
      <c r="K12" s="144"/>
      <c r="L12" s="129" t="str">
        <f t="shared" si="2"/>
        <v/>
      </c>
      <c r="M12" s="129" t="str">
        <f t="shared" si="3"/>
        <v/>
      </c>
      <c r="N12" s="129" t="str">
        <f>IFERROR(#REF!/(M12-#REF!)*100,"")</f>
        <v/>
      </c>
      <c r="O12" s="145"/>
      <c r="BA12" s="78"/>
      <c r="BB12" s="132" t="s">
        <v>5230</v>
      </c>
      <c r="BC12" s="133"/>
      <c r="BD12" s="132" t="str">
        <f>IF(OR(B12="",BC12=""),"",COUNTIF(BC$7:BC12,"√"))</f>
        <v/>
      </c>
      <c r="BE12" s="134" t="str">
        <f t="shared" si="4"/>
        <v/>
      </c>
      <c r="BF12" s="135" t="str">
        <f t="shared" si="7"/>
        <v/>
      </c>
      <c r="BG12" s="135" t="str">
        <f t="shared" si="7"/>
        <v/>
      </c>
      <c r="BH12" s="136"/>
      <c r="BI12" s="136"/>
      <c r="BJ12" s="136"/>
      <c r="BK12" s="136"/>
      <c r="BL12" s="136"/>
      <c r="BM12" s="137"/>
      <c r="BN12" s="137"/>
      <c r="BO12" s="156">
        <f t="shared" si="5"/>
        <v>125.582477754962</v>
      </c>
      <c r="BQ12" s="134" t="str">
        <f>IF(COUNTIF(BQ$6:BQ11,C12)&gt;0,"",C12)&amp;""</f>
        <v/>
      </c>
      <c r="BR12" s="138">
        <f t="shared" si="8"/>
        <v>0</v>
      </c>
      <c r="BS12" s="132">
        <f t="shared" si="9"/>
        <v>1</v>
      </c>
      <c r="BT12" s="138">
        <f t="shared" si="10"/>
        <v>0</v>
      </c>
      <c r="BU12" s="132">
        <f t="shared" si="11"/>
        <v>1</v>
      </c>
      <c r="BV12" s="132">
        <v>4</v>
      </c>
      <c r="BW12" s="134" t="str">
        <f t="shared" si="12"/>
        <v/>
      </c>
      <c r="BX12" s="146" t="str">
        <f>IF(BW13="","","和")</f>
        <v/>
      </c>
    </row>
    <row r="13" ht="15" customHeight="1" spans="1:76">
      <c r="A13" s="123" t="str">
        <f>IF(B13="","",COUNT(A$6:A12)+1)</f>
        <v/>
      </c>
      <c r="B13" s="139"/>
      <c r="C13" s="141"/>
      <c r="D13" s="140"/>
      <c r="E13" s="126" t="str">
        <f t="shared" si="0"/>
        <v/>
      </c>
      <c r="F13" s="141"/>
      <c r="G13" s="142"/>
      <c r="H13" s="127" t="str">
        <f>IFERROR(VLOOKUP(G13,参数表!$H$2:$I$50,2,FALSE),"")</f>
        <v/>
      </c>
      <c r="I13" s="128" t="str">
        <f t="shared" si="1"/>
        <v/>
      </c>
      <c r="J13" s="143"/>
      <c r="K13" s="144"/>
      <c r="L13" s="129" t="str">
        <f t="shared" si="2"/>
        <v/>
      </c>
      <c r="M13" s="129" t="str">
        <f t="shared" si="3"/>
        <v/>
      </c>
      <c r="N13" s="129" t="str">
        <f>IFERROR(#REF!/(M13-#REF!)*100,"")</f>
        <v/>
      </c>
      <c r="O13" s="145"/>
      <c r="BA13" s="78"/>
      <c r="BB13" s="132" t="s">
        <v>5231</v>
      </c>
      <c r="BC13" s="133"/>
      <c r="BD13" s="132" t="str">
        <f>IF(OR(B13="",BC13=""),"",COUNTIF(BC$7:BC13,"√"))</f>
        <v/>
      </c>
      <c r="BE13" s="134" t="str">
        <f t="shared" si="4"/>
        <v/>
      </c>
      <c r="BF13" s="135" t="str">
        <f t="shared" si="7"/>
        <v/>
      </c>
      <c r="BG13" s="135" t="str">
        <f t="shared" si="7"/>
        <v/>
      </c>
      <c r="BH13" s="136"/>
      <c r="BI13" s="136"/>
      <c r="BJ13" s="136"/>
      <c r="BK13" s="136"/>
      <c r="BL13" s="136"/>
      <c r="BM13" s="137"/>
      <c r="BN13" s="137"/>
      <c r="BO13" s="156">
        <f t="shared" si="5"/>
        <v>125.582477754962</v>
      </c>
      <c r="BQ13" s="134" t="str">
        <f>IF(COUNTIF(BQ$6:BQ12,C13)&gt;0,"",C13)&amp;""</f>
        <v/>
      </c>
      <c r="BR13" s="138">
        <f t="shared" si="8"/>
        <v>0</v>
      </c>
      <c r="BS13" s="132">
        <f t="shared" si="9"/>
        <v>1</v>
      </c>
      <c r="BT13" s="138">
        <f t="shared" si="10"/>
        <v>0</v>
      </c>
      <c r="BU13" s="132">
        <f t="shared" si="11"/>
        <v>1</v>
      </c>
      <c r="BV13" s="132">
        <v>5</v>
      </c>
      <c r="BW13" s="134" t="str">
        <f t="shared" si="12"/>
        <v/>
      </c>
      <c r="BX13" s="146"/>
    </row>
    <row r="14" ht="15" customHeight="1" spans="1:76">
      <c r="A14" s="123" t="str">
        <f>IF(B14="","",COUNT(A$6:A13)+1)</f>
        <v/>
      </c>
      <c r="B14" s="139"/>
      <c r="C14" s="141"/>
      <c r="D14" s="140"/>
      <c r="E14" s="126" t="str">
        <f t="shared" si="0"/>
        <v/>
      </c>
      <c r="F14" s="141"/>
      <c r="G14" s="142"/>
      <c r="H14" s="127" t="str">
        <f>IFERROR(VLOOKUP(G14,参数表!$H$2:$I$50,2,FALSE),"")</f>
        <v/>
      </c>
      <c r="I14" s="128" t="str">
        <f t="shared" si="1"/>
        <v/>
      </c>
      <c r="J14" s="143"/>
      <c r="K14" s="144"/>
      <c r="L14" s="129" t="str">
        <f t="shared" si="2"/>
        <v/>
      </c>
      <c r="M14" s="129" t="str">
        <f t="shared" si="3"/>
        <v/>
      </c>
      <c r="N14" s="129" t="str">
        <f>IFERROR(#REF!/(M14-#REF!)*100,"")</f>
        <v/>
      </c>
      <c r="O14" s="145"/>
      <c r="BA14" s="78"/>
      <c r="BB14" s="132" t="s">
        <v>5232</v>
      </c>
      <c r="BC14" s="133"/>
      <c r="BD14" s="132" t="str">
        <f>IF(OR(B14="",BC14=""),"",COUNTIF(BC$7:BC14,"√"))</f>
        <v/>
      </c>
      <c r="BE14" s="134" t="str">
        <f t="shared" si="4"/>
        <v/>
      </c>
      <c r="BF14" s="135" t="str">
        <f t="shared" si="7"/>
        <v/>
      </c>
      <c r="BG14" s="135" t="str">
        <f t="shared" si="7"/>
        <v/>
      </c>
      <c r="BH14" s="136"/>
      <c r="BI14" s="136"/>
      <c r="BJ14" s="136"/>
      <c r="BK14" s="136"/>
      <c r="BL14" s="136"/>
      <c r="BM14" s="137"/>
      <c r="BN14" s="137"/>
      <c r="BO14" s="156">
        <f t="shared" si="5"/>
        <v>125.582477754962</v>
      </c>
      <c r="BQ14" s="134" t="str">
        <f>IF(COUNTIF(BQ$6:BQ13,C14)&gt;0,"",C14)&amp;""</f>
        <v/>
      </c>
      <c r="BR14" s="138">
        <f t="shared" si="8"/>
        <v>0</v>
      </c>
      <c r="BS14" s="132">
        <f t="shared" si="9"/>
        <v>1</v>
      </c>
      <c r="BT14" s="138">
        <f t="shared" si="10"/>
        <v>0</v>
      </c>
      <c r="BU14" s="132">
        <f t="shared" si="11"/>
        <v>1</v>
      </c>
      <c r="BV14" s="147" t="s">
        <v>1659</v>
      </c>
      <c r="BW14" s="132" t="str">
        <f>CONCATENATE(BW9,BX9,BW10,BX10,BW11,BX11,BW12,BX12,BW13)</f>
        <v/>
      </c>
      <c r="BX14" s="132"/>
    </row>
    <row r="15" ht="15" customHeight="1" spans="1:76">
      <c r="A15" s="123" t="str">
        <f>IF(B15="","",COUNT(A$6:A14)+1)</f>
        <v/>
      </c>
      <c r="B15" s="139"/>
      <c r="C15" s="141"/>
      <c r="D15" s="140"/>
      <c r="E15" s="126" t="str">
        <f t="shared" si="0"/>
        <v/>
      </c>
      <c r="F15" s="141"/>
      <c r="G15" s="142"/>
      <c r="H15" s="127" t="str">
        <f>IFERROR(VLOOKUP(G15,参数表!$H$2:$I$50,2,FALSE),"")</f>
        <v/>
      </c>
      <c r="I15" s="128" t="str">
        <f t="shared" si="1"/>
        <v/>
      </c>
      <c r="J15" s="143"/>
      <c r="K15" s="144"/>
      <c r="L15" s="129" t="str">
        <f t="shared" si="2"/>
        <v/>
      </c>
      <c r="M15" s="129" t="str">
        <f t="shared" si="3"/>
        <v/>
      </c>
      <c r="N15" s="129" t="str">
        <f>IFERROR(#REF!/(M15-#REF!)*100,"")</f>
        <v/>
      </c>
      <c r="O15" s="145"/>
      <c r="BA15" s="78"/>
      <c r="BB15" s="132" t="s">
        <v>5233</v>
      </c>
      <c r="BC15" s="133"/>
      <c r="BD15" s="132" t="str">
        <f>IF(OR(B15="",BC15=""),"",COUNTIF(BC$7:BC15,"√"))</f>
        <v/>
      </c>
      <c r="BE15" s="134" t="str">
        <f t="shared" si="4"/>
        <v/>
      </c>
      <c r="BF15" s="135" t="str">
        <f t="shared" si="7"/>
        <v/>
      </c>
      <c r="BG15" s="135" t="str">
        <f t="shared" si="7"/>
        <v/>
      </c>
      <c r="BH15" s="136"/>
      <c r="BI15" s="136"/>
      <c r="BJ15" s="136"/>
      <c r="BK15" s="136"/>
      <c r="BL15" s="136"/>
      <c r="BM15" s="137"/>
      <c r="BN15" s="137"/>
      <c r="BO15" s="156">
        <f t="shared" si="5"/>
        <v>125.582477754962</v>
      </c>
      <c r="BQ15" s="134" t="str">
        <f>IF(COUNTIF(BQ$6:BQ14,C15)&gt;0,"",C15)&amp;""</f>
        <v/>
      </c>
      <c r="BR15" s="138">
        <f t="shared" si="8"/>
        <v>0</v>
      </c>
      <c r="BS15" s="132">
        <f t="shared" si="9"/>
        <v>1</v>
      </c>
      <c r="BT15" s="138">
        <f t="shared" si="10"/>
        <v>0</v>
      </c>
      <c r="BU15" s="132">
        <f t="shared" si="11"/>
        <v>1</v>
      </c>
      <c r="BV15" s="133"/>
      <c r="BW15" s="133"/>
    </row>
    <row r="16" ht="15" customHeight="1" spans="1:76">
      <c r="A16" s="123" t="str">
        <f>IF(B16="","",COUNT(A$6:A15)+1)</f>
        <v/>
      </c>
      <c r="B16" s="139"/>
      <c r="C16" s="141"/>
      <c r="D16" s="140"/>
      <c r="E16" s="126" t="str">
        <f t="shared" si="0"/>
        <v/>
      </c>
      <c r="F16" s="141"/>
      <c r="G16" s="142"/>
      <c r="H16" s="127" t="str">
        <f>IFERROR(VLOOKUP(G16,参数表!$H$2:$I$50,2,FALSE),"")</f>
        <v/>
      </c>
      <c r="I16" s="128" t="str">
        <f t="shared" si="1"/>
        <v/>
      </c>
      <c r="J16" s="143"/>
      <c r="K16" s="144"/>
      <c r="L16" s="129" t="str">
        <f t="shared" si="2"/>
        <v/>
      </c>
      <c r="M16" s="129" t="str">
        <f t="shared" si="3"/>
        <v/>
      </c>
      <c r="N16" s="129" t="str">
        <f>IFERROR(#REF!/(M16-#REF!)*100,"")</f>
        <v/>
      </c>
      <c r="O16" s="145"/>
      <c r="BA16" s="78"/>
      <c r="BB16" s="132" t="s">
        <v>5234</v>
      </c>
      <c r="BC16" s="133"/>
      <c r="BD16" s="132" t="str">
        <f>IF(OR(B16="",BC16=""),"",COUNTIF(BC$7:BC16,"√"))</f>
        <v/>
      </c>
      <c r="BE16" s="134" t="str">
        <f t="shared" si="4"/>
        <v/>
      </c>
      <c r="BF16" s="135" t="str">
        <f t="shared" si="7"/>
        <v/>
      </c>
      <c r="BG16" s="135" t="str">
        <f t="shared" si="7"/>
        <v/>
      </c>
      <c r="BH16" s="136"/>
      <c r="BI16" s="136"/>
      <c r="BJ16" s="136"/>
      <c r="BK16" s="136"/>
      <c r="BL16" s="136"/>
      <c r="BM16" s="137"/>
      <c r="BN16" s="137"/>
      <c r="BO16" s="156">
        <f t="shared" si="5"/>
        <v>125.582477754962</v>
      </c>
      <c r="BQ16" s="134" t="str">
        <f>IF(COUNTIF(BQ$6:BQ15,C16)&gt;0,"",C16)&amp;""</f>
        <v/>
      </c>
      <c r="BR16" s="138">
        <f t="shared" si="8"/>
        <v>0</v>
      </c>
      <c r="BS16" s="132">
        <f t="shared" si="9"/>
        <v>1</v>
      </c>
      <c r="BT16" s="138">
        <f t="shared" si="10"/>
        <v>0</v>
      </c>
      <c r="BU16" s="132">
        <f t="shared" si="11"/>
        <v>1</v>
      </c>
      <c r="BV16" s="133"/>
      <c r="BW16" s="148"/>
    </row>
    <row r="17" ht="15" customHeight="1" spans="1:76">
      <c r="A17" s="123" t="str">
        <f>IF(B17="","",COUNT(A$6:A16)+1)</f>
        <v/>
      </c>
      <c r="B17" s="139"/>
      <c r="C17" s="141"/>
      <c r="D17" s="140"/>
      <c r="E17" s="126" t="str">
        <f t="shared" si="0"/>
        <v/>
      </c>
      <c r="F17" s="141"/>
      <c r="G17" s="142"/>
      <c r="H17" s="127" t="str">
        <f>IFERROR(VLOOKUP(G17,参数表!$H$2:$I$50,2,FALSE),"")</f>
        <v/>
      </c>
      <c r="I17" s="128" t="str">
        <f t="shared" si="1"/>
        <v/>
      </c>
      <c r="J17" s="143"/>
      <c r="K17" s="144"/>
      <c r="L17" s="129" t="str">
        <f t="shared" si="2"/>
        <v/>
      </c>
      <c r="M17" s="129" t="str">
        <f t="shared" si="3"/>
        <v/>
      </c>
      <c r="N17" s="129" t="str">
        <f>IFERROR(#REF!/(M17-#REF!)*100,"")</f>
        <v/>
      </c>
      <c r="O17" s="145"/>
      <c r="BA17" s="78"/>
      <c r="BB17" s="132" t="s">
        <v>5235</v>
      </c>
      <c r="BC17" s="133"/>
      <c r="BD17" s="132" t="str">
        <f>IF(OR(B17="",BC17=""),"",COUNTIF(BC$7:BC17,"√"))</f>
        <v/>
      </c>
      <c r="BE17" s="134" t="str">
        <f t="shared" si="4"/>
        <v/>
      </c>
      <c r="BF17" s="135" t="str">
        <f t="shared" si="7"/>
        <v/>
      </c>
      <c r="BG17" s="135" t="str">
        <f t="shared" si="7"/>
        <v/>
      </c>
      <c r="BH17" s="136"/>
      <c r="BI17" s="136"/>
      <c r="BJ17" s="136"/>
      <c r="BK17" s="136"/>
      <c r="BL17" s="136"/>
      <c r="BM17" s="137"/>
      <c r="BN17" s="137"/>
      <c r="BO17" s="156">
        <f t="shared" si="5"/>
        <v>125.582477754962</v>
      </c>
      <c r="BQ17" s="134" t="str">
        <f>IF(COUNTIF(BQ$6:BQ16,C17)&gt;0,"",C17)&amp;""</f>
        <v/>
      </c>
      <c r="BR17" s="138">
        <f t="shared" si="8"/>
        <v>0</v>
      </c>
      <c r="BS17" s="132">
        <f t="shared" si="9"/>
        <v>1</v>
      </c>
      <c r="BT17" s="138">
        <f t="shared" si="10"/>
        <v>0</v>
      </c>
      <c r="BU17" s="132">
        <f t="shared" si="11"/>
        <v>1</v>
      </c>
      <c r="BV17" s="133"/>
      <c r="BW17" s="133"/>
    </row>
    <row r="18" ht="15" customHeight="1" spans="1:76">
      <c r="A18" s="123" t="str">
        <f>IF(B18="","",COUNT(A$6:A17)+1)</f>
        <v/>
      </c>
      <c r="B18" s="139"/>
      <c r="C18" s="141"/>
      <c r="D18" s="140"/>
      <c r="E18" s="126" t="str">
        <f t="shared" si="0"/>
        <v/>
      </c>
      <c r="F18" s="141"/>
      <c r="G18" s="142"/>
      <c r="H18" s="127" t="str">
        <f>IFERROR(VLOOKUP(G18,参数表!$H$2:$I$50,2,FALSE),"")</f>
        <v/>
      </c>
      <c r="I18" s="128" t="str">
        <f t="shared" si="1"/>
        <v/>
      </c>
      <c r="J18" s="143"/>
      <c r="K18" s="144"/>
      <c r="L18" s="129" t="str">
        <f t="shared" si="2"/>
        <v/>
      </c>
      <c r="M18" s="129" t="str">
        <f t="shared" si="3"/>
        <v/>
      </c>
      <c r="N18" s="129" t="str">
        <f>IFERROR(#REF!/(M18-#REF!)*100,"")</f>
        <v/>
      </c>
      <c r="O18" s="145"/>
      <c r="BA18" s="78"/>
      <c r="BB18" s="132" t="s">
        <v>5236</v>
      </c>
      <c r="BC18" s="133"/>
      <c r="BD18" s="132" t="str">
        <f>IF(OR(B18="",BC18=""),"",COUNTIF(BC$7:BC18,"√"))</f>
        <v/>
      </c>
      <c r="BE18" s="134" t="str">
        <f t="shared" si="4"/>
        <v/>
      </c>
      <c r="BF18" s="135" t="str">
        <f t="shared" si="7"/>
        <v/>
      </c>
      <c r="BG18" s="135" t="str">
        <f t="shared" si="7"/>
        <v/>
      </c>
      <c r="BH18" s="136"/>
      <c r="BI18" s="136"/>
      <c r="BJ18" s="136"/>
      <c r="BK18" s="136"/>
      <c r="BL18" s="136"/>
      <c r="BM18" s="137"/>
      <c r="BN18" s="137"/>
      <c r="BO18" s="156">
        <f t="shared" si="5"/>
        <v>125.582477754962</v>
      </c>
      <c r="BQ18" s="134" t="str">
        <f>IF(COUNTIF(BQ$6:BQ17,C18)&gt;0,"",C18)&amp;""</f>
        <v/>
      </c>
      <c r="BR18" s="138">
        <f t="shared" si="8"/>
        <v>0</v>
      </c>
      <c r="BS18" s="132">
        <f t="shared" si="9"/>
        <v>1</v>
      </c>
      <c r="BT18" s="138">
        <f t="shared" si="10"/>
        <v>0</v>
      </c>
      <c r="BU18" s="132">
        <f t="shared" si="11"/>
        <v>1</v>
      </c>
      <c r="BV18" s="133"/>
      <c r="BW18" s="133"/>
    </row>
    <row r="19" ht="15" customHeight="1" spans="1:76">
      <c r="A19" s="123" t="str">
        <f>IF(B19="","",COUNT(A$6:A18)+1)</f>
        <v/>
      </c>
      <c r="B19" s="139"/>
      <c r="C19" s="141"/>
      <c r="D19" s="140"/>
      <c r="E19" s="126" t="str">
        <f t="shared" si="0"/>
        <v/>
      </c>
      <c r="F19" s="141"/>
      <c r="G19" s="142"/>
      <c r="H19" s="127" t="str">
        <f>IFERROR(VLOOKUP(G19,参数表!$H$2:$I$50,2,FALSE),"")</f>
        <v/>
      </c>
      <c r="I19" s="128" t="str">
        <f t="shared" si="1"/>
        <v/>
      </c>
      <c r="J19" s="143"/>
      <c r="K19" s="144"/>
      <c r="L19" s="129" t="str">
        <f t="shared" si="2"/>
        <v/>
      </c>
      <c r="M19" s="129" t="str">
        <f t="shared" si="3"/>
        <v/>
      </c>
      <c r="N19" s="129" t="str">
        <f>IFERROR(#REF!/(M19-#REF!)*100,"")</f>
        <v/>
      </c>
      <c r="O19" s="145"/>
      <c r="BA19" s="78"/>
      <c r="BB19" s="132" t="s">
        <v>5237</v>
      </c>
      <c r="BC19" s="133"/>
      <c r="BD19" s="132" t="str">
        <f>IF(OR(B19="",BC19=""),"",COUNTIF(BC$7:BC19,"√"))</f>
        <v/>
      </c>
      <c r="BE19" s="134" t="str">
        <f t="shared" si="4"/>
        <v/>
      </c>
      <c r="BF19" s="135" t="str">
        <f t="shared" si="7"/>
        <v/>
      </c>
      <c r="BG19" s="135" t="str">
        <f t="shared" si="7"/>
        <v/>
      </c>
      <c r="BH19" s="136"/>
      <c r="BI19" s="136"/>
      <c r="BJ19" s="136"/>
      <c r="BK19" s="136"/>
      <c r="BL19" s="136"/>
      <c r="BM19" s="137"/>
      <c r="BN19" s="137"/>
      <c r="BO19" s="156">
        <f t="shared" si="5"/>
        <v>125.582477754962</v>
      </c>
      <c r="BQ19" s="134" t="str">
        <f>IF(COUNTIF(BQ$6:BQ18,C19)&gt;0,"",C19)&amp;""</f>
        <v/>
      </c>
      <c r="BR19" s="138">
        <f t="shared" si="8"/>
        <v>0</v>
      </c>
      <c r="BS19" s="132">
        <f t="shared" si="9"/>
        <v>1</v>
      </c>
      <c r="BT19" s="138">
        <f t="shared" si="10"/>
        <v>0</v>
      </c>
      <c r="BU19" s="132">
        <f t="shared" si="11"/>
        <v>1</v>
      </c>
      <c r="BV19" s="133"/>
      <c r="BW19" s="133"/>
    </row>
    <row r="20" ht="15" customHeight="1" spans="1:76">
      <c r="A20" s="123" t="str">
        <f>IF(B20="","",COUNT(A$6:A19)+1)</f>
        <v/>
      </c>
      <c r="B20" s="139"/>
      <c r="C20" s="141"/>
      <c r="D20" s="140"/>
      <c r="E20" s="126" t="str">
        <f t="shared" si="0"/>
        <v/>
      </c>
      <c r="F20" s="141"/>
      <c r="G20" s="142"/>
      <c r="H20" s="127" t="str">
        <f>IFERROR(VLOOKUP(G20,参数表!$H$2:$I$50,2,FALSE),"")</f>
        <v/>
      </c>
      <c r="I20" s="128" t="str">
        <f t="shared" si="1"/>
        <v/>
      </c>
      <c r="J20" s="143"/>
      <c r="K20" s="144"/>
      <c r="L20" s="129" t="str">
        <f t="shared" si="2"/>
        <v/>
      </c>
      <c r="M20" s="129" t="str">
        <f t="shared" si="3"/>
        <v/>
      </c>
      <c r="N20" s="129" t="str">
        <f>IFERROR(#REF!/(M20-#REF!)*100,"")</f>
        <v/>
      </c>
      <c r="O20" s="145"/>
      <c r="BA20" s="78"/>
      <c r="BB20" s="132" t="s">
        <v>5238</v>
      </c>
      <c r="BC20" s="133"/>
      <c r="BD20" s="132" t="str">
        <f>IF(OR(B20="",BC20=""),"",COUNTIF(BC$7:BC20,"√"))</f>
        <v/>
      </c>
      <c r="BE20" s="134" t="str">
        <f t="shared" si="4"/>
        <v/>
      </c>
      <c r="BF20" s="135" t="str">
        <f t="shared" si="7"/>
        <v/>
      </c>
      <c r="BG20" s="135" t="str">
        <f t="shared" si="7"/>
        <v/>
      </c>
      <c r="BH20" s="136"/>
      <c r="BI20" s="136"/>
      <c r="BJ20" s="136"/>
      <c r="BK20" s="136"/>
      <c r="BL20" s="136"/>
      <c r="BM20" s="137"/>
      <c r="BN20" s="137"/>
      <c r="BO20" s="156">
        <f t="shared" si="5"/>
        <v>125.582477754962</v>
      </c>
      <c r="BQ20" s="134" t="str">
        <f>IF(COUNTIF(BQ$6:BQ19,C20)&gt;0,"",C20)&amp;""</f>
        <v/>
      </c>
      <c r="BR20" s="138">
        <f t="shared" si="8"/>
        <v>0</v>
      </c>
      <c r="BS20" s="132">
        <f t="shared" si="9"/>
        <v>1</v>
      </c>
      <c r="BT20" s="138">
        <f t="shared" si="10"/>
        <v>0</v>
      </c>
      <c r="BU20" s="132">
        <f t="shared" si="11"/>
        <v>1</v>
      </c>
      <c r="BV20" s="133"/>
      <c r="BW20" s="133"/>
    </row>
    <row r="21" ht="15" customHeight="1" spans="1:76">
      <c r="A21" s="123" t="str">
        <f>IF(B21="","",COUNT(A$6:A20)+1)</f>
        <v/>
      </c>
      <c r="B21" s="139"/>
      <c r="C21" s="141"/>
      <c r="D21" s="140"/>
      <c r="E21" s="126" t="str">
        <f t="shared" si="0"/>
        <v/>
      </c>
      <c r="F21" s="141"/>
      <c r="G21" s="142"/>
      <c r="H21" s="127" t="str">
        <f>IFERROR(VLOOKUP(G21,参数表!$H$2:$I$50,2,FALSE),"")</f>
        <v/>
      </c>
      <c r="I21" s="128" t="str">
        <f t="shared" si="1"/>
        <v/>
      </c>
      <c r="J21" s="143"/>
      <c r="K21" s="144"/>
      <c r="L21" s="129" t="str">
        <f t="shared" si="2"/>
        <v/>
      </c>
      <c r="M21" s="129" t="str">
        <f t="shared" si="3"/>
        <v/>
      </c>
      <c r="N21" s="129" t="str">
        <f>IFERROR(#REF!/(M21-#REF!)*100,"")</f>
        <v/>
      </c>
      <c r="O21" s="145"/>
      <c r="BA21" s="78"/>
      <c r="BB21" s="132" t="s">
        <v>5239</v>
      </c>
      <c r="BC21" s="133"/>
      <c r="BD21" s="132" t="str">
        <f>IF(OR(B21="",BC21=""),"",COUNTIF(BC$7:BC21,"√"))</f>
        <v/>
      </c>
      <c r="BE21" s="134" t="str">
        <f t="shared" si="4"/>
        <v/>
      </c>
      <c r="BF21" s="135" t="str">
        <f t="shared" si="7"/>
        <v/>
      </c>
      <c r="BG21" s="135" t="str">
        <f t="shared" si="7"/>
        <v/>
      </c>
      <c r="BH21" s="136"/>
      <c r="BI21" s="136"/>
      <c r="BJ21" s="136"/>
      <c r="BK21" s="136"/>
      <c r="BL21" s="136"/>
      <c r="BM21" s="137"/>
      <c r="BN21" s="137"/>
      <c r="BO21" s="156">
        <f t="shared" si="5"/>
        <v>125.582477754962</v>
      </c>
      <c r="BQ21" s="134" t="str">
        <f>IF(COUNTIF(BQ$6:BQ20,C21)&gt;0,"",C21)&amp;""</f>
        <v/>
      </c>
      <c r="BR21" s="138">
        <f t="shared" si="8"/>
        <v>0</v>
      </c>
      <c r="BS21" s="132">
        <f t="shared" si="9"/>
        <v>1</v>
      </c>
      <c r="BT21" s="138">
        <f t="shared" si="10"/>
        <v>0</v>
      </c>
      <c r="BU21" s="132">
        <f t="shared" si="11"/>
        <v>1</v>
      </c>
      <c r="BV21" s="133"/>
      <c r="BW21" s="133"/>
    </row>
    <row r="22" ht="15" customHeight="1" spans="1:76">
      <c r="A22" s="123" t="str">
        <f>IF(B22="","",COUNT(A$6:A21)+1)</f>
        <v/>
      </c>
      <c r="B22" s="139"/>
      <c r="C22" s="141"/>
      <c r="D22" s="140"/>
      <c r="E22" s="126" t="str">
        <f t="shared" si="0"/>
        <v/>
      </c>
      <c r="F22" s="141"/>
      <c r="G22" s="142"/>
      <c r="H22" s="127" t="str">
        <f>IFERROR(VLOOKUP(G22,参数表!$H$2:$I$50,2,FALSE),"")</f>
        <v/>
      </c>
      <c r="I22" s="128" t="str">
        <f t="shared" si="1"/>
        <v/>
      </c>
      <c r="J22" s="143"/>
      <c r="K22" s="144"/>
      <c r="L22" s="129" t="str">
        <f t="shared" si="2"/>
        <v/>
      </c>
      <c r="M22" s="129" t="str">
        <f t="shared" si="3"/>
        <v/>
      </c>
      <c r="N22" s="129" t="str">
        <f>IFERROR(#REF!/(M22-#REF!)*100,"")</f>
        <v/>
      </c>
      <c r="O22" s="145"/>
      <c r="BA22" s="78"/>
      <c r="BB22" s="132" t="s">
        <v>5240</v>
      </c>
      <c r="BC22" s="133"/>
      <c r="BD22" s="132" t="str">
        <f>IF(OR(B22="",BC22=""),"",COUNTIF(BC$7:BC22,"√"))</f>
        <v/>
      </c>
      <c r="BE22" s="134" t="str">
        <f t="shared" si="4"/>
        <v/>
      </c>
      <c r="BF22" s="135" t="str">
        <f t="shared" si="7"/>
        <v/>
      </c>
      <c r="BG22" s="135" t="str">
        <f t="shared" si="7"/>
        <v/>
      </c>
      <c r="BH22" s="136"/>
      <c r="BI22" s="136"/>
      <c r="BJ22" s="136"/>
      <c r="BK22" s="136"/>
      <c r="BL22" s="136"/>
      <c r="BM22" s="137"/>
      <c r="BN22" s="137"/>
      <c r="BO22" s="156">
        <f t="shared" si="5"/>
        <v>125.582477754962</v>
      </c>
      <c r="BQ22" s="134" t="str">
        <f>IF(COUNTIF(BQ$6:BQ21,C22)&gt;0,"",C22)&amp;""</f>
        <v/>
      </c>
      <c r="BR22" s="138">
        <f t="shared" si="8"/>
        <v>0</v>
      </c>
      <c r="BS22" s="132">
        <f t="shared" si="9"/>
        <v>1</v>
      </c>
      <c r="BT22" s="138">
        <f t="shared" si="10"/>
        <v>0</v>
      </c>
      <c r="BU22" s="132">
        <f t="shared" si="11"/>
        <v>1</v>
      </c>
      <c r="BV22" s="133"/>
      <c r="BW22" s="133"/>
    </row>
    <row r="23" ht="15" customHeight="1" spans="1:76">
      <c r="A23" s="123" t="str">
        <f>IF(B23="","",COUNT(A$6:A22)+1)</f>
        <v/>
      </c>
      <c r="B23" s="139"/>
      <c r="C23" s="141"/>
      <c r="D23" s="140"/>
      <c r="E23" s="126" t="str">
        <f t="shared" si="0"/>
        <v/>
      </c>
      <c r="F23" s="141"/>
      <c r="G23" s="142"/>
      <c r="H23" s="127" t="str">
        <f>IFERROR(VLOOKUP(G23,参数表!$H$2:$I$50,2,FALSE),"")</f>
        <v/>
      </c>
      <c r="I23" s="128" t="str">
        <f t="shared" si="1"/>
        <v/>
      </c>
      <c r="J23" s="143"/>
      <c r="K23" s="144"/>
      <c r="L23" s="129" t="str">
        <f t="shared" si="2"/>
        <v/>
      </c>
      <c r="M23" s="129" t="str">
        <f t="shared" si="3"/>
        <v/>
      </c>
      <c r="N23" s="129" t="str">
        <f>IFERROR(#REF!/(M23-#REF!)*100,"")</f>
        <v/>
      </c>
      <c r="O23" s="145"/>
      <c r="BA23" s="78"/>
      <c r="BB23" s="132" t="s">
        <v>5241</v>
      </c>
      <c r="BC23" s="133"/>
      <c r="BD23" s="132" t="str">
        <f>IF(OR(B23="",BC23=""),"",COUNTIF(BC$7:BC23,"√"))</f>
        <v/>
      </c>
      <c r="BE23" s="134" t="str">
        <f t="shared" si="4"/>
        <v/>
      </c>
      <c r="BF23" s="135" t="str">
        <f t="shared" si="7"/>
        <v/>
      </c>
      <c r="BG23" s="135" t="str">
        <f t="shared" si="7"/>
        <v/>
      </c>
      <c r="BH23" s="136"/>
      <c r="BI23" s="136"/>
      <c r="BJ23" s="136"/>
      <c r="BK23" s="136"/>
      <c r="BL23" s="136"/>
      <c r="BM23" s="137"/>
      <c r="BN23" s="137"/>
      <c r="BO23" s="156">
        <f t="shared" si="5"/>
        <v>125.582477754962</v>
      </c>
      <c r="BQ23" s="134" t="str">
        <f>IF(COUNTIF(BQ$6:BQ22,C23)&gt;0,"",C23)&amp;""</f>
        <v/>
      </c>
      <c r="BR23" s="138">
        <f t="shared" si="8"/>
        <v>0</v>
      </c>
      <c r="BS23" s="132">
        <f t="shared" si="9"/>
        <v>1</v>
      </c>
      <c r="BT23" s="138">
        <f t="shared" si="10"/>
        <v>0</v>
      </c>
      <c r="BU23" s="132">
        <f t="shared" si="11"/>
        <v>1</v>
      </c>
      <c r="BV23" s="133"/>
      <c r="BW23" s="133"/>
    </row>
    <row r="24" ht="15" customHeight="1" spans="1:76">
      <c r="A24" s="123" t="str">
        <f>IF(B24="","",COUNT(A$6:A23)+1)</f>
        <v/>
      </c>
      <c r="B24" s="139"/>
      <c r="C24" s="141"/>
      <c r="D24" s="140"/>
      <c r="E24" s="126" t="str">
        <f t="shared" si="0"/>
        <v/>
      </c>
      <c r="F24" s="141"/>
      <c r="G24" s="142"/>
      <c r="H24" s="127" t="str">
        <f>IFERROR(VLOOKUP(G24,参数表!$H$2:$I$50,2,FALSE),"")</f>
        <v/>
      </c>
      <c r="I24" s="128" t="str">
        <f t="shared" si="1"/>
        <v/>
      </c>
      <c r="J24" s="143"/>
      <c r="K24" s="144"/>
      <c r="L24" s="129" t="str">
        <f t="shared" si="2"/>
        <v/>
      </c>
      <c r="M24" s="129" t="str">
        <f t="shared" si="3"/>
        <v/>
      </c>
      <c r="N24" s="129" t="str">
        <f>IFERROR(#REF!/(M24-#REF!)*100,"")</f>
        <v/>
      </c>
      <c r="O24" s="145"/>
      <c r="BA24" s="78"/>
      <c r="BB24" s="132" t="s">
        <v>5242</v>
      </c>
      <c r="BC24" s="133"/>
      <c r="BD24" s="132" t="str">
        <f>IF(OR(B24="",BC24=""),"",COUNTIF(BC$7:BC24,"√"))</f>
        <v/>
      </c>
      <c r="BE24" s="134" t="str">
        <f t="shared" si="4"/>
        <v/>
      </c>
      <c r="BF24" s="135" t="str">
        <f t="shared" si="7"/>
        <v/>
      </c>
      <c r="BG24" s="135" t="str">
        <f t="shared" si="7"/>
        <v/>
      </c>
      <c r="BH24" s="136"/>
      <c r="BI24" s="136"/>
      <c r="BJ24" s="136"/>
      <c r="BK24" s="136"/>
      <c r="BL24" s="136"/>
      <c r="BM24" s="137"/>
      <c r="BN24" s="137"/>
      <c r="BO24" s="156">
        <f t="shared" si="5"/>
        <v>125.582477754962</v>
      </c>
      <c r="BQ24" s="134" t="str">
        <f>IF(COUNTIF(BQ$6:BQ23,C24)&gt;0,"",C24)&amp;""</f>
        <v/>
      </c>
      <c r="BR24" s="138">
        <f t="shared" si="8"/>
        <v>0</v>
      </c>
      <c r="BS24" s="132">
        <f t="shared" si="9"/>
        <v>1</v>
      </c>
      <c r="BT24" s="138">
        <f t="shared" si="10"/>
        <v>0</v>
      </c>
      <c r="BU24" s="132">
        <f t="shared" si="11"/>
        <v>1</v>
      </c>
      <c r="BV24" s="133"/>
      <c r="BW24" s="133"/>
    </row>
    <row r="25" ht="15" customHeight="1" spans="1:76">
      <c r="A25" s="123" t="str">
        <f>IF(B25="","",COUNT(A$6:A24)+1)</f>
        <v/>
      </c>
      <c r="B25" s="139"/>
      <c r="C25" s="141"/>
      <c r="D25" s="140"/>
      <c r="E25" s="126" t="str">
        <f t="shared" si="0"/>
        <v/>
      </c>
      <c r="F25" s="141"/>
      <c r="G25" s="142"/>
      <c r="H25" s="127" t="str">
        <f>IFERROR(VLOOKUP(G25,参数表!$H$2:$I$50,2,FALSE),"")</f>
        <v/>
      </c>
      <c r="I25" s="128" t="str">
        <f t="shared" si="1"/>
        <v/>
      </c>
      <c r="J25" s="143"/>
      <c r="K25" s="144"/>
      <c r="L25" s="129" t="str">
        <f t="shared" si="2"/>
        <v/>
      </c>
      <c r="M25" s="129" t="str">
        <f t="shared" si="3"/>
        <v/>
      </c>
      <c r="N25" s="129" t="str">
        <f>IFERROR(#REF!/(M25-#REF!)*100,"")</f>
        <v/>
      </c>
      <c r="O25" s="145"/>
      <c r="BA25" s="78"/>
      <c r="BB25" s="132" t="s">
        <v>5243</v>
      </c>
      <c r="BC25" s="133"/>
      <c r="BD25" s="132" t="str">
        <f>IF(OR(B25="",BC25=""),"",COUNTIF(BC$7:BC25,"√"))</f>
        <v/>
      </c>
      <c r="BE25" s="134" t="str">
        <f t="shared" si="4"/>
        <v/>
      </c>
      <c r="BF25" s="135" t="str">
        <f t="shared" si="7"/>
        <v/>
      </c>
      <c r="BG25" s="135" t="str">
        <f t="shared" si="7"/>
        <v/>
      </c>
      <c r="BH25" s="136"/>
      <c r="BI25" s="136"/>
      <c r="BJ25" s="136"/>
      <c r="BK25" s="136"/>
      <c r="BL25" s="136"/>
      <c r="BM25" s="137"/>
      <c r="BN25" s="137"/>
      <c r="BO25" s="156">
        <f t="shared" si="5"/>
        <v>125.582477754962</v>
      </c>
      <c r="BQ25" s="134" t="str">
        <f>IF(COUNTIF(BQ$6:BQ24,C25)&gt;0,"",C25)&amp;""</f>
        <v/>
      </c>
      <c r="BR25" s="138">
        <f t="shared" si="8"/>
        <v>0</v>
      </c>
      <c r="BS25" s="132">
        <f t="shared" si="9"/>
        <v>1</v>
      </c>
      <c r="BT25" s="138">
        <f t="shared" si="10"/>
        <v>0</v>
      </c>
      <c r="BU25" s="132">
        <f t="shared" si="11"/>
        <v>1</v>
      </c>
      <c r="BV25" s="133"/>
      <c r="BW25" s="133"/>
    </row>
    <row r="26" ht="15" customHeight="1" spans="1:76">
      <c r="A26" s="123" t="str">
        <f>IF(B26="","",COUNT(A$6:A25)+1)</f>
        <v/>
      </c>
      <c r="B26" s="124"/>
      <c r="C26" s="126"/>
      <c r="D26" s="125"/>
      <c r="E26" s="126" t="str">
        <f t="shared" si="0"/>
        <v/>
      </c>
      <c r="F26" s="126"/>
      <c r="G26" s="127"/>
      <c r="H26" s="127" t="str">
        <f>IFERROR(VLOOKUP(G26,参数表!$H$2:$I$50,2,FALSE),"")</f>
        <v/>
      </c>
      <c r="I26" s="128" t="str">
        <f t="shared" si="1"/>
        <v/>
      </c>
      <c r="J26" s="129"/>
      <c r="K26" s="130"/>
      <c r="L26" s="129" t="str">
        <f t="shared" si="2"/>
        <v/>
      </c>
      <c r="M26" s="129" t="str">
        <f t="shared" si="3"/>
        <v/>
      </c>
      <c r="N26" s="129" t="str">
        <f>IFERROR(#REF!/(M26-#REF!)*100,"")</f>
        <v/>
      </c>
      <c r="O26" s="131"/>
      <c r="BA26" s="78"/>
      <c r="BB26" s="132" t="s">
        <v>5244</v>
      </c>
      <c r="BC26" s="133"/>
      <c r="BD26" s="132" t="str">
        <f>IF(OR(B26="",BC26=""),"",COUNTIF(BC$7:BC26,"√"))</f>
        <v/>
      </c>
      <c r="BE26" s="134" t="str">
        <f t="shared" si="4"/>
        <v/>
      </c>
      <c r="BF26" s="135" t="str">
        <f t="shared" si="7"/>
        <v/>
      </c>
      <c r="BG26" s="135" t="str">
        <f t="shared" si="7"/>
        <v/>
      </c>
      <c r="BH26" s="136"/>
      <c r="BI26" s="136"/>
      <c r="BJ26" s="136"/>
      <c r="BK26" s="136"/>
      <c r="BL26" s="136"/>
      <c r="BM26" s="137"/>
      <c r="BN26" s="137"/>
      <c r="BO26" s="156">
        <f t="shared" si="5"/>
        <v>125.582477754962</v>
      </c>
      <c r="BQ26" s="134" t="str">
        <f>IF(COUNTIF(BQ$6:BQ25,C26)&gt;0,"",C26)&amp;""</f>
        <v/>
      </c>
      <c r="BR26" s="138">
        <f t="shared" si="8"/>
        <v>0</v>
      </c>
      <c r="BS26" s="132">
        <f t="shared" si="9"/>
        <v>1</v>
      </c>
      <c r="BT26" s="138">
        <f t="shared" si="10"/>
        <v>0</v>
      </c>
      <c r="BU26" s="132">
        <f t="shared" si="11"/>
        <v>1</v>
      </c>
      <c r="BV26" s="133"/>
      <c r="BW26" s="133"/>
    </row>
    <row r="27" s="73" customFormat="1" ht="15" customHeight="1" spans="1:76">
      <c r="A27" s="149" t="s">
        <v>1954</v>
      </c>
      <c r="B27" s="149"/>
      <c r="C27" s="149"/>
      <c r="D27" s="150"/>
      <c r="E27" s="151"/>
      <c r="F27" s="149"/>
      <c r="G27" s="151"/>
      <c r="H27" s="151"/>
      <c r="I27" s="151"/>
      <c r="J27" s="152">
        <f>SUM(J7:J26)</f>
        <v>0</v>
      </c>
      <c r="K27" s="153"/>
      <c r="L27" s="152">
        <f>SUM(L7:L26)</f>
        <v>0</v>
      </c>
      <c r="M27" s="152">
        <f>SUM(M7:M26)</f>
        <v>0</v>
      </c>
      <c r="N27" s="152" t="str">
        <f>IFERROR(#REF!/(M27-#REF!)*100,"")</f>
        <v/>
      </c>
      <c r="O27" s="151"/>
      <c r="BH27" s="72"/>
      <c r="BI27" s="72"/>
      <c r="BJ27" s="72"/>
      <c r="BK27" s="72"/>
      <c r="BL27" s="72"/>
      <c r="BM27" s="72"/>
      <c r="BP27" s="111"/>
      <c r="BQ27" s="119"/>
      <c r="BR27" s="77"/>
      <c r="BS27" s="77"/>
      <c r="BT27" s="77"/>
      <c r="BU27" s="119"/>
      <c r="BV27" s="119"/>
      <c r="BW27" s="119"/>
      <c r="BX27" s="111"/>
    </row>
    <row r="28" ht="15.75" customHeight="1" spans="1:76">
      <c r="A28" s="102" t="str">
        <f>参数表!F$6</f>
        <v>产权持有单位填表人：贾广东</v>
      </c>
      <c r="B28" s="154"/>
      <c r="C28" s="154"/>
      <c r="D28" s="154"/>
      <c r="E28" s="154"/>
      <c r="F28" s="286"/>
      <c r="G28" s="154"/>
      <c r="H28" s="154"/>
      <c r="I28" s="154"/>
      <c r="J28" s="103"/>
      <c r="K28" s="104"/>
      <c r="L28" s="103"/>
      <c r="M28" s="103" t="str">
        <f>"评估人员："&amp;封面!$G$20</f>
        <v>评估人员：栗祥宁</v>
      </c>
      <c r="N28" s="103"/>
      <c r="O28" s="103"/>
      <c r="BC28" s="75"/>
      <c r="BD28" s="75"/>
      <c r="BE28" s="75"/>
      <c r="BH28" s="165"/>
      <c r="BI28" s="165"/>
      <c r="BJ28" s="165"/>
      <c r="BK28" s="165"/>
      <c r="BL28" s="165"/>
      <c r="BM28" s="165"/>
    </row>
    <row r="29" ht="15.75" customHeight="1" spans="1:76">
      <c r="A29" s="102" t="str">
        <f>参数表!F$7</f>
        <v>填表日期：2025年9月20日</v>
      </c>
      <c r="B29" s="154"/>
      <c r="C29" s="154"/>
      <c r="D29" s="154"/>
      <c r="E29" s="154"/>
      <c r="F29" s="286"/>
      <c r="G29" s="154"/>
      <c r="H29" s="154"/>
      <c r="I29" s="154"/>
      <c r="J29" s="103"/>
      <c r="K29" s="104"/>
      <c r="L29" s="103"/>
      <c r="M29" s="103"/>
      <c r="N29" s="103"/>
      <c r="O29" s="103"/>
      <c r="BC29" s="75"/>
      <c r="BD29" s="75"/>
      <c r="BE29" s="75"/>
      <c r="BH29" s="165"/>
      <c r="BI29" s="165"/>
      <c r="BJ29" s="165"/>
      <c r="BK29" s="165"/>
      <c r="BL29" s="165"/>
      <c r="BM29" s="165"/>
    </row>
    <row r="30" ht="15.75" hidden="1" customHeight="1" outlineLevel="1" spans="1:76">
      <c r="A30" s="157"/>
      <c r="B30" s="154" t="s">
        <v>1673</v>
      </c>
      <c r="C30" s="158"/>
      <c r="D30" s="158"/>
      <c r="E30" s="158"/>
      <c r="F30" s="228"/>
      <c r="G30" s="158"/>
      <c r="H30" s="158"/>
      <c r="I30" s="158"/>
      <c r="J30" s="159">
        <f>SUMIF($BA7:$BA26,$BA30,J7:J26)</f>
        <v>0</v>
      </c>
      <c r="K30" s="202"/>
      <c r="L30" s="159">
        <f>SUMIF($BA7:$BA26,$BA30,L7:L26)</f>
        <v>0</v>
      </c>
      <c r="M30" s="159">
        <f>SUMIF($BA7:$BA26,$BA30,M7:M26)</f>
        <v>0</v>
      </c>
      <c r="BA30" s="161" t="s">
        <v>1674</v>
      </c>
      <c r="BC30" s="75"/>
      <c r="BD30" s="75"/>
      <c r="BE30" s="75"/>
      <c r="BH30" s="95" t="s">
        <v>1675</v>
      </c>
      <c r="BI30" s="95" t="s">
        <v>1675</v>
      </c>
      <c r="BJ30" s="95" t="s">
        <v>1675</v>
      </c>
      <c r="BK30" s="95" t="s">
        <v>1674</v>
      </c>
      <c r="BL30" s="95" t="s">
        <v>1674</v>
      </c>
      <c r="BM30" s="165"/>
    </row>
    <row r="31" ht="15.75" hidden="1" customHeight="1" outlineLevel="1" spans="1:76">
      <c r="A31" s="157"/>
      <c r="B31" s="154" t="s">
        <v>1676</v>
      </c>
      <c r="C31" s="158"/>
      <c r="D31" s="158"/>
      <c r="E31" s="158"/>
      <c r="F31" s="228"/>
      <c r="G31" s="158"/>
      <c r="H31" s="158"/>
      <c r="I31" s="158"/>
      <c r="J31" s="159">
        <f>J27-J30</f>
        <v>0</v>
      </c>
      <c r="K31" s="202"/>
      <c r="L31" s="159">
        <f>L27-L30</f>
        <v>0</v>
      </c>
      <c r="M31" s="159">
        <f>M27-M30</f>
        <v>0</v>
      </c>
      <c r="BA31" s="161" t="s">
        <v>1677</v>
      </c>
      <c r="BC31" s="75"/>
      <c r="BD31" s="75"/>
      <c r="BE31" s="75"/>
      <c r="BH31" s="95" t="s">
        <v>1678</v>
      </c>
      <c r="BI31" s="95" t="s">
        <v>1678</v>
      </c>
      <c r="BJ31" s="95" t="s">
        <v>1678</v>
      </c>
      <c r="BK31" s="95" t="s">
        <v>1677</v>
      </c>
      <c r="BL31" s="95" t="s">
        <v>1677</v>
      </c>
      <c r="BM31" s="165"/>
    </row>
    <row r="32" ht="15.75" customHeight="1" collapsed="1" spans="1:76">
      <c r="A32" s="157"/>
      <c r="B32" s="158"/>
      <c r="C32" s="158"/>
      <c r="D32" s="158"/>
      <c r="E32" s="158"/>
      <c r="F32" s="228"/>
      <c r="G32" s="158"/>
      <c r="H32" s="158"/>
      <c r="I32" s="158"/>
      <c r="BC32" s="75"/>
      <c r="BD32" s="75"/>
      <c r="BE32" s="75"/>
      <c r="BH32" s="165"/>
      <c r="BI32" s="165"/>
      <c r="BJ32" s="165"/>
      <c r="BK32" s="165"/>
      <c r="BL32" s="165"/>
      <c r="BM32" s="165"/>
    </row>
    <row r="33" ht="15.75" customHeight="1" spans="1:9">
      <c r="A33" s="157"/>
      <c r="B33" s="158"/>
      <c r="C33" s="158"/>
      <c r="D33" s="158"/>
      <c r="E33" s="158"/>
      <c r="F33" s="228"/>
      <c r="G33" s="158"/>
      <c r="H33" s="158"/>
      <c r="I33" s="158"/>
    </row>
    <row r="34" ht="15.75" customHeight="1" spans="1:9">
      <c r="A34" s="157"/>
      <c r="B34" s="158"/>
      <c r="C34" s="158"/>
      <c r="D34" s="158"/>
      <c r="E34" s="158"/>
      <c r="F34" s="228"/>
      <c r="G34" s="158"/>
      <c r="H34" s="158"/>
      <c r="I34" s="158"/>
    </row>
    <row r="35" ht="15.75" customHeight="1" spans="1:9">
      <c r="A35" s="157"/>
      <c r="B35" s="158"/>
      <c r="C35" s="158"/>
      <c r="D35" s="158"/>
      <c r="E35" s="158"/>
      <c r="F35" s="228"/>
      <c r="G35" s="158"/>
      <c r="H35" s="158"/>
      <c r="I35" s="158"/>
    </row>
    <row r="36" ht="15.75" customHeight="1" spans="1:9">
      <c r="A36" s="157"/>
      <c r="B36" s="158"/>
      <c r="C36" s="158"/>
      <c r="D36" s="158"/>
      <c r="E36" s="158"/>
      <c r="F36" s="228"/>
      <c r="G36" s="158"/>
      <c r="H36" s="158"/>
      <c r="I36" s="158"/>
    </row>
    <row r="37" ht="15.75" customHeight="1" spans="1:9">
      <c r="A37" s="157"/>
      <c r="B37" s="158"/>
      <c r="C37" s="158"/>
      <c r="D37" s="158"/>
      <c r="E37" s="158"/>
      <c r="F37" s="228"/>
      <c r="G37" s="158"/>
      <c r="H37" s="158"/>
      <c r="I37" s="158"/>
    </row>
    <row r="38" ht="15.75" customHeight="1" spans="1:9">
      <c r="A38" s="157"/>
      <c r="B38" s="158"/>
      <c r="C38" s="158"/>
      <c r="D38" s="158"/>
      <c r="E38" s="158"/>
      <c r="F38" s="228"/>
      <c r="G38" s="158"/>
      <c r="H38" s="158"/>
      <c r="I38" s="158"/>
    </row>
  </sheetData>
  <mergeCells count="6">
    <mergeCell ref="A2:O2"/>
    <mergeCell ref="A3:O3"/>
    <mergeCell ref="BV7:BX7"/>
    <mergeCell ref="BV8:BX8"/>
    <mergeCell ref="BW14:BX14"/>
    <mergeCell ref="A27:B27"/>
  </mergeCells>
  <conditionalFormatting sqref="BI7:BL7">
    <cfRule type="expression" dxfId="5" priority="4" stopIfTrue="1">
      <formula>AND($B7&lt;&gt;"",BI7="")</formula>
    </cfRule>
  </conditionalFormatting>
  <conditionalFormatting sqref="BM7:BM26">
    <cfRule type="expression" dxfId="5" priority="3"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M8:BM25 BH26:BM26 BH7:BL25">
    <cfRule type="expression" dxfId="5" priority="5" stopIfTrue="1">
      <formula>AND($B7&lt;&gt;"",BH7="")</formula>
    </cfRule>
  </conditionalFormatting>
  <dataValidations count="4">
    <dataValidation type="list" allowBlank="1" showInputMessage="1" showErrorMessage="1" sqref="G7:G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L26">
      <formula1>BH$30:BH$31</formula1>
    </dataValidation>
  </dataValidations>
  <hyperlinks>
    <hyperlink ref="A1" location="索引目录!D14" display="返回索引页"/>
    <hyperlink ref="B1" location="流动资产汇总表!B15" display="返回"/>
  </hyperlinks>
  <printOptions horizontalCentered="1"/>
  <pageMargins left="0.708661417322835" right="0.708661417322835" top="0.748031496062992" bottom="0.748031496062992" header="0.31496062992126" footer="0.31496062992126"/>
  <pageSetup paperSize="9" orientation="landscape" blackAndWhite="1"/>
  <headerFooter/>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3"/>
  <dimension ref="A1:BV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9.5" style="75" customWidth="1"/>
    <col min="3" max="3" width="16" style="75" customWidth="1"/>
    <col min="4" max="5" width="4.6" style="75" customWidth="1" outlineLevel="1"/>
    <col min="6" max="6" width="6.1" style="75" customWidth="1" outlineLevel="1"/>
    <col min="7" max="7" width="20.6" style="75" customWidth="1" outlineLevel="1"/>
    <col min="8" max="8" width="20.6" style="76" customWidth="1" outlineLevel="1"/>
    <col min="9" max="10" width="20.6" style="75" customWidth="1"/>
    <col min="11" max="11" width="18.1" style="75" customWidth="1"/>
    <col min="12"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3" width="4.7" style="165" customWidth="1"/>
    <col min="64" max="64" width="5.1" style="165" customWidth="1"/>
    <col min="65" max="65" width="8.7" style="75" customWidth="1"/>
    <col min="66" max="66" width="1.6" style="77" customWidth="1"/>
    <col min="67" max="67" width="10.6" style="78" customWidth="1"/>
    <col min="68" max="68" width="10.6" style="77" customWidth="1"/>
    <col min="69" max="69" width="4.6" style="78" customWidth="1"/>
    <col min="70" max="70" width="10.6" style="78" customWidth="1"/>
    <col min="71" max="72" width="4.6" style="78" customWidth="1"/>
    <col min="73" max="73" width="10.6" style="78" customWidth="1"/>
    <col min="74" max="74" width="5" style="77" customWidth="1"/>
    <col min="75" max="16384" width="9" style="75"/>
  </cols>
  <sheetData>
    <row r="1" s="70" customFormat="1" ht="13.8" spans="1:74">
      <c r="A1" s="273" t="s">
        <v>1591</v>
      </c>
      <c r="B1" s="80" t="s">
        <v>1592</v>
      </c>
      <c r="C1" s="81"/>
      <c r="D1" s="82"/>
      <c r="E1" s="82"/>
      <c r="F1" s="82"/>
      <c r="G1" s="81"/>
      <c r="H1" s="83"/>
      <c r="I1" s="81"/>
      <c r="J1" s="81"/>
      <c r="K1" s="81"/>
      <c r="BA1" s="84" t="str">
        <f>参数表!BA1</f>
        <v>注意：补充特殊事项、作价等均从BA列开始填写</v>
      </c>
      <c r="BB1" s="85"/>
      <c r="BC1" s="86"/>
      <c r="BD1" s="86"/>
      <c r="BE1" s="86"/>
      <c r="BF1" s="86"/>
      <c r="BG1" s="86"/>
      <c r="BH1" s="82"/>
      <c r="BI1" s="86"/>
      <c r="BJ1" s="168"/>
      <c r="BK1" s="168"/>
      <c r="BL1" s="168"/>
      <c r="BN1" s="87"/>
      <c r="BO1" s="88"/>
      <c r="BP1" s="87"/>
      <c r="BQ1" s="88"/>
      <c r="BR1" s="88"/>
      <c r="BS1" s="88"/>
      <c r="BT1" s="88"/>
      <c r="BU1" s="88"/>
      <c r="BV1" s="87"/>
    </row>
    <row r="2" s="71" customFormat="1" ht="30" customHeight="1" spans="1:74">
      <c r="A2" s="89" t="s">
        <v>5245</v>
      </c>
      <c r="B2" s="89"/>
      <c r="C2" s="89"/>
      <c r="D2" s="89"/>
      <c r="E2" s="89"/>
      <c r="F2" s="89"/>
      <c r="G2" s="89"/>
      <c r="H2" s="89"/>
      <c r="I2" s="89"/>
      <c r="J2" s="89"/>
      <c r="K2" s="89"/>
      <c r="BA2" s="90" t="str">
        <f>参数表!BA2</f>
        <v>评估基准日：</v>
      </c>
      <c r="BB2" s="91" t="str">
        <f>参数表!$BB$2</f>
        <v>2025年7月31日</v>
      </c>
      <c r="BH2" s="171"/>
      <c r="BJ2" s="171"/>
      <c r="BK2" s="171"/>
      <c r="BL2" s="171"/>
      <c r="BN2" s="92"/>
      <c r="BO2" s="93"/>
      <c r="BP2" s="92"/>
      <c r="BQ2" s="93"/>
      <c r="BR2" s="93"/>
      <c r="BS2" s="93"/>
      <c r="BT2" s="93"/>
      <c r="BU2" s="93"/>
      <c r="BV2" s="92"/>
    </row>
    <row r="3" ht="15" customHeight="1" spans="1:74">
      <c r="A3" s="94" t="str">
        <f>参数表!F5</f>
        <v>评估基准日：2025年7月31日</v>
      </c>
      <c r="B3" s="94"/>
      <c r="C3" s="94"/>
      <c r="D3" s="94"/>
      <c r="E3" s="94"/>
      <c r="F3" s="94"/>
      <c r="G3" s="94"/>
      <c r="H3" s="94"/>
      <c r="I3" s="94"/>
      <c r="J3" s="94"/>
      <c r="K3" s="94"/>
      <c r="BA3" s="90" t="str">
        <f>参数表!BA3</f>
        <v>是否显示评估值：</v>
      </c>
      <c r="BB3" s="90" t="str">
        <f>参数表!$BB$3</f>
        <v>是</v>
      </c>
      <c r="BP3" s="78"/>
    </row>
    <row r="4" ht="15" customHeight="1" spans="1:74">
      <c r="A4" s="96"/>
      <c r="B4" s="94"/>
      <c r="C4" s="94"/>
      <c r="D4" s="94"/>
      <c r="E4" s="94"/>
      <c r="F4" s="94"/>
      <c r="G4" s="94"/>
      <c r="H4" s="97"/>
      <c r="I4" s="94"/>
      <c r="J4" s="94"/>
      <c r="K4" s="98" t="str">
        <f>"表"&amp;$BA4</f>
        <v>表5-9</v>
      </c>
      <c r="BA4" s="274" t="str">
        <f>流动负总!A15</f>
        <v>5-9</v>
      </c>
      <c r="BB4" s="100">
        <f>MAX(COUNTA(A7:A26),COUNTA(B7:B26),COUNTA(G7:G26),COUNTA(I7:I26))</f>
        <v>20</v>
      </c>
      <c r="BC4" s="101">
        <f>ROW(A6)+1</f>
        <v>7</v>
      </c>
      <c r="BD4" s="77"/>
      <c r="BE4" s="77"/>
      <c r="BP4" s="78"/>
    </row>
    <row r="5" ht="15" customHeight="1" spans="1:74">
      <c r="A5" s="102" t="str">
        <f>参数表!F3</f>
        <v>产权持有单位:中煤第五建设有限公司</v>
      </c>
      <c r="B5" s="103"/>
      <c r="C5" s="103"/>
      <c r="D5" s="103"/>
      <c r="E5" s="103"/>
      <c r="F5" s="103"/>
      <c r="G5" s="103"/>
      <c r="H5" s="104"/>
      <c r="I5" s="103"/>
      <c r="J5" s="103"/>
      <c r="K5" s="98" t="s">
        <v>236</v>
      </c>
      <c r="BA5" s="103"/>
      <c r="BB5" s="105" t="str">
        <f ca="1">判断表!C108</f>
        <v>中煤第五建设有限公司第三工程处拟处置实物资产项目\[0000-3基础法明细表.xlsx]职工薪酬</v>
      </c>
      <c r="BC5" s="106">
        <f>IFERROR(SUMIF(BC7:BC26,"√",I7:I26)/I27,0)</f>
        <v>0</v>
      </c>
      <c r="BD5" s="107"/>
      <c r="BE5" s="107"/>
      <c r="BF5" s="108">
        <f>分类汇总!$I53</f>
        <v>0</v>
      </c>
      <c r="BG5" s="108">
        <f>分类汇总!$K53</f>
        <v>0</v>
      </c>
      <c r="BH5" s="109"/>
      <c r="BI5" s="109"/>
      <c r="BJ5" s="109"/>
      <c r="BK5" s="109"/>
      <c r="BL5" s="109"/>
      <c r="BM5" s="110"/>
      <c r="BN5" s="111"/>
      <c r="BP5" s="78"/>
      <c r="BV5" s="111"/>
    </row>
    <row r="6" s="72" customFormat="1" ht="25.2" customHeight="1" spans="1:74">
      <c r="A6" s="112" t="s">
        <v>305</v>
      </c>
      <c r="B6" s="113" t="s">
        <v>3342</v>
      </c>
      <c r="C6" s="113" t="s">
        <v>1961</v>
      </c>
      <c r="D6" s="114" t="s">
        <v>1631</v>
      </c>
      <c r="E6" s="115" t="s">
        <v>1632</v>
      </c>
      <c r="F6" s="116" t="s">
        <v>3793</v>
      </c>
      <c r="G6" s="113" t="s">
        <v>1549</v>
      </c>
      <c r="H6" s="117" t="s">
        <v>1634</v>
      </c>
      <c r="I6" s="118" t="s">
        <v>1523</v>
      </c>
      <c r="J6" s="113" t="s">
        <v>1550</v>
      </c>
      <c r="K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1644</v>
      </c>
      <c r="BN6" s="119"/>
      <c r="BO6" s="120" t="s">
        <v>1645</v>
      </c>
      <c r="BP6" s="121" t="s">
        <v>1646</v>
      </c>
      <c r="BQ6" s="121" t="s">
        <v>1647</v>
      </c>
      <c r="BR6" s="121" t="s">
        <v>1648</v>
      </c>
      <c r="BS6" s="121" t="s">
        <v>1647</v>
      </c>
      <c r="BT6" s="121" t="s">
        <v>1647</v>
      </c>
      <c r="BU6" s="121" t="s">
        <v>1649</v>
      </c>
      <c r="BV6" s="122" t="s">
        <v>1650</v>
      </c>
    </row>
    <row r="7" ht="15" customHeight="1" spans="1:74">
      <c r="A7" s="123">
        <v>1</v>
      </c>
      <c r="B7" s="124" t="s">
        <v>5246</v>
      </c>
      <c r="C7" s="125" t="str">
        <f t="shared" ref="C7:C21" si="0">IF(I7="","",DATE(YEAR(BB$2),MONTH(BB$2),DAY(BB$2)))</f>
        <v/>
      </c>
      <c r="D7" s="127"/>
      <c r="E7" s="127" t="str">
        <f>IFERROR(VLOOKUP(D7,参数表!$H$2:$I$50,2,FALSE),"")</f>
        <v/>
      </c>
      <c r="F7" s="128" t="str">
        <f>IFERROR(IF(OR(D7="人民币",D7=""),"",I7/E7),"")</f>
        <v/>
      </c>
      <c r="G7" s="129"/>
      <c r="H7" s="130"/>
      <c r="I7" s="129" t="str">
        <f>IF(G7+H7=0,"",G7+H7)</f>
        <v/>
      </c>
      <c r="J7" s="129" t="str">
        <f t="shared" ref="J7:J26" si="1">IF(I7="","",IF($BB$3="是",I7,""))</f>
        <v/>
      </c>
      <c r="K7" s="131"/>
      <c r="BA7" s="78"/>
      <c r="BB7" s="132" t="s">
        <v>5247</v>
      </c>
      <c r="BC7" s="133"/>
      <c r="BD7" s="132" t="str">
        <f>IF(OR(B7="",BC7=""),"",COUNTIF(BC$7:BC7,"√"))</f>
        <v/>
      </c>
      <c r="BE7" s="134" t="str">
        <f t="shared" ref="BE7:BE26" si="2">IF(BC7="","",BB7&amp;"︱"&amp;B7&amp;"︱"&amp;TEXT(G7,"#,##0.00"))</f>
        <v/>
      </c>
      <c r="BF7" s="135" t="str">
        <f>IF($B7="","",IF(BF$5=0,"OK","出错"))</f>
        <v>OK</v>
      </c>
      <c r="BG7" s="135" t="str">
        <f>IF($B7="","",IF(BG$5=0,"OK","出错"))</f>
        <v>OK</v>
      </c>
      <c r="BH7" s="136"/>
      <c r="BI7" s="137"/>
      <c r="BJ7" s="136"/>
      <c r="BK7" s="136"/>
      <c r="BL7" s="136"/>
      <c r="BM7" s="137"/>
      <c r="BO7" s="134" t="str">
        <f>IF(COUNTIF(BO$6:BO6,B7)&gt;0,"",B7)&amp;""</f>
        <v>工资、奖金、津贴和补贴</v>
      </c>
      <c r="BP7" s="138">
        <f>SUMIF(B$7:B$26,BO7,I$7:I$26)</f>
        <v>0</v>
      </c>
      <c r="BQ7" s="132">
        <f t="shared" ref="BQ7" si="3">RANK(BP7,BP$7:BP$26)</f>
        <v>1</v>
      </c>
      <c r="BR7" s="138">
        <f>SUMIF(B$7:B$26,BO7,J$7:J$26)</f>
        <v>0</v>
      </c>
      <c r="BS7" s="132">
        <f>RANK(BR7,BR$7:BR$26)</f>
        <v>1</v>
      </c>
      <c r="BT7" s="138">
        <f>SUM(BP7:BP26)</f>
        <v>0</v>
      </c>
      <c r="BU7" s="138"/>
      <c r="BV7" s="138"/>
    </row>
    <row r="8" ht="15" customHeight="1" spans="1:74">
      <c r="A8" s="123">
        <v>2</v>
      </c>
      <c r="B8" s="139" t="s">
        <v>5248</v>
      </c>
      <c r="C8" s="125" t="str">
        <f t="shared" si="0"/>
        <v/>
      </c>
      <c r="D8" s="142"/>
      <c r="E8" s="127" t="str">
        <f>IFERROR(VLOOKUP(D8,参数表!$H$2:$I$50,2,FALSE),"")</f>
        <v/>
      </c>
      <c r="F8" s="128" t="str">
        <f t="shared" ref="F8:F26" si="4">IFERROR(IF(OR(D8="人民币",D8=""),"",I8/E8),"")</f>
        <v/>
      </c>
      <c r="G8" s="143"/>
      <c r="H8" s="144"/>
      <c r="I8" s="129" t="str">
        <f t="shared" ref="I8:I26" si="5">IF(G8+H8=0,"",G8+H8)</f>
        <v/>
      </c>
      <c r="J8" s="129" t="str">
        <f t="shared" si="1"/>
        <v/>
      </c>
      <c r="K8" s="145"/>
      <c r="BA8" s="78"/>
      <c r="BB8" s="132" t="s">
        <v>5249</v>
      </c>
      <c r="BC8" s="133"/>
      <c r="BD8" s="132" t="str">
        <f>IF(OR(B8="",BC8=""),"",COUNTIF(BC$7:BC8,"√"))</f>
        <v/>
      </c>
      <c r="BE8" s="134" t="str">
        <f t="shared" si="2"/>
        <v/>
      </c>
      <c r="BF8" s="135" t="str">
        <f t="shared" ref="BF8:BG26" si="6">IF($B8="","",IF(BF$5=0,"OK","出错"))</f>
        <v>OK</v>
      </c>
      <c r="BG8" s="135" t="str">
        <f t="shared" si="6"/>
        <v>OK</v>
      </c>
      <c r="BH8" s="136"/>
      <c r="BI8" s="137"/>
      <c r="BJ8" s="136"/>
      <c r="BK8" s="136"/>
      <c r="BL8" s="136"/>
      <c r="BM8" s="137"/>
      <c r="BO8" s="134" t="str">
        <f>IF(COUNTIF(BO$6:BO7,B8)&gt;0,"",B8)&amp;""</f>
        <v>职工福利费</v>
      </c>
      <c r="BP8" s="138">
        <f t="shared" ref="BP8:BP26" si="7">SUMIF(B$7:B$26,BO8,I$7:I$26)</f>
        <v>0</v>
      </c>
      <c r="BQ8" s="132">
        <f t="shared" ref="BQ8:BQ26" si="8">RANK(BP8,BP$7:BP$26)</f>
        <v>1</v>
      </c>
      <c r="BR8" s="138">
        <f t="shared" ref="BR8:BR26" si="9">SUMIF(B$7:B$26,BO8,J$7:J$26)</f>
        <v>0</v>
      </c>
      <c r="BS8" s="132">
        <f t="shared" ref="BS8:BS26" si="10">RANK(BR8,BR$7:BR$26)</f>
        <v>1</v>
      </c>
      <c r="BT8" s="138">
        <f>SUM(BR7:BR26)</f>
        <v>0</v>
      </c>
      <c r="BU8" s="138"/>
      <c r="BV8" s="138"/>
    </row>
    <row r="9" ht="15" customHeight="1" spans="1:74">
      <c r="A9" s="123">
        <v>3</v>
      </c>
      <c r="B9" s="139" t="s">
        <v>5250</v>
      </c>
      <c r="C9" s="125" t="str">
        <f t="shared" si="0"/>
        <v/>
      </c>
      <c r="D9" s="142"/>
      <c r="E9" s="127" t="str">
        <f>IFERROR(VLOOKUP(D9,参数表!$H$2:$I$50,2,FALSE),"")</f>
        <v/>
      </c>
      <c r="F9" s="128" t="str">
        <f t="shared" si="4"/>
        <v/>
      </c>
      <c r="G9" s="143"/>
      <c r="H9" s="144"/>
      <c r="I9" s="129" t="str">
        <f t="shared" si="5"/>
        <v/>
      </c>
      <c r="J9" s="129" t="str">
        <f t="shared" si="1"/>
        <v/>
      </c>
      <c r="K9" s="145"/>
      <c r="BA9" s="78"/>
      <c r="BB9" s="132" t="s">
        <v>5251</v>
      </c>
      <c r="BC9" s="133"/>
      <c r="BD9" s="132" t="str">
        <f>IF(OR(B9="",BC9=""),"",COUNTIF(BC$7:BC9,"√"))</f>
        <v/>
      </c>
      <c r="BE9" s="134" t="str">
        <f t="shared" si="2"/>
        <v/>
      </c>
      <c r="BF9" s="135" t="str">
        <f t="shared" si="6"/>
        <v>OK</v>
      </c>
      <c r="BG9" s="135" t="str">
        <f t="shared" si="6"/>
        <v>OK</v>
      </c>
      <c r="BH9" s="136"/>
      <c r="BI9" s="137"/>
      <c r="BJ9" s="136"/>
      <c r="BK9" s="136"/>
      <c r="BL9" s="136"/>
      <c r="BM9" s="137"/>
      <c r="BO9" s="134" t="str">
        <f>IF(COUNTIF(BO$6:BO8,B9)&gt;0,"",B9)&amp;""</f>
        <v>医疗保险费</v>
      </c>
      <c r="BP9" s="138">
        <f t="shared" si="7"/>
        <v>0</v>
      </c>
      <c r="BQ9" s="132">
        <f t="shared" si="8"/>
        <v>1</v>
      </c>
      <c r="BR9" s="138">
        <f t="shared" si="9"/>
        <v>0</v>
      </c>
      <c r="BS9" s="132">
        <f t="shared" si="10"/>
        <v>1</v>
      </c>
      <c r="BT9" s="132">
        <v>1</v>
      </c>
      <c r="BU9" s="134" t="str">
        <f>IFERROR(INDEX(BO$7:BO$26,MATCH(BT9,IF(BT$7=0,BS$7:BS$26,BQ$7:BQ$26),0))&amp;"","")</f>
        <v>工资、奖金、津贴和补贴</v>
      </c>
      <c r="BV9" s="146" t="str">
        <f>IF(BU10="","",IF(BU11="","和","、"))</f>
        <v/>
      </c>
    </row>
    <row r="10" ht="15" customHeight="1" spans="1:74">
      <c r="A10" s="123">
        <v>4</v>
      </c>
      <c r="B10" s="139" t="s">
        <v>5252</v>
      </c>
      <c r="C10" s="125" t="str">
        <f t="shared" si="0"/>
        <v/>
      </c>
      <c r="D10" s="142"/>
      <c r="E10" s="127" t="str">
        <f>IFERROR(VLOOKUP(D10,参数表!$H$2:$I$50,2,FALSE),"")</f>
        <v/>
      </c>
      <c r="F10" s="128" t="str">
        <f t="shared" si="4"/>
        <v/>
      </c>
      <c r="G10" s="143"/>
      <c r="H10" s="144"/>
      <c r="I10" s="129" t="str">
        <f t="shared" si="5"/>
        <v/>
      </c>
      <c r="J10" s="129" t="str">
        <f t="shared" si="1"/>
        <v/>
      </c>
      <c r="K10" s="145"/>
      <c r="BA10" s="78"/>
      <c r="BB10" s="132" t="s">
        <v>5253</v>
      </c>
      <c r="BC10" s="133"/>
      <c r="BD10" s="132" t="str">
        <f>IF(OR(B10="",BC10=""),"",COUNTIF(BC$7:BC10,"√"))</f>
        <v/>
      </c>
      <c r="BE10" s="134" t="str">
        <f t="shared" si="2"/>
        <v/>
      </c>
      <c r="BF10" s="135" t="str">
        <f t="shared" si="6"/>
        <v>OK</v>
      </c>
      <c r="BG10" s="135" t="str">
        <f t="shared" si="6"/>
        <v>OK</v>
      </c>
      <c r="BH10" s="136"/>
      <c r="BI10" s="137"/>
      <c r="BJ10" s="136"/>
      <c r="BK10" s="136"/>
      <c r="BL10" s="136"/>
      <c r="BM10" s="137"/>
      <c r="BO10" s="134" t="str">
        <f>IF(COUNTIF(BO$6:BO9,B10)&gt;0,"",B10)&amp;""</f>
        <v>基本养老保险费</v>
      </c>
      <c r="BP10" s="138">
        <f t="shared" si="7"/>
        <v>0</v>
      </c>
      <c r="BQ10" s="132">
        <f t="shared" si="8"/>
        <v>1</v>
      </c>
      <c r="BR10" s="138">
        <f t="shared" si="9"/>
        <v>0</v>
      </c>
      <c r="BS10" s="132">
        <f t="shared" si="10"/>
        <v>1</v>
      </c>
      <c r="BT10" s="132">
        <v>2</v>
      </c>
      <c r="BU10" s="134" t="str">
        <f t="shared" ref="BU10:BU13" si="11">IFERROR(INDEX(BO$7:BO$26,MATCH(BT10,IF(BT$7=0,BS$7:BS$26,BQ$7:BQ$26),0))&amp;"","")</f>
        <v/>
      </c>
      <c r="BV10" s="146" t="str">
        <f t="shared" ref="BV10:BV11" si="12">IF(BU11="","",IF(BU12="","和","、"))</f>
        <v/>
      </c>
    </row>
    <row r="11" ht="15" customHeight="1" spans="1:74">
      <c r="A11" s="123">
        <v>5</v>
      </c>
      <c r="B11" s="139" t="s">
        <v>5254</v>
      </c>
      <c r="C11" s="125" t="str">
        <f t="shared" si="0"/>
        <v/>
      </c>
      <c r="D11" s="142"/>
      <c r="E11" s="127" t="str">
        <f>IFERROR(VLOOKUP(D11,参数表!$H$2:$I$50,2,FALSE),"")</f>
        <v/>
      </c>
      <c r="F11" s="128" t="str">
        <f t="shared" si="4"/>
        <v/>
      </c>
      <c r="G11" s="143"/>
      <c r="H11" s="144"/>
      <c r="I11" s="129" t="str">
        <f t="shared" si="5"/>
        <v/>
      </c>
      <c r="J11" s="129" t="str">
        <f t="shared" si="1"/>
        <v/>
      </c>
      <c r="K11" s="145"/>
      <c r="BA11" s="78"/>
      <c r="BB11" s="132" t="s">
        <v>5255</v>
      </c>
      <c r="BC11" s="133"/>
      <c r="BD11" s="132" t="str">
        <f>IF(OR(B11="",BC11=""),"",COUNTIF(BC$7:BC11,"√"))</f>
        <v/>
      </c>
      <c r="BE11" s="134" t="str">
        <f t="shared" si="2"/>
        <v/>
      </c>
      <c r="BF11" s="135" t="str">
        <f t="shared" si="6"/>
        <v>OK</v>
      </c>
      <c r="BG11" s="135" t="str">
        <f t="shared" si="6"/>
        <v>OK</v>
      </c>
      <c r="BH11" s="136"/>
      <c r="BI11" s="137"/>
      <c r="BJ11" s="136"/>
      <c r="BK11" s="136"/>
      <c r="BL11" s="136"/>
      <c r="BM11" s="137"/>
      <c r="BO11" s="134" t="str">
        <f>IF(COUNTIF(BO$6:BO10,B11)&gt;0,"",B11)&amp;""</f>
        <v>年金缴费</v>
      </c>
      <c r="BP11" s="138">
        <f t="shared" si="7"/>
        <v>0</v>
      </c>
      <c r="BQ11" s="132">
        <f t="shared" si="8"/>
        <v>1</v>
      </c>
      <c r="BR11" s="138">
        <f t="shared" si="9"/>
        <v>0</v>
      </c>
      <c r="BS11" s="132">
        <f t="shared" si="10"/>
        <v>1</v>
      </c>
      <c r="BT11" s="132">
        <v>3</v>
      </c>
      <c r="BU11" s="134" t="str">
        <f t="shared" si="11"/>
        <v/>
      </c>
      <c r="BV11" s="146" t="str">
        <f t="shared" si="12"/>
        <v/>
      </c>
    </row>
    <row r="12" ht="15" customHeight="1" spans="1:74">
      <c r="A12" s="123">
        <v>6</v>
      </c>
      <c r="B12" s="139" t="s">
        <v>5256</v>
      </c>
      <c r="C12" s="125" t="str">
        <f t="shared" si="0"/>
        <v/>
      </c>
      <c r="D12" s="142"/>
      <c r="E12" s="127" t="str">
        <f>IFERROR(VLOOKUP(D12,参数表!$H$2:$I$50,2,FALSE),"")</f>
        <v/>
      </c>
      <c r="F12" s="128" t="str">
        <f t="shared" si="4"/>
        <v/>
      </c>
      <c r="G12" s="143"/>
      <c r="H12" s="144"/>
      <c r="I12" s="129" t="str">
        <f t="shared" si="5"/>
        <v/>
      </c>
      <c r="J12" s="129" t="str">
        <f t="shared" si="1"/>
        <v/>
      </c>
      <c r="K12" s="145"/>
      <c r="BA12" s="78"/>
      <c r="BB12" s="132" t="s">
        <v>5257</v>
      </c>
      <c r="BC12" s="133"/>
      <c r="BD12" s="132" t="str">
        <f>IF(OR(B12="",BC12=""),"",COUNTIF(BC$7:BC12,"√"))</f>
        <v/>
      </c>
      <c r="BE12" s="134" t="str">
        <f t="shared" si="2"/>
        <v/>
      </c>
      <c r="BF12" s="135" t="str">
        <f t="shared" si="6"/>
        <v>OK</v>
      </c>
      <c r="BG12" s="135" t="str">
        <f t="shared" si="6"/>
        <v>OK</v>
      </c>
      <c r="BH12" s="136"/>
      <c r="BI12" s="137"/>
      <c r="BJ12" s="136"/>
      <c r="BK12" s="136"/>
      <c r="BL12" s="136"/>
      <c r="BM12" s="137"/>
      <c r="BO12" s="134" t="str">
        <f>IF(COUNTIF(BO$6:BO11,B12)&gt;0,"",B12)&amp;""</f>
        <v>失业保险费</v>
      </c>
      <c r="BP12" s="138">
        <f t="shared" si="7"/>
        <v>0</v>
      </c>
      <c r="BQ12" s="132">
        <f t="shared" si="8"/>
        <v>1</v>
      </c>
      <c r="BR12" s="138">
        <f t="shared" si="9"/>
        <v>0</v>
      </c>
      <c r="BS12" s="132">
        <f t="shared" si="10"/>
        <v>1</v>
      </c>
      <c r="BT12" s="132">
        <v>4</v>
      </c>
      <c r="BU12" s="134" t="str">
        <f t="shared" si="11"/>
        <v/>
      </c>
      <c r="BV12" s="146" t="str">
        <f>IF(BU13="","","和")</f>
        <v/>
      </c>
    </row>
    <row r="13" ht="15" customHeight="1" spans="1:74">
      <c r="A13" s="123">
        <v>7</v>
      </c>
      <c r="B13" s="139" t="s">
        <v>5258</v>
      </c>
      <c r="C13" s="125" t="str">
        <f t="shared" si="0"/>
        <v/>
      </c>
      <c r="D13" s="142"/>
      <c r="E13" s="127" t="str">
        <f>IFERROR(VLOOKUP(D13,参数表!$H$2:$I$50,2,FALSE),"")</f>
        <v/>
      </c>
      <c r="F13" s="128" t="str">
        <f t="shared" si="4"/>
        <v/>
      </c>
      <c r="G13" s="143"/>
      <c r="H13" s="144"/>
      <c r="I13" s="129" t="str">
        <f t="shared" si="5"/>
        <v/>
      </c>
      <c r="J13" s="129" t="str">
        <f t="shared" si="1"/>
        <v/>
      </c>
      <c r="K13" s="145"/>
      <c r="BA13" s="78"/>
      <c r="BB13" s="132" t="s">
        <v>5259</v>
      </c>
      <c r="BC13" s="133"/>
      <c r="BD13" s="132" t="str">
        <f>IF(OR(B13="",BC13=""),"",COUNTIF(BC$7:BC13,"√"))</f>
        <v/>
      </c>
      <c r="BE13" s="134" t="str">
        <f t="shared" si="2"/>
        <v/>
      </c>
      <c r="BF13" s="135" t="str">
        <f t="shared" si="6"/>
        <v>OK</v>
      </c>
      <c r="BG13" s="135" t="str">
        <f t="shared" si="6"/>
        <v>OK</v>
      </c>
      <c r="BH13" s="136"/>
      <c r="BI13" s="137"/>
      <c r="BJ13" s="136"/>
      <c r="BK13" s="136"/>
      <c r="BL13" s="136"/>
      <c r="BM13" s="137"/>
      <c r="BO13" s="134" t="str">
        <f>IF(COUNTIF(BO$6:BO12,B13)&gt;0,"",B13)&amp;""</f>
        <v>工伤保险费</v>
      </c>
      <c r="BP13" s="138">
        <f t="shared" si="7"/>
        <v>0</v>
      </c>
      <c r="BQ13" s="132">
        <f t="shared" si="8"/>
        <v>1</v>
      </c>
      <c r="BR13" s="138">
        <f t="shared" si="9"/>
        <v>0</v>
      </c>
      <c r="BS13" s="132">
        <f t="shared" si="10"/>
        <v>1</v>
      </c>
      <c r="BT13" s="132">
        <v>5</v>
      </c>
      <c r="BU13" s="134" t="str">
        <f t="shared" si="11"/>
        <v/>
      </c>
      <c r="BV13" s="146"/>
    </row>
    <row r="14" ht="15" customHeight="1" spans="1:74">
      <c r="A14" s="123">
        <v>8</v>
      </c>
      <c r="B14" s="139" t="s">
        <v>5260</v>
      </c>
      <c r="C14" s="125" t="str">
        <f t="shared" si="0"/>
        <v/>
      </c>
      <c r="D14" s="142"/>
      <c r="E14" s="127" t="str">
        <f>IFERROR(VLOOKUP(D14,参数表!$H$2:$I$50,2,FALSE),"")</f>
        <v/>
      </c>
      <c r="F14" s="128" t="str">
        <f t="shared" si="4"/>
        <v/>
      </c>
      <c r="G14" s="143"/>
      <c r="H14" s="144"/>
      <c r="I14" s="129" t="str">
        <f t="shared" si="5"/>
        <v/>
      </c>
      <c r="J14" s="129" t="str">
        <f t="shared" si="1"/>
        <v/>
      </c>
      <c r="K14" s="145"/>
      <c r="BA14" s="78"/>
      <c r="BB14" s="132" t="s">
        <v>5261</v>
      </c>
      <c r="BC14" s="133"/>
      <c r="BD14" s="132" t="str">
        <f>IF(OR(B14="",BC14=""),"",COUNTIF(BC$7:BC14,"√"))</f>
        <v/>
      </c>
      <c r="BE14" s="134" t="str">
        <f t="shared" si="2"/>
        <v/>
      </c>
      <c r="BF14" s="135" t="str">
        <f t="shared" si="6"/>
        <v>OK</v>
      </c>
      <c r="BG14" s="135" t="str">
        <f t="shared" si="6"/>
        <v>OK</v>
      </c>
      <c r="BH14" s="136"/>
      <c r="BI14" s="137"/>
      <c r="BJ14" s="136"/>
      <c r="BK14" s="136"/>
      <c r="BL14" s="136"/>
      <c r="BM14" s="137"/>
      <c r="BO14" s="134" t="str">
        <f>IF(COUNTIF(BO$6:BO13,B14)&gt;0,"",B14)&amp;""</f>
        <v>生育保险费</v>
      </c>
      <c r="BP14" s="138">
        <f t="shared" si="7"/>
        <v>0</v>
      </c>
      <c r="BQ14" s="132">
        <f t="shared" si="8"/>
        <v>1</v>
      </c>
      <c r="BR14" s="138">
        <f t="shared" si="9"/>
        <v>0</v>
      </c>
      <c r="BS14" s="132">
        <f t="shared" si="10"/>
        <v>1</v>
      </c>
      <c r="BT14" s="147" t="s">
        <v>1659</v>
      </c>
      <c r="BU14" s="132" t="str">
        <f>CONCATENATE(BU9,BV9,BU10,BV10,BU11,BV11,BU12,BV12,BU13)</f>
        <v>工资、奖金、津贴和补贴</v>
      </c>
      <c r="BV14" s="132"/>
    </row>
    <row r="15" ht="15" customHeight="1" spans="1:74">
      <c r="A15" s="123">
        <v>9</v>
      </c>
      <c r="B15" s="139" t="s">
        <v>5262</v>
      </c>
      <c r="C15" s="125" t="str">
        <f t="shared" si="0"/>
        <v/>
      </c>
      <c r="D15" s="142"/>
      <c r="E15" s="127" t="str">
        <f>IFERROR(VLOOKUP(D15,参数表!$H$2:$I$50,2,FALSE),"")</f>
        <v/>
      </c>
      <c r="F15" s="128" t="str">
        <f t="shared" si="4"/>
        <v/>
      </c>
      <c r="G15" s="143"/>
      <c r="H15" s="144"/>
      <c r="I15" s="129" t="str">
        <f t="shared" si="5"/>
        <v/>
      </c>
      <c r="J15" s="129" t="str">
        <f t="shared" si="1"/>
        <v/>
      </c>
      <c r="K15" s="145"/>
      <c r="BA15" s="78"/>
      <c r="BB15" s="132" t="s">
        <v>5263</v>
      </c>
      <c r="BC15" s="133"/>
      <c r="BD15" s="132" t="str">
        <f>IF(OR(B15="",BC15=""),"",COUNTIF(BC$7:BC15,"√"))</f>
        <v/>
      </c>
      <c r="BE15" s="134" t="str">
        <f t="shared" si="2"/>
        <v/>
      </c>
      <c r="BF15" s="135" t="str">
        <f t="shared" si="6"/>
        <v>OK</v>
      </c>
      <c r="BG15" s="135" t="str">
        <f t="shared" si="6"/>
        <v>OK</v>
      </c>
      <c r="BH15" s="136"/>
      <c r="BI15" s="137"/>
      <c r="BJ15" s="136"/>
      <c r="BK15" s="136"/>
      <c r="BL15" s="136"/>
      <c r="BM15" s="137"/>
      <c r="BO15" s="134" t="str">
        <f>IF(COUNTIF(BO$6:BO14,B15)&gt;0,"",B15)&amp;""</f>
        <v>住房公积金</v>
      </c>
      <c r="BP15" s="138">
        <f t="shared" si="7"/>
        <v>0</v>
      </c>
      <c r="BQ15" s="132">
        <f t="shared" si="8"/>
        <v>1</v>
      </c>
      <c r="BR15" s="138">
        <f t="shared" si="9"/>
        <v>0</v>
      </c>
      <c r="BS15" s="132">
        <f t="shared" si="10"/>
        <v>1</v>
      </c>
      <c r="BT15" s="133"/>
      <c r="BU15" s="133"/>
    </row>
    <row r="16" ht="15" customHeight="1" spans="1:74">
      <c r="A16" s="123">
        <v>10</v>
      </c>
      <c r="B16" s="139" t="s">
        <v>5264</v>
      </c>
      <c r="C16" s="125" t="str">
        <f t="shared" si="0"/>
        <v/>
      </c>
      <c r="D16" s="142"/>
      <c r="E16" s="127" t="str">
        <f>IFERROR(VLOOKUP(D16,参数表!$H$2:$I$50,2,FALSE),"")</f>
        <v/>
      </c>
      <c r="F16" s="128" t="str">
        <f t="shared" si="4"/>
        <v/>
      </c>
      <c r="G16" s="143"/>
      <c r="H16" s="144"/>
      <c r="I16" s="129" t="str">
        <f t="shared" si="5"/>
        <v/>
      </c>
      <c r="J16" s="129" t="str">
        <f t="shared" si="1"/>
        <v/>
      </c>
      <c r="K16" s="145"/>
      <c r="BA16" s="78"/>
      <c r="BB16" s="132" t="s">
        <v>5265</v>
      </c>
      <c r="BC16" s="133"/>
      <c r="BD16" s="132" t="str">
        <f>IF(OR(B16="",BC16=""),"",COUNTIF(BC$7:BC16,"√"))</f>
        <v/>
      </c>
      <c r="BE16" s="134" t="str">
        <f t="shared" si="2"/>
        <v/>
      </c>
      <c r="BF16" s="135" t="str">
        <f t="shared" si="6"/>
        <v>OK</v>
      </c>
      <c r="BG16" s="135" t="str">
        <f t="shared" si="6"/>
        <v>OK</v>
      </c>
      <c r="BH16" s="136"/>
      <c r="BI16" s="137"/>
      <c r="BJ16" s="136"/>
      <c r="BK16" s="136"/>
      <c r="BL16" s="136"/>
      <c r="BM16" s="137"/>
      <c r="BO16" s="134" t="str">
        <f>IF(COUNTIF(BO$6:BO15,B16)&gt;0,"",B16)&amp;""</f>
        <v>工会经费</v>
      </c>
      <c r="BP16" s="138">
        <f t="shared" si="7"/>
        <v>0</v>
      </c>
      <c r="BQ16" s="132">
        <f t="shared" si="8"/>
        <v>1</v>
      </c>
      <c r="BR16" s="138">
        <f t="shared" si="9"/>
        <v>0</v>
      </c>
      <c r="BS16" s="132">
        <f t="shared" si="10"/>
        <v>1</v>
      </c>
      <c r="BT16" s="133"/>
      <c r="BU16" s="148"/>
    </row>
    <row r="17" ht="15" customHeight="1" spans="1:74">
      <c r="A17" s="123">
        <v>11</v>
      </c>
      <c r="B17" s="139" t="s">
        <v>5266</v>
      </c>
      <c r="C17" s="125" t="str">
        <f t="shared" si="0"/>
        <v/>
      </c>
      <c r="D17" s="142"/>
      <c r="E17" s="127" t="str">
        <f>IFERROR(VLOOKUP(D17,参数表!$H$2:$I$50,2,FALSE),"")</f>
        <v/>
      </c>
      <c r="F17" s="128" t="str">
        <f t="shared" si="4"/>
        <v/>
      </c>
      <c r="G17" s="143"/>
      <c r="H17" s="144"/>
      <c r="I17" s="129" t="str">
        <f t="shared" si="5"/>
        <v/>
      </c>
      <c r="J17" s="129" t="str">
        <f t="shared" si="1"/>
        <v/>
      </c>
      <c r="K17" s="145"/>
      <c r="BA17" s="78"/>
      <c r="BB17" s="132" t="s">
        <v>5267</v>
      </c>
      <c r="BC17" s="133"/>
      <c r="BD17" s="132" t="str">
        <f>IF(OR(B17="",BC17=""),"",COUNTIF(BC$7:BC17,"√"))</f>
        <v/>
      </c>
      <c r="BE17" s="134" t="str">
        <f t="shared" si="2"/>
        <v/>
      </c>
      <c r="BF17" s="135" t="str">
        <f t="shared" si="6"/>
        <v>OK</v>
      </c>
      <c r="BG17" s="135" t="str">
        <f t="shared" si="6"/>
        <v>OK</v>
      </c>
      <c r="BH17" s="136"/>
      <c r="BI17" s="137"/>
      <c r="BJ17" s="136"/>
      <c r="BK17" s="136"/>
      <c r="BL17" s="136"/>
      <c r="BM17" s="137"/>
      <c r="BO17" s="134" t="str">
        <f>IF(COUNTIF(BO$6:BO16,B17)&gt;0,"",B17)&amp;""</f>
        <v>职工教育经费</v>
      </c>
      <c r="BP17" s="138">
        <f t="shared" si="7"/>
        <v>0</v>
      </c>
      <c r="BQ17" s="132">
        <f t="shared" si="8"/>
        <v>1</v>
      </c>
      <c r="BR17" s="138">
        <f t="shared" si="9"/>
        <v>0</v>
      </c>
      <c r="BS17" s="132">
        <f t="shared" si="10"/>
        <v>1</v>
      </c>
      <c r="BT17" s="133"/>
      <c r="BU17" s="133"/>
    </row>
    <row r="18" ht="15" customHeight="1" spans="1:74">
      <c r="A18" s="123">
        <v>12</v>
      </c>
      <c r="B18" s="139" t="s">
        <v>5268</v>
      </c>
      <c r="C18" s="125" t="str">
        <f t="shared" si="0"/>
        <v/>
      </c>
      <c r="D18" s="142"/>
      <c r="E18" s="127" t="str">
        <f>IFERROR(VLOOKUP(D18,参数表!$H$2:$I$50,2,FALSE),"")</f>
        <v/>
      </c>
      <c r="F18" s="128" t="str">
        <f t="shared" si="4"/>
        <v/>
      </c>
      <c r="G18" s="143"/>
      <c r="H18" s="144"/>
      <c r="I18" s="129" t="str">
        <f t="shared" si="5"/>
        <v/>
      </c>
      <c r="J18" s="129" t="str">
        <f t="shared" si="1"/>
        <v/>
      </c>
      <c r="K18" s="145"/>
      <c r="BA18" s="78"/>
      <c r="BB18" s="132" t="s">
        <v>5269</v>
      </c>
      <c r="BC18" s="133"/>
      <c r="BD18" s="132" t="str">
        <f>IF(OR(B18="",BC18=""),"",COUNTIF(BC$7:BC18,"√"))</f>
        <v/>
      </c>
      <c r="BE18" s="134" t="str">
        <f t="shared" si="2"/>
        <v/>
      </c>
      <c r="BF18" s="135" t="str">
        <f t="shared" si="6"/>
        <v>OK</v>
      </c>
      <c r="BG18" s="135" t="str">
        <f t="shared" si="6"/>
        <v>OK</v>
      </c>
      <c r="BH18" s="136"/>
      <c r="BI18" s="137"/>
      <c r="BJ18" s="136"/>
      <c r="BK18" s="136"/>
      <c r="BL18" s="136"/>
      <c r="BM18" s="137"/>
      <c r="BO18" s="134" t="str">
        <f>IF(COUNTIF(BO$6:BO17,B18)&gt;0,"",B18)&amp;""</f>
        <v>非货币性福利</v>
      </c>
      <c r="BP18" s="138">
        <f t="shared" si="7"/>
        <v>0</v>
      </c>
      <c r="BQ18" s="132">
        <f t="shared" si="8"/>
        <v>1</v>
      </c>
      <c r="BR18" s="138">
        <f t="shared" si="9"/>
        <v>0</v>
      </c>
      <c r="BS18" s="132">
        <f t="shared" si="10"/>
        <v>1</v>
      </c>
      <c r="BT18" s="133"/>
      <c r="BU18" s="133"/>
    </row>
    <row r="19" ht="15" customHeight="1" spans="1:74">
      <c r="A19" s="123">
        <v>13</v>
      </c>
      <c r="B19" s="139" t="s">
        <v>5270</v>
      </c>
      <c r="C19" s="125" t="str">
        <f t="shared" si="0"/>
        <v/>
      </c>
      <c r="D19" s="142"/>
      <c r="E19" s="127" t="str">
        <f>IFERROR(VLOOKUP(D19,参数表!$H$2:$I$50,2,FALSE),"")</f>
        <v/>
      </c>
      <c r="F19" s="128" t="str">
        <f t="shared" si="4"/>
        <v/>
      </c>
      <c r="G19" s="143"/>
      <c r="H19" s="144"/>
      <c r="I19" s="129" t="str">
        <f t="shared" si="5"/>
        <v/>
      </c>
      <c r="J19" s="129" t="str">
        <f t="shared" si="1"/>
        <v/>
      </c>
      <c r="K19" s="145"/>
      <c r="BA19" s="78"/>
      <c r="BB19" s="132" t="s">
        <v>5271</v>
      </c>
      <c r="BC19" s="133"/>
      <c r="BD19" s="132" t="str">
        <f>IF(OR(B19="",BC19=""),"",COUNTIF(BC$7:BC19,"√"))</f>
        <v/>
      </c>
      <c r="BE19" s="134" t="str">
        <f t="shared" si="2"/>
        <v/>
      </c>
      <c r="BF19" s="135" t="str">
        <f t="shared" si="6"/>
        <v>OK</v>
      </c>
      <c r="BG19" s="135" t="str">
        <f t="shared" si="6"/>
        <v>OK</v>
      </c>
      <c r="BH19" s="136"/>
      <c r="BI19" s="137"/>
      <c r="BJ19" s="136"/>
      <c r="BK19" s="136"/>
      <c r="BL19" s="136"/>
      <c r="BM19" s="137"/>
      <c r="BO19" s="134" t="str">
        <f>IF(COUNTIF(BO$6:BO18,B19)&gt;0,"",B19)&amp;""</f>
        <v>辞退福利</v>
      </c>
      <c r="BP19" s="138">
        <f t="shared" si="7"/>
        <v>0</v>
      </c>
      <c r="BQ19" s="132">
        <f t="shared" si="8"/>
        <v>1</v>
      </c>
      <c r="BR19" s="138">
        <f t="shared" si="9"/>
        <v>0</v>
      </c>
      <c r="BS19" s="132">
        <f t="shared" si="10"/>
        <v>1</v>
      </c>
      <c r="BT19" s="133"/>
      <c r="BU19" s="133"/>
    </row>
    <row r="20" ht="15" customHeight="1" spans="1:74">
      <c r="A20" s="123">
        <v>14</v>
      </c>
      <c r="B20" s="139" t="s">
        <v>5272</v>
      </c>
      <c r="C20" s="125" t="str">
        <f t="shared" si="0"/>
        <v/>
      </c>
      <c r="D20" s="142"/>
      <c r="E20" s="127" t="str">
        <f>IFERROR(VLOOKUP(D20,参数表!$H$2:$I$50,2,FALSE),"")</f>
        <v/>
      </c>
      <c r="F20" s="128" t="str">
        <f t="shared" si="4"/>
        <v/>
      </c>
      <c r="G20" s="143"/>
      <c r="H20" s="144"/>
      <c r="I20" s="129" t="str">
        <f t="shared" si="5"/>
        <v/>
      </c>
      <c r="J20" s="129" t="str">
        <f t="shared" si="1"/>
        <v/>
      </c>
      <c r="K20" s="145"/>
      <c r="BA20" s="78"/>
      <c r="BB20" s="132" t="s">
        <v>5273</v>
      </c>
      <c r="BC20" s="133"/>
      <c r="BD20" s="132" t="str">
        <f>IF(OR(B20="",BC20=""),"",COUNTIF(BC$7:BC20,"√"))</f>
        <v/>
      </c>
      <c r="BE20" s="134" t="str">
        <f t="shared" si="2"/>
        <v/>
      </c>
      <c r="BF20" s="135" t="str">
        <f t="shared" si="6"/>
        <v>OK</v>
      </c>
      <c r="BG20" s="135" t="str">
        <f t="shared" si="6"/>
        <v>OK</v>
      </c>
      <c r="BH20" s="136"/>
      <c r="BI20" s="137"/>
      <c r="BJ20" s="136"/>
      <c r="BK20" s="136"/>
      <c r="BL20" s="136"/>
      <c r="BM20" s="137"/>
      <c r="BO20" s="134" t="str">
        <f>IF(COUNTIF(BO$6:BO19,B20)&gt;0,"",B20)&amp;""</f>
        <v>股份支付</v>
      </c>
      <c r="BP20" s="138">
        <f t="shared" si="7"/>
        <v>0</v>
      </c>
      <c r="BQ20" s="132">
        <f t="shared" si="8"/>
        <v>1</v>
      </c>
      <c r="BR20" s="138">
        <f t="shared" si="9"/>
        <v>0</v>
      </c>
      <c r="BS20" s="132">
        <f t="shared" si="10"/>
        <v>1</v>
      </c>
      <c r="BT20" s="133"/>
      <c r="BU20" s="133"/>
    </row>
    <row r="21" ht="15" customHeight="1" spans="1:74">
      <c r="A21" s="123">
        <v>15</v>
      </c>
      <c r="B21" s="139" t="s">
        <v>5274</v>
      </c>
      <c r="C21" s="125" t="str">
        <f t="shared" si="0"/>
        <v/>
      </c>
      <c r="D21" s="142"/>
      <c r="E21" s="127" t="str">
        <f>IFERROR(VLOOKUP(D21,参数表!$H$2:$I$50,2,FALSE),"")</f>
        <v/>
      </c>
      <c r="F21" s="128" t="str">
        <f t="shared" si="4"/>
        <v/>
      </c>
      <c r="G21" s="143"/>
      <c r="H21" s="144"/>
      <c r="I21" s="129" t="str">
        <f t="shared" si="5"/>
        <v/>
      </c>
      <c r="J21" s="129" t="str">
        <f t="shared" si="1"/>
        <v/>
      </c>
      <c r="K21" s="145"/>
      <c r="BA21" s="78"/>
      <c r="BB21" s="132" t="s">
        <v>5275</v>
      </c>
      <c r="BC21" s="133"/>
      <c r="BD21" s="132" t="str">
        <f>IF(OR(B21="",BC21=""),"",COUNTIF(BC$7:BC21,"√"))</f>
        <v/>
      </c>
      <c r="BE21" s="134" t="str">
        <f t="shared" si="2"/>
        <v/>
      </c>
      <c r="BF21" s="135" t="str">
        <f t="shared" si="6"/>
        <v>OK</v>
      </c>
      <c r="BG21" s="135" t="str">
        <f t="shared" si="6"/>
        <v>OK</v>
      </c>
      <c r="BH21" s="136"/>
      <c r="BI21" s="137"/>
      <c r="BJ21" s="136"/>
      <c r="BK21" s="136"/>
      <c r="BL21" s="136"/>
      <c r="BM21" s="137"/>
      <c r="BO21" s="134" t="str">
        <f>IF(COUNTIF(BO$6:BO20,B21)&gt;0,"",B21)&amp;""</f>
        <v>其他</v>
      </c>
      <c r="BP21" s="138">
        <f t="shared" si="7"/>
        <v>0</v>
      </c>
      <c r="BQ21" s="132">
        <f t="shared" si="8"/>
        <v>1</v>
      </c>
      <c r="BR21" s="138">
        <f t="shared" si="9"/>
        <v>0</v>
      </c>
      <c r="BS21" s="132">
        <f t="shared" si="10"/>
        <v>1</v>
      </c>
      <c r="BT21" s="133"/>
      <c r="BU21" s="133"/>
    </row>
    <row r="22" ht="15" customHeight="1" spans="1:74">
      <c r="A22" s="123"/>
      <c r="B22" s="139"/>
      <c r="C22" s="140"/>
      <c r="D22" s="140"/>
      <c r="E22" s="140"/>
      <c r="F22" s="140"/>
      <c r="G22" s="140"/>
      <c r="H22" s="144"/>
      <c r="I22" s="129" t="str">
        <f t="shared" si="5"/>
        <v/>
      </c>
      <c r="J22" s="129" t="str">
        <f t="shared" si="1"/>
        <v/>
      </c>
      <c r="K22" s="145"/>
      <c r="BA22" s="78"/>
      <c r="BB22" s="132" t="s">
        <v>5276</v>
      </c>
      <c r="BC22" s="133"/>
      <c r="BD22" s="132" t="str">
        <f>IF(OR(B22="",BC22=""),"",COUNTIF(BC$7:BC22,"√"))</f>
        <v/>
      </c>
      <c r="BE22" s="134" t="str">
        <f t="shared" si="2"/>
        <v/>
      </c>
      <c r="BF22" s="135" t="str">
        <f t="shared" si="6"/>
        <v/>
      </c>
      <c r="BG22" s="135" t="str">
        <f t="shared" si="6"/>
        <v/>
      </c>
      <c r="BH22" s="136"/>
      <c r="BI22" s="137"/>
      <c r="BJ22" s="136"/>
      <c r="BK22" s="136"/>
      <c r="BL22" s="136"/>
      <c r="BM22" s="137"/>
      <c r="BO22" s="134" t="str">
        <f>IF(COUNTIF(BO$6:BO21,B22)&gt;0,"",B22)&amp;""</f>
        <v/>
      </c>
      <c r="BP22" s="138">
        <f t="shared" si="7"/>
        <v>0</v>
      </c>
      <c r="BQ22" s="132">
        <f t="shared" si="8"/>
        <v>1</v>
      </c>
      <c r="BR22" s="138">
        <f t="shared" si="9"/>
        <v>0</v>
      </c>
      <c r="BS22" s="132">
        <f t="shared" si="10"/>
        <v>1</v>
      </c>
      <c r="BT22" s="133"/>
      <c r="BU22" s="133"/>
    </row>
    <row r="23" ht="15" customHeight="1" spans="1:74">
      <c r="A23" s="123"/>
      <c r="B23" s="139"/>
      <c r="C23" s="140"/>
      <c r="D23" s="140"/>
      <c r="E23" s="140"/>
      <c r="F23" s="140"/>
      <c r="G23" s="140"/>
      <c r="H23" s="144"/>
      <c r="I23" s="129" t="str">
        <f t="shared" si="5"/>
        <v/>
      </c>
      <c r="J23" s="129" t="str">
        <f t="shared" si="1"/>
        <v/>
      </c>
      <c r="K23" s="145"/>
      <c r="BA23" s="78"/>
      <c r="BB23" s="132" t="s">
        <v>5277</v>
      </c>
      <c r="BC23" s="133"/>
      <c r="BD23" s="132" t="str">
        <f>IF(OR(B23="",BC23=""),"",COUNTIF(BC$7:BC23,"√"))</f>
        <v/>
      </c>
      <c r="BE23" s="134" t="str">
        <f t="shared" si="2"/>
        <v/>
      </c>
      <c r="BF23" s="135" t="str">
        <f t="shared" si="6"/>
        <v/>
      </c>
      <c r="BG23" s="135" t="str">
        <f t="shared" si="6"/>
        <v/>
      </c>
      <c r="BH23" s="136"/>
      <c r="BI23" s="137"/>
      <c r="BJ23" s="136"/>
      <c r="BK23" s="136"/>
      <c r="BL23" s="136"/>
      <c r="BM23" s="137"/>
      <c r="BO23" s="134" t="str">
        <f>IF(COUNTIF(BO$6:BO22,B23)&gt;0,"",B23)&amp;""</f>
        <v/>
      </c>
      <c r="BP23" s="138">
        <f t="shared" si="7"/>
        <v>0</v>
      </c>
      <c r="BQ23" s="132">
        <f t="shared" si="8"/>
        <v>1</v>
      </c>
      <c r="BR23" s="138">
        <f t="shared" si="9"/>
        <v>0</v>
      </c>
      <c r="BS23" s="132">
        <f t="shared" si="10"/>
        <v>1</v>
      </c>
      <c r="BT23" s="133"/>
      <c r="BU23" s="133"/>
    </row>
    <row r="24" ht="15" customHeight="1" spans="1:74">
      <c r="A24" s="123"/>
      <c r="B24" s="139"/>
      <c r="C24" s="140"/>
      <c r="D24" s="140"/>
      <c r="E24" s="140"/>
      <c r="F24" s="140"/>
      <c r="G24" s="140"/>
      <c r="H24" s="144"/>
      <c r="I24" s="129" t="str">
        <f t="shared" si="5"/>
        <v/>
      </c>
      <c r="J24" s="129" t="str">
        <f t="shared" si="1"/>
        <v/>
      </c>
      <c r="K24" s="145"/>
      <c r="BA24" s="78"/>
      <c r="BB24" s="132" t="s">
        <v>5278</v>
      </c>
      <c r="BC24" s="133"/>
      <c r="BD24" s="132" t="str">
        <f>IF(OR(B24="",BC24=""),"",COUNTIF(BC$7:BC24,"√"))</f>
        <v/>
      </c>
      <c r="BE24" s="134" t="str">
        <f t="shared" si="2"/>
        <v/>
      </c>
      <c r="BF24" s="135" t="str">
        <f t="shared" si="6"/>
        <v/>
      </c>
      <c r="BG24" s="135" t="str">
        <f t="shared" si="6"/>
        <v/>
      </c>
      <c r="BH24" s="136"/>
      <c r="BI24" s="137"/>
      <c r="BJ24" s="136"/>
      <c r="BK24" s="136"/>
      <c r="BL24" s="136"/>
      <c r="BM24" s="137"/>
      <c r="BO24" s="134" t="str">
        <f>IF(COUNTIF(BO$6:BO23,B24)&gt;0,"",B24)&amp;""</f>
        <v/>
      </c>
      <c r="BP24" s="138">
        <f t="shared" si="7"/>
        <v>0</v>
      </c>
      <c r="BQ24" s="132">
        <f t="shared" si="8"/>
        <v>1</v>
      </c>
      <c r="BR24" s="138">
        <f t="shared" si="9"/>
        <v>0</v>
      </c>
      <c r="BS24" s="132">
        <f t="shared" si="10"/>
        <v>1</v>
      </c>
      <c r="BT24" s="133"/>
      <c r="BU24" s="133"/>
    </row>
    <row r="25" ht="15" customHeight="1" spans="1:74">
      <c r="A25" s="123"/>
      <c r="B25" s="139"/>
      <c r="C25" s="140"/>
      <c r="D25" s="140"/>
      <c r="E25" s="140"/>
      <c r="F25" s="140"/>
      <c r="G25" s="140"/>
      <c r="H25" s="144"/>
      <c r="I25" s="129" t="str">
        <f t="shared" si="5"/>
        <v/>
      </c>
      <c r="J25" s="129" t="str">
        <f t="shared" si="1"/>
        <v/>
      </c>
      <c r="K25" s="145"/>
      <c r="BA25" s="78"/>
      <c r="BB25" s="132" t="s">
        <v>5279</v>
      </c>
      <c r="BC25" s="133"/>
      <c r="BD25" s="132" t="str">
        <f>IF(OR(B25="",BC25=""),"",COUNTIF(BC$7:BC25,"√"))</f>
        <v/>
      </c>
      <c r="BE25" s="134" t="str">
        <f t="shared" si="2"/>
        <v/>
      </c>
      <c r="BF25" s="135" t="str">
        <f t="shared" si="6"/>
        <v/>
      </c>
      <c r="BG25" s="135" t="str">
        <f t="shared" si="6"/>
        <v/>
      </c>
      <c r="BH25" s="136"/>
      <c r="BI25" s="137"/>
      <c r="BJ25" s="136"/>
      <c r="BK25" s="136"/>
      <c r="BL25" s="136"/>
      <c r="BM25" s="137"/>
      <c r="BO25" s="134" t="str">
        <f>IF(COUNTIF(BO$6:BO24,B25)&gt;0,"",B25)&amp;""</f>
        <v/>
      </c>
      <c r="BP25" s="138">
        <f t="shared" si="7"/>
        <v>0</v>
      </c>
      <c r="BQ25" s="132">
        <f t="shared" si="8"/>
        <v>1</v>
      </c>
      <c r="BR25" s="138">
        <f t="shared" si="9"/>
        <v>0</v>
      </c>
      <c r="BS25" s="132">
        <f t="shared" si="10"/>
        <v>1</v>
      </c>
      <c r="BT25" s="133"/>
      <c r="BU25" s="133"/>
    </row>
    <row r="26" ht="15" customHeight="1" spans="1:74">
      <c r="A26" s="123"/>
      <c r="B26" s="124"/>
      <c r="C26" s="125"/>
      <c r="D26" s="127"/>
      <c r="E26" s="127" t="str">
        <f>IFERROR(VLOOKUP(D26,参数表!$H$2:$I$50,2,FALSE),"")</f>
        <v/>
      </c>
      <c r="F26" s="128" t="str">
        <f t="shared" si="4"/>
        <v/>
      </c>
      <c r="G26" s="129"/>
      <c r="H26" s="130"/>
      <c r="I26" s="129" t="str">
        <f t="shared" si="5"/>
        <v/>
      </c>
      <c r="J26" s="129" t="str">
        <f t="shared" si="1"/>
        <v/>
      </c>
      <c r="K26" s="131"/>
      <c r="BA26" s="78"/>
      <c r="BB26" s="132" t="s">
        <v>5280</v>
      </c>
      <c r="BC26" s="133"/>
      <c r="BD26" s="132" t="str">
        <f>IF(OR(B26="",BC26=""),"",COUNTIF(BC$7:BC26,"√"))</f>
        <v/>
      </c>
      <c r="BE26" s="134" t="str">
        <f t="shared" si="2"/>
        <v/>
      </c>
      <c r="BF26" s="135" t="str">
        <f t="shared" si="6"/>
        <v/>
      </c>
      <c r="BG26" s="135" t="str">
        <f t="shared" si="6"/>
        <v/>
      </c>
      <c r="BH26" s="136"/>
      <c r="BI26" s="137"/>
      <c r="BJ26" s="136"/>
      <c r="BK26" s="136"/>
      <c r="BL26" s="136"/>
      <c r="BM26" s="137"/>
      <c r="BO26" s="134" t="str">
        <f>IF(COUNTIF(BO$6:BO25,B26)&gt;0,"",B26)&amp;""</f>
        <v/>
      </c>
      <c r="BP26" s="138">
        <f t="shared" si="7"/>
        <v>0</v>
      </c>
      <c r="BQ26" s="132">
        <f t="shared" si="8"/>
        <v>1</v>
      </c>
      <c r="BR26" s="138">
        <f t="shared" si="9"/>
        <v>0</v>
      </c>
      <c r="BS26" s="132">
        <f t="shared" si="10"/>
        <v>1</v>
      </c>
      <c r="BT26" s="133"/>
      <c r="BU26" s="133"/>
    </row>
    <row r="27" s="73" customFormat="1" ht="15" customHeight="1" spans="1:74">
      <c r="A27" s="149" t="s">
        <v>5281</v>
      </c>
      <c r="B27" s="149"/>
      <c r="C27" s="150"/>
      <c r="D27" s="151"/>
      <c r="E27" s="151"/>
      <c r="F27" s="151"/>
      <c r="G27" s="152">
        <f>SUM(G7:G26)</f>
        <v>0</v>
      </c>
      <c r="H27" s="153"/>
      <c r="I27" s="152">
        <f>SUM(I7:I26)</f>
        <v>0</v>
      </c>
      <c r="J27" s="152">
        <f>SUM(J7:J26)</f>
        <v>0</v>
      </c>
      <c r="K27" s="151"/>
      <c r="BF27" s="75"/>
      <c r="BG27" s="75"/>
      <c r="BH27" s="165"/>
      <c r="BI27" s="75"/>
      <c r="BJ27" s="165"/>
      <c r="BK27" s="165"/>
      <c r="BL27" s="165"/>
      <c r="BM27" s="75"/>
      <c r="BN27" s="111"/>
      <c r="BO27" s="119"/>
      <c r="BP27" s="77"/>
      <c r="BQ27" s="77"/>
      <c r="BR27" s="77"/>
      <c r="BS27" s="119"/>
      <c r="BT27" s="119"/>
      <c r="BU27" s="119"/>
      <c r="BV27" s="111"/>
    </row>
    <row r="28" customHeight="1" spans="1:74">
      <c r="A28" s="102" t="str">
        <f>参数表!F$6</f>
        <v>产权持有单位填表人：贾广东</v>
      </c>
      <c r="B28" s="154"/>
      <c r="C28" s="154"/>
      <c r="D28" s="154"/>
      <c r="E28" s="154"/>
      <c r="F28" s="154"/>
      <c r="G28" s="154"/>
      <c r="H28" s="155"/>
      <c r="I28" s="154"/>
      <c r="J28" s="156" t="str">
        <f>"评估人员："&amp;封面!$G$38</f>
        <v>评估人员：</v>
      </c>
      <c r="K28" s="103"/>
    </row>
    <row r="29" customHeight="1" spans="1:74">
      <c r="A29" s="102" t="str">
        <f>参数表!F$7</f>
        <v>填表日期：2025年9月20日</v>
      </c>
      <c r="B29" s="154"/>
      <c r="C29" s="154"/>
      <c r="D29" s="154"/>
      <c r="E29" s="154"/>
      <c r="F29" s="154"/>
      <c r="G29" s="154"/>
      <c r="H29" s="155"/>
      <c r="I29" s="154"/>
      <c r="J29" s="103"/>
      <c r="K29" s="103"/>
    </row>
    <row r="30" hidden="1" customHeight="1" outlineLevel="1" spans="1:74">
      <c r="A30" s="157"/>
      <c r="B30" s="154" t="s">
        <v>1673</v>
      </c>
      <c r="C30" s="158"/>
      <c r="D30" s="158"/>
      <c r="E30" s="158"/>
      <c r="F30" s="158"/>
      <c r="G30" s="159">
        <f>SUMIF($BA7:$BA26,$BA30,G7:G26)</f>
        <v>0</v>
      </c>
      <c r="H30" s="160"/>
      <c r="I30" s="159">
        <f>SUMIF($BA7:$BA26,$BA30,I7:I26)</f>
        <v>0</v>
      </c>
      <c r="J30" s="159">
        <f>SUMIF($BA7:$BA26,$BA30,J7:J26)</f>
        <v>0</v>
      </c>
      <c r="BA30" s="161" t="s">
        <v>1674</v>
      </c>
      <c r="BH30" s="95" t="s">
        <v>1675</v>
      </c>
      <c r="BJ30" s="95" t="s">
        <v>1675</v>
      </c>
      <c r="BK30" s="95" t="s">
        <v>1675</v>
      </c>
      <c r="BL30" s="95" t="s">
        <v>1675</v>
      </c>
    </row>
    <row r="31" hidden="1" customHeight="1" outlineLevel="1" spans="1:74">
      <c r="A31" s="157"/>
      <c r="B31" s="154" t="s">
        <v>1676</v>
      </c>
      <c r="C31" s="158"/>
      <c r="D31" s="158"/>
      <c r="E31" s="158"/>
      <c r="F31" s="158"/>
      <c r="G31" s="159">
        <f>G27-G30</f>
        <v>0</v>
      </c>
      <c r="H31" s="160"/>
      <c r="I31" s="159">
        <f>I27-I30</f>
        <v>0</v>
      </c>
      <c r="J31" s="159">
        <f>J27-J30</f>
        <v>0</v>
      </c>
      <c r="BA31" s="161" t="s">
        <v>1677</v>
      </c>
      <c r="BH31" s="95" t="s">
        <v>1678</v>
      </c>
      <c r="BJ31" s="95" t="s">
        <v>1678</v>
      </c>
      <c r="BK31" s="95" t="s">
        <v>1678</v>
      </c>
      <c r="BL31" s="95" t="s">
        <v>1678</v>
      </c>
    </row>
    <row r="32" customHeight="1" collapsed="1" spans="1:74">
      <c r="A32" s="157"/>
      <c r="B32" s="158"/>
      <c r="C32" s="158"/>
      <c r="D32" s="158"/>
      <c r="E32" s="158"/>
      <c r="F32" s="158"/>
      <c r="G32" s="158"/>
      <c r="H32" s="164"/>
      <c r="I32" s="158"/>
    </row>
    <row r="33" customHeight="1" spans="1:9">
      <c r="A33" s="157"/>
      <c r="B33" s="158"/>
      <c r="C33" s="158"/>
      <c r="D33" s="158"/>
      <c r="E33" s="158"/>
      <c r="F33" s="158"/>
      <c r="G33" s="158"/>
      <c r="H33" s="164"/>
      <c r="I33" s="158"/>
    </row>
    <row r="34" customHeight="1" spans="1:9">
      <c r="A34" s="157"/>
      <c r="B34" s="158"/>
      <c r="C34" s="158"/>
      <c r="D34" s="158"/>
      <c r="E34" s="158"/>
      <c r="F34" s="158"/>
      <c r="G34" s="158"/>
      <c r="H34" s="164"/>
      <c r="I34" s="158"/>
    </row>
    <row r="35" customHeight="1" spans="1:9">
      <c r="A35" s="157"/>
      <c r="B35" s="158"/>
      <c r="C35" s="158"/>
      <c r="D35" s="158"/>
      <c r="E35" s="158"/>
      <c r="F35" s="158"/>
      <c r="G35" s="158"/>
      <c r="H35" s="164"/>
      <c r="I35" s="158"/>
    </row>
    <row r="36" customHeight="1" spans="1:9">
      <c r="A36" s="157"/>
      <c r="B36" s="158"/>
      <c r="C36" s="158"/>
      <c r="D36" s="158"/>
      <c r="E36" s="158"/>
      <c r="F36" s="158"/>
      <c r="G36" s="158"/>
      <c r="H36" s="164"/>
      <c r="I36" s="158"/>
    </row>
    <row r="37" customHeight="1" spans="1:9">
      <c r="D37" s="158"/>
      <c r="E37" s="158"/>
      <c r="F37" s="158"/>
    </row>
  </sheetData>
  <sheetProtection autoFilter="0"/>
  <mergeCells count="6">
    <mergeCell ref="A2:K2"/>
    <mergeCell ref="A3:K3"/>
    <mergeCell ref="BT7:BV7"/>
    <mergeCell ref="BT8:BV8"/>
    <mergeCell ref="BU14:BV14"/>
    <mergeCell ref="A27:B27"/>
  </mergeCells>
  <conditionalFormatting sqref="BH7:BH26">
    <cfRule type="expression" dxfId="5" priority="12" stopIfTrue="1">
      <formula>AND($B7&lt;&gt;"",BH7="")</formula>
    </cfRule>
  </conditionalFormatting>
  <conditionalFormatting sqref="BI7:BI26">
    <cfRule type="expression" dxfId="5" priority="9" stopIfTrue="1">
      <formula>AND(BH7="有",BI7="")</formula>
    </cfRule>
  </conditionalFormatting>
  <conditionalFormatting sqref="BF7:BG26">
    <cfRule type="containsText" dxfId="6" priority="1" stopIfTrue="1" operator="between" text="出错">
      <formula>NOT(ISERROR(SEARCH("出错",BF7)))</formula>
    </cfRule>
  </conditionalFormatting>
  <conditionalFormatting sqref="BJ7:BL26">
    <cfRule type="expression" dxfId="5" priority="3" stopIfTrue="1">
      <formula>AND($B7&lt;&gt;"",BJ7="")</formula>
    </cfRule>
  </conditionalFormatting>
  <dataValidations count="4">
    <dataValidation type="list" allowBlank="1" showInputMessage="1" showErrorMessage="1" sqref="D26 D7:D21">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L26">
      <formula1>BH$30:BH$31</formula1>
    </dataValidation>
  </dataValidations>
  <hyperlinks>
    <hyperlink ref="A1" location="索引目录!I11" display="返回索引页"/>
    <hyperlink ref="B1" location="流动负债汇总!B11"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4"/>
  <dimension ref="A1:BV45"/>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27.1" style="75" customWidth="1"/>
    <col min="3" max="3" width="11.6" style="75" customWidth="1"/>
    <col min="4" max="4" width="17.7" style="75" customWidth="1"/>
    <col min="5" max="5" width="10.5" style="75" customWidth="1"/>
    <col min="6" max="7" width="4.6" style="75" customWidth="1" outlineLevel="1"/>
    <col min="8" max="8" width="6.1" style="75" customWidth="1" outlineLevel="1"/>
    <col min="9" max="9" width="16.6" style="75" customWidth="1" outlineLevel="1"/>
    <col min="10" max="10" width="18.6" style="76" customWidth="1" outlineLevel="1"/>
    <col min="11" max="12" width="16.6" style="75" customWidth="1"/>
    <col min="13" max="13" width="14.6" style="75" customWidth="1"/>
    <col min="14"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165" customWidth="1"/>
    <col min="61" max="61" width="11.5" style="75" customWidth="1"/>
    <col min="62" max="64" width="4.7" style="165" customWidth="1"/>
    <col min="65" max="65" width="8.7" style="75" customWidth="1"/>
    <col min="66" max="66" width="1.6" style="77" customWidth="1"/>
    <col min="67" max="67" width="10.6" style="78" customWidth="1"/>
    <col min="68" max="68" width="10.6" style="77" customWidth="1"/>
    <col min="69" max="69" width="4.6" style="78" customWidth="1"/>
    <col min="70" max="70" width="10.6" style="78" customWidth="1"/>
    <col min="71" max="72" width="4.6" style="78" customWidth="1"/>
    <col min="73" max="73" width="10.6" style="78" customWidth="1"/>
    <col min="74" max="74" width="5" style="77" customWidth="1"/>
    <col min="75" max="16384" width="9" style="75"/>
  </cols>
  <sheetData>
    <row r="1" s="70" customFormat="1" ht="13.8" spans="1:74">
      <c r="A1" s="273" t="s">
        <v>1591</v>
      </c>
      <c r="B1" s="80" t="s">
        <v>1592</v>
      </c>
      <c r="C1" s="81"/>
      <c r="D1" s="81"/>
      <c r="E1" s="81"/>
      <c r="F1" s="82"/>
      <c r="G1" s="82"/>
      <c r="H1" s="82"/>
      <c r="I1" s="81"/>
      <c r="J1" s="83"/>
      <c r="K1" s="81"/>
      <c r="L1" s="81"/>
      <c r="M1" s="81"/>
      <c r="BA1" s="84" t="str">
        <f>参数表!BA1</f>
        <v>注意：补充特殊事项、作价等均从BA列开始填写</v>
      </c>
      <c r="BB1" s="85"/>
      <c r="BC1" s="86"/>
      <c r="BD1" s="86"/>
      <c r="BE1" s="86"/>
      <c r="BF1" s="86"/>
      <c r="BG1" s="86"/>
      <c r="BH1" s="82"/>
      <c r="BI1" s="86"/>
      <c r="BJ1" s="168"/>
      <c r="BK1" s="168"/>
      <c r="BL1" s="168"/>
      <c r="BN1" s="87"/>
      <c r="BO1" s="88"/>
      <c r="BP1" s="87"/>
      <c r="BQ1" s="88"/>
      <c r="BR1" s="88"/>
      <c r="BS1" s="88"/>
      <c r="BT1" s="88"/>
      <c r="BU1" s="88"/>
      <c r="BV1" s="87"/>
    </row>
    <row r="2" s="71" customFormat="1" ht="30" customHeight="1" spans="1:74">
      <c r="A2" s="89" t="s">
        <v>5282</v>
      </c>
      <c r="B2" s="89"/>
      <c r="C2" s="89"/>
      <c r="D2" s="89"/>
      <c r="E2" s="89"/>
      <c r="F2" s="89"/>
      <c r="G2" s="89"/>
      <c r="H2" s="89"/>
      <c r="I2" s="89"/>
      <c r="J2" s="89"/>
      <c r="K2" s="89"/>
      <c r="L2" s="89"/>
      <c r="M2" s="89"/>
      <c r="BA2" s="90" t="str">
        <f>参数表!BA2</f>
        <v>评估基准日：</v>
      </c>
      <c r="BB2" s="91" t="str">
        <f>参数表!$BB$2</f>
        <v>2025年7月31日</v>
      </c>
      <c r="BH2" s="171"/>
      <c r="BJ2" s="171"/>
      <c r="BK2" s="171"/>
      <c r="BL2" s="171"/>
      <c r="BN2" s="92"/>
      <c r="BO2" s="93"/>
      <c r="BP2" s="92"/>
      <c r="BQ2" s="93"/>
      <c r="BR2" s="93"/>
      <c r="BS2" s="93"/>
      <c r="BT2" s="93"/>
      <c r="BU2" s="93"/>
      <c r="BV2" s="92"/>
    </row>
    <row r="3" ht="15" customHeight="1" spans="1:74">
      <c r="A3" s="94" t="str">
        <f>参数表!F5</f>
        <v>评估基准日：2025年7月31日</v>
      </c>
      <c r="B3" s="94"/>
      <c r="C3" s="94"/>
      <c r="D3" s="94"/>
      <c r="E3" s="94"/>
      <c r="F3" s="94"/>
      <c r="G3" s="94"/>
      <c r="H3" s="94"/>
      <c r="I3" s="94"/>
      <c r="J3" s="94"/>
      <c r="K3" s="94"/>
      <c r="L3" s="94"/>
      <c r="M3" s="95"/>
      <c r="BA3" s="90" t="str">
        <f>参数表!BA3</f>
        <v>是否显示评估值：</v>
      </c>
      <c r="BB3" s="90" t="str">
        <f>参数表!$BB$3</f>
        <v>是</v>
      </c>
      <c r="BP3" s="78"/>
    </row>
    <row r="4" ht="15" customHeight="1" spans="1:74">
      <c r="A4" s="96"/>
      <c r="B4" s="94"/>
      <c r="C4" s="94"/>
      <c r="D4" s="94"/>
      <c r="E4" s="94"/>
      <c r="F4" s="94"/>
      <c r="G4" s="94"/>
      <c r="H4" s="94"/>
      <c r="I4" s="94"/>
      <c r="J4" s="97"/>
      <c r="K4" s="94"/>
      <c r="L4" s="94"/>
      <c r="M4" s="98" t="str">
        <f>"表"&amp;$BA4</f>
        <v>表5-10</v>
      </c>
      <c r="BA4" s="274" t="str">
        <f>流动负总!A16</f>
        <v>5-10</v>
      </c>
      <c r="BB4" s="100">
        <f>MAX(COUNTA(A7:A26),COUNTA(B7:B26),COUNTA(I7:I26),COUNTA(K7:K26))</f>
        <v>20</v>
      </c>
      <c r="BC4" s="101">
        <f>ROW(A6)+1</f>
        <v>7</v>
      </c>
      <c r="BD4" s="77"/>
      <c r="BE4" s="77"/>
      <c r="BP4" s="78"/>
    </row>
    <row r="5" ht="15" customHeight="1" spans="1:74">
      <c r="A5" s="102" t="str">
        <f>参数表!F3</f>
        <v>产权持有单位:中煤第五建设有限公司</v>
      </c>
      <c r="B5" s="103"/>
      <c r="C5" s="103"/>
      <c r="D5" s="103"/>
      <c r="E5" s="103"/>
      <c r="F5" s="103"/>
      <c r="G5" s="103"/>
      <c r="H5" s="103"/>
      <c r="I5" s="103"/>
      <c r="J5" s="104"/>
      <c r="K5" s="103"/>
      <c r="L5" s="103"/>
      <c r="M5" s="98" t="s">
        <v>236</v>
      </c>
      <c r="BA5" s="103"/>
      <c r="BB5" s="105" t="str">
        <f ca="1">判断表!C109</f>
        <v>中煤第五建设有限公司第三工程处拟处置实物资产项目\[0000-3基础法明细表.xlsx]应交税费</v>
      </c>
      <c r="BC5" s="106">
        <f>IFERROR(SUMIF(BC7:BC26,"√",K7:K26)/K27,0)</f>
        <v>0</v>
      </c>
      <c r="BD5" s="107"/>
      <c r="BE5" s="107"/>
      <c r="BF5" s="108">
        <f>分类汇总!$I54</f>
        <v>0</v>
      </c>
      <c r="BG5" s="108">
        <f>分类汇总!$K54</f>
        <v>0</v>
      </c>
      <c r="BH5" s="109"/>
      <c r="BI5" s="109"/>
      <c r="BJ5" s="109"/>
      <c r="BK5" s="109"/>
      <c r="BL5" s="109"/>
      <c r="BM5" s="110"/>
      <c r="BN5" s="111"/>
      <c r="BP5" s="78"/>
      <c r="BU5" s="194"/>
      <c r="BV5" s="111"/>
    </row>
    <row r="6" s="72" customFormat="1" ht="25.2" customHeight="1" spans="1:74">
      <c r="A6" s="112" t="s">
        <v>305</v>
      </c>
      <c r="B6" s="113" t="s">
        <v>5283</v>
      </c>
      <c r="C6" s="113" t="s">
        <v>1961</v>
      </c>
      <c r="D6" s="113" t="s">
        <v>5284</v>
      </c>
      <c r="E6" s="113" t="s">
        <v>5285</v>
      </c>
      <c r="F6" s="114" t="s">
        <v>1631</v>
      </c>
      <c r="G6" s="115" t="s">
        <v>1632</v>
      </c>
      <c r="H6" s="116" t="s">
        <v>3793</v>
      </c>
      <c r="I6" s="113" t="s">
        <v>1549</v>
      </c>
      <c r="J6" s="117" t="s">
        <v>1634</v>
      </c>
      <c r="K6" s="118" t="s">
        <v>1523</v>
      </c>
      <c r="L6" s="113" t="s">
        <v>1550</v>
      </c>
      <c r="M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1644</v>
      </c>
      <c r="BN6" s="119"/>
      <c r="BO6" s="120" t="s">
        <v>1645</v>
      </c>
      <c r="BP6" s="121" t="s">
        <v>1646</v>
      </c>
      <c r="BQ6" s="121" t="s">
        <v>1647</v>
      </c>
      <c r="BR6" s="121" t="s">
        <v>1648</v>
      </c>
      <c r="BS6" s="121" t="s">
        <v>1647</v>
      </c>
      <c r="BT6" s="121" t="s">
        <v>1647</v>
      </c>
      <c r="BU6" s="121" t="s">
        <v>1649</v>
      </c>
      <c r="BV6" s="122" t="s">
        <v>1650</v>
      </c>
    </row>
    <row r="7" ht="15" customHeight="1" spans="1:74">
      <c r="A7" s="123" t="str">
        <f>IF(B7="","",COUNT(A$6:A6)+1)</f>
        <v/>
      </c>
      <c r="B7" s="124"/>
      <c r="C7" s="125" t="str">
        <f t="shared" ref="C7:C26" si="0">IF(B7="","",DATE(YEAR(BB$2),MONTH(BB$2),DAY(BB$2)))</f>
        <v/>
      </c>
      <c r="D7" s="126"/>
      <c r="E7" s="281" t="str">
        <f>IF(B7=0,"",IFERROR(VLOOKUP(D7,利润表及费率!N$5:O$25,2,FALSE),""))</f>
        <v/>
      </c>
      <c r="F7" s="127"/>
      <c r="G7" s="127" t="str">
        <f>IFERROR(VLOOKUP(F7,参数表!$H$2:$I$50,2,FALSE),"")</f>
        <v/>
      </c>
      <c r="H7" s="128" t="str">
        <f>IFERROR(IF(OR(F7="人民币",F7=""),"",K7/G7),"")</f>
        <v/>
      </c>
      <c r="I7" s="129"/>
      <c r="J7" s="130"/>
      <c r="K7" s="129" t="str">
        <f>IF(B7="","",I7+J7)</f>
        <v/>
      </c>
      <c r="L7" s="129" t="str">
        <f t="shared" ref="L7:L26" si="1">IF(B7="","",IF($BB$3="是",K7,""))</f>
        <v/>
      </c>
      <c r="M7" s="131"/>
      <c r="BA7" s="78"/>
      <c r="BB7" s="132" t="s">
        <v>5286</v>
      </c>
      <c r="BC7" s="133"/>
      <c r="BD7" s="132" t="str">
        <f>IF(OR(B7="",BC7=""),"",COUNTIF(BC$7:BC7,"√"))</f>
        <v/>
      </c>
      <c r="BE7" s="134" t="str">
        <f t="shared" ref="BE7:BE26" si="2">IF(BC7="","",BB7&amp;"︱"&amp;B7&amp;"︱"&amp;TEXT(I7,"#,##0.00"))</f>
        <v/>
      </c>
      <c r="BF7" s="135" t="str">
        <f>IF($B7="","",IF(BF$5=0,"OK","出错"))</f>
        <v/>
      </c>
      <c r="BG7" s="135" t="str">
        <f>IF($B7="","",IF(BG$5=0,"OK","出错"))</f>
        <v/>
      </c>
      <c r="BH7" s="136"/>
      <c r="BI7" s="137"/>
      <c r="BJ7" s="136"/>
      <c r="BK7" s="136"/>
      <c r="BL7" s="136"/>
      <c r="BM7" s="137"/>
      <c r="BO7" s="134" t="str">
        <f>IF(COUNTIF(BO$6:BO6,D7)&gt;0,"",D7)&amp;""</f>
        <v/>
      </c>
      <c r="BP7" s="138">
        <f>SUMIF(D$7:D$26,BO7,K$7:K$26)</f>
        <v>0</v>
      </c>
      <c r="BQ7" s="132">
        <f t="shared" ref="BQ7" si="3">RANK(BP7,BP$7:BP$26)</f>
        <v>1</v>
      </c>
      <c r="BR7" s="138">
        <f>SUMIF(D$7:D$26,BO7,L$7:L$26)</f>
        <v>0</v>
      </c>
      <c r="BS7" s="132">
        <f>RANK(BR7,BR$7:BR$26)</f>
        <v>1</v>
      </c>
      <c r="BT7" s="138">
        <f>SUM(BP7:BP26)</f>
        <v>0</v>
      </c>
      <c r="BU7" s="138"/>
      <c r="BV7" s="138"/>
    </row>
    <row r="8" ht="15" customHeight="1" spans="1:74">
      <c r="A8" s="123" t="str">
        <f>IF(B8="","",COUNT(A$6:A7)+1)</f>
        <v/>
      </c>
      <c r="B8" s="139"/>
      <c r="C8" s="125" t="str">
        <f t="shared" si="0"/>
        <v/>
      </c>
      <c r="D8" s="141"/>
      <c r="E8" s="281" t="str">
        <f>IF(B8=0,"",IFERROR(VLOOKUP(D8,利润表及费率!N$5:O$25,2,FALSE),""))</f>
        <v/>
      </c>
      <c r="F8" s="142"/>
      <c r="G8" s="127" t="str">
        <f>IFERROR(VLOOKUP(F8,参数表!$H$2:$I$50,2,FALSE),"")</f>
        <v/>
      </c>
      <c r="H8" s="128" t="str">
        <f t="shared" ref="H8:H26" si="4">IFERROR(IF(OR(F8="人民币",F8=""),"",K8/G8),"")</f>
        <v/>
      </c>
      <c r="I8" s="143"/>
      <c r="J8" s="144"/>
      <c r="K8" s="129" t="str">
        <f t="shared" ref="K8:K26" si="5">IF(B8="","",I8+J8)</f>
        <v/>
      </c>
      <c r="L8" s="129" t="str">
        <f t="shared" si="1"/>
        <v/>
      </c>
      <c r="M8" s="145"/>
      <c r="BA8" s="78"/>
      <c r="BB8" s="132" t="s">
        <v>5287</v>
      </c>
      <c r="BC8" s="133"/>
      <c r="BD8" s="132" t="str">
        <f>IF(OR(B8="",BC8=""),"",COUNTIF(BC$7:BC8,"√"))</f>
        <v/>
      </c>
      <c r="BE8" s="134" t="str">
        <f t="shared" si="2"/>
        <v/>
      </c>
      <c r="BF8" s="135" t="str">
        <f t="shared" ref="BF8:BG26" si="6">IF($B8="","",IF(BF$5=0,"OK","出错"))</f>
        <v/>
      </c>
      <c r="BG8" s="135" t="str">
        <f t="shared" si="6"/>
        <v/>
      </c>
      <c r="BH8" s="136"/>
      <c r="BI8" s="137"/>
      <c r="BJ8" s="136"/>
      <c r="BK8" s="136"/>
      <c r="BL8" s="136"/>
      <c r="BM8" s="137"/>
      <c r="BO8" s="134" t="str">
        <f>IF(COUNTIF(BO$6:BO7,D8)&gt;0,"",D8)&amp;""</f>
        <v/>
      </c>
      <c r="BP8" s="138">
        <f t="shared" ref="BP8:BP26" si="7">SUMIF(D$7:D$26,BO8,K$7:K$26)</f>
        <v>0</v>
      </c>
      <c r="BQ8" s="132">
        <f t="shared" ref="BQ8:BQ26" si="8">RANK(BP8,BP$7:BP$26)</f>
        <v>1</v>
      </c>
      <c r="BR8" s="138">
        <f t="shared" ref="BR8:BR26" si="9">SUMIF(D$7:D$26,BO8,L$7:L$26)</f>
        <v>0</v>
      </c>
      <c r="BS8" s="132">
        <f t="shared" ref="BS8:BS26" si="10">RANK(BR8,BR$7:BR$26)</f>
        <v>1</v>
      </c>
      <c r="BT8" s="138">
        <f>SUM(BR7:BR26)</f>
        <v>0</v>
      </c>
      <c r="BU8" s="138"/>
      <c r="BV8" s="138"/>
    </row>
    <row r="9" ht="15" customHeight="1" spans="1:74">
      <c r="A9" s="123" t="str">
        <f>IF(B9="","",COUNT(A$6:A8)+1)</f>
        <v/>
      </c>
      <c r="B9" s="139"/>
      <c r="C9" s="125" t="str">
        <f t="shared" si="0"/>
        <v/>
      </c>
      <c r="D9" s="141"/>
      <c r="E9" s="281" t="str">
        <f>IF(B9=0,"",IFERROR(VLOOKUP(D9,利润表及费率!N$5:O$25,2,FALSE),""))</f>
        <v/>
      </c>
      <c r="F9" s="142"/>
      <c r="G9" s="127" t="str">
        <f>IFERROR(VLOOKUP(F9,参数表!$H$2:$I$50,2,FALSE),"")</f>
        <v/>
      </c>
      <c r="H9" s="128" t="str">
        <f t="shared" si="4"/>
        <v/>
      </c>
      <c r="I9" s="143"/>
      <c r="J9" s="144"/>
      <c r="K9" s="129" t="str">
        <f t="shared" si="5"/>
        <v/>
      </c>
      <c r="L9" s="129" t="str">
        <f t="shared" si="1"/>
        <v/>
      </c>
      <c r="M9" s="145"/>
      <c r="BA9" s="78"/>
      <c r="BB9" s="132" t="s">
        <v>5288</v>
      </c>
      <c r="BC9" s="133"/>
      <c r="BD9" s="132" t="str">
        <f>IF(OR(B9="",BC9=""),"",COUNTIF(BC$7:BC9,"√"))</f>
        <v/>
      </c>
      <c r="BE9" s="134" t="str">
        <f t="shared" si="2"/>
        <v/>
      </c>
      <c r="BF9" s="135" t="str">
        <f t="shared" si="6"/>
        <v/>
      </c>
      <c r="BG9" s="135" t="str">
        <f t="shared" si="6"/>
        <v/>
      </c>
      <c r="BH9" s="136"/>
      <c r="BI9" s="137"/>
      <c r="BJ9" s="136"/>
      <c r="BK9" s="136"/>
      <c r="BL9" s="136"/>
      <c r="BM9" s="137"/>
      <c r="BO9" s="134" t="str">
        <f>IF(COUNTIF(BO$6:BO8,D9)&gt;0,"",D9)&amp;""</f>
        <v/>
      </c>
      <c r="BP9" s="138">
        <f t="shared" si="7"/>
        <v>0</v>
      </c>
      <c r="BQ9" s="132">
        <f t="shared" si="8"/>
        <v>1</v>
      </c>
      <c r="BR9" s="138">
        <f t="shared" si="9"/>
        <v>0</v>
      </c>
      <c r="BS9" s="132">
        <f t="shared" si="10"/>
        <v>1</v>
      </c>
      <c r="BT9" s="132">
        <v>1</v>
      </c>
      <c r="BU9" s="134" t="str">
        <f>IFERROR(INDEX(BO$7:BO$26,MATCH(BT9,IF(BT$7=0,BS$7:BS$26,BQ$7:BQ$26),0))&amp;"","")</f>
        <v/>
      </c>
      <c r="BV9" s="146" t="str">
        <f>IF(BU10="","",IF(BU11="","和","、"))</f>
        <v/>
      </c>
    </row>
    <row r="10" ht="15" customHeight="1" spans="1:74">
      <c r="A10" s="123" t="str">
        <f>IF(B10="","",COUNT(A$6:A9)+1)</f>
        <v/>
      </c>
      <c r="B10" s="139"/>
      <c r="C10" s="125" t="str">
        <f t="shared" si="0"/>
        <v/>
      </c>
      <c r="D10" s="141"/>
      <c r="E10" s="281" t="str">
        <f>IF(B10=0,"",IFERROR(VLOOKUP(D10,利润表及费率!N$5:O$25,2,FALSE),""))</f>
        <v/>
      </c>
      <c r="F10" s="142"/>
      <c r="G10" s="127" t="str">
        <f>IFERROR(VLOOKUP(F10,参数表!$H$2:$I$50,2,FALSE),"")</f>
        <v/>
      </c>
      <c r="H10" s="128" t="str">
        <f t="shared" si="4"/>
        <v/>
      </c>
      <c r="I10" s="143"/>
      <c r="J10" s="144"/>
      <c r="K10" s="129" t="str">
        <f t="shared" si="5"/>
        <v/>
      </c>
      <c r="L10" s="129" t="str">
        <f t="shared" si="1"/>
        <v/>
      </c>
      <c r="M10" s="145"/>
      <c r="BA10" s="78"/>
      <c r="BB10" s="132" t="s">
        <v>5289</v>
      </c>
      <c r="BC10" s="133"/>
      <c r="BD10" s="132" t="str">
        <f>IF(OR(B10="",BC10=""),"",COUNTIF(BC$7:BC10,"√"))</f>
        <v/>
      </c>
      <c r="BE10" s="134" t="str">
        <f t="shared" si="2"/>
        <v/>
      </c>
      <c r="BF10" s="135" t="str">
        <f t="shared" si="6"/>
        <v/>
      </c>
      <c r="BG10" s="135" t="str">
        <f t="shared" si="6"/>
        <v/>
      </c>
      <c r="BH10" s="136"/>
      <c r="BI10" s="137"/>
      <c r="BJ10" s="136"/>
      <c r="BK10" s="136"/>
      <c r="BL10" s="136"/>
      <c r="BM10" s="137"/>
      <c r="BO10" s="134" t="str">
        <f>IF(COUNTIF(BO$6:BO9,D10)&gt;0,"",D10)&amp;""</f>
        <v/>
      </c>
      <c r="BP10" s="138">
        <f t="shared" si="7"/>
        <v>0</v>
      </c>
      <c r="BQ10" s="132">
        <f t="shared" si="8"/>
        <v>1</v>
      </c>
      <c r="BR10" s="138">
        <f t="shared" si="9"/>
        <v>0</v>
      </c>
      <c r="BS10" s="132">
        <f t="shared" si="10"/>
        <v>1</v>
      </c>
      <c r="BT10" s="132">
        <v>2</v>
      </c>
      <c r="BU10" s="134" t="str">
        <f t="shared" ref="BU10:BU13" si="11">IFERROR(INDEX(BO$7:BO$26,MATCH(BT10,IF(BT$7=0,BS$7:BS$26,BQ$7:BQ$26),0))&amp;"","")</f>
        <v/>
      </c>
      <c r="BV10" s="146" t="str">
        <f t="shared" ref="BV10:BV11" si="12">IF(BU11="","",IF(BU12="","和","、"))</f>
        <v/>
      </c>
    </row>
    <row r="11" ht="15" customHeight="1" spans="1:74">
      <c r="A11" s="123" t="str">
        <f>IF(B11="","",COUNT(A$6:A10)+1)</f>
        <v/>
      </c>
      <c r="B11" s="139"/>
      <c r="C11" s="125" t="str">
        <f t="shared" si="0"/>
        <v/>
      </c>
      <c r="D11" s="141"/>
      <c r="E11" s="281" t="str">
        <f>IF(B11=0,"",IFERROR(VLOOKUP(D11,利润表及费率!N$5:O$25,2,FALSE),""))</f>
        <v/>
      </c>
      <c r="F11" s="142"/>
      <c r="G11" s="127" t="str">
        <f>IFERROR(VLOOKUP(F11,参数表!$H$2:$I$50,2,FALSE),"")</f>
        <v/>
      </c>
      <c r="H11" s="128" t="str">
        <f t="shared" si="4"/>
        <v/>
      </c>
      <c r="I11" s="143"/>
      <c r="J11" s="144"/>
      <c r="K11" s="129" t="str">
        <f t="shared" si="5"/>
        <v/>
      </c>
      <c r="L11" s="129" t="str">
        <f t="shared" si="1"/>
        <v/>
      </c>
      <c r="M11" s="145"/>
      <c r="BA11" s="78"/>
      <c r="BB11" s="132" t="s">
        <v>5290</v>
      </c>
      <c r="BC11" s="133"/>
      <c r="BD11" s="132" t="str">
        <f>IF(OR(B11="",BC11=""),"",COUNTIF(BC$7:BC11,"√"))</f>
        <v/>
      </c>
      <c r="BE11" s="134" t="str">
        <f t="shared" si="2"/>
        <v/>
      </c>
      <c r="BF11" s="135" t="str">
        <f t="shared" si="6"/>
        <v/>
      </c>
      <c r="BG11" s="135" t="str">
        <f t="shared" si="6"/>
        <v/>
      </c>
      <c r="BH11" s="136"/>
      <c r="BI11" s="137"/>
      <c r="BJ11" s="136"/>
      <c r="BK11" s="136"/>
      <c r="BL11" s="136"/>
      <c r="BM11" s="137"/>
      <c r="BO11" s="134" t="str">
        <f>IF(COUNTIF(BO$6:BO10,D11)&gt;0,"",D11)&amp;""</f>
        <v/>
      </c>
      <c r="BP11" s="138">
        <f t="shared" si="7"/>
        <v>0</v>
      </c>
      <c r="BQ11" s="132">
        <f t="shared" si="8"/>
        <v>1</v>
      </c>
      <c r="BR11" s="138">
        <f t="shared" si="9"/>
        <v>0</v>
      </c>
      <c r="BS11" s="132">
        <f t="shared" si="10"/>
        <v>1</v>
      </c>
      <c r="BT11" s="132">
        <v>3</v>
      </c>
      <c r="BU11" s="134" t="str">
        <f t="shared" si="11"/>
        <v/>
      </c>
      <c r="BV11" s="146" t="str">
        <f t="shared" si="12"/>
        <v/>
      </c>
    </row>
    <row r="12" ht="15" customHeight="1" spans="1:74">
      <c r="A12" s="123" t="str">
        <f>IF(B12="","",COUNT(A$6:A11)+1)</f>
        <v/>
      </c>
      <c r="B12" s="139"/>
      <c r="C12" s="125" t="str">
        <f t="shared" si="0"/>
        <v/>
      </c>
      <c r="D12" s="141"/>
      <c r="E12" s="281" t="str">
        <f>IF(B12=0,"",IFERROR(VLOOKUP(D12,利润表及费率!N$5:O$25,2,FALSE),""))</f>
        <v/>
      </c>
      <c r="F12" s="142"/>
      <c r="G12" s="127" t="str">
        <f>IFERROR(VLOOKUP(F12,参数表!$H$2:$I$50,2,FALSE),"")</f>
        <v/>
      </c>
      <c r="H12" s="128" t="str">
        <f t="shared" si="4"/>
        <v/>
      </c>
      <c r="I12" s="143"/>
      <c r="J12" s="144"/>
      <c r="K12" s="129" t="str">
        <f t="shared" si="5"/>
        <v/>
      </c>
      <c r="L12" s="129" t="str">
        <f t="shared" si="1"/>
        <v/>
      </c>
      <c r="M12" s="145"/>
      <c r="BA12" s="78"/>
      <c r="BB12" s="132" t="s">
        <v>5291</v>
      </c>
      <c r="BC12" s="133"/>
      <c r="BD12" s="132" t="str">
        <f>IF(OR(B12="",BC12=""),"",COUNTIF(BC$7:BC12,"√"))</f>
        <v/>
      </c>
      <c r="BE12" s="134" t="str">
        <f t="shared" si="2"/>
        <v/>
      </c>
      <c r="BF12" s="135" t="str">
        <f t="shared" si="6"/>
        <v/>
      </c>
      <c r="BG12" s="135" t="str">
        <f t="shared" si="6"/>
        <v/>
      </c>
      <c r="BH12" s="136"/>
      <c r="BI12" s="137"/>
      <c r="BJ12" s="136"/>
      <c r="BK12" s="136"/>
      <c r="BL12" s="136"/>
      <c r="BM12" s="137"/>
      <c r="BO12" s="134" t="str">
        <f>IF(COUNTIF(BO$6:BO11,D12)&gt;0,"",D12)&amp;""</f>
        <v/>
      </c>
      <c r="BP12" s="138">
        <f t="shared" si="7"/>
        <v>0</v>
      </c>
      <c r="BQ12" s="132">
        <f t="shared" si="8"/>
        <v>1</v>
      </c>
      <c r="BR12" s="138">
        <f t="shared" si="9"/>
        <v>0</v>
      </c>
      <c r="BS12" s="132">
        <f t="shared" si="10"/>
        <v>1</v>
      </c>
      <c r="BT12" s="132">
        <v>4</v>
      </c>
      <c r="BU12" s="134" t="str">
        <f t="shared" si="11"/>
        <v/>
      </c>
      <c r="BV12" s="146" t="str">
        <f>IF(BU13="","","和")</f>
        <v/>
      </c>
    </row>
    <row r="13" ht="15" customHeight="1" spans="1:74">
      <c r="A13" s="123" t="str">
        <f>IF(B13="","",COUNT(A$6:A12)+1)</f>
        <v/>
      </c>
      <c r="B13" s="139"/>
      <c r="C13" s="125" t="str">
        <f t="shared" si="0"/>
        <v/>
      </c>
      <c r="D13" s="141"/>
      <c r="E13" s="281" t="str">
        <f>IF(B13=0,"",IFERROR(VLOOKUP(D13,利润表及费率!N$5:O$25,2,FALSE),""))</f>
        <v/>
      </c>
      <c r="F13" s="142"/>
      <c r="G13" s="127" t="str">
        <f>IFERROR(VLOOKUP(F13,参数表!$H$2:$I$50,2,FALSE),"")</f>
        <v/>
      </c>
      <c r="H13" s="128" t="str">
        <f t="shared" si="4"/>
        <v/>
      </c>
      <c r="I13" s="143"/>
      <c r="J13" s="144"/>
      <c r="K13" s="129" t="str">
        <f t="shared" si="5"/>
        <v/>
      </c>
      <c r="L13" s="129" t="str">
        <f t="shared" si="1"/>
        <v/>
      </c>
      <c r="M13" s="145"/>
      <c r="BA13" s="78"/>
      <c r="BB13" s="132" t="s">
        <v>5292</v>
      </c>
      <c r="BC13" s="133"/>
      <c r="BD13" s="132" t="str">
        <f>IF(OR(B13="",BC13=""),"",COUNTIF(BC$7:BC13,"√"))</f>
        <v/>
      </c>
      <c r="BE13" s="134" t="str">
        <f t="shared" si="2"/>
        <v/>
      </c>
      <c r="BF13" s="135" t="str">
        <f t="shared" si="6"/>
        <v/>
      </c>
      <c r="BG13" s="135" t="str">
        <f t="shared" si="6"/>
        <v/>
      </c>
      <c r="BH13" s="136"/>
      <c r="BI13" s="137"/>
      <c r="BJ13" s="136"/>
      <c r="BK13" s="136"/>
      <c r="BL13" s="136"/>
      <c r="BM13" s="137"/>
      <c r="BO13" s="134" t="str">
        <f>IF(COUNTIF(BO$6:BO12,D13)&gt;0,"",D13)&amp;""</f>
        <v/>
      </c>
      <c r="BP13" s="138">
        <f t="shared" si="7"/>
        <v>0</v>
      </c>
      <c r="BQ13" s="132">
        <f t="shared" si="8"/>
        <v>1</v>
      </c>
      <c r="BR13" s="138">
        <f t="shared" si="9"/>
        <v>0</v>
      </c>
      <c r="BS13" s="132">
        <f t="shared" si="10"/>
        <v>1</v>
      </c>
      <c r="BT13" s="132">
        <v>5</v>
      </c>
      <c r="BU13" s="134" t="str">
        <f t="shared" si="11"/>
        <v/>
      </c>
      <c r="BV13" s="146"/>
    </row>
    <row r="14" ht="15" customHeight="1" spans="1:74">
      <c r="A14" s="123" t="str">
        <f>IF(B14="","",COUNT(A$6:A13)+1)</f>
        <v/>
      </c>
      <c r="B14" s="139"/>
      <c r="C14" s="125" t="str">
        <f t="shared" si="0"/>
        <v/>
      </c>
      <c r="D14" s="141"/>
      <c r="E14" s="281" t="str">
        <f>IF(B14=0,"",IFERROR(VLOOKUP(D14,利润表及费率!N$5:O$25,2,FALSE),""))</f>
        <v/>
      </c>
      <c r="F14" s="142"/>
      <c r="G14" s="127" t="str">
        <f>IFERROR(VLOOKUP(F14,参数表!$H$2:$I$50,2,FALSE),"")</f>
        <v/>
      </c>
      <c r="H14" s="128" t="str">
        <f t="shared" si="4"/>
        <v/>
      </c>
      <c r="I14" s="143"/>
      <c r="J14" s="144"/>
      <c r="K14" s="129" t="str">
        <f t="shared" si="5"/>
        <v/>
      </c>
      <c r="L14" s="129" t="str">
        <f t="shared" si="1"/>
        <v/>
      </c>
      <c r="M14" s="145"/>
      <c r="BA14" s="78"/>
      <c r="BB14" s="132" t="s">
        <v>5293</v>
      </c>
      <c r="BC14" s="133"/>
      <c r="BD14" s="132" t="str">
        <f>IF(OR(B14="",BC14=""),"",COUNTIF(BC$7:BC14,"√"))</f>
        <v/>
      </c>
      <c r="BE14" s="134" t="str">
        <f t="shared" si="2"/>
        <v/>
      </c>
      <c r="BF14" s="135" t="str">
        <f t="shared" si="6"/>
        <v/>
      </c>
      <c r="BG14" s="135" t="str">
        <f t="shared" si="6"/>
        <v/>
      </c>
      <c r="BH14" s="136"/>
      <c r="BI14" s="137"/>
      <c r="BJ14" s="136"/>
      <c r="BK14" s="136"/>
      <c r="BL14" s="136"/>
      <c r="BM14" s="137"/>
      <c r="BO14" s="134" t="str">
        <f>IF(COUNTIF(BO$6:BO13,D14)&gt;0,"",D14)&amp;""</f>
        <v/>
      </c>
      <c r="BP14" s="138">
        <f t="shared" si="7"/>
        <v>0</v>
      </c>
      <c r="BQ14" s="132">
        <f t="shared" si="8"/>
        <v>1</v>
      </c>
      <c r="BR14" s="138">
        <f t="shared" si="9"/>
        <v>0</v>
      </c>
      <c r="BS14" s="132">
        <f t="shared" si="10"/>
        <v>1</v>
      </c>
      <c r="BT14" s="147" t="s">
        <v>1659</v>
      </c>
      <c r="BU14" s="132" t="str">
        <f>CONCATENATE(BU9,BV9,BU10,BV10,BU11,BV11,BU12,BV12,BU13)</f>
        <v/>
      </c>
      <c r="BV14" s="132"/>
    </row>
    <row r="15" ht="15" customHeight="1" spans="1:74">
      <c r="A15" s="123" t="str">
        <f>IF(B15="","",COUNT(A$6:A14)+1)</f>
        <v/>
      </c>
      <c r="B15" s="139"/>
      <c r="C15" s="125" t="str">
        <f t="shared" si="0"/>
        <v/>
      </c>
      <c r="D15" s="141"/>
      <c r="E15" s="281" t="str">
        <f>IF(B15=0,"",IFERROR(VLOOKUP(D15,利润表及费率!N$5:O$25,2,FALSE),""))</f>
        <v/>
      </c>
      <c r="F15" s="142"/>
      <c r="G15" s="127" t="str">
        <f>IFERROR(VLOOKUP(F15,参数表!$H$2:$I$50,2,FALSE),"")</f>
        <v/>
      </c>
      <c r="H15" s="128" t="str">
        <f t="shared" si="4"/>
        <v/>
      </c>
      <c r="I15" s="143"/>
      <c r="J15" s="144"/>
      <c r="K15" s="129" t="str">
        <f t="shared" si="5"/>
        <v/>
      </c>
      <c r="L15" s="129" t="str">
        <f t="shared" si="1"/>
        <v/>
      </c>
      <c r="M15" s="145"/>
      <c r="BA15" s="78"/>
      <c r="BB15" s="132" t="s">
        <v>5294</v>
      </c>
      <c r="BC15" s="133"/>
      <c r="BD15" s="132" t="str">
        <f>IF(OR(B15="",BC15=""),"",COUNTIF(BC$7:BC15,"√"))</f>
        <v/>
      </c>
      <c r="BE15" s="134" t="str">
        <f t="shared" si="2"/>
        <v/>
      </c>
      <c r="BF15" s="135" t="str">
        <f t="shared" si="6"/>
        <v/>
      </c>
      <c r="BG15" s="135" t="str">
        <f t="shared" si="6"/>
        <v/>
      </c>
      <c r="BH15" s="136"/>
      <c r="BI15" s="137"/>
      <c r="BJ15" s="136"/>
      <c r="BK15" s="136"/>
      <c r="BL15" s="136"/>
      <c r="BM15" s="137"/>
      <c r="BO15" s="134" t="str">
        <f>IF(COUNTIF(BO$6:BO14,D15)&gt;0,"",D15)&amp;""</f>
        <v/>
      </c>
      <c r="BP15" s="138">
        <f t="shared" si="7"/>
        <v>0</v>
      </c>
      <c r="BQ15" s="132">
        <f t="shared" si="8"/>
        <v>1</v>
      </c>
      <c r="BR15" s="138">
        <f t="shared" si="9"/>
        <v>0</v>
      </c>
      <c r="BS15" s="132">
        <f t="shared" si="10"/>
        <v>1</v>
      </c>
      <c r="BT15" s="133"/>
      <c r="BU15" s="133"/>
    </row>
    <row r="16" ht="15" customHeight="1" spans="1:74">
      <c r="A16" s="123" t="str">
        <f>IF(B16="","",COUNT(A$6:A15)+1)</f>
        <v/>
      </c>
      <c r="B16" s="139"/>
      <c r="C16" s="125" t="str">
        <f t="shared" si="0"/>
        <v/>
      </c>
      <c r="D16" s="141"/>
      <c r="E16" s="281" t="str">
        <f>IF(B16=0,"",IFERROR(VLOOKUP(D16,利润表及费率!N$5:O$25,2,FALSE),""))</f>
        <v/>
      </c>
      <c r="F16" s="142"/>
      <c r="G16" s="127" t="str">
        <f>IFERROR(VLOOKUP(F16,参数表!$H$2:$I$50,2,FALSE),"")</f>
        <v/>
      </c>
      <c r="H16" s="128" t="str">
        <f t="shared" si="4"/>
        <v/>
      </c>
      <c r="I16" s="143"/>
      <c r="J16" s="144"/>
      <c r="K16" s="129" t="str">
        <f t="shared" si="5"/>
        <v/>
      </c>
      <c r="L16" s="129" t="str">
        <f t="shared" si="1"/>
        <v/>
      </c>
      <c r="M16" s="145"/>
      <c r="BA16" s="78"/>
      <c r="BB16" s="132" t="s">
        <v>5295</v>
      </c>
      <c r="BC16" s="133"/>
      <c r="BD16" s="132" t="str">
        <f>IF(OR(B16="",BC16=""),"",COUNTIF(BC$7:BC16,"√"))</f>
        <v/>
      </c>
      <c r="BE16" s="134" t="str">
        <f t="shared" si="2"/>
        <v/>
      </c>
      <c r="BF16" s="135" t="str">
        <f t="shared" si="6"/>
        <v/>
      </c>
      <c r="BG16" s="135" t="str">
        <f t="shared" si="6"/>
        <v/>
      </c>
      <c r="BH16" s="136"/>
      <c r="BI16" s="137"/>
      <c r="BJ16" s="136"/>
      <c r="BK16" s="136"/>
      <c r="BL16" s="136"/>
      <c r="BM16" s="137"/>
      <c r="BO16" s="134" t="str">
        <f>IF(COUNTIF(BO$6:BO15,D16)&gt;0,"",D16)&amp;""</f>
        <v/>
      </c>
      <c r="BP16" s="138">
        <f t="shared" si="7"/>
        <v>0</v>
      </c>
      <c r="BQ16" s="132">
        <f t="shared" si="8"/>
        <v>1</v>
      </c>
      <c r="BR16" s="138">
        <f t="shared" si="9"/>
        <v>0</v>
      </c>
      <c r="BS16" s="132">
        <f t="shared" si="10"/>
        <v>1</v>
      </c>
      <c r="BT16" s="133"/>
      <c r="BU16" s="148"/>
    </row>
    <row r="17" ht="15" customHeight="1" spans="1:74">
      <c r="A17" s="123" t="str">
        <f>IF(B17="","",COUNT(A$6:A16)+1)</f>
        <v/>
      </c>
      <c r="B17" s="139"/>
      <c r="C17" s="125" t="str">
        <f t="shared" si="0"/>
        <v/>
      </c>
      <c r="D17" s="141"/>
      <c r="E17" s="281" t="str">
        <f>IF(B17=0,"",IFERROR(VLOOKUP(D17,利润表及费率!N$5:O$25,2,FALSE),""))</f>
        <v/>
      </c>
      <c r="F17" s="142"/>
      <c r="G17" s="127" t="str">
        <f>IFERROR(VLOOKUP(F17,参数表!$H$2:$I$50,2,FALSE),"")</f>
        <v/>
      </c>
      <c r="H17" s="128" t="str">
        <f t="shared" si="4"/>
        <v/>
      </c>
      <c r="I17" s="143"/>
      <c r="J17" s="144"/>
      <c r="K17" s="129" t="str">
        <f t="shared" si="5"/>
        <v/>
      </c>
      <c r="L17" s="129" t="str">
        <f t="shared" si="1"/>
        <v/>
      </c>
      <c r="M17" s="145"/>
      <c r="BA17" s="78"/>
      <c r="BB17" s="132" t="s">
        <v>5296</v>
      </c>
      <c r="BC17" s="133"/>
      <c r="BD17" s="132" t="str">
        <f>IF(OR(B17="",BC17=""),"",COUNTIF(BC$7:BC17,"√"))</f>
        <v/>
      </c>
      <c r="BE17" s="134" t="str">
        <f t="shared" si="2"/>
        <v/>
      </c>
      <c r="BF17" s="135" t="str">
        <f t="shared" si="6"/>
        <v/>
      </c>
      <c r="BG17" s="135" t="str">
        <f t="shared" si="6"/>
        <v/>
      </c>
      <c r="BH17" s="136"/>
      <c r="BI17" s="137"/>
      <c r="BJ17" s="136"/>
      <c r="BK17" s="136"/>
      <c r="BL17" s="136"/>
      <c r="BM17" s="137"/>
      <c r="BO17" s="134" t="str">
        <f>IF(COUNTIF(BO$6:BO16,D17)&gt;0,"",D17)&amp;""</f>
        <v/>
      </c>
      <c r="BP17" s="138">
        <f t="shared" si="7"/>
        <v>0</v>
      </c>
      <c r="BQ17" s="132">
        <f t="shared" si="8"/>
        <v>1</v>
      </c>
      <c r="BR17" s="138">
        <f t="shared" si="9"/>
        <v>0</v>
      </c>
      <c r="BS17" s="132">
        <f t="shared" si="10"/>
        <v>1</v>
      </c>
      <c r="BT17" s="133"/>
      <c r="BU17" s="133"/>
    </row>
    <row r="18" ht="15" customHeight="1" spans="1:74">
      <c r="A18" s="123" t="str">
        <f>IF(B18="","",COUNT(A$6:A17)+1)</f>
        <v/>
      </c>
      <c r="B18" s="139"/>
      <c r="C18" s="125" t="str">
        <f t="shared" si="0"/>
        <v/>
      </c>
      <c r="D18" s="141"/>
      <c r="E18" s="281" t="str">
        <f>IF(B18=0,"",IFERROR(VLOOKUP(D18,利润表及费率!N$5:O$25,2,FALSE),""))</f>
        <v/>
      </c>
      <c r="F18" s="142"/>
      <c r="G18" s="127" t="str">
        <f>IFERROR(VLOOKUP(F18,参数表!$H$2:$I$50,2,FALSE),"")</f>
        <v/>
      </c>
      <c r="H18" s="128" t="str">
        <f t="shared" si="4"/>
        <v/>
      </c>
      <c r="I18" s="143"/>
      <c r="J18" s="144"/>
      <c r="K18" s="129" t="str">
        <f t="shared" si="5"/>
        <v/>
      </c>
      <c r="L18" s="129" t="str">
        <f t="shared" si="1"/>
        <v/>
      </c>
      <c r="M18" s="145"/>
      <c r="BA18" s="78"/>
      <c r="BB18" s="132" t="s">
        <v>5297</v>
      </c>
      <c r="BC18" s="133"/>
      <c r="BD18" s="132" t="str">
        <f>IF(OR(B18="",BC18=""),"",COUNTIF(BC$7:BC18,"√"))</f>
        <v/>
      </c>
      <c r="BE18" s="134" t="str">
        <f t="shared" si="2"/>
        <v/>
      </c>
      <c r="BF18" s="135" t="str">
        <f t="shared" si="6"/>
        <v/>
      </c>
      <c r="BG18" s="135" t="str">
        <f t="shared" si="6"/>
        <v/>
      </c>
      <c r="BH18" s="136"/>
      <c r="BI18" s="137"/>
      <c r="BJ18" s="136"/>
      <c r="BK18" s="136"/>
      <c r="BL18" s="136"/>
      <c r="BM18" s="137"/>
      <c r="BO18" s="134" t="str">
        <f>IF(COUNTIF(BO$6:BO17,D18)&gt;0,"",D18)&amp;""</f>
        <v/>
      </c>
      <c r="BP18" s="138">
        <f t="shared" si="7"/>
        <v>0</v>
      </c>
      <c r="BQ18" s="132">
        <f t="shared" si="8"/>
        <v>1</v>
      </c>
      <c r="BR18" s="138">
        <f t="shared" si="9"/>
        <v>0</v>
      </c>
      <c r="BS18" s="132">
        <f t="shared" si="10"/>
        <v>1</v>
      </c>
      <c r="BT18" s="133"/>
      <c r="BU18" s="133"/>
    </row>
    <row r="19" ht="15" customHeight="1" spans="1:74">
      <c r="A19" s="123" t="str">
        <f>IF(B19="","",COUNT(A$6:A18)+1)</f>
        <v/>
      </c>
      <c r="B19" s="139"/>
      <c r="C19" s="125" t="str">
        <f t="shared" si="0"/>
        <v/>
      </c>
      <c r="D19" s="141"/>
      <c r="E19" s="281" t="str">
        <f>IF(B19=0,"",IFERROR(VLOOKUP(D19,利润表及费率!N$5:O$25,2,FALSE),""))</f>
        <v/>
      </c>
      <c r="F19" s="142"/>
      <c r="G19" s="127" t="str">
        <f>IFERROR(VLOOKUP(F19,参数表!$H$2:$I$50,2,FALSE),"")</f>
        <v/>
      </c>
      <c r="H19" s="128" t="str">
        <f t="shared" si="4"/>
        <v/>
      </c>
      <c r="I19" s="143"/>
      <c r="J19" s="144"/>
      <c r="K19" s="129" t="str">
        <f t="shared" si="5"/>
        <v/>
      </c>
      <c r="L19" s="129" t="str">
        <f t="shared" si="1"/>
        <v/>
      </c>
      <c r="M19" s="145"/>
      <c r="BA19" s="78"/>
      <c r="BB19" s="132" t="s">
        <v>5298</v>
      </c>
      <c r="BC19" s="133"/>
      <c r="BD19" s="132" t="str">
        <f>IF(OR(B19="",BC19=""),"",COUNTIF(BC$7:BC19,"√"))</f>
        <v/>
      </c>
      <c r="BE19" s="134" t="str">
        <f t="shared" si="2"/>
        <v/>
      </c>
      <c r="BF19" s="135" t="str">
        <f t="shared" si="6"/>
        <v/>
      </c>
      <c r="BG19" s="135" t="str">
        <f t="shared" si="6"/>
        <v/>
      </c>
      <c r="BH19" s="136"/>
      <c r="BI19" s="137"/>
      <c r="BJ19" s="136"/>
      <c r="BK19" s="136"/>
      <c r="BL19" s="136"/>
      <c r="BM19" s="137"/>
      <c r="BO19" s="134" t="str">
        <f>IF(COUNTIF(BO$6:BO18,D19)&gt;0,"",D19)&amp;""</f>
        <v/>
      </c>
      <c r="BP19" s="138">
        <f t="shared" si="7"/>
        <v>0</v>
      </c>
      <c r="BQ19" s="132">
        <f t="shared" si="8"/>
        <v>1</v>
      </c>
      <c r="BR19" s="138">
        <f t="shared" si="9"/>
        <v>0</v>
      </c>
      <c r="BS19" s="132">
        <f t="shared" si="10"/>
        <v>1</v>
      </c>
      <c r="BT19" s="133"/>
      <c r="BU19" s="133"/>
    </row>
    <row r="20" ht="15" customHeight="1" spans="1:74">
      <c r="A20" s="123" t="str">
        <f>IF(B20="","",COUNT(A$6:A19)+1)</f>
        <v/>
      </c>
      <c r="B20" s="139"/>
      <c r="C20" s="125" t="str">
        <f t="shared" si="0"/>
        <v/>
      </c>
      <c r="D20" s="141"/>
      <c r="E20" s="281" t="str">
        <f>IF(B20=0,"",IFERROR(VLOOKUP(D20,利润表及费率!N$5:O$25,2,FALSE),""))</f>
        <v/>
      </c>
      <c r="F20" s="142"/>
      <c r="G20" s="127" t="str">
        <f>IFERROR(VLOOKUP(F20,参数表!$H$2:$I$50,2,FALSE),"")</f>
        <v/>
      </c>
      <c r="H20" s="128" t="str">
        <f t="shared" si="4"/>
        <v/>
      </c>
      <c r="I20" s="143"/>
      <c r="J20" s="144"/>
      <c r="K20" s="129" t="str">
        <f t="shared" si="5"/>
        <v/>
      </c>
      <c r="L20" s="129" t="str">
        <f t="shared" si="1"/>
        <v/>
      </c>
      <c r="M20" s="145"/>
      <c r="BA20" s="78"/>
      <c r="BB20" s="132" t="s">
        <v>5299</v>
      </c>
      <c r="BC20" s="133"/>
      <c r="BD20" s="132" t="str">
        <f>IF(OR(B20="",BC20=""),"",COUNTIF(BC$7:BC20,"√"))</f>
        <v/>
      </c>
      <c r="BE20" s="134" t="str">
        <f t="shared" si="2"/>
        <v/>
      </c>
      <c r="BF20" s="135" t="str">
        <f t="shared" si="6"/>
        <v/>
      </c>
      <c r="BG20" s="135" t="str">
        <f t="shared" si="6"/>
        <v/>
      </c>
      <c r="BH20" s="136"/>
      <c r="BI20" s="137"/>
      <c r="BJ20" s="136"/>
      <c r="BK20" s="136"/>
      <c r="BL20" s="136"/>
      <c r="BM20" s="137"/>
      <c r="BO20" s="134" t="str">
        <f>IF(COUNTIF(BO$6:BO19,D20)&gt;0,"",D20)&amp;""</f>
        <v/>
      </c>
      <c r="BP20" s="138">
        <f t="shared" si="7"/>
        <v>0</v>
      </c>
      <c r="BQ20" s="132">
        <f t="shared" si="8"/>
        <v>1</v>
      </c>
      <c r="BR20" s="138">
        <f t="shared" si="9"/>
        <v>0</v>
      </c>
      <c r="BS20" s="132">
        <f t="shared" si="10"/>
        <v>1</v>
      </c>
      <c r="BT20" s="133"/>
      <c r="BU20" s="133"/>
    </row>
    <row r="21" ht="15" customHeight="1" spans="1:74">
      <c r="A21" s="123" t="str">
        <f>IF(B21="","",COUNT(A$6:A20)+1)</f>
        <v/>
      </c>
      <c r="B21" s="139"/>
      <c r="C21" s="125" t="str">
        <f t="shared" si="0"/>
        <v/>
      </c>
      <c r="D21" s="141"/>
      <c r="E21" s="281" t="str">
        <f>IF(B21=0,"",IFERROR(VLOOKUP(D21,利润表及费率!N$5:O$25,2,FALSE),""))</f>
        <v/>
      </c>
      <c r="F21" s="142"/>
      <c r="G21" s="127" t="str">
        <f>IFERROR(VLOOKUP(F21,参数表!$H$2:$I$50,2,FALSE),"")</f>
        <v/>
      </c>
      <c r="H21" s="128" t="str">
        <f t="shared" si="4"/>
        <v/>
      </c>
      <c r="I21" s="143"/>
      <c r="J21" s="144"/>
      <c r="K21" s="129" t="str">
        <f t="shared" si="5"/>
        <v/>
      </c>
      <c r="L21" s="129" t="str">
        <f t="shared" si="1"/>
        <v/>
      </c>
      <c r="M21" s="145"/>
      <c r="BA21" s="78"/>
      <c r="BB21" s="132" t="s">
        <v>5300</v>
      </c>
      <c r="BC21" s="133"/>
      <c r="BD21" s="132" t="str">
        <f>IF(OR(B21="",BC21=""),"",COUNTIF(BC$7:BC21,"√"))</f>
        <v/>
      </c>
      <c r="BE21" s="134" t="str">
        <f t="shared" si="2"/>
        <v/>
      </c>
      <c r="BF21" s="135" t="str">
        <f t="shared" si="6"/>
        <v/>
      </c>
      <c r="BG21" s="135" t="str">
        <f t="shared" si="6"/>
        <v/>
      </c>
      <c r="BH21" s="136"/>
      <c r="BI21" s="137"/>
      <c r="BJ21" s="136"/>
      <c r="BK21" s="136"/>
      <c r="BL21" s="136"/>
      <c r="BM21" s="137"/>
      <c r="BO21" s="134" t="str">
        <f>IF(COUNTIF(BO$6:BO20,D21)&gt;0,"",D21)&amp;""</f>
        <v/>
      </c>
      <c r="BP21" s="138">
        <f t="shared" si="7"/>
        <v>0</v>
      </c>
      <c r="BQ21" s="132">
        <f t="shared" si="8"/>
        <v>1</v>
      </c>
      <c r="BR21" s="138">
        <f t="shared" si="9"/>
        <v>0</v>
      </c>
      <c r="BS21" s="132">
        <f t="shared" si="10"/>
        <v>1</v>
      </c>
      <c r="BT21" s="133"/>
      <c r="BU21" s="133"/>
    </row>
    <row r="22" ht="15" customHeight="1" spans="1:74">
      <c r="A22" s="123" t="str">
        <f>IF(B22="","",COUNT(A$6:A21)+1)</f>
        <v/>
      </c>
      <c r="B22" s="139"/>
      <c r="C22" s="125" t="str">
        <f t="shared" si="0"/>
        <v/>
      </c>
      <c r="D22" s="141"/>
      <c r="E22" s="281" t="str">
        <f>IF(B22=0,"",IFERROR(VLOOKUP(D22,利润表及费率!N$5:O$25,2,FALSE),""))</f>
        <v/>
      </c>
      <c r="F22" s="142"/>
      <c r="G22" s="127" t="str">
        <f>IFERROR(VLOOKUP(F22,参数表!$H$2:$I$50,2,FALSE),"")</f>
        <v/>
      </c>
      <c r="H22" s="128" t="str">
        <f t="shared" si="4"/>
        <v/>
      </c>
      <c r="I22" s="143"/>
      <c r="J22" s="144"/>
      <c r="K22" s="129" t="str">
        <f t="shared" si="5"/>
        <v/>
      </c>
      <c r="L22" s="129" t="str">
        <f t="shared" si="1"/>
        <v/>
      </c>
      <c r="M22" s="145"/>
      <c r="BA22" s="78"/>
      <c r="BB22" s="132" t="s">
        <v>5301</v>
      </c>
      <c r="BC22" s="133"/>
      <c r="BD22" s="132" t="str">
        <f>IF(OR(B22="",BC22=""),"",COUNTIF(BC$7:BC22,"√"))</f>
        <v/>
      </c>
      <c r="BE22" s="134" t="str">
        <f t="shared" si="2"/>
        <v/>
      </c>
      <c r="BF22" s="135" t="str">
        <f t="shared" si="6"/>
        <v/>
      </c>
      <c r="BG22" s="135" t="str">
        <f t="shared" si="6"/>
        <v/>
      </c>
      <c r="BH22" s="136"/>
      <c r="BI22" s="137"/>
      <c r="BJ22" s="136"/>
      <c r="BK22" s="136"/>
      <c r="BL22" s="136"/>
      <c r="BM22" s="137"/>
      <c r="BO22" s="134" t="str">
        <f>IF(COUNTIF(BO$6:BO21,D22)&gt;0,"",D22)&amp;""</f>
        <v/>
      </c>
      <c r="BP22" s="138">
        <f t="shared" si="7"/>
        <v>0</v>
      </c>
      <c r="BQ22" s="132">
        <f t="shared" si="8"/>
        <v>1</v>
      </c>
      <c r="BR22" s="138">
        <f t="shared" si="9"/>
        <v>0</v>
      </c>
      <c r="BS22" s="132">
        <f t="shared" si="10"/>
        <v>1</v>
      </c>
      <c r="BT22" s="133"/>
      <c r="BU22" s="133"/>
    </row>
    <row r="23" ht="15" customHeight="1" spans="1:74">
      <c r="A23" s="123" t="str">
        <f>IF(B23="","",COUNT(A$6:A22)+1)</f>
        <v/>
      </c>
      <c r="B23" s="139"/>
      <c r="C23" s="125" t="str">
        <f t="shared" si="0"/>
        <v/>
      </c>
      <c r="D23" s="141"/>
      <c r="E23" s="281" t="str">
        <f>IF(B23=0,"",IFERROR(VLOOKUP(D23,利润表及费率!N$5:O$25,2,FALSE),""))</f>
        <v/>
      </c>
      <c r="F23" s="142"/>
      <c r="G23" s="127" t="str">
        <f>IFERROR(VLOOKUP(F23,参数表!$H$2:$I$50,2,FALSE),"")</f>
        <v/>
      </c>
      <c r="H23" s="128" t="str">
        <f t="shared" si="4"/>
        <v/>
      </c>
      <c r="I23" s="143"/>
      <c r="J23" s="144"/>
      <c r="K23" s="129" t="str">
        <f t="shared" si="5"/>
        <v/>
      </c>
      <c r="L23" s="129" t="str">
        <f t="shared" si="1"/>
        <v/>
      </c>
      <c r="M23" s="145"/>
      <c r="BA23" s="78"/>
      <c r="BB23" s="132" t="s">
        <v>5302</v>
      </c>
      <c r="BC23" s="133"/>
      <c r="BD23" s="132" t="str">
        <f>IF(OR(B23="",BC23=""),"",COUNTIF(BC$7:BC23,"√"))</f>
        <v/>
      </c>
      <c r="BE23" s="134" t="str">
        <f t="shared" si="2"/>
        <v/>
      </c>
      <c r="BF23" s="135" t="str">
        <f t="shared" si="6"/>
        <v/>
      </c>
      <c r="BG23" s="135" t="str">
        <f t="shared" si="6"/>
        <v/>
      </c>
      <c r="BH23" s="136"/>
      <c r="BI23" s="137"/>
      <c r="BJ23" s="136"/>
      <c r="BK23" s="136"/>
      <c r="BL23" s="136"/>
      <c r="BM23" s="137"/>
      <c r="BO23" s="134" t="str">
        <f>IF(COUNTIF(BO$6:BO22,D23)&gt;0,"",D23)&amp;""</f>
        <v/>
      </c>
      <c r="BP23" s="138">
        <f t="shared" si="7"/>
        <v>0</v>
      </c>
      <c r="BQ23" s="132">
        <f t="shared" si="8"/>
        <v>1</v>
      </c>
      <c r="BR23" s="138">
        <f t="shared" si="9"/>
        <v>0</v>
      </c>
      <c r="BS23" s="132">
        <f t="shared" si="10"/>
        <v>1</v>
      </c>
      <c r="BT23" s="133"/>
      <c r="BU23" s="133"/>
    </row>
    <row r="24" ht="15" customHeight="1" spans="1:74">
      <c r="A24" s="123" t="str">
        <f>IF(B24="","",COUNT(A$6:A23)+1)</f>
        <v/>
      </c>
      <c r="B24" s="139"/>
      <c r="C24" s="125" t="str">
        <f t="shared" si="0"/>
        <v/>
      </c>
      <c r="D24" s="141"/>
      <c r="E24" s="281" t="str">
        <f>IF(B24=0,"",IFERROR(VLOOKUP(D24,利润表及费率!N$5:O$25,2,FALSE),""))</f>
        <v/>
      </c>
      <c r="F24" s="142"/>
      <c r="G24" s="127" t="str">
        <f>IFERROR(VLOOKUP(F24,参数表!$H$2:$I$50,2,FALSE),"")</f>
        <v/>
      </c>
      <c r="H24" s="128" t="str">
        <f t="shared" si="4"/>
        <v/>
      </c>
      <c r="I24" s="143"/>
      <c r="J24" s="144"/>
      <c r="K24" s="129" t="str">
        <f t="shared" si="5"/>
        <v/>
      </c>
      <c r="L24" s="129" t="str">
        <f t="shared" si="1"/>
        <v/>
      </c>
      <c r="M24" s="145"/>
      <c r="BA24" s="78"/>
      <c r="BB24" s="132" t="s">
        <v>5303</v>
      </c>
      <c r="BC24" s="133"/>
      <c r="BD24" s="132" t="str">
        <f>IF(OR(B24="",BC24=""),"",COUNTIF(BC$7:BC24,"√"))</f>
        <v/>
      </c>
      <c r="BE24" s="134" t="str">
        <f t="shared" si="2"/>
        <v/>
      </c>
      <c r="BF24" s="135" t="str">
        <f t="shared" si="6"/>
        <v/>
      </c>
      <c r="BG24" s="135" t="str">
        <f t="shared" si="6"/>
        <v/>
      </c>
      <c r="BH24" s="136"/>
      <c r="BI24" s="137"/>
      <c r="BJ24" s="136"/>
      <c r="BK24" s="136"/>
      <c r="BL24" s="136"/>
      <c r="BM24" s="137"/>
      <c r="BO24" s="134" t="str">
        <f>IF(COUNTIF(BO$6:BO23,D24)&gt;0,"",D24)&amp;""</f>
        <v/>
      </c>
      <c r="BP24" s="138">
        <f t="shared" si="7"/>
        <v>0</v>
      </c>
      <c r="BQ24" s="132">
        <f t="shared" si="8"/>
        <v>1</v>
      </c>
      <c r="BR24" s="138">
        <f t="shared" si="9"/>
        <v>0</v>
      </c>
      <c r="BS24" s="132">
        <f t="shared" si="10"/>
        <v>1</v>
      </c>
      <c r="BT24" s="133"/>
      <c r="BU24" s="133"/>
    </row>
    <row r="25" ht="15" customHeight="1" spans="1:74">
      <c r="A25" s="123" t="str">
        <f>IF(B25="","",COUNT(A$6:A24)+1)</f>
        <v/>
      </c>
      <c r="B25" s="139"/>
      <c r="C25" s="125" t="str">
        <f t="shared" si="0"/>
        <v/>
      </c>
      <c r="D25" s="141"/>
      <c r="E25" s="281" t="str">
        <f>IF(B25=0,"",IFERROR(VLOOKUP(D25,利润表及费率!N$5:O$25,2,FALSE),""))</f>
        <v/>
      </c>
      <c r="F25" s="142"/>
      <c r="G25" s="127" t="str">
        <f>IFERROR(VLOOKUP(F25,参数表!$H$2:$I$50,2,FALSE),"")</f>
        <v/>
      </c>
      <c r="H25" s="128" t="str">
        <f t="shared" si="4"/>
        <v/>
      </c>
      <c r="I25" s="143"/>
      <c r="J25" s="144"/>
      <c r="K25" s="129" t="str">
        <f t="shared" si="5"/>
        <v/>
      </c>
      <c r="L25" s="129" t="str">
        <f t="shared" si="1"/>
        <v/>
      </c>
      <c r="M25" s="145"/>
      <c r="BA25" s="78"/>
      <c r="BB25" s="132" t="s">
        <v>5304</v>
      </c>
      <c r="BC25" s="133"/>
      <c r="BD25" s="132" t="str">
        <f>IF(OR(B25="",BC25=""),"",COUNTIF(BC$7:BC25,"√"))</f>
        <v/>
      </c>
      <c r="BE25" s="134" t="str">
        <f t="shared" si="2"/>
        <v/>
      </c>
      <c r="BF25" s="135" t="str">
        <f t="shared" si="6"/>
        <v/>
      </c>
      <c r="BG25" s="135" t="str">
        <f t="shared" si="6"/>
        <v/>
      </c>
      <c r="BH25" s="136"/>
      <c r="BI25" s="137"/>
      <c r="BJ25" s="136"/>
      <c r="BK25" s="136"/>
      <c r="BL25" s="136"/>
      <c r="BM25" s="137"/>
      <c r="BO25" s="134" t="str">
        <f>IF(COUNTIF(BO$6:BO24,D25)&gt;0,"",D25)&amp;""</f>
        <v/>
      </c>
      <c r="BP25" s="138">
        <f t="shared" si="7"/>
        <v>0</v>
      </c>
      <c r="BQ25" s="132">
        <f t="shared" si="8"/>
        <v>1</v>
      </c>
      <c r="BR25" s="138">
        <f t="shared" si="9"/>
        <v>0</v>
      </c>
      <c r="BS25" s="132">
        <f t="shared" si="10"/>
        <v>1</v>
      </c>
      <c r="BT25" s="133"/>
      <c r="BU25" s="133"/>
    </row>
    <row r="26" ht="15" customHeight="1" spans="1:74">
      <c r="A26" s="123" t="str">
        <f>IF(B26="","",COUNT(A$6:A25)+1)</f>
        <v/>
      </c>
      <c r="B26" s="124"/>
      <c r="C26" s="125" t="str">
        <f t="shared" si="0"/>
        <v/>
      </c>
      <c r="D26" s="126"/>
      <c r="E26" s="281" t="str">
        <f>IF(B26=0,"",IFERROR(VLOOKUP(D26,利润表及费率!N$5:O$25,2,FALSE),""))</f>
        <v/>
      </c>
      <c r="F26" s="127"/>
      <c r="G26" s="127" t="str">
        <f>IFERROR(VLOOKUP(F26,参数表!$H$2:$I$50,2,FALSE),"")</f>
        <v/>
      </c>
      <c r="H26" s="128" t="str">
        <f t="shared" si="4"/>
        <v/>
      </c>
      <c r="I26" s="129"/>
      <c r="J26" s="130"/>
      <c r="K26" s="129" t="str">
        <f t="shared" si="5"/>
        <v/>
      </c>
      <c r="L26" s="129" t="str">
        <f t="shared" si="1"/>
        <v/>
      </c>
      <c r="M26" s="131"/>
      <c r="BA26" s="78"/>
      <c r="BB26" s="132" t="s">
        <v>5305</v>
      </c>
      <c r="BC26" s="133"/>
      <c r="BD26" s="132" t="str">
        <f>IF(OR(B26="",BC26=""),"",COUNTIF(BC$7:BC26,"√"))</f>
        <v/>
      </c>
      <c r="BE26" s="134" t="str">
        <f t="shared" si="2"/>
        <v/>
      </c>
      <c r="BF26" s="135" t="str">
        <f t="shared" si="6"/>
        <v/>
      </c>
      <c r="BG26" s="135" t="str">
        <f t="shared" si="6"/>
        <v/>
      </c>
      <c r="BH26" s="136"/>
      <c r="BI26" s="137"/>
      <c r="BJ26" s="136"/>
      <c r="BK26" s="136"/>
      <c r="BL26" s="136"/>
      <c r="BM26" s="137"/>
      <c r="BO26" s="134" t="str">
        <f>IF(COUNTIF(BO$6:BO25,D26)&gt;0,"",D26)&amp;""</f>
        <v/>
      </c>
      <c r="BP26" s="138">
        <f t="shared" si="7"/>
        <v>0</v>
      </c>
      <c r="BQ26" s="132">
        <f t="shared" si="8"/>
        <v>1</v>
      </c>
      <c r="BR26" s="138">
        <f t="shared" si="9"/>
        <v>0</v>
      </c>
      <c r="BS26" s="132">
        <f t="shared" si="10"/>
        <v>1</v>
      </c>
      <c r="BT26" s="133"/>
      <c r="BU26" s="133"/>
    </row>
    <row r="27" s="73" customFormat="1" ht="15" customHeight="1" spans="1:74">
      <c r="A27" s="149" t="s">
        <v>5306</v>
      </c>
      <c r="B27" s="149"/>
      <c r="C27" s="150"/>
      <c r="D27" s="149"/>
      <c r="E27" s="149"/>
      <c r="F27" s="151"/>
      <c r="G27" s="151"/>
      <c r="H27" s="151"/>
      <c r="I27" s="152">
        <f>SUM(I7:I26)</f>
        <v>0</v>
      </c>
      <c r="J27" s="153"/>
      <c r="K27" s="152">
        <f>SUM(K7:K26)</f>
        <v>0</v>
      </c>
      <c r="L27" s="152">
        <f>SUM(L7:L26)</f>
        <v>0</v>
      </c>
      <c r="M27" s="151"/>
      <c r="BF27" s="75"/>
      <c r="BG27" s="75"/>
      <c r="BH27" s="165"/>
      <c r="BI27" s="75"/>
      <c r="BJ27" s="165"/>
      <c r="BK27" s="165"/>
      <c r="BL27" s="165"/>
      <c r="BM27" s="75"/>
      <c r="BN27" s="111"/>
      <c r="BO27" s="119"/>
      <c r="BP27" s="77"/>
      <c r="BQ27" s="77"/>
      <c r="BR27" s="77"/>
      <c r="BS27" s="119"/>
      <c r="BT27" s="119"/>
      <c r="BU27" s="119"/>
      <c r="BV27" s="111"/>
    </row>
    <row r="28" customHeight="1" spans="1:74">
      <c r="A28" s="102" t="str">
        <f>参数表!F$6</f>
        <v>产权持有单位填表人：贾广东</v>
      </c>
      <c r="B28" s="154"/>
      <c r="C28" s="154"/>
      <c r="D28" s="154"/>
      <c r="E28" s="154"/>
      <c r="F28" s="154"/>
      <c r="G28" s="154"/>
      <c r="H28" s="154"/>
      <c r="I28" s="154"/>
      <c r="J28" s="104"/>
      <c r="K28" s="103"/>
      <c r="L28" s="156" t="str">
        <f>"评估人员："&amp;封面!$G$38</f>
        <v>评估人员：</v>
      </c>
      <c r="M28" s="103"/>
    </row>
    <row r="29" customHeight="1" spans="1:74">
      <c r="A29" s="102" t="str">
        <f>参数表!F$7</f>
        <v>填表日期：2025年9月20日</v>
      </c>
      <c r="B29" s="154"/>
      <c r="C29" s="154"/>
      <c r="D29" s="154"/>
      <c r="E29" s="154"/>
      <c r="F29" s="154"/>
      <c r="G29" s="154"/>
      <c r="H29" s="154"/>
      <c r="I29" s="154"/>
      <c r="J29" s="104"/>
      <c r="K29" s="103"/>
      <c r="L29" s="103"/>
      <c r="M29" s="103"/>
    </row>
    <row r="30" hidden="1" customHeight="1" outlineLevel="1" spans="1:74">
      <c r="A30" s="157"/>
      <c r="B30" s="154" t="s">
        <v>1673</v>
      </c>
      <c r="C30" s="158"/>
      <c r="D30" s="282" t="str">
        <f>利润表及费率!N5&amp;""</f>
        <v>所得税</v>
      </c>
      <c r="E30" s="158"/>
      <c r="F30" s="158"/>
      <c r="G30" s="158"/>
      <c r="H30" s="158"/>
      <c r="I30" s="159">
        <f>SUMIF($BA7:$BA26,$BA30,I7:I26)</f>
        <v>0</v>
      </c>
      <c r="J30" s="202"/>
      <c r="K30" s="159">
        <f>SUMIF($BA7:$BA26,$BA30,K7:K26)</f>
        <v>0</v>
      </c>
      <c r="L30" s="159">
        <f>SUMIF($BA7:$BA26,$BA30,L7:L26)</f>
        <v>0</v>
      </c>
      <c r="BA30" s="161" t="s">
        <v>1674</v>
      </c>
      <c r="BH30" s="95" t="s">
        <v>1675</v>
      </c>
      <c r="BJ30" s="95" t="s">
        <v>1675</v>
      </c>
      <c r="BK30" s="95" t="s">
        <v>1675</v>
      </c>
      <c r="BL30" s="95" t="s">
        <v>1675</v>
      </c>
    </row>
    <row r="31" hidden="1" customHeight="1" outlineLevel="1" spans="1:74">
      <c r="A31" s="157"/>
      <c r="B31" s="154" t="s">
        <v>1676</v>
      </c>
      <c r="C31" s="158"/>
      <c r="D31" s="282" t="str">
        <f>利润表及费率!N6&amp;""</f>
        <v>增值税</v>
      </c>
      <c r="E31" s="158"/>
      <c r="F31" s="158"/>
      <c r="G31" s="158"/>
      <c r="H31" s="158"/>
      <c r="I31" s="159">
        <f>I27-I30</f>
        <v>0</v>
      </c>
      <c r="J31" s="202"/>
      <c r="K31" s="159">
        <f>K27-K30</f>
        <v>0</v>
      </c>
      <c r="L31" s="159">
        <f>L27-L30</f>
        <v>0</v>
      </c>
      <c r="BA31" s="161" t="s">
        <v>1677</v>
      </c>
      <c r="BH31" s="95" t="s">
        <v>1678</v>
      </c>
      <c r="BJ31" s="95" t="s">
        <v>1678</v>
      </c>
      <c r="BK31" s="95" t="s">
        <v>1678</v>
      </c>
      <c r="BL31" s="95" t="s">
        <v>1678</v>
      </c>
    </row>
    <row r="32" hidden="1" customHeight="1" outlineLevel="1" spans="1:74">
      <c r="A32" s="157"/>
      <c r="B32" s="158"/>
      <c r="C32" s="158"/>
      <c r="D32" s="282" t="str">
        <f>利润表及费率!N7&amp;""</f>
        <v>消费税</v>
      </c>
      <c r="E32" s="158"/>
      <c r="F32" s="158"/>
      <c r="G32" s="158"/>
      <c r="H32" s="158"/>
      <c r="I32" s="158"/>
    </row>
    <row r="33" hidden="1" customHeight="1" outlineLevel="1" spans="1:9">
      <c r="A33" s="157"/>
      <c r="B33" s="158"/>
      <c r="C33" s="158"/>
      <c r="D33" s="282" t="str">
        <f>利润表及费率!N8&amp;""</f>
        <v>城建税</v>
      </c>
      <c r="E33" s="158"/>
      <c r="F33" s="158"/>
      <c r="G33" s="158"/>
      <c r="H33" s="158"/>
      <c r="I33" s="158"/>
    </row>
    <row r="34" hidden="1" customHeight="1" outlineLevel="1" spans="1:9">
      <c r="A34" s="157"/>
      <c r="B34" s="158"/>
      <c r="C34" s="158"/>
      <c r="D34" s="282" t="str">
        <f>利润表及费率!N9&amp;""</f>
        <v>教育费附加</v>
      </c>
      <c r="E34" s="158"/>
      <c r="F34" s="158"/>
      <c r="G34" s="158"/>
      <c r="H34" s="158"/>
      <c r="I34" s="158"/>
    </row>
    <row r="35" hidden="1" customHeight="1" outlineLevel="1" spans="1:9">
      <c r="A35" s="157"/>
      <c r="B35" s="158"/>
      <c r="C35" s="158"/>
      <c r="D35" s="282" t="str">
        <f>利润表及费率!N10&amp;""</f>
        <v>地方教育费附加</v>
      </c>
      <c r="E35" s="158"/>
      <c r="F35" s="158"/>
      <c r="G35" s="158"/>
      <c r="H35" s="158"/>
      <c r="I35" s="158"/>
    </row>
    <row r="36" hidden="1" customHeight="1" outlineLevel="1" spans="1:9">
      <c r="A36" s="157"/>
      <c r="B36" s="158"/>
      <c r="C36" s="158"/>
      <c r="D36" s="282" t="str">
        <f>利润表及费率!N11&amp;""</f>
        <v>印花税</v>
      </c>
      <c r="E36" s="158"/>
      <c r="F36" s="158"/>
      <c r="G36" s="158"/>
      <c r="H36" s="158"/>
      <c r="I36" s="158"/>
    </row>
    <row r="37" hidden="1" customHeight="1" outlineLevel="1" spans="1:9">
      <c r="D37" s="282" t="str">
        <f>利润表及费率!N12&amp;""</f>
        <v>房产税</v>
      </c>
      <c r="F37" s="158"/>
      <c r="G37" s="158"/>
      <c r="H37" s="158"/>
    </row>
    <row r="38" hidden="1" customHeight="1" outlineLevel="1" spans="1:9">
      <c r="D38" s="282" t="str">
        <f>利润表及费率!N13&amp;""</f>
        <v>土地使用税</v>
      </c>
    </row>
    <row r="39" hidden="1" customHeight="1" outlineLevel="1" spans="1:9">
      <c r="D39" s="282" t="str">
        <f>利润表及费率!N14&amp;""</f>
        <v>水利基金</v>
      </c>
    </row>
    <row r="40" hidden="1" customHeight="1" outlineLevel="1" spans="1:9">
      <c r="D40" s="282" t="str">
        <f>利润表及费率!N15&amp;""</f>
        <v>河道费</v>
      </c>
    </row>
    <row r="41" hidden="1" customHeight="1" outlineLevel="1" spans="1:9">
      <c r="D41" s="282" t="str">
        <f>利润表及费率!N16&amp;""</f>
        <v>资源税</v>
      </c>
    </row>
    <row r="42" hidden="1" customHeight="1" outlineLevel="1" spans="1:9">
      <c r="D42" s="282" t="str">
        <f>利润表及费率!N17&amp;""</f>
        <v>营业税</v>
      </c>
    </row>
    <row r="43" hidden="1" customHeight="1" outlineLevel="1" spans="1:9">
      <c r="D43" s="282" t="str">
        <f>利润表及费率!N18&amp;""</f>
        <v>个人所得税</v>
      </c>
    </row>
    <row r="44" hidden="1" customHeight="1" outlineLevel="1" spans="1:9">
      <c r="D44" s="282" t="str">
        <f>利润表及费率!N19&amp;""</f>
        <v>***税</v>
      </c>
    </row>
    <row r="45" customHeight="1" collapsed="1"/>
  </sheetData>
  <sheetProtection autoFilter="0"/>
  <mergeCells count="6">
    <mergeCell ref="A2:M2"/>
    <mergeCell ref="A3:M3"/>
    <mergeCell ref="BT7:BV7"/>
    <mergeCell ref="BT8:BV8"/>
    <mergeCell ref="BU14:BV14"/>
    <mergeCell ref="A27:B27"/>
  </mergeCells>
  <conditionalFormatting sqref="BH7:BH26">
    <cfRule type="expression" dxfId="5" priority="12" stopIfTrue="1">
      <formula>AND($B7&lt;&gt;"",BH7="")</formula>
    </cfRule>
  </conditionalFormatting>
  <conditionalFormatting sqref="BI7:BI26">
    <cfRule type="expression" dxfId="5" priority="9" stopIfTrue="1">
      <formula>AND(BH7="有",BI7="")</formula>
    </cfRule>
  </conditionalFormatting>
  <conditionalFormatting sqref="BF7:BG26">
    <cfRule type="containsText" dxfId="6" priority="1" stopIfTrue="1" operator="between" text="出错">
      <formula>NOT(ISERROR(SEARCH("出错",BF7)))</formula>
    </cfRule>
  </conditionalFormatting>
  <conditionalFormatting sqref="BJ7:BL26">
    <cfRule type="expression" dxfId="5" priority="3" stopIfTrue="1">
      <formula>AND($B7&lt;&gt;"",BJ7="")</formula>
    </cfRule>
  </conditionalFormatting>
  <dataValidations count="5">
    <dataValidation type="list" allowBlank="1" showInputMessage="1" showErrorMessage="1" sqref="D7:D26">
      <formula1>$D$30:$D$44</formula1>
    </dataValidation>
    <dataValidation type="list" allowBlank="1" showInputMessage="1" showErrorMessage="1" sqref="F7:F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L26">
      <formula1>BH$30:BH$31</formula1>
    </dataValidation>
  </dataValidations>
  <hyperlinks>
    <hyperlink ref="A1" location="索引目录!I12" display="返回索引页"/>
    <hyperlink ref="B1" location="流动负债汇总!B12"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5">
    <tabColor rgb="FFFF0000"/>
  </sheetPr>
  <dimension ref="A1:CE40"/>
  <sheetViews>
    <sheetView zoomScale="90" zoomScaleNormal="90" workbookViewId="0">
      <pane xSplit="1" ySplit="6" topLeftCell="B7" activePane="bottomRight" state="frozen"/>
      <selection/>
      <selection pane="topRight"/>
      <selection pane="bottomLeft"/>
      <selection pane="bottomRight" activeCell="E45" sqref="E45"/>
    </sheetView>
  </sheetViews>
  <sheetFormatPr defaultColWidth="9" defaultRowHeight="13.2"/>
  <cols>
    <col min="1" max="1" width="10.7" style="75" customWidth="1"/>
    <col min="2" max="2" width="34.7" style="75" customWidth="1"/>
    <col min="3" max="3" width="20.6" style="75" hidden="1" customWidth="1" outlineLevel="1"/>
    <col min="4" max="4" width="20.6" style="75" customWidth="1" collapsed="1"/>
    <col min="5" max="7" width="20.6" style="75" customWidth="1"/>
    <col min="8" max="52" width="9" style="75" hidden="1" customWidth="1" outlineLevel="1"/>
    <col min="53" max="53" width="10.6" style="227" customWidth="1" collapsed="1"/>
    <col min="54" max="60" width="10.6" style="227" customWidth="1"/>
    <col min="61" max="61" width="1.6" style="227" customWidth="1"/>
    <col min="62"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80" t="s">
        <v>1591</v>
      </c>
      <c r="B1" s="80" t="s">
        <v>1592</v>
      </c>
      <c r="C1" s="81"/>
      <c r="D1" s="81"/>
      <c r="E1" s="81"/>
      <c r="F1" s="81"/>
      <c r="G1" s="81"/>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233" t="s">
        <v>5307</v>
      </c>
      <c r="B2" s="233"/>
      <c r="C2" s="233"/>
      <c r="D2" s="233"/>
      <c r="E2" s="233"/>
      <c r="F2" s="233"/>
      <c r="G2" s="233"/>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5" customHeight="1" spans="1:83">
      <c r="A3" s="238" t="str">
        <f>参数表!F5</f>
        <v>评估基准日：2025年7月31日</v>
      </c>
      <c r="B3" s="238"/>
      <c r="C3" s="238"/>
      <c r="D3" s="238"/>
      <c r="E3" s="238"/>
      <c r="F3" s="238"/>
      <c r="G3" s="238"/>
      <c r="BA3" s="230" t="str">
        <f>参数表!BA3</f>
        <v>是否显示评估值：</v>
      </c>
      <c r="BB3" s="230" t="str">
        <f>参数表!BB3</f>
        <v>是</v>
      </c>
    </row>
    <row r="4" ht="15" customHeight="1" spans="1:83">
      <c r="A4" s="238"/>
      <c r="B4" s="238"/>
      <c r="C4" s="238"/>
      <c r="D4" s="238"/>
      <c r="E4" s="238"/>
      <c r="F4" s="238"/>
      <c r="G4" s="277" t="str">
        <f>"表"&amp;A28</f>
        <v>表5-11</v>
      </c>
      <c r="BA4" s="240" t="s">
        <v>1595</v>
      </c>
      <c r="BB4" s="241"/>
      <c r="BC4" s="241"/>
      <c r="BD4" s="241"/>
      <c r="BE4" s="241"/>
      <c r="BF4" s="241"/>
      <c r="BG4" s="241"/>
      <c r="BH4" s="241"/>
      <c r="BI4" s="242"/>
      <c r="BJ4" s="241" t="s">
        <v>1545</v>
      </c>
      <c r="BK4" s="241"/>
      <c r="BL4" s="241"/>
      <c r="BM4" s="241"/>
      <c r="BN4" s="241"/>
      <c r="BO4" s="241"/>
      <c r="BP4" s="241"/>
      <c r="BQ4" s="241"/>
      <c r="BS4" s="228" t="str">
        <f>LEFT(A2,LEN(A2)-5)</f>
        <v>其他应付款</v>
      </c>
    </row>
    <row r="5" ht="15" customHeight="1" spans="1:83">
      <c r="A5" s="243" t="str">
        <f>参数表!F3</f>
        <v>产权持有单位:中煤第五建设有限公司</v>
      </c>
      <c r="G5" s="244" t="s">
        <v>236</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其他应付款为：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3837</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255" t="str">
        <f>A$28&amp;"-"&amp;SUBTOTAL(103,B$7:B7)</f>
        <v>5-11-1</v>
      </c>
      <c r="B7" s="278" t="s">
        <v>5308</v>
      </c>
      <c r="C7" s="143">
        <f>'其他应付-利息'!K27</f>
        <v>0</v>
      </c>
      <c r="D7" s="143">
        <f>'其他应付-利息'!M27</f>
        <v>0</v>
      </c>
      <c r="E7" s="143">
        <f>'其他应付-利息'!N27</f>
        <v>0</v>
      </c>
      <c r="F7" s="143">
        <f>E7-D7</f>
        <v>0</v>
      </c>
      <c r="G7" s="143" t="str">
        <f t="shared" ref="G7:G28" si="0">IF(D7=0,"",F7/D7*100)</f>
        <v/>
      </c>
      <c r="BA7" s="256">
        <f>BB7</f>
        <v>0</v>
      </c>
      <c r="BB7" s="256">
        <f>BD7+BC7</f>
        <v>0</v>
      </c>
      <c r="BC7" s="256">
        <f>0</f>
        <v>0</v>
      </c>
      <c r="BD7" s="256">
        <f>D7</f>
        <v>0</v>
      </c>
      <c r="BE7" s="256">
        <f>BF7</f>
        <v>0</v>
      </c>
      <c r="BF7" s="256">
        <f>BH7+BG7</f>
        <v>0</v>
      </c>
      <c r="BG7" s="256">
        <f>0</f>
        <v>0</v>
      </c>
      <c r="BH7" s="256">
        <f>E7</f>
        <v>0</v>
      </c>
      <c r="BI7" s="242"/>
      <c r="BJ7" s="256">
        <f>BK7</f>
        <v>0</v>
      </c>
      <c r="BK7" s="256">
        <f>BM7+BL7</f>
        <v>0</v>
      </c>
      <c r="BL7" s="256">
        <f>0</f>
        <v>0</v>
      </c>
      <c r="BM7" s="256">
        <f>'其他应付-利息'!M30</f>
        <v>0</v>
      </c>
      <c r="BN7" s="256">
        <f>BO7</f>
        <v>0</v>
      </c>
      <c r="BO7" s="256">
        <f>BQ7+BP7</f>
        <v>0</v>
      </c>
      <c r="BP7" s="256">
        <f>0</f>
        <v>0</v>
      </c>
      <c r="BQ7" s="256">
        <f>'其他应付-利息'!N30</f>
        <v>0</v>
      </c>
      <c r="BS7" s="228" t="str">
        <f t="shared" ref="BS7:BS9" si="1">IF(F7&gt;0,"增值",IF(F7=0,"无增减值","减值"))</f>
        <v>无增减值</v>
      </c>
      <c r="BT7" s="257">
        <f t="shared" ref="BT7:BT9" si="2">ABS(F7)</f>
        <v>0</v>
      </c>
      <c r="BU7" s="257">
        <f t="shared" ref="BU7:BU9" si="3">IFERROR(ABS(G7),0)</f>
        <v>0</v>
      </c>
      <c r="BV7" s="258">
        <f t="shared" ref="BV7:BV9" si="4">IFERROR(FIND("-",B7),0)</f>
        <v>5</v>
      </c>
      <c r="BW7" s="259" t="str">
        <f>IF(SUM(BA7:BH7)=0,"",RIGHT(B7,LEN(B7)-BV7))</f>
        <v/>
      </c>
      <c r="BX7" s="158" t="str">
        <f>IF(BY7="","",IF(BZ7&gt;1,"、",IF(BZ7=1,"和","")))</f>
        <v/>
      </c>
      <c r="BY7" s="158" t="str">
        <f>IF(BW7="","",1)</f>
        <v/>
      </c>
      <c r="BZ7" s="228">
        <f>COUNT(BY8:BY$27)</f>
        <v>0</v>
      </c>
    </row>
    <row r="8" ht="15" customHeight="1" spans="1:83">
      <c r="A8" s="255" t="str">
        <f>A$28&amp;"-"&amp;SUBTOTAL(103,B$7:B8)</f>
        <v>5-11-2</v>
      </c>
      <c r="B8" s="278" t="s">
        <v>5309</v>
      </c>
      <c r="C8" s="143">
        <f>'其他应付-股利'!H27</f>
        <v>0</v>
      </c>
      <c r="D8" s="143">
        <f>'其他应付-股利'!J27</f>
        <v>0</v>
      </c>
      <c r="E8" s="143">
        <f>'其他应付-股利'!K27</f>
        <v>0</v>
      </c>
      <c r="F8" s="143">
        <f>E8-D8</f>
        <v>0</v>
      </c>
      <c r="G8" s="143" t="str">
        <f t="shared" si="0"/>
        <v/>
      </c>
      <c r="BA8" s="256">
        <f t="shared" ref="BA8:BA9" si="5">BB8</f>
        <v>0</v>
      </c>
      <c r="BB8" s="256">
        <f t="shared" ref="BB8:BB9" si="6">BD8+BC8</f>
        <v>0</v>
      </c>
      <c r="BC8" s="256">
        <f>0</f>
        <v>0</v>
      </c>
      <c r="BD8" s="256">
        <f t="shared" ref="BD8:BD9" si="7">D8</f>
        <v>0</v>
      </c>
      <c r="BE8" s="256">
        <f t="shared" ref="BE8:BE9" si="8">BF8</f>
        <v>0</v>
      </c>
      <c r="BF8" s="256">
        <f t="shared" ref="BF8:BF9" si="9">BH8+BG8</f>
        <v>0</v>
      </c>
      <c r="BG8" s="256">
        <f>0</f>
        <v>0</v>
      </c>
      <c r="BH8" s="256">
        <f t="shared" ref="BH8:BH9" si="10">E8</f>
        <v>0</v>
      </c>
      <c r="BI8" s="242"/>
      <c r="BJ8" s="256">
        <f t="shared" ref="BJ8:BJ9" si="11">BK8</f>
        <v>0</v>
      </c>
      <c r="BK8" s="256">
        <f t="shared" ref="BK8:BK9" si="12">BM8+BL8</f>
        <v>0</v>
      </c>
      <c r="BL8" s="256">
        <f>0</f>
        <v>0</v>
      </c>
      <c r="BM8" s="256">
        <f>'其他应付-股利'!J30</f>
        <v>0</v>
      </c>
      <c r="BN8" s="256">
        <f t="shared" ref="BN8:BN9" si="13">BO8</f>
        <v>0</v>
      </c>
      <c r="BO8" s="256">
        <f t="shared" ref="BO8:BO9" si="14">BQ8+BP8</f>
        <v>0</v>
      </c>
      <c r="BP8" s="256">
        <f>0</f>
        <v>0</v>
      </c>
      <c r="BQ8" s="256">
        <f>'其他应付-股利'!K30</f>
        <v>0</v>
      </c>
      <c r="BS8" s="228" t="str">
        <f t="shared" si="1"/>
        <v>无增减值</v>
      </c>
      <c r="BT8" s="257">
        <f t="shared" si="2"/>
        <v>0</v>
      </c>
      <c r="BU8" s="257">
        <f t="shared" si="3"/>
        <v>0</v>
      </c>
      <c r="BV8" s="258">
        <f t="shared" si="4"/>
        <v>5</v>
      </c>
      <c r="BW8" s="259" t="str">
        <f t="shared" ref="BW8:BW9" si="15">IF(SUM(BA8:BH8)=0,"",RIGHT(B8,LEN(B8)-BV8))</f>
        <v/>
      </c>
      <c r="BX8" s="158" t="str">
        <f t="shared" ref="BX8:BX9" si="16">IF(BY8="","",IF(BZ8&gt;1,"、",IF(BZ8=1,"和","")))</f>
        <v/>
      </c>
      <c r="BY8" s="158" t="str">
        <f t="shared" ref="BY8:BY9" si="17">IF(BW8="","",1)</f>
        <v/>
      </c>
      <c r="BZ8" s="228">
        <f>COUNT(BY9:BY$27)</f>
        <v>0</v>
      </c>
    </row>
    <row r="9" ht="15" customHeight="1" spans="1:83">
      <c r="A9" s="255" t="str">
        <f>A$28&amp;"-"&amp;SUBTOTAL(103,B$7:B9)</f>
        <v>5-11-3</v>
      </c>
      <c r="B9" s="278" t="s">
        <v>5310</v>
      </c>
      <c r="C9" s="143">
        <f>'其他应付-其他'!H27</f>
        <v>0</v>
      </c>
      <c r="D9" s="143">
        <f>'其他应付-其他'!J27</f>
        <v>0</v>
      </c>
      <c r="E9" s="143">
        <f>'其他应付-其他'!K27</f>
        <v>0</v>
      </c>
      <c r="F9" s="143">
        <f>E9-D9</f>
        <v>0</v>
      </c>
      <c r="G9" s="143" t="str">
        <f t="shared" si="0"/>
        <v/>
      </c>
      <c r="BA9" s="256">
        <f t="shared" si="5"/>
        <v>0</v>
      </c>
      <c r="BB9" s="256">
        <f t="shared" si="6"/>
        <v>0</v>
      </c>
      <c r="BC9" s="256">
        <f>0</f>
        <v>0</v>
      </c>
      <c r="BD9" s="256">
        <f t="shared" si="7"/>
        <v>0</v>
      </c>
      <c r="BE9" s="256">
        <f t="shared" si="8"/>
        <v>0</v>
      </c>
      <c r="BF9" s="256">
        <f t="shared" si="9"/>
        <v>0</v>
      </c>
      <c r="BG9" s="256">
        <f>0</f>
        <v>0</v>
      </c>
      <c r="BH9" s="256">
        <f t="shared" si="10"/>
        <v>0</v>
      </c>
      <c r="BI9" s="242"/>
      <c r="BJ9" s="256">
        <f t="shared" si="11"/>
        <v>0</v>
      </c>
      <c r="BK9" s="256">
        <f t="shared" si="12"/>
        <v>0</v>
      </c>
      <c r="BL9" s="256">
        <f>0</f>
        <v>0</v>
      </c>
      <c r="BM9" s="256">
        <f>'其他应付-其他'!J30</f>
        <v>0</v>
      </c>
      <c r="BN9" s="256">
        <f t="shared" si="13"/>
        <v>0</v>
      </c>
      <c r="BO9" s="256">
        <f t="shared" si="14"/>
        <v>0</v>
      </c>
      <c r="BP9" s="256">
        <f>0</f>
        <v>0</v>
      </c>
      <c r="BQ9" s="256">
        <f>'其他应付-其他'!K30</f>
        <v>0</v>
      </c>
      <c r="BS9" s="228" t="str">
        <f t="shared" si="1"/>
        <v>无增减值</v>
      </c>
      <c r="BT9" s="257">
        <f t="shared" si="2"/>
        <v>0</v>
      </c>
      <c r="BU9" s="257">
        <f t="shared" si="3"/>
        <v>0</v>
      </c>
      <c r="BV9" s="258">
        <f t="shared" si="4"/>
        <v>5</v>
      </c>
      <c r="BW9" s="259" t="str">
        <f t="shared" si="15"/>
        <v/>
      </c>
      <c r="BX9" s="158" t="str">
        <f t="shared" si="16"/>
        <v/>
      </c>
      <c r="BY9" s="158" t="str">
        <f t="shared" si="17"/>
        <v/>
      </c>
      <c r="BZ9" s="228">
        <f>COUNT(BY10:BY$27)</f>
        <v>0</v>
      </c>
    </row>
    <row r="10" ht="15" customHeight="1" spans="1:83">
      <c r="A10" s="260"/>
      <c r="B10" s="145"/>
      <c r="C10" s="143"/>
      <c r="D10" s="143"/>
      <c r="E10" s="143"/>
      <c r="F10" s="143"/>
      <c r="G10" s="143"/>
      <c r="BA10" s="256"/>
      <c r="BB10" s="256"/>
      <c r="BC10" s="256"/>
      <c r="BD10" s="256"/>
      <c r="BE10" s="256"/>
      <c r="BF10" s="256"/>
      <c r="BG10" s="256"/>
      <c r="BH10" s="256"/>
      <c r="BI10" s="242"/>
      <c r="BJ10" s="256"/>
      <c r="BK10" s="256"/>
      <c r="BL10" s="256"/>
      <c r="BM10" s="256"/>
      <c r="BN10" s="256"/>
      <c r="BO10" s="256"/>
      <c r="BP10" s="256"/>
      <c r="BQ10" s="256"/>
      <c r="BS10" s="228"/>
      <c r="BT10" s="257"/>
      <c r="BU10" s="257"/>
      <c r="BV10" s="258"/>
      <c r="BW10" s="259"/>
      <c r="BY10" s="158"/>
      <c r="BZ10" s="228"/>
    </row>
    <row r="11" ht="15" customHeight="1" spans="1:83">
      <c r="A11" s="260"/>
      <c r="B11" s="145"/>
      <c r="C11" s="143"/>
      <c r="D11" s="143"/>
      <c r="E11" s="143"/>
      <c r="F11" s="143"/>
      <c r="G11" s="143"/>
      <c r="BA11" s="256"/>
      <c r="BB11" s="256"/>
      <c r="BC11" s="256"/>
      <c r="BD11" s="256"/>
      <c r="BE11" s="256"/>
      <c r="BF11" s="256"/>
      <c r="BG11" s="256"/>
      <c r="BH11" s="256"/>
      <c r="BI11" s="242"/>
      <c r="BJ11" s="256"/>
      <c r="BK11" s="256"/>
      <c r="BL11" s="256"/>
      <c r="BM11" s="256"/>
      <c r="BN11" s="256"/>
      <c r="BO11" s="256"/>
      <c r="BP11" s="256"/>
      <c r="BQ11" s="256"/>
      <c r="BS11" s="228"/>
      <c r="BT11" s="257"/>
      <c r="BU11" s="257"/>
      <c r="BV11" s="258"/>
      <c r="BW11" s="259"/>
      <c r="BY11" s="158"/>
      <c r="BZ11" s="228"/>
    </row>
    <row r="12" ht="15" customHeight="1" spans="1:83">
      <c r="A12" s="260"/>
      <c r="B12" s="145"/>
      <c r="C12" s="143"/>
      <c r="D12" s="143"/>
      <c r="E12" s="143"/>
      <c r="F12" s="143"/>
      <c r="G12" s="143"/>
      <c r="BA12" s="256"/>
      <c r="BB12" s="256"/>
      <c r="BC12" s="256"/>
      <c r="BD12" s="256"/>
      <c r="BE12" s="256"/>
      <c r="BF12" s="256"/>
      <c r="BG12" s="256"/>
      <c r="BH12" s="256"/>
      <c r="BI12" s="242"/>
      <c r="BJ12" s="256"/>
      <c r="BK12" s="256"/>
      <c r="BL12" s="256"/>
      <c r="BM12" s="256"/>
      <c r="BN12" s="256"/>
      <c r="BO12" s="256"/>
      <c r="BP12" s="256"/>
      <c r="BQ12" s="256"/>
      <c r="BS12" s="228"/>
      <c r="BT12" s="257"/>
      <c r="BU12" s="257"/>
      <c r="BV12" s="258"/>
      <c r="BW12" s="259"/>
      <c r="BY12" s="158"/>
      <c r="BZ12" s="228"/>
    </row>
    <row r="13" ht="15" customHeight="1" spans="1:83">
      <c r="A13" s="260"/>
      <c r="B13" s="145"/>
      <c r="C13" s="143"/>
      <c r="D13" s="143"/>
      <c r="E13" s="143"/>
      <c r="F13" s="143"/>
      <c r="G13" s="143"/>
      <c r="BA13" s="256"/>
      <c r="BB13" s="256"/>
      <c r="BC13" s="256"/>
      <c r="BD13" s="256"/>
      <c r="BE13" s="256"/>
      <c r="BF13" s="256"/>
      <c r="BG13" s="256"/>
      <c r="BH13" s="256"/>
      <c r="BI13" s="242"/>
      <c r="BJ13" s="256"/>
      <c r="BK13" s="256"/>
      <c r="BL13" s="256"/>
      <c r="BM13" s="256"/>
      <c r="BN13" s="256"/>
      <c r="BO13" s="256"/>
      <c r="BP13" s="256"/>
      <c r="BQ13" s="256"/>
      <c r="BS13" s="228"/>
      <c r="BT13" s="257"/>
      <c r="BU13" s="257"/>
      <c r="BV13" s="258"/>
      <c r="BW13" s="259"/>
      <c r="BY13" s="158"/>
      <c r="BZ13" s="228"/>
    </row>
    <row r="14" ht="15" customHeight="1" spans="1:83">
      <c r="A14" s="260"/>
      <c r="B14" s="145"/>
      <c r="C14" s="143"/>
      <c r="D14" s="143"/>
      <c r="E14" s="143"/>
      <c r="F14" s="143"/>
      <c r="G14" s="143"/>
      <c r="BA14" s="256"/>
      <c r="BB14" s="256"/>
      <c r="BC14" s="256"/>
      <c r="BD14" s="256"/>
      <c r="BE14" s="256"/>
      <c r="BF14" s="256"/>
      <c r="BG14" s="256"/>
      <c r="BH14" s="256"/>
      <c r="BI14" s="242"/>
      <c r="BJ14" s="256"/>
      <c r="BK14" s="256"/>
      <c r="BL14" s="256"/>
      <c r="BM14" s="256"/>
      <c r="BN14" s="256"/>
      <c r="BO14" s="256"/>
      <c r="BP14" s="256"/>
      <c r="BQ14" s="256"/>
      <c r="BS14" s="228"/>
      <c r="BT14" s="257"/>
      <c r="BU14" s="257"/>
      <c r="BV14" s="258"/>
      <c r="BW14" s="259"/>
      <c r="BY14" s="158"/>
      <c r="BZ14" s="228"/>
    </row>
    <row r="15" ht="15" customHeight="1" spans="1:83">
      <c r="A15" s="260"/>
      <c r="B15" s="145"/>
      <c r="C15" s="143"/>
      <c r="D15" s="143"/>
      <c r="E15" s="143"/>
      <c r="F15" s="143"/>
      <c r="G15" s="143"/>
      <c r="BA15" s="256"/>
      <c r="BB15" s="256"/>
      <c r="BC15" s="256"/>
      <c r="BD15" s="256"/>
      <c r="BE15" s="256"/>
      <c r="BF15" s="256"/>
      <c r="BG15" s="256"/>
      <c r="BH15" s="256"/>
      <c r="BI15" s="242"/>
      <c r="BJ15" s="256"/>
      <c r="BK15" s="256"/>
      <c r="BL15" s="256"/>
      <c r="BM15" s="256"/>
      <c r="BN15" s="256"/>
      <c r="BO15" s="256"/>
      <c r="BP15" s="256"/>
      <c r="BQ15" s="256"/>
      <c r="BS15" s="228"/>
      <c r="BT15" s="257"/>
      <c r="BU15" s="257"/>
      <c r="BV15" s="258"/>
      <c r="BW15" s="259"/>
      <c r="BY15" s="158"/>
      <c r="BZ15" s="228"/>
    </row>
    <row r="16" ht="15" customHeight="1" spans="1:83">
      <c r="A16" s="260"/>
      <c r="B16" s="145"/>
      <c r="C16" s="143"/>
      <c r="D16" s="143"/>
      <c r="E16" s="143"/>
      <c r="F16" s="143"/>
      <c r="G16" s="143"/>
      <c r="BA16" s="256"/>
      <c r="BB16" s="256"/>
      <c r="BC16" s="256"/>
      <c r="BD16" s="256"/>
      <c r="BE16" s="256"/>
      <c r="BF16" s="256"/>
      <c r="BG16" s="256"/>
      <c r="BH16" s="256"/>
      <c r="BI16" s="242"/>
      <c r="BJ16" s="256"/>
      <c r="BK16" s="256"/>
      <c r="BL16" s="256"/>
      <c r="BM16" s="256"/>
      <c r="BN16" s="256"/>
      <c r="BO16" s="256"/>
      <c r="BP16" s="256"/>
      <c r="BQ16" s="256"/>
      <c r="BS16" s="228"/>
      <c r="BT16" s="257"/>
      <c r="BU16" s="257"/>
      <c r="BV16" s="258"/>
      <c r="BW16" s="259"/>
      <c r="BY16" s="158"/>
      <c r="BZ16" s="228"/>
    </row>
    <row r="17" ht="15" customHeight="1" spans="1:83">
      <c r="A17" s="260"/>
      <c r="B17" s="145"/>
      <c r="C17" s="143"/>
      <c r="D17" s="143"/>
      <c r="E17" s="143"/>
      <c r="F17" s="143"/>
      <c r="G17" s="143"/>
      <c r="BA17" s="256"/>
      <c r="BB17" s="256"/>
      <c r="BC17" s="256"/>
      <c r="BD17" s="256"/>
      <c r="BE17" s="256"/>
      <c r="BF17" s="256"/>
      <c r="BG17" s="256"/>
      <c r="BH17" s="256"/>
      <c r="BI17" s="242"/>
      <c r="BJ17" s="256"/>
      <c r="BK17" s="256"/>
      <c r="BL17" s="256"/>
      <c r="BM17" s="256"/>
      <c r="BN17" s="256"/>
      <c r="BO17" s="256"/>
      <c r="BP17" s="256"/>
      <c r="BQ17" s="256"/>
      <c r="BS17" s="228"/>
      <c r="BT17" s="257"/>
      <c r="BU17" s="257"/>
      <c r="BV17" s="258"/>
      <c r="BW17" s="259"/>
      <c r="BY17" s="158"/>
      <c r="BZ17" s="228"/>
    </row>
    <row r="18" ht="15" customHeight="1" spans="1:83">
      <c r="A18" s="260"/>
      <c r="B18" s="279"/>
      <c r="C18" s="143"/>
      <c r="D18" s="143"/>
      <c r="E18" s="143"/>
      <c r="F18" s="143"/>
      <c r="G18" s="143"/>
      <c r="BA18" s="256"/>
      <c r="BB18" s="256"/>
      <c r="BC18" s="256"/>
      <c r="BD18" s="256"/>
      <c r="BE18" s="256"/>
      <c r="BF18" s="256"/>
      <c r="BG18" s="256"/>
      <c r="BH18" s="256"/>
      <c r="BI18" s="242"/>
      <c r="BJ18" s="256"/>
      <c r="BK18" s="256"/>
      <c r="BL18" s="256"/>
      <c r="BM18" s="256"/>
      <c r="BN18" s="256"/>
      <c r="BO18" s="256"/>
      <c r="BP18" s="256"/>
      <c r="BQ18" s="256"/>
      <c r="BS18" s="228"/>
      <c r="BT18" s="257"/>
      <c r="BU18" s="257"/>
      <c r="BV18" s="258"/>
      <c r="BW18" s="259"/>
      <c r="BY18" s="158"/>
      <c r="BZ18" s="228"/>
    </row>
    <row r="19" ht="15" customHeight="1" spans="1:83">
      <c r="A19" s="141"/>
      <c r="B19" s="145"/>
      <c r="C19" s="143"/>
      <c r="D19" s="143"/>
      <c r="E19" s="143"/>
      <c r="F19" s="143"/>
      <c r="G19" s="143" t="str">
        <f t="shared" si="0"/>
        <v/>
      </c>
      <c r="BA19" s="256"/>
      <c r="BB19" s="256"/>
      <c r="BC19" s="256"/>
      <c r="BD19" s="256"/>
      <c r="BE19" s="256"/>
      <c r="BF19" s="256"/>
      <c r="BG19" s="256"/>
      <c r="BH19" s="256"/>
      <c r="BI19" s="242"/>
      <c r="BJ19" s="256"/>
      <c r="BK19" s="256"/>
      <c r="BL19" s="256"/>
      <c r="BM19" s="256"/>
      <c r="BN19" s="256"/>
      <c r="BO19" s="256"/>
      <c r="BP19" s="256"/>
      <c r="BQ19" s="256"/>
      <c r="BS19" s="228"/>
      <c r="BT19" s="257"/>
      <c r="BU19" s="257"/>
      <c r="BV19" s="258"/>
      <c r="BW19" s="259"/>
      <c r="BY19" s="158"/>
      <c r="BZ19" s="228"/>
    </row>
    <row r="20" ht="15" customHeight="1" spans="1:83">
      <c r="A20" s="141"/>
      <c r="B20" s="145"/>
      <c r="C20" s="143"/>
      <c r="D20" s="143"/>
      <c r="E20" s="143"/>
      <c r="F20" s="143"/>
      <c r="G20" s="143" t="str">
        <f t="shared" si="0"/>
        <v/>
      </c>
      <c r="BA20" s="256"/>
      <c r="BB20" s="256"/>
      <c r="BC20" s="256"/>
      <c r="BD20" s="256"/>
      <c r="BE20" s="256"/>
      <c r="BF20" s="256"/>
      <c r="BG20" s="256"/>
      <c r="BH20" s="256"/>
      <c r="BI20" s="242"/>
      <c r="BJ20" s="256"/>
      <c r="BK20" s="256"/>
      <c r="BL20" s="256"/>
      <c r="BM20" s="256"/>
      <c r="BN20" s="256"/>
      <c r="BO20" s="256"/>
      <c r="BP20" s="256"/>
      <c r="BQ20" s="256"/>
      <c r="BS20" s="228"/>
      <c r="BT20" s="257"/>
      <c r="BU20" s="257"/>
      <c r="BV20" s="258"/>
      <c r="BW20" s="259"/>
      <c r="BY20" s="158"/>
      <c r="BZ20" s="228"/>
    </row>
    <row r="21" ht="15" customHeight="1" spans="1:83">
      <c r="A21" s="141"/>
      <c r="B21" s="145"/>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ht="15" customHeight="1" spans="1:83">
      <c r="A22" s="141"/>
      <c r="B22" s="145"/>
      <c r="C22" s="143"/>
      <c r="D22" s="143"/>
      <c r="E22" s="143"/>
      <c r="F22" s="143"/>
      <c r="G22" s="143" t="str">
        <f t="shared" si="0"/>
        <v/>
      </c>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ht="15" customHeight="1" spans="1:83">
      <c r="A23" s="141"/>
      <c r="B23" s="145"/>
      <c r="C23" s="143"/>
      <c r="D23" s="143"/>
      <c r="E23" s="143"/>
      <c r="F23" s="143"/>
      <c r="G23" s="143" t="str">
        <f t="shared" si="0"/>
        <v/>
      </c>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ht="15" customHeight="1" spans="1:83">
      <c r="A24" s="141"/>
      <c r="B24" s="145"/>
      <c r="C24" s="143"/>
      <c r="D24" s="143"/>
      <c r="E24" s="143"/>
      <c r="F24" s="143"/>
      <c r="G24" s="143" t="str">
        <f t="shared" si="0"/>
        <v/>
      </c>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ht="15" customHeight="1" spans="1:83">
      <c r="A25" s="141"/>
      <c r="B25" s="145"/>
      <c r="C25" s="143"/>
      <c r="D25" s="143"/>
      <c r="E25" s="143"/>
      <c r="F25" s="143"/>
      <c r="G25" s="143" t="str">
        <f t="shared" si="0"/>
        <v/>
      </c>
      <c r="BA25" s="256"/>
      <c r="BB25" s="256"/>
      <c r="BC25" s="256"/>
      <c r="BD25" s="256"/>
      <c r="BE25" s="256"/>
      <c r="BF25" s="256"/>
      <c r="BG25" s="256"/>
      <c r="BH25" s="256"/>
      <c r="BI25" s="242"/>
      <c r="BJ25" s="256"/>
      <c r="BK25" s="256"/>
      <c r="BL25" s="256"/>
      <c r="BM25" s="256"/>
      <c r="BN25" s="256"/>
      <c r="BO25" s="256"/>
      <c r="BP25" s="256"/>
      <c r="BQ25" s="256"/>
      <c r="BS25" s="228"/>
      <c r="BT25" s="257"/>
      <c r="BU25" s="257"/>
      <c r="BV25" s="258"/>
      <c r="BW25" s="259"/>
      <c r="BY25" s="158"/>
      <c r="BZ25" s="228"/>
    </row>
    <row r="26" ht="15" customHeight="1" spans="1:83">
      <c r="A26" s="260"/>
      <c r="B26" s="261"/>
      <c r="C26" s="143"/>
      <c r="D26" s="143"/>
      <c r="E26" s="143"/>
      <c r="F26" s="143"/>
      <c r="G26" s="143" t="str">
        <f t="shared" si="0"/>
        <v/>
      </c>
      <c r="BA26" s="256"/>
      <c r="BB26" s="256"/>
      <c r="BC26" s="256"/>
      <c r="BD26" s="256"/>
      <c r="BE26" s="256"/>
      <c r="BF26" s="256"/>
      <c r="BG26" s="256"/>
      <c r="BH26" s="256"/>
      <c r="BI26" s="242"/>
      <c r="BJ26" s="256"/>
      <c r="BK26" s="256"/>
      <c r="BL26" s="256"/>
      <c r="BM26" s="256"/>
      <c r="BN26" s="256"/>
      <c r="BO26" s="256"/>
      <c r="BP26" s="256"/>
      <c r="BQ26" s="256"/>
      <c r="BS26" s="228"/>
      <c r="BT26" s="257"/>
      <c r="BU26" s="257"/>
      <c r="BV26" s="258"/>
      <c r="BW26" s="259"/>
      <c r="BY26" s="158"/>
      <c r="BZ26" s="228"/>
    </row>
    <row r="27" ht="15" customHeight="1" spans="1:83">
      <c r="A27" s="260"/>
      <c r="B27" s="261"/>
      <c r="C27" s="143"/>
      <c r="D27" s="143"/>
      <c r="E27" s="143"/>
      <c r="F27" s="143"/>
      <c r="G27" s="143" t="str">
        <f t="shared" si="0"/>
        <v/>
      </c>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280" t="str">
        <f>流动负总!A17</f>
        <v>5-11</v>
      </c>
      <c r="B28" s="262" t="s">
        <v>5311</v>
      </c>
      <c r="C28" s="264">
        <f>SUM(C7:C27)</f>
        <v>0</v>
      </c>
      <c r="D28" s="264">
        <f>SUM(D7:D27)</f>
        <v>0</v>
      </c>
      <c r="E28" s="264">
        <f>SUM(E7:E27)</f>
        <v>0</v>
      </c>
      <c r="F28" s="264">
        <f>SUM(F7:F27)</f>
        <v>0</v>
      </c>
      <c r="G28" s="265" t="str">
        <f t="shared" si="0"/>
        <v/>
      </c>
      <c r="BA28" s="266">
        <f t="shared" ref="BA28:BH28" si="18">SUM(BA7:BA27)</f>
        <v>0</v>
      </c>
      <c r="BB28" s="266">
        <f t="shared" si="18"/>
        <v>0</v>
      </c>
      <c r="BC28" s="266">
        <f t="shared" si="18"/>
        <v>0</v>
      </c>
      <c r="BD28" s="266">
        <f t="shared" si="18"/>
        <v>0</v>
      </c>
      <c r="BE28" s="266">
        <f t="shared" si="18"/>
        <v>0</v>
      </c>
      <c r="BF28" s="266">
        <f t="shared" si="18"/>
        <v>0</v>
      </c>
      <c r="BG28" s="266">
        <f t="shared" si="18"/>
        <v>0</v>
      </c>
      <c r="BH28" s="266">
        <f t="shared" si="18"/>
        <v>0</v>
      </c>
      <c r="BI28" s="267"/>
      <c r="BJ28" s="266">
        <f t="shared" ref="BJ28:BQ28" si="19">SUM(BJ7:BJ27)</f>
        <v>0</v>
      </c>
      <c r="BK28" s="266">
        <f t="shared" si="19"/>
        <v>0</v>
      </c>
      <c r="BL28" s="266">
        <f t="shared" si="19"/>
        <v>0</v>
      </c>
      <c r="BM28" s="266">
        <f t="shared" si="19"/>
        <v>0</v>
      </c>
      <c r="BN28" s="266">
        <f t="shared" si="19"/>
        <v>0</v>
      </c>
      <c r="BO28" s="266">
        <f t="shared" si="19"/>
        <v>0</v>
      </c>
      <c r="BP28" s="266">
        <f t="shared" si="19"/>
        <v>0</v>
      </c>
      <c r="BQ28" s="266">
        <f t="shared" si="19"/>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ht="15" customHeight="1" spans="1:83">
      <c r="A29" s="75" t="str">
        <f>参数表!F$6</f>
        <v>产权持有单位填表人：贾广东</v>
      </c>
      <c r="B29" s="158"/>
      <c r="C29" s="158"/>
      <c r="D29" s="158"/>
      <c r="E29" s="272" t="str">
        <f>"评估人员："&amp;封面!$G$38</f>
        <v>评估人员：</v>
      </c>
      <c r="F29" s="158"/>
      <c r="G29" s="244"/>
    </row>
    <row r="30" ht="15" customHeight="1" spans="1:83">
      <c r="A30" s="75" t="str">
        <f>参数表!F$7</f>
        <v>填表日期：2025年9月20日</v>
      </c>
      <c r="B30" s="158"/>
      <c r="C30" s="158"/>
      <c r="D30" s="158"/>
      <c r="E30" s="158"/>
      <c r="F30" s="158"/>
    </row>
    <row r="31" ht="15.75" customHeight="1" spans="1:83">
      <c r="A31" s="158"/>
      <c r="B31" s="158"/>
      <c r="C31" s="158"/>
      <c r="D31" s="158"/>
      <c r="E31" s="158"/>
      <c r="F31" s="158"/>
    </row>
    <row r="32" ht="15.75" customHeight="1" spans="1:83">
      <c r="A32" s="158"/>
      <c r="B32" s="158"/>
      <c r="C32" s="158"/>
      <c r="D32" s="158"/>
      <c r="E32" s="158"/>
      <c r="F32" s="158"/>
    </row>
    <row r="33" ht="15.75" customHeight="1" spans="1:6">
      <c r="A33" s="158"/>
      <c r="B33" s="158"/>
      <c r="C33" s="158"/>
      <c r="D33" s="158"/>
      <c r="E33" s="158"/>
      <c r="F33" s="158"/>
    </row>
    <row r="34" ht="15.75" customHeight="1" spans="1:6">
      <c r="A34" s="158"/>
      <c r="B34" s="158"/>
      <c r="C34" s="158"/>
      <c r="D34" s="158"/>
      <c r="E34" s="158"/>
      <c r="F34" s="158"/>
    </row>
    <row r="35" ht="15.75" customHeight="1" spans="1:6">
      <c r="A35" s="158"/>
      <c r="B35" s="158"/>
      <c r="C35" s="158"/>
      <c r="D35" s="158"/>
      <c r="E35" s="158"/>
      <c r="F35" s="158"/>
    </row>
    <row r="36" ht="15.75" customHeight="1" spans="1:6">
      <c r="A36" s="158"/>
      <c r="B36" s="158"/>
      <c r="C36" s="158"/>
      <c r="D36" s="158"/>
      <c r="E36" s="158"/>
      <c r="F36" s="158"/>
    </row>
    <row r="37" ht="15.75" customHeight="1" spans="1:6">
      <c r="A37" s="158"/>
      <c r="B37" s="158"/>
      <c r="C37" s="158"/>
      <c r="D37" s="158"/>
      <c r="E37" s="158"/>
      <c r="F37" s="158"/>
    </row>
    <row r="38" ht="15.75" customHeight="1" spans="1:6">
      <c r="A38" s="158"/>
      <c r="B38" s="158"/>
      <c r="C38" s="158"/>
      <c r="D38" s="158"/>
      <c r="E38" s="158"/>
      <c r="F38" s="158"/>
    </row>
    <row r="39" ht="15.75" customHeight="1" spans="1:6">
      <c r="A39" s="158"/>
      <c r="B39" s="158"/>
      <c r="C39" s="158"/>
      <c r="D39" s="158"/>
      <c r="E39" s="158"/>
      <c r="F39" s="158"/>
    </row>
    <row r="40" ht="15.75" customHeight="1" spans="1:6">
      <c r="A40" s="158"/>
      <c r="B40" s="158"/>
      <c r="C40" s="158"/>
      <c r="D40" s="158"/>
      <c r="E40" s="158"/>
      <c r="F40" s="158"/>
    </row>
  </sheetData>
  <sheetProtection autoFilter="0"/>
  <mergeCells count="8">
    <mergeCell ref="A2:G2"/>
    <mergeCell ref="A3:G3"/>
    <mergeCell ref="BA4:BH4"/>
    <mergeCell ref="BJ4:BQ4"/>
    <mergeCell ref="BA5:BD5"/>
    <mergeCell ref="BE5:BH5"/>
    <mergeCell ref="BJ5:BM5"/>
    <mergeCell ref="BN5:BQ5"/>
  </mergeCells>
  <conditionalFormatting sqref="C7:G27">
    <cfRule type="expression" dxfId="3" priority="1">
      <formula>$D7+$E7=0</formula>
    </cfRule>
  </conditionalFormatting>
  <hyperlinks>
    <hyperlink ref="A1" location="索引目录!G6" display="返回索引页"/>
    <hyperlink ref="B1" location="评估结果分类汇总表!B72" display="返回"/>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6"/>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25.6" style="75" customWidth="1"/>
    <col min="3" max="3" width="9.7" style="75" customWidth="1"/>
    <col min="4" max="5" width="4.6" style="75" customWidth="1" outlineLevel="1"/>
    <col min="6" max="7" width="6.1" style="75" customWidth="1" outlineLevel="1"/>
    <col min="8" max="8" width="13.6" style="75" customWidth="1"/>
    <col min="9" max="9" width="12.6" style="75" customWidth="1"/>
    <col min="10" max="10" width="8.5" style="75" customWidth="1"/>
    <col min="11" max="11" width="13.6" style="75" customWidth="1" outlineLevel="1"/>
    <col min="12" max="12" width="16.6" style="76" customWidth="1" outlineLevel="1"/>
    <col min="13" max="14" width="13.6" style="75" customWidth="1"/>
    <col min="15" max="15" width="11.6" style="75" customWidth="1"/>
    <col min="16"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165" customWidth="1"/>
    <col min="61" max="61" width="11.5" style="75" customWidth="1"/>
    <col min="62" max="65" width="4.7" style="165" customWidth="1"/>
    <col min="66" max="66" width="6.7" style="16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3.8" spans="1:77">
      <c r="A1" s="273" t="s">
        <v>1591</v>
      </c>
      <c r="B1" s="80" t="s">
        <v>1592</v>
      </c>
      <c r="C1" s="81"/>
      <c r="D1" s="82"/>
      <c r="E1" s="82"/>
      <c r="F1" s="82"/>
      <c r="G1" s="82"/>
      <c r="H1" s="81"/>
      <c r="I1" s="81"/>
      <c r="J1" s="81"/>
      <c r="K1" s="81"/>
      <c r="L1" s="83"/>
      <c r="M1" s="81"/>
      <c r="N1" s="81"/>
      <c r="O1" s="81"/>
      <c r="BA1" s="84" t="str">
        <f>参数表!BA1</f>
        <v>注意：补充特殊事项、作价等均从BA列开始填写</v>
      </c>
      <c r="BB1" s="85"/>
      <c r="BC1" s="86"/>
      <c r="BD1" s="86"/>
      <c r="BE1" s="86"/>
      <c r="BF1" s="86"/>
      <c r="BG1" s="86"/>
      <c r="BH1" s="82"/>
      <c r="BI1" s="86"/>
      <c r="BJ1" s="82"/>
      <c r="BK1" s="82"/>
      <c r="BL1" s="168"/>
      <c r="BM1" s="168"/>
      <c r="BN1" s="168"/>
      <c r="BQ1" s="87"/>
      <c r="BR1" s="88"/>
      <c r="BS1" s="87"/>
      <c r="BT1" s="88"/>
      <c r="BU1" s="88"/>
      <c r="BV1" s="88"/>
      <c r="BW1" s="88"/>
      <c r="BX1" s="88"/>
      <c r="BY1" s="87"/>
    </row>
    <row r="2" s="71" customFormat="1" ht="30" customHeight="1" spans="1:77">
      <c r="A2" s="89" t="s">
        <v>5312</v>
      </c>
      <c r="B2" s="89"/>
      <c r="C2" s="89"/>
      <c r="D2" s="89"/>
      <c r="E2" s="89"/>
      <c r="F2" s="89"/>
      <c r="G2" s="89"/>
      <c r="H2" s="89"/>
      <c r="I2" s="89"/>
      <c r="J2" s="89"/>
      <c r="K2" s="89"/>
      <c r="L2" s="89"/>
      <c r="M2" s="89"/>
      <c r="N2" s="89"/>
      <c r="O2" s="89"/>
      <c r="BA2" s="90" t="str">
        <f>参数表!BA2</f>
        <v>评估基准日：</v>
      </c>
      <c r="BB2" s="91" t="str">
        <f>参数表!$BB$2</f>
        <v>2025年7月31日</v>
      </c>
      <c r="BH2" s="171"/>
      <c r="BJ2" s="171"/>
      <c r="BK2" s="171"/>
      <c r="BL2" s="171"/>
      <c r="BM2" s="171"/>
      <c r="BN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4"/>
      <c r="M3" s="94"/>
      <c r="N3" s="95"/>
      <c r="O3" s="95"/>
      <c r="BA3" s="90" t="str">
        <f>参数表!BA3</f>
        <v>是否显示评估值：</v>
      </c>
      <c r="BB3" s="90" t="str">
        <f>参数表!$BB$3</f>
        <v>是</v>
      </c>
      <c r="BS3" s="78"/>
    </row>
    <row r="4" ht="15" customHeight="1" spans="1:77">
      <c r="A4" s="96"/>
      <c r="B4" s="94"/>
      <c r="C4" s="94"/>
      <c r="D4" s="94"/>
      <c r="E4" s="94"/>
      <c r="F4" s="94"/>
      <c r="G4" s="94"/>
      <c r="H4" s="94"/>
      <c r="I4" s="94"/>
      <c r="J4" s="94"/>
      <c r="K4" s="94"/>
      <c r="L4" s="97"/>
      <c r="M4" s="94"/>
      <c r="N4" s="95"/>
      <c r="O4" s="98" t="str">
        <f>"表"&amp;$BA4</f>
        <v>表5-11-1</v>
      </c>
      <c r="BA4" s="274" t="str">
        <f>其他应付总!A7</f>
        <v>5-11-1</v>
      </c>
      <c r="BB4" s="100">
        <f>MAX(COUNTA(A7:A26),COUNTA(B7:B26),COUNTA(K7:K26),COUNTA(M7:M26))</f>
        <v>20</v>
      </c>
      <c r="BC4" s="101">
        <f>ROW(A6)+1</f>
        <v>7</v>
      </c>
      <c r="BD4" s="77"/>
      <c r="BE4" s="77"/>
      <c r="BS4" s="78"/>
    </row>
    <row r="5" ht="15" customHeight="1" spans="1:77">
      <c r="A5" s="102" t="str">
        <f>参数表!F3</f>
        <v>产权持有单位:中煤第五建设有限公司</v>
      </c>
      <c r="B5" s="103"/>
      <c r="C5" s="103"/>
      <c r="D5" s="103"/>
      <c r="E5" s="103"/>
      <c r="F5" s="103"/>
      <c r="G5" s="103"/>
      <c r="H5" s="103"/>
      <c r="I5" s="103"/>
      <c r="J5" s="103"/>
      <c r="K5" s="103"/>
      <c r="L5" s="104"/>
      <c r="M5" s="103"/>
      <c r="N5" s="103"/>
      <c r="O5" s="98" t="s">
        <v>236</v>
      </c>
      <c r="BA5" s="103"/>
      <c r="BB5" s="105" t="str">
        <f ca="1">判断表!C111</f>
        <v>中煤第五建设有限公司第三工程处拟处置实物资产项目\[0000-3基础法明细表.xlsx]其他应付-利息</v>
      </c>
      <c r="BC5" s="106">
        <f>IFERROR(SUMIF(BC7:BC26,"√",M7:M26)/M27,0)</f>
        <v>0</v>
      </c>
      <c r="BD5" s="107"/>
      <c r="BE5" s="107"/>
      <c r="BF5" s="108">
        <f>分类汇总!$I55</f>
        <v>0</v>
      </c>
      <c r="BG5" s="108">
        <f>分类汇总!$K55</f>
        <v>0</v>
      </c>
      <c r="BH5" s="109"/>
      <c r="BI5" s="109"/>
      <c r="BJ5" s="109"/>
      <c r="BK5" s="109"/>
      <c r="BL5" s="109"/>
      <c r="BM5" s="109"/>
      <c r="BN5" s="109"/>
      <c r="BO5" s="110"/>
      <c r="BP5" s="110"/>
      <c r="BQ5" s="111"/>
      <c r="BS5" s="78"/>
      <c r="BX5" s="194"/>
      <c r="BY5" s="111"/>
    </row>
    <row r="6" s="72" customFormat="1" ht="25.2" customHeight="1" spans="1:77">
      <c r="A6" s="112" t="s">
        <v>305</v>
      </c>
      <c r="B6" s="113" t="s">
        <v>1897</v>
      </c>
      <c r="C6" s="113" t="s">
        <v>1961</v>
      </c>
      <c r="D6" s="114" t="s">
        <v>1631</v>
      </c>
      <c r="E6" s="115" t="s">
        <v>1632</v>
      </c>
      <c r="F6" s="116" t="s">
        <v>5313</v>
      </c>
      <c r="G6" s="116" t="s">
        <v>3793</v>
      </c>
      <c r="H6" s="113" t="s">
        <v>2091</v>
      </c>
      <c r="I6" s="113" t="s">
        <v>2092</v>
      </c>
      <c r="J6" s="113" t="s">
        <v>2093</v>
      </c>
      <c r="K6" s="113" t="s">
        <v>1549</v>
      </c>
      <c r="L6" s="117" t="s">
        <v>1634</v>
      </c>
      <c r="M6" s="113" t="s">
        <v>1523</v>
      </c>
      <c r="N6" s="113" t="s">
        <v>1550</v>
      </c>
      <c r="O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7"/>
      <c r="E7" s="127" t="str">
        <f>IFERROR(VLOOKUP(D7,参数表!$H$2:$I$50,2,FALSE),"")</f>
        <v/>
      </c>
      <c r="F7" s="128" t="str">
        <f>IFERROR(IF(OR(D7="人民币",D7=""),"",H7/E7),"")</f>
        <v/>
      </c>
      <c r="G7" s="128" t="str">
        <f>IFERROR(IF(OR(D7="人民币",D7=""),"",M7/E7),"")</f>
        <v/>
      </c>
      <c r="H7" s="129"/>
      <c r="I7" s="126"/>
      <c r="J7" s="126"/>
      <c r="K7" s="129"/>
      <c r="L7" s="130"/>
      <c r="M7" s="129" t="str">
        <f>IF(B7="","",K7+L7)</f>
        <v/>
      </c>
      <c r="N7" s="129" t="str">
        <f t="shared" ref="N7:N26" si="0">IF(B7="","",IF($BB$3="是",M7,""))</f>
        <v/>
      </c>
      <c r="O7" s="131"/>
      <c r="BA7" s="78"/>
      <c r="BB7" s="132" t="s">
        <v>5314</v>
      </c>
      <c r="BC7" s="133"/>
      <c r="BD7" s="132" t="str">
        <f>IF(OR(B7="",BC7=""),"",COUNTIF(BC$7:BC7,"√"))</f>
        <v/>
      </c>
      <c r="BE7" s="134" t="str">
        <f t="shared" ref="BE7:BE26" si="1">IF(BC7="","",BB7&amp;"︱"&amp;B7&amp;"︱"&amp;TEXT(K7,"#,##0.00"))</f>
        <v/>
      </c>
      <c r="BF7" s="135" t="str">
        <f>IF($B7="","",IF(BF$5=0,"OK","出错"))</f>
        <v/>
      </c>
      <c r="BG7" s="135" t="str">
        <f>IF($B7="","",IF(BG$5=0,"OK","出错"))</f>
        <v/>
      </c>
      <c r="BH7" s="136"/>
      <c r="BI7" s="137"/>
      <c r="BJ7" s="136"/>
      <c r="BK7" s="136"/>
      <c r="BL7" s="136"/>
      <c r="BM7" s="136"/>
      <c r="BN7" s="136"/>
      <c r="BO7" s="137"/>
      <c r="BP7" s="137"/>
      <c r="BR7" s="134" t="str">
        <f>IF(COUNTIF(BR$6:BR6,B7)&gt;0,"",B7)&amp;""</f>
        <v/>
      </c>
      <c r="BS7" s="138">
        <f>SUMIF(B$7:B$26,BR7,M$7:M$26)</f>
        <v>0</v>
      </c>
      <c r="BT7" s="132">
        <f t="shared" ref="BT7" si="2">RANK(BS7,BS$7:BS$26)</f>
        <v>1</v>
      </c>
      <c r="BU7" s="138">
        <f>SUMIF(B$7:B$26,BR7,N$7:N$26)</f>
        <v>0</v>
      </c>
      <c r="BV7" s="132">
        <f>RANK(BU7,BU$7:BU$26)</f>
        <v>1</v>
      </c>
      <c r="BW7" s="138">
        <f>SUM(BS7:BS26)</f>
        <v>0</v>
      </c>
      <c r="BX7" s="138"/>
      <c r="BY7" s="138"/>
    </row>
    <row r="8" ht="15" customHeight="1" spans="1:77">
      <c r="A8" s="123" t="str">
        <f>IF(B8="","",COUNT(A$6:A7)+1)</f>
        <v/>
      </c>
      <c r="B8" s="139"/>
      <c r="C8" s="140"/>
      <c r="D8" s="142"/>
      <c r="E8" s="127" t="str">
        <f>IFERROR(VLOOKUP(D8,参数表!$H$2:$I$50,2,FALSE),"")</f>
        <v/>
      </c>
      <c r="F8" s="128" t="str">
        <f t="shared" ref="F8:F26" si="3">IFERROR(IF(OR(D8="人民币",D8=""),"",H8/E8),"")</f>
        <v/>
      </c>
      <c r="G8" s="128" t="str">
        <f t="shared" ref="G8:G26" si="4">IFERROR(IF(OR(D8="人民币",D8=""),"",M8/E8),"")</f>
        <v/>
      </c>
      <c r="H8" s="143"/>
      <c r="I8" s="141"/>
      <c r="J8" s="141"/>
      <c r="K8" s="143"/>
      <c r="L8" s="144"/>
      <c r="M8" s="129" t="str">
        <f t="shared" ref="M8:M26" si="5">IF(B8="","",K8+L8)</f>
        <v/>
      </c>
      <c r="N8" s="129" t="str">
        <f t="shared" si="0"/>
        <v/>
      </c>
      <c r="O8" s="145"/>
      <c r="BA8" s="78"/>
      <c r="BB8" s="132" t="s">
        <v>5315</v>
      </c>
      <c r="BC8" s="133"/>
      <c r="BD8" s="132" t="str">
        <f>IF(OR(B8="",BC8=""),"",COUNTIF(BC$7:BC8,"√"))</f>
        <v/>
      </c>
      <c r="BE8" s="134" t="str">
        <f t="shared" si="1"/>
        <v/>
      </c>
      <c r="BF8" s="135" t="str">
        <f t="shared" ref="BF8:BG26" si="6">IF($B8="","",IF(BF$5=0,"OK","出错"))</f>
        <v/>
      </c>
      <c r="BG8" s="135" t="str">
        <f t="shared" si="6"/>
        <v/>
      </c>
      <c r="BH8" s="136"/>
      <c r="BI8" s="137"/>
      <c r="BJ8" s="136"/>
      <c r="BK8" s="136"/>
      <c r="BL8" s="136"/>
      <c r="BM8" s="136"/>
      <c r="BN8" s="136"/>
      <c r="BO8" s="137"/>
      <c r="BP8" s="137"/>
      <c r="BR8" s="134" t="str">
        <f>IF(COUNTIF(BR$6:BR7,B8)&gt;0,"",B8)&amp;""</f>
        <v/>
      </c>
      <c r="BS8" s="138">
        <f t="shared" ref="BS8:BS26" si="7">SUMIF(B$7:B$26,BR8,M$7:M$26)</f>
        <v>0</v>
      </c>
      <c r="BT8" s="132">
        <f t="shared" ref="BT8:BT26" si="8">RANK(BS8,BS$7:BS$26)</f>
        <v>1</v>
      </c>
      <c r="BU8" s="138">
        <f t="shared" ref="BU8:BU26" si="9">SUMIF(B$7:B$26,BR8,N$7:N$26)</f>
        <v>0</v>
      </c>
      <c r="BV8" s="132">
        <f t="shared" ref="BV8:BV26" si="10">RANK(BU8,BU$7:BU$26)</f>
        <v>1</v>
      </c>
      <c r="BW8" s="138">
        <f>SUM(BU7:BU26)</f>
        <v>0</v>
      </c>
      <c r="BX8" s="138"/>
      <c r="BY8" s="138"/>
    </row>
    <row r="9" ht="15" customHeight="1" spans="1:77">
      <c r="A9" s="123" t="str">
        <f>IF(B9="","",COUNT(A$6:A8)+1)</f>
        <v/>
      </c>
      <c r="B9" s="139"/>
      <c r="C9" s="140"/>
      <c r="D9" s="142"/>
      <c r="E9" s="127" t="str">
        <f>IFERROR(VLOOKUP(D9,参数表!$H$2:$I$50,2,FALSE),"")</f>
        <v/>
      </c>
      <c r="F9" s="128" t="str">
        <f t="shared" si="3"/>
        <v/>
      </c>
      <c r="G9" s="128" t="str">
        <f t="shared" si="4"/>
        <v/>
      </c>
      <c r="H9" s="143"/>
      <c r="I9" s="141"/>
      <c r="J9" s="141"/>
      <c r="K9" s="143"/>
      <c r="L9" s="144"/>
      <c r="M9" s="129" t="str">
        <f t="shared" si="5"/>
        <v/>
      </c>
      <c r="N9" s="129" t="str">
        <f t="shared" si="0"/>
        <v/>
      </c>
      <c r="O9" s="145"/>
      <c r="BA9" s="78"/>
      <c r="BB9" s="132" t="s">
        <v>5316</v>
      </c>
      <c r="BC9" s="133"/>
      <c r="BD9" s="132" t="str">
        <f>IF(OR(B9="",BC9=""),"",COUNTIF(BC$7:BC9,"√"))</f>
        <v/>
      </c>
      <c r="BE9" s="134" t="str">
        <f t="shared" si="1"/>
        <v/>
      </c>
      <c r="BF9" s="135" t="str">
        <f t="shared" si="6"/>
        <v/>
      </c>
      <c r="BG9" s="135" t="str">
        <f t="shared" si="6"/>
        <v/>
      </c>
      <c r="BH9" s="136"/>
      <c r="BI9" s="137"/>
      <c r="BJ9" s="136"/>
      <c r="BK9" s="136"/>
      <c r="BL9" s="136"/>
      <c r="BM9" s="136"/>
      <c r="BN9" s="136"/>
      <c r="BO9" s="137"/>
      <c r="BP9" s="137"/>
      <c r="BR9" s="134" t="str">
        <f>IF(COUNTIF(BR$6:BR8,B9)&gt;0,"",B9)&amp;""</f>
        <v/>
      </c>
      <c r="BS9" s="138">
        <f t="shared" si="7"/>
        <v>0</v>
      </c>
      <c r="BT9" s="132">
        <f t="shared" si="8"/>
        <v>1</v>
      </c>
      <c r="BU9" s="138">
        <f t="shared" si="9"/>
        <v>0</v>
      </c>
      <c r="BV9" s="132">
        <f t="shared" si="10"/>
        <v>1</v>
      </c>
      <c r="BW9" s="132">
        <v>1</v>
      </c>
      <c r="BX9" s="134" t="str">
        <f>IFERROR(INDEX(BR$7:BR$26,MATCH(BW9,IF(BW$7=0,BV$7:BV$26,BT$7:BT$26),0))&amp;"","")</f>
        <v/>
      </c>
      <c r="BY9" s="146" t="str">
        <f>IF(BX10="","",IF(BX11="","和","、"))</f>
        <v/>
      </c>
    </row>
    <row r="10" ht="15" customHeight="1" spans="1:77">
      <c r="A10" s="123" t="str">
        <f>IF(B10="","",COUNT(A$6:A9)+1)</f>
        <v/>
      </c>
      <c r="B10" s="139"/>
      <c r="C10" s="140"/>
      <c r="D10" s="142"/>
      <c r="E10" s="127" t="str">
        <f>IFERROR(VLOOKUP(D10,参数表!$H$2:$I$50,2,FALSE),"")</f>
        <v/>
      </c>
      <c r="F10" s="128" t="str">
        <f t="shared" si="3"/>
        <v/>
      </c>
      <c r="G10" s="128" t="str">
        <f t="shared" si="4"/>
        <v/>
      </c>
      <c r="H10" s="143"/>
      <c r="I10" s="141"/>
      <c r="J10" s="141"/>
      <c r="K10" s="143"/>
      <c r="L10" s="144"/>
      <c r="M10" s="129" t="str">
        <f t="shared" si="5"/>
        <v/>
      </c>
      <c r="N10" s="129" t="str">
        <f t="shared" si="0"/>
        <v/>
      </c>
      <c r="O10" s="145"/>
      <c r="BA10" s="78"/>
      <c r="BB10" s="132" t="s">
        <v>5317</v>
      </c>
      <c r="BC10" s="133"/>
      <c r="BD10" s="132" t="str">
        <f>IF(OR(B10="",BC10=""),"",COUNTIF(BC$7:BC10,"√"))</f>
        <v/>
      </c>
      <c r="BE10" s="134" t="str">
        <f t="shared" si="1"/>
        <v/>
      </c>
      <c r="BF10" s="135" t="str">
        <f t="shared" si="6"/>
        <v/>
      </c>
      <c r="BG10" s="135" t="str">
        <f t="shared" si="6"/>
        <v/>
      </c>
      <c r="BH10" s="136"/>
      <c r="BI10" s="137"/>
      <c r="BJ10" s="136"/>
      <c r="BK10" s="136"/>
      <c r="BL10" s="136"/>
      <c r="BM10" s="136"/>
      <c r="BN10" s="136"/>
      <c r="BO10" s="137"/>
      <c r="BP10" s="137"/>
      <c r="BR10" s="134" t="str">
        <f>IF(COUNTIF(BR$6:BR9,B10)&gt;0,"",B10)&amp;""</f>
        <v/>
      </c>
      <c r="BS10" s="138">
        <f t="shared" si="7"/>
        <v>0</v>
      </c>
      <c r="BT10" s="132">
        <f t="shared" si="8"/>
        <v>1</v>
      </c>
      <c r="BU10" s="138">
        <f t="shared" si="9"/>
        <v>0</v>
      </c>
      <c r="BV10" s="132">
        <f t="shared" si="10"/>
        <v>1</v>
      </c>
      <c r="BW10" s="132">
        <v>2</v>
      </c>
      <c r="BX10" s="134" t="str">
        <f t="shared" ref="BX10:BX13" si="11">IFERROR(INDEX(BR$7:BR$26,MATCH(BW10,IF(BW$7=0,BV$7:BV$26,BT$7:BT$26),0))&amp;"","")</f>
        <v/>
      </c>
      <c r="BY10" s="146" t="str">
        <f t="shared" ref="BY10:BY11" si="12">IF(BX11="","",IF(BX12="","和","、"))</f>
        <v/>
      </c>
    </row>
    <row r="11" ht="15" customHeight="1" spans="1:77">
      <c r="A11" s="123" t="str">
        <f>IF(B11="","",COUNT(A$6:A10)+1)</f>
        <v/>
      </c>
      <c r="B11" s="139"/>
      <c r="C11" s="140"/>
      <c r="D11" s="142"/>
      <c r="E11" s="127" t="str">
        <f>IFERROR(VLOOKUP(D11,参数表!$H$2:$I$50,2,FALSE),"")</f>
        <v/>
      </c>
      <c r="F11" s="128" t="str">
        <f t="shared" si="3"/>
        <v/>
      </c>
      <c r="G11" s="128" t="str">
        <f t="shared" si="4"/>
        <v/>
      </c>
      <c r="H11" s="143"/>
      <c r="I11" s="141"/>
      <c r="J11" s="141"/>
      <c r="K11" s="143"/>
      <c r="L11" s="144"/>
      <c r="M11" s="129" t="str">
        <f t="shared" si="5"/>
        <v/>
      </c>
      <c r="N11" s="129" t="str">
        <f t="shared" si="0"/>
        <v/>
      </c>
      <c r="O11" s="145"/>
      <c r="BA11" s="78"/>
      <c r="BB11" s="132" t="s">
        <v>5318</v>
      </c>
      <c r="BC11" s="133"/>
      <c r="BD11" s="132" t="str">
        <f>IF(OR(B11="",BC11=""),"",COUNTIF(BC$7:BC11,"√"))</f>
        <v/>
      </c>
      <c r="BE11" s="134" t="str">
        <f t="shared" si="1"/>
        <v/>
      </c>
      <c r="BF11" s="135" t="str">
        <f t="shared" si="6"/>
        <v/>
      </c>
      <c r="BG11" s="135" t="str">
        <f t="shared" si="6"/>
        <v/>
      </c>
      <c r="BH11" s="136"/>
      <c r="BI11" s="137"/>
      <c r="BJ11" s="136"/>
      <c r="BK11" s="136"/>
      <c r="BL11" s="136"/>
      <c r="BM11" s="136"/>
      <c r="BN11" s="136"/>
      <c r="BO11" s="137"/>
      <c r="BP11" s="137"/>
      <c r="BR11" s="134" t="str">
        <f>IF(COUNTIF(BR$6:BR10,B11)&gt;0,"",B11)&amp;""</f>
        <v/>
      </c>
      <c r="BS11" s="138">
        <f t="shared" si="7"/>
        <v>0</v>
      </c>
      <c r="BT11" s="132">
        <f t="shared" si="8"/>
        <v>1</v>
      </c>
      <c r="BU11" s="138">
        <f t="shared" si="9"/>
        <v>0</v>
      </c>
      <c r="BV11" s="132">
        <f t="shared" si="10"/>
        <v>1</v>
      </c>
      <c r="BW11" s="132">
        <v>3</v>
      </c>
      <c r="BX11" s="134" t="str">
        <f t="shared" si="11"/>
        <v/>
      </c>
      <c r="BY11" s="146" t="str">
        <f t="shared" si="12"/>
        <v/>
      </c>
    </row>
    <row r="12" ht="15" customHeight="1" spans="1:77">
      <c r="A12" s="123" t="str">
        <f>IF(B12="","",COUNT(A$6:A11)+1)</f>
        <v/>
      </c>
      <c r="B12" s="139"/>
      <c r="C12" s="140"/>
      <c r="D12" s="142"/>
      <c r="E12" s="127" t="str">
        <f>IFERROR(VLOOKUP(D12,参数表!$H$2:$I$50,2,FALSE),"")</f>
        <v/>
      </c>
      <c r="F12" s="128" t="str">
        <f t="shared" si="3"/>
        <v/>
      </c>
      <c r="G12" s="128" t="str">
        <f t="shared" si="4"/>
        <v/>
      </c>
      <c r="H12" s="143"/>
      <c r="I12" s="141"/>
      <c r="J12" s="141"/>
      <c r="K12" s="143"/>
      <c r="L12" s="144"/>
      <c r="M12" s="129" t="str">
        <f t="shared" si="5"/>
        <v/>
      </c>
      <c r="N12" s="129" t="str">
        <f t="shared" si="0"/>
        <v/>
      </c>
      <c r="O12" s="145"/>
      <c r="BA12" s="78"/>
      <c r="BB12" s="132" t="s">
        <v>5319</v>
      </c>
      <c r="BC12" s="133"/>
      <c r="BD12" s="132" t="str">
        <f>IF(OR(B12="",BC12=""),"",COUNTIF(BC$7:BC12,"√"))</f>
        <v/>
      </c>
      <c r="BE12" s="134" t="str">
        <f t="shared" si="1"/>
        <v/>
      </c>
      <c r="BF12" s="135" t="str">
        <f t="shared" si="6"/>
        <v/>
      </c>
      <c r="BG12" s="135" t="str">
        <f t="shared" si="6"/>
        <v/>
      </c>
      <c r="BH12" s="136"/>
      <c r="BI12" s="137"/>
      <c r="BJ12" s="136"/>
      <c r="BK12" s="136"/>
      <c r="BL12" s="136"/>
      <c r="BM12" s="136"/>
      <c r="BN12" s="136"/>
      <c r="BO12" s="137"/>
      <c r="BP12" s="137"/>
      <c r="BR12" s="134" t="str">
        <f>IF(COUNTIF(BR$6:BR11,B12)&gt;0,"",B12)&amp;""</f>
        <v/>
      </c>
      <c r="BS12" s="138">
        <f t="shared" si="7"/>
        <v>0</v>
      </c>
      <c r="BT12" s="132">
        <f t="shared" si="8"/>
        <v>1</v>
      </c>
      <c r="BU12" s="138">
        <f t="shared" si="9"/>
        <v>0</v>
      </c>
      <c r="BV12" s="132">
        <f t="shared" si="10"/>
        <v>1</v>
      </c>
      <c r="BW12" s="132">
        <v>4</v>
      </c>
      <c r="BX12" s="134" t="str">
        <f t="shared" si="11"/>
        <v/>
      </c>
      <c r="BY12" s="146" t="str">
        <f>IF(BX13="","","和")</f>
        <v/>
      </c>
    </row>
    <row r="13" ht="15" customHeight="1" spans="1:77">
      <c r="A13" s="123" t="str">
        <f>IF(B13="","",COUNT(A$6:A12)+1)</f>
        <v/>
      </c>
      <c r="B13" s="139"/>
      <c r="C13" s="140"/>
      <c r="D13" s="142"/>
      <c r="E13" s="127" t="str">
        <f>IFERROR(VLOOKUP(D13,参数表!$H$2:$I$50,2,FALSE),"")</f>
        <v/>
      </c>
      <c r="F13" s="128" t="str">
        <f t="shared" si="3"/>
        <v/>
      </c>
      <c r="G13" s="128" t="str">
        <f t="shared" si="4"/>
        <v/>
      </c>
      <c r="H13" s="143"/>
      <c r="I13" s="141"/>
      <c r="J13" s="141"/>
      <c r="K13" s="143"/>
      <c r="L13" s="144"/>
      <c r="M13" s="129" t="str">
        <f t="shared" si="5"/>
        <v/>
      </c>
      <c r="N13" s="129" t="str">
        <f t="shared" si="0"/>
        <v/>
      </c>
      <c r="O13" s="145"/>
      <c r="BA13" s="78"/>
      <c r="BB13" s="132" t="s">
        <v>5320</v>
      </c>
      <c r="BC13" s="133"/>
      <c r="BD13" s="132" t="str">
        <f>IF(OR(B13="",BC13=""),"",COUNTIF(BC$7:BC13,"√"))</f>
        <v/>
      </c>
      <c r="BE13" s="134" t="str">
        <f t="shared" si="1"/>
        <v/>
      </c>
      <c r="BF13" s="135" t="str">
        <f t="shared" si="6"/>
        <v/>
      </c>
      <c r="BG13" s="135" t="str">
        <f t="shared" si="6"/>
        <v/>
      </c>
      <c r="BH13" s="136"/>
      <c r="BI13" s="137"/>
      <c r="BJ13" s="136"/>
      <c r="BK13" s="136"/>
      <c r="BL13" s="136"/>
      <c r="BM13" s="136"/>
      <c r="BN13" s="136"/>
      <c r="BO13" s="137"/>
      <c r="BP13" s="137"/>
      <c r="BR13" s="134" t="str">
        <f>IF(COUNTIF(BR$6:BR12,B13)&gt;0,"",B13)&amp;""</f>
        <v/>
      </c>
      <c r="BS13" s="138">
        <f t="shared" si="7"/>
        <v>0</v>
      </c>
      <c r="BT13" s="132">
        <f t="shared" si="8"/>
        <v>1</v>
      </c>
      <c r="BU13" s="138">
        <f t="shared" si="9"/>
        <v>0</v>
      </c>
      <c r="BV13" s="132">
        <f t="shared" si="10"/>
        <v>1</v>
      </c>
      <c r="BW13" s="132">
        <v>5</v>
      </c>
      <c r="BX13" s="134" t="str">
        <f t="shared" si="11"/>
        <v/>
      </c>
      <c r="BY13" s="146"/>
    </row>
    <row r="14" ht="15" customHeight="1" spans="1:77">
      <c r="A14" s="123" t="str">
        <f>IF(B14="","",COUNT(A$6:A13)+1)</f>
        <v/>
      </c>
      <c r="B14" s="139"/>
      <c r="C14" s="140"/>
      <c r="D14" s="142"/>
      <c r="E14" s="127" t="str">
        <f>IFERROR(VLOOKUP(D14,参数表!$H$2:$I$50,2,FALSE),"")</f>
        <v/>
      </c>
      <c r="F14" s="128" t="str">
        <f t="shared" si="3"/>
        <v/>
      </c>
      <c r="G14" s="128" t="str">
        <f t="shared" si="4"/>
        <v/>
      </c>
      <c r="H14" s="143"/>
      <c r="I14" s="141"/>
      <c r="J14" s="141"/>
      <c r="K14" s="143"/>
      <c r="L14" s="144"/>
      <c r="M14" s="129" t="str">
        <f t="shared" si="5"/>
        <v/>
      </c>
      <c r="N14" s="129" t="str">
        <f t="shared" si="0"/>
        <v/>
      </c>
      <c r="O14" s="145"/>
      <c r="BA14" s="78"/>
      <c r="BB14" s="132" t="s">
        <v>5321</v>
      </c>
      <c r="BC14" s="133"/>
      <c r="BD14" s="132" t="str">
        <f>IF(OR(B14="",BC14=""),"",COUNTIF(BC$7:BC14,"√"))</f>
        <v/>
      </c>
      <c r="BE14" s="134" t="str">
        <f t="shared" si="1"/>
        <v/>
      </c>
      <c r="BF14" s="135" t="str">
        <f t="shared" si="6"/>
        <v/>
      </c>
      <c r="BG14" s="135" t="str">
        <f t="shared" si="6"/>
        <v/>
      </c>
      <c r="BH14" s="136"/>
      <c r="BI14" s="137"/>
      <c r="BJ14" s="136"/>
      <c r="BK14" s="136"/>
      <c r="BL14" s="136"/>
      <c r="BM14" s="136"/>
      <c r="BN14" s="136"/>
      <c r="BO14" s="137"/>
      <c r="BP14" s="137"/>
      <c r="BR14" s="134" t="str">
        <f>IF(COUNTIF(BR$6:BR13,B14)&gt;0,"",B14)&amp;""</f>
        <v/>
      </c>
      <c r="BS14" s="138">
        <f t="shared" si="7"/>
        <v>0</v>
      </c>
      <c r="BT14" s="132">
        <f t="shared" si="8"/>
        <v>1</v>
      </c>
      <c r="BU14" s="138">
        <f t="shared" si="9"/>
        <v>0</v>
      </c>
      <c r="BV14" s="132">
        <f t="shared" si="10"/>
        <v>1</v>
      </c>
      <c r="BW14" s="147" t="s">
        <v>1659</v>
      </c>
      <c r="BX14" s="132" t="str">
        <f>CONCATENATE(BX9,BY9,BX10,BY10,BX11,BY11,BX12,BY12,BX13)</f>
        <v/>
      </c>
      <c r="BY14" s="132"/>
    </row>
    <row r="15" ht="15" customHeight="1" spans="1:77">
      <c r="A15" s="123" t="str">
        <f>IF(B15="","",COUNT(A$6:A14)+1)</f>
        <v/>
      </c>
      <c r="B15" s="139"/>
      <c r="C15" s="140"/>
      <c r="D15" s="142"/>
      <c r="E15" s="127" t="str">
        <f>IFERROR(VLOOKUP(D15,参数表!$H$2:$I$50,2,FALSE),"")</f>
        <v/>
      </c>
      <c r="F15" s="128" t="str">
        <f t="shared" si="3"/>
        <v/>
      </c>
      <c r="G15" s="128" t="str">
        <f t="shared" si="4"/>
        <v/>
      </c>
      <c r="H15" s="143"/>
      <c r="I15" s="141"/>
      <c r="J15" s="141"/>
      <c r="K15" s="143"/>
      <c r="L15" s="144"/>
      <c r="M15" s="129" t="str">
        <f t="shared" si="5"/>
        <v/>
      </c>
      <c r="N15" s="129" t="str">
        <f t="shared" si="0"/>
        <v/>
      </c>
      <c r="O15" s="145"/>
      <c r="BA15" s="78"/>
      <c r="BB15" s="132" t="s">
        <v>5322</v>
      </c>
      <c r="BC15" s="133"/>
      <c r="BD15" s="132" t="str">
        <f>IF(OR(B15="",BC15=""),"",COUNTIF(BC$7:BC15,"√"))</f>
        <v/>
      </c>
      <c r="BE15" s="134" t="str">
        <f t="shared" si="1"/>
        <v/>
      </c>
      <c r="BF15" s="135" t="str">
        <f t="shared" si="6"/>
        <v/>
      </c>
      <c r="BG15" s="135" t="str">
        <f t="shared" si="6"/>
        <v/>
      </c>
      <c r="BH15" s="136"/>
      <c r="BI15" s="137"/>
      <c r="BJ15" s="136"/>
      <c r="BK15" s="136"/>
      <c r="BL15" s="136"/>
      <c r="BM15" s="136"/>
      <c r="BN15" s="136"/>
      <c r="BO15" s="137"/>
      <c r="BP15" s="137"/>
      <c r="BR15" s="134" t="str">
        <f>IF(COUNTIF(BR$6:BR14,B15)&gt;0,"",B15)&amp;""</f>
        <v/>
      </c>
      <c r="BS15" s="138">
        <f t="shared" si="7"/>
        <v>0</v>
      </c>
      <c r="BT15" s="132">
        <f t="shared" si="8"/>
        <v>1</v>
      </c>
      <c r="BU15" s="138">
        <f t="shared" si="9"/>
        <v>0</v>
      </c>
      <c r="BV15" s="132">
        <f t="shared" si="10"/>
        <v>1</v>
      </c>
      <c r="BW15" s="133"/>
      <c r="BX15" s="133"/>
    </row>
    <row r="16" ht="15" customHeight="1" spans="1:77">
      <c r="A16" s="123" t="str">
        <f>IF(B16="","",COUNT(A$6:A15)+1)</f>
        <v/>
      </c>
      <c r="B16" s="139"/>
      <c r="C16" s="140"/>
      <c r="D16" s="142"/>
      <c r="E16" s="127" t="str">
        <f>IFERROR(VLOOKUP(D16,参数表!$H$2:$I$50,2,FALSE),"")</f>
        <v/>
      </c>
      <c r="F16" s="128" t="str">
        <f t="shared" si="3"/>
        <v/>
      </c>
      <c r="G16" s="128" t="str">
        <f t="shared" si="4"/>
        <v/>
      </c>
      <c r="H16" s="143"/>
      <c r="I16" s="141"/>
      <c r="J16" s="141"/>
      <c r="K16" s="143"/>
      <c r="L16" s="144"/>
      <c r="M16" s="129" t="str">
        <f t="shared" si="5"/>
        <v/>
      </c>
      <c r="N16" s="129" t="str">
        <f t="shared" si="0"/>
        <v/>
      </c>
      <c r="O16" s="145"/>
      <c r="BA16" s="78"/>
      <c r="BB16" s="132" t="s">
        <v>5323</v>
      </c>
      <c r="BC16" s="133"/>
      <c r="BD16" s="132" t="str">
        <f>IF(OR(B16="",BC16=""),"",COUNTIF(BC$7:BC16,"√"))</f>
        <v/>
      </c>
      <c r="BE16" s="134" t="str">
        <f t="shared" si="1"/>
        <v/>
      </c>
      <c r="BF16" s="135" t="str">
        <f t="shared" si="6"/>
        <v/>
      </c>
      <c r="BG16" s="135" t="str">
        <f t="shared" si="6"/>
        <v/>
      </c>
      <c r="BH16" s="136"/>
      <c r="BI16" s="137"/>
      <c r="BJ16" s="136"/>
      <c r="BK16" s="136"/>
      <c r="BL16" s="136"/>
      <c r="BM16" s="136"/>
      <c r="BN16" s="136"/>
      <c r="BO16" s="137"/>
      <c r="BP16" s="137"/>
      <c r="BR16" s="134" t="str">
        <f>IF(COUNTIF(BR$6:BR15,B16)&gt;0,"",B16)&amp;""</f>
        <v/>
      </c>
      <c r="BS16" s="138">
        <f t="shared" si="7"/>
        <v>0</v>
      </c>
      <c r="BT16" s="132">
        <f t="shared" si="8"/>
        <v>1</v>
      </c>
      <c r="BU16" s="138">
        <f t="shared" si="9"/>
        <v>0</v>
      </c>
      <c r="BV16" s="132">
        <f t="shared" si="10"/>
        <v>1</v>
      </c>
      <c r="BW16" s="133"/>
      <c r="BX16" s="148"/>
    </row>
    <row r="17" ht="15" customHeight="1" spans="1:77">
      <c r="A17" s="123" t="str">
        <f>IF(B17="","",COUNT(A$6:A16)+1)</f>
        <v/>
      </c>
      <c r="B17" s="139"/>
      <c r="C17" s="140"/>
      <c r="D17" s="142"/>
      <c r="E17" s="127" t="str">
        <f>IFERROR(VLOOKUP(D17,参数表!$H$2:$I$50,2,FALSE),"")</f>
        <v/>
      </c>
      <c r="F17" s="128" t="str">
        <f t="shared" si="3"/>
        <v/>
      </c>
      <c r="G17" s="128" t="str">
        <f t="shared" si="4"/>
        <v/>
      </c>
      <c r="H17" s="143"/>
      <c r="I17" s="141"/>
      <c r="J17" s="141"/>
      <c r="K17" s="143"/>
      <c r="L17" s="144"/>
      <c r="M17" s="129" t="str">
        <f t="shared" si="5"/>
        <v/>
      </c>
      <c r="N17" s="129" t="str">
        <f t="shared" si="0"/>
        <v/>
      </c>
      <c r="O17" s="145"/>
      <c r="BA17" s="78"/>
      <c r="BB17" s="132" t="s">
        <v>5324</v>
      </c>
      <c r="BC17" s="133"/>
      <c r="BD17" s="132" t="str">
        <f>IF(OR(B17="",BC17=""),"",COUNTIF(BC$7:BC17,"√"))</f>
        <v/>
      </c>
      <c r="BE17" s="134" t="str">
        <f t="shared" si="1"/>
        <v/>
      </c>
      <c r="BF17" s="135" t="str">
        <f t="shared" si="6"/>
        <v/>
      </c>
      <c r="BG17" s="135" t="str">
        <f t="shared" si="6"/>
        <v/>
      </c>
      <c r="BH17" s="136"/>
      <c r="BI17" s="137"/>
      <c r="BJ17" s="136"/>
      <c r="BK17" s="136"/>
      <c r="BL17" s="136"/>
      <c r="BM17" s="136"/>
      <c r="BN17" s="136"/>
      <c r="BO17" s="137"/>
      <c r="BP17" s="137"/>
      <c r="BR17" s="134" t="str">
        <f>IF(COUNTIF(BR$6:BR16,B17)&gt;0,"",B17)&amp;""</f>
        <v/>
      </c>
      <c r="BS17" s="138">
        <f t="shared" si="7"/>
        <v>0</v>
      </c>
      <c r="BT17" s="132">
        <f t="shared" si="8"/>
        <v>1</v>
      </c>
      <c r="BU17" s="138">
        <f t="shared" si="9"/>
        <v>0</v>
      </c>
      <c r="BV17" s="132">
        <f t="shared" si="10"/>
        <v>1</v>
      </c>
      <c r="BW17" s="133"/>
      <c r="BX17" s="133"/>
    </row>
    <row r="18" ht="15" customHeight="1" spans="1:77">
      <c r="A18" s="123" t="str">
        <f>IF(B18="","",COUNT(A$6:A17)+1)</f>
        <v/>
      </c>
      <c r="B18" s="139"/>
      <c r="C18" s="140"/>
      <c r="D18" s="142"/>
      <c r="E18" s="127" t="str">
        <f>IFERROR(VLOOKUP(D18,参数表!$H$2:$I$50,2,FALSE),"")</f>
        <v/>
      </c>
      <c r="F18" s="128" t="str">
        <f t="shared" si="3"/>
        <v/>
      </c>
      <c r="G18" s="128" t="str">
        <f t="shared" si="4"/>
        <v/>
      </c>
      <c r="H18" s="143"/>
      <c r="I18" s="141"/>
      <c r="J18" s="141"/>
      <c r="K18" s="143"/>
      <c r="L18" s="144"/>
      <c r="M18" s="129" t="str">
        <f t="shared" si="5"/>
        <v/>
      </c>
      <c r="N18" s="129" t="str">
        <f t="shared" si="0"/>
        <v/>
      </c>
      <c r="O18" s="145"/>
      <c r="BA18" s="78"/>
      <c r="BB18" s="132" t="s">
        <v>5325</v>
      </c>
      <c r="BC18" s="133"/>
      <c r="BD18" s="132" t="str">
        <f>IF(OR(B18="",BC18=""),"",COUNTIF(BC$7:BC18,"√"))</f>
        <v/>
      </c>
      <c r="BE18" s="134" t="str">
        <f t="shared" si="1"/>
        <v/>
      </c>
      <c r="BF18" s="135" t="str">
        <f t="shared" si="6"/>
        <v/>
      </c>
      <c r="BG18" s="135" t="str">
        <f t="shared" si="6"/>
        <v/>
      </c>
      <c r="BH18" s="136"/>
      <c r="BI18" s="137"/>
      <c r="BJ18" s="136"/>
      <c r="BK18" s="136"/>
      <c r="BL18" s="136"/>
      <c r="BM18" s="136"/>
      <c r="BN18" s="136"/>
      <c r="BO18" s="137"/>
      <c r="BP18" s="137"/>
      <c r="BR18" s="134" t="str">
        <f>IF(COUNTIF(BR$6:BR17,B18)&gt;0,"",B18)&amp;""</f>
        <v/>
      </c>
      <c r="BS18" s="138">
        <f t="shared" si="7"/>
        <v>0</v>
      </c>
      <c r="BT18" s="132">
        <f t="shared" si="8"/>
        <v>1</v>
      </c>
      <c r="BU18" s="138">
        <f t="shared" si="9"/>
        <v>0</v>
      </c>
      <c r="BV18" s="132">
        <f t="shared" si="10"/>
        <v>1</v>
      </c>
      <c r="BW18" s="133"/>
      <c r="BX18" s="133"/>
    </row>
    <row r="19" ht="15" customHeight="1" spans="1:77">
      <c r="A19" s="123" t="str">
        <f>IF(B19="","",COUNT(A$6:A18)+1)</f>
        <v/>
      </c>
      <c r="B19" s="139"/>
      <c r="C19" s="140"/>
      <c r="D19" s="142"/>
      <c r="E19" s="127" t="str">
        <f>IFERROR(VLOOKUP(D19,参数表!$H$2:$I$50,2,FALSE),"")</f>
        <v/>
      </c>
      <c r="F19" s="128" t="str">
        <f t="shared" si="3"/>
        <v/>
      </c>
      <c r="G19" s="128" t="str">
        <f t="shared" si="4"/>
        <v/>
      </c>
      <c r="H19" s="143"/>
      <c r="I19" s="141"/>
      <c r="J19" s="141"/>
      <c r="K19" s="143"/>
      <c r="L19" s="144"/>
      <c r="M19" s="129" t="str">
        <f t="shared" si="5"/>
        <v/>
      </c>
      <c r="N19" s="129" t="str">
        <f t="shared" si="0"/>
        <v/>
      </c>
      <c r="O19" s="145"/>
      <c r="BA19" s="78"/>
      <c r="BB19" s="132" t="s">
        <v>5326</v>
      </c>
      <c r="BC19" s="133"/>
      <c r="BD19" s="132" t="str">
        <f>IF(OR(B19="",BC19=""),"",COUNTIF(BC$7:BC19,"√"))</f>
        <v/>
      </c>
      <c r="BE19" s="134" t="str">
        <f t="shared" si="1"/>
        <v/>
      </c>
      <c r="BF19" s="135" t="str">
        <f t="shared" si="6"/>
        <v/>
      </c>
      <c r="BG19" s="135" t="str">
        <f t="shared" si="6"/>
        <v/>
      </c>
      <c r="BH19" s="136"/>
      <c r="BI19" s="137"/>
      <c r="BJ19" s="136"/>
      <c r="BK19" s="136"/>
      <c r="BL19" s="136"/>
      <c r="BM19" s="136"/>
      <c r="BN19" s="136"/>
      <c r="BO19" s="137"/>
      <c r="BP19" s="137"/>
      <c r="BR19" s="134" t="str">
        <f>IF(COUNTIF(BR$6:BR18,B19)&gt;0,"",B19)&amp;""</f>
        <v/>
      </c>
      <c r="BS19" s="138">
        <f t="shared" si="7"/>
        <v>0</v>
      </c>
      <c r="BT19" s="132">
        <f t="shared" si="8"/>
        <v>1</v>
      </c>
      <c r="BU19" s="138">
        <f t="shared" si="9"/>
        <v>0</v>
      </c>
      <c r="BV19" s="132">
        <f t="shared" si="10"/>
        <v>1</v>
      </c>
      <c r="BW19" s="133"/>
      <c r="BX19" s="133"/>
    </row>
    <row r="20" ht="15" customHeight="1" spans="1:77">
      <c r="A20" s="123" t="str">
        <f>IF(B20="","",COUNT(A$6:A19)+1)</f>
        <v/>
      </c>
      <c r="B20" s="139"/>
      <c r="C20" s="140"/>
      <c r="D20" s="142"/>
      <c r="E20" s="127" t="str">
        <f>IFERROR(VLOOKUP(D20,参数表!$H$2:$I$50,2,FALSE),"")</f>
        <v/>
      </c>
      <c r="F20" s="128" t="str">
        <f t="shared" si="3"/>
        <v/>
      </c>
      <c r="G20" s="128" t="str">
        <f t="shared" si="4"/>
        <v/>
      </c>
      <c r="H20" s="143"/>
      <c r="I20" s="141"/>
      <c r="J20" s="141"/>
      <c r="K20" s="143"/>
      <c r="L20" s="144"/>
      <c r="M20" s="129" t="str">
        <f t="shared" si="5"/>
        <v/>
      </c>
      <c r="N20" s="129" t="str">
        <f t="shared" si="0"/>
        <v/>
      </c>
      <c r="O20" s="145"/>
      <c r="BA20" s="78"/>
      <c r="BB20" s="132" t="s">
        <v>5327</v>
      </c>
      <c r="BC20" s="133"/>
      <c r="BD20" s="132" t="str">
        <f>IF(OR(B20="",BC20=""),"",COUNTIF(BC$7:BC20,"√"))</f>
        <v/>
      </c>
      <c r="BE20" s="134" t="str">
        <f t="shared" si="1"/>
        <v/>
      </c>
      <c r="BF20" s="135" t="str">
        <f t="shared" si="6"/>
        <v/>
      </c>
      <c r="BG20" s="135" t="str">
        <f t="shared" si="6"/>
        <v/>
      </c>
      <c r="BH20" s="136"/>
      <c r="BI20" s="137"/>
      <c r="BJ20" s="136"/>
      <c r="BK20" s="136"/>
      <c r="BL20" s="136"/>
      <c r="BM20" s="136"/>
      <c r="BN20" s="136"/>
      <c r="BO20" s="137"/>
      <c r="BP20" s="137"/>
      <c r="BR20" s="134" t="str">
        <f>IF(COUNTIF(BR$6:BR19,B20)&gt;0,"",B20)&amp;""</f>
        <v/>
      </c>
      <c r="BS20" s="138">
        <f t="shared" si="7"/>
        <v>0</v>
      </c>
      <c r="BT20" s="132">
        <f t="shared" si="8"/>
        <v>1</v>
      </c>
      <c r="BU20" s="138">
        <f t="shared" si="9"/>
        <v>0</v>
      </c>
      <c r="BV20" s="132">
        <f t="shared" si="10"/>
        <v>1</v>
      </c>
      <c r="BW20" s="133"/>
      <c r="BX20" s="133"/>
    </row>
    <row r="21" ht="15" customHeight="1" spans="1:77">
      <c r="A21" s="123" t="str">
        <f>IF(B21="","",COUNT(A$6:A20)+1)</f>
        <v/>
      </c>
      <c r="B21" s="139"/>
      <c r="C21" s="140"/>
      <c r="D21" s="142"/>
      <c r="E21" s="127" t="str">
        <f>IFERROR(VLOOKUP(D21,参数表!$H$2:$I$50,2,FALSE),"")</f>
        <v/>
      </c>
      <c r="F21" s="128" t="str">
        <f t="shared" si="3"/>
        <v/>
      </c>
      <c r="G21" s="128" t="str">
        <f t="shared" si="4"/>
        <v/>
      </c>
      <c r="H21" s="143"/>
      <c r="I21" s="141"/>
      <c r="J21" s="141"/>
      <c r="K21" s="143"/>
      <c r="L21" s="144"/>
      <c r="M21" s="129" t="str">
        <f t="shared" si="5"/>
        <v/>
      </c>
      <c r="N21" s="129" t="str">
        <f t="shared" si="0"/>
        <v/>
      </c>
      <c r="O21" s="145"/>
      <c r="BA21" s="78"/>
      <c r="BB21" s="132" t="s">
        <v>5328</v>
      </c>
      <c r="BC21" s="133"/>
      <c r="BD21" s="132" t="str">
        <f>IF(OR(B21="",BC21=""),"",COUNTIF(BC$7:BC21,"√"))</f>
        <v/>
      </c>
      <c r="BE21" s="134" t="str">
        <f t="shared" si="1"/>
        <v/>
      </c>
      <c r="BF21" s="135" t="str">
        <f t="shared" si="6"/>
        <v/>
      </c>
      <c r="BG21" s="135" t="str">
        <f t="shared" si="6"/>
        <v/>
      </c>
      <c r="BH21" s="136"/>
      <c r="BI21" s="137"/>
      <c r="BJ21" s="136"/>
      <c r="BK21" s="136"/>
      <c r="BL21" s="136"/>
      <c r="BM21" s="136"/>
      <c r="BN21" s="136"/>
      <c r="BO21" s="137"/>
      <c r="BP21" s="137"/>
      <c r="BR21" s="134" t="str">
        <f>IF(COUNTIF(BR$6:BR20,B21)&gt;0,"",B21)&amp;""</f>
        <v/>
      </c>
      <c r="BS21" s="138">
        <f t="shared" si="7"/>
        <v>0</v>
      </c>
      <c r="BT21" s="132">
        <f t="shared" si="8"/>
        <v>1</v>
      </c>
      <c r="BU21" s="138">
        <f t="shared" si="9"/>
        <v>0</v>
      </c>
      <c r="BV21" s="132">
        <f t="shared" si="10"/>
        <v>1</v>
      </c>
      <c r="BW21" s="133"/>
      <c r="BX21" s="133"/>
    </row>
    <row r="22" ht="15" customHeight="1" spans="1:77">
      <c r="A22" s="123" t="str">
        <f>IF(B22="","",COUNT(A$6:A21)+1)</f>
        <v/>
      </c>
      <c r="B22" s="139"/>
      <c r="C22" s="140"/>
      <c r="D22" s="142"/>
      <c r="E22" s="127" t="str">
        <f>IFERROR(VLOOKUP(D22,参数表!$H$2:$I$50,2,FALSE),"")</f>
        <v/>
      </c>
      <c r="F22" s="128" t="str">
        <f t="shared" si="3"/>
        <v/>
      </c>
      <c r="G22" s="128" t="str">
        <f t="shared" si="4"/>
        <v/>
      </c>
      <c r="H22" s="143"/>
      <c r="I22" s="141"/>
      <c r="J22" s="141"/>
      <c r="K22" s="143"/>
      <c r="L22" s="144"/>
      <c r="M22" s="129" t="str">
        <f t="shared" si="5"/>
        <v/>
      </c>
      <c r="N22" s="129" t="str">
        <f t="shared" si="0"/>
        <v/>
      </c>
      <c r="O22" s="145"/>
      <c r="BA22" s="78"/>
      <c r="BB22" s="132" t="s">
        <v>5329</v>
      </c>
      <c r="BC22" s="133"/>
      <c r="BD22" s="132" t="str">
        <f>IF(OR(B22="",BC22=""),"",COUNTIF(BC$7:BC22,"√"))</f>
        <v/>
      </c>
      <c r="BE22" s="134" t="str">
        <f t="shared" si="1"/>
        <v/>
      </c>
      <c r="BF22" s="135" t="str">
        <f t="shared" si="6"/>
        <v/>
      </c>
      <c r="BG22" s="135" t="str">
        <f t="shared" si="6"/>
        <v/>
      </c>
      <c r="BH22" s="136"/>
      <c r="BI22" s="137"/>
      <c r="BJ22" s="136"/>
      <c r="BK22" s="136"/>
      <c r="BL22" s="136"/>
      <c r="BM22" s="136"/>
      <c r="BN22" s="136"/>
      <c r="BO22" s="137"/>
      <c r="BP22" s="137"/>
      <c r="BR22" s="134" t="str">
        <f>IF(COUNTIF(BR$6:BR21,B22)&gt;0,"",B22)&amp;""</f>
        <v/>
      </c>
      <c r="BS22" s="138">
        <f t="shared" si="7"/>
        <v>0</v>
      </c>
      <c r="BT22" s="132">
        <f t="shared" si="8"/>
        <v>1</v>
      </c>
      <c r="BU22" s="138">
        <f t="shared" si="9"/>
        <v>0</v>
      </c>
      <c r="BV22" s="132">
        <f t="shared" si="10"/>
        <v>1</v>
      </c>
      <c r="BW22" s="133"/>
      <c r="BX22" s="133"/>
    </row>
    <row r="23" ht="15" customHeight="1" spans="1:77">
      <c r="A23" s="123" t="str">
        <f>IF(B23="","",COUNT(A$6:A22)+1)</f>
        <v/>
      </c>
      <c r="B23" s="139"/>
      <c r="C23" s="140"/>
      <c r="D23" s="142"/>
      <c r="E23" s="127" t="str">
        <f>IFERROR(VLOOKUP(D23,参数表!$H$2:$I$50,2,FALSE),"")</f>
        <v/>
      </c>
      <c r="F23" s="128" t="str">
        <f t="shared" si="3"/>
        <v/>
      </c>
      <c r="G23" s="128" t="str">
        <f t="shared" si="4"/>
        <v/>
      </c>
      <c r="H23" s="143"/>
      <c r="I23" s="141"/>
      <c r="J23" s="141"/>
      <c r="K23" s="143"/>
      <c r="L23" s="144"/>
      <c r="M23" s="129" t="str">
        <f t="shared" si="5"/>
        <v/>
      </c>
      <c r="N23" s="129" t="str">
        <f t="shared" si="0"/>
        <v/>
      </c>
      <c r="O23" s="145"/>
      <c r="BA23" s="78"/>
      <c r="BB23" s="132" t="s">
        <v>5330</v>
      </c>
      <c r="BC23" s="133"/>
      <c r="BD23" s="132" t="str">
        <f>IF(OR(B23="",BC23=""),"",COUNTIF(BC$7:BC23,"√"))</f>
        <v/>
      </c>
      <c r="BE23" s="134" t="str">
        <f t="shared" si="1"/>
        <v/>
      </c>
      <c r="BF23" s="135" t="str">
        <f t="shared" si="6"/>
        <v/>
      </c>
      <c r="BG23" s="135" t="str">
        <f t="shared" si="6"/>
        <v/>
      </c>
      <c r="BH23" s="136"/>
      <c r="BI23" s="137"/>
      <c r="BJ23" s="136"/>
      <c r="BK23" s="136"/>
      <c r="BL23" s="136"/>
      <c r="BM23" s="136"/>
      <c r="BN23" s="136"/>
      <c r="BO23" s="137"/>
      <c r="BP23" s="137"/>
      <c r="BR23" s="134" t="str">
        <f>IF(COUNTIF(BR$6:BR22,B23)&gt;0,"",B23)&amp;""</f>
        <v/>
      </c>
      <c r="BS23" s="138">
        <f t="shared" si="7"/>
        <v>0</v>
      </c>
      <c r="BT23" s="132">
        <f t="shared" si="8"/>
        <v>1</v>
      </c>
      <c r="BU23" s="138">
        <f t="shared" si="9"/>
        <v>0</v>
      </c>
      <c r="BV23" s="132">
        <f t="shared" si="10"/>
        <v>1</v>
      </c>
      <c r="BW23" s="133"/>
      <c r="BX23" s="133"/>
    </row>
    <row r="24" ht="15" customHeight="1" spans="1:77">
      <c r="A24" s="123" t="str">
        <f>IF(B24="","",COUNT(A$6:A23)+1)</f>
        <v/>
      </c>
      <c r="B24" s="139"/>
      <c r="C24" s="140"/>
      <c r="D24" s="142"/>
      <c r="E24" s="127" t="str">
        <f>IFERROR(VLOOKUP(D24,参数表!$H$2:$I$50,2,FALSE),"")</f>
        <v/>
      </c>
      <c r="F24" s="128" t="str">
        <f t="shared" si="3"/>
        <v/>
      </c>
      <c r="G24" s="128" t="str">
        <f t="shared" si="4"/>
        <v/>
      </c>
      <c r="H24" s="143"/>
      <c r="I24" s="141"/>
      <c r="J24" s="141"/>
      <c r="K24" s="143"/>
      <c r="L24" s="144"/>
      <c r="M24" s="129" t="str">
        <f t="shared" si="5"/>
        <v/>
      </c>
      <c r="N24" s="129" t="str">
        <f t="shared" si="0"/>
        <v/>
      </c>
      <c r="O24" s="145"/>
      <c r="BA24" s="78"/>
      <c r="BB24" s="132" t="s">
        <v>5331</v>
      </c>
      <c r="BC24" s="133"/>
      <c r="BD24" s="132" t="str">
        <f>IF(OR(B24="",BC24=""),"",COUNTIF(BC$7:BC24,"√"))</f>
        <v/>
      </c>
      <c r="BE24" s="134" t="str">
        <f t="shared" si="1"/>
        <v/>
      </c>
      <c r="BF24" s="135" t="str">
        <f t="shared" si="6"/>
        <v/>
      </c>
      <c r="BG24" s="135" t="str">
        <f t="shared" si="6"/>
        <v/>
      </c>
      <c r="BH24" s="136"/>
      <c r="BI24" s="137"/>
      <c r="BJ24" s="136"/>
      <c r="BK24" s="136"/>
      <c r="BL24" s="136"/>
      <c r="BM24" s="136"/>
      <c r="BN24" s="136"/>
      <c r="BO24" s="137"/>
      <c r="BP24" s="137"/>
      <c r="BR24" s="134" t="str">
        <f>IF(COUNTIF(BR$6:BR23,B24)&gt;0,"",B24)&amp;""</f>
        <v/>
      </c>
      <c r="BS24" s="138">
        <f t="shared" si="7"/>
        <v>0</v>
      </c>
      <c r="BT24" s="132">
        <f t="shared" si="8"/>
        <v>1</v>
      </c>
      <c r="BU24" s="138">
        <f t="shared" si="9"/>
        <v>0</v>
      </c>
      <c r="BV24" s="132">
        <f t="shared" si="10"/>
        <v>1</v>
      </c>
      <c r="BW24" s="133"/>
      <c r="BX24" s="133"/>
    </row>
    <row r="25" ht="15" customHeight="1" spans="1:77">
      <c r="A25" s="123" t="str">
        <f>IF(B25="","",COUNT(A$6:A24)+1)</f>
        <v/>
      </c>
      <c r="B25" s="139"/>
      <c r="C25" s="140"/>
      <c r="D25" s="142"/>
      <c r="E25" s="127" t="str">
        <f>IFERROR(VLOOKUP(D25,参数表!$H$2:$I$50,2,FALSE),"")</f>
        <v/>
      </c>
      <c r="F25" s="128" t="str">
        <f t="shared" si="3"/>
        <v/>
      </c>
      <c r="G25" s="128" t="str">
        <f t="shared" si="4"/>
        <v/>
      </c>
      <c r="H25" s="143"/>
      <c r="I25" s="141"/>
      <c r="J25" s="141"/>
      <c r="K25" s="143"/>
      <c r="L25" s="144"/>
      <c r="M25" s="129" t="str">
        <f t="shared" si="5"/>
        <v/>
      </c>
      <c r="N25" s="129" t="str">
        <f t="shared" si="0"/>
        <v/>
      </c>
      <c r="O25" s="145"/>
      <c r="BA25" s="78"/>
      <c r="BB25" s="132" t="s">
        <v>5332</v>
      </c>
      <c r="BC25" s="133"/>
      <c r="BD25" s="132" t="str">
        <f>IF(OR(B25="",BC25=""),"",COUNTIF(BC$7:BC25,"√"))</f>
        <v/>
      </c>
      <c r="BE25" s="134" t="str">
        <f t="shared" si="1"/>
        <v/>
      </c>
      <c r="BF25" s="135" t="str">
        <f t="shared" si="6"/>
        <v/>
      </c>
      <c r="BG25" s="135" t="str">
        <f t="shared" si="6"/>
        <v/>
      </c>
      <c r="BH25" s="136"/>
      <c r="BI25" s="137"/>
      <c r="BJ25" s="136"/>
      <c r="BK25" s="136"/>
      <c r="BL25" s="136"/>
      <c r="BM25" s="136"/>
      <c r="BN25" s="136"/>
      <c r="BO25" s="137"/>
      <c r="BP25" s="137"/>
      <c r="BR25" s="134" t="str">
        <f>IF(COUNTIF(BR$6:BR24,B25)&gt;0,"",B25)&amp;""</f>
        <v/>
      </c>
      <c r="BS25" s="138">
        <f t="shared" si="7"/>
        <v>0</v>
      </c>
      <c r="BT25" s="132">
        <f t="shared" si="8"/>
        <v>1</v>
      </c>
      <c r="BU25" s="138">
        <f t="shared" si="9"/>
        <v>0</v>
      </c>
      <c r="BV25" s="132">
        <f t="shared" si="10"/>
        <v>1</v>
      </c>
      <c r="BW25" s="133"/>
      <c r="BX25" s="133"/>
    </row>
    <row r="26" ht="15" customHeight="1" spans="1:77">
      <c r="A26" s="123" t="str">
        <f>IF(B26="","",COUNT(A$6:A25)+1)</f>
        <v/>
      </c>
      <c r="B26" s="124"/>
      <c r="C26" s="125"/>
      <c r="D26" s="127"/>
      <c r="E26" s="127" t="str">
        <f>IFERROR(VLOOKUP(D26,参数表!$H$2:$I$50,2,FALSE),"")</f>
        <v/>
      </c>
      <c r="F26" s="128" t="str">
        <f t="shared" si="3"/>
        <v/>
      </c>
      <c r="G26" s="128" t="str">
        <f t="shared" si="4"/>
        <v/>
      </c>
      <c r="H26" s="129"/>
      <c r="I26" s="126"/>
      <c r="J26" s="126"/>
      <c r="K26" s="129"/>
      <c r="L26" s="130"/>
      <c r="M26" s="129" t="str">
        <f t="shared" si="5"/>
        <v/>
      </c>
      <c r="N26" s="129" t="str">
        <f t="shared" si="0"/>
        <v/>
      </c>
      <c r="O26" s="131"/>
      <c r="BA26" s="78"/>
      <c r="BB26" s="132" t="s">
        <v>5333</v>
      </c>
      <c r="BC26" s="133"/>
      <c r="BD26" s="132" t="str">
        <f>IF(OR(B26="",BC26=""),"",COUNTIF(BC$7:BC26,"√"))</f>
        <v/>
      </c>
      <c r="BE26" s="134" t="str">
        <f t="shared" si="1"/>
        <v/>
      </c>
      <c r="BF26" s="135" t="str">
        <f t="shared" si="6"/>
        <v/>
      </c>
      <c r="BG26" s="135" t="str">
        <f t="shared" si="6"/>
        <v/>
      </c>
      <c r="BH26" s="136"/>
      <c r="BI26" s="137"/>
      <c r="BJ26" s="136"/>
      <c r="BK26" s="136"/>
      <c r="BL26" s="136"/>
      <c r="BM26" s="136"/>
      <c r="BN26" s="136"/>
      <c r="BO26" s="137"/>
      <c r="BP26" s="137"/>
      <c r="BR26" s="134" t="str">
        <f>IF(COUNTIF(BR$6:BR25,B26)&gt;0,"",B26)&amp;""</f>
        <v/>
      </c>
      <c r="BS26" s="138">
        <f t="shared" si="7"/>
        <v>0</v>
      </c>
      <c r="BT26" s="132">
        <f t="shared" si="8"/>
        <v>1</v>
      </c>
      <c r="BU26" s="138">
        <f t="shared" si="9"/>
        <v>0</v>
      </c>
      <c r="BV26" s="132">
        <f t="shared" si="10"/>
        <v>1</v>
      </c>
      <c r="BW26" s="133"/>
      <c r="BX26" s="133"/>
    </row>
    <row r="27" s="73" customFormat="1" ht="15" customHeight="1" spans="1:77">
      <c r="A27" s="149" t="s">
        <v>1922</v>
      </c>
      <c r="B27" s="149"/>
      <c r="C27" s="150"/>
      <c r="D27" s="151"/>
      <c r="E27" s="151"/>
      <c r="F27" s="151"/>
      <c r="G27" s="151"/>
      <c r="H27" s="152">
        <f>SUM(H7:H26)</f>
        <v>0</v>
      </c>
      <c r="I27" s="151"/>
      <c r="J27" s="151"/>
      <c r="K27" s="152">
        <f>SUM(K7:K26)</f>
        <v>0</v>
      </c>
      <c r="L27" s="153"/>
      <c r="M27" s="152">
        <f>SUM(M7:M26)</f>
        <v>0</v>
      </c>
      <c r="N27" s="152">
        <f>SUM(N7:N26)</f>
        <v>0</v>
      </c>
      <c r="O27" s="151"/>
      <c r="BF27" s="75"/>
      <c r="BG27" s="75"/>
      <c r="BH27" s="165"/>
      <c r="BI27" s="75"/>
      <c r="BJ27" s="165"/>
      <c r="BK27" s="165"/>
      <c r="BL27" s="165"/>
      <c r="BM27" s="165"/>
      <c r="BN27" s="165"/>
      <c r="BO27" s="75"/>
      <c r="BP27" s="75"/>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4"/>
      <c r="J28" s="154"/>
      <c r="K28" s="103"/>
      <c r="L28" s="104"/>
      <c r="M28" s="103"/>
      <c r="N28" s="156" t="str">
        <f>"评估人员："&amp;封面!$G$38</f>
        <v>评估人员：</v>
      </c>
      <c r="O28" s="103"/>
    </row>
    <row r="29" customHeight="1" spans="1:77">
      <c r="A29" s="102" t="str">
        <f>参数表!F$7</f>
        <v>填表日期：2025年9月20日</v>
      </c>
      <c r="B29" s="154"/>
      <c r="C29" s="154"/>
      <c r="D29" s="154"/>
      <c r="E29" s="154"/>
      <c r="F29" s="154"/>
      <c r="G29" s="154"/>
      <c r="H29" s="154"/>
      <c r="I29" s="154"/>
      <c r="J29" s="154"/>
      <c r="K29" s="103"/>
      <c r="L29" s="104"/>
      <c r="M29" s="103"/>
      <c r="N29" s="103"/>
      <c r="O29" s="103"/>
    </row>
    <row r="30" hidden="1" customHeight="1" outlineLevel="1" spans="1:77">
      <c r="A30" s="157"/>
      <c r="B30" s="154" t="s">
        <v>1673</v>
      </c>
      <c r="C30" s="158"/>
      <c r="D30" s="158"/>
      <c r="E30" s="158"/>
      <c r="F30" s="158"/>
      <c r="G30" s="158"/>
      <c r="H30" s="158"/>
      <c r="I30" s="158"/>
      <c r="J30" s="158"/>
      <c r="K30" s="159">
        <f>SUMIF($BA7:$BA26,$BA30,K7:K26)</f>
        <v>0</v>
      </c>
      <c r="L30" s="202"/>
      <c r="M30" s="159">
        <f>SUMIF($BA7:$BA26,$BA30,M7:M26)</f>
        <v>0</v>
      </c>
      <c r="N30" s="159">
        <f>SUMIF($BA7:$BA26,$BA30,N7:N26)</f>
        <v>0</v>
      </c>
      <c r="BA30" s="161" t="s">
        <v>1674</v>
      </c>
      <c r="BH30" s="95" t="s">
        <v>1675</v>
      </c>
      <c r="BJ30" s="95" t="s">
        <v>1675</v>
      </c>
      <c r="BK30" s="95" t="s">
        <v>1675</v>
      </c>
      <c r="BL30" s="95" t="s">
        <v>1675</v>
      </c>
      <c r="BM30" s="95" t="s">
        <v>1674</v>
      </c>
      <c r="BN30" s="95" t="s">
        <v>1674</v>
      </c>
    </row>
    <row r="31" hidden="1" customHeight="1" outlineLevel="1" spans="1:77">
      <c r="A31" s="157"/>
      <c r="B31" s="154" t="s">
        <v>1676</v>
      </c>
      <c r="C31" s="158"/>
      <c r="D31" s="158"/>
      <c r="E31" s="158"/>
      <c r="F31" s="158"/>
      <c r="G31" s="158"/>
      <c r="H31" s="158"/>
      <c r="I31" s="158"/>
      <c r="J31" s="158"/>
      <c r="K31" s="159">
        <f>K27-K30</f>
        <v>0</v>
      </c>
      <c r="L31" s="202"/>
      <c r="M31" s="159">
        <f>M27-M30</f>
        <v>0</v>
      </c>
      <c r="N31" s="159">
        <f>N27-N30</f>
        <v>0</v>
      </c>
      <c r="BA31" s="161" t="s">
        <v>1677</v>
      </c>
      <c r="BH31" s="95" t="s">
        <v>1678</v>
      </c>
      <c r="BJ31" s="95" t="s">
        <v>1678</v>
      </c>
      <c r="BK31" s="95" t="s">
        <v>1678</v>
      </c>
      <c r="BL31" s="95" t="s">
        <v>1678</v>
      </c>
      <c r="BM31" s="95" t="s">
        <v>1677</v>
      </c>
      <c r="BN31" s="95" t="s">
        <v>1677</v>
      </c>
    </row>
    <row r="32" customHeight="1" collapsed="1" spans="1:77">
      <c r="A32" s="157"/>
      <c r="B32" s="158"/>
      <c r="C32" s="158"/>
      <c r="D32" s="158"/>
      <c r="E32" s="158"/>
      <c r="F32" s="158"/>
      <c r="G32" s="158"/>
      <c r="H32" s="158"/>
      <c r="I32" s="158"/>
      <c r="J32" s="158"/>
    </row>
    <row r="33" customHeight="1" spans="1:10">
      <c r="A33" s="157"/>
      <c r="B33" s="158"/>
      <c r="C33" s="158"/>
      <c r="D33" s="158"/>
      <c r="E33" s="158"/>
      <c r="F33" s="158"/>
      <c r="G33" s="158"/>
      <c r="H33" s="158"/>
      <c r="I33" s="158"/>
      <c r="J33" s="158"/>
    </row>
    <row r="34" customHeight="1" spans="1:10">
      <c r="A34" s="157"/>
      <c r="B34" s="158"/>
      <c r="C34" s="158"/>
      <c r="D34" s="158"/>
      <c r="E34" s="158"/>
      <c r="F34" s="158"/>
      <c r="G34" s="158"/>
      <c r="H34" s="158"/>
      <c r="I34" s="158"/>
      <c r="J34" s="158"/>
    </row>
    <row r="35" customHeight="1" spans="1:10">
      <c r="A35" s="157"/>
      <c r="B35" s="158"/>
      <c r="C35" s="158"/>
      <c r="D35" s="158"/>
      <c r="E35" s="158"/>
      <c r="F35" s="158"/>
      <c r="G35" s="158"/>
      <c r="H35" s="158"/>
      <c r="I35" s="158"/>
      <c r="J35" s="158"/>
    </row>
    <row r="36" customHeight="1" spans="1:10">
      <c r="A36" s="157"/>
      <c r="B36" s="158"/>
      <c r="C36" s="158"/>
      <c r="D36" s="158"/>
      <c r="E36" s="158"/>
      <c r="F36" s="158"/>
      <c r="G36" s="158"/>
      <c r="H36" s="158"/>
      <c r="I36" s="158"/>
      <c r="J36" s="158"/>
    </row>
    <row r="37" customHeight="1" spans="1:10">
      <c r="D37" s="158"/>
      <c r="E37" s="158"/>
      <c r="F37" s="158"/>
      <c r="G37" s="158"/>
    </row>
  </sheetData>
  <sheetProtection autoFilter="0"/>
  <mergeCells count="6">
    <mergeCell ref="A2:O2"/>
    <mergeCell ref="A3:O3"/>
    <mergeCell ref="BW7:BY7"/>
    <mergeCell ref="BW8:BY8"/>
    <mergeCell ref="BX14:BY14"/>
    <mergeCell ref="A27:B27"/>
  </mergeCells>
  <conditionalFormatting sqref="BH7:BH26">
    <cfRule type="expression" dxfId="5" priority="12"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D7:D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13" display="返回索引页"/>
    <hyperlink ref="B1" location="流动负债汇总!B13"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7"/>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1.7" style="75" customWidth="1"/>
    <col min="3" max="4" width="13.2" style="75" customWidth="1"/>
    <col min="5" max="6" width="4.6" style="75" customWidth="1" outlineLevel="1"/>
    <col min="7" max="7" width="6.1" style="75" customWidth="1" outlineLevel="1"/>
    <col min="8" max="8" width="20.6" style="75" customWidth="1" outlineLevel="1"/>
    <col min="9" max="9" width="20.6" style="76" customWidth="1" outlineLevel="1"/>
    <col min="10" max="11" width="20.6" style="75" customWidth="1"/>
    <col min="12" max="12" width="16.7" style="75" customWidth="1"/>
    <col min="13"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165" customWidth="1"/>
    <col min="61" max="61" width="11.5" style="75" customWidth="1"/>
    <col min="62" max="65" width="4.7" style="165" customWidth="1"/>
    <col min="66" max="66" width="6.7" style="16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3.8" spans="1:77">
      <c r="A1" s="273" t="s">
        <v>1591</v>
      </c>
      <c r="B1" s="80" t="s">
        <v>1592</v>
      </c>
      <c r="C1" s="81"/>
      <c r="D1" s="81"/>
      <c r="E1" s="82"/>
      <c r="F1" s="82"/>
      <c r="G1" s="82"/>
      <c r="H1" s="81"/>
      <c r="I1" s="83"/>
      <c r="J1" s="81"/>
      <c r="K1" s="81"/>
      <c r="L1" s="81"/>
      <c r="BA1" s="84" t="str">
        <f>参数表!BA1</f>
        <v>注意：补充特殊事项、作价等均从BA列开始填写</v>
      </c>
      <c r="BB1" s="85"/>
      <c r="BC1" s="86"/>
      <c r="BD1" s="86"/>
      <c r="BE1" s="86"/>
      <c r="BF1" s="86"/>
      <c r="BG1" s="86"/>
      <c r="BH1" s="82"/>
      <c r="BI1" s="86"/>
      <c r="BJ1" s="82"/>
      <c r="BK1" s="82"/>
      <c r="BL1" s="168"/>
      <c r="BM1" s="168"/>
      <c r="BN1" s="168"/>
      <c r="BQ1" s="87"/>
      <c r="BR1" s="88"/>
      <c r="BS1" s="87"/>
      <c r="BT1" s="88"/>
      <c r="BU1" s="88"/>
      <c r="BV1" s="88"/>
      <c r="BW1" s="88"/>
      <c r="BX1" s="88"/>
      <c r="BY1" s="87"/>
    </row>
    <row r="2" s="71" customFormat="1" ht="30" customHeight="1" spans="1:77">
      <c r="A2" s="89" t="s">
        <v>5334</v>
      </c>
      <c r="B2" s="89"/>
      <c r="C2" s="89"/>
      <c r="D2" s="89"/>
      <c r="E2" s="89"/>
      <c r="F2" s="89"/>
      <c r="G2" s="89"/>
      <c r="H2" s="89"/>
      <c r="I2" s="89"/>
      <c r="J2" s="89"/>
      <c r="K2" s="89"/>
      <c r="L2" s="89"/>
      <c r="BA2" s="90" t="str">
        <f>参数表!BA2</f>
        <v>评估基准日：</v>
      </c>
      <c r="BB2" s="91" t="str">
        <f>参数表!$BB$2</f>
        <v>2025年7月31日</v>
      </c>
      <c r="BH2" s="171"/>
      <c r="BJ2" s="171"/>
      <c r="BK2" s="171"/>
      <c r="BL2" s="171"/>
      <c r="BM2" s="171"/>
      <c r="BN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BA3" s="90" t="str">
        <f>参数表!BA3</f>
        <v>是否显示评估值：</v>
      </c>
      <c r="BB3" s="90" t="str">
        <f>参数表!$BB$3</f>
        <v>是</v>
      </c>
      <c r="BS3" s="78"/>
    </row>
    <row r="4" ht="15" customHeight="1" spans="1:77">
      <c r="A4" s="96"/>
      <c r="B4" s="94"/>
      <c r="C4" s="94"/>
      <c r="D4" s="94"/>
      <c r="E4" s="94"/>
      <c r="F4" s="94"/>
      <c r="G4" s="94"/>
      <c r="H4" s="94"/>
      <c r="I4" s="97"/>
      <c r="J4" s="94"/>
      <c r="K4" s="94"/>
      <c r="L4" s="98" t="str">
        <f>"表"&amp;$BA4</f>
        <v>表5-11-2</v>
      </c>
      <c r="BA4" s="274" t="str">
        <f>其他应付总!A8</f>
        <v>5-11-2</v>
      </c>
      <c r="BB4" s="100">
        <f>MAX(COUNTA(A7:A26),COUNTA(B7:B26),COUNTA(H7:H26),COUNTA(J7:J26))</f>
        <v>20</v>
      </c>
      <c r="BC4" s="101">
        <f>ROW(A6)+1</f>
        <v>7</v>
      </c>
      <c r="BD4" s="77"/>
      <c r="BE4" s="77"/>
      <c r="BS4" s="78"/>
    </row>
    <row r="5" ht="15" customHeight="1" spans="1:77">
      <c r="A5" s="102" t="str">
        <f>参数表!F3</f>
        <v>产权持有单位:中煤第五建设有限公司</v>
      </c>
      <c r="B5" s="103"/>
      <c r="C5" s="103"/>
      <c r="D5" s="103"/>
      <c r="E5" s="103"/>
      <c r="F5" s="103"/>
      <c r="G5" s="103"/>
      <c r="H5" s="103"/>
      <c r="I5" s="104"/>
      <c r="J5" s="103"/>
      <c r="K5" s="103"/>
      <c r="L5" s="98" t="s">
        <v>236</v>
      </c>
      <c r="BA5" s="103"/>
      <c r="BB5" s="105" t="str">
        <f ca="1">判断表!C112</f>
        <v>中煤第五建设有限公司第三工程处拟处置实物资产项目\[0000-3基础法明细表.xlsx]其他应付-股利</v>
      </c>
      <c r="BC5" s="106">
        <f>IFERROR(SUMIF(BC7:BC26,"√",J7:J26)/K27,0)</f>
        <v>0</v>
      </c>
      <c r="BD5" s="107"/>
      <c r="BE5" s="107"/>
      <c r="BF5" s="108">
        <f>'其他应付-利息'!BF5</f>
        <v>0</v>
      </c>
      <c r="BG5" s="108">
        <f>'其他应付-利息'!BG5</f>
        <v>0</v>
      </c>
      <c r="BH5" s="109"/>
      <c r="BI5" s="109"/>
      <c r="BJ5" s="109"/>
      <c r="BK5" s="109"/>
      <c r="BL5" s="109"/>
      <c r="BM5" s="109"/>
      <c r="BN5" s="109"/>
      <c r="BO5" s="110"/>
      <c r="BP5" s="110"/>
      <c r="BQ5" s="111"/>
      <c r="BS5" s="78"/>
      <c r="BX5" s="194"/>
      <c r="BY5" s="111"/>
    </row>
    <row r="6" s="72" customFormat="1" ht="25.2" customHeight="1" spans="1:77">
      <c r="A6" s="112" t="s">
        <v>305</v>
      </c>
      <c r="B6" s="113" t="s">
        <v>5335</v>
      </c>
      <c r="C6" s="113" t="s">
        <v>1961</v>
      </c>
      <c r="D6" s="113" t="s">
        <v>5336</v>
      </c>
      <c r="E6" s="114" t="s">
        <v>1631</v>
      </c>
      <c r="F6" s="115" t="s">
        <v>1632</v>
      </c>
      <c r="G6" s="116" t="s">
        <v>3793</v>
      </c>
      <c r="H6" s="113" t="s">
        <v>1549</v>
      </c>
      <c r="I6" s="117" t="s">
        <v>1634</v>
      </c>
      <c r="J6" s="118" t="s">
        <v>1523</v>
      </c>
      <c r="K6" s="113" t="s">
        <v>1550</v>
      </c>
      <c r="L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6"/>
      <c r="E7" s="127"/>
      <c r="F7" s="127" t="str">
        <f>IFERROR(VLOOKUP(E7,参数表!$H$2:$I$50,2,FALSE),"")</f>
        <v/>
      </c>
      <c r="G7" s="128" t="str">
        <f>IFERROR(IF(OR(E7="人民币",E7=""),"",J7/F7),"")</f>
        <v/>
      </c>
      <c r="H7" s="129"/>
      <c r="I7" s="130"/>
      <c r="J7" s="129" t="str">
        <f>IF(B7="","",H7+I7)</f>
        <v/>
      </c>
      <c r="K7" s="129" t="str">
        <f t="shared" ref="K7:K26" si="0">IF(B7="","",IF($BB$3="是",J7,""))</f>
        <v/>
      </c>
      <c r="L7" s="131"/>
      <c r="BA7" s="78"/>
      <c r="BB7" s="132" t="s">
        <v>5337</v>
      </c>
      <c r="BC7" s="133"/>
      <c r="BD7" s="132" t="str">
        <f>IF(OR(B7="",BC7=""),"",COUNTIF(BC$7:BC7,"√"))</f>
        <v/>
      </c>
      <c r="BE7" s="134" t="str">
        <f t="shared" ref="BE7:BE26" si="1">IF(BC7="","",BB7&amp;"︱"&amp;B7&amp;"︱"&amp;TEXT(H7,"#,##0.00"))</f>
        <v/>
      </c>
      <c r="BF7" s="135" t="str">
        <f>IF($B7="","",IF(BF$5=0,"OK","出错"))</f>
        <v/>
      </c>
      <c r="BG7" s="135" t="str">
        <f>IF($B7="","",IF(BG$5=0,"OK","出错"))</f>
        <v/>
      </c>
      <c r="BH7" s="136"/>
      <c r="BI7" s="137"/>
      <c r="BJ7" s="136"/>
      <c r="BK7" s="136"/>
      <c r="BL7" s="136"/>
      <c r="BM7" s="136"/>
      <c r="BN7" s="136"/>
      <c r="BO7" s="137"/>
      <c r="BP7" s="137"/>
      <c r="BR7" s="134" t="str">
        <f>IF(COUNTIF(BR$6:BR6,B7)&gt;0,"",B7)&amp;""</f>
        <v/>
      </c>
      <c r="BS7" s="138">
        <f>SUMIF(B$7:B$26,BR7,J$7:J$26)</f>
        <v>0</v>
      </c>
      <c r="BT7" s="132">
        <f t="shared" ref="BT7" si="2">RANK(BS7,BS$7:BS$26)</f>
        <v>1</v>
      </c>
      <c r="BU7" s="138">
        <f>SUMIF(B$7:B$26,BR7,K$7:K$26)</f>
        <v>0</v>
      </c>
      <c r="BV7" s="132">
        <f>RANK(BU7,BU$7:BU$26)</f>
        <v>1</v>
      </c>
      <c r="BW7" s="138">
        <f>SUM(BS7:BS26)</f>
        <v>0</v>
      </c>
      <c r="BX7" s="138"/>
      <c r="BY7" s="138"/>
    </row>
    <row r="8" ht="15" customHeight="1" spans="1:77">
      <c r="A8" s="123" t="str">
        <f>IF(B8="","",COUNT(A$6:A7)+1)</f>
        <v/>
      </c>
      <c r="B8" s="139"/>
      <c r="C8" s="140"/>
      <c r="D8" s="141"/>
      <c r="E8" s="142"/>
      <c r="F8" s="127" t="str">
        <f>IFERROR(VLOOKUP(E8,参数表!$H$2:$I$50,2,FALSE),"")</f>
        <v/>
      </c>
      <c r="G8" s="128" t="str">
        <f t="shared" ref="G8:G26" si="3">IFERROR(IF(OR(E8="人民币",E8=""),"",J8/F8),"")</f>
        <v/>
      </c>
      <c r="H8" s="143"/>
      <c r="I8" s="144"/>
      <c r="J8" s="129" t="str">
        <f t="shared" ref="J8:J26" si="4">IF(B8="","",H8+I8)</f>
        <v/>
      </c>
      <c r="K8" s="129" t="str">
        <f t="shared" si="0"/>
        <v/>
      </c>
      <c r="L8" s="145"/>
      <c r="BA8" s="78"/>
      <c r="BB8" s="132" t="s">
        <v>5338</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R8" s="134" t="str">
        <f>IF(COUNTIF(BR$6:BR7,B8)&gt;0,"",B8)&amp;""</f>
        <v/>
      </c>
      <c r="BS8" s="138">
        <f t="shared" ref="BS8:BS26" si="6">SUMIF(B$7:B$26,BR8,J$7:J$26)</f>
        <v>0</v>
      </c>
      <c r="BT8" s="132">
        <f t="shared" ref="BT8:BT26" si="7">RANK(BS8,BS$7:BS$26)</f>
        <v>1</v>
      </c>
      <c r="BU8" s="138">
        <f t="shared" ref="BU8:BU26" si="8">SUMIF(B$7:B$26,BR8,K$7:K$26)</f>
        <v>0</v>
      </c>
      <c r="BV8" s="132">
        <f t="shared" ref="BV8:BV26" si="9">RANK(BU8,BU$7:BU$26)</f>
        <v>1</v>
      </c>
      <c r="BW8" s="138">
        <f>SUM(BU7:BU26)</f>
        <v>0</v>
      </c>
      <c r="BX8" s="138"/>
      <c r="BY8" s="138"/>
    </row>
    <row r="9" ht="15" customHeight="1" spans="1:77">
      <c r="A9" s="123" t="str">
        <f>IF(B9="","",COUNT(A$6:A8)+1)</f>
        <v/>
      </c>
      <c r="B9" s="139"/>
      <c r="C9" s="140"/>
      <c r="D9" s="141"/>
      <c r="E9" s="142"/>
      <c r="F9" s="127" t="str">
        <f>IFERROR(VLOOKUP(E9,参数表!$H$2:$I$50,2,FALSE),"")</f>
        <v/>
      </c>
      <c r="G9" s="128" t="str">
        <f t="shared" si="3"/>
        <v/>
      </c>
      <c r="H9" s="143"/>
      <c r="I9" s="144"/>
      <c r="J9" s="129" t="str">
        <f t="shared" si="4"/>
        <v/>
      </c>
      <c r="K9" s="129" t="str">
        <f t="shared" si="0"/>
        <v/>
      </c>
      <c r="L9" s="145"/>
      <c r="BA9" s="78"/>
      <c r="BB9" s="132" t="s">
        <v>5339</v>
      </c>
      <c r="BC9" s="133"/>
      <c r="BD9" s="132" t="str">
        <f>IF(OR(B9="",BC9=""),"",COUNTIF(BC$7:BC9,"√"))</f>
        <v/>
      </c>
      <c r="BE9" s="134" t="str">
        <f t="shared" si="1"/>
        <v/>
      </c>
      <c r="BF9" s="135" t="str">
        <f t="shared" si="5"/>
        <v/>
      </c>
      <c r="BG9" s="135" t="str">
        <f t="shared" si="5"/>
        <v/>
      </c>
      <c r="BH9" s="136"/>
      <c r="BI9" s="137"/>
      <c r="BJ9" s="136"/>
      <c r="BK9" s="136"/>
      <c r="BL9" s="136"/>
      <c r="BM9" s="136"/>
      <c r="BN9" s="136"/>
      <c r="BO9" s="137"/>
      <c r="BP9" s="137"/>
      <c r="BR9" s="134" t="str">
        <f>IF(COUNTIF(BR$6:BR8,B9)&gt;0,"",B9)&amp;""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1"/>
      <c r="E10" s="142"/>
      <c r="F10" s="127" t="str">
        <f>IFERROR(VLOOKUP(E10,参数表!$H$2:$I$50,2,FALSE),"")</f>
        <v/>
      </c>
      <c r="G10" s="128" t="str">
        <f t="shared" si="3"/>
        <v/>
      </c>
      <c r="H10" s="143"/>
      <c r="I10" s="144"/>
      <c r="J10" s="129" t="str">
        <f t="shared" si="4"/>
        <v/>
      </c>
      <c r="K10" s="129" t="str">
        <f t="shared" si="0"/>
        <v/>
      </c>
      <c r="L10" s="145"/>
      <c r="BA10" s="78"/>
      <c r="BB10" s="132" t="s">
        <v>5340</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R10" s="134" t="str">
        <f>IF(COUNTIF(BR$6:BR9,B10)&gt;0,"",B10)&amp;""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1"/>
      <c r="E11" s="142"/>
      <c r="F11" s="127" t="str">
        <f>IFERROR(VLOOKUP(E11,参数表!$H$2:$I$50,2,FALSE),"")</f>
        <v/>
      </c>
      <c r="G11" s="128" t="str">
        <f t="shared" si="3"/>
        <v/>
      </c>
      <c r="H11" s="143"/>
      <c r="I11" s="144"/>
      <c r="J11" s="129" t="str">
        <f t="shared" si="4"/>
        <v/>
      </c>
      <c r="K11" s="129" t="str">
        <f t="shared" si="0"/>
        <v/>
      </c>
      <c r="L11" s="145"/>
      <c r="BA11" s="78"/>
      <c r="BB11" s="132" t="s">
        <v>5341</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R11" s="134" t="str">
        <f>IF(COUNTIF(BR$6:BR10,B11)&gt;0,"",B11)&amp;""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1"/>
      <c r="E12" s="142"/>
      <c r="F12" s="127" t="str">
        <f>IFERROR(VLOOKUP(E12,参数表!$H$2:$I$50,2,FALSE),"")</f>
        <v/>
      </c>
      <c r="G12" s="128" t="str">
        <f t="shared" si="3"/>
        <v/>
      </c>
      <c r="H12" s="143"/>
      <c r="I12" s="144"/>
      <c r="J12" s="129" t="str">
        <f t="shared" si="4"/>
        <v/>
      </c>
      <c r="K12" s="129" t="str">
        <f t="shared" si="0"/>
        <v/>
      </c>
      <c r="L12" s="145"/>
      <c r="BA12" s="78"/>
      <c r="BB12" s="132" t="s">
        <v>5342</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R12" s="134" t="str">
        <f>IF(COUNTIF(BR$6:BR11,B12)&gt;0,"",B12)&amp;""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1"/>
      <c r="E13" s="142"/>
      <c r="F13" s="127" t="str">
        <f>IFERROR(VLOOKUP(E13,参数表!$H$2:$I$50,2,FALSE),"")</f>
        <v/>
      </c>
      <c r="G13" s="128" t="str">
        <f t="shared" si="3"/>
        <v/>
      </c>
      <c r="H13" s="143"/>
      <c r="I13" s="144"/>
      <c r="J13" s="129" t="str">
        <f t="shared" si="4"/>
        <v/>
      </c>
      <c r="K13" s="129" t="str">
        <f t="shared" si="0"/>
        <v/>
      </c>
      <c r="L13" s="145"/>
      <c r="BA13" s="78"/>
      <c r="BB13" s="132" t="s">
        <v>5343</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R13" s="134" t="str">
        <f>IF(COUNTIF(BR$6:BR12,B13)&gt;0,"",B13)&amp;""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1"/>
      <c r="E14" s="142"/>
      <c r="F14" s="127" t="str">
        <f>IFERROR(VLOOKUP(E14,参数表!$H$2:$I$50,2,FALSE),"")</f>
        <v/>
      </c>
      <c r="G14" s="128" t="str">
        <f t="shared" si="3"/>
        <v/>
      </c>
      <c r="H14" s="143"/>
      <c r="I14" s="144"/>
      <c r="J14" s="129" t="str">
        <f t="shared" si="4"/>
        <v/>
      </c>
      <c r="K14" s="129" t="str">
        <f t="shared" si="0"/>
        <v/>
      </c>
      <c r="L14" s="145"/>
      <c r="BA14" s="78"/>
      <c r="BB14" s="132" t="s">
        <v>5344</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R14" s="134" t="str">
        <f>IF(COUNTIF(BR$6:BR13,B14)&gt;0,"",B14)&amp;""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1"/>
      <c r="E15" s="142"/>
      <c r="F15" s="127" t="str">
        <f>IFERROR(VLOOKUP(E15,参数表!$H$2:$I$50,2,FALSE),"")</f>
        <v/>
      </c>
      <c r="G15" s="128" t="str">
        <f t="shared" si="3"/>
        <v/>
      </c>
      <c r="H15" s="143"/>
      <c r="I15" s="144"/>
      <c r="J15" s="129" t="str">
        <f t="shared" si="4"/>
        <v/>
      </c>
      <c r="K15" s="129" t="str">
        <f t="shared" si="0"/>
        <v/>
      </c>
      <c r="L15" s="145"/>
      <c r="BA15" s="78"/>
      <c r="BB15" s="132" t="s">
        <v>5345</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R15" s="134" t="str">
        <f>IF(COUNTIF(BR$6:BR14,B15)&gt;0,"",B15)&amp;""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1"/>
      <c r="E16" s="142"/>
      <c r="F16" s="127" t="str">
        <f>IFERROR(VLOOKUP(E16,参数表!$H$2:$I$50,2,FALSE),"")</f>
        <v/>
      </c>
      <c r="G16" s="128" t="str">
        <f t="shared" si="3"/>
        <v/>
      </c>
      <c r="H16" s="143"/>
      <c r="I16" s="144"/>
      <c r="J16" s="129" t="str">
        <f t="shared" si="4"/>
        <v/>
      </c>
      <c r="K16" s="129" t="str">
        <f t="shared" si="0"/>
        <v/>
      </c>
      <c r="L16" s="145"/>
      <c r="BA16" s="78"/>
      <c r="BB16" s="132" t="s">
        <v>5346</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R16" s="134" t="str">
        <f>IF(COUNTIF(BR$6:BR15,B16)&gt;0,"",B16)&amp;""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1"/>
      <c r="E17" s="142"/>
      <c r="F17" s="127" t="str">
        <f>IFERROR(VLOOKUP(E17,参数表!$H$2:$I$50,2,FALSE),"")</f>
        <v/>
      </c>
      <c r="G17" s="128" t="str">
        <f t="shared" si="3"/>
        <v/>
      </c>
      <c r="H17" s="143"/>
      <c r="I17" s="144"/>
      <c r="J17" s="129" t="str">
        <f t="shared" si="4"/>
        <v/>
      </c>
      <c r="K17" s="129" t="str">
        <f t="shared" si="0"/>
        <v/>
      </c>
      <c r="L17" s="145"/>
      <c r="BA17" s="78"/>
      <c r="BB17" s="132" t="s">
        <v>5347</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R17" s="134" t="str">
        <f>IF(COUNTIF(BR$6:BR16,B17)&gt;0,"",B17)&amp;""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1"/>
      <c r="E18" s="142"/>
      <c r="F18" s="127" t="str">
        <f>IFERROR(VLOOKUP(E18,参数表!$H$2:$I$50,2,FALSE),"")</f>
        <v/>
      </c>
      <c r="G18" s="128" t="str">
        <f t="shared" si="3"/>
        <v/>
      </c>
      <c r="H18" s="143"/>
      <c r="I18" s="144"/>
      <c r="J18" s="129" t="str">
        <f t="shared" si="4"/>
        <v/>
      </c>
      <c r="K18" s="129" t="str">
        <f t="shared" si="0"/>
        <v/>
      </c>
      <c r="L18" s="145"/>
      <c r="BA18" s="78"/>
      <c r="BB18" s="132" t="s">
        <v>5348</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R18" s="134" t="str">
        <f>IF(COUNTIF(BR$6:BR17,B18)&gt;0,"",B18)&amp;""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1"/>
      <c r="E19" s="142"/>
      <c r="F19" s="127" t="str">
        <f>IFERROR(VLOOKUP(E19,参数表!$H$2:$I$50,2,FALSE),"")</f>
        <v/>
      </c>
      <c r="G19" s="128" t="str">
        <f t="shared" si="3"/>
        <v/>
      </c>
      <c r="H19" s="143"/>
      <c r="I19" s="144"/>
      <c r="J19" s="129" t="str">
        <f t="shared" si="4"/>
        <v/>
      </c>
      <c r="K19" s="129" t="str">
        <f t="shared" si="0"/>
        <v/>
      </c>
      <c r="L19" s="145"/>
      <c r="BA19" s="78"/>
      <c r="BB19" s="132" t="s">
        <v>5349</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R19" s="134" t="str">
        <f>IF(COUNTIF(BR$6:BR18,B19)&gt;0,"",B19)&amp;""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1"/>
      <c r="E20" s="142"/>
      <c r="F20" s="127" t="str">
        <f>IFERROR(VLOOKUP(E20,参数表!$H$2:$I$50,2,FALSE),"")</f>
        <v/>
      </c>
      <c r="G20" s="128" t="str">
        <f t="shared" si="3"/>
        <v/>
      </c>
      <c r="H20" s="143"/>
      <c r="I20" s="144"/>
      <c r="J20" s="129" t="str">
        <f t="shared" si="4"/>
        <v/>
      </c>
      <c r="K20" s="129" t="str">
        <f t="shared" si="0"/>
        <v/>
      </c>
      <c r="L20" s="145"/>
      <c r="BA20" s="78"/>
      <c r="BB20" s="132" t="s">
        <v>5350</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R20" s="134" t="str">
        <f>IF(COUNTIF(BR$6:BR19,B20)&gt;0,"",B20)&amp;""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1"/>
      <c r="E21" s="142"/>
      <c r="F21" s="127" t="str">
        <f>IFERROR(VLOOKUP(E21,参数表!$H$2:$I$50,2,FALSE),"")</f>
        <v/>
      </c>
      <c r="G21" s="128" t="str">
        <f t="shared" si="3"/>
        <v/>
      </c>
      <c r="H21" s="143"/>
      <c r="I21" s="144"/>
      <c r="J21" s="129" t="str">
        <f t="shared" si="4"/>
        <v/>
      </c>
      <c r="K21" s="129" t="str">
        <f t="shared" si="0"/>
        <v/>
      </c>
      <c r="L21" s="145"/>
      <c r="BA21" s="78"/>
      <c r="BB21" s="132" t="s">
        <v>5351</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R21" s="134" t="str">
        <f>IF(COUNTIF(BR$6:BR20,B21)&gt;0,"",B21)&amp;""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1"/>
      <c r="E22" s="142"/>
      <c r="F22" s="127" t="str">
        <f>IFERROR(VLOOKUP(E22,参数表!$H$2:$I$50,2,FALSE),"")</f>
        <v/>
      </c>
      <c r="G22" s="128" t="str">
        <f t="shared" si="3"/>
        <v/>
      </c>
      <c r="H22" s="143"/>
      <c r="I22" s="144"/>
      <c r="J22" s="129" t="str">
        <f t="shared" si="4"/>
        <v/>
      </c>
      <c r="K22" s="129" t="str">
        <f t="shared" si="0"/>
        <v/>
      </c>
      <c r="L22" s="145"/>
      <c r="BA22" s="78"/>
      <c r="BB22" s="132" t="s">
        <v>5352</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R22" s="134" t="str">
        <f>IF(COUNTIF(BR$6:BR21,B22)&gt;0,"",B22)&amp;""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1"/>
      <c r="E23" s="142"/>
      <c r="F23" s="127" t="str">
        <f>IFERROR(VLOOKUP(E23,参数表!$H$2:$I$50,2,FALSE),"")</f>
        <v/>
      </c>
      <c r="G23" s="128" t="str">
        <f t="shared" si="3"/>
        <v/>
      </c>
      <c r="H23" s="143"/>
      <c r="I23" s="144"/>
      <c r="J23" s="129" t="str">
        <f t="shared" si="4"/>
        <v/>
      </c>
      <c r="K23" s="129" t="str">
        <f t="shared" si="0"/>
        <v/>
      </c>
      <c r="L23" s="145"/>
      <c r="BA23" s="78"/>
      <c r="BB23" s="132" t="s">
        <v>5353</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R23" s="134" t="str">
        <f>IF(COUNTIF(BR$6:BR22,B23)&gt;0,"",B23)&amp;""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1"/>
      <c r="E24" s="142"/>
      <c r="F24" s="127" t="str">
        <f>IFERROR(VLOOKUP(E24,参数表!$H$2:$I$50,2,FALSE),"")</f>
        <v/>
      </c>
      <c r="G24" s="128" t="str">
        <f t="shared" si="3"/>
        <v/>
      </c>
      <c r="H24" s="143"/>
      <c r="I24" s="144"/>
      <c r="J24" s="129" t="str">
        <f t="shared" si="4"/>
        <v/>
      </c>
      <c r="K24" s="129" t="str">
        <f t="shared" si="0"/>
        <v/>
      </c>
      <c r="L24" s="145"/>
      <c r="BA24" s="78"/>
      <c r="BB24" s="132" t="s">
        <v>5354</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R24" s="134" t="str">
        <f>IF(COUNTIF(BR$6:BR23,B24)&gt;0,"",B24)&amp;""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1"/>
      <c r="E25" s="142"/>
      <c r="F25" s="127" t="str">
        <f>IFERROR(VLOOKUP(E25,参数表!$H$2:$I$50,2,FALSE),"")</f>
        <v/>
      </c>
      <c r="G25" s="128" t="str">
        <f t="shared" si="3"/>
        <v/>
      </c>
      <c r="H25" s="143"/>
      <c r="I25" s="144"/>
      <c r="J25" s="129" t="str">
        <f t="shared" si="4"/>
        <v/>
      </c>
      <c r="K25" s="129" t="str">
        <f t="shared" si="0"/>
        <v/>
      </c>
      <c r="L25" s="145"/>
      <c r="BA25" s="78"/>
      <c r="BB25" s="132" t="s">
        <v>5355</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R25" s="134" t="str">
        <f>IF(COUNTIF(BR$6:BR24,B25)&gt;0,"",B25)&amp;""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6"/>
      <c r="E26" s="127"/>
      <c r="F26" s="127" t="str">
        <f>IFERROR(VLOOKUP(E26,参数表!$H$2:$I$50,2,FALSE),"")</f>
        <v/>
      </c>
      <c r="G26" s="128" t="str">
        <f t="shared" si="3"/>
        <v/>
      </c>
      <c r="H26" s="129"/>
      <c r="I26" s="130"/>
      <c r="J26" s="129" t="str">
        <f t="shared" si="4"/>
        <v/>
      </c>
      <c r="K26" s="129" t="str">
        <f t="shared" si="0"/>
        <v/>
      </c>
      <c r="L26" s="131"/>
      <c r="BA26" s="78"/>
      <c r="BB26" s="132" t="s">
        <v>5356</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R26" s="134" t="str">
        <f>IF(COUNTIF(BR$6:BR25,B26)&gt;0,"",B26)&amp;""</f>
        <v/>
      </c>
      <c r="BS26" s="138">
        <f t="shared" si="6"/>
        <v>0</v>
      </c>
      <c r="BT26" s="132">
        <f t="shared" si="7"/>
        <v>1</v>
      </c>
      <c r="BU26" s="138">
        <f t="shared" si="8"/>
        <v>0</v>
      </c>
      <c r="BV26" s="132">
        <f t="shared" si="9"/>
        <v>1</v>
      </c>
      <c r="BW26" s="133"/>
      <c r="BX26" s="133"/>
    </row>
    <row r="27" s="73" customFormat="1" ht="15" customHeight="1" spans="1:77">
      <c r="A27" s="149" t="s">
        <v>5306</v>
      </c>
      <c r="B27" s="149"/>
      <c r="C27" s="150"/>
      <c r="D27" s="149"/>
      <c r="E27" s="151"/>
      <c r="F27" s="151"/>
      <c r="G27" s="151"/>
      <c r="H27" s="152">
        <f>SUM(H7:H26)</f>
        <v>0</v>
      </c>
      <c r="I27" s="153"/>
      <c r="J27" s="152">
        <f>SUM(J7:J26)</f>
        <v>0</v>
      </c>
      <c r="K27" s="152">
        <f>SUM(K7:K26)</f>
        <v>0</v>
      </c>
      <c r="L27" s="151"/>
      <c r="BF27" s="75"/>
      <c r="BG27" s="75"/>
      <c r="BH27" s="165"/>
      <c r="BI27" s="75"/>
      <c r="BJ27" s="165"/>
      <c r="BK27" s="165"/>
      <c r="BL27" s="165"/>
      <c r="BM27" s="165"/>
      <c r="BN27" s="165"/>
      <c r="BO27" s="75"/>
      <c r="BP27" s="75"/>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5"/>
      <c r="J28" s="103"/>
      <c r="K28" s="156" t="str">
        <f>"评估人员："&amp;封面!$G$38</f>
        <v>评估人员：</v>
      </c>
      <c r="L28" s="103"/>
    </row>
    <row r="29" customHeight="1" spans="1:77">
      <c r="A29" s="102" t="str">
        <f>参数表!F$7</f>
        <v>填表日期：2025年9月20日</v>
      </c>
      <c r="B29" s="154"/>
      <c r="C29" s="154"/>
      <c r="D29" s="154"/>
      <c r="E29" s="154"/>
      <c r="F29" s="154"/>
      <c r="G29" s="154"/>
      <c r="H29" s="154"/>
      <c r="I29" s="155"/>
      <c r="J29" s="103"/>
      <c r="K29" s="103"/>
      <c r="L29" s="103"/>
    </row>
    <row r="30" hidden="1" customHeight="1" outlineLevel="1" spans="1:77">
      <c r="A30" s="157"/>
      <c r="B30" s="154" t="s">
        <v>1673</v>
      </c>
      <c r="C30" s="158"/>
      <c r="D30" s="158"/>
      <c r="E30" s="158"/>
      <c r="F30" s="158"/>
      <c r="G30" s="158"/>
      <c r="H30" s="159">
        <f>SUMIF($BA7:$BA26,$BA30,H7:H26)</f>
        <v>0</v>
      </c>
      <c r="I30" s="160"/>
      <c r="J30" s="159">
        <f>SUMIF($BA7:$BA26,$BA30,J7:J26)</f>
        <v>0</v>
      </c>
      <c r="K30" s="159">
        <f>SUMIF($BA7:$BA26,$BA30,K7:K26)</f>
        <v>0</v>
      </c>
      <c r="BA30" s="161" t="s">
        <v>1674</v>
      </c>
      <c r="BH30" s="95" t="s">
        <v>1675</v>
      </c>
      <c r="BJ30" s="95" t="s">
        <v>1675</v>
      </c>
      <c r="BK30" s="95" t="s">
        <v>1675</v>
      </c>
      <c r="BL30" s="95" t="s">
        <v>1675</v>
      </c>
      <c r="BM30" s="95" t="s">
        <v>1674</v>
      </c>
      <c r="BN30" s="95" t="s">
        <v>1674</v>
      </c>
    </row>
    <row r="31" hidden="1" customHeight="1" outlineLevel="1" spans="1:77">
      <c r="A31" s="157"/>
      <c r="B31" s="154" t="s">
        <v>1676</v>
      </c>
      <c r="C31" s="158"/>
      <c r="D31" s="158"/>
      <c r="E31" s="158"/>
      <c r="F31" s="158"/>
      <c r="G31" s="158"/>
      <c r="H31" s="159">
        <f>H27-H30</f>
        <v>0</v>
      </c>
      <c r="I31" s="160"/>
      <c r="J31" s="159">
        <f>J27-J30</f>
        <v>0</v>
      </c>
      <c r="K31" s="159">
        <f>K27-K30</f>
        <v>0</v>
      </c>
      <c r="BA31" s="161" t="s">
        <v>1677</v>
      </c>
      <c r="BH31" s="95" t="s">
        <v>1678</v>
      </c>
      <c r="BJ31" s="95" t="s">
        <v>1678</v>
      </c>
      <c r="BK31" s="95" t="s">
        <v>1678</v>
      </c>
      <c r="BL31" s="95" t="s">
        <v>1678</v>
      </c>
      <c r="BM31" s="95" t="s">
        <v>1677</v>
      </c>
      <c r="BN31" s="95" t="s">
        <v>1677</v>
      </c>
    </row>
    <row r="32" customHeight="1" collapsed="1" spans="1:77">
      <c r="A32" s="157"/>
      <c r="B32" s="158"/>
      <c r="C32" s="158"/>
      <c r="D32" s="158"/>
      <c r="E32" s="158"/>
      <c r="F32" s="158"/>
      <c r="G32" s="158"/>
      <c r="H32" s="158"/>
      <c r="I32" s="164"/>
    </row>
    <row r="33" customHeight="1" spans="1:9">
      <c r="A33" s="157"/>
      <c r="B33" s="158"/>
      <c r="C33" s="158"/>
      <c r="D33" s="158"/>
      <c r="E33" s="158"/>
      <c r="F33" s="158"/>
      <c r="G33" s="158"/>
      <c r="H33" s="158"/>
      <c r="I33" s="164"/>
    </row>
    <row r="34" customHeight="1" spans="1:9">
      <c r="A34" s="157"/>
      <c r="B34" s="158"/>
      <c r="C34" s="158"/>
      <c r="D34" s="158"/>
      <c r="E34" s="158"/>
      <c r="F34" s="158"/>
      <c r="G34" s="158"/>
      <c r="H34" s="158"/>
      <c r="I34" s="164"/>
    </row>
    <row r="35" customHeight="1" spans="1:9">
      <c r="A35" s="157"/>
      <c r="B35" s="158"/>
      <c r="C35" s="158"/>
      <c r="D35" s="158"/>
      <c r="E35" s="158"/>
      <c r="F35" s="158"/>
      <c r="G35" s="158"/>
      <c r="H35" s="158"/>
      <c r="I35" s="164"/>
    </row>
    <row r="36" customHeight="1" spans="1:9">
      <c r="A36" s="157"/>
      <c r="B36" s="158"/>
      <c r="C36" s="158"/>
      <c r="D36" s="158"/>
      <c r="E36" s="158"/>
      <c r="F36" s="158"/>
      <c r="G36" s="158"/>
      <c r="H36" s="158"/>
      <c r="I36" s="164"/>
    </row>
    <row r="37" customHeight="1" spans="1:9">
      <c r="E37" s="158"/>
      <c r="F37" s="158"/>
      <c r="G37" s="158"/>
    </row>
  </sheetData>
  <sheetProtection autoFilter="0"/>
  <mergeCells count="6">
    <mergeCell ref="A2:L2"/>
    <mergeCell ref="A3:L3"/>
    <mergeCell ref="BW7:BY7"/>
    <mergeCell ref="BW8:BY8"/>
    <mergeCell ref="BX14:BY14"/>
    <mergeCell ref="A27:B27"/>
  </mergeCells>
  <conditionalFormatting sqref="BH7:BH26">
    <cfRule type="expression" dxfId="5" priority="12"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14" display="返回索引页"/>
    <hyperlink ref="B1" location="流动负债汇总!B14"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8"/>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0.1" style="75" customWidth="1"/>
    <col min="3" max="3" width="11.6" style="75" customWidth="1"/>
    <col min="4" max="4" width="17.2" style="75" customWidth="1"/>
    <col min="5" max="6" width="4.6" style="75" customWidth="1" outlineLevel="1"/>
    <col min="7" max="7" width="6.1" style="75" customWidth="1" outlineLevel="1"/>
    <col min="8" max="8" width="20.6" style="75" customWidth="1" outlineLevel="1"/>
    <col min="9" max="9" width="20.6" style="76" customWidth="1" outlineLevel="1"/>
    <col min="10" max="11" width="20.6" style="75" customWidth="1"/>
    <col min="12" max="12" width="15.5" style="75" customWidth="1"/>
    <col min="13"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165" customWidth="1"/>
    <col min="61" max="61" width="11.5" style="75" customWidth="1"/>
    <col min="62" max="65" width="4.7" style="165" customWidth="1"/>
    <col min="66" max="66" width="6.7" style="16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3.8" spans="1:77">
      <c r="A1" s="273" t="s">
        <v>1591</v>
      </c>
      <c r="B1" s="80" t="s">
        <v>1592</v>
      </c>
      <c r="C1" s="81"/>
      <c r="D1" s="81"/>
      <c r="E1" s="82"/>
      <c r="F1" s="82"/>
      <c r="G1" s="82"/>
      <c r="H1" s="81"/>
      <c r="I1" s="83"/>
      <c r="J1" s="81"/>
      <c r="K1" s="81"/>
      <c r="L1" s="81"/>
      <c r="BA1" s="84" t="str">
        <f>参数表!BA1</f>
        <v>注意：补充特殊事项、作价等均从BA列开始填写</v>
      </c>
      <c r="BB1" s="85"/>
      <c r="BC1" s="86"/>
      <c r="BD1" s="86"/>
      <c r="BE1" s="86"/>
      <c r="BF1" s="86"/>
      <c r="BG1" s="86"/>
      <c r="BH1" s="82"/>
      <c r="BI1" s="86"/>
      <c r="BJ1" s="82"/>
      <c r="BK1" s="82"/>
      <c r="BL1" s="168"/>
      <c r="BM1" s="168"/>
      <c r="BN1" s="168"/>
      <c r="BQ1" s="87"/>
      <c r="BR1" s="88"/>
      <c r="BS1" s="87"/>
      <c r="BT1" s="88"/>
      <c r="BU1" s="88"/>
      <c r="BV1" s="88"/>
      <c r="BW1" s="88"/>
      <c r="BX1" s="88"/>
      <c r="BY1" s="87"/>
    </row>
    <row r="2" s="71" customFormat="1" ht="30" customHeight="1" spans="1:77">
      <c r="A2" s="89" t="s">
        <v>5357</v>
      </c>
      <c r="B2" s="89"/>
      <c r="C2" s="89"/>
      <c r="D2" s="89"/>
      <c r="E2" s="89"/>
      <c r="F2" s="89"/>
      <c r="G2" s="89"/>
      <c r="H2" s="89"/>
      <c r="I2" s="89"/>
      <c r="J2" s="89"/>
      <c r="K2" s="89"/>
      <c r="L2" s="89"/>
      <c r="BA2" s="90" t="str">
        <f>参数表!BA2</f>
        <v>评估基准日：</v>
      </c>
      <c r="BB2" s="91" t="str">
        <f>参数表!$BB$2</f>
        <v>2025年7月31日</v>
      </c>
      <c r="BH2" s="171"/>
      <c r="BJ2" s="171"/>
      <c r="BK2" s="171"/>
      <c r="BL2" s="171"/>
      <c r="BM2" s="171"/>
      <c r="BN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BA3" s="90" t="str">
        <f>参数表!BA3</f>
        <v>是否显示评估值：</v>
      </c>
      <c r="BB3" s="90" t="str">
        <f>参数表!$BB$3</f>
        <v>是</v>
      </c>
      <c r="BS3" s="78"/>
    </row>
    <row r="4" ht="15" customHeight="1" spans="1:77">
      <c r="A4" s="96"/>
      <c r="B4" s="94"/>
      <c r="C4" s="94"/>
      <c r="D4" s="94"/>
      <c r="E4" s="94"/>
      <c r="F4" s="94"/>
      <c r="G4" s="94"/>
      <c r="H4" s="94"/>
      <c r="I4" s="97"/>
      <c r="J4" s="94"/>
      <c r="K4" s="94"/>
      <c r="L4" s="98" t="str">
        <f>"表"&amp;$BA4</f>
        <v>表5-11-3</v>
      </c>
      <c r="BA4" s="274" t="str">
        <f>其他应付总!A9</f>
        <v>5-11-3</v>
      </c>
      <c r="BB4" s="100">
        <f>MAX(COUNTA(A7:A26),COUNTA(B7:B26),COUNTA(H7:H26),COUNTA(J7:J26))</f>
        <v>20</v>
      </c>
      <c r="BC4" s="101">
        <f>ROW(A6)+1</f>
        <v>7</v>
      </c>
      <c r="BD4" s="77"/>
      <c r="BE4" s="77"/>
      <c r="BS4" s="78"/>
    </row>
    <row r="5" ht="15" customHeight="1" spans="1:77">
      <c r="A5" s="102" t="str">
        <f>参数表!F3</f>
        <v>产权持有单位:中煤第五建设有限公司</v>
      </c>
      <c r="B5" s="103"/>
      <c r="C5" s="103"/>
      <c r="D5" s="103"/>
      <c r="E5" s="103"/>
      <c r="F5" s="103"/>
      <c r="G5" s="103"/>
      <c r="H5" s="103"/>
      <c r="I5" s="104"/>
      <c r="J5" s="103"/>
      <c r="K5" s="103"/>
      <c r="L5" s="98" t="s">
        <v>236</v>
      </c>
      <c r="BA5" s="103"/>
      <c r="BB5" s="105" t="str">
        <f ca="1">判断表!C113</f>
        <v>中煤第五建设有限公司第三工程处拟处置实物资产项目\[0000-3基础法明细表.xlsx]其他应付-其他</v>
      </c>
      <c r="BC5" s="106">
        <f>IFERROR(SUMIF(BC7:BC26,"√",J7:J26)/J27,0)</f>
        <v>0</v>
      </c>
      <c r="BD5" s="107"/>
      <c r="BE5" s="107"/>
      <c r="BF5" s="108">
        <f>'其他应付-利息'!BF5</f>
        <v>0</v>
      </c>
      <c r="BG5" s="108">
        <f>'其他应付-利息'!BG5</f>
        <v>0</v>
      </c>
      <c r="BH5" s="109"/>
      <c r="BI5" s="109"/>
      <c r="BJ5" s="109"/>
      <c r="BK5" s="109"/>
      <c r="BL5" s="109"/>
      <c r="BM5" s="109"/>
      <c r="BN5" s="109"/>
      <c r="BO5" s="110"/>
      <c r="BP5" s="110"/>
      <c r="BQ5" s="111"/>
      <c r="BS5" s="78"/>
      <c r="BY5" s="111"/>
    </row>
    <row r="6" s="72" customFormat="1" ht="25.2" customHeight="1" spans="1:77">
      <c r="A6" s="112" t="s">
        <v>305</v>
      </c>
      <c r="B6" s="113" t="s">
        <v>1897</v>
      </c>
      <c r="C6" s="113" t="s">
        <v>1961</v>
      </c>
      <c r="D6" s="113" t="s">
        <v>1898</v>
      </c>
      <c r="E6" s="114" t="s">
        <v>1631</v>
      </c>
      <c r="F6" s="115" t="s">
        <v>1632</v>
      </c>
      <c r="G6" s="116" t="s">
        <v>3793</v>
      </c>
      <c r="H6" s="113" t="s">
        <v>1549</v>
      </c>
      <c r="I6" s="117" t="s">
        <v>1634</v>
      </c>
      <c r="J6" s="118" t="s">
        <v>1523</v>
      </c>
      <c r="K6" s="113" t="s">
        <v>1550</v>
      </c>
      <c r="L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6"/>
      <c r="E7" s="127"/>
      <c r="F7" s="127" t="str">
        <f>IFERROR(VLOOKUP(E7,参数表!$H$2:$I$50,2,FALSE),"")</f>
        <v/>
      </c>
      <c r="G7" s="128" t="str">
        <f>IFERROR(IF(OR(E7="人民币",E7=""),"",J7/F7),"")</f>
        <v/>
      </c>
      <c r="H7" s="129"/>
      <c r="I7" s="130"/>
      <c r="J7" s="129" t="str">
        <f>IF(B7="","",H7+I7)</f>
        <v/>
      </c>
      <c r="K7" s="129" t="str">
        <f t="shared" ref="K7:K26" si="0">IF(B7="","",IF($BB$3="是",J7,""))</f>
        <v/>
      </c>
      <c r="L7" s="131"/>
      <c r="BA7" s="78"/>
      <c r="BB7" s="132" t="s">
        <v>5358</v>
      </c>
      <c r="BC7" s="133"/>
      <c r="BD7" s="132" t="str">
        <f>IF(OR(B7="",BC7=""),"",COUNTIF(BC$7:BC7,"√"))</f>
        <v/>
      </c>
      <c r="BE7" s="134" t="str">
        <f t="shared" ref="BE7:BE26" si="1">IF(BC7="","",BB7&amp;"︱"&amp;B7&amp;"︱"&amp;TEXT(H7,"#,##0.00"))</f>
        <v/>
      </c>
      <c r="BF7" s="135" t="str">
        <f>IF($B7="","",IF(BF$5=0,"OK","出错"))</f>
        <v/>
      </c>
      <c r="BG7" s="135" t="str">
        <f>IF($B7="","",IF(BG$5=0,"OK","出错"))</f>
        <v/>
      </c>
      <c r="BH7" s="136"/>
      <c r="BI7" s="137"/>
      <c r="BJ7" s="136"/>
      <c r="BK7" s="136"/>
      <c r="BL7" s="136"/>
      <c r="BM7" s="136"/>
      <c r="BN7" s="136"/>
      <c r="BO7" s="137"/>
      <c r="BP7" s="137"/>
      <c r="BR7" s="134" t="str">
        <f>IF(COUNTIF(BR$6:BR6,D7)&gt;0,"",D7)&amp;""</f>
        <v/>
      </c>
      <c r="BS7" s="138">
        <f>SUMIF(D$7:D$26,BR7,J$7:J$26)</f>
        <v>0</v>
      </c>
      <c r="BT7" s="132">
        <f t="shared" ref="BT7" si="2">RANK(BS7,BS$7:BS$26)</f>
        <v>1</v>
      </c>
      <c r="BU7" s="138">
        <f>SUMIF(D$7:D$26,BR7,K$7:K$26)</f>
        <v>0</v>
      </c>
      <c r="BV7" s="132">
        <f>RANK(BU7,BU$7:BU$26)</f>
        <v>1</v>
      </c>
      <c r="BW7" s="138">
        <f>SUM(BS7:BS26)</f>
        <v>0</v>
      </c>
      <c r="BX7" s="138"/>
      <c r="BY7" s="138"/>
    </row>
    <row r="8" ht="15" customHeight="1" spans="1:77">
      <c r="A8" s="123" t="str">
        <f>IF(B8="","",COUNT(A$6:A7)+1)</f>
        <v/>
      </c>
      <c r="B8" s="139"/>
      <c r="C8" s="140"/>
      <c r="D8" s="141"/>
      <c r="E8" s="142"/>
      <c r="F8" s="127" t="str">
        <f>IFERROR(VLOOKUP(E8,参数表!$H$2:$I$50,2,FALSE),"")</f>
        <v/>
      </c>
      <c r="G8" s="128" t="str">
        <f t="shared" ref="G8:G26" si="3">IFERROR(IF(OR(E8="人民币",E8=""),"",J8/F8),"")</f>
        <v/>
      </c>
      <c r="H8" s="143"/>
      <c r="I8" s="144"/>
      <c r="J8" s="129" t="str">
        <f t="shared" ref="J8:J26" si="4">IF(B8="","",H8+I8)</f>
        <v/>
      </c>
      <c r="K8" s="129" t="str">
        <f t="shared" si="0"/>
        <v/>
      </c>
      <c r="L8" s="145"/>
      <c r="BA8" s="78"/>
      <c r="BB8" s="132" t="s">
        <v>5359</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R8" s="134" t="str">
        <f>IF(COUNTIF(BR$6:BR7,D8)&gt;0,"",D8)&amp;""</f>
        <v/>
      </c>
      <c r="BS8" s="138">
        <f t="shared" ref="BS8:BS26" si="6">SUMIF(D$7:D$26,BR8,J$7:J$26)</f>
        <v>0</v>
      </c>
      <c r="BT8" s="132">
        <f t="shared" ref="BT8:BT26" si="7">RANK(BS8,BS$7:BS$26)</f>
        <v>1</v>
      </c>
      <c r="BU8" s="138">
        <f t="shared" ref="BU8:BU26" si="8">SUMIF(D$7:D$26,BR8,K$7:K$26)</f>
        <v>0</v>
      </c>
      <c r="BV8" s="132">
        <f t="shared" ref="BV8:BV26" si="9">RANK(BU8,BU$7:BU$26)</f>
        <v>1</v>
      </c>
      <c r="BW8" s="138">
        <f>SUM(BU7:BU26)</f>
        <v>0</v>
      </c>
      <c r="BX8" s="138"/>
      <c r="BY8" s="138"/>
    </row>
    <row r="9" ht="15" customHeight="1" spans="1:77">
      <c r="A9" s="123" t="str">
        <f>IF(B9="","",COUNT(A$6:A8)+1)</f>
        <v/>
      </c>
      <c r="B9" s="139"/>
      <c r="C9" s="140"/>
      <c r="D9" s="141"/>
      <c r="E9" s="142"/>
      <c r="F9" s="127" t="str">
        <f>IFERROR(VLOOKUP(E9,参数表!$H$2:$I$50,2,FALSE),"")</f>
        <v/>
      </c>
      <c r="G9" s="128" t="str">
        <f t="shared" si="3"/>
        <v/>
      </c>
      <c r="H9" s="143"/>
      <c r="I9" s="144"/>
      <c r="J9" s="129" t="str">
        <f t="shared" si="4"/>
        <v/>
      </c>
      <c r="K9" s="129" t="str">
        <f t="shared" si="0"/>
        <v/>
      </c>
      <c r="L9" s="145"/>
      <c r="BA9" s="78"/>
      <c r="BB9" s="132" t="s">
        <v>5360</v>
      </c>
      <c r="BC9" s="133"/>
      <c r="BD9" s="132" t="str">
        <f>IF(OR(B9="",BC9=""),"",COUNTIF(BC$7:BC9,"√"))</f>
        <v/>
      </c>
      <c r="BE9" s="134" t="str">
        <f t="shared" si="1"/>
        <v/>
      </c>
      <c r="BF9" s="135" t="str">
        <f t="shared" si="5"/>
        <v/>
      </c>
      <c r="BG9" s="135" t="str">
        <f t="shared" si="5"/>
        <v/>
      </c>
      <c r="BH9" s="136"/>
      <c r="BI9" s="137"/>
      <c r="BJ9" s="136"/>
      <c r="BK9" s="136"/>
      <c r="BL9" s="136"/>
      <c r="BM9" s="136"/>
      <c r="BN9" s="136"/>
      <c r="BO9" s="137"/>
      <c r="BP9" s="137"/>
      <c r="BR9" s="134" t="str">
        <f>IF(COUNTIF(BR$6:BR8,D9)&gt;0,"",D9)&amp;""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1"/>
      <c r="E10" s="142"/>
      <c r="F10" s="127" t="str">
        <f>IFERROR(VLOOKUP(E10,参数表!$H$2:$I$50,2,FALSE),"")</f>
        <v/>
      </c>
      <c r="G10" s="128" t="str">
        <f t="shared" si="3"/>
        <v/>
      </c>
      <c r="H10" s="143"/>
      <c r="I10" s="144"/>
      <c r="J10" s="129" t="str">
        <f t="shared" si="4"/>
        <v/>
      </c>
      <c r="K10" s="129" t="str">
        <f t="shared" si="0"/>
        <v/>
      </c>
      <c r="L10" s="145"/>
      <c r="BA10" s="78"/>
      <c r="BB10" s="132" t="s">
        <v>5361</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R10" s="134" t="str">
        <f>IF(COUNTIF(BR$6:BR9,D10)&gt;0,"",D10)&amp;""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1"/>
      <c r="E11" s="142"/>
      <c r="F11" s="127" t="str">
        <f>IFERROR(VLOOKUP(E11,参数表!$H$2:$I$50,2,FALSE),"")</f>
        <v/>
      </c>
      <c r="G11" s="128" t="str">
        <f t="shared" si="3"/>
        <v/>
      </c>
      <c r="H11" s="143"/>
      <c r="I11" s="144"/>
      <c r="J11" s="129" t="str">
        <f t="shared" si="4"/>
        <v/>
      </c>
      <c r="K11" s="129" t="str">
        <f t="shared" si="0"/>
        <v/>
      </c>
      <c r="L11" s="145"/>
      <c r="BA11" s="78"/>
      <c r="BB11" s="132" t="s">
        <v>5362</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R11" s="134" t="str">
        <f>IF(COUNTIF(BR$6:BR10,D11)&gt;0,"",D11)&amp;""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1"/>
      <c r="E12" s="142"/>
      <c r="F12" s="127" t="str">
        <f>IFERROR(VLOOKUP(E12,参数表!$H$2:$I$50,2,FALSE),"")</f>
        <v/>
      </c>
      <c r="G12" s="128" t="str">
        <f t="shared" si="3"/>
        <v/>
      </c>
      <c r="H12" s="143"/>
      <c r="I12" s="144"/>
      <c r="J12" s="129" t="str">
        <f t="shared" si="4"/>
        <v/>
      </c>
      <c r="K12" s="129" t="str">
        <f t="shared" si="0"/>
        <v/>
      </c>
      <c r="L12" s="145"/>
      <c r="BA12" s="78"/>
      <c r="BB12" s="132" t="s">
        <v>5363</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R12" s="134" t="str">
        <f>IF(COUNTIF(BR$6:BR11,D12)&gt;0,"",D12)&amp;""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1"/>
      <c r="E13" s="142"/>
      <c r="F13" s="127" t="str">
        <f>IFERROR(VLOOKUP(E13,参数表!$H$2:$I$50,2,FALSE),"")</f>
        <v/>
      </c>
      <c r="G13" s="128" t="str">
        <f t="shared" si="3"/>
        <v/>
      </c>
      <c r="H13" s="143"/>
      <c r="I13" s="144"/>
      <c r="J13" s="129" t="str">
        <f t="shared" si="4"/>
        <v/>
      </c>
      <c r="K13" s="129" t="str">
        <f t="shared" si="0"/>
        <v/>
      </c>
      <c r="L13" s="145"/>
      <c r="BA13" s="78"/>
      <c r="BB13" s="132" t="s">
        <v>5364</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R13" s="134" t="str">
        <f>IF(COUNTIF(BR$6:BR12,D13)&gt;0,"",D13)&amp;""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1"/>
      <c r="E14" s="142"/>
      <c r="F14" s="127" t="str">
        <f>IFERROR(VLOOKUP(E14,参数表!$H$2:$I$50,2,FALSE),"")</f>
        <v/>
      </c>
      <c r="G14" s="128" t="str">
        <f t="shared" si="3"/>
        <v/>
      </c>
      <c r="H14" s="143"/>
      <c r="I14" s="144"/>
      <c r="J14" s="129" t="str">
        <f t="shared" si="4"/>
        <v/>
      </c>
      <c r="K14" s="129" t="str">
        <f t="shared" si="0"/>
        <v/>
      </c>
      <c r="L14" s="145"/>
      <c r="BA14" s="78"/>
      <c r="BB14" s="132" t="s">
        <v>5365</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R14" s="134" t="str">
        <f>IF(COUNTIF(BR$6:BR13,D14)&gt;0,"",D14)&amp;""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1"/>
      <c r="E15" s="142"/>
      <c r="F15" s="127" t="str">
        <f>IFERROR(VLOOKUP(E15,参数表!$H$2:$I$50,2,FALSE),"")</f>
        <v/>
      </c>
      <c r="G15" s="128" t="str">
        <f t="shared" si="3"/>
        <v/>
      </c>
      <c r="H15" s="143"/>
      <c r="I15" s="144"/>
      <c r="J15" s="129" t="str">
        <f t="shared" si="4"/>
        <v/>
      </c>
      <c r="K15" s="129" t="str">
        <f t="shared" si="0"/>
        <v/>
      </c>
      <c r="L15" s="145"/>
      <c r="BA15" s="78"/>
      <c r="BB15" s="132" t="s">
        <v>5366</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R15" s="134" t="str">
        <f>IF(COUNTIF(BR$6:BR14,D15)&gt;0,"",D15)&amp;""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1"/>
      <c r="E16" s="142"/>
      <c r="F16" s="127" t="str">
        <f>IFERROR(VLOOKUP(E16,参数表!$H$2:$I$50,2,FALSE),"")</f>
        <v/>
      </c>
      <c r="G16" s="128" t="str">
        <f t="shared" si="3"/>
        <v/>
      </c>
      <c r="H16" s="143"/>
      <c r="I16" s="144"/>
      <c r="J16" s="129" t="str">
        <f t="shared" si="4"/>
        <v/>
      </c>
      <c r="K16" s="129" t="str">
        <f t="shared" si="0"/>
        <v/>
      </c>
      <c r="L16" s="145"/>
      <c r="BA16" s="78"/>
      <c r="BB16" s="132" t="s">
        <v>5367</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R16" s="134" t="str">
        <f>IF(COUNTIF(BR$6:BR15,D16)&gt;0,"",D16)&amp;""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1"/>
      <c r="E17" s="142"/>
      <c r="F17" s="127" t="str">
        <f>IFERROR(VLOOKUP(E17,参数表!$H$2:$I$50,2,FALSE),"")</f>
        <v/>
      </c>
      <c r="G17" s="128" t="str">
        <f t="shared" si="3"/>
        <v/>
      </c>
      <c r="H17" s="143"/>
      <c r="I17" s="144"/>
      <c r="J17" s="129" t="str">
        <f t="shared" si="4"/>
        <v/>
      </c>
      <c r="K17" s="129" t="str">
        <f t="shared" si="0"/>
        <v/>
      </c>
      <c r="L17" s="145"/>
      <c r="BA17" s="78"/>
      <c r="BB17" s="132" t="s">
        <v>5368</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R17" s="134" t="str">
        <f>IF(COUNTIF(BR$6:BR16,D17)&gt;0,"",D17)&amp;""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1"/>
      <c r="E18" s="142"/>
      <c r="F18" s="127" t="str">
        <f>IFERROR(VLOOKUP(E18,参数表!$H$2:$I$50,2,FALSE),"")</f>
        <v/>
      </c>
      <c r="G18" s="128" t="str">
        <f t="shared" si="3"/>
        <v/>
      </c>
      <c r="H18" s="143"/>
      <c r="I18" s="144"/>
      <c r="J18" s="129" t="str">
        <f t="shared" si="4"/>
        <v/>
      </c>
      <c r="K18" s="129" t="str">
        <f t="shared" si="0"/>
        <v/>
      </c>
      <c r="L18" s="145"/>
      <c r="BA18" s="78"/>
      <c r="BB18" s="132" t="s">
        <v>5369</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R18" s="134" t="str">
        <f>IF(COUNTIF(BR$6:BR17,D18)&gt;0,"",D18)&amp;""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1"/>
      <c r="E19" s="142"/>
      <c r="F19" s="127" t="str">
        <f>IFERROR(VLOOKUP(E19,参数表!$H$2:$I$50,2,FALSE),"")</f>
        <v/>
      </c>
      <c r="G19" s="128" t="str">
        <f t="shared" si="3"/>
        <v/>
      </c>
      <c r="H19" s="143"/>
      <c r="I19" s="144"/>
      <c r="J19" s="129" t="str">
        <f t="shared" si="4"/>
        <v/>
      </c>
      <c r="K19" s="129" t="str">
        <f t="shared" si="0"/>
        <v/>
      </c>
      <c r="L19" s="145"/>
      <c r="BA19" s="78"/>
      <c r="BB19" s="132" t="s">
        <v>5370</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R19" s="134" t="str">
        <f>IF(COUNTIF(BR$6:BR18,D19)&gt;0,"",D19)&amp;""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1"/>
      <c r="E20" s="142"/>
      <c r="F20" s="127" t="str">
        <f>IFERROR(VLOOKUP(E20,参数表!$H$2:$I$50,2,FALSE),"")</f>
        <v/>
      </c>
      <c r="G20" s="128" t="str">
        <f t="shared" si="3"/>
        <v/>
      </c>
      <c r="H20" s="143"/>
      <c r="I20" s="144"/>
      <c r="J20" s="129" t="str">
        <f t="shared" si="4"/>
        <v/>
      </c>
      <c r="K20" s="129" t="str">
        <f t="shared" si="0"/>
        <v/>
      </c>
      <c r="L20" s="145"/>
      <c r="BA20" s="78"/>
      <c r="BB20" s="132" t="s">
        <v>5371</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R20" s="134" t="str">
        <f>IF(COUNTIF(BR$6:BR19,D20)&gt;0,"",D20)&amp;""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1"/>
      <c r="E21" s="142"/>
      <c r="F21" s="127" t="str">
        <f>IFERROR(VLOOKUP(E21,参数表!$H$2:$I$50,2,FALSE),"")</f>
        <v/>
      </c>
      <c r="G21" s="128" t="str">
        <f t="shared" si="3"/>
        <v/>
      </c>
      <c r="H21" s="143"/>
      <c r="I21" s="144"/>
      <c r="J21" s="129" t="str">
        <f t="shared" si="4"/>
        <v/>
      </c>
      <c r="K21" s="129" t="str">
        <f t="shared" si="0"/>
        <v/>
      </c>
      <c r="L21" s="145"/>
      <c r="BA21" s="78"/>
      <c r="BB21" s="132" t="s">
        <v>5372</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R21" s="134" t="str">
        <f>IF(COUNTIF(BR$6:BR20,D21)&gt;0,"",D21)&amp;""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1"/>
      <c r="E22" s="142"/>
      <c r="F22" s="127" t="str">
        <f>IFERROR(VLOOKUP(E22,参数表!$H$2:$I$50,2,FALSE),"")</f>
        <v/>
      </c>
      <c r="G22" s="128" t="str">
        <f t="shared" si="3"/>
        <v/>
      </c>
      <c r="H22" s="143"/>
      <c r="I22" s="144"/>
      <c r="J22" s="129" t="str">
        <f t="shared" si="4"/>
        <v/>
      </c>
      <c r="K22" s="129" t="str">
        <f t="shared" si="0"/>
        <v/>
      </c>
      <c r="L22" s="145"/>
      <c r="BA22" s="78"/>
      <c r="BB22" s="132" t="s">
        <v>5373</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R22" s="134" t="str">
        <f>IF(COUNTIF(BR$6:BR21,D22)&gt;0,"",D22)&amp;""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1"/>
      <c r="E23" s="142"/>
      <c r="F23" s="127" t="str">
        <f>IFERROR(VLOOKUP(E23,参数表!$H$2:$I$50,2,FALSE),"")</f>
        <v/>
      </c>
      <c r="G23" s="128" t="str">
        <f t="shared" si="3"/>
        <v/>
      </c>
      <c r="H23" s="143"/>
      <c r="I23" s="144"/>
      <c r="J23" s="129" t="str">
        <f t="shared" si="4"/>
        <v/>
      </c>
      <c r="K23" s="129" t="str">
        <f t="shared" si="0"/>
        <v/>
      </c>
      <c r="L23" s="145"/>
      <c r="BA23" s="78"/>
      <c r="BB23" s="132" t="s">
        <v>5374</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R23" s="134" t="str">
        <f>IF(COUNTIF(BR$6:BR22,D23)&gt;0,"",D23)&amp;""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1"/>
      <c r="E24" s="142"/>
      <c r="F24" s="127" t="str">
        <f>IFERROR(VLOOKUP(E24,参数表!$H$2:$I$50,2,FALSE),"")</f>
        <v/>
      </c>
      <c r="G24" s="128" t="str">
        <f t="shared" si="3"/>
        <v/>
      </c>
      <c r="H24" s="143"/>
      <c r="I24" s="144"/>
      <c r="J24" s="129" t="str">
        <f t="shared" si="4"/>
        <v/>
      </c>
      <c r="K24" s="129" t="str">
        <f t="shared" si="0"/>
        <v/>
      </c>
      <c r="L24" s="145"/>
      <c r="BA24" s="78"/>
      <c r="BB24" s="132" t="s">
        <v>5375</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R24" s="134" t="str">
        <f>IF(COUNTIF(BR$6:BR23,D24)&gt;0,"",D24)&amp;""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1"/>
      <c r="E25" s="142"/>
      <c r="F25" s="127" t="str">
        <f>IFERROR(VLOOKUP(E25,参数表!$H$2:$I$50,2,FALSE),"")</f>
        <v/>
      </c>
      <c r="G25" s="128" t="str">
        <f t="shared" si="3"/>
        <v/>
      </c>
      <c r="H25" s="143"/>
      <c r="I25" s="144"/>
      <c r="J25" s="129" t="str">
        <f t="shared" si="4"/>
        <v/>
      </c>
      <c r="K25" s="129" t="str">
        <f t="shared" si="0"/>
        <v/>
      </c>
      <c r="L25" s="145"/>
      <c r="BA25" s="78"/>
      <c r="BB25" s="132" t="s">
        <v>5376</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R25" s="134" t="str">
        <f>IF(COUNTIF(BR$6:BR24,D25)&gt;0,"",D25)&amp;""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6"/>
      <c r="E26" s="127"/>
      <c r="F26" s="127" t="str">
        <f>IFERROR(VLOOKUP(E26,参数表!$H$2:$I$50,2,FALSE),"")</f>
        <v/>
      </c>
      <c r="G26" s="128" t="str">
        <f t="shared" si="3"/>
        <v/>
      </c>
      <c r="H26" s="129"/>
      <c r="I26" s="130"/>
      <c r="J26" s="129" t="str">
        <f t="shared" si="4"/>
        <v/>
      </c>
      <c r="K26" s="129" t="str">
        <f t="shared" si="0"/>
        <v/>
      </c>
      <c r="L26" s="131"/>
      <c r="BA26" s="78"/>
      <c r="BB26" s="132" t="s">
        <v>5377</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R26" s="134" t="str">
        <f>IF(COUNTIF(BR$6:BR25,D26)&gt;0,"",D26)&amp;""</f>
        <v/>
      </c>
      <c r="BS26" s="138">
        <f t="shared" si="6"/>
        <v>0</v>
      </c>
      <c r="BT26" s="132">
        <f t="shared" si="7"/>
        <v>1</v>
      </c>
      <c r="BU26" s="138">
        <f t="shared" si="8"/>
        <v>0</v>
      </c>
      <c r="BV26" s="132">
        <f t="shared" si="9"/>
        <v>1</v>
      </c>
      <c r="BW26" s="133"/>
      <c r="BX26" s="133"/>
    </row>
    <row r="27" s="73" customFormat="1" ht="15" customHeight="1" spans="1:77">
      <c r="A27" s="149" t="s">
        <v>5091</v>
      </c>
      <c r="B27" s="149"/>
      <c r="C27" s="150"/>
      <c r="D27" s="149"/>
      <c r="E27" s="151"/>
      <c r="F27" s="151"/>
      <c r="G27" s="151"/>
      <c r="H27" s="152">
        <f>SUM(H7:H26)</f>
        <v>0</v>
      </c>
      <c r="I27" s="153"/>
      <c r="J27" s="152">
        <f>SUM(J7:J26)</f>
        <v>0</v>
      </c>
      <c r="K27" s="152">
        <f>SUM(K7:K26)</f>
        <v>0</v>
      </c>
      <c r="L27" s="151"/>
      <c r="BF27" s="75"/>
      <c r="BG27" s="75"/>
      <c r="BH27" s="165"/>
      <c r="BI27" s="75"/>
      <c r="BJ27" s="165"/>
      <c r="BK27" s="165"/>
      <c r="BL27" s="165"/>
      <c r="BM27" s="165"/>
      <c r="BN27" s="165"/>
      <c r="BO27" s="75"/>
      <c r="BP27" s="75"/>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5"/>
      <c r="J28" s="103"/>
      <c r="K28" s="156" t="str">
        <f>"评估人员："&amp;封面!$G$38</f>
        <v>评估人员：</v>
      </c>
      <c r="L28" s="103"/>
    </row>
    <row r="29" customHeight="1" spans="1:77">
      <c r="A29" s="102" t="str">
        <f>参数表!F$7</f>
        <v>填表日期：2025年9月20日</v>
      </c>
      <c r="B29" s="154"/>
      <c r="C29" s="154"/>
      <c r="D29" s="154"/>
      <c r="E29" s="154"/>
      <c r="F29" s="154"/>
      <c r="G29" s="154"/>
      <c r="H29" s="154"/>
      <c r="I29" s="155"/>
      <c r="J29" s="103"/>
      <c r="K29" s="103"/>
      <c r="L29" s="103"/>
    </row>
    <row r="30" hidden="1" customHeight="1" outlineLevel="1" spans="1:77">
      <c r="A30" s="157"/>
      <c r="B30" s="154" t="s">
        <v>1673</v>
      </c>
      <c r="C30" s="158"/>
      <c r="D30" s="158"/>
      <c r="E30" s="158"/>
      <c r="F30" s="158"/>
      <c r="G30" s="158"/>
      <c r="H30" s="159">
        <f>SUMIF($BA7:$BA26,$BA30,H7:H26)</f>
        <v>0</v>
      </c>
      <c r="I30" s="160"/>
      <c r="J30" s="159">
        <f>SUMIF($BA7:$BA26,$BA30,J7:J26)</f>
        <v>0</v>
      </c>
      <c r="K30" s="159">
        <f>SUMIF($BA7:$BA26,$BA30,K7:K26)</f>
        <v>0</v>
      </c>
      <c r="BA30" s="161" t="s">
        <v>1674</v>
      </c>
      <c r="BH30" s="95" t="s">
        <v>1675</v>
      </c>
      <c r="BJ30" s="95" t="s">
        <v>1675</v>
      </c>
      <c r="BK30" s="95" t="s">
        <v>1675</v>
      </c>
      <c r="BL30" s="95" t="s">
        <v>1675</v>
      </c>
      <c r="BM30" s="95" t="s">
        <v>1674</v>
      </c>
      <c r="BN30" s="95" t="s">
        <v>1674</v>
      </c>
    </row>
    <row r="31" hidden="1" customHeight="1" outlineLevel="1" spans="1:77">
      <c r="A31" s="157"/>
      <c r="B31" s="154" t="s">
        <v>1676</v>
      </c>
      <c r="C31" s="158"/>
      <c r="D31" s="158"/>
      <c r="E31" s="158"/>
      <c r="F31" s="158"/>
      <c r="G31" s="158"/>
      <c r="H31" s="159">
        <f>H27-H30</f>
        <v>0</v>
      </c>
      <c r="I31" s="160"/>
      <c r="J31" s="159">
        <f>J27-J30</f>
        <v>0</v>
      </c>
      <c r="K31" s="159">
        <f>K27-K30</f>
        <v>0</v>
      </c>
      <c r="BA31" s="161" t="s">
        <v>1677</v>
      </c>
      <c r="BH31" s="95" t="s">
        <v>1678</v>
      </c>
      <c r="BJ31" s="95" t="s">
        <v>1678</v>
      </c>
      <c r="BK31" s="95" t="s">
        <v>1678</v>
      </c>
      <c r="BL31" s="95" t="s">
        <v>1678</v>
      </c>
      <c r="BM31" s="95" t="s">
        <v>1677</v>
      </c>
      <c r="BN31" s="95" t="s">
        <v>1677</v>
      </c>
    </row>
    <row r="32" customHeight="1" collapsed="1" spans="1:77">
      <c r="A32" s="157"/>
      <c r="B32" s="158"/>
      <c r="C32" s="158"/>
      <c r="D32" s="158"/>
      <c r="E32" s="158"/>
      <c r="F32" s="158"/>
      <c r="G32" s="158"/>
      <c r="H32" s="158"/>
      <c r="I32" s="164"/>
    </row>
    <row r="33" customHeight="1" spans="1:9">
      <c r="A33" s="157"/>
      <c r="B33" s="158"/>
      <c r="C33" s="158"/>
      <c r="D33" s="158"/>
      <c r="E33" s="158"/>
      <c r="F33" s="158"/>
      <c r="G33" s="158"/>
      <c r="H33" s="158"/>
      <c r="I33" s="164"/>
    </row>
    <row r="34" customHeight="1" spans="1:9">
      <c r="A34" s="157"/>
      <c r="B34" s="158"/>
      <c r="C34" s="158"/>
      <c r="D34" s="158"/>
      <c r="E34" s="158"/>
      <c r="F34" s="158"/>
      <c r="G34" s="158"/>
      <c r="H34" s="158"/>
      <c r="I34" s="164"/>
    </row>
    <row r="35" customHeight="1" spans="1:9">
      <c r="A35" s="157"/>
      <c r="B35" s="158"/>
      <c r="C35" s="158"/>
      <c r="D35" s="158"/>
      <c r="E35" s="158"/>
      <c r="F35" s="158"/>
      <c r="G35" s="158"/>
      <c r="H35" s="158"/>
      <c r="I35" s="164"/>
    </row>
    <row r="36" customHeight="1" spans="1:9">
      <c r="A36" s="157"/>
      <c r="B36" s="158"/>
      <c r="C36" s="158"/>
      <c r="D36" s="158"/>
      <c r="E36" s="158"/>
      <c r="F36" s="158"/>
      <c r="G36" s="158"/>
      <c r="H36" s="158"/>
      <c r="I36" s="164"/>
    </row>
    <row r="37" customHeight="1" spans="1:9">
      <c r="E37" s="158"/>
      <c r="F37" s="158"/>
      <c r="G37" s="158"/>
    </row>
  </sheetData>
  <sheetProtection autoFilter="0"/>
  <mergeCells count="6">
    <mergeCell ref="A2:L2"/>
    <mergeCell ref="A3:L3"/>
    <mergeCell ref="BW7:BY7"/>
    <mergeCell ref="BW8:BY8"/>
    <mergeCell ref="BX14:BY14"/>
    <mergeCell ref="A27:B27"/>
  </mergeCells>
  <conditionalFormatting sqref="BH7:BH26">
    <cfRule type="expression" dxfId="5" priority="12"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15" display="返回索引页"/>
    <hyperlink ref="B1" location="流动负债汇总!B15"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9"/>
  <dimension ref="A1:BY37"/>
  <sheetViews>
    <sheetView workbookViewId="0">
      <pane xSplit="1" ySplit="7" topLeftCell="B8" activePane="bottomRight" state="frozen"/>
      <selection/>
      <selection pane="topRight"/>
      <selection pane="bottomLeft"/>
      <selection pane="bottomRight" activeCell="E45" sqref="E45"/>
    </sheetView>
  </sheetViews>
  <sheetFormatPr defaultColWidth="9" defaultRowHeight="13.2"/>
  <cols>
    <col min="1" max="1" width="7.6" style="74" customWidth="1"/>
    <col min="2" max="2" width="32.6" style="75" customWidth="1"/>
    <col min="3" max="3" width="12.2" style="75" customWidth="1"/>
    <col min="4" max="4" width="19.2" style="75" customWidth="1"/>
    <col min="5" max="6" width="4.6" style="75" customWidth="1" outlineLevel="1"/>
    <col min="7" max="7" width="6.1" style="75" customWidth="1" outlineLevel="1"/>
    <col min="8" max="8" width="18.6" style="75" customWidth="1" outlineLevel="1"/>
    <col min="9" max="9" width="18.6" style="76" customWidth="1" outlineLevel="1"/>
    <col min="10" max="11" width="18.6" style="75" customWidth="1"/>
    <col min="12" max="12" width="15.7" style="75" customWidth="1"/>
    <col min="13" max="52" width="9" style="75" hidden="1" customWidth="1" outlineLevel="1"/>
    <col min="53" max="53" width="14.7" style="75" customWidth="1" collapsed="1"/>
    <col min="54" max="54" width="6.7" style="75" customWidth="1"/>
    <col min="55" max="55" width="4.7" style="75" customWidth="1"/>
    <col min="56" max="56" width="5.1" style="75" customWidth="1"/>
    <col min="57" max="57" width="8.7" style="75" customWidth="1"/>
    <col min="58" max="59" width="10.1" style="75" customWidth="1"/>
    <col min="60" max="60" width="4.7" style="75" customWidth="1"/>
    <col min="61" max="61" width="11.5" style="75" customWidth="1"/>
    <col min="62" max="65" width="4.7" style="75" customWidth="1"/>
    <col min="66" max="66" width="6.7" style="7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3.8" spans="1:77">
      <c r="A1" s="273" t="s">
        <v>1591</v>
      </c>
      <c r="B1" s="80" t="s">
        <v>1592</v>
      </c>
      <c r="C1" s="81"/>
      <c r="D1" s="81"/>
      <c r="E1" s="82"/>
      <c r="F1" s="82"/>
      <c r="G1" s="82"/>
      <c r="H1" s="81"/>
      <c r="I1" s="83"/>
      <c r="J1" s="81"/>
      <c r="K1" s="81"/>
      <c r="L1" s="81"/>
      <c r="BA1" s="84" t="str">
        <f>参数表!BA1</f>
        <v>注意：补充特殊事项、作价等均从BA列开始填写</v>
      </c>
      <c r="BB1" s="85"/>
      <c r="BC1" s="86"/>
      <c r="BD1" s="86"/>
      <c r="BE1" s="86"/>
      <c r="BF1" s="86"/>
      <c r="BG1" s="86"/>
      <c r="BH1" s="86"/>
      <c r="BI1" s="86"/>
      <c r="BJ1" s="86"/>
      <c r="BK1" s="86"/>
      <c r="BQ1" s="87"/>
      <c r="BR1" s="88"/>
      <c r="BS1" s="87"/>
      <c r="BT1" s="88"/>
      <c r="BU1" s="88"/>
      <c r="BV1" s="88"/>
      <c r="BW1" s="88"/>
      <c r="BX1" s="88"/>
      <c r="BY1" s="87"/>
    </row>
    <row r="2" s="71" customFormat="1" ht="30" customHeight="1" spans="1:77">
      <c r="A2" s="89" t="s">
        <v>5378</v>
      </c>
      <c r="B2" s="89"/>
      <c r="C2" s="89"/>
      <c r="D2" s="89"/>
      <c r="E2" s="89"/>
      <c r="F2" s="89"/>
      <c r="G2" s="89"/>
      <c r="H2" s="89"/>
      <c r="I2" s="89"/>
      <c r="J2" s="89"/>
      <c r="K2" s="89"/>
      <c r="L2" s="89"/>
      <c r="BA2" s="90" t="str">
        <f>参数表!BA2</f>
        <v>评估基准日：</v>
      </c>
      <c r="BB2" s="91" t="str">
        <f>参数表!$BB$2</f>
        <v>2025年7月31日</v>
      </c>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BA3" s="90" t="str">
        <f>参数表!BA3</f>
        <v>是否显示评估值：</v>
      </c>
      <c r="BB3" s="90" t="str">
        <f>参数表!$BB$3</f>
        <v>是</v>
      </c>
      <c r="BS3" s="78"/>
    </row>
    <row r="4" ht="15" customHeight="1" spans="1:77">
      <c r="A4" s="96"/>
      <c r="B4" s="94"/>
      <c r="C4" s="94"/>
      <c r="D4" s="94"/>
      <c r="E4" s="94"/>
      <c r="F4" s="94"/>
      <c r="G4" s="94"/>
      <c r="H4" s="94"/>
      <c r="I4" s="97"/>
      <c r="J4" s="94"/>
      <c r="K4" s="94"/>
      <c r="L4" s="98" t="str">
        <f>"表"&amp;$BA4</f>
        <v>表5-12</v>
      </c>
      <c r="BA4" s="274" t="str">
        <f>流动负总!A18</f>
        <v>5-12</v>
      </c>
      <c r="BB4" s="100">
        <f>MAX(COUNTA(A7:A26),COUNTA(B7:B26),COUNTA(H7:H26),COUNTA(J7:J26))</f>
        <v>20</v>
      </c>
      <c r="BC4" s="101">
        <f>ROW(A6)+1</f>
        <v>7</v>
      </c>
      <c r="BD4" s="77"/>
      <c r="BE4" s="77"/>
      <c r="BS4" s="78"/>
    </row>
    <row r="5" ht="15" customHeight="1" spans="1:77">
      <c r="A5" s="102" t="str">
        <f>参数表!F3</f>
        <v>产权持有单位:中煤第五建设有限公司</v>
      </c>
      <c r="B5" s="103"/>
      <c r="C5" s="103"/>
      <c r="D5" s="103"/>
      <c r="E5" s="103"/>
      <c r="F5" s="103"/>
      <c r="G5" s="103"/>
      <c r="H5" s="103"/>
      <c r="I5" s="104"/>
      <c r="J5" s="103"/>
      <c r="K5" s="103"/>
      <c r="L5" s="98" t="s">
        <v>236</v>
      </c>
      <c r="BA5" s="103"/>
      <c r="BB5" s="105" t="str">
        <f ca="1">判断表!C114</f>
        <v>中煤第五建设有限公司第三工程处拟处置实物资产项目\[0000-3基础法明细表.xlsx]持有待售负</v>
      </c>
      <c r="BC5" s="106">
        <f>IFERROR(SUMIF(BC7:BC26,"√",J7:J26)/J27,0)</f>
        <v>0</v>
      </c>
      <c r="BD5" s="107"/>
      <c r="BE5" s="107"/>
      <c r="BF5" s="108">
        <f>分类汇总!$I56</f>
        <v>0</v>
      </c>
      <c r="BG5" s="108">
        <f>分类汇总!$K56</f>
        <v>0</v>
      </c>
      <c r="BH5" s="109"/>
      <c r="BI5" s="109"/>
      <c r="BJ5" s="109"/>
      <c r="BK5" s="109"/>
      <c r="BL5" s="109"/>
      <c r="BM5" s="109"/>
      <c r="BN5" s="109"/>
      <c r="BO5" s="110"/>
      <c r="BP5" s="110"/>
      <c r="BQ5" s="111"/>
      <c r="BS5" s="78"/>
      <c r="BX5" s="194"/>
      <c r="BY5" s="111"/>
    </row>
    <row r="6" s="72" customFormat="1" ht="25.2" customHeight="1" spans="1:77">
      <c r="A6" s="112" t="s">
        <v>305</v>
      </c>
      <c r="B6" s="113" t="s">
        <v>1897</v>
      </c>
      <c r="C6" s="113" t="s">
        <v>1961</v>
      </c>
      <c r="D6" s="276" t="s">
        <v>5379</v>
      </c>
      <c r="E6" s="114" t="s">
        <v>1631</v>
      </c>
      <c r="F6" s="115" t="s">
        <v>1632</v>
      </c>
      <c r="G6" s="116" t="s">
        <v>3793</v>
      </c>
      <c r="H6" s="113" t="s">
        <v>1549</v>
      </c>
      <c r="I6" s="117" t="s">
        <v>1634</v>
      </c>
      <c r="J6" s="118" t="s">
        <v>1523</v>
      </c>
      <c r="K6" s="113" t="s">
        <v>1550</v>
      </c>
      <c r="L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6"/>
      <c r="E7" s="127"/>
      <c r="F7" s="127" t="str">
        <f>IFERROR(VLOOKUP(E7,参数表!$H$2:$I$50,2,FALSE),"")</f>
        <v/>
      </c>
      <c r="G7" s="128" t="str">
        <f>IFERROR(IF(OR(E7="人民币",E7=""),"",J7/F7),"")</f>
        <v/>
      </c>
      <c r="H7" s="129"/>
      <c r="I7" s="130"/>
      <c r="J7" s="129" t="str">
        <f>IF(B7="","",H7+I7)</f>
        <v/>
      </c>
      <c r="K7" s="129" t="str">
        <f t="shared" ref="K7:K26" si="0">IF(B7="","",IF($BB$3="是",J7,""))</f>
        <v/>
      </c>
      <c r="L7" s="131"/>
      <c r="BA7" s="78"/>
      <c r="BB7" s="132" t="s">
        <v>5380</v>
      </c>
      <c r="BC7" s="133"/>
      <c r="BD7" s="132" t="str">
        <f>IF(OR(B7="",BC7=""),"",COUNTIF(BC$7:BC7,"√"))</f>
        <v/>
      </c>
      <c r="BE7" s="134" t="str">
        <f t="shared" ref="BE7:BE26" si="1">IF(BC7="","",BB7&amp;"︱"&amp;B7&amp;"︱"&amp;TEXT(H7,"#,##0.00"))</f>
        <v/>
      </c>
      <c r="BF7" s="135" t="str">
        <f>IF($B7="","",IF(BF$5=0,"OK","出错"))</f>
        <v/>
      </c>
      <c r="BG7" s="135" t="str">
        <f>IF($B7="","",IF(BG$5=0,"OK","出错"))</f>
        <v/>
      </c>
      <c r="BH7" s="136"/>
      <c r="BI7" s="137"/>
      <c r="BJ7" s="136"/>
      <c r="BK7" s="136"/>
      <c r="BL7" s="136"/>
      <c r="BM7" s="136"/>
      <c r="BN7" s="136"/>
      <c r="BO7" s="137"/>
      <c r="BP7" s="137"/>
      <c r="BR7" s="134" t="str">
        <f>IF(COUNTIF(BR$6:BR6,D7)&gt;0,"",D7)&amp;""</f>
        <v/>
      </c>
      <c r="BS7" s="138">
        <f>SUMIF(D$7:D$26,BR7,J$7:J$26)</f>
        <v>0</v>
      </c>
      <c r="BT7" s="132">
        <f t="shared" ref="BT7" si="2">RANK(BS7,BS$7:BS$26)</f>
        <v>1</v>
      </c>
      <c r="BU7" s="138">
        <f>SUMIF(D$7:D$26,BR7,K$7:K$26)</f>
        <v>0</v>
      </c>
      <c r="BV7" s="132">
        <f>RANK(BU7,BU$7:BU$26)</f>
        <v>1</v>
      </c>
      <c r="BW7" s="138">
        <f>SUM(BS7:BS26)</f>
        <v>0</v>
      </c>
      <c r="BX7" s="138"/>
      <c r="BY7" s="138"/>
    </row>
    <row r="8" ht="15" customHeight="1" spans="1:77">
      <c r="A8" s="123" t="str">
        <f>IF(B8="","",COUNT(A$6:A7)+1)</f>
        <v/>
      </c>
      <c r="B8" s="139"/>
      <c r="C8" s="140"/>
      <c r="D8" s="141"/>
      <c r="E8" s="142"/>
      <c r="F8" s="127" t="str">
        <f>IFERROR(VLOOKUP(E8,参数表!$H$2:$I$50,2,FALSE),"")</f>
        <v/>
      </c>
      <c r="G8" s="128" t="str">
        <f t="shared" ref="G8:G26" si="3">IFERROR(IF(OR(E8="人民币",E8=""),"",J8/F8),"")</f>
        <v/>
      </c>
      <c r="H8" s="143"/>
      <c r="I8" s="144"/>
      <c r="J8" s="129" t="str">
        <f t="shared" ref="J8:J26" si="4">IF(B8="","",H8+I8)</f>
        <v/>
      </c>
      <c r="K8" s="129" t="str">
        <f t="shared" si="0"/>
        <v/>
      </c>
      <c r="L8" s="145"/>
      <c r="BA8" s="78"/>
      <c r="BB8" s="132" t="s">
        <v>5381</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R8" s="134" t="str">
        <f>IF(COUNTIF(BR$6:BR7,D8)&gt;0,"",D8)&amp;""</f>
        <v/>
      </c>
      <c r="BS8" s="138">
        <f t="shared" ref="BS8:BS26" si="6">SUMIF(D$7:D$26,BR8,J$7:J$26)</f>
        <v>0</v>
      </c>
      <c r="BT8" s="132">
        <f t="shared" ref="BT8:BT26" si="7">RANK(BS8,BS$7:BS$26)</f>
        <v>1</v>
      </c>
      <c r="BU8" s="138">
        <f t="shared" ref="BU8:BU26" si="8">SUMIF(D$7:D$26,BR8,K$7:K$26)</f>
        <v>0</v>
      </c>
      <c r="BV8" s="132">
        <f t="shared" ref="BV8:BV26" si="9">RANK(BU8,BU$7:BU$26)</f>
        <v>1</v>
      </c>
      <c r="BW8" s="138">
        <f>SUM(BU7:BU26)</f>
        <v>0</v>
      </c>
      <c r="BX8" s="138"/>
      <c r="BY8" s="138"/>
    </row>
    <row r="9" ht="15" customHeight="1" spans="1:77">
      <c r="A9" s="123" t="str">
        <f>IF(B9="","",COUNT(A$6:A8)+1)</f>
        <v/>
      </c>
      <c r="B9" s="139"/>
      <c r="C9" s="140"/>
      <c r="D9" s="141"/>
      <c r="E9" s="142"/>
      <c r="F9" s="127" t="str">
        <f>IFERROR(VLOOKUP(E9,参数表!$H$2:$I$50,2,FALSE),"")</f>
        <v/>
      </c>
      <c r="G9" s="128" t="str">
        <f t="shared" si="3"/>
        <v/>
      </c>
      <c r="H9" s="143"/>
      <c r="I9" s="144"/>
      <c r="J9" s="129" t="str">
        <f t="shared" si="4"/>
        <v/>
      </c>
      <c r="K9" s="129" t="str">
        <f t="shared" si="0"/>
        <v/>
      </c>
      <c r="L9" s="145"/>
      <c r="BA9" s="78"/>
      <c r="BB9" s="132" t="s">
        <v>5382</v>
      </c>
      <c r="BC9" s="133"/>
      <c r="BD9" s="132" t="str">
        <f>IF(OR(B9="",BC9=""),"",COUNTIF(BC$7:BC9,"√"))</f>
        <v/>
      </c>
      <c r="BE9" s="134" t="str">
        <f t="shared" si="1"/>
        <v/>
      </c>
      <c r="BF9" s="135" t="str">
        <f t="shared" si="5"/>
        <v/>
      </c>
      <c r="BG9" s="135" t="str">
        <f t="shared" si="5"/>
        <v/>
      </c>
      <c r="BH9" s="136"/>
      <c r="BI9" s="137"/>
      <c r="BJ9" s="136"/>
      <c r="BK9" s="136"/>
      <c r="BL9" s="136"/>
      <c r="BM9" s="136"/>
      <c r="BN9" s="136"/>
      <c r="BO9" s="137"/>
      <c r="BP9" s="137"/>
      <c r="BR9" s="134" t="str">
        <f>IF(COUNTIF(BR$6:BR8,D9)&gt;0,"",D9)&amp;""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1"/>
      <c r="E10" s="142"/>
      <c r="F10" s="127" t="str">
        <f>IFERROR(VLOOKUP(E10,参数表!$H$2:$I$50,2,FALSE),"")</f>
        <v/>
      </c>
      <c r="G10" s="128" t="str">
        <f t="shared" si="3"/>
        <v/>
      </c>
      <c r="H10" s="143"/>
      <c r="I10" s="144"/>
      <c r="J10" s="129" t="str">
        <f t="shared" si="4"/>
        <v/>
      </c>
      <c r="K10" s="129" t="str">
        <f t="shared" si="0"/>
        <v/>
      </c>
      <c r="L10" s="145"/>
      <c r="BA10" s="78"/>
      <c r="BB10" s="132" t="s">
        <v>5383</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R10" s="134" t="str">
        <f>IF(COUNTIF(BR$6:BR9,D10)&gt;0,"",D10)&amp;""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1"/>
      <c r="E11" s="142"/>
      <c r="F11" s="127" t="str">
        <f>IFERROR(VLOOKUP(E11,参数表!$H$2:$I$50,2,FALSE),"")</f>
        <v/>
      </c>
      <c r="G11" s="128" t="str">
        <f t="shared" si="3"/>
        <v/>
      </c>
      <c r="H11" s="143"/>
      <c r="I11" s="144"/>
      <c r="J11" s="129" t="str">
        <f t="shared" si="4"/>
        <v/>
      </c>
      <c r="K11" s="129" t="str">
        <f t="shared" si="0"/>
        <v/>
      </c>
      <c r="L11" s="145"/>
      <c r="BA11" s="78"/>
      <c r="BB11" s="132" t="s">
        <v>5384</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R11" s="134" t="str">
        <f>IF(COUNTIF(BR$6:BR10,D11)&gt;0,"",D11)&amp;""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1"/>
      <c r="E12" s="142"/>
      <c r="F12" s="127" t="str">
        <f>IFERROR(VLOOKUP(E12,参数表!$H$2:$I$50,2,FALSE),"")</f>
        <v/>
      </c>
      <c r="G12" s="128" t="str">
        <f t="shared" si="3"/>
        <v/>
      </c>
      <c r="H12" s="143"/>
      <c r="I12" s="144"/>
      <c r="J12" s="129" t="str">
        <f t="shared" si="4"/>
        <v/>
      </c>
      <c r="K12" s="129" t="str">
        <f t="shared" si="0"/>
        <v/>
      </c>
      <c r="L12" s="145"/>
      <c r="BA12" s="78"/>
      <c r="BB12" s="132" t="s">
        <v>5385</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R12" s="134" t="str">
        <f>IF(COUNTIF(BR$6:BR11,D12)&gt;0,"",D12)&amp;""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1"/>
      <c r="E13" s="142"/>
      <c r="F13" s="127" t="str">
        <f>IFERROR(VLOOKUP(E13,参数表!$H$2:$I$50,2,FALSE),"")</f>
        <v/>
      </c>
      <c r="G13" s="128" t="str">
        <f t="shared" si="3"/>
        <v/>
      </c>
      <c r="H13" s="143"/>
      <c r="I13" s="144"/>
      <c r="J13" s="129" t="str">
        <f t="shared" si="4"/>
        <v/>
      </c>
      <c r="K13" s="129" t="str">
        <f t="shared" si="0"/>
        <v/>
      </c>
      <c r="L13" s="145"/>
      <c r="BA13" s="78"/>
      <c r="BB13" s="132" t="s">
        <v>5386</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R13" s="134" t="str">
        <f>IF(COUNTIF(BR$6:BR12,D13)&gt;0,"",D13)&amp;""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1"/>
      <c r="E14" s="142"/>
      <c r="F14" s="127" t="str">
        <f>IFERROR(VLOOKUP(E14,参数表!$H$2:$I$50,2,FALSE),"")</f>
        <v/>
      </c>
      <c r="G14" s="128" t="str">
        <f t="shared" si="3"/>
        <v/>
      </c>
      <c r="H14" s="143"/>
      <c r="I14" s="144"/>
      <c r="J14" s="129" t="str">
        <f t="shared" si="4"/>
        <v/>
      </c>
      <c r="K14" s="129" t="str">
        <f t="shared" si="0"/>
        <v/>
      </c>
      <c r="L14" s="145"/>
      <c r="BA14" s="78"/>
      <c r="BB14" s="132" t="s">
        <v>5387</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R14" s="134" t="str">
        <f>IF(COUNTIF(BR$6:BR13,D14)&gt;0,"",D14)&amp;""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1"/>
      <c r="E15" s="142"/>
      <c r="F15" s="127" t="str">
        <f>IFERROR(VLOOKUP(E15,参数表!$H$2:$I$50,2,FALSE),"")</f>
        <v/>
      </c>
      <c r="G15" s="128" t="str">
        <f t="shared" si="3"/>
        <v/>
      </c>
      <c r="H15" s="143"/>
      <c r="I15" s="144"/>
      <c r="J15" s="129" t="str">
        <f t="shared" si="4"/>
        <v/>
      </c>
      <c r="K15" s="129" t="str">
        <f t="shared" si="0"/>
        <v/>
      </c>
      <c r="L15" s="145"/>
      <c r="BA15" s="78"/>
      <c r="BB15" s="132" t="s">
        <v>5388</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R15" s="134" t="str">
        <f>IF(COUNTIF(BR$6:BR14,D15)&gt;0,"",D15)&amp;""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1"/>
      <c r="E16" s="142"/>
      <c r="F16" s="127" t="str">
        <f>IFERROR(VLOOKUP(E16,参数表!$H$2:$I$50,2,FALSE),"")</f>
        <v/>
      </c>
      <c r="G16" s="128" t="str">
        <f t="shared" si="3"/>
        <v/>
      </c>
      <c r="H16" s="143"/>
      <c r="I16" s="144"/>
      <c r="J16" s="129" t="str">
        <f t="shared" si="4"/>
        <v/>
      </c>
      <c r="K16" s="129" t="str">
        <f t="shared" si="0"/>
        <v/>
      </c>
      <c r="L16" s="145"/>
      <c r="BA16" s="78"/>
      <c r="BB16" s="132" t="s">
        <v>5389</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R16" s="134" t="str">
        <f>IF(COUNTIF(BR$6:BR15,D16)&gt;0,"",D16)&amp;""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1"/>
      <c r="E17" s="142"/>
      <c r="F17" s="127" t="str">
        <f>IFERROR(VLOOKUP(E17,参数表!$H$2:$I$50,2,FALSE),"")</f>
        <v/>
      </c>
      <c r="G17" s="128" t="str">
        <f t="shared" si="3"/>
        <v/>
      </c>
      <c r="H17" s="143"/>
      <c r="I17" s="144"/>
      <c r="J17" s="129" t="str">
        <f t="shared" si="4"/>
        <v/>
      </c>
      <c r="K17" s="129" t="str">
        <f t="shared" si="0"/>
        <v/>
      </c>
      <c r="L17" s="145"/>
      <c r="BA17" s="78"/>
      <c r="BB17" s="132" t="s">
        <v>5390</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R17" s="134" t="str">
        <f>IF(COUNTIF(BR$6:BR16,D17)&gt;0,"",D17)&amp;""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1"/>
      <c r="E18" s="142"/>
      <c r="F18" s="127" t="str">
        <f>IFERROR(VLOOKUP(E18,参数表!$H$2:$I$50,2,FALSE),"")</f>
        <v/>
      </c>
      <c r="G18" s="128" t="str">
        <f t="shared" si="3"/>
        <v/>
      </c>
      <c r="H18" s="143"/>
      <c r="I18" s="144"/>
      <c r="J18" s="129" t="str">
        <f t="shared" si="4"/>
        <v/>
      </c>
      <c r="K18" s="129" t="str">
        <f t="shared" si="0"/>
        <v/>
      </c>
      <c r="L18" s="145"/>
      <c r="BA18" s="78"/>
      <c r="BB18" s="132" t="s">
        <v>5391</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R18" s="134" t="str">
        <f>IF(COUNTIF(BR$6:BR17,D18)&gt;0,"",D18)&amp;""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1"/>
      <c r="E19" s="142"/>
      <c r="F19" s="127" t="str">
        <f>IFERROR(VLOOKUP(E19,参数表!$H$2:$I$50,2,FALSE),"")</f>
        <v/>
      </c>
      <c r="G19" s="128" t="str">
        <f t="shared" si="3"/>
        <v/>
      </c>
      <c r="H19" s="143"/>
      <c r="I19" s="144"/>
      <c r="J19" s="129" t="str">
        <f t="shared" si="4"/>
        <v/>
      </c>
      <c r="K19" s="129" t="str">
        <f t="shared" si="0"/>
        <v/>
      </c>
      <c r="L19" s="145"/>
      <c r="BA19" s="78"/>
      <c r="BB19" s="132" t="s">
        <v>5392</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R19" s="134" t="str">
        <f>IF(COUNTIF(BR$6:BR18,D19)&gt;0,"",D19)&amp;""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1"/>
      <c r="E20" s="142"/>
      <c r="F20" s="127" t="str">
        <f>IFERROR(VLOOKUP(E20,参数表!$H$2:$I$50,2,FALSE),"")</f>
        <v/>
      </c>
      <c r="G20" s="128" t="str">
        <f t="shared" si="3"/>
        <v/>
      </c>
      <c r="H20" s="143"/>
      <c r="I20" s="144"/>
      <c r="J20" s="129" t="str">
        <f t="shared" si="4"/>
        <v/>
      </c>
      <c r="K20" s="129" t="str">
        <f t="shared" si="0"/>
        <v/>
      </c>
      <c r="L20" s="145"/>
      <c r="BA20" s="78"/>
      <c r="BB20" s="132" t="s">
        <v>5393</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R20" s="134" t="str">
        <f>IF(COUNTIF(BR$6:BR19,D20)&gt;0,"",D20)&amp;""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1"/>
      <c r="E21" s="142"/>
      <c r="F21" s="127" t="str">
        <f>IFERROR(VLOOKUP(E21,参数表!$H$2:$I$50,2,FALSE),"")</f>
        <v/>
      </c>
      <c r="G21" s="128" t="str">
        <f t="shared" si="3"/>
        <v/>
      </c>
      <c r="H21" s="143"/>
      <c r="I21" s="144"/>
      <c r="J21" s="129" t="str">
        <f t="shared" si="4"/>
        <v/>
      </c>
      <c r="K21" s="129" t="str">
        <f t="shared" si="0"/>
        <v/>
      </c>
      <c r="L21" s="145"/>
      <c r="BA21" s="78"/>
      <c r="BB21" s="132" t="s">
        <v>5394</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R21" s="134" t="str">
        <f>IF(COUNTIF(BR$6:BR20,D21)&gt;0,"",D21)&amp;""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1"/>
      <c r="E22" s="142"/>
      <c r="F22" s="127" t="str">
        <f>IFERROR(VLOOKUP(E22,参数表!$H$2:$I$50,2,FALSE),"")</f>
        <v/>
      </c>
      <c r="G22" s="128" t="str">
        <f t="shared" si="3"/>
        <v/>
      </c>
      <c r="H22" s="143"/>
      <c r="I22" s="144"/>
      <c r="J22" s="129" t="str">
        <f t="shared" si="4"/>
        <v/>
      </c>
      <c r="K22" s="129" t="str">
        <f t="shared" si="0"/>
        <v/>
      </c>
      <c r="L22" s="145"/>
      <c r="BA22" s="78"/>
      <c r="BB22" s="132" t="s">
        <v>5395</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R22" s="134" t="str">
        <f>IF(COUNTIF(BR$6:BR21,D22)&gt;0,"",D22)&amp;""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1"/>
      <c r="E23" s="142"/>
      <c r="F23" s="127" t="str">
        <f>IFERROR(VLOOKUP(E23,参数表!$H$2:$I$50,2,FALSE),"")</f>
        <v/>
      </c>
      <c r="G23" s="128" t="str">
        <f t="shared" si="3"/>
        <v/>
      </c>
      <c r="H23" s="143"/>
      <c r="I23" s="144"/>
      <c r="J23" s="129" t="str">
        <f t="shared" si="4"/>
        <v/>
      </c>
      <c r="K23" s="129" t="str">
        <f t="shared" si="0"/>
        <v/>
      </c>
      <c r="L23" s="145"/>
      <c r="BA23" s="78"/>
      <c r="BB23" s="132" t="s">
        <v>5396</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R23" s="134" t="str">
        <f>IF(COUNTIF(BR$6:BR22,D23)&gt;0,"",D23)&amp;""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1"/>
      <c r="E24" s="142"/>
      <c r="F24" s="127" t="str">
        <f>IFERROR(VLOOKUP(E24,参数表!$H$2:$I$50,2,FALSE),"")</f>
        <v/>
      </c>
      <c r="G24" s="128" t="str">
        <f t="shared" si="3"/>
        <v/>
      </c>
      <c r="H24" s="143"/>
      <c r="I24" s="144"/>
      <c r="J24" s="129" t="str">
        <f t="shared" si="4"/>
        <v/>
      </c>
      <c r="K24" s="129" t="str">
        <f t="shared" si="0"/>
        <v/>
      </c>
      <c r="L24" s="145"/>
      <c r="BA24" s="78"/>
      <c r="BB24" s="132" t="s">
        <v>5397</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R24" s="134" t="str">
        <f>IF(COUNTIF(BR$6:BR23,D24)&gt;0,"",D24)&amp;""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1"/>
      <c r="E25" s="142"/>
      <c r="F25" s="127" t="str">
        <f>IFERROR(VLOOKUP(E25,参数表!$H$2:$I$50,2,FALSE),"")</f>
        <v/>
      </c>
      <c r="G25" s="128" t="str">
        <f t="shared" si="3"/>
        <v/>
      </c>
      <c r="H25" s="143"/>
      <c r="I25" s="144"/>
      <c r="J25" s="129" t="str">
        <f t="shared" si="4"/>
        <v/>
      </c>
      <c r="K25" s="129" t="str">
        <f t="shared" si="0"/>
        <v/>
      </c>
      <c r="L25" s="145"/>
      <c r="BA25" s="78"/>
      <c r="BB25" s="132" t="s">
        <v>5398</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R25" s="134" t="str">
        <f>IF(COUNTIF(BR$6:BR24,D25)&gt;0,"",D25)&amp;""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6"/>
      <c r="E26" s="127"/>
      <c r="F26" s="127" t="str">
        <f>IFERROR(VLOOKUP(E26,参数表!$H$2:$I$50,2,FALSE),"")</f>
        <v/>
      </c>
      <c r="G26" s="128" t="str">
        <f t="shared" si="3"/>
        <v/>
      </c>
      <c r="H26" s="129"/>
      <c r="I26" s="130"/>
      <c r="J26" s="129" t="str">
        <f t="shared" si="4"/>
        <v/>
      </c>
      <c r="K26" s="129" t="str">
        <f t="shared" si="0"/>
        <v/>
      </c>
      <c r="L26" s="131"/>
      <c r="BA26" s="78"/>
      <c r="BB26" s="132" t="s">
        <v>5399</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R26" s="134" t="str">
        <f>IF(COUNTIF(BR$6:BR25,D26)&gt;0,"",D26)&amp;""</f>
        <v/>
      </c>
      <c r="BS26" s="138">
        <f t="shared" si="6"/>
        <v>0</v>
      </c>
      <c r="BT26" s="132">
        <f t="shared" si="7"/>
        <v>1</v>
      </c>
      <c r="BU26" s="138">
        <f t="shared" si="8"/>
        <v>0</v>
      </c>
      <c r="BV26" s="132">
        <f t="shared" si="9"/>
        <v>1</v>
      </c>
      <c r="BW26" s="133"/>
      <c r="BX26" s="133"/>
    </row>
    <row r="27" s="73" customFormat="1" ht="15" customHeight="1" spans="1:77">
      <c r="A27" s="149" t="s">
        <v>5091</v>
      </c>
      <c r="B27" s="149"/>
      <c r="C27" s="150"/>
      <c r="D27" s="149"/>
      <c r="E27" s="151"/>
      <c r="F27" s="151"/>
      <c r="G27" s="151"/>
      <c r="H27" s="152">
        <f>SUM(H7:H26)</f>
        <v>0</v>
      </c>
      <c r="I27" s="153"/>
      <c r="J27" s="152">
        <f>SUM(J7:J26)</f>
        <v>0</v>
      </c>
      <c r="K27" s="152">
        <f>SUM(K7:K26)</f>
        <v>0</v>
      </c>
      <c r="L27" s="151"/>
      <c r="BF27" s="75"/>
      <c r="BG27" s="75"/>
      <c r="BH27" s="75"/>
      <c r="BI27" s="75"/>
      <c r="BJ27" s="75"/>
      <c r="BK27" s="75"/>
      <c r="BL27" s="75"/>
      <c r="BM27" s="75"/>
      <c r="BN27" s="75"/>
      <c r="BO27" s="75"/>
      <c r="BP27" s="75"/>
      <c r="BQ27" s="111"/>
      <c r="BR27" s="119"/>
      <c r="BS27" s="77"/>
      <c r="BT27" s="77"/>
      <c r="BU27" s="77"/>
      <c r="BV27" s="119"/>
      <c r="BW27" s="119"/>
      <c r="BX27" s="119"/>
      <c r="BY27" s="111"/>
    </row>
    <row r="28" ht="15.75" customHeight="1" spans="1:77">
      <c r="A28" s="102" t="str">
        <f>参数表!F$6</f>
        <v>产权持有单位填表人：贾广东</v>
      </c>
      <c r="B28" s="154"/>
      <c r="C28" s="154"/>
      <c r="D28" s="154"/>
      <c r="E28" s="154"/>
      <c r="F28" s="154"/>
      <c r="G28" s="154"/>
      <c r="H28" s="154"/>
      <c r="I28" s="155"/>
      <c r="J28" s="103"/>
      <c r="K28" s="156" t="str">
        <f>"评估人员："&amp;封面!$G$38</f>
        <v>评估人员：</v>
      </c>
      <c r="L28" s="103"/>
    </row>
    <row r="29" ht="15.75" customHeight="1" spans="1:77">
      <c r="A29" s="102" t="str">
        <f>参数表!F$7</f>
        <v>填表日期：2025年9月20日</v>
      </c>
      <c r="B29" s="154"/>
      <c r="C29" s="154"/>
      <c r="D29" s="154"/>
      <c r="E29" s="154"/>
      <c r="F29" s="154"/>
      <c r="G29" s="154"/>
      <c r="H29" s="154"/>
      <c r="I29" s="155"/>
      <c r="J29" s="103"/>
      <c r="K29" s="103"/>
      <c r="L29" s="103"/>
    </row>
    <row r="30" ht="15.75" hidden="1" customHeight="1" outlineLevel="1" spans="1:77">
      <c r="A30" s="157"/>
      <c r="B30" s="154" t="s">
        <v>1673</v>
      </c>
      <c r="C30" s="158"/>
      <c r="D30" s="158"/>
      <c r="E30" s="158"/>
      <c r="F30" s="158"/>
      <c r="G30" s="158"/>
      <c r="H30" s="159">
        <f>SUMIF($BA7:$BA26,$BA30,H7:H26)</f>
        <v>0</v>
      </c>
      <c r="I30" s="160"/>
      <c r="J30" s="159">
        <f>SUMIF($BA7:$BA26,$BA30,J7:J26)</f>
        <v>0</v>
      </c>
      <c r="K30" s="159">
        <f>SUMIF($BA7:$BA26,$BA30,K7:K26)</f>
        <v>0</v>
      </c>
      <c r="BA30" s="161" t="s">
        <v>1674</v>
      </c>
      <c r="BH30" s="95" t="s">
        <v>1675</v>
      </c>
      <c r="BJ30" s="95" t="s">
        <v>1675</v>
      </c>
      <c r="BK30" s="95" t="s">
        <v>1675</v>
      </c>
      <c r="BL30" s="95" t="s">
        <v>1675</v>
      </c>
      <c r="BM30" s="95" t="s">
        <v>1674</v>
      </c>
      <c r="BN30" s="95" t="s">
        <v>1674</v>
      </c>
    </row>
    <row r="31" ht="15.75" hidden="1" customHeight="1" outlineLevel="1" spans="1:77">
      <c r="A31" s="157"/>
      <c r="B31" s="154" t="s">
        <v>1676</v>
      </c>
      <c r="C31" s="158"/>
      <c r="D31" s="158"/>
      <c r="E31" s="158"/>
      <c r="F31" s="158"/>
      <c r="G31" s="158"/>
      <c r="H31" s="159">
        <f>H27-H30</f>
        <v>0</v>
      </c>
      <c r="I31" s="160"/>
      <c r="J31" s="159">
        <f>J27-J30</f>
        <v>0</v>
      </c>
      <c r="K31" s="159">
        <f>K27-K30</f>
        <v>0</v>
      </c>
      <c r="BA31" s="161" t="s">
        <v>1677</v>
      </c>
      <c r="BH31" s="95" t="s">
        <v>1678</v>
      </c>
      <c r="BJ31" s="95" t="s">
        <v>1678</v>
      </c>
      <c r="BK31" s="95" t="s">
        <v>1678</v>
      </c>
      <c r="BL31" s="95" t="s">
        <v>1678</v>
      </c>
      <c r="BM31" s="95" t="s">
        <v>1677</v>
      </c>
      <c r="BN31" s="95" t="s">
        <v>1677</v>
      </c>
    </row>
    <row r="32" ht="15.75" customHeight="1" collapsed="1" spans="1:77">
      <c r="A32" s="157"/>
      <c r="B32" s="158"/>
      <c r="C32" s="158"/>
      <c r="D32" s="158"/>
      <c r="E32" s="158"/>
      <c r="F32" s="158"/>
      <c r="G32" s="158"/>
      <c r="H32" s="158"/>
      <c r="I32" s="164"/>
    </row>
    <row r="33" ht="15.75" customHeight="1" spans="1:9">
      <c r="A33" s="157"/>
      <c r="B33" s="158"/>
      <c r="C33" s="158"/>
      <c r="D33" s="158"/>
      <c r="E33" s="158"/>
      <c r="F33" s="158"/>
      <c r="G33" s="158"/>
      <c r="H33" s="158"/>
      <c r="I33" s="164"/>
    </row>
    <row r="34" ht="15.75" customHeight="1" spans="1:9">
      <c r="A34" s="157"/>
      <c r="B34" s="158"/>
      <c r="C34" s="158"/>
      <c r="D34" s="158"/>
      <c r="E34" s="158"/>
      <c r="F34" s="158"/>
      <c r="G34" s="158"/>
      <c r="H34" s="158"/>
      <c r="I34" s="164"/>
    </row>
    <row r="35" ht="15.75" customHeight="1" spans="1:9">
      <c r="A35" s="157"/>
      <c r="B35" s="158"/>
      <c r="C35" s="158"/>
      <c r="D35" s="158"/>
      <c r="E35" s="158"/>
      <c r="F35" s="158"/>
      <c r="G35" s="158"/>
      <c r="H35" s="158"/>
      <c r="I35" s="164"/>
    </row>
    <row r="36" ht="15.75" customHeight="1" spans="1:9">
      <c r="A36" s="157"/>
      <c r="B36" s="158"/>
      <c r="C36" s="158"/>
      <c r="D36" s="158"/>
      <c r="E36" s="158"/>
      <c r="F36" s="158"/>
      <c r="G36" s="158"/>
      <c r="H36" s="158"/>
      <c r="I36" s="164"/>
    </row>
    <row r="37" spans="1:9">
      <c r="E37" s="158"/>
      <c r="F37" s="158"/>
      <c r="G37" s="158"/>
    </row>
  </sheetData>
  <sheetProtection autoFilter="0"/>
  <mergeCells count="6">
    <mergeCell ref="A2:L2"/>
    <mergeCell ref="A3:L3"/>
    <mergeCell ref="BW7:BY7"/>
    <mergeCell ref="BW8:BY8"/>
    <mergeCell ref="BX14:BY14"/>
    <mergeCell ref="A27:B27"/>
  </mergeCells>
  <conditionalFormatting sqref="BH7:BH26">
    <cfRule type="expression" dxfId="5" priority="12"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9" display="返回索引页"/>
    <hyperlink ref="B1" location="流动负债汇总!B9"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0"/>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26.5" style="75" customWidth="1"/>
    <col min="3" max="3" width="11.2" style="75" customWidth="1"/>
    <col min="4" max="4" width="11" style="75" customWidth="1"/>
    <col min="5" max="5" width="8.7" style="75" customWidth="1"/>
    <col min="6" max="7" width="4.6" style="75" customWidth="1" outlineLevel="1"/>
    <col min="8" max="8" width="6.1" style="75" customWidth="1" outlineLevel="1"/>
    <col min="9" max="9" width="20.6" style="75" customWidth="1" outlineLevel="1"/>
    <col min="10" max="10" width="20.6" style="76" customWidth="1" outlineLevel="1"/>
    <col min="11" max="12" width="20.6" style="75" customWidth="1"/>
    <col min="13" max="13" width="14.6" style="75" customWidth="1"/>
    <col min="14" max="52" width="9" style="75" hidden="1" customWidth="1" outlineLevel="1"/>
    <col min="53" max="53" width="14.7" style="75" customWidth="1" collapsed="1"/>
    <col min="54" max="54" width="6.7" style="75" customWidth="1"/>
    <col min="55" max="55" width="4.7" style="75" customWidth="1"/>
    <col min="56" max="56" width="5.1" style="75" customWidth="1"/>
    <col min="57" max="57" width="8.7" style="75" customWidth="1"/>
    <col min="58" max="59" width="10.1" style="75" customWidth="1"/>
    <col min="60" max="60" width="4.7" style="75" customWidth="1"/>
    <col min="61" max="61" width="11.5" style="75" customWidth="1"/>
    <col min="62" max="65" width="4.7" style="75" customWidth="1"/>
    <col min="66" max="66" width="6.7" style="7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3.8" spans="1:77">
      <c r="A1" s="273" t="s">
        <v>1591</v>
      </c>
      <c r="B1" s="80" t="s">
        <v>1592</v>
      </c>
      <c r="C1" s="81"/>
      <c r="D1" s="81"/>
      <c r="E1" s="81"/>
      <c r="F1" s="82"/>
      <c r="G1" s="82"/>
      <c r="H1" s="82"/>
      <c r="I1" s="81"/>
      <c r="J1" s="83"/>
      <c r="K1" s="81"/>
      <c r="L1" s="81"/>
      <c r="M1" s="81"/>
      <c r="BA1" s="84" t="str">
        <f>参数表!BA1</f>
        <v>注意：补充特殊事项、作价等均从BA列开始填写</v>
      </c>
      <c r="BB1" s="85"/>
      <c r="BC1" s="86"/>
      <c r="BD1" s="86"/>
      <c r="BE1" s="86"/>
      <c r="BF1" s="86"/>
      <c r="BG1" s="86"/>
      <c r="BH1" s="86"/>
      <c r="BI1" s="86"/>
      <c r="BJ1" s="86"/>
      <c r="BK1" s="86"/>
      <c r="BQ1" s="87"/>
      <c r="BR1" s="88"/>
      <c r="BS1" s="87"/>
      <c r="BT1" s="88"/>
      <c r="BU1" s="88"/>
      <c r="BV1" s="88"/>
      <c r="BW1" s="88"/>
      <c r="BX1" s="88"/>
      <c r="BY1" s="87"/>
    </row>
    <row r="2" s="71" customFormat="1" ht="30" customHeight="1" spans="1:77">
      <c r="A2" s="89" t="s">
        <v>5400</v>
      </c>
      <c r="B2" s="89"/>
      <c r="C2" s="89"/>
      <c r="D2" s="89"/>
      <c r="E2" s="89"/>
      <c r="F2" s="89"/>
      <c r="G2" s="89"/>
      <c r="H2" s="89"/>
      <c r="I2" s="89"/>
      <c r="J2" s="89"/>
      <c r="K2" s="89"/>
      <c r="L2" s="89"/>
      <c r="M2" s="89"/>
      <c r="BA2" s="90" t="str">
        <f>参数表!BA2</f>
        <v>评估基准日：</v>
      </c>
      <c r="BB2" s="91" t="str">
        <f>参数表!$BB$2</f>
        <v>2025年7月31日</v>
      </c>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M3" s="95"/>
      <c r="BA3" s="90" t="str">
        <f>参数表!BA3</f>
        <v>是否显示评估值：</v>
      </c>
      <c r="BB3" s="90" t="str">
        <f>参数表!$BB$3</f>
        <v>是</v>
      </c>
      <c r="BS3" s="78"/>
    </row>
    <row r="4" ht="15" customHeight="1" spans="1:77">
      <c r="A4" s="96"/>
      <c r="B4" s="94"/>
      <c r="C4" s="94"/>
      <c r="D4" s="94"/>
      <c r="E4" s="94"/>
      <c r="F4" s="94"/>
      <c r="G4" s="94"/>
      <c r="H4" s="94"/>
      <c r="I4" s="94"/>
      <c r="J4" s="97"/>
      <c r="K4" s="94"/>
      <c r="L4" s="95"/>
      <c r="M4" s="98" t="str">
        <f>"表"&amp;$BA4</f>
        <v>表5-13</v>
      </c>
      <c r="BA4" s="274" t="str">
        <f>流动负总!A19</f>
        <v>5-13</v>
      </c>
      <c r="BB4" s="100">
        <f>MAX(COUNTA(A7:A26),COUNTA(B7:B26),COUNTA(I7:I26),COUNTA(K7:K26))</f>
        <v>20</v>
      </c>
      <c r="BC4" s="101">
        <f>ROW(A6)+1</f>
        <v>7</v>
      </c>
      <c r="BD4" s="77"/>
      <c r="BE4" s="77"/>
      <c r="BS4" s="78"/>
    </row>
    <row r="5" ht="15" customHeight="1" spans="1:77">
      <c r="A5" s="102" t="str">
        <f>参数表!F3</f>
        <v>产权持有单位:中煤第五建设有限公司</v>
      </c>
      <c r="B5" s="103"/>
      <c r="C5" s="103"/>
      <c r="D5" s="103"/>
      <c r="E5" s="103"/>
      <c r="F5" s="103"/>
      <c r="G5" s="103"/>
      <c r="H5" s="103"/>
      <c r="I5" s="103"/>
      <c r="J5" s="104"/>
      <c r="K5" s="103"/>
      <c r="L5" s="103"/>
      <c r="M5" s="98" t="s">
        <v>236</v>
      </c>
      <c r="BA5" s="103"/>
      <c r="BB5" s="105" t="str">
        <f ca="1">判断表!C115</f>
        <v>中煤第五建设有限公司第三工程处拟处置实物资产项目\[0000-3基础法明细表.xlsx]一年到期负</v>
      </c>
      <c r="BC5" s="106">
        <f>IFERROR(SUMIF(BC7:BC26,"√",K7:K26)/K27,0)</f>
        <v>0</v>
      </c>
      <c r="BD5" s="107"/>
      <c r="BE5" s="107"/>
      <c r="BF5" s="108">
        <f>分类汇总!$I57</f>
        <v>0</v>
      </c>
      <c r="BG5" s="108">
        <f>分类汇总!$K57</f>
        <v>0</v>
      </c>
      <c r="BH5" s="109"/>
      <c r="BI5" s="109"/>
      <c r="BJ5" s="109"/>
      <c r="BK5" s="109"/>
      <c r="BL5" s="109"/>
      <c r="BM5" s="109"/>
      <c r="BN5" s="109"/>
      <c r="BO5" s="110"/>
      <c r="BP5" s="110"/>
      <c r="BQ5" s="111"/>
      <c r="BS5" s="78"/>
      <c r="BX5" s="194"/>
      <c r="BY5" s="111"/>
    </row>
    <row r="6" s="72" customFormat="1" ht="25.2" customHeight="1" spans="1:77">
      <c r="A6" s="112" t="s">
        <v>305</v>
      </c>
      <c r="B6" s="113" t="s">
        <v>5401</v>
      </c>
      <c r="C6" s="113" t="s">
        <v>1961</v>
      </c>
      <c r="D6" s="113" t="s">
        <v>3437</v>
      </c>
      <c r="E6" s="118" t="s">
        <v>5046</v>
      </c>
      <c r="F6" s="114" t="s">
        <v>1631</v>
      </c>
      <c r="G6" s="115" t="s">
        <v>1632</v>
      </c>
      <c r="H6" s="116" t="s">
        <v>3793</v>
      </c>
      <c r="I6" s="113" t="s">
        <v>1549</v>
      </c>
      <c r="J6" s="117" t="s">
        <v>1634</v>
      </c>
      <c r="K6" s="118" t="s">
        <v>1523</v>
      </c>
      <c r="L6" s="113" t="s">
        <v>1550</v>
      </c>
      <c r="M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5"/>
      <c r="E7" s="225"/>
      <c r="F7" s="127"/>
      <c r="G7" s="127" t="str">
        <f>IFERROR(VLOOKUP(F7,参数表!$H$2:$I$50,2,FALSE),"")</f>
        <v/>
      </c>
      <c r="H7" s="128" t="str">
        <f>IFERROR(IF(OR(F7="人民币",F7=""),"",K7/G7),"")</f>
        <v/>
      </c>
      <c r="I7" s="129"/>
      <c r="J7" s="130"/>
      <c r="K7" s="129" t="str">
        <f>IF(B7="","",I7+J7)</f>
        <v/>
      </c>
      <c r="L7" s="129" t="str">
        <f t="shared" ref="L7:L26" si="0">IF(B7="","",IF($BB$3="是",K7,""))</f>
        <v/>
      </c>
      <c r="M7" s="131"/>
      <c r="BA7" s="78"/>
      <c r="BB7" s="132" t="s">
        <v>5402</v>
      </c>
      <c r="BC7" s="133"/>
      <c r="BD7" s="132" t="str">
        <f>IF(OR(B7="",BC7=""),"",COUNTIF(BC$7:BC7,"√"))</f>
        <v/>
      </c>
      <c r="BE7" s="134" t="str">
        <f t="shared" ref="BE7:BE26" si="1">IF(BC7="","",BB7&amp;"︱"&amp;B7&amp;"︱"&amp;TEXT(I7,"#,##0.00"))</f>
        <v/>
      </c>
      <c r="BF7" s="135" t="str">
        <f>IF($B7="","",IF(BF$5=0,"OK","出错"))</f>
        <v/>
      </c>
      <c r="BG7" s="135" t="str">
        <f>IF($B7="","",IF(BG$5=0,"OK","出错"))</f>
        <v/>
      </c>
      <c r="BH7" s="136"/>
      <c r="BI7" s="137"/>
      <c r="BJ7" s="136"/>
      <c r="BK7" s="136"/>
      <c r="BL7" s="136"/>
      <c r="BM7" s="136"/>
      <c r="BN7" s="136"/>
      <c r="BO7" s="137"/>
      <c r="BP7" s="137"/>
      <c r="BR7" s="134" t="str">
        <f>IF(COUNTIF(BR$6:BR6,B7)&gt;0,"",B7)&amp;""</f>
        <v/>
      </c>
      <c r="BS7" s="138">
        <f>SUMIF(B$7:B$26,BR7,K$7:K$26)</f>
        <v>0</v>
      </c>
      <c r="BT7" s="132">
        <f t="shared" ref="BT7" si="2">RANK(BS7,BS$7:BS$26)</f>
        <v>1</v>
      </c>
      <c r="BU7" s="138">
        <f>SUMIF(B$7:B$26,BR7,L$7:L$26)</f>
        <v>0</v>
      </c>
      <c r="BV7" s="132">
        <f>RANK(BU7,BU$7:BU$26)</f>
        <v>1</v>
      </c>
      <c r="BW7" s="138">
        <f>SUM(BS7:BS26)</f>
        <v>0</v>
      </c>
      <c r="BX7" s="138"/>
      <c r="BY7" s="138"/>
    </row>
    <row r="8" ht="15" customHeight="1" spans="1:77">
      <c r="A8" s="123" t="str">
        <f>IF(B8="","",COUNT(A$6:A7)+1)</f>
        <v/>
      </c>
      <c r="B8" s="139"/>
      <c r="C8" s="140"/>
      <c r="D8" s="140"/>
      <c r="E8" s="255"/>
      <c r="F8" s="142"/>
      <c r="G8" s="127" t="str">
        <f>IFERROR(VLOOKUP(F8,参数表!$H$2:$I$50,2,FALSE),"")</f>
        <v/>
      </c>
      <c r="H8" s="128" t="str">
        <f t="shared" ref="H8:H26" si="3">IFERROR(IF(OR(F8="人民币",F8=""),"",K8/G8),"")</f>
        <v/>
      </c>
      <c r="I8" s="143"/>
      <c r="J8" s="144"/>
      <c r="K8" s="129" t="str">
        <f t="shared" ref="K8:K26" si="4">IF(B8="","",I8+J8)</f>
        <v/>
      </c>
      <c r="L8" s="129" t="str">
        <f t="shared" si="0"/>
        <v/>
      </c>
      <c r="M8" s="145"/>
      <c r="BA8" s="78"/>
      <c r="BB8" s="132" t="s">
        <v>5403</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R8" s="134" t="str">
        <f>IF(COUNTIF(BR$6:BR7,B8)&gt;0,"",B8)&amp;""</f>
        <v/>
      </c>
      <c r="BS8" s="138">
        <f t="shared" ref="BS8:BS26" si="6">SUMIF(B$7:B$26,BR8,K$7:K$26)</f>
        <v>0</v>
      </c>
      <c r="BT8" s="132">
        <f t="shared" ref="BT8:BT26" si="7">RANK(BS8,BS$7:BS$26)</f>
        <v>1</v>
      </c>
      <c r="BU8" s="138">
        <f t="shared" ref="BU8:BU26" si="8">SUMIF(B$7:B$26,BR8,L$7:L$26)</f>
        <v>0</v>
      </c>
      <c r="BV8" s="132">
        <f t="shared" ref="BV8:BV26" si="9">RANK(BU8,BU$7:BU$26)</f>
        <v>1</v>
      </c>
      <c r="BW8" s="138">
        <f>SUM(BU7:BU26)</f>
        <v>0</v>
      </c>
      <c r="BX8" s="138"/>
      <c r="BY8" s="138"/>
    </row>
    <row r="9" ht="15" customHeight="1" spans="1:77">
      <c r="A9" s="123" t="str">
        <f>IF(B9="","",COUNT(A$6:A8)+1)</f>
        <v/>
      </c>
      <c r="B9" s="139"/>
      <c r="C9" s="140"/>
      <c r="D9" s="140"/>
      <c r="E9" s="255"/>
      <c r="F9" s="142"/>
      <c r="G9" s="127" t="str">
        <f>IFERROR(VLOOKUP(F9,参数表!$H$2:$I$50,2,FALSE),"")</f>
        <v/>
      </c>
      <c r="H9" s="128" t="str">
        <f t="shared" si="3"/>
        <v/>
      </c>
      <c r="I9" s="143"/>
      <c r="J9" s="144"/>
      <c r="K9" s="129" t="str">
        <f t="shared" si="4"/>
        <v/>
      </c>
      <c r="L9" s="129" t="str">
        <f t="shared" si="0"/>
        <v/>
      </c>
      <c r="M9" s="145"/>
      <c r="BA9" s="78"/>
      <c r="BB9" s="132" t="s">
        <v>5404</v>
      </c>
      <c r="BC9" s="133"/>
      <c r="BD9" s="132" t="str">
        <f>IF(OR(B9="",BC9=""),"",COUNTIF(BC$7:BC9,"√"))</f>
        <v/>
      </c>
      <c r="BE9" s="134" t="str">
        <f t="shared" si="1"/>
        <v/>
      </c>
      <c r="BF9" s="135" t="str">
        <f t="shared" si="5"/>
        <v/>
      </c>
      <c r="BG9" s="135" t="str">
        <f t="shared" si="5"/>
        <v/>
      </c>
      <c r="BH9" s="136"/>
      <c r="BI9" s="137"/>
      <c r="BJ9" s="136"/>
      <c r="BK9" s="136"/>
      <c r="BL9" s="136"/>
      <c r="BM9" s="136"/>
      <c r="BN9" s="136"/>
      <c r="BO9" s="137"/>
      <c r="BP9" s="137"/>
      <c r="BR9" s="134" t="str">
        <f>IF(COUNTIF(BR$6:BR8,B9)&gt;0,"",B9)&amp;""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0"/>
      <c r="E10" s="255"/>
      <c r="F10" s="142"/>
      <c r="G10" s="127" t="str">
        <f>IFERROR(VLOOKUP(F10,参数表!$H$2:$I$50,2,FALSE),"")</f>
        <v/>
      </c>
      <c r="H10" s="128" t="str">
        <f t="shared" si="3"/>
        <v/>
      </c>
      <c r="I10" s="143"/>
      <c r="J10" s="144"/>
      <c r="K10" s="129" t="str">
        <f t="shared" si="4"/>
        <v/>
      </c>
      <c r="L10" s="129" t="str">
        <f t="shared" si="0"/>
        <v/>
      </c>
      <c r="M10" s="145"/>
      <c r="BA10" s="78"/>
      <c r="BB10" s="132" t="s">
        <v>5405</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R10" s="134" t="str">
        <f>IF(COUNTIF(BR$6:BR9,B10)&gt;0,"",B10)&amp;""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0"/>
      <c r="E11" s="255"/>
      <c r="F11" s="142"/>
      <c r="G11" s="127" t="str">
        <f>IFERROR(VLOOKUP(F11,参数表!$H$2:$I$50,2,FALSE),"")</f>
        <v/>
      </c>
      <c r="H11" s="128" t="str">
        <f t="shared" si="3"/>
        <v/>
      </c>
      <c r="I11" s="143"/>
      <c r="J11" s="144"/>
      <c r="K11" s="129" t="str">
        <f t="shared" si="4"/>
        <v/>
      </c>
      <c r="L11" s="129" t="str">
        <f t="shared" si="0"/>
        <v/>
      </c>
      <c r="M11" s="145"/>
      <c r="BA11" s="78"/>
      <c r="BB11" s="132" t="s">
        <v>5406</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R11" s="134" t="str">
        <f>IF(COUNTIF(BR$6:BR10,B11)&gt;0,"",B11)&amp;""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0"/>
      <c r="E12" s="255"/>
      <c r="F12" s="142"/>
      <c r="G12" s="127" t="str">
        <f>IFERROR(VLOOKUP(F12,参数表!$H$2:$I$50,2,FALSE),"")</f>
        <v/>
      </c>
      <c r="H12" s="128" t="str">
        <f t="shared" si="3"/>
        <v/>
      </c>
      <c r="I12" s="143"/>
      <c r="J12" s="144"/>
      <c r="K12" s="129" t="str">
        <f t="shared" si="4"/>
        <v/>
      </c>
      <c r="L12" s="129" t="str">
        <f t="shared" si="0"/>
        <v/>
      </c>
      <c r="M12" s="145"/>
      <c r="BA12" s="78"/>
      <c r="BB12" s="132" t="s">
        <v>5407</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R12" s="134" t="str">
        <f>IF(COUNTIF(BR$6:BR11,B12)&gt;0,"",B12)&amp;""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0"/>
      <c r="E13" s="255"/>
      <c r="F13" s="142"/>
      <c r="G13" s="127" t="str">
        <f>IFERROR(VLOOKUP(F13,参数表!$H$2:$I$50,2,FALSE),"")</f>
        <v/>
      </c>
      <c r="H13" s="128" t="str">
        <f t="shared" si="3"/>
        <v/>
      </c>
      <c r="I13" s="143"/>
      <c r="J13" s="144"/>
      <c r="K13" s="129" t="str">
        <f t="shared" si="4"/>
        <v/>
      </c>
      <c r="L13" s="129" t="str">
        <f t="shared" si="0"/>
        <v/>
      </c>
      <c r="M13" s="145"/>
      <c r="BA13" s="78"/>
      <c r="BB13" s="132" t="s">
        <v>5408</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R13" s="134" t="str">
        <f>IF(COUNTIF(BR$6:BR12,B13)&gt;0,"",B13)&amp;""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0"/>
      <c r="E14" s="255"/>
      <c r="F14" s="142"/>
      <c r="G14" s="127" t="str">
        <f>IFERROR(VLOOKUP(F14,参数表!$H$2:$I$50,2,FALSE),"")</f>
        <v/>
      </c>
      <c r="H14" s="128" t="str">
        <f t="shared" si="3"/>
        <v/>
      </c>
      <c r="I14" s="143"/>
      <c r="J14" s="144"/>
      <c r="K14" s="129" t="str">
        <f t="shared" si="4"/>
        <v/>
      </c>
      <c r="L14" s="129" t="str">
        <f t="shared" si="0"/>
        <v/>
      </c>
      <c r="M14" s="145"/>
      <c r="BA14" s="78"/>
      <c r="BB14" s="132" t="s">
        <v>5409</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R14" s="134" t="str">
        <f>IF(COUNTIF(BR$6:BR13,B14)&gt;0,"",B14)&amp;""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0"/>
      <c r="E15" s="255"/>
      <c r="F15" s="142"/>
      <c r="G15" s="127" t="str">
        <f>IFERROR(VLOOKUP(F15,参数表!$H$2:$I$50,2,FALSE),"")</f>
        <v/>
      </c>
      <c r="H15" s="128" t="str">
        <f t="shared" si="3"/>
        <v/>
      </c>
      <c r="I15" s="143"/>
      <c r="J15" s="144"/>
      <c r="K15" s="129" t="str">
        <f t="shared" si="4"/>
        <v/>
      </c>
      <c r="L15" s="129" t="str">
        <f t="shared" si="0"/>
        <v/>
      </c>
      <c r="M15" s="145"/>
      <c r="BA15" s="78"/>
      <c r="BB15" s="132" t="s">
        <v>5410</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R15" s="134" t="str">
        <f>IF(COUNTIF(BR$6:BR14,B15)&gt;0,"",B15)&amp;""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0"/>
      <c r="E16" s="255"/>
      <c r="F16" s="142"/>
      <c r="G16" s="127" t="str">
        <f>IFERROR(VLOOKUP(F16,参数表!$H$2:$I$50,2,FALSE),"")</f>
        <v/>
      </c>
      <c r="H16" s="128" t="str">
        <f t="shared" si="3"/>
        <v/>
      </c>
      <c r="I16" s="143"/>
      <c r="J16" s="144"/>
      <c r="K16" s="129" t="str">
        <f t="shared" si="4"/>
        <v/>
      </c>
      <c r="L16" s="129" t="str">
        <f t="shared" si="0"/>
        <v/>
      </c>
      <c r="M16" s="145"/>
      <c r="BA16" s="78"/>
      <c r="BB16" s="132" t="s">
        <v>5411</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R16" s="134" t="str">
        <f>IF(COUNTIF(BR$6:BR15,B16)&gt;0,"",B16)&amp;""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0"/>
      <c r="E17" s="255"/>
      <c r="F17" s="142"/>
      <c r="G17" s="127" t="str">
        <f>IFERROR(VLOOKUP(F17,参数表!$H$2:$I$50,2,FALSE),"")</f>
        <v/>
      </c>
      <c r="H17" s="128" t="str">
        <f t="shared" si="3"/>
        <v/>
      </c>
      <c r="I17" s="143"/>
      <c r="J17" s="144"/>
      <c r="K17" s="129" t="str">
        <f t="shared" si="4"/>
        <v/>
      </c>
      <c r="L17" s="129" t="str">
        <f t="shared" si="0"/>
        <v/>
      </c>
      <c r="M17" s="145"/>
      <c r="BA17" s="78"/>
      <c r="BB17" s="132" t="s">
        <v>5412</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R17" s="134" t="str">
        <f>IF(COUNTIF(BR$6:BR16,B17)&gt;0,"",B17)&amp;""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0"/>
      <c r="E18" s="255"/>
      <c r="F18" s="142"/>
      <c r="G18" s="127" t="str">
        <f>IFERROR(VLOOKUP(F18,参数表!$H$2:$I$50,2,FALSE),"")</f>
        <v/>
      </c>
      <c r="H18" s="128" t="str">
        <f t="shared" si="3"/>
        <v/>
      </c>
      <c r="I18" s="143"/>
      <c r="J18" s="144"/>
      <c r="K18" s="129" t="str">
        <f t="shared" si="4"/>
        <v/>
      </c>
      <c r="L18" s="129" t="str">
        <f t="shared" si="0"/>
        <v/>
      </c>
      <c r="M18" s="145"/>
      <c r="BA18" s="78"/>
      <c r="BB18" s="132" t="s">
        <v>5413</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R18" s="134" t="str">
        <f>IF(COUNTIF(BR$6:BR17,B18)&gt;0,"",B18)&amp;""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0"/>
      <c r="E19" s="255"/>
      <c r="F19" s="142"/>
      <c r="G19" s="127" t="str">
        <f>IFERROR(VLOOKUP(F19,参数表!$H$2:$I$50,2,FALSE),"")</f>
        <v/>
      </c>
      <c r="H19" s="128" t="str">
        <f t="shared" si="3"/>
        <v/>
      </c>
      <c r="I19" s="143"/>
      <c r="J19" s="144"/>
      <c r="K19" s="129" t="str">
        <f t="shared" si="4"/>
        <v/>
      </c>
      <c r="L19" s="129" t="str">
        <f t="shared" si="0"/>
        <v/>
      </c>
      <c r="M19" s="145"/>
      <c r="BA19" s="78"/>
      <c r="BB19" s="132" t="s">
        <v>5414</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R19" s="134" t="str">
        <f>IF(COUNTIF(BR$6:BR18,B19)&gt;0,"",B19)&amp;""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0"/>
      <c r="E20" s="255"/>
      <c r="F20" s="142"/>
      <c r="G20" s="127" t="str">
        <f>IFERROR(VLOOKUP(F20,参数表!$H$2:$I$50,2,FALSE),"")</f>
        <v/>
      </c>
      <c r="H20" s="128" t="str">
        <f t="shared" si="3"/>
        <v/>
      </c>
      <c r="I20" s="143"/>
      <c r="J20" s="144"/>
      <c r="K20" s="129" t="str">
        <f t="shared" si="4"/>
        <v/>
      </c>
      <c r="L20" s="129" t="str">
        <f t="shared" si="0"/>
        <v/>
      </c>
      <c r="M20" s="145"/>
      <c r="BA20" s="78"/>
      <c r="BB20" s="132" t="s">
        <v>5415</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R20" s="134" t="str">
        <f>IF(COUNTIF(BR$6:BR19,B20)&gt;0,"",B20)&amp;""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0"/>
      <c r="E21" s="255"/>
      <c r="F21" s="142"/>
      <c r="G21" s="127" t="str">
        <f>IFERROR(VLOOKUP(F21,参数表!$H$2:$I$50,2,FALSE),"")</f>
        <v/>
      </c>
      <c r="H21" s="128" t="str">
        <f t="shared" si="3"/>
        <v/>
      </c>
      <c r="I21" s="143"/>
      <c r="J21" s="144"/>
      <c r="K21" s="129" t="str">
        <f t="shared" si="4"/>
        <v/>
      </c>
      <c r="L21" s="129" t="str">
        <f t="shared" si="0"/>
        <v/>
      </c>
      <c r="M21" s="145"/>
      <c r="BA21" s="78"/>
      <c r="BB21" s="132" t="s">
        <v>5416</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R21" s="134" t="str">
        <f>IF(COUNTIF(BR$6:BR20,B21)&gt;0,"",B21)&amp;""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0"/>
      <c r="E22" s="255"/>
      <c r="F22" s="142"/>
      <c r="G22" s="127" t="str">
        <f>IFERROR(VLOOKUP(F22,参数表!$H$2:$I$50,2,FALSE),"")</f>
        <v/>
      </c>
      <c r="H22" s="128" t="str">
        <f t="shared" si="3"/>
        <v/>
      </c>
      <c r="I22" s="143"/>
      <c r="J22" s="144"/>
      <c r="K22" s="129" t="str">
        <f t="shared" si="4"/>
        <v/>
      </c>
      <c r="L22" s="129" t="str">
        <f t="shared" si="0"/>
        <v/>
      </c>
      <c r="M22" s="145"/>
      <c r="BA22" s="78"/>
      <c r="BB22" s="132" t="s">
        <v>5417</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R22" s="134" t="str">
        <f>IF(COUNTIF(BR$6:BR21,B22)&gt;0,"",B22)&amp;""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0"/>
      <c r="E23" s="255"/>
      <c r="F23" s="142"/>
      <c r="G23" s="127" t="str">
        <f>IFERROR(VLOOKUP(F23,参数表!$H$2:$I$50,2,FALSE),"")</f>
        <v/>
      </c>
      <c r="H23" s="128" t="str">
        <f t="shared" si="3"/>
        <v/>
      </c>
      <c r="I23" s="143"/>
      <c r="J23" s="144"/>
      <c r="K23" s="129" t="str">
        <f t="shared" si="4"/>
        <v/>
      </c>
      <c r="L23" s="129" t="str">
        <f t="shared" si="0"/>
        <v/>
      </c>
      <c r="M23" s="145"/>
      <c r="BA23" s="78"/>
      <c r="BB23" s="132" t="s">
        <v>5418</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R23" s="134" t="str">
        <f>IF(COUNTIF(BR$6:BR22,B23)&gt;0,"",B23)&amp;""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0"/>
      <c r="E24" s="255"/>
      <c r="F24" s="142"/>
      <c r="G24" s="127" t="str">
        <f>IFERROR(VLOOKUP(F24,参数表!$H$2:$I$50,2,FALSE),"")</f>
        <v/>
      </c>
      <c r="H24" s="128" t="str">
        <f t="shared" si="3"/>
        <v/>
      </c>
      <c r="I24" s="143"/>
      <c r="J24" s="144"/>
      <c r="K24" s="129" t="str">
        <f t="shared" si="4"/>
        <v/>
      </c>
      <c r="L24" s="129" t="str">
        <f t="shared" si="0"/>
        <v/>
      </c>
      <c r="M24" s="145"/>
      <c r="BA24" s="78"/>
      <c r="BB24" s="132" t="s">
        <v>5419</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R24" s="134" t="str">
        <f>IF(COUNTIF(BR$6:BR23,B24)&gt;0,"",B24)&amp;""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0"/>
      <c r="E25" s="255"/>
      <c r="F25" s="142"/>
      <c r="G25" s="127" t="str">
        <f>IFERROR(VLOOKUP(F25,参数表!$H$2:$I$50,2,FALSE),"")</f>
        <v/>
      </c>
      <c r="H25" s="128" t="str">
        <f t="shared" si="3"/>
        <v/>
      </c>
      <c r="I25" s="143"/>
      <c r="J25" s="144"/>
      <c r="K25" s="129" t="str">
        <f t="shared" si="4"/>
        <v/>
      </c>
      <c r="L25" s="129" t="str">
        <f t="shared" si="0"/>
        <v/>
      </c>
      <c r="M25" s="145"/>
      <c r="BA25" s="78"/>
      <c r="BB25" s="132" t="s">
        <v>5420</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R25" s="134" t="str">
        <f>IF(COUNTIF(BR$6:BR24,B25)&gt;0,"",B25)&amp;""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5"/>
      <c r="E26" s="225"/>
      <c r="F26" s="127"/>
      <c r="G26" s="127" t="str">
        <f>IFERROR(VLOOKUP(F26,参数表!$H$2:$I$50,2,FALSE),"")</f>
        <v/>
      </c>
      <c r="H26" s="128" t="str">
        <f t="shared" si="3"/>
        <v/>
      </c>
      <c r="I26" s="129"/>
      <c r="J26" s="130"/>
      <c r="K26" s="129" t="str">
        <f t="shared" si="4"/>
        <v/>
      </c>
      <c r="L26" s="129" t="str">
        <f t="shared" si="0"/>
        <v/>
      </c>
      <c r="M26" s="131"/>
      <c r="BA26" s="78"/>
      <c r="BB26" s="132" t="s">
        <v>5421</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R26" s="134" t="str">
        <f>IF(COUNTIF(BR$6:BR25,B26)&gt;0,"",B26)&amp;""</f>
        <v/>
      </c>
      <c r="BS26" s="138">
        <f t="shared" si="6"/>
        <v>0</v>
      </c>
      <c r="BT26" s="132">
        <f t="shared" si="7"/>
        <v>1</v>
      </c>
      <c r="BU26" s="138">
        <f t="shared" si="8"/>
        <v>0</v>
      </c>
      <c r="BV26" s="132">
        <f t="shared" si="9"/>
        <v>1</v>
      </c>
      <c r="BW26" s="133"/>
      <c r="BX26" s="133"/>
    </row>
    <row r="27" s="73" customFormat="1" ht="15" customHeight="1" spans="1:77">
      <c r="A27" s="149" t="s">
        <v>4984</v>
      </c>
      <c r="B27" s="149"/>
      <c r="C27" s="226"/>
      <c r="D27" s="226"/>
      <c r="E27" s="275"/>
      <c r="F27" s="151"/>
      <c r="G27" s="151"/>
      <c r="H27" s="151"/>
      <c r="I27" s="152">
        <f>SUM(I7:I26)</f>
        <v>0</v>
      </c>
      <c r="J27" s="153"/>
      <c r="K27" s="152">
        <f>SUM(K7:K26)</f>
        <v>0</v>
      </c>
      <c r="L27" s="152">
        <f>SUM(L7:L26)</f>
        <v>0</v>
      </c>
      <c r="M27" s="151"/>
      <c r="BF27" s="75"/>
      <c r="BG27" s="75"/>
      <c r="BH27" s="75"/>
      <c r="BI27" s="75"/>
      <c r="BJ27" s="75"/>
      <c r="BK27" s="75"/>
      <c r="BL27" s="75"/>
      <c r="BM27" s="75"/>
      <c r="BN27" s="75"/>
      <c r="BO27" s="75"/>
      <c r="BP27" s="75"/>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4"/>
      <c r="J28" s="104"/>
      <c r="K28" s="103"/>
      <c r="L28" s="156" t="str">
        <f>"评估人员："&amp;封面!$G$38</f>
        <v>评估人员：</v>
      </c>
      <c r="M28" s="103"/>
    </row>
    <row r="29" customHeight="1" spans="1:77">
      <c r="A29" s="102" t="str">
        <f>参数表!F$7</f>
        <v>填表日期：2025年9月20日</v>
      </c>
      <c r="B29" s="154"/>
      <c r="C29" s="154"/>
      <c r="D29" s="154"/>
      <c r="E29" s="154"/>
      <c r="F29" s="154"/>
      <c r="G29" s="154"/>
      <c r="H29" s="154"/>
      <c r="I29" s="154"/>
      <c r="J29" s="104"/>
      <c r="K29" s="103"/>
      <c r="L29" s="103"/>
      <c r="M29" s="103"/>
    </row>
    <row r="30" hidden="1" customHeight="1" outlineLevel="1" spans="1:77">
      <c r="A30" s="157"/>
      <c r="B30" s="154" t="s">
        <v>1673</v>
      </c>
      <c r="C30" s="158"/>
      <c r="D30" s="158"/>
      <c r="E30" s="158"/>
      <c r="F30" s="158"/>
      <c r="G30" s="158"/>
      <c r="H30" s="158"/>
      <c r="I30" s="159">
        <f>SUMIF($BA7:$BA26,$BA30,I7:I26)</f>
        <v>0</v>
      </c>
      <c r="J30" s="202"/>
      <c r="K30" s="159">
        <f>SUMIF($BA7:$BA26,$BA30,K7:K26)</f>
        <v>0</v>
      </c>
      <c r="L30" s="159">
        <f>SUMIF($BA7:$BA26,$BA30,L7:L26)</f>
        <v>0</v>
      </c>
      <c r="BA30" s="161" t="s">
        <v>1674</v>
      </c>
      <c r="BH30" s="162" t="s">
        <v>1675</v>
      </c>
      <c r="BI30" s="163"/>
      <c r="BJ30" s="162" t="s">
        <v>1675</v>
      </c>
      <c r="BK30" s="162" t="s">
        <v>1675</v>
      </c>
      <c r="BL30" s="162" t="s">
        <v>1675</v>
      </c>
      <c r="BM30" s="162" t="s">
        <v>1674</v>
      </c>
      <c r="BN30" s="162" t="s">
        <v>1674</v>
      </c>
    </row>
    <row r="31" hidden="1" customHeight="1" outlineLevel="1" spans="1:77">
      <c r="A31" s="157"/>
      <c r="B31" s="154" t="s">
        <v>1676</v>
      </c>
      <c r="C31" s="158"/>
      <c r="D31" s="158"/>
      <c r="E31" s="158"/>
      <c r="F31" s="158"/>
      <c r="G31" s="158"/>
      <c r="H31" s="158"/>
      <c r="I31" s="159">
        <f>I27-I30</f>
        <v>0</v>
      </c>
      <c r="J31" s="202"/>
      <c r="K31" s="159">
        <f>K27-K30</f>
        <v>0</v>
      </c>
      <c r="L31" s="159">
        <f>L27-L30</f>
        <v>0</v>
      </c>
      <c r="BA31" s="161" t="s">
        <v>1677</v>
      </c>
      <c r="BH31" s="162" t="s">
        <v>1678</v>
      </c>
      <c r="BI31" s="163"/>
      <c r="BJ31" s="162" t="s">
        <v>1678</v>
      </c>
      <c r="BK31" s="162" t="s">
        <v>1678</v>
      </c>
      <c r="BL31" s="162" t="s">
        <v>1678</v>
      </c>
      <c r="BM31" s="162" t="s">
        <v>1677</v>
      </c>
      <c r="BN31" s="162" t="s">
        <v>1677</v>
      </c>
    </row>
    <row r="32" customHeight="1" collapsed="1" spans="1:77">
      <c r="A32" s="157"/>
      <c r="B32" s="158"/>
      <c r="C32" s="158"/>
      <c r="D32" s="158"/>
      <c r="E32" s="158"/>
      <c r="F32" s="158"/>
      <c r="G32" s="158"/>
      <c r="H32" s="158"/>
      <c r="I32" s="158"/>
    </row>
    <row r="33" customHeight="1" spans="1:9">
      <c r="A33" s="157"/>
      <c r="B33" s="158"/>
      <c r="C33" s="158"/>
      <c r="D33" s="158"/>
      <c r="E33" s="158"/>
      <c r="F33" s="158"/>
      <c r="G33" s="158"/>
      <c r="H33" s="158"/>
      <c r="I33" s="158"/>
    </row>
    <row r="34" customHeight="1" spans="1:9">
      <c r="A34" s="157"/>
      <c r="B34" s="158"/>
      <c r="C34" s="158"/>
      <c r="D34" s="158"/>
      <c r="E34" s="158"/>
      <c r="F34" s="158"/>
      <c r="G34" s="158"/>
      <c r="H34" s="158"/>
      <c r="I34" s="158"/>
    </row>
    <row r="35" customHeight="1" spans="1:9">
      <c r="A35" s="157"/>
      <c r="B35" s="158"/>
      <c r="C35" s="158"/>
      <c r="D35" s="158"/>
      <c r="E35" s="158"/>
      <c r="F35" s="158"/>
      <c r="G35" s="158"/>
      <c r="H35" s="158"/>
      <c r="I35" s="158"/>
    </row>
    <row r="36" customHeight="1" spans="1:9">
      <c r="A36" s="157"/>
      <c r="B36" s="158"/>
      <c r="C36" s="158"/>
      <c r="D36" s="158"/>
      <c r="E36" s="158"/>
      <c r="F36" s="158"/>
      <c r="G36" s="158"/>
      <c r="H36" s="158"/>
      <c r="I36" s="158"/>
    </row>
    <row r="37" customHeight="1" spans="1:9">
      <c r="F37" s="158"/>
      <c r="G37" s="158"/>
      <c r="H37" s="158"/>
    </row>
  </sheetData>
  <sheetProtection autoFilter="0"/>
  <mergeCells count="6">
    <mergeCell ref="A2:M2"/>
    <mergeCell ref="A3:M3"/>
    <mergeCell ref="BW7:BY7"/>
    <mergeCell ref="BW8:BY8"/>
    <mergeCell ref="BX14:BY14"/>
    <mergeCell ref="A27:B27"/>
  </mergeCells>
  <conditionalFormatting sqref="BH7:BH26">
    <cfRule type="expression" dxfId="5" priority="12"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F7:F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16" display="返回索引页"/>
    <hyperlink ref="B1" location="流动负债汇总!B16"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1.7" style="75" customWidth="1"/>
    <col min="3" max="3" width="13.1" style="75" customWidth="1"/>
    <col min="4" max="4" width="18.2" style="75" customWidth="1"/>
    <col min="5" max="6" width="4.6" style="75" customWidth="1" outlineLevel="1"/>
    <col min="7" max="7" width="6.1" style="75" customWidth="1" outlineLevel="1"/>
    <col min="8" max="8" width="18.6" style="75" customWidth="1" outlineLevel="1"/>
    <col min="9" max="9" width="18.6" style="76" customWidth="1" outlineLevel="1"/>
    <col min="10" max="11" width="18.6" style="75" customWidth="1"/>
    <col min="12" max="12" width="16" style="75" customWidth="1"/>
    <col min="13"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75" customWidth="1"/>
    <col min="61" max="61" width="11.5" style="75" customWidth="1"/>
    <col min="62" max="65" width="4.7" style="75" customWidth="1"/>
    <col min="66" max="66" width="6.7" style="7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3.8" spans="1:77">
      <c r="A1" s="273" t="s">
        <v>1591</v>
      </c>
      <c r="B1" s="80" t="s">
        <v>1592</v>
      </c>
      <c r="C1" s="81"/>
      <c r="D1" s="81"/>
      <c r="E1" s="82"/>
      <c r="F1" s="82"/>
      <c r="G1" s="82"/>
      <c r="H1" s="81"/>
      <c r="I1" s="83"/>
      <c r="J1" s="81"/>
      <c r="K1" s="81"/>
      <c r="L1" s="81"/>
      <c r="BA1" s="84" t="str">
        <f>参数表!BA1</f>
        <v>注意：补充特殊事项、作价等均从BA列开始填写</v>
      </c>
      <c r="BB1" s="85"/>
      <c r="BC1" s="86"/>
      <c r="BD1" s="86"/>
      <c r="BE1" s="86"/>
      <c r="BF1" s="86"/>
      <c r="BG1" s="86"/>
      <c r="BH1" s="86"/>
      <c r="BI1" s="86"/>
      <c r="BJ1" s="86"/>
      <c r="BK1" s="86"/>
      <c r="BQ1" s="87"/>
      <c r="BR1" s="88"/>
      <c r="BS1" s="87"/>
      <c r="BT1" s="88"/>
      <c r="BU1" s="88"/>
      <c r="BV1" s="88"/>
      <c r="BW1" s="88"/>
      <c r="BX1" s="88"/>
      <c r="BY1" s="87"/>
    </row>
    <row r="2" s="71" customFormat="1" ht="30" customHeight="1" spans="1:77">
      <c r="A2" s="89" t="s">
        <v>5422</v>
      </c>
      <c r="B2" s="89"/>
      <c r="C2" s="89"/>
      <c r="D2" s="89"/>
      <c r="E2" s="89"/>
      <c r="F2" s="89"/>
      <c r="G2" s="89"/>
      <c r="H2" s="89"/>
      <c r="I2" s="89"/>
      <c r="J2" s="89"/>
      <c r="K2" s="89"/>
      <c r="L2" s="89"/>
      <c r="BA2" s="90" t="str">
        <f>参数表!BA2</f>
        <v>评估基准日：</v>
      </c>
      <c r="BB2" s="91" t="str">
        <f>参数表!$BB$2</f>
        <v>2025年7月31日</v>
      </c>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BA3" s="90" t="str">
        <f>参数表!BA3</f>
        <v>是否显示评估值：</v>
      </c>
      <c r="BB3" s="90" t="str">
        <f>参数表!$BB$3</f>
        <v>是</v>
      </c>
      <c r="BS3" s="78"/>
    </row>
    <row r="4" ht="15" customHeight="1" spans="1:77">
      <c r="A4" s="96"/>
      <c r="B4" s="94"/>
      <c r="C4" s="94"/>
      <c r="D4" s="94"/>
      <c r="E4" s="94"/>
      <c r="F4" s="94"/>
      <c r="G4" s="94"/>
      <c r="H4" s="94"/>
      <c r="I4" s="97"/>
      <c r="J4" s="94"/>
      <c r="K4" s="94"/>
      <c r="L4" s="98" t="str">
        <f>"表"&amp;$BA4</f>
        <v>表5-14</v>
      </c>
      <c r="BA4" s="274" t="str">
        <f>流动负总!A20</f>
        <v>5-14</v>
      </c>
      <c r="BB4" s="100">
        <f>MAX(COUNTA(A7:A26),COUNTA(B7:B26),COUNTA(H7:H26),COUNTA(J7:J26))</f>
        <v>20</v>
      </c>
      <c r="BC4" s="101">
        <f>ROW(A6)+1</f>
        <v>7</v>
      </c>
      <c r="BD4" s="77"/>
      <c r="BE4" s="77"/>
      <c r="BS4" s="78"/>
    </row>
    <row r="5" ht="15" customHeight="1" spans="1:77">
      <c r="A5" s="102" t="str">
        <f>参数表!F3</f>
        <v>产权持有单位:中煤第五建设有限公司</v>
      </c>
      <c r="B5" s="103"/>
      <c r="C5" s="103"/>
      <c r="D5" s="103"/>
      <c r="E5" s="103"/>
      <c r="F5" s="103"/>
      <c r="G5" s="103"/>
      <c r="H5" s="103"/>
      <c r="I5" s="104"/>
      <c r="J5" s="103"/>
      <c r="K5" s="103"/>
      <c r="L5" s="98" t="s">
        <v>236</v>
      </c>
      <c r="BA5" s="103"/>
      <c r="BB5" s="105" t="str">
        <f ca="1">判断表!C116</f>
        <v>中煤第五建设有限公司第三工程处拟处置实物资产项目\[0000-3基础法明细表.xlsx]其他流负</v>
      </c>
      <c r="BC5" s="106">
        <f>IFERROR(SUMIF(BC7:BC26,"√",J7:J26)/J27,0)</f>
        <v>0</v>
      </c>
      <c r="BD5" s="107"/>
      <c r="BE5" s="107"/>
      <c r="BF5" s="108">
        <f>分类汇总!$I58</f>
        <v>0</v>
      </c>
      <c r="BG5" s="108">
        <f>分类汇总!$K58</f>
        <v>0</v>
      </c>
      <c r="BH5" s="109"/>
      <c r="BI5" s="109"/>
      <c r="BJ5" s="109"/>
      <c r="BK5" s="109"/>
      <c r="BL5" s="109"/>
      <c r="BM5" s="109"/>
      <c r="BN5" s="109"/>
      <c r="BO5" s="110"/>
      <c r="BP5" s="110"/>
      <c r="BQ5" s="111"/>
      <c r="BS5" s="78"/>
      <c r="BY5" s="111"/>
    </row>
    <row r="6" s="72" customFormat="1" ht="25.2" customHeight="1" spans="1:77">
      <c r="A6" s="112" t="s">
        <v>305</v>
      </c>
      <c r="B6" s="113" t="s">
        <v>1897</v>
      </c>
      <c r="C6" s="113" t="s">
        <v>1961</v>
      </c>
      <c r="D6" s="113" t="s">
        <v>3342</v>
      </c>
      <c r="E6" s="114" t="s">
        <v>1631</v>
      </c>
      <c r="F6" s="115" t="s">
        <v>1632</v>
      </c>
      <c r="G6" s="116" t="s">
        <v>3793</v>
      </c>
      <c r="H6" s="113" t="s">
        <v>1549</v>
      </c>
      <c r="I6" s="117" t="s">
        <v>1634</v>
      </c>
      <c r="J6" s="118" t="s">
        <v>1523</v>
      </c>
      <c r="K6" s="113" t="s">
        <v>1550</v>
      </c>
      <c r="L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6"/>
      <c r="E7" s="127"/>
      <c r="F7" s="127" t="str">
        <f>IFERROR(VLOOKUP(E7,参数表!$H$2:$I$50,2,FALSE),"")</f>
        <v/>
      </c>
      <c r="G7" s="128" t="str">
        <f>IFERROR(IF(OR(E7="人民币",E7=""),"",J7/F7),"")</f>
        <v/>
      </c>
      <c r="H7" s="129"/>
      <c r="I7" s="130"/>
      <c r="J7" s="129" t="str">
        <f>IF(B7="","",H7+I7)</f>
        <v/>
      </c>
      <c r="K7" s="129" t="str">
        <f t="shared" ref="K7:K26" si="0">IF(B7="","",IF($BB$3="是",J7,""))</f>
        <v/>
      </c>
      <c r="L7" s="131"/>
      <c r="BA7" s="78"/>
      <c r="BB7" s="132" t="s">
        <v>5423</v>
      </c>
      <c r="BC7" s="133"/>
      <c r="BD7" s="132" t="str">
        <f>IF(OR(B7="",BC7=""),"",COUNTIF(BC$7:BC7,"√"))</f>
        <v/>
      </c>
      <c r="BE7" s="134" t="str">
        <f t="shared" ref="BE7:BE26" si="1">IF(BC7="","",BB7&amp;"︱"&amp;B7&amp;"︱"&amp;TEXT(H7,"#,##0.00"))</f>
        <v/>
      </c>
      <c r="BF7" s="135" t="str">
        <f>IF($B7="","",IF(BF$5=0,"OK","出错"))</f>
        <v/>
      </c>
      <c r="BG7" s="135" t="str">
        <f>IF($B7="","",IF(BG$5=0,"OK","出错"))</f>
        <v/>
      </c>
      <c r="BH7" s="136"/>
      <c r="BI7" s="137"/>
      <c r="BJ7" s="136"/>
      <c r="BK7" s="136"/>
      <c r="BL7" s="136"/>
      <c r="BM7" s="136"/>
      <c r="BN7" s="136"/>
      <c r="BO7" s="137"/>
      <c r="BP7" s="137"/>
      <c r="BR7" s="134" t="str">
        <f>IF(COUNTIF(BR$6:BR6,D7)&gt;0,"",D7)&amp;""</f>
        <v/>
      </c>
      <c r="BS7" s="138">
        <f>SUMIF(D$7:D$26,BR7,J$7:J$26)</f>
        <v>0</v>
      </c>
      <c r="BT7" s="132">
        <f t="shared" ref="BT7" si="2">RANK(BS7,BS$7:BS$26)</f>
        <v>1</v>
      </c>
      <c r="BU7" s="138">
        <f>SUMIF(D$7:D$26,BR7,K$7:K$26)</f>
        <v>0</v>
      </c>
      <c r="BV7" s="132">
        <f>RANK(BU7,BU$7:BU$26)</f>
        <v>1</v>
      </c>
      <c r="BW7" s="138">
        <f>SUM(BS7:BS26)</f>
        <v>0</v>
      </c>
      <c r="BX7" s="138"/>
      <c r="BY7" s="138"/>
    </row>
    <row r="8" ht="15" customHeight="1" spans="1:77">
      <c r="A8" s="123" t="str">
        <f>IF(B8="","",COUNT(A$6:A7)+1)</f>
        <v/>
      </c>
      <c r="B8" s="139"/>
      <c r="C8" s="140"/>
      <c r="D8" s="141"/>
      <c r="E8" s="142"/>
      <c r="F8" s="127" t="str">
        <f>IFERROR(VLOOKUP(E8,参数表!$H$2:$I$50,2,FALSE),"")</f>
        <v/>
      </c>
      <c r="G8" s="128" t="str">
        <f t="shared" ref="G8:G26" si="3">IFERROR(IF(OR(E8="人民币",E8=""),"",J8/F8),"")</f>
        <v/>
      </c>
      <c r="H8" s="143"/>
      <c r="I8" s="144"/>
      <c r="J8" s="129" t="str">
        <f t="shared" ref="J8:J26" si="4">IF(B8="","",H8+I8)</f>
        <v/>
      </c>
      <c r="K8" s="129" t="str">
        <f t="shared" si="0"/>
        <v/>
      </c>
      <c r="L8" s="145"/>
      <c r="BA8" s="78"/>
      <c r="BB8" s="132" t="s">
        <v>5424</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R8" s="134" t="str">
        <f>IF(COUNTIF(BR$6:BR7,D8)&gt;0,"",D8)&amp;""</f>
        <v/>
      </c>
      <c r="BS8" s="138">
        <f t="shared" ref="BS8:BS26" si="6">SUMIF(D$7:D$26,BR8,J$7:J$26)</f>
        <v>0</v>
      </c>
      <c r="BT8" s="132">
        <f t="shared" ref="BT8:BT26" si="7">RANK(BS8,BS$7:BS$26)</f>
        <v>1</v>
      </c>
      <c r="BU8" s="138">
        <f t="shared" ref="BU8:BU26" si="8">SUMIF(D$7:D$26,BR8,K$7:K$26)</f>
        <v>0</v>
      </c>
      <c r="BV8" s="132">
        <f t="shared" ref="BV8:BV26" si="9">RANK(BU8,BU$7:BU$26)</f>
        <v>1</v>
      </c>
      <c r="BW8" s="138">
        <f>SUM(BU7:BU26)</f>
        <v>0</v>
      </c>
      <c r="BX8" s="138"/>
      <c r="BY8" s="138"/>
    </row>
    <row r="9" ht="15" customHeight="1" spans="1:77">
      <c r="A9" s="123" t="str">
        <f>IF(B9="","",COUNT(A$6:A8)+1)</f>
        <v/>
      </c>
      <c r="B9" s="139"/>
      <c r="C9" s="140"/>
      <c r="D9" s="141"/>
      <c r="E9" s="142"/>
      <c r="F9" s="127" t="str">
        <f>IFERROR(VLOOKUP(E9,参数表!$H$2:$I$50,2,FALSE),"")</f>
        <v/>
      </c>
      <c r="G9" s="128" t="str">
        <f t="shared" si="3"/>
        <v/>
      </c>
      <c r="H9" s="143"/>
      <c r="I9" s="144"/>
      <c r="J9" s="129" t="str">
        <f t="shared" si="4"/>
        <v/>
      </c>
      <c r="K9" s="129" t="str">
        <f t="shared" si="0"/>
        <v/>
      </c>
      <c r="L9" s="145"/>
      <c r="BA9" s="78"/>
      <c r="BB9" s="132" t="s">
        <v>5425</v>
      </c>
      <c r="BC9" s="133"/>
      <c r="BD9" s="132" t="str">
        <f>IF(OR(B9="",BC9=""),"",COUNTIF(BC$7:BC9,"√"))</f>
        <v/>
      </c>
      <c r="BE9" s="134" t="str">
        <f t="shared" si="1"/>
        <v/>
      </c>
      <c r="BF9" s="135" t="str">
        <f t="shared" si="5"/>
        <v/>
      </c>
      <c r="BG9" s="135" t="str">
        <f t="shared" si="5"/>
        <v/>
      </c>
      <c r="BH9" s="136"/>
      <c r="BI9" s="137"/>
      <c r="BJ9" s="136"/>
      <c r="BK9" s="136"/>
      <c r="BL9" s="136"/>
      <c r="BM9" s="136"/>
      <c r="BN9" s="136"/>
      <c r="BO9" s="137"/>
      <c r="BP9" s="137"/>
      <c r="BR9" s="134" t="str">
        <f>IF(COUNTIF(BR$6:BR8,D9)&gt;0,"",D9)&amp;""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1"/>
      <c r="E10" s="142"/>
      <c r="F10" s="127" t="str">
        <f>IFERROR(VLOOKUP(E10,参数表!$H$2:$I$50,2,FALSE),"")</f>
        <v/>
      </c>
      <c r="G10" s="128" t="str">
        <f t="shared" si="3"/>
        <v/>
      </c>
      <c r="H10" s="143"/>
      <c r="I10" s="144"/>
      <c r="J10" s="129" t="str">
        <f t="shared" si="4"/>
        <v/>
      </c>
      <c r="K10" s="129" t="str">
        <f t="shared" si="0"/>
        <v/>
      </c>
      <c r="L10" s="145"/>
      <c r="BA10" s="78"/>
      <c r="BB10" s="132" t="s">
        <v>5426</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R10" s="134" t="str">
        <f>IF(COUNTIF(BR$6:BR9,D10)&gt;0,"",D10)&amp;""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1"/>
      <c r="E11" s="142"/>
      <c r="F11" s="127" t="str">
        <f>IFERROR(VLOOKUP(E11,参数表!$H$2:$I$50,2,FALSE),"")</f>
        <v/>
      </c>
      <c r="G11" s="128" t="str">
        <f t="shared" si="3"/>
        <v/>
      </c>
      <c r="H11" s="143"/>
      <c r="I11" s="144"/>
      <c r="J11" s="129" t="str">
        <f t="shared" si="4"/>
        <v/>
      </c>
      <c r="K11" s="129" t="str">
        <f t="shared" si="0"/>
        <v/>
      </c>
      <c r="L11" s="145"/>
      <c r="BA11" s="78"/>
      <c r="BB11" s="132" t="s">
        <v>5427</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R11" s="134" t="str">
        <f>IF(COUNTIF(BR$6:BR10,D11)&gt;0,"",D11)&amp;""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1"/>
      <c r="E12" s="142"/>
      <c r="F12" s="127" t="str">
        <f>IFERROR(VLOOKUP(E12,参数表!$H$2:$I$50,2,FALSE),"")</f>
        <v/>
      </c>
      <c r="G12" s="128" t="str">
        <f t="shared" si="3"/>
        <v/>
      </c>
      <c r="H12" s="143"/>
      <c r="I12" s="144"/>
      <c r="J12" s="129" t="str">
        <f t="shared" si="4"/>
        <v/>
      </c>
      <c r="K12" s="129" t="str">
        <f t="shared" si="0"/>
        <v/>
      </c>
      <c r="L12" s="145"/>
      <c r="BA12" s="78"/>
      <c r="BB12" s="132" t="s">
        <v>5428</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R12" s="134" t="str">
        <f>IF(COUNTIF(BR$6:BR11,D12)&gt;0,"",D12)&amp;""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1"/>
      <c r="E13" s="142"/>
      <c r="F13" s="127" t="str">
        <f>IFERROR(VLOOKUP(E13,参数表!$H$2:$I$50,2,FALSE),"")</f>
        <v/>
      </c>
      <c r="G13" s="128" t="str">
        <f t="shared" si="3"/>
        <v/>
      </c>
      <c r="H13" s="143"/>
      <c r="I13" s="144"/>
      <c r="J13" s="129" t="str">
        <f t="shared" si="4"/>
        <v/>
      </c>
      <c r="K13" s="129" t="str">
        <f t="shared" si="0"/>
        <v/>
      </c>
      <c r="L13" s="145"/>
      <c r="BA13" s="78"/>
      <c r="BB13" s="132" t="s">
        <v>5429</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R13" s="134" t="str">
        <f>IF(COUNTIF(BR$6:BR12,D13)&gt;0,"",D13)&amp;""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1"/>
      <c r="E14" s="142"/>
      <c r="F14" s="127" t="str">
        <f>IFERROR(VLOOKUP(E14,参数表!$H$2:$I$50,2,FALSE),"")</f>
        <v/>
      </c>
      <c r="G14" s="128" t="str">
        <f t="shared" si="3"/>
        <v/>
      </c>
      <c r="H14" s="143"/>
      <c r="I14" s="144"/>
      <c r="J14" s="129" t="str">
        <f t="shared" si="4"/>
        <v/>
      </c>
      <c r="K14" s="129" t="str">
        <f t="shared" si="0"/>
        <v/>
      </c>
      <c r="L14" s="145"/>
      <c r="BA14" s="78"/>
      <c r="BB14" s="132" t="s">
        <v>5430</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R14" s="134" t="str">
        <f>IF(COUNTIF(BR$6:BR13,D14)&gt;0,"",D14)&amp;""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1"/>
      <c r="E15" s="142"/>
      <c r="F15" s="127" t="str">
        <f>IFERROR(VLOOKUP(E15,参数表!$H$2:$I$50,2,FALSE),"")</f>
        <v/>
      </c>
      <c r="G15" s="128" t="str">
        <f t="shared" si="3"/>
        <v/>
      </c>
      <c r="H15" s="143"/>
      <c r="I15" s="144"/>
      <c r="J15" s="129" t="str">
        <f t="shared" si="4"/>
        <v/>
      </c>
      <c r="K15" s="129" t="str">
        <f t="shared" si="0"/>
        <v/>
      </c>
      <c r="L15" s="145"/>
      <c r="BA15" s="78"/>
      <c r="BB15" s="132" t="s">
        <v>5431</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R15" s="134" t="str">
        <f>IF(COUNTIF(BR$6:BR14,D15)&gt;0,"",D15)&amp;""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1"/>
      <c r="E16" s="142"/>
      <c r="F16" s="127" t="str">
        <f>IFERROR(VLOOKUP(E16,参数表!$H$2:$I$50,2,FALSE),"")</f>
        <v/>
      </c>
      <c r="G16" s="128" t="str">
        <f t="shared" si="3"/>
        <v/>
      </c>
      <c r="H16" s="143"/>
      <c r="I16" s="144"/>
      <c r="J16" s="129" t="str">
        <f t="shared" si="4"/>
        <v/>
      </c>
      <c r="K16" s="129" t="str">
        <f t="shared" si="0"/>
        <v/>
      </c>
      <c r="L16" s="145"/>
      <c r="BA16" s="78"/>
      <c r="BB16" s="132" t="s">
        <v>5432</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R16" s="134" t="str">
        <f>IF(COUNTIF(BR$6:BR15,D16)&gt;0,"",D16)&amp;""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1"/>
      <c r="E17" s="142"/>
      <c r="F17" s="127" t="str">
        <f>IFERROR(VLOOKUP(E17,参数表!$H$2:$I$50,2,FALSE),"")</f>
        <v/>
      </c>
      <c r="G17" s="128" t="str">
        <f t="shared" si="3"/>
        <v/>
      </c>
      <c r="H17" s="143"/>
      <c r="I17" s="144"/>
      <c r="J17" s="129" t="str">
        <f t="shared" si="4"/>
        <v/>
      </c>
      <c r="K17" s="129" t="str">
        <f t="shared" si="0"/>
        <v/>
      </c>
      <c r="L17" s="145"/>
      <c r="BA17" s="78"/>
      <c r="BB17" s="132" t="s">
        <v>5433</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R17" s="134" t="str">
        <f>IF(COUNTIF(BR$6:BR16,D17)&gt;0,"",D17)&amp;""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1"/>
      <c r="E18" s="142"/>
      <c r="F18" s="127" t="str">
        <f>IFERROR(VLOOKUP(E18,参数表!$H$2:$I$50,2,FALSE),"")</f>
        <v/>
      </c>
      <c r="G18" s="128" t="str">
        <f t="shared" si="3"/>
        <v/>
      </c>
      <c r="H18" s="143"/>
      <c r="I18" s="144"/>
      <c r="J18" s="129" t="str">
        <f t="shared" si="4"/>
        <v/>
      </c>
      <c r="K18" s="129" t="str">
        <f t="shared" si="0"/>
        <v/>
      </c>
      <c r="L18" s="145"/>
      <c r="BA18" s="78"/>
      <c r="BB18" s="132" t="s">
        <v>5434</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R18" s="134" t="str">
        <f>IF(COUNTIF(BR$6:BR17,D18)&gt;0,"",D18)&amp;""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1"/>
      <c r="E19" s="142"/>
      <c r="F19" s="127" t="str">
        <f>IFERROR(VLOOKUP(E19,参数表!$H$2:$I$50,2,FALSE),"")</f>
        <v/>
      </c>
      <c r="G19" s="128" t="str">
        <f t="shared" si="3"/>
        <v/>
      </c>
      <c r="H19" s="143"/>
      <c r="I19" s="144"/>
      <c r="J19" s="129" t="str">
        <f t="shared" si="4"/>
        <v/>
      </c>
      <c r="K19" s="129" t="str">
        <f t="shared" si="0"/>
        <v/>
      </c>
      <c r="L19" s="145"/>
      <c r="BA19" s="78"/>
      <c r="BB19" s="132" t="s">
        <v>5435</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R19" s="134" t="str">
        <f>IF(COUNTIF(BR$6:BR18,D19)&gt;0,"",D19)&amp;""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1"/>
      <c r="E20" s="142"/>
      <c r="F20" s="127" t="str">
        <f>IFERROR(VLOOKUP(E20,参数表!$H$2:$I$50,2,FALSE),"")</f>
        <v/>
      </c>
      <c r="G20" s="128" t="str">
        <f t="shared" si="3"/>
        <v/>
      </c>
      <c r="H20" s="143"/>
      <c r="I20" s="144"/>
      <c r="J20" s="129" t="str">
        <f t="shared" si="4"/>
        <v/>
      </c>
      <c r="K20" s="129" t="str">
        <f t="shared" si="0"/>
        <v/>
      </c>
      <c r="L20" s="145"/>
      <c r="BA20" s="78"/>
      <c r="BB20" s="132" t="s">
        <v>5436</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R20" s="134" t="str">
        <f>IF(COUNTIF(BR$6:BR19,D20)&gt;0,"",D20)&amp;""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1"/>
      <c r="E21" s="142"/>
      <c r="F21" s="127" t="str">
        <f>IFERROR(VLOOKUP(E21,参数表!$H$2:$I$50,2,FALSE),"")</f>
        <v/>
      </c>
      <c r="G21" s="128" t="str">
        <f t="shared" si="3"/>
        <v/>
      </c>
      <c r="H21" s="143"/>
      <c r="I21" s="144"/>
      <c r="J21" s="129" t="str">
        <f t="shared" si="4"/>
        <v/>
      </c>
      <c r="K21" s="129" t="str">
        <f t="shared" si="0"/>
        <v/>
      </c>
      <c r="L21" s="145"/>
      <c r="BA21" s="78"/>
      <c r="BB21" s="132" t="s">
        <v>5437</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R21" s="134" t="str">
        <f>IF(COUNTIF(BR$6:BR20,D21)&gt;0,"",D21)&amp;""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1"/>
      <c r="E22" s="142"/>
      <c r="F22" s="127" t="str">
        <f>IFERROR(VLOOKUP(E22,参数表!$H$2:$I$50,2,FALSE),"")</f>
        <v/>
      </c>
      <c r="G22" s="128" t="str">
        <f t="shared" si="3"/>
        <v/>
      </c>
      <c r="H22" s="143"/>
      <c r="I22" s="144"/>
      <c r="J22" s="129" t="str">
        <f t="shared" si="4"/>
        <v/>
      </c>
      <c r="K22" s="129" t="str">
        <f t="shared" si="0"/>
        <v/>
      </c>
      <c r="L22" s="145"/>
      <c r="BA22" s="78"/>
      <c r="BB22" s="132" t="s">
        <v>5438</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R22" s="134" t="str">
        <f>IF(COUNTIF(BR$6:BR21,D22)&gt;0,"",D22)&amp;""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1"/>
      <c r="E23" s="142"/>
      <c r="F23" s="127" t="str">
        <f>IFERROR(VLOOKUP(E23,参数表!$H$2:$I$50,2,FALSE),"")</f>
        <v/>
      </c>
      <c r="G23" s="128" t="str">
        <f t="shared" si="3"/>
        <v/>
      </c>
      <c r="H23" s="143"/>
      <c r="I23" s="144"/>
      <c r="J23" s="129" t="str">
        <f t="shared" si="4"/>
        <v/>
      </c>
      <c r="K23" s="129" t="str">
        <f t="shared" si="0"/>
        <v/>
      </c>
      <c r="L23" s="145"/>
      <c r="BA23" s="78"/>
      <c r="BB23" s="132" t="s">
        <v>5439</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R23" s="134" t="str">
        <f>IF(COUNTIF(BR$6:BR22,D23)&gt;0,"",D23)&amp;""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1"/>
      <c r="E24" s="142"/>
      <c r="F24" s="127" t="str">
        <f>IFERROR(VLOOKUP(E24,参数表!$H$2:$I$50,2,FALSE),"")</f>
        <v/>
      </c>
      <c r="G24" s="128" t="str">
        <f t="shared" si="3"/>
        <v/>
      </c>
      <c r="H24" s="143"/>
      <c r="I24" s="144"/>
      <c r="J24" s="129" t="str">
        <f t="shared" si="4"/>
        <v/>
      </c>
      <c r="K24" s="129" t="str">
        <f t="shared" si="0"/>
        <v/>
      </c>
      <c r="L24" s="145"/>
      <c r="BA24" s="78"/>
      <c r="BB24" s="132" t="s">
        <v>5440</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R24" s="134" t="str">
        <f>IF(COUNTIF(BR$6:BR23,D24)&gt;0,"",D24)&amp;""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1"/>
      <c r="E25" s="142"/>
      <c r="F25" s="127" t="str">
        <f>IFERROR(VLOOKUP(E25,参数表!$H$2:$I$50,2,FALSE),"")</f>
        <v/>
      </c>
      <c r="G25" s="128" t="str">
        <f t="shared" si="3"/>
        <v/>
      </c>
      <c r="H25" s="143"/>
      <c r="I25" s="144"/>
      <c r="J25" s="129" t="str">
        <f t="shared" si="4"/>
        <v/>
      </c>
      <c r="K25" s="129" t="str">
        <f t="shared" si="0"/>
        <v/>
      </c>
      <c r="L25" s="145"/>
      <c r="BA25" s="78"/>
      <c r="BB25" s="132" t="s">
        <v>5441</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R25" s="134" t="str">
        <f>IF(COUNTIF(BR$6:BR24,D25)&gt;0,"",D25)&amp;""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6"/>
      <c r="E26" s="127"/>
      <c r="F26" s="127" t="str">
        <f>IFERROR(VLOOKUP(E26,参数表!$H$2:$I$50,2,FALSE),"")</f>
        <v/>
      </c>
      <c r="G26" s="128" t="str">
        <f t="shared" si="3"/>
        <v/>
      </c>
      <c r="H26" s="129"/>
      <c r="I26" s="130"/>
      <c r="J26" s="129" t="str">
        <f t="shared" si="4"/>
        <v/>
      </c>
      <c r="K26" s="129" t="str">
        <f t="shared" si="0"/>
        <v/>
      </c>
      <c r="L26" s="131"/>
      <c r="BA26" s="78"/>
      <c r="BB26" s="132" t="s">
        <v>5442</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R26" s="134" t="str">
        <f>IF(COUNTIF(BR$6:BR25,D26)&gt;0,"",D26)&amp;""</f>
        <v/>
      </c>
      <c r="BS26" s="138">
        <f t="shared" si="6"/>
        <v>0</v>
      </c>
      <c r="BT26" s="132">
        <f t="shared" si="7"/>
        <v>1</v>
      </c>
      <c r="BU26" s="138">
        <f t="shared" si="8"/>
        <v>0</v>
      </c>
      <c r="BV26" s="132">
        <f t="shared" si="9"/>
        <v>1</v>
      </c>
      <c r="BW26" s="133"/>
      <c r="BX26" s="133"/>
    </row>
    <row r="27" s="73" customFormat="1" ht="15" customHeight="1" spans="1:77">
      <c r="A27" s="149" t="s">
        <v>4984</v>
      </c>
      <c r="B27" s="149"/>
      <c r="C27" s="150"/>
      <c r="D27" s="149"/>
      <c r="E27" s="151"/>
      <c r="F27" s="151"/>
      <c r="G27" s="151"/>
      <c r="H27" s="152">
        <f>SUM(H7:H26)</f>
        <v>0</v>
      </c>
      <c r="I27" s="153"/>
      <c r="J27" s="152">
        <f>SUM(J7:J26)</f>
        <v>0</v>
      </c>
      <c r="K27" s="152">
        <f>SUM(K7:K26)</f>
        <v>0</v>
      </c>
      <c r="L27" s="151"/>
      <c r="BF27" s="75"/>
      <c r="BG27" s="75"/>
      <c r="BH27" s="75"/>
      <c r="BI27" s="75"/>
      <c r="BJ27" s="75"/>
      <c r="BK27" s="75"/>
      <c r="BL27" s="75"/>
      <c r="BM27" s="75"/>
      <c r="BN27" s="75"/>
      <c r="BO27" s="75"/>
      <c r="BP27" s="75"/>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5"/>
      <c r="J28" s="103"/>
      <c r="K28" s="156" t="str">
        <f>"评估人员："&amp;封面!$G$38</f>
        <v>评估人员：</v>
      </c>
      <c r="L28" s="103"/>
    </row>
    <row r="29" customHeight="1" spans="1:77">
      <c r="A29" s="102" t="str">
        <f>参数表!F$7</f>
        <v>填表日期：2025年9月20日</v>
      </c>
      <c r="B29" s="154"/>
      <c r="C29" s="154"/>
      <c r="D29" s="154"/>
      <c r="E29" s="154"/>
      <c r="F29" s="154"/>
      <c r="G29" s="154"/>
      <c r="H29" s="154"/>
      <c r="I29" s="155"/>
      <c r="J29" s="103"/>
      <c r="K29" s="103"/>
      <c r="L29" s="103"/>
    </row>
    <row r="30" hidden="1" customHeight="1" outlineLevel="1" spans="1:77">
      <c r="A30" s="157"/>
      <c r="B30" s="154" t="s">
        <v>1673</v>
      </c>
      <c r="C30" s="158"/>
      <c r="D30" s="158"/>
      <c r="E30" s="158"/>
      <c r="F30" s="158"/>
      <c r="G30" s="158"/>
      <c r="H30" s="159">
        <f>SUMIF($BA7:$BA26,$BA30,H7:H26)</f>
        <v>0</v>
      </c>
      <c r="I30" s="160"/>
      <c r="J30" s="159">
        <f>SUMIF($BA7:$BA26,$BA30,J7:J26)</f>
        <v>0</v>
      </c>
      <c r="K30" s="159">
        <f>SUMIF($BA7:$BA26,$BA30,K7:K26)</f>
        <v>0</v>
      </c>
      <c r="BA30" s="161" t="s">
        <v>1674</v>
      </c>
      <c r="BH30" s="162" t="s">
        <v>1675</v>
      </c>
      <c r="BI30" s="163"/>
      <c r="BJ30" s="162" t="s">
        <v>1675</v>
      </c>
      <c r="BK30" s="162" t="s">
        <v>1675</v>
      </c>
      <c r="BL30" s="162" t="s">
        <v>1675</v>
      </c>
      <c r="BM30" s="162" t="s">
        <v>1674</v>
      </c>
      <c r="BN30" s="162" t="s">
        <v>1674</v>
      </c>
    </row>
    <row r="31" hidden="1" customHeight="1" outlineLevel="1" spans="1:77">
      <c r="A31" s="157"/>
      <c r="B31" s="154" t="s">
        <v>1676</v>
      </c>
      <c r="C31" s="158"/>
      <c r="D31" s="158"/>
      <c r="E31" s="158"/>
      <c r="F31" s="158"/>
      <c r="G31" s="158"/>
      <c r="H31" s="159">
        <f>H27-H30</f>
        <v>0</v>
      </c>
      <c r="I31" s="160"/>
      <c r="J31" s="159">
        <f>J27-J30</f>
        <v>0</v>
      </c>
      <c r="K31" s="159">
        <f>K27-K30</f>
        <v>0</v>
      </c>
      <c r="BA31" s="161" t="s">
        <v>1677</v>
      </c>
      <c r="BH31" s="162" t="s">
        <v>1678</v>
      </c>
      <c r="BI31" s="163"/>
      <c r="BJ31" s="162" t="s">
        <v>1678</v>
      </c>
      <c r="BK31" s="162" t="s">
        <v>1678</v>
      </c>
      <c r="BL31" s="162" t="s">
        <v>1678</v>
      </c>
      <c r="BM31" s="162" t="s">
        <v>1677</v>
      </c>
      <c r="BN31" s="162" t="s">
        <v>1677</v>
      </c>
    </row>
    <row r="32" customHeight="1" collapsed="1" spans="1:77">
      <c r="A32" s="157"/>
      <c r="B32" s="158"/>
      <c r="C32" s="158"/>
      <c r="D32" s="158"/>
      <c r="E32" s="158"/>
      <c r="F32" s="158"/>
      <c r="G32" s="158"/>
      <c r="H32" s="158"/>
      <c r="I32" s="164"/>
    </row>
    <row r="33" customHeight="1" spans="1:9">
      <c r="A33" s="157"/>
      <c r="B33" s="158"/>
      <c r="C33" s="158"/>
      <c r="D33" s="158"/>
      <c r="E33" s="158"/>
      <c r="F33" s="158"/>
      <c r="G33" s="158"/>
      <c r="H33" s="158"/>
      <c r="I33" s="164"/>
    </row>
    <row r="34" customHeight="1" spans="1:9">
      <c r="A34" s="157"/>
      <c r="B34" s="158"/>
      <c r="C34" s="158"/>
      <c r="D34" s="158"/>
      <c r="E34" s="158"/>
      <c r="F34" s="158"/>
      <c r="G34" s="158"/>
      <c r="H34" s="158"/>
      <c r="I34" s="164"/>
    </row>
    <row r="35" customHeight="1" spans="1:9">
      <c r="A35" s="157"/>
      <c r="B35" s="158"/>
      <c r="C35" s="158"/>
      <c r="D35" s="158"/>
      <c r="E35" s="158"/>
      <c r="F35" s="158"/>
      <c r="G35" s="158"/>
      <c r="H35" s="158"/>
      <c r="I35" s="164"/>
    </row>
    <row r="36" customHeight="1" spans="1:9">
      <c r="A36" s="157"/>
      <c r="B36" s="158"/>
      <c r="C36" s="158"/>
      <c r="D36" s="158"/>
      <c r="E36" s="158"/>
      <c r="F36" s="158"/>
      <c r="G36" s="158"/>
      <c r="H36" s="158"/>
      <c r="I36" s="164"/>
    </row>
    <row r="37" customHeight="1" spans="1:9">
      <c r="E37" s="158"/>
      <c r="F37" s="158"/>
      <c r="G37" s="158"/>
    </row>
  </sheetData>
  <sheetProtection autoFilter="0"/>
  <mergeCells count="6">
    <mergeCell ref="A2:L2"/>
    <mergeCell ref="A3:L3"/>
    <mergeCell ref="BW7:BY7"/>
    <mergeCell ref="BW8:BY8"/>
    <mergeCell ref="BX14:BY14"/>
    <mergeCell ref="A27:B27"/>
  </mergeCells>
  <conditionalFormatting sqref="BH7:BH26">
    <cfRule type="expression" dxfId="5" priority="12"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6"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17" display="返回索引页"/>
    <hyperlink ref="B1" location="流动负债汇总!B17"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00B0F0"/>
  </sheetPr>
  <dimension ref="A1:BB127"/>
  <sheetViews>
    <sheetView workbookViewId="0">
      <pane xSplit="3" ySplit="3" topLeftCell="J85" activePane="bottomRight" state="frozen"/>
      <selection/>
      <selection pane="topRight"/>
      <selection pane="bottomLeft"/>
      <selection pane="bottomRight" activeCell="Z117" sqref="Z117"/>
    </sheetView>
  </sheetViews>
  <sheetFormatPr defaultColWidth="9" defaultRowHeight="12"/>
  <cols>
    <col min="1" max="1" width="4.5" style="1612" customWidth="1"/>
    <col min="2" max="2" width="10.6" style="1616" customWidth="1"/>
    <col min="3" max="3" width="13.8" style="1614" customWidth="1"/>
    <col min="4" max="4" width="10.6" style="1614" customWidth="1"/>
    <col min="5" max="11" width="10.6" style="1616" customWidth="1"/>
    <col min="12" max="13" width="5.3" style="1612" customWidth="1"/>
    <col min="14" max="14" width="8.5" style="1612" customWidth="1"/>
    <col min="15" max="15" width="6.6" style="1612" customWidth="1"/>
    <col min="16" max="16" width="8.5" style="1612" customWidth="1"/>
    <col min="17" max="17" width="1.6" style="1616" customWidth="1"/>
    <col min="18" max="18" width="4.1" style="1612" customWidth="1"/>
    <col min="19" max="22" width="6.1" style="1612" customWidth="1"/>
    <col min="23" max="23" width="1.6" style="1616" customWidth="1"/>
    <col min="24" max="24" width="4.1" style="1612" customWidth="1"/>
    <col min="25" max="29" width="6.1" style="1612" customWidth="1"/>
    <col min="30" max="30" width="1.6" style="1616" customWidth="1"/>
    <col min="31" max="31" width="4.1" style="1612" customWidth="1"/>
    <col min="32" max="36" width="6.1" style="1612" customWidth="1"/>
    <col min="37" max="37" width="1.6" style="1616" customWidth="1"/>
    <col min="38" max="38" width="4.1" style="1616" customWidth="1"/>
    <col min="39" max="50" width="3.6" style="1616" customWidth="1"/>
    <col min="51" max="51" width="1.6" style="1616" customWidth="1"/>
    <col min="52" max="16384" width="9" style="1616"/>
  </cols>
  <sheetData>
    <row r="1" s="1611" customFormat="1" customHeight="1" spans="1:54">
      <c r="A1" s="1617" t="s">
        <v>521</v>
      </c>
      <c r="B1" s="1617" t="s">
        <v>522</v>
      </c>
      <c r="C1" s="1618" t="s">
        <v>523</v>
      </c>
      <c r="D1" s="1618" t="s">
        <v>524</v>
      </c>
      <c r="E1" s="1619" t="s">
        <v>525</v>
      </c>
      <c r="F1" s="1620"/>
      <c r="G1" s="1620"/>
      <c r="H1" s="1621"/>
      <c r="I1" s="1617" t="s">
        <v>526</v>
      </c>
      <c r="J1" s="1617"/>
      <c r="K1" s="1617" t="s">
        <v>527</v>
      </c>
      <c r="L1" s="1617" t="s">
        <v>528</v>
      </c>
      <c r="M1" s="1622" t="s">
        <v>529</v>
      </c>
      <c r="N1" s="1617" t="s">
        <v>530</v>
      </c>
      <c r="O1" s="1617" t="s">
        <v>531</v>
      </c>
      <c r="P1" s="1617" t="s">
        <v>532</v>
      </c>
      <c r="R1" s="1617" t="s">
        <v>533</v>
      </c>
      <c r="S1" s="1617"/>
      <c r="T1" s="1617"/>
      <c r="U1" s="1617"/>
      <c r="V1" s="1617"/>
      <c r="X1" s="1617" t="s">
        <v>534</v>
      </c>
      <c r="Y1" s="1617"/>
      <c r="Z1" s="1617"/>
      <c r="AA1" s="1617"/>
      <c r="AB1" s="1617"/>
      <c r="AC1" s="1617"/>
      <c r="AE1" s="1617" t="s">
        <v>535</v>
      </c>
      <c r="AF1" s="1617"/>
      <c r="AG1" s="1617"/>
      <c r="AH1" s="1617"/>
      <c r="AI1" s="1617"/>
      <c r="AJ1" s="1617"/>
      <c r="AL1" s="1617" t="s">
        <v>536</v>
      </c>
      <c r="AM1" s="1617"/>
      <c r="AN1" s="1617"/>
      <c r="AO1" s="1617"/>
      <c r="AP1" s="1617"/>
      <c r="AQ1" s="1617"/>
      <c r="AR1" s="1617"/>
      <c r="AS1" s="1617"/>
      <c r="AT1" s="1617"/>
      <c r="AU1" s="1617"/>
      <c r="AV1" s="1617"/>
      <c r="AW1" s="1617"/>
      <c r="AX1" s="1617"/>
      <c r="AZ1" s="1611">
        <f>COUNTA(AZ3:AZ125)</f>
        <v>34</v>
      </c>
      <c r="BA1" s="1611">
        <f>COUNTA(BA3:BA125)</f>
        <v>14</v>
      </c>
      <c r="BB1" s="1611">
        <f>COUNTA(BB3:BB125)</f>
        <v>31</v>
      </c>
    </row>
    <row r="2" s="1611" customFormat="1" customHeight="1" spans="1:54">
      <c r="A2" s="1617"/>
      <c r="B2" s="1617"/>
      <c r="C2" s="1618"/>
      <c r="D2" s="1618"/>
      <c r="E2" s="1617" t="s">
        <v>537</v>
      </c>
      <c r="F2" s="1617" t="s">
        <v>538</v>
      </c>
      <c r="G2" s="1623" t="s">
        <v>539</v>
      </c>
      <c r="H2" s="1623" t="s">
        <v>540</v>
      </c>
      <c r="I2" s="1617" t="s">
        <v>537</v>
      </c>
      <c r="J2" s="1617" t="s">
        <v>540</v>
      </c>
      <c r="K2" s="1617"/>
      <c r="L2" s="1617"/>
      <c r="M2" s="1624"/>
      <c r="N2" s="1617" t="s">
        <v>541</v>
      </c>
      <c r="O2" s="1617" t="s">
        <v>542</v>
      </c>
      <c r="P2" s="1617" t="s">
        <v>543</v>
      </c>
      <c r="R2" s="1617" t="s">
        <v>544</v>
      </c>
      <c r="S2" s="1617" t="s">
        <v>545</v>
      </c>
      <c r="T2" s="1617" t="s">
        <v>546</v>
      </c>
      <c r="U2" s="1617" t="s">
        <v>547</v>
      </c>
      <c r="V2" s="1617" t="s">
        <v>548</v>
      </c>
      <c r="X2" s="1617" t="s">
        <v>544</v>
      </c>
      <c r="Y2" s="1617" t="s">
        <v>545</v>
      </c>
      <c r="Z2" s="1617" t="s">
        <v>546</v>
      </c>
      <c r="AA2" s="1617" t="s">
        <v>547</v>
      </c>
      <c r="AB2" s="1617" t="s">
        <v>548</v>
      </c>
      <c r="AC2" s="1617" t="s">
        <v>549</v>
      </c>
      <c r="AE2" s="1617" t="s">
        <v>544</v>
      </c>
      <c r="AF2" s="1617" t="s">
        <v>545</v>
      </c>
      <c r="AG2" s="1617" t="s">
        <v>546</v>
      </c>
      <c r="AH2" s="1617" t="s">
        <v>547</v>
      </c>
      <c r="AI2" s="1617" t="s">
        <v>548</v>
      </c>
      <c r="AJ2" s="1617" t="s">
        <v>549</v>
      </c>
      <c r="AL2" s="1617" t="s">
        <v>544</v>
      </c>
      <c r="AM2" s="1617" t="s">
        <v>550</v>
      </c>
      <c r="AN2" s="1617" t="s">
        <v>551</v>
      </c>
      <c r="AO2" s="1617" t="s">
        <v>552</v>
      </c>
      <c r="AP2" s="1617" t="s">
        <v>553</v>
      </c>
      <c r="AQ2" s="1617" t="s">
        <v>554</v>
      </c>
      <c r="AR2" s="1617" t="s">
        <v>555</v>
      </c>
      <c r="AS2" s="1617" t="s">
        <v>556</v>
      </c>
      <c r="AT2" s="1617" t="s">
        <v>557</v>
      </c>
      <c r="AU2" s="1617" t="s">
        <v>558</v>
      </c>
      <c r="AV2" s="1617" t="s">
        <v>559</v>
      </c>
      <c r="AW2" s="1617" t="s">
        <v>560</v>
      </c>
      <c r="AX2" s="1617" t="s">
        <v>561</v>
      </c>
      <c r="AZ2" s="1611" t="s">
        <v>562</v>
      </c>
      <c r="BA2" s="1611" t="s">
        <v>563</v>
      </c>
      <c r="BB2" s="1625" t="s">
        <v>564</v>
      </c>
    </row>
    <row r="3" s="1612" customFormat="1" customHeight="1" spans="1:54">
      <c r="A3" s="1626">
        <f ca="1">IF(B3="","",SUBTOTAL(3,B$3:B3))</f>
        <v>1</v>
      </c>
      <c r="B3" s="1627" t="str">
        <f ca="1">CELL("filename",'汇总-基础'!A1)</f>
        <v>D:\桌面\评估\评估\2025评估\中致成\中煤\报告\[104250091]中煤第五建设有限公司第三工程处拟处置实物资产项目\[0000-3基础法明细表.xlsx]汇总-基础</v>
      </c>
      <c r="C3" s="1628" t="str">
        <f ca="1">RIGHT(B3,LEN(B3)-FIND("]",B3))</f>
        <v>中煤第五建设有限公司第三工程处拟处置实物资产项目\[0000-3基础法明细表.xlsx]汇总-基础</v>
      </c>
      <c r="D3" s="1629"/>
      <c r="E3" s="1626"/>
      <c r="F3" s="1626"/>
      <c r="G3" s="1630"/>
      <c r="H3" s="1630"/>
      <c r="I3" s="1626"/>
      <c r="J3" s="1626"/>
      <c r="K3" s="1631">
        <v>1</v>
      </c>
      <c r="L3" s="1626" t="str">
        <f t="shared" ref="L3:L6" si="0">IF(K3&gt;0,"显示","隐藏")</f>
        <v>显示</v>
      </c>
      <c r="M3" s="1626" t="s">
        <v>565</v>
      </c>
      <c r="N3" s="1626"/>
      <c r="O3" s="1626"/>
      <c r="P3" s="1626"/>
      <c r="R3" s="1632">
        <f>COUNTA(S3:V3)</f>
        <v>0</v>
      </c>
      <c r="S3" s="1632"/>
      <c r="T3" s="1632"/>
      <c r="U3" s="1632"/>
      <c r="V3" s="1632"/>
      <c r="X3" s="1632">
        <f>COUNTA(Y3:AC3)</f>
        <v>0</v>
      </c>
      <c r="Y3" s="1632"/>
      <c r="Z3" s="1632"/>
      <c r="AA3" s="1632"/>
      <c r="AB3" s="1632"/>
      <c r="AC3" s="1632"/>
      <c r="AE3" s="1632">
        <f>COUNTA(AF3:AJ3)</f>
        <v>0</v>
      </c>
      <c r="AF3" s="1632"/>
      <c r="AG3" s="1632"/>
      <c r="AH3" s="1632"/>
      <c r="AI3" s="1632"/>
      <c r="AJ3" s="1632"/>
      <c r="AL3" s="1632">
        <f t="shared" ref="AL3:AL34" si="1">COUNTA(AM3:AX3)</f>
        <v>0</v>
      </c>
      <c r="AM3" s="1632"/>
      <c r="AN3" s="1632"/>
      <c r="AO3" s="1632"/>
      <c r="AP3" s="1632"/>
      <c r="AQ3" s="1632"/>
      <c r="AR3" s="1632"/>
      <c r="AS3" s="1632"/>
      <c r="AT3" s="1632"/>
      <c r="AU3" s="1632"/>
      <c r="AV3" s="1632"/>
      <c r="AW3" s="1632"/>
      <c r="AX3" s="1632"/>
      <c r="AZ3" s="1633" t="s">
        <v>566</v>
      </c>
      <c r="BA3" s="1633" t="s">
        <v>567</v>
      </c>
      <c r="BB3" s="1633" t="s">
        <v>568</v>
      </c>
    </row>
    <row r="4" s="1612" customFormat="1" customHeight="1" spans="1:54">
      <c r="A4" s="1617">
        <f ca="1">IF(B4="","",SUBTOTAL(3,B$3:B4))</f>
        <v>2</v>
      </c>
      <c r="B4" s="1634" t="str">
        <f ca="1">CELL("filename",分类汇总!A1)</f>
        <v>D:\桌面\评估\评估\2025评估\中致成\中煤\报告\[104250091]中煤第五建设有限公司第三工程处拟处置实物资产项目\[0000-3基础法明细表.xlsx]分类汇总</v>
      </c>
      <c r="C4" s="1635" t="str">
        <f ca="1" t="shared" ref="C4:C6" si="2">RIGHT(B4,LEN(B4)-FIND("]",B4))</f>
        <v>中煤第五建设有限公司第三工程处拟处置实物资产项目\[0000-3基础法明细表.xlsx]分类汇总</v>
      </c>
      <c r="D4" s="1618"/>
      <c r="E4" s="1617"/>
      <c r="F4" s="1617"/>
      <c r="G4" s="1623"/>
      <c r="H4" s="1623"/>
      <c r="I4" s="1617"/>
      <c r="J4" s="1617"/>
      <c r="K4" s="1636">
        <v>1</v>
      </c>
      <c r="L4" s="1617" t="str">
        <f t="shared" si="0"/>
        <v>显示</v>
      </c>
      <c r="M4" s="1617" t="s">
        <v>565</v>
      </c>
      <c r="N4" s="1617"/>
      <c r="O4" s="1617"/>
      <c r="P4" s="1617"/>
      <c r="R4" s="1637">
        <f t="shared" ref="R4:R66" si="3">COUNTA(S4:V4)</f>
        <v>0</v>
      </c>
      <c r="S4" s="1637"/>
      <c r="T4" s="1637"/>
      <c r="U4" s="1637"/>
      <c r="V4" s="1637"/>
      <c r="X4" s="1637">
        <f t="shared" ref="X4:X67" si="4">COUNTA(Y4:AC4)</f>
        <v>0</v>
      </c>
      <c r="Y4" s="1637"/>
      <c r="Z4" s="1637"/>
      <c r="AA4" s="1637"/>
      <c r="AB4" s="1637"/>
      <c r="AC4" s="1637"/>
      <c r="AE4" s="1637">
        <f t="shared" ref="AE4:AE67" si="5">COUNTA(AF4:AJ4)</f>
        <v>0</v>
      </c>
      <c r="AF4" s="1637"/>
      <c r="AG4" s="1637"/>
      <c r="AH4" s="1637"/>
      <c r="AI4" s="1637"/>
      <c r="AJ4" s="1637"/>
      <c r="AL4" s="1637">
        <f t="shared" si="1"/>
        <v>0</v>
      </c>
      <c r="AM4" s="1637"/>
      <c r="AN4" s="1637"/>
      <c r="AO4" s="1637"/>
      <c r="AP4" s="1637"/>
      <c r="AQ4" s="1637"/>
      <c r="AR4" s="1637"/>
      <c r="AS4" s="1637"/>
      <c r="AT4" s="1637"/>
      <c r="AU4" s="1637"/>
      <c r="AV4" s="1637"/>
      <c r="AW4" s="1637"/>
      <c r="AX4" s="1637"/>
      <c r="AZ4" s="1633" t="s">
        <v>569</v>
      </c>
      <c r="BA4" s="1633" t="s">
        <v>570</v>
      </c>
      <c r="BB4" s="1633" t="s">
        <v>571</v>
      </c>
    </row>
    <row r="5" s="1611" customFormat="1" spans="1:54">
      <c r="A5" s="1626">
        <f ca="1">IF(B5="","",SUBTOTAL(3,B$3:B5))</f>
        <v>3</v>
      </c>
      <c r="B5" s="1627" t="str">
        <f ca="1">CELL("filename",流动资总!A1)</f>
        <v>D:\桌面\评估\评估\2025评估\中致成\中煤\报告\[104250091]中煤第五建设有限公司第三工程处拟处置实物资产项目\[0000-3基础法明细表.xlsx]流动资总</v>
      </c>
      <c r="C5" s="1628" t="str">
        <f ca="1" t="shared" si="2"/>
        <v>中煤第五建设有限公司第三工程处拟处置实物资产项目\[0000-3基础法明细表.xlsx]流动资总</v>
      </c>
      <c r="D5" s="1631">
        <f t="shared" ref="D5:J5" si="6">SUM(D6,D10,D14,D18:D21,D25,D29,D43:D47)</f>
        <v>0</v>
      </c>
      <c r="E5" s="1631">
        <f t="shared" si="6"/>
        <v>35557.52</v>
      </c>
      <c r="F5" s="1631">
        <f t="shared" si="6"/>
        <v>35557.52</v>
      </c>
      <c r="G5" s="1631">
        <f t="shared" si="6"/>
        <v>0</v>
      </c>
      <c r="H5" s="1631">
        <f>F5-G5</f>
        <v>35557.52</v>
      </c>
      <c r="I5" s="1631">
        <f t="shared" si="6"/>
        <v>2837062.634</v>
      </c>
      <c r="J5" s="1631">
        <f t="shared" si="6"/>
        <v>2837062.634</v>
      </c>
      <c r="K5" s="1631">
        <f>ABS(D5)+ABS(E5)+ABS(F5)+ABS(H5)*ABS(G5)+ABS(I5)+ABS(J5)</f>
        <v>5745240.308</v>
      </c>
      <c r="L5" s="1626" t="str">
        <f t="shared" si="0"/>
        <v>显示</v>
      </c>
      <c r="M5" s="1626" t="s">
        <v>565</v>
      </c>
      <c r="N5" s="1632"/>
      <c r="O5" s="1632"/>
      <c r="P5" s="1632"/>
      <c r="Q5" s="1638"/>
      <c r="R5" s="1632">
        <f t="shared" si="3"/>
        <v>0</v>
      </c>
      <c r="S5" s="1626"/>
      <c r="T5" s="1626"/>
      <c r="U5" s="1626"/>
      <c r="V5" s="1626"/>
      <c r="X5" s="1632">
        <f t="shared" si="4"/>
        <v>0</v>
      </c>
      <c r="Y5" s="1626"/>
      <c r="Z5" s="1626"/>
      <c r="AA5" s="1626"/>
      <c r="AB5" s="1626"/>
      <c r="AC5" s="1626"/>
      <c r="AE5" s="1632">
        <f t="shared" si="5"/>
        <v>0</v>
      </c>
      <c r="AF5" s="1626"/>
      <c r="AG5" s="1626"/>
      <c r="AH5" s="1626"/>
      <c r="AI5" s="1626"/>
      <c r="AJ5" s="1626"/>
      <c r="AL5" s="1632">
        <f t="shared" si="1"/>
        <v>0</v>
      </c>
      <c r="AM5" s="1626"/>
      <c r="AN5" s="1626"/>
      <c r="AO5" s="1626"/>
      <c r="AP5" s="1626"/>
      <c r="AQ5" s="1626"/>
      <c r="AR5" s="1626"/>
      <c r="AS5" s="1626"/>
      <c r="AT5" s="1626"/>
      <c r="AU5" s="1626"/>
      <c r="AV5" s="1626"/>
      <c r="AW5" s="1626"/>
      <c r="AX5" s="1626"/>
      <c r="AZ5" s="1633" t="s">
        <v>572</v>
      </c>
      <c r="BA5" s="1633" t="s">
        <v>573</v>
      </c>
      <c r="BB5" s="1633" t="s">
        <v>567</v>
      </c>
    </row>
    <row r="6" s="1613" customFormat="1" spans="1:54">
      <c r="A6" s="1617">
        <f ca="1">IF(B6="","",SUBTOTAL(3,B$3:B6))</f>
        <v>4</v>
      </c>
      <c r="B6" s="1634" t="str">
        <f ca="1">CELL("filename",货币资金总!A1)</f>
        <v>D:\桌面\评估\评估\2025评估\中致成\中煤\报告\[104250091]中煤第五建设有限公司第三工程处拟处置实物资产项目\[0000-3基础法明细表.xlsx]货币资金总</v>
      </c>
      <c r="C6" s="1635" t="str">
        <f ca="1" t="shared" si="2"/>
        <v>中煤第五建设有限公司第三工程处拟处置实物资产项目\[0000-3基础法明细表.xlsx]货币资金总</v>
      </c>
      <c r="D6" s="1639">
        <f>IF(SUM(分类汇总!J$43,分类汇总!J$68)=0,分类汇总!H8,分类汇总!J8)</f>
        <v>0</v>
      </c>
      <c r="E6" s="1636">
        <f>SUM(E7:E9)</f>
        <v>0</v>
      </c>
      <c r="F6" s="1636">
        <f>SUM(F7:F9)</f>
        <v>0</v>
      </c>
      <c r="G6" s="1636">
        <f>SUM(G7:G9)</f>
        <v>0</v>
      </c>
      <c r="H6" s="1636">
        <f t="shared" ref="H6:H65" si="7">F6-G6</f>
        <v>0</v>
      </c>
      <c r="I6" s="1636">
        <f>SUM(I7:I9)</f>
        <v>0</v>
      </c>
      <c r="J6" s="1636">
        <f>SUM(J7:J9)</f>
        <v>0</v>
      </c>
      <c r="K6" s="1636">
        <f t="shared" ref="K6:K69" si="8">ABS(D6)+ABS(E6)+ABS(F6)+ABS(H6)*ABS(G6)+ABS(I6)+ABS(J6)</f>
        <v>0</v>
      </c>
      <c r="L6" s="1617" t="str">
        <f t="shared" si="0"/>
        <v>隐藏</v>
      </c>
      <c r="M6" s="1617" t="s">
        <v>565</v>
      </c>
      <c r="N6" s="1637"/>
      <c r="O6" s="1637"/>
      <c r="P6" s="1637"/>
      <c r="R6" s="1637">
        <f t="shared" si="3"/>
        <v>0</v>
      </c>
      <c r="S6" s="1617"/>
      <c r="T6" s="1617"/>
      <c r="U6" s="1617"/>
      <c r="V6" s="1617"/>
      <c r="X6" s="1637">
        <f t="shared" si="4"/>
        <v>0</v>
      </c>
      <c r="Y6" s="1617"/>
      <c r="Z6" s="1617"/>
      <c r="AA6" s="1617"/>
      <c r="AB6" s="1617"/>
      <c r="AC6" s="1617"/>
      <c r="AE6" s="1637">
        <f t="shared" si="5"/>
        <v>0</v>
      </c>
      <c r="AF6" s="1617"/>
      <c r="AG6" s="1617"/>
      <c r="AH6" s="1617"/>
      <c r="AI6" s="1617"/>
      <c r="AJ6" s="1617"/>
      <c r="AL6" s="1637">
        <f t="shared" si="1"/>
        <v>0</v>
      </c>
      <c r="AM6" s="1617"/>
      <c r="AN6" s="1617"/>
      <c r="AO6" s="1617"/>
      <c r="AP6" s="1617"/>
      <c r="AQ6" s="1617"/>
      <c r="AR6" s="1617"/>
      <c r="AS6" s="1617"/>
      <c r="AT6" s="1617"/>
      <c r="AU6" s="1617"/>
      <c r="AV6" s="1617"/>
      <c r="AW6" s="1617"/>
      <c r="AX6" s="1617"/>
      <c r="AZ6" s="1633" t="s">
        <v>568</v>
      </c>
      <c r="BA6" s="1633" t="s">
        <v>574</v>
      </c>
      <c r="BB6" s="1633" t="s">
        <v>575</v>
      </c>
    </row>
    <row r="7" spans="1:54">
      <c r="A7" s="1632">
        <f ca="1">IF(B7="","",SUBTOTAL(3,B$3:B7))</f>
        <v>5</v>
      </c>
      <c r="B7" s="1640" t="str">
        <f ca="1">CELL("filename",现金!A1)</f>
        <v>D:\桌面\评估\评估\2025评估\中致成\中煤\报告\[104250091]中煤第五建设有限公司第三工程处拟处置实物资产项目\[0000-3基础法明细表.xlsx]现金</v>
      </c>
      <c r="C7" s="1641" t="str">
        <f ca="1" t="shared" ref="C7:C75" si="9">RIGHT(B7,LEN(B7)-FIND("]",B7))</f>
        <v>中煤第五建设有限公司第三工程处拟处置实物资产项目\[0000-3基础法明细表.xlsx]现金</v>
      </c>
      <c r="D7" s="1642">
        <f>IF(D$6=H$6,0,1)</f>
        <v>0</v>
      </c>
      <c r="E7" s="1643">
        <f>货币资金总!BA7</f>
        <v>0</v>
      </c>
      <c r="F7" s="1643">
        <f>货币资金总!BB7</f>
        <v>0</v>
      </c>
      <c r="G7" s="1643">
        <f>货币资金总!BC7</f>
        <v>0</v>
      </c>
      <c r="H7" s="1643">
        <f>货币资金总!BD7</f>
        <v>0</v>
      </c>
      <c r="I7" s="1643">
        <f>货币资金总!BE7</f>
        <v>0</v>
      </c>
      <c r="J7" s="1643">
        <f>货币资金总!BF7</f>
        <v>0</v>
      </c>
      <c r="K7" s="1644">
        <f t="shared" si="8"/>
        <v>0</v>
      </c>
      <c r="L7" s="1632" t="str">
        <f t="shared" ref="L7:L69" si="10">IF(K7&gt;0,"显示","隐藏")</f>
        <v>隐藏</v>
      </c>
      <c r="M7" s="1632" t="s">
        <v>576</v>
      </c>
      <c r="N7" s="1632" t="e">
        <f ca="1" t="shared" ref="N7:O40" si="11">IF(RIGHT($C7,1)="总","",INDIRECT("'"&amp;$C7&amp;"'!"&amp;N$1))</f>
        <v>#REF!</v>
      </c>
      <c r="O7" s="1632" t="e">
        <f ca="1" t="shared" si="11"/>
        <v>#REF!</v>
      </c>
      <c r="P7" s="1632" t="e">
        <f ca="1" t="shared" ref="P7:P69" si="12">IF(RIGHT($C7,1)="总","",MAX(INDIRECT("'"&amp;$C7&amp;"'!"&amp;P$1)))</f>
        <v>#REF!</v>
      </c>
      <c r="Q7" s="1645"/>
      <c r="R7" s="1632">
        <f t="shared" si="3"/>
        <v>1</v>
      </c>
      <c r="S7" s="1632" t="s">
        <v>577</v>
      </c>
      <c r="T7" s="1632"/>
      <c r="U7" s="1632"/>
      <c r="V7" s="1632"/>
      <c r="X7" s="1632">
        <f t="shared" si="4"/>
        <v>2</v>
      </c>
      <c r="Y7" s="1632" t="s">
        <v>578</v>
      </c>
      <c r="Z7" s="1632" t="s">
        <v>579</v>
      </c>
      <c r="AA7" s="1632"/>
      <c r="AB7" s="1632"/>
      <c r="AC7" s="1632"/>
      <c r="AE7" s="1632">
        <f t="shared" si="5"/>
        <v>1</v>
      </c>
      <c r="AF7" s="1632" t="s">
        <v>578</v>
      </c>
      <c r="AG7" s="1632"/>
      <c r="AH7" s="1632"/>
      <c r="AI7" s="1632"/>
      <c r="AJ7" s="1632"/>
      <c r="AL7" s="1632">
        <f t="shared" si="1"/>
        <v>6</v>
      </c>
      <c r="AM7" s="1632" t="s">
        <v>580</v>
      </c>
      <c r="AN7" s="1632" t="s">
        <v>581</v>
      </c>
      <c r="AO7" s="1632" t="s">
        <v>582</v>
      </c>
      <c r="AP7" s="1632" t="s">
        <v>583</v>
      </c>
      <c r="AQ7" s="1632" t="s">
        <v>584</v>
      </c>
      <c r="AR7" s="1632" t="s">
        <v>584</v>
      </c>
      <c r="AS7" s="1632"/>
      <c r="AT7" s="1632"/>
      <c r="AU7" s="1632"/>
      <c r="AV7" s="1632"/>
      <c r="AW7" s="1632"/>
      <c r="AX7" s="1632"/>
      <c r="AZ7" s="1633" t="s">
        <v>571</v>
      </c>
      <c r="BA7" s="1633" t="s">
        <v>585</v>
      </c>
      <c r="BB7" s="1633" t="s">
        <v>570</v>
      </c>
    </row>
    <row r="8" spans="1:54">
      <c r="A8" s="1637">
        <f ca="1">IF(B8="","",SUBTOTAL(3,B$3:B8))</f>
        <v>6</v>
      </c>
      <c r="B8" s="1646" t="str">
        <f ca="1">CELL("filename",银行存款!A1)</f>
        <v>D:\桌面\评估\评估\2025评估\中致成\中煤\报告\[104250091]中煤第五建设有限公司第三工程处拟处置实物资产项目\[0000-3基础法明细表.xlsx]银行存款</v>
      </c>
      <c r="C8" s="1647" t="str">
        <f ca="1" t="shared" si="9"/>
        <v>中煤第五建设有限公司第三工程处拟处置实物资产项目\[0000-3基础法明细表.xlsx]银行存款</v>
      </c>
      <c r="D8" s="1648">
        <f>IF(D$6=H$6,0,1)</f>
        <v>0</v>
      </c>
      <c r="E8" s="1649">
        <f>货币资金总!BA8</f>
        <v>0</v>
      </c>
      <c r="F8" s="1649">
        <f>货币资金总!BB8</f>
        <v>0</v>
      </c>
      <c r="G8" s="1649">
        <f>货币资金总!BC8</f>
        <v>0</v>
      </c>
      <c r="H8" s="1649">
        <f>货币资金总!BD8</f>
        <v>0</v>
      </c>
      <c r="I8" s="1649">
        <f>货币资金总!BE8</f>
        <v>0</v>
      </c>
      <c r="J8" s="1649">
        <f>货币资金总!BF8</f>
        <v>0</v>
      </c>
      <c r="K8" s="1650">
        <f t="shared" si="8"/>
        <v>0</v>
      </c>
      <c r="L8" s="1637" t="str">
        <f t="shared" si="10"/>
        <v>隐藏</v>
      </c>
      <c r="M8" s="1637" t="s">
        <v>576</v>
      </c>
      <c r="N8" s="1637" t="e">
        <f ca="1" t="shared" si="11"/>
        <v>#REF!</v>
      </c>
      <c r="O8" s="1637" t="e">
        <f ca="1" t="shared" si="11"/>
        <v>#REF!</v>
      </c>
      <c r="P8" s="1637" t="e">
        <f ca="1" t="shared" si="12"/>
        <v>#REF!</v>
      </c>
      <c r="R8" s="1637">
        <f t="shared" si="3"/>
        <v>1</v>
      </c>
      <c r="S8" s="1637" t="s">
        <v>586</v>
      </c>
      <c r="T8" s="1637"/>
      <c r="U8" s="1637"/>
      <c r="V8" s="1637"/>
      <c r="X8" s="1637">
        <f t="shared" si="4"/>
        <v>2</v>
      </c>
      <c r="Y8" s="1637" t="s">
        <v>587</v>
      </c>
      <c r="Z8" s="1637" t="s">
        <v>588</v>
      </c>
      <c r="AA8" s="1637"/>
      <c r="AB8" s="1637"/>
      <c r="AC8" s="1637"/>
      <c r="AE8" s="1637">
        <f t="shared" si="5"/>
        <v>1</v>
      </c>
      <c r="AF8" s="1637" t="s">
        <v>587</v>
      </c>
      <c r="AG8" s="1637"/>
      <c r="AH8" s="1637"/>
      <c r="AI8" s="1637"/>
      <c r="AJ8" s="1637"/>
      <c r="AL8" s="1637">
        <f t="shared" si="1"/>
        <v>6</v>
      </c>
      <c r="AM8" s="1637" t="s">
        <v>580</v>
      </c>
      <c r="AN8" s="1637" t="s">
        <v>589</v>
      </c>
      <c r="AO8" s="1637" t="s">
        <v>583</v>
      </c>
      <c r="AP8" s="1637" t="s">
        <v>590</v>
      </c>
      <c r="AQ8" s="1637" t="s">
        <v>591</v>
      </c>
      <c r="AR8" s="1637" t="s">
        <v>591</v>
      </c>
      <c r="AS8" s="1637"/>
      <c r="AT8" s="1637"/>
      <c r="AU8" s="1637"/>
      <c r="AV8" s="1637"/>
      <c r="AW8" s="1637"/>
      <c r="AX8" s="1637"/>
      <c r="AZ8" s="1633" t="s">
        <v>567</v>
      </c>
      <c r="BA8" s="1633" t="s">
        <v>592</v>
      </c>
      <c r="BB8" s="1633" t="s">
        <v>593</v>
      </c>
    </row>
    <row r="9" spans="1:54">
      <c r="A9" s="1632">
        <f ca="1">IF(B9="","",SUBTOTAL(3,B$3:B9))</f>
        <v>7</v>
      </c>
      <c r="B9" s="1640" t="str">
        <f ca="1">CELL("filename",其他货币!A1)</f>
        <v>D:\桌面\评估\评估\2025评估\中致成\中煤\报告\[104250091]中煤第五建设有限公司第三工程处拟处置实物资产项目\[0000-3基础法明细表.xlsx]其他货币</v>
      </c>
      <c r="C9" s="1641" t="str">
        <f ca="1" t="shared" si="9"/>
        <v>中煤第五建设有限公司第三工程处拟处置实物资产项目\[0000-3基础法明细表.xlsx]其他货币</v>
      </c>
      <c r="D9" s="1642">
        <f>IF(D$6=H$6,0,1)</f>
        <v>0</v>
      </c>
      <c r="E9" s="1643">
        <f>货币资金总!BA9</f>
        <v>0</v>
      </c>
      <c r="F9" s="1643">
        <f>货币资金总!BB9</f>
        <v>0</v>
      </c>
      <c r="G9" s="1643">
        <f>货币资金总!BC9</f>
        <v>0</v>
      </c>
      <c r="H9" s="1643">
        <f>货币资金总!BD9</f>
        <v>0</v>
      </c>
      <c r="I9" s="1643">
        <f>货币资金总!BE9</f>
        <v>0</v>
      </c>
      <c r="J9" s="1643">
        <f>货币资金总!BF9</f>
        <v>0</v>
      </c>
      <c r="K9" s="1644">
        <f t="shared" si="8"/>
        <v>0</v>
      </c>
      <c r="L9" s="1632" t="str">
        <f t="shared" si="10"/>
        <v>隐藏</v>
      </c>
      <c r="M9" s="1632" t="s">
        <v>576</v>
      </c>
      <c r="N9" s="1632" t="e">
        <f ca="1" t="shared" si="11"/>
        <v>#REF!</v>
      </c>
      <c r="O9" s="1632" t="e">
        <f ca="1" t="shared" si="11"/>
        <v>#REF!</v>
      </c>
      <c r="P9" s="1632" t="e">
        <f ca="1" t="shared" si="12"/>
        <v>#REF!</v>
      </c>
      <c r="R9" s="1632">
        <f t="shared" si="3"/>
        <v>1</v>
      </c>
      <c r="S9" s="1632" t="s">
        <v>594</v>
      </c>
      <c r="T9" s="1632"/>
      <c r="U9" s="1632"/>
      <c r="V9" s="1632"/>
      <c r="X9" s="1632">
        <f t="shared" si="4"/>
        <v>2</v>
      </c>
      <c r="Y9" s="1632" t="s">
        <v>595</v>
      </c>
      <c r="Z9" s="1632" t="s">
        <v>596</v>
      </c>
      <c r="AA9" s="1632"/>
      <c r="AB9" s="1632"/>
      <c r="AC9" s="1632"/>
      <c r="AE9" s="1632">
        <f t="shared" si="5"/>
        <v>1</v>
      </c>
      <c r="AF9" s="1632" t="s">
        <v>595</v>
      </c>
      <c r="AG9" s="1632"/>
      <c r="AH9" s="1632"/>
      <c r="AI9" s="1632"/>
      <c r="AJ9" s="1632"/>
      <c r="AL9" s="1632">
        <f t="shared" si="1"/>
        <v>6</v>
      </c>
      <c r="AM9" s="1632" t="s">
        <v>580</v>
      </c>
      <c r="AN9" s="1632" t="s">
        <v>597</v>
      </c>
      <c r="AO9" s="1632" t="s">
        <v>590</v>
      </c>
      <c r="AP9" s="1632" t="s">
        <v>598</v>
      </c>
      <c r="AQ9" s="1632" t="s">
        <v>599</v>
      </c>
      <c r="AR9" s="1632" t="s">
        <v>599</v>
      </c>
      <c r="AS9" s="1632"/>
      <c r="AT9" s="1632"/>
      <c r="AU9" s="1632"/>
      <c r="AV9" s="1632"/>
      <c r="AW9" s="1632"/>
      <c r="AX9" s="1632"/>
      <c r="AZ9" s="1633" t="s">
        <v>575</v>
      </c>
      <c r="BA9" s="1633" t="s">
        <v>600</v>
      </c>
      <c r="BB9" s="1633" t="s">
        <v>573</v>
      </c>
    </row>
    <row r="10" s="1613" customFormat="1" spans="1:54">
      <c r="A10" s="1617">
        <f ca="1">IF(B10="","",SUBTOTAL(3,B$3:B10))</f>
        <v>8</v>
      </c>
      <c r="B10" s="1651" t="str">
        <f ca="1">CELL("filename",公允计量金资总!A1)</f>
        <v>D:\桌面\评估\评估\2025评估\中致成\中煤\报告\[104250091]中煤第五建设有限公司第三工程处拟处置实物资产项目\[0000-3基础法明细表.xlsx]公允计量金资总</v>
      </c>
      <c r="C10" s="1635" t="str">
        <f ca="1" t="shared" si="9"/>
        <v>中煤第五建设有限公司第三工程处拟处置实物资产项目\[0000-3基础法明细表.xlsx]公允计量金资总</v>
      </c>
      <c r="D10" s="1639">
        <f>IF(SUM(分类汇总!J$43,分类汇总!J$68)=0,分类汇总!H9,分类汇总!J9)</f>
        <v>0</v>
      </c>
      <c r="E10" s="1652">
        <f>SUM(E11:E13)</f>
        <v>0</v>
      </c>
      <c r="F10" s="1652">
        <f>SUM(F11:F13)</f>
        <v>0</v>
      </c>
      <c r="G10" s="1652">
        <f>SUM(G11:G13)</f>
        <v>0</v>
      </c>
      <c r="H10" s="1652">
        <f t="shared" si="7"/>
        <v>0</v>
      </c>
      <c r="I10" s="1652">
        <f>SUM(I11:I13)</f>
        <v>0</v>
      </c>
      <c r="J10" s="1652">
        <f>SUM(J11:J13)</f>
        <v>0</v>
      </c>
      <c r="K10" s="1636">
        <f t="shared" si="8"/>
        <v>0</v>
      </c>
      <c r="L10" s="1617" t="str">
        <f t="shared" si="10"/>
        <v>隐藏</v>
      </c>
      <c r="M10" s="1617" t="s">
        <v>601</v>
      </c>
      <c r="N10" s="1637"/>
      <c r="O10" s="1637"/>
      <c r="P10" s="1637"/>
      <c r="R10" s="1637">
        <f t="shared" si="3"/>
        <v>0</v>
      </c>
      <c r="S10" s="1617"/>
      <c r="T10" s="1617"/>
      <c r="U10" s="1617"/>
      <c r="V10" s="1617"/>
      <c r="X10" s="1637">
        <f t="shared" si="4"/>
        <v>0</v>
      </c>
      <c r="Y10" s="1617"/>
      <c r="Z10" s="1617"/>
      <c r="AA10" s="1617"/>
      <c r="AB10" s="1617"/>
      <c r="AC10" s="1617"/>
      <c r="AE10" s="1637">
        <f t="shared" si="5"/>
        <v>0</v>
      </c>
      <c r="AF10" s="1617"/>
      <c r="AG10" s="1617"/>
      <c r="AH10" s="1617"/>
      <c r="AI10" s="1617"/>
      <c r="AJ10" s="1617"/>
      <c r="AL10" s="1637">
        <f t="shared" si="1"/>
        <v>0</v>
      </c>
      <c r="AM10" s="1617"/>
      <c r="AN10" s="1617"/>
      <c r="AO10" s="1617"/>
      <c r="AP10" s="1617"/>
      <c r="AQ10" s="1617"/>
      <c r="AR10" s="1617"/>
      <c r="AS10" s="1617"/>
      <c r="AT10" s="1617"/>
      <c r="AU10" s="1617"/>
      <c r="AV10" s="1617"/>
      <c r="AW10" s="1617"/>
      <c r="AX10" s="1617"/>
      <c r="AZ10" s="1633" t="s">
        <v>570</v>
      </c>
      <c r="BA10" s="1633" t="s">
        <v>602</v>
      </c>
      <c r="BB10" s="1633" t="s">
        <v>603</v>
      </c>
    </row>
    <row r="11" spans="1:54">
      <c r="A11" s="1632">
        <f ca="1">IF(B11="","",SUBTOTAL(3,B$3:B11))</f>
        <v>9</v>
      </c>
      <c r="B11" s="1640" t="str">
        <f ca="1">CELL("filename",'公允资-股票'!A1)</f>
        <v>D:\桌面\评估\评估\2025评估\中致成\中煤\报告\[104250091]中煤第五建设有限公司第三工程处拟处置实物资产项目\[0000-3基础法明细表.xlsx]公允资-股票</v>
      </c>
      <c r="C11" s="1641" t="str">
        <f ca="1" t="shared" si="9"/>
        <v>中煤第五建设有限公司第三工程处拟处置实物资产项目\[0000-3基础法明细表.xlsx]公允资-股票</v>
      </c>
      <c r="D11" s="1642">
        <f>IF(D$10=H$10,0,1)</f>
        <v>0</v>
      </c>
      <c r="E11" s="1643">
        <f>公允计量金资总!BA7</f>
        <v>0</v>
      </c>
      <c r="F11" s="1643">
        <f>公允计量金资总!BB7</f>
        <v>0</v>
      </c>
      <c r="G11" s="1643">
        <f>公允计量金资总!BC7</f>
        <v>0</v>
      </c>
      <c r="H11" s="1643">
        <f>公允计量金资总!BD7</f>
        <v>0</v>
      </c>
      <c r="I11" s="1643">
        <f>公允计量金资总!BE7</f>
        <v>0</v>
      </c>
      <c r="J11" s="1643">
        <f>公允计量金资总!BF7</f>
        <v>0</v>
      </c>
      <c r="K11" s="1644">
        <f t="shared" si="8"/>
        <v>0</v>
      </c>
      <c r="L11" s="1632" t="str">
        <f t="shared" si="10"/>
        <v>隐藏</v>
      </c>
      <c r="M11" s="1632" t="s">
        <v>344</v>
      </c>
      <c r="N11" s="1632" t="e">
        <f ca="1" t="shared" si="11"/>
        <v>#REF!</v>
      </c>
      <c r="O11" s="1632" t="e">
        <f ca="1" t="shared" si="11"/>
        <v>#REF!</v>
      </c>
      <c r="P11" s="1632" t="e">
        <f ca="1" t="shared" si="12"/>
        <v>#REF!</v>
      </c>
      <c r="R11" s="1632">
        <f t="shared" si="3"/>
        <v>1</v>
      </c>
      <c r="S11" s="1632" t="s">
        <v>604</v>
      </c>
      <c r="T11" s="1632"/>
      <c r="U11" s="1632"/>
      <c r="V11" s="1632"/>
      <c r="X11" s="1632">
        <f t="shared" si="4"/>
        <v>2</v>
      </c>
      <c r="Y11" s="1632" t="s">
        <v>605</v>
      </c>
      <c r="Z11" s="1632" t="s">
        <v>606</v>
      </c>
      <c r="AA11" s="1632"/>
      <c r="AB11" s="1632"/>
      <c r="AC11" s="1632"/>
      <c r="AE11" s="1632">
        <f t="shared" si="5"/>
        <v>2</v>
      </c>
      <c r="AF11" s="1632" t="s">
        <v>607</v>
      </c>
      <c r="AG11" s="1632" t="s">
        <v>605</v>
      </c>
      <c r="AH11" s="1632"/>
      <c r="AI11" s="1632"/>
      <c r="AJ11" s="1632"/>
      <c r="AL11" s="1632">
        <f t="shared" si="1"/>
        <v>8</v>
      </c>
      <c r="AM11" s="1632" t="s">
        <v>580</v>
      </c>
      <c r="AN11" s="1632" t="s">
        <v>582</v>
      </c>
      <c r="AO11" s="1632" t="s">
        <v>608</v>
      </c>
      <c r="AP11" s="1632" t="s">
        <v>584</v>
      </c>
      <c r="AQ11" s="1632" t="s">
        <v>599</v>
      </c>
      <c r="AR11" s="1632" t="s">
        <v>599</v>
      </c>
      <c r="AS11" s="1632" t="s">
        <v>609</v>
      </c>
      <c r="AT11" s="1632" t="s">
        <v>609</v>
      </c>
      <c r="AU11" s="1632"/>
      <c r="AV11" s="1632"/>
      <c r="AW11" s="1632"/>
      <c r="AX11" s="1632"/>
      <c r="AZ11" s="1633" t="s">
        <v>593</v>
      </c>
      <c r="BA11" s="1633" t="s">
        <v>610</v>
      </c>
      <c r="BB11" s="1633" t="s">
        <v>574</v>
      </c>
    </row>
    <row r="12" spans="1:54">
      <c r="A12" s="1637">
        <f ca="1">IF(B12="","",SUBTOTAL(3,B$3:B12))</f>
        <v>10</v>
      </c>
      <c r="B12" s="1646" t="str">
        <f ca="1">CELL("filename",'公允资-债券'!A1)</f>
        <v>D:\桌面\评估\评估\2025评估\中致成\中煤\报告\[104250091]中煤第五建设有限公司第三工程处拟处置实物资产项目\[0000-3基础法明细表.xlsx]公允资-债券</v>
      </c>
      <c r="C12" s="1647" t="str">
        <f ca="1" t="shared" si="9"/>
        <v>中煤第五建设有限公司第三工程处拟处置实物资产项目\[0000-3基础法明细表.xlsx]公允资-债券</v>
      </c>
      <c r="D12" s="1648">
        <f>IF(D$10=H$10,0,1)</f>
        <v>0</v>
      </c>
      <c r="E12" s="1649">
        <f>公允计量金资总!BA8</f>
        <v>0</v>
      </c>
      <c r="F12" s="1649">
        <f>公允计量金资总!BB8</f>
        <v>0</v>
      </c>
      <c r="G12" s="1649">
        <f>公允计量金资总!BC8</f>
        <v>0</v>
      </c>
      <c r="H12" s="1649">
        <f>公允计量金资总!BD8</f>
        <v>0</v>
      </c>
      <c r="I12" s="1649">
        <f>公允计量金资总!BE8</f>
        <v>0</v>
      </c>
      <c r="J12" s="1649">
        <f>公允计量金资总!BF8</f>
        <v>0</v>
      </c>
      <c r="K12" s="1650">
        <f t="shared" si="8"/>
        <v>0</v>
      </c>
      <c r="L12" s="1637" t="str">
        <f t="shared" si="10"/>
        <v>隐藏</v>
      </c>
      <c r="M12" s="1637" t="s">
        <v>344</v>
      </c>
      <c r="N12" s="1637" t="e">
        <f ca="1" t="shared" si="11"/>
        <v>#REF!</v>
      </c>
      <c r="O12" s="1637" t="e">
        <f ca="1" t="shared" si="11"/>
        <v>#REF!</v>
      </c>
      <c r="P12" s="1637" t="e">
        <f ca="1" t="shared" si="12"/>
        <v>#REF!</v>
      </c>
      <c r="R12" s="1637">
        <f t="shared" si="3"/>
        <v>1</v>
      </c>
      <c r="S12" s="1637" t="s">
        <v>611</v>
      </c>
      <c r="T12" s="1637"/>
      <c r="U12" s="1637"/>
      <c r="V12" s="1637"/>
      <c r="X12" s="1637">
        <f t="shared" si="4"/>
        <v>2</v>
      </c>
      <c r="Y12" s="1637" t="s">
        <v>612</v>
      </c>
      <c r="Z12" s="1637" t="s">
        <v>606</v>
      </c>
      <c r="AA12" s="1637"/>
      <c r="AB12" s="1637"/>
      <c r="AC12" s="1637"/>
      <c r="AE12" s="1637">
        <f t="shared" si="5"/>
        <v>2</v>
      </c>
      <c r="AF12" s="1637" t="s">
        <v>613</v>
      </c>
      <c r="AG12" s="1637" t="s">
        <v>612</v>
      </c>
      <c r="AH12" s="1637"/>
      <c r="AI12" s="1637"/>
      <c r="AJ12" s="1637"/>
      <c r="AL12" s="1637">
        <f t="shared" si="1"/>
        <v>6</v>
      </c>
      <c r="AM12" s="1637" t="s">
        <v>580</v>
      </c>
      <c r="AN12" s="1637" t="s">
        <v>583</v>
      </c>
      <c r="AO12" s="1637" t="s">
        <v>614</v>
      </c>
      <c r="AP12" s="1637" t="s">
        <v>591</v>
      </c>
      <c r="AQ12" s="1637" t="s">
        <v>609</v>
      </c>
      <c r="AR12" s="1637" t="s">
        <v>609</v>
      </c>
      <c r="AS12" s="1637"/>
      <c r="AT12" s="1637"/>
      <c r="AU12" s="1637"/>
      <c r="AV12" s="1637"/>
      <c r="AW12" s="1637"/>
      <c r="AX12" s="1637"/>
      <c r="AZ12" s="1633" t="s">
        <v>573</v>
      </c>
      <c r="BA12" s="1633" t="s">
        <v>615</v>
      </c>
      <c r="BB12" s="1633" t="s">
        <v>616</v>
      </c>
    </row>
    <row r="13" spans="1:54">
      <c r="A13" s="1632">
        <f ca="1">IF(B13="","",SUBTOTAL(3,B$3:B13))</f>
        <v>11</v>
      </c>
      <c r="B13" s="1640" t="str">
        <f ca="1">CELL("filename",'公允资-基金'!A1)</f>
        <v>D:\桌面\评估\评估\2025评估\中致成\中煤\报告\[104250091]中煤第五建设有限公司第三工程处拟处置实物资产项目\[0000-3基础法明细表.xlsx]公允资-基金</v>
      </c>
      <c r="C13" s="1641" t="str">
        <f ca="1" t="shared" si="9"/>
        <v>中煤第五建设有限公司第三工程处拟处置实物资产项目\[0000-3基础法明细表.xlsx]公允资-基金</v>
      </c>
      <c r="D13" s="1642">
        <f>IF(D$10=H$10,0,1)</f>
        <v>0</v>
      </c>
      <c r="E13" s="1643">
        <f>公允计量金资总!BA9</f>
        <v>0</v>
      </c>
      <c r="F13" s="1643">
        <f>公允计量金资总!BB9</f>
        <v>0</v>
      </c>
      <c r="G13" s="1643">
        <f>公允计量金资总!BC9</f>
        <v>0</v>
      </c>
      <c r="H13" s="1643">
        <f>公允计量金资总!BD9</f>
        <v>0</v>
      </c>
      <c r="I13" s="1643">
        <f>公允计量金资总!BE9</f>
        <v>0</v>
      </c>
      <c r="J13" s="1643">
        <f>公允计量金资总!BF9</f>
        <v>0</v>
      </c>
      <c r="K13" s="1644">
        <f t="shared" si="8"/>
        <v>0</v>
      </c>
      <c r="L13" s="1632" t="str">
        <f t="shared" si="10"/>
        <v>隐藏</v>
      </c>
      <c r="M13" s="1632" t="s">
        <v>344</v>
      </c>
      <c r="N13" s="1632" t="e">
        <f ca="1" t="shared" si="11"/>
        <v>#REF!</v>
      </c>
      <c r="O13" s="1632" t="e">
        <f ca="1" t="shared" si="11"/>
        <v>#REF!</v>
      </c>
      <c r="P13" s="1632" t="e">
        <f ca="1" t="shared" si="12"/>
        <v>#REF!</v>
      </c>
      <c r="R13" s="1632">
        <f t="shared" si="3"/>
        <v>1</v>
      </c>
      <c r="S13" s="1632" t="s">
        <v>604</v>
      </c>
      <c r="T13" s="1632"/>
      <c r="U13" s="1632"/>
      <c r="V13" s="1632"/>
      <c r="X13" s="1632">
        <f t="shared" si="4"/>
        <v>2</v>
      </c>
      <c r="Y13" s="1632" t="s">
        <v>605</v>
      </c>
      <c r="Z13" s="1632" t="s">
        <v>606</v>
      </c>
      <c r="AA13" s="1632"/>
      <c r="AB13" s="1632"/>
      <c r="AC13" s="1632"/>
      <c r="AE13" s="1632">
        <f t="shared" si="5"/>
        <v>2</v>
      </c>
      <c r="AF13" s="1632" t="s">
        <v>607</v>
      </c>
      <c r="AG13" s="1632" t="s">
        <v>605</v>
      </c>
      <c r="AH13" s="1632"/>
      <c r="AI13" s="1632"/>
      <c r="AJ13" s="1632"/>
      <c r="AL13" s="1632">
        <f t="shared" si="1"/>
        <v>8</v>
      </c>
      <c r="AM13" s="1632" t="s">
        <v>580</v>
      </c>
      <c r="AN13" s="1632" t="s">
        <v>582</v>
      </c>
      <c r="AO13" s="1632" t="s">
        <v>608</v>
      </c>
      <c r="AP13" s="1632" t="s">
        <v>584</v>
      </c>
      <c r="AQ13" s="1632" t="s">
        <v>599</v>
      </c>
      <c r="AR13" s="1632" t="s">
        <v>599</v>
      </c>
      <c r="AS13" s="1632" t="s">
        <v>609</v>
      </c>
      <c r="AT13" s="1632" t="s">
        <v>609</v>
      </c>
      <c r="AU13" s="1632"/>
      <c r="AV13" s="1632"/>
      <c r="AW13" s="1632"/>
      <c r="AX13" s="1632"/>
      <c r="AZ13" s="1633" t="s">
        <v>603</v>
      </c>
      <c r="BA13" s="1633" t="s">
        <v>617</v>
      </c>
      <c r="BB13" s="1633" t="s">
        <v>585</v>
      </c>
    </row>
    <row r="14" s="1613" customFormat="1" spans="1:54">
      <c r="A14" s="1617">
        <f ca="1">IF(B14="","",SUBTOTAL(3,B$3:B14))</f>
        <v>12</v>
      </c>
      <c r="B14" s="1651" t="str">
        <f ca="1">CELL("filename",交易性金资总!A1)</f>
        <v>D:\桌面\评估\评估\2025评估\中致成\中煤\报告\[104250091]中煤第五建设有限公司第三工程处拟处置实物资产项目\[0000-3基础法明细表.xlsx]交易性金资总</v>
      </c>
      <c r="C14" s="1635" t="str">
        <f ca="1" t="shared" si="9"/>
        <v>中煤第五建设有限公司第三工程处拟处置实物资产项目\[0000-3基础法明细表.xlsx]交易性金资总</v>
      </c>
      <c r="D14" s="1639">
        <f>IF(SUM(分类汇总!J$43,分类汇总!J$68)=0,分类汇总!H10,分类汇总!J10)</f>
        <v>0</v>
      </c>
      <c r="E14" s="1652">
        <f>SUM(E15:E17)</f>
        <v>0</v>
      </c>
      <c r="F14" s="1652">
        <f>SUM(F15:F17)</f>
        <v>0</v>
      </c>
      <c r="G14" s="1652">
        <f>SUM(G15:G17)</f>
        <v>0</v>
      </c>
      <c r="H14" s="1652">
        <f t="shared" si="7"/>
        <v>0</v>
      </c>
      <c r="I14" s="1652">
        <f>SUM(I15:I17)</f>
        <v>0</v>
      </c>
      <c r="J14" s="1652">
        <f>SUM(J15:J17)</f>
        <v>0</v>
      </c>
      <c r="K14" s="1636">
        <f t="shared" si="8"/>
        <v>0</v>
      </c>
      <c r="L14" s="1617" t="str">
        <f t="shared" si="10"/>
        <v>隐藏</v>
      </c>
      <c r="M14" s="1617" t="s">
        <v>618</v>
      </c>
      <c r="N14" s="1637"/>
      <c r="O14" s="1637"/>
      <c r="P14" s="1637"/>
      <c r="R14" s="1637">
        <f t="shared" si="3"/>
        <v>0</v>
      </c>
      <c r="S14" s="1617"/>
      <c r="T14" s="1617"/>
      <c r="U14" s="1617"/>
      <c r="V14" s="1617"/>
      <c r="X14" s="1637">
        <f t="shared" si="4"/>
        <v>0</v>
      </c>
      <c r="Y14" s="1617"/>
      <c r="Z14" s="1617"/>
      <c r="AA14" s="1617"/>
      <c r="AB14" s="1617"/>
      <c r="AC14" s="1617"/>
      <c r="AE14" s="1637">
        <f t="shared" si="5"/>
        <v>0</v>
      </c>
      <c r="AF14" s="1617"/>
      <c r="AG14" s="1617"/>
      <c r="AH14" s="1617"/>
      <c r="AI14" s="1617"/>
      <c r="AJ14" s="1617"/>
      <c r="AL14" s="1637">
        <f t="shared" si="1"/>
        <v>0</v>
      </c>
      <c r="AM14" s="1617"/>
      <c r="AN14" s="1617"/>
      <c r="AO14" s="1617"/>
      <c r="AP14" s="1617"/>
      <c r="AQ14" s="1617"/>
      <c r="AR14" s="1617"/>
      <c r="AS14" s="1617"/>
      <c r="AT14" s="1617"/>
      <c r="AU14" s="1617"/>
      <c r="AV14" s="1617"/>
      <c r="AW14" s="1617"/>
      <c r="AX14" s="1617"/>
      <c r="AZ14" s="1633" t="s">
        <v>574</v>
      </c>
      <c r="BA14" s="1633" t="s">
        <v>619</v>
      </c>
      <c r="BB14" s="1633" t="s">
        <v>620</v>
      </c>
    </row>
    <row r="15" spans="1:54">
      <c r="A15" s="1632">
        <f ca="1">IF(B15="","",SUBTOTAL(3,B$3:B15))</f>
        <v>13</v>
      </c>
      <c r="B15" s="1640" t="str">
        <f ca="1">CELL("filename",'交易性-股票'!A1)</f>
        <v>D:\桌面\评估\评估\2025评估\中致成\中煤\报告\[104250091]中煤第五建设有限公司第三工程处拟处置实物资产项目\[0000-3基础法明细表.xlsx]交易性-股票</v>
      </c>
      <c r="C15" s="1641" t="str">
        <f ca="1" t="shared" si="9"/>
        <v>中煤第五建设有限公司第三工程处拟处置实物资产项目\[0000-3基础法明细表.xlsx]交易性-股票</v>
      </c>
      <c r="D15" s="1642">
        <f>IF(D$14=H$14,0,1)</f>
        <v>0</v>
      </c>
      <c r="E15" s="1643">
        <f>交易性金资总!BA7</f>
        <v>0</v>
      </c>
      <c r="F15" s="1643">
        <f>交易性金资总!BB7</f>
        <v>0</v>
      </c>
      <c r="G15" s="1643">
        <f>交易性金资总!BC7</f>
        <v>0</v>
      </c>
      <c r="H15" s="1643">
        <f>交易性金资总!BD7</f>
        <v>0</v>
      </c>
      <c r="I15" s="1643">
        <f>交易性金资总!BE7</f>
        <v>0</v>
      </c>
      <c r="J15" s="1643">
        <f>交易性金资总!BF7</f>
        <v>0</v>
      </c>
      <c r="K15" s="1644">
        <f t="shared" si="8"/>
        <v>0</v>
      </c>
      <c r="L15" s="1632" t="str">
        <f t="shared" si="10"/>
        <v>隐藏</v>
      </c>
      <c r="M15" s="1632" t="s">
        <v>345</v>
      </c>
      <c r="N15" s="1632" t="e">
        <f ca="1" t="shared" si="11"/>
        <v>#REF!</v>
      </c>
      <c r="O15" s="1632" t="e">
        <f ca="1" t="shared" si="11"/>
        <v>#REF!</v>
      </c>
      <c r="P15" s="1632" t="e">
        <f ca="1" t="shared" si="12"/>
        <v>#REF!</v>
      </c>
      <c r="R15" s="1632">
        <f t="shared" si="3"/>
        <v>1</v>
      </c>
      <c r="S15" s="1632" t="s">
        <v>604</v>
      </c>
      <c r="T15" s="1632"/>
      <c r="U15" s="1632"/>
      <c r="V15" s="1632"/>
      <c r="X15" s="1632">
        <f t="shared" si="4"/>
        <v>2</v>
      </c>
      <c r="Y15" s="1632" t="s">
        <v>605</v>
      </c>
      <c r="Z15" s="1632" t="s">
        <v>606</v>
      </c>
      <c r="AA15" s="1632"/>
      <c r="AB15" s="1632"/>
      <c r="AC15" s="1632"/>
      <c r="AE15" s="1632">
        <f t="shared" si="5"/>
        <v>2</v>
      </c>
      <c r="AF15" s="1632" t="s">
        <v>607</v>
      </c>
      <c r="AG15" s="1632" t="s">
        <v>605</v>
      </c>
      <c r="AH15" s="1632"/>
      <c r="AI15" s="1632"/>
      <c r="AJ15" s="1632"/>
      <c r="AL15" s="1632">
        <f t="shared" si="1"/>
        <v>8</v>
      </c>
      <c r="AM15" s="1632" t="s">
        <v>580</v>
      </c>
      <c r="AN15" s="1632" t="s">
        <v>582</v>
      </c>
      <c r="AO15" s="1632" t="s">
        <v>608</v>
      </c>
      <c r="AP15" s="1632" t="s">
        <v>584</v>
      </c>
      <c r="AQ15" s="1632" t="s">
        <v>599</v>
      </c>
      <c r="AR15" s="1632" t="s">
        <v>599</v>
      </c>
      <c r="AS15" s="1632" t="s">
        <v>609</v>
      </c>
      <c r="AT15" s="1632" t="s">
        <v>609</v>
      </c>
      <c r="AU15" s="1632"/>
      <c r="AV15" s="1632"/>
      <c r="AW15" s="1632"/>
      <c r="AX15" s="1632"/>
      <c r="AZ15" s="1633" t="s">
        <v>616</v>
      </c>
      <c r="BA15" s="1633" t="s">
        <v>621</v>
      </c>
      <c r="BB15" s="1633" t="s">
        <v>592</v>
      </c>
    </row>
    <row r="16" spans="1:54">
      <c r="A16" s="1637">
        <f ca="1">IF(B16="","",SUBTOTAL(3,B$3:B16))</f>
        <v>14</v>
      </c>
      <c r="B16" s="1646" t="str">
        <f ca="1">CELL("filename",'交易性-债券'!A1)</f>
        <v>D:\桌面\评估\评估\2025评估\中致成\中煤\报告\[104250091]中煤第五建设有限公司第三工程处拟处置实物资产项目\[0000-3基础法明细表.xlsx]交易性-债券</v>
      </c>
      <c r="C16" s="1647" t="str">
        <f ca="1" t="shared" si="9"/>
        <v>中煤第五建设有限公司第三工程处拟处置实物资产项目\[0000-3基础法明细表.xlsx]交易性-债券</v>
      </c>
      <c r="D16" s="1648">
        <f>IF(D$14=H$14,0,1)</f>
        <v>0</v>
      </c>
      <c r="E16" s="1649">
        <f>交易性金资总!BA8</f>
        <v>0</v>
      </c>
      <c r="F16" s="1649">
        <f>交易性金资总!BB8</f>
        <v>0</v>
      </c>
      <c r="G16" s="1649">
        <f>交易性金资总!BC8</f>
        <v>0</v>
      </c>
      <c r="H16" s="1649">
        <f>交易性金资总!BD8</f>
        <v>0</v>
      </c>
      <c r="I16" s="1649">
        <f>交易性金资总!BE8</f>
        <v>0</v>
      </c>
      <c r="J16" s="1649">
        <f>交易性金资总!BF8</f>
        <v>0</v>
      </c>
      <c r="K16" s="1650">
        <f t="shared" si="8"/>
        <v>0</v>
      </c>
      <c r="L16" s="1637" t="str">
        <f t="shared" si="10"/>
        <v>隐藏</v>
      </c>
      <c r="M16" s="1637" t="s">
        <v>345</v>
      </c>
      <c r="N16" s="1637" t="e">
        <f ca="1" t="shared" si="11"/>
        <v>#REF!</v>
      </c>
      <c r="O16" s="1637" t="e">
        <f ca="1" t="shared" si="11"/>
        <v>#REF!</v>
      </c>
      <c r="P16" s="1637" t="e">
        <f ca="1" t="shared" si="12"/>
        <v>#REF!</v>
      </c>
      <c r="R16" s="1637">
        <f t="shared" si="3"/>
        <v>1</v>
      </c>
      <c r="S16" s="1637" t="s">
        <v>611</v>
      </c>
      <c r="T16" s="1637"/>
      <c r="U16" s="1637"/>
      <c r="V16" s="1637"/>
      <c r="X16" s="1637">
        <f t="shared" si="4"/>
        <v>2</v>
      </c>
      <c r="Y16" s="1637" t="s">
        <v>612</v>
      </c>
      <c r="Z16" s="1637" t="s">
        <v>606</v>
      </c>
      <c r="AA16" s="1637"/>
      <c r="AB16" s="1637"/>
      <c r="AC16" s="1637"/>
      <c r="AE16" s="1637">
        <f t="shared" si="5"/>
        <v>2</v>
      </c>
      <c r="AF16" s="1637" t="s">
        <v>613</v>
      </c>
      <c r="AG16" s="1637" t="s">
        <v>612</v>
      </c>
      <c r="AH16" s="1637"/>
      <c r="AI16" s="1637"/>
      <c r="AJ16" s="1637"/>
      <c r="AL16" s="1637">
        <f t="shared" si="1"/>
        <v>6</v>
      </c>
      <c r="AM16" s="1637" t="s">
        <v>580</v>
      </c>
      <c r="AN16" s="1637" t="s">
        <v>583</v>
      </c>
      <c r="AO16" s="1637" t="s">
        <v>614</v>
      </c>
      <c r="AP16" s="1637" t="s">
        <v>591</v>
      </c>
      <c r="AQ16" s="1637" t="s">
        <v>609</v>
      </c>
      <c r="AR16" s="1637" t="s">
        <v>609</v>
      </c>
      <c r="AS16" s="1637"/>
      <c r="AT16" s="1637"/>
      <c r="AU16" s="1637"/>
      <c r="AV16" s="1637"/>
      <c r="AW16" s="1637"/>
      <c r="AX16" s="1637"/>
      <c r="AZ16" s="1633" t="s">
        <v>585</v>
      </c>
      <c r="BA16" s="1633" t="s">
        <v>622</v>
      </c>
      <c r="BB16" s="1633" t="s">
        <v>623</v>
      </c>
    </row>
    <row r="17" spans="1:54">
      <c r="A17" s="1632">
        <f ca="1">IF(B17="","",SUBTOTAL(3,B$3:B17))</f>
        <v>15</v>
      </c>
      <c r="B17" s="1640" t="str">
        <f ca="1">CELL("filename",'交易性-基金'!A1)</f>
        <v>D:\桌面\评估\评估\2025评估\中致成\中煤\报告\[104250091]中煤第五建设有限公司第三工程处拟处置实物资产项目\[0000-3基础法明细表.xlsx]交易性-基金</v>
      </c>
      <c r="C17" s="1641" t="str">
        <f ca="1" t="shared" si="9"/>
        <v>中煤第五建设有限公司第三工程处拟处置实物资产项目\[0000-3基础法明细表.xlsx]交易性-基金</v>
      </c>
      <c r="D17" s="1642">
        <f>IF(D$14=H$14,0,1)</f>
        <v>0</v>
      </c>
      <c r="E17" s="1643">
        <f>交易性金资总!BA9</f>
        <v>0</v>
      </c>
      <c r="F17" s="1643">
        <f>交易性金资总!BB9</f>
        <v>0</v>
      </c>
      <c r="G17" s="1643">
        <f>交易性金资总!BC9</f>
        <v>0</v>
      </c>
      <c r="H17" s="1643">
        <f>交易性金资总!BD9</f>
        <v>0</v>
      </c>
      <c r="I17" s="1643">
        <f>交易性金资总!BE9</f>
        <v>0</v>
      </c>
      <c r="J17" s="1643">
        <f>交易性金资总!BF9</f>
        <v>0</v>
      </c>
      <c r="K17" s="1644">
        <f t="shared" si="8"/>
        <v>0</v>
      </c>
      <c r="L17" s="1632" t="str">
        <f t="shared" si="10"/>
        <v>隐藏</v>
      </c>
      <c r="M17" s="1632" t="s">
        <v>345</v>
      </c>
      <c r="N17" s="1632" t="e">
        <f ca="1" t="shared" si="11"/>
        <v>#REF!</v>
      </c>
      <c r="O17" s="1632" t="e">
        <f ca="1" t="shared" si="11"/>
        <v>#REF!</v>
      </c>
      <c r="P17" s="1632" t="e">
        <f ca="1" t="shared" si="12"/>
        <v>#REF!</v>
      </c>
      <c r="R17" s="1632">
        <f t="shared" si="3"/>
        <v>1</v>
      </c>
      <c r="S17" s="1632" t="s">
        <v>604</v>
      </c>
      <c r="T17" s="1632"/>
      <c r="U17" s="1632"/>
      <c r="V17" s="1632"/>
      <c r="X17" s="1632">
        <f t="shared" si="4"/>
        <v>2</v>
      </c>
      <c r="Y17" s="1632" t="s">
        <v>605</v>
      </c>
      <c r="Z17" s="1632" t="s">
        <v>606</v>
      </c>
      <c r="AA17" s="1632"/>
      <c r="AB17" s="1632"/>
      <c r="AC17" s="1632"/>
      <c r="AE17" s="1632">
        <f t="shared" si="5"/>
        <v>2</v>
      </c>
      <c r="AF17" s="1632" t="s">
        <v>607</v>
      </c>
      <c r="AG17" s="1632" t="s">
        <v>605</v>
      </c>
      <c r="AH17" s="1632"/>
      <c r="AI17" s="1632"/>
      <c r="AJ17" s="1632"/>
      <c r="AL17" s="1632">
        <f t="shared" si="1"/>
        <v>8</v>
      </c>
      <c r="AM17" s="1632" t="s">
        <v>580</v>
      </c>
      <c r="AN17" s="1632" t="s">
        <v>582</v>
      </c>
      <c r="AO17" s="1632" t="s">
        <v>608</v>
      </c>
      <c r="AP17" s="1632" t="s">
        <v>584</v>
      </c>
      <c r="AQ17" s="1632" t="s">
        <v>599</v>
      </c>
      <c r="AR17" s="1632" t="s">
        <v>599</v>
      </c>
      <c r="AS17" s="1632" t="s">
        <v>609</v>
      </c>
      <c r="AT17" s="1632" t="s">
        <v>609</v>
      </c>
      <c r="AU17" s="1632"/>
      <c r="AV17" s="1632"/>
      <c r="AW17" s="1632"/>
      <c r="AX17" s="1632"/>
      <c r="AZ17" s="1633" t="s">
        <v>620</v>
      </c>
      <c r="BA17" s="1633"/>
      <c r="BB17" s="1633" t="s">
        <v>600</v>
      </c>
    </row>
    <row r="18" spans="1:54">
      <c r="A18" s="1637">
        <f ca="1">IF(B18="","",SUBTOTAL(3,B$3:B18))</f>
        <v>16</v>
      </c>
      <c r="B18" s="1646" t="str">
        <f ca="1">CELL("filename",衍生金资!A1)</f>
        <v>D:\桌面\评估\评估\2025评估\中致成\中煤\报告\[104250091]中煤第五建设有限公司第三工程处拟处置实物资产项目\[0000-3基础法明细表.xlsx]衍生金资</v>
      </c>
      <c r="C18" s="1647" t="str">
        <f ca="1" t="shared" si="9"/>
        <v>中煤第五建设有限公司第三工程处拟处置实物资产项目\[0000-3基础法明细表.xlsx]衍生金资</v>
      </c>
      <c r="D18" s="1648">
        <f>IF(SUM(分类汇总!J$43,分类汇总!J$68)=0,分类汇总!H11,分类汇总!J11)</f>
        <v>0</v>
      </c>
      <c r="E18" s="1649">
        <f>流动资总!BA10</f>
        <v>0</v>
      </c>
      <c r="F18" s="1649">
        <f>流动资总!BB10</f>
        <v>0</v>
      </c>
      <c r="G18" s="1649">
        <f>流动资总!BC10</f>
        <v>0</v>
      </c>
      <c r="H18" s="1649">
        <f>流动资总!BD10</f>
        <v>0</v>
      </c>
      <c r="I18" s="1649">
        <f>流动资总!BE10</f>
        <v>0</v>
      </c>
      <c r="J18" s="1649">
        <f>流动资总!BF10</f>
        <v>0</v>
      </c>
      <c r="K18" s="1650">
        <f t="shared" si="8"/>
        <v>0</v>
      </c>
      <c r="L18" s="1637" t="str">
        <f t="shared" si="10"/>
        <v>隐藏</v>
      </c>
      <c r="M18" s="1637" t="s">
        <v>576</v>
      </c>
      <c r="N18" s="1637" t="e">
        <f ca="1" t="shared" si="11"/>
        <v>#REF!</v>
      </c>
      <c r="O18" s="1637" t="e">
        <f ca="1" t="shared" si="11"/>
        <v>#REF!</v>
      </c>
      <c r="P18" s="1637" t="e">
        <f ca="1" t="shared" si="12"/>
        <v>#REF!</v>
      </c>
      <c r="R18" s="1637">
        <f t="shared" si="3"/>
        <v>1</v>
      </c>
      <c r="S18" s="1637" t="s">
        <v>624</v>
      </c>
      <c r="T18" s="1637"/>
      <c r="U18" s="1637"/>
      <c r="V18" s="1637"/>
      <c r="X18" s="1637">
        <f t="shared" si="4"/>
        <v>2</v>
      </c>
      <c r="Y18" s="1637" t="s">
        <v>625</v>
      </c>
      <c r="Z18" s="1637" t="s">
        <v>626</v>
      </c>
      <c r="AA18" s="1637"/>
      <c r="AB18" s="1637"/>
      <c r="AC18" s="1637"/>
      <c r="AE18" s="1637">
        <f t="shared" si="5"/>
        <v>1</v>
      </c>
      <c r="AF18" s="1637" t="s">
        <v>577</v>
      </c>
      <c r="AG18" s="1637"/>
      <c r="AH18" s="1637"/>
      <c r="AI18" s="1637"/>
      <c r="AJ18" s="1637"/>
      <c r="AL18" s="1637">
        <f t="shared" si="1"/>
        <v>6</v>
      </c>
      <c r="AM18" s="1637" t="s">
        <v>580</v>
      </c>
      <c r="AN18" s="1637" t="s">
        <v>583</v>
      </c>
      <c r="AO18" s="1637" t="s">
        <v>608</v>
      </c>
      <c r="AP18" s="1637" t="s">
        <v>614</v>
      </c>
      <c r="AQ18" s="1637" t="s">
        <v>627</v>
      </c>
      <c r="AR18" s="1637" t="s">
        <v>627</v>
      </c>
      <c r="AS18" s="1637"/>
      <c r="AT18" s="1637"/>
      <c r="AU18" s="1637"/>
      <c r="AV18" s="1637"/>
      <c r="AW18" s="1637"/>
      <c r="AX18" s="1637"/>
      <c r="AZ18" s="1633" t="s">
        <v>592</v>
      </c>
      <c r="BA18" s="1633"/>
      <c r="BB18" s="1633" t="s">
        <v>628</v>
      </c>
    </row>
    <row r="19" s="1614" customFormat="1" spans="1:54">
      <c r="A19" s="1632">
        <f ca="1">IF(B19="","",SUBTOTAL(3,B$3:B19))</f>
        <v>17</v>
      </c>
      <c r="B19" s="1640" t="str">
        <f ca="1">CELL("filename",应收票据!A1)</f>
        <v>D:\桌面\评估\评估\2025评估\中致成\中煤\报告\[104250091]中煤第五建设有限公司第三工程处拟处置实物资产项目\[0000-3基础法明细表.xlsx]应收票据</v>
      </c>
      <c r="C19" s="1641" t="str">
        <f ca="1" t="shared" si="9"/>
        <v>中煤第五建设有限公司第三工程处拟处置实物资产项目\[0000-3基础法明细表.xlsx]应收票据</v>
      </c>
      <c r="D19" s="1642">
        <f>IF(SUM(分类汇总!J$43,分类汇总!J$68)=0,分类汇总!H12,分类汇总!J12)</f>
        <v>0</v>
      </c>
      <c r="E19" s="1643">
        <f>流动资总!BA11</f>
        <v>0</v>
      </c>
      <c r="F19" s="1643">
        <f>流动资总!BB11</f>
        <v>0</v>
      </c>
      <c r="G19" s="1643">
        <f>流动资总!BC11</f>
        <v>0</v>
      </c>
      <c r="H19" s="1643">
        <f>流动资总!BD11</f>
        <v>0</v>
      </c>
      <c r="I19" s="1643">
        <f>流动资总!BE11</f>
        <v>0</v>
      </c>
      <c r="J19" s="1643">
        <f>流动资总!BF11</f>
        <v>0</v>
      </c>
      <c r="K19" s="1644">
        <f t="shared" si="8"/>
        <v>0</v>
      </c>
      <c r="L19" s="1632" t="str">
        <f t="shared" si="10"/>
        <v>隐藏</v>
      </c>
      <c r="M19" s="1632" t="s">
        <v>576</v>
      </c>
      <c r="N19" s="1632" t="e">
        <f ca="1" t="shared" si="11"/>
        <v>#REF!</v>
      </c>
      <c r="O19" s="1632" t="e">
        <f ca="1" t="shared" si="11"/>
        <v>#REF!</v>
      </c>
      <c r="P19" s="1632" t="e">
        <f ca="1" t="shared" si="12"/>
        <v>#REF!</v>
      </c>
      <c r="Q19" s="1616"/>
      <c r="R19" s="1632">
        <f t="shared" si="3"/>
        <v>1</v>
      </c>
      <c r="S19" s="1653" t="s">
        <v>629</v>
      </c>
      <c r="T19" s="1653"/>
      <c r="U19" s="1653"/>
      <c r="V19" s="1653"/>
      <c r="X19" s="1632">
        <f t="shared" si="4"/>
        <v>2</v>
      </c>
      <c r="Y19" s="1653" t="s">
        <v>630</v>
      </c>
      <c r="Z19" s="1653" t="s">
        <v>631</v>
      </c>
      <c r="AA19" s="1653"/>
      <c r="AB19" s="1653"/>
      <c r="AC19" s="1653"/>
      <c r="AE19" s="1632">
        <f t="shared" si="5"/>
        <v>1</v>
      </c>
      <c r="AF19" s="1653" t="s">
        <v>632</v>
      </c>
      <c r="AG19" s="1653"/>
      <c r="AH19" s="1653"/>
      <c r="AI19" s="1653"/>
      <c r="AJ19" s="1653"/>
      <c r="AL19" s="1632">
        <f t="shared" si="1"/>
        <v>6</v>
      </c>
      <c r="AM19" s="1653" t="s">
        <v>580</v>
      </c>
      <c r="AN19" s="1653" t="s">
        <v>582</v>
      </c>
      <c r="AO19" s="1653" t="s">
        <v>608</v>
      </c>
      <c r="AP19" s="1653" t="s">
        <v>591</v>
      </c>
      <c r="AQ19" s="1653" t="s">
        <v>633</v>
      </c>
      <c r="AR19" s="1653" t="s">
        <v>633</v>
      </c>
      <c r="AS19" s="1653"/>
      <c r="AT19" s="1653"/>
      <c r="AU19" s="1653"/>
      <c r="AV19" s="1653"/>
      <c r="AW19" s="1653"/>
      <c r="AX19" s="1653"/>
      <c r="AZ19" s="1633" t="s">
        <v>623</v>
      </c>
      <c r="BA19" s="1633"/>
      <c r="BB19" s="1633" t="s">
        <v>602</v>
      </c>
    </row>
    <row r="20" s="1614" customFormat="1" spans="1:54">
      <c r="A20" s="1637">
        <f ca="1">IF(B20="","",SUBTOTAL(3,B$3:B20))</f>
        <v>18</v>
      </c>
      <c r="B20" s="1646" t="str">
        <f ca="1">CELL("filename",应收账款!A1)</f>
        <v>D:\桌面\评估\评估\2025评估\中致成\中煤\报告\[104250091]中煤第五建设有限公司第三工程处拟处置实物资产项目\[0000-3基础法明细表.xlsx]应收账款</v>
      </c>
      <c r="C20" s="1647" t="str">
        <f ca="1" t="shared" si="9"/>
        <v>中煤第五建设有限公司第三工程处拟处置实物资产项目\[0000-3基础法明细表.xlsx]应收账款</v>
      </c>
      <c r="D20" s="1648">
        <f>IF(SUM(分类汇总!J$43,分类汇总!J$68)=0,分类汇总!H13,分类汇总!J13)</f>
        <v>0</v>
      </c>
      <c r="E20" s="1649">
        <f>流动资总!BA12</f>
        <v>0</v>
      </c>
      <c r="F20" s="1649">
        <f>流动资总!BB12</f>
        <v>0</v>
      </c>
      <c r="G20" s="1649">
        <f>流动资总!BC12</f>
        <v>0</v>
      </c>
      <c r="H20" s="1649">
        <f>流动资总!BD12</f>
        <v>0</v>
      </c>
      <c r="I20" s="1649">
        <f>流动资总!BE12</f>
        <v>0</v>
      </c>
      <c r="J20" s="1649">
        <f>流动资总!BF12</f>
        <v>0</v>
      </c>
      <c r="K20" s="1650">
        <f t="shared" si="8"/>
        <v>0</v>
      </c>
      <c r="L20" s="1637" t="str">
        <f t="shared" si="10"/>
        <v>隐藏</v>
      </c>
      <c r="M20" s="1637" t="s">
        <v>576</v>
      </c>
      <c r="N20" s="1637" t="e">
        <f ca="1" t="shared" si="11"/>
        <v>#REF!</v>
      </c>
      <c r="O20" s="1637" t="e">
        <f ca="1" t="shared" si="11"/>
        <v>#REF!</v>
      </c>
      <c r="P20" s="1637" t="e">
        <f ca="1" t="shared" si="12"/>
        <v>#REF!</v>
      </c>
      <c r="Q20" s="1616"/>
      <c r="R20" s="1637">
        <f t="shared" si="3"/>
        <v>2</v>
      </c>
      <c r="S20" s="1654" t="s">
        <v>634</v>
      </c>
      <c r="T20" s="1654" t="s">
        <v>635</v>
      </c>
      <c r="U20" s="1654"/>
      <c r="V20" s="1654"/>
      <c r="X20" s="1637">
        <f t="shared" si="4"/>
        <v>2</v>
      </c>
      <c r="Y20" s="1654" t="s">
        <v>636</v>
      </c>
      <c r="Z20" s="1654" t="s">
        <v>637</v>
      </c>
      <c r="AA20" s="1654"/>
      <c r="AB20" s="1654"/>
      <c r="AC20" s="1654"/>
      <c r="AE20" s="1637">
        <f t="shared" si="5"/>
        <v>1</v>
      </c>
      <c r="AF20" s="1654" t="s">
        <v>638</v>
      </c>
      <c r="AG20" s="1654"/>
      <c r="AH20" s="1654"/>
      <c r="AI20" s="1654"/>
      <c r="AJ20" s="1654"/>
      <c r="AL20" s="1637">
        <f t="shared" si="1"/>
        <v>12</v>
      </c>
      <c r="AM20" s="1654" t="s">
        <v>580</v>
      </c>
      <c r="AN20" s="1654" t="s">
        <v>589</v>
      </c>
      <c r="AO20" s="1654" t="s">
        <v>582</v>
      </c>
      <c r="AP20" s="1654" t="s">
        <v>583</v>
      </c>
      <c r="AQ20" s="1654" t="s">
        <v>584</v>
      </c>
      <c r="AR20" s="1654" t="s">
        <v>639</v>
      </c>
      <c r="AS20" s="1654" t="s">
        <v>640</v>
      </c>
      <c r="AT20" s="1654" t="s">
        <v>640</v>
      </c>
      <c r="AU20" s="1654" t="s">
        <v>641</v>
      </c>
      <c r="AV20" s="1654" t="s">
        <v>642</v>
      </c>
      <c r="AW20" s="1654" t="s">
        <v>643</v>
      </c>
      <c r="AX20" s="1654" t="s">
        <v>643</v>
      </c>
      <c r="AZ20" s="1633" t="s">
        <v>600</v>
      </c>
      <c r="BA20" s="1633"/>
      <c r="BB20" s="1633" t="s">
        <v>610</v>
      </c>
    </row>
    <row r="21" s="1615" customFormat="1" spans="1:54">
      <c r="A21" s="1626">
        <f ca="1">IF(B21="","",SUBTOTAL(3,B$3:B21))</f>
        <v>19</v>
      </c>
      <c r="B21" s="1655" t="str">
        <f ca="1">CELL("filename",应收款融资总!A1)</f>
        <v>D:\桌面\评估\评估\2025评估\中致成\中煤\报告\[104250091]中煤第五建设有限公司第三工程处拟处置实物资产项目\[0000-3基础法明细表.xlsx]应收款融资总</v>
      </c>
      <c r="C21" s="1628" t="str">
        <f ca="1" t="shared" si="9"/>
        <v>中煤第五建设有限公司第三工程处拟处置实物资产项目\[0000-3基础法明细表.xlsx]应收款融资总</v>
      </c>
      <c r="D21" s="1656">
        <f>IF(SUM(分类汇总!J$43,分类汇总!J$68)=0,分类汇总!H14,分类汇总!J14)</f>
        <v>0</v>
      </c>
      <c r="E21" s="1657">
        <f>SUM(E22:E23)</f>
        <v>0</v>
      </c>
      <c r="F21" s="1657">
        <f>SUM(F22:F23)</f>
        <v>0</v>
      </c>
      <c r="G21" s="1657">
        <f>SUM(G22:G23)</f>
        <v>0</v>
      </c>
      <c r="H21" s="1657">
        <f t="shared" si="7"/>
        <v>0</v>
      </c>
      <c r="I21" s="1657">
        <f>SUM(I22:I23)</f>
        <v>0</v>
      </c>
      <c r="J21" s="1657">
        <f>SUM(J22:J23)</f>
        <v>0</v>
      </c>
      <c r="K21" s="1631">
        <f t="shared" si="8"/>
        <v>0</v>
      </c>
      <c r="L21" s="1626" t="str">
        <f t="shared" si="10"/>
        <v>隐藏</v>
      </c>
      <c r="M21" s="1626" t="s">
        <v>618</v>
      </c>
      <c r="N21" s="1632"/>
      <c r="O21" s="1632"/>
      <c r="P21" s="1632"/>
      <c r="Q21" s="1613"/>
      <c r="R21" s="1632">
        <f t="shared" si="3"/>
        <v>0</v>
      </c>
      <c r="S21" s="1629"/>
      <c r="T21" s="1629"/>
      <c r="U21" s="1629"/>
      <c r="V21" s="1629"/>
      <c r="X21" s="1632">
        <f t="shared" si="4"/>
        <v>0</v>
      </c>
      <c r="Y21" s="1629"/>
      <c r="Z21" s="1629"/>
      <c r="AA21" s="1629"/>
      <c r="AB21" s="1629"/>
      <c r="AC21" s="1629"/>
      <c r="AE21" s="1632">
        <f t="shared" si="5"/>
        <v>0</v>
      </c>
      <c r="AF21" s="1629"/>
      <c r="AG21" s="1629"/>
      <c r="AH21" s="1629"/>
      <c r="AI21" s="1629"/>
      <c r="AJ21" s="1629"/>
      <c r="AL21" s="1632">
        <f t="shared" si="1"/>
        <v>0</v>
      </c>
      <c r="AM21" s="1629"/>
      <c r="AN21" s="1629"/>
      <c r="AO21" s="1629"/>
      <c r="AP21" s="1629"/>
      <c r="AQ21" s="1629"/>
      <c r="AR21" s="1629"/>
      <c r="AS21" s="1629"/>
      <c r="AT21" s="1629"/>
      <c r="AU21" s="1629"/>
      <c r="AV21" s="1629"/>
      <c r="AW21" s="1629"/>
      <c r="AX21" s="1629"/>
      <c r="AZ21" s="1633" t="s">
        <v>628</v>
      </c>
      <c r="BA21" s="1633"/>
      <c r="BB21" s="1633" t="s">
        <v>615</v>
      </c>
    </row>
    <row r="22" spans="1:54">
      <c r="A22" s="1637">
        <f ca="1">IF(B22="","",SUBTOTAL(3,B$3:B22))</f>
        <v>20</v>
      </c>
      <c r="B22" s="1646" t="str">
        <f ca="1">CELL("filename",'融资-应收票据'!A1)</f>
        <v>D:\桌面\评估\评估\2025评估\中致成\中煤\报告\[104250091]中煤第五建设有限公司第三工程处拟处置实物资产项目\[0000-3基础法明细表.xlsx]融资-应收票据</v>
      </c>
      <c r="C22" s="1647" t="str">
        <f ca="1" t="shared" si="9"/>
        <v>中煤第五建设有限公司第三工程处拟处置实物资产项目\[0000-3基础法明细表.xlsx]融资-应收票据</v>
      </c>
      <c r="D22" s="1648">
        <f>IF(D$21=H$21,0,1)</f>
        <v>0</v>
      </c>
      <c r="E22" s="1649">
        <f>应收款融资总!BA7</f>
        <v>0</v>
      </c>
      <c r="F22" s="1649">
        <f>应收款融资总!BB7</f>
        <v>0</v>
      </c>
      <c r="G22" s="1649">
        <f>应收款融资总!BC7</f>
        <v>0</v>
      </c>
      <c r="H22" s="1649">
        <f>应收款融资总!BD7</f>
        <v>0</v>
      </c>
      <c r="I22" s="1649">
        <f>应收款融资总!BE7</f>
        <v>0</v>
      </c>
      <c r="J22" s="1649">
        <f>应收款融资总!BF7</f>
        <v>0</v>
      </c>
      <c r="K22" s="1650">
        <f t="shared" si="8"/>
        <v>0</v>
      </c>
      <c r="L22" s="1637" t="str">
        <f t="shared" si="10"/>
        <v>隐藏</v>
      </c>
      <c r="M22" s="1637" t="s">
        <v>345</v>
      </c>
      <c r="N22" s="1637" t="e">
        <f ca="1" t="shared" si="11"/>
        <v>#REF!</v>
      </c>
      <c r="O22" s="1637" t="e">
        <f ca="1" t="shared" si="11"/>
        <v>#REF!</v>
      </c>
      <c r="P22" s="1637" t="e">
        <f ca="1" t="shared" si="12"/>
        <v>#REF!</v>
      </c>
      <c r="R22" s="1637">
        <f t="shared" si="3"/>
        <v>1</v>
      </c>
      <c r="S22" s="1654" t="s">
        <v>629</v>
      </c>
      <c r="T22" s="1654"/>
      <c r="U22" s="1637"/>
      <c r="V22" s="1637"/>
      <c r="X22" s="1637">
        <f t="shared" si="4"/>
        <v>2</v>
      </c>
      <c r="Y22" s="1654" t="s">
        <v>630</v>
      </c>
      <c r="Z22" s="1654" t="s">
        <v>631</v>
      </c>
      <c r="AA22" s="1637"/>
      <c r="AB22" s="1637"/>
      <c r="AC22" s="1637"/>
      <c r="AE22" s="1637">
        <f t="shared" si="5"/>
        <v>1</v>
      </c>
      <c r="AF22" s="1654" t="s">
        <v>632</v>
      </c>
      <c r="AG22" s="1637"/>
      <c r="AH22" s="1637"/>
      <c r="AI22" s="1637"/>
      <c r="AJ22" s="1637"/>
      <c r="AL22" s="1637">
        <f t="shared" si="1"/>
        <v>6</v>
      </c>
      <c r="AM22" s="1654" t="s">
        <v>580</v>
      </c>
      <c r="AN22" s="1637" t="s">
        <v>582</v>
      </c>
      <c r="AO22" s="1637" t="s">
        <v>608</v>
      </c>
      <c r="AP22" s="1637" t="s">
        <v>591</v>
      </c>
      <c r="AQ22" s="1637" t="s">
        <v>633</v>
      </c>
      <c r="AR22" s="1637" t="s">
        <v>633</v>
      </c>
      <c r="AS22" s="1637"/>
      <c r="AT22" s="1637"/>
      <c r="AU22" s="1637"/>
      <c r="AV22" s="1637"/>
      <c r="AW22" s="1637"/>
      <c r="AX22" s="1637"/>
      <c r="AZ22" s="1633" t="s">
        <v>602</v>
      </c>
      <c r="BA22" s="1633"/>
      <c r="BB22" s="1633" t="s">
        <v>617</v>
      </c>
    </row>
    <row r="23" spans="1:54">
      <c r="A23" s="1632">
        <f ca="1">IF(B23="","",SUBTOTAL(3,B$3:B23))</f>
        <v>21</v>
      </c>
      <c r="B23" s="1640" t="str">
        <f ca="1">CELL("filename",'融资-应收账款'!A1)</f>
        <v>D:\桌面\评估\评估\2025评估\中致成\中煤\报告\[104250091]中煤第五建设有限公司第三工程处拟处置实物资产项目\[0000-3基础法明细表.xlsx]融资-应收账款</v>
      </c>
      <c r="C23" s="1641" t="str">
        <f ca="1" t="shared" si="9"/>
        <v>中煤第五建设有限公司第三工程处拟处置实物资产项目\[0000-3基础法明细表.xlsx]融资-应收账款</v>
      </c>
      <c r="D23" s="1642">
        <f>IF(D$21=H$21,0,1)</f>
        <v>0</v>
      </c>
      <c r="E23" s="1643">
        <f>应收款融资总!BA8</f>
        <v>0</v>
      </c>
      <c r="F23" s="1643">
        <f>应收款融资总!BB8</f>
        <v>0</v>
      </c>
      <c r="G23" s="1643">
        <f>应收款融资总!BC8</f>
        <v>0</v>
      </c>
      <c r="H23" s="1643">
        <f>应收款融资总!BD8</f>
        <v>0</v>
      </c>
      <c r="I23" s="1643">
        <f>应收款融资总!BE8</f>
        <v>0</v>
      </c>
      <c r="J23" s="1643">
        <f>应收款融资总!BF8</f>
        <v>0</v>
      </c>
      <c r="K23" s="1644">
        <f t="shared" si="8"/>
        <v>0</v>
      </c>
      <c r="L23" s="1632" t="str">
        <f t="shared" si="10"/>
        <v>隐藏</v>
      </c>
      <c r="M23" s="1632" t="s">
        <v>345</v>
      </c>
      <c r="N23" s="1632" t="e">
        <f ca="1" t="shared" si="11"/>
        <v>#REF!</v>
      </c>
      <c r="O23" s="1632" t="e">
        <f ca="1" t="shared" si="11"/>
        <v>#REF!</v>
      </c>
      <c r="P23" s="1632" t="e">
        <f ca="1" t="shared" si="12"/>
        <v>#REF!</v>
      </c>
      <c r="R23" s="1632">
        <f t="shared" si="3"/>
        <v>2</v>
      </c>
      <c r="S23" s="1653" t="s">
        <v>634</v>
      </c>
      <c r="T23" s="1653" t="s">
        <v>635</v>
      </c>
      <c r="U23" s="1632"/>
      <c r="V23" s="1632"/>
      <c r="X23" s="1632">
        <f t="shared" si="4"/>
        <v>2</v>
      </c>
      <c r="Y23" s="1653" t="s">
        <v>636</v>
      </c>
      <c r="Z23" s="1653" t="s">
        <v>637</v>
      </c>
      <c r="AA23" s="1632"/>
      <c r="AB23" s="1632"/>
      <c r="AC23" s="1632"/>
      <c r="AE23" s="1632">
        <f t="shared" si="5"/>
        <v>1</v>
      </c>
      <c r="AF23" s="1653" t="s">
        <v>638</v>
      </c>
      <c r="AG23" s="1632"/>
      <c r="AH23" s="1632"/>
      <c r="AI23" s="1632"/>
      <c r="AJ23" s="1632"/>
      <c r="AL23" s="1632">
        <f t="shared" si="1"/>
        <v>12</v>
      </c>
      <c r="AM23" s="1653" t="s">
        <v>580</v>
      </c>
      <c r="AN23" s="1632" t="s">
        <v>589</v>
      </c>
      <c r="AO23" s="1632" t="s">
        <v>582</v>
      </c>
      <c r="AP23" s="1632" t="s">
        <v>583</v>
      </c>
      <c r="AQ23" s="1632" t="s">
        <v>584</v>
      </c>
      <c r="AR23" s="1632" t="s">
        <v>639</v>
      </c>
      <c r="AS23" s="1632" t="s">
        <v>640</v>
      </c>
      <c r="AT23" s="1632" t="s">
        <v>640</v>
      </c>
      <c r="AU23" s="1632" t="s">
        <v>641</v>
      </c>
      <c r="AV23" s="1632" t="s">
        <v>642</v>
      </c>
      <c r="AW23" s="1632" t="s">
        <v>643</v>
      </c>
      <c r="AX23" s="1632" t="s">
        <v>643</v>
      </c>
      <c r="AZ23" s="1633" t="s">
        <v>610</v>
      </c>
      <c r="BA23" s="1633"/>
      <c r="BB23" s="1633" t="s">
        <v>644</v>
      </c>
    </row>
    <row r="24" spans="1:54">
      <c r="A24" s="1637">
        <f ca="1">IF(B24="","",SUBTOTAL(3,B$3:B24))</f>
        <v>22</v>
      </c>
      <c r="B24" s="1646" t="str">
        <f ca="1">CELL("filename",预付账款!A1)</f>
        <v>D:\桌面\评估\评估\2025评估\中致成\中煤\报告\[104250091]中煤第五建设有限公司第三工程处拟处置实物资产项目\[0000-3基础法明细表.xlsx]预付账款</v>
      </c>
      <c r="C24" s="1647" t="str">
        <f ca="1" t="shared" si="9"/>
        <v>中煤第五建设有限公司第三工程处拟处置实物资产项目\[0000-3基础法明细表.xlsx]预付账款</v>
      </c>
      <c r="D24" s="1648">
        <f>IF(SUM(分类汇总!J$43,分类汇总!J$68)=0,分类汇总!H15,分类汇总!J15)</f>
        <v>0</v>
      </c>
      <c r="E24" s="1649">
        <f>流动资总!BA14</f>
        <v>0</v>
      </c>
      <c r="F24" s="1649">
        <f>流动资总!BB14</f>
        <v>0</v>
      </c>
      <c r="G24" s="1649">
        <f>流动资总!BC14</f>
        <v>0</v>
      </c>
      <c r="H24" s="1649">
        <f>流动资总!BD14</f>
        <v>0</v>
      </c>
      <c r="I24" s="1649">
        <f>流动资总!BE14</f>
        <v>0</v>
      </c>
      <c r="J24" s="1649">
        <f>流动资总!BF14</f>
        <v>0</v>
      </c>
      <c r="K24" s="1650">
        <f t="shared" si="8"/>
        <v>0</v>
      </c>
      <c r="L24" s="1637" t="str">
        <f t="shared" si="10"/>
        <v>隐藏</v>
      </c>
      <c r="M24" s="1637" t="s">
        <v>576</v>
      </c>
      <c r="N24" s="1637" t="e">
        <f ca="1" t="shared" si="11"/>
        <v>#REF!</v>
      </c>
      <c r="O24" s="1637" t="e">
        <f ca="1" t="shared" si="11"/>
        <v>#REF!</v>
      </c>
      <c r="P24" s="1637" t="e">
        <f ca="1" t="shared" si="12"/>
        <v>#REF!</v>
      </c>
      <c r="R24" s="1637">
        <f t="shared" si="3"/>
        <v>1</v>
      </c>
      <c r="S24" s="1637" t="s">
        <v>645</v>
      </c>
      <c r="T24" s="1637"/>
      <c r="U24" s="1637"/>
      <c r="V24" s="1637"/>
      <c r="X24" s="1637">
        <f t="shared" si="4"/>
        <v>2</v>
      </c>
      <c r="Y24" s="1654" t="s">
        <v>624</v>
      </c>
      <c r="Z24" s="1654" t="s">
        <v>646</v>
      </c>
      <c r="AA24" s="1637"/>
      <c r="AB24" s="1637"/>
      <c r="AC24" s="1637"/>
      <c r="AE24" s="1637">
        <f t="shared" si="5"/>
        <v>1</v>
      </c>
      <c r="AF24" s="1637" t="s">
        <v>647</v>
      </c>
      <c r="AG24" s="1637"/>
      <c r="AH24" s="1637"/>
      <c r="AI24" s="1637"/>
      <c r="AJ24" s="1637"/>
      <c r="AL24" s="1637">
        <f t="shared" si="1"/>
        <v>8</v>
      </c>
      <c r="AM24" s="1637" t="s">
        <v>580</v>
      </c>
      <c r="AN24" s="1637" t="s">
        <v>589</v>
      </c>
      <c r="AO24" s="1637" t="s">
        <v>582</v>
      </c>
      <c r="AP24" s="1637" t="s">
        <v>583</v>
      </c>
      <c r="AQ24" s="1637" t="s">
        <v>614</v>
      </c>
      <c r="AR24" s="1637" t="s">
        <v>599</v>
      </c>
      <c r="AS24" s="1637" t="s">
        <v>648</v>
      </c>
      <c r="AT24" s="1637" t="s">
        <v>648</v>
      </c>
      <c r="AU24" s="1637"/>
      <c r="AV24" s="1637"/>
      <c r="AW24" s="1637"/>
      <c r="AX24" s="1637"/>
      <c r="AZ24" s="1633" t="s">
        <v>615</v>
      </c>
      <c r="BA24" s="1633"/>
      <c r="BB24" s="1633" t="s">
        <v>649</v>
      </c>
    </row>
    <row r="25" s="1613" customFormat="1" spans="1:54">
      <c r="A25" s="1626">
        <f ca="1">IF(B25="","",SUBTOTAL(3,B$3:B25))</f>
        <v>23</v>
      </c>
      <c r="B25" s="1655" t="str">
        <f ca="1">CELL("filename",其他应收总!A1)</f>
        <v>D:\桌面\评估\评估\2025评估\中致成\中煤\报告\[104250091]中煤第五建设有限公司第三工程处拟处置实物资产项目\[0000-3基础法明细表.xlsx]其他应收总</v>
      </c>
      <c r="C25" s="1628" t="str">
        <f ca="1" t="shared" si="9"/>
        <v>中煤第五建设有限公司第三工程处拟处置实物资产项目\[0000-3基础法明细表.xlsx]其他应收总</v>
      </c>
      <c r="D25" s="1656">
        <f>IF(SUM(分类汇总!J$43,分类汇总!J$68)=0,分类汇总!H16,分类汇总!J16)</f>
        <v>0</v>
      </c>
      <c r="E25" s="1657">
        <f>SUM(E26:E28)</f>
        <v>0</v>
      </c>
      <c r="F25" s="1657">
        <f>SUM(F26:F28)</f>
        <v>0</v>
      </c>
      <c r="G25" s="1657">
        <f>SUM(G26:G28)</f>
        <v>0</v>
      </c>
      <c r="H25" s="1657">
        <f t="shared" si="7"/>
        <v>0</v>
      </c>
      <c r="I25" s="1657">
        <f>SUM(I26:I28)</f>
        <v>0</v>
      </c>
      <c r="J25" s="1657">
        <f>SUM(J26:J28)</f>
        <v>0</v>
      </c>
      <c r="K25" s="1631">
        <f t="shared" si="8"/>
        <v>0</v>
      </c>
      <c r="L25" s="1626" t="str">
        <f t="shared" si="10"/>
        <v>隐藏</v>
      </c>
      <c r="M25" s="1626" t="s">
        <v>565</v>
      </c>
      <c r="N25" s="1632"/>
      <c r="O25" s="1632"/>
      <c r="P25" s="1632"/>
      <c r="R25" s="1632">
        <f t="shared" si="3"/>
        <v>0</v>
      </c>
      <c r="S25" s="1626"/>
      <c r="T25" s="1626"/>
      <c r="U25" s="1626"/>
      <c r="V25" s="1626"/>
      <c r="X25" s="1632">
        <f t="shared" si="4"/>
        <v>0</v>
      </c>
      <c r="Y25" s="1626"/>
      <c r="Z25" s="1626"/>
      <c r="AA25" s="1626"/>
      <c r="AB25" s="1626"/>
      <c r="AC25" s="1626"/>
      <c r="AE25" s="1632">
        <f t="shared" si="5"/>
        <v>0</v>
      </c>
      <c r="AF25" s="1626"/>
      <c r="AG25" s="1626"/>
      <c r="AH25" s="1626"/>
      <c r="AI25" s="1626"/>
      <c r="AJ25" s="1626"/>
      <c r="AL25" s="1632">
        <f t="shared" si="1"/>
        <v>0</v>
      </c>
      <c r="AM25" s="1626"/>
      <c r="AN25" s="1626"/>
      <c r="AO25" s="1626"/>
      <c r="AP25" s="1626"/>
      <c r="AQ25" s="1626"/>
      <c r="AR25" s="1626"/>
      <c r="AS25" s="1626"/>
      <c r="AT25" s="1626"/>
      <c r="AU25" s="1626"/>
      <c r="AV25" s="1626"/>
      <c r="AW25" s="1626"/>
      <c r="AX25" s="1626"/>
      <c r="AZ25" s="1633" t="s">
        <v>617</v>
      </c>
      <c r="BA25" s="1633"/>
      <c r="BB25" s="1633" t="s">
        <v>619</v>
      </c>
    </row>
    <row r="26" spans="1:54">
      <c r="A26" s="1637">
        <f ca="1">IF(B26="","",SUBTOTAL(3,B$3:B26))</f>
        <v>24</v>
      </c>
      <c r="B26" s="1646" t="str">
        <f ca="1">CELL("filename",'其他应收-利息'!A1)</f>
        <v>D:\桌面\评估\评估\2025评估\中致成\中煤\报告\[104250091]中煤第五建设有限公司第三工程处拟处置实物资产项目\[0000-3基础法明细表.xlsx]其他应收-利息</v>
      </c>
      <c r="C26" s="1647" t="str">
        <f ca="1" t="shared" si="9"/>
        <v>中煤第五建设有限公司第三工程处拟处置实物资产项目\[0000-3基础法明细表.xlsx]其他应收-利息</v>
      </c>
      <c r="D26" s="1648">
        <f>IF(D$25=H$25,0,1)</f>
        <v>0</v>
      </c>
      <c r="E26" s="1649">
        <f>其他应收总!BA7</f>
        <v>0</v>
      </c>
      <c r="F26" s="1649">
        <f>其他应收总!BB7</f>
        <v>0</v>
      </c>
      <c r="G26" s="1649">
        <f>其他应收总!BC7</f>
        <v>0</v>
      </c>
      <c r="H26" s="1649">
        <f>其他应收总!BD7</f>
        <v>0</v>
      </c>
      <c r="I26" s="1649">
        <f>其他应收总!BE7</f>
        <v>0</v>
      </c>
      <c r="J26" s="1649">
        <f>其他应收总!BF7</f>
        <v>0</v>
      </c>
      <c r="K26" s="1650">
        <f t="shared" si="8"/>
        <v>0</v>
      </c>
      <c r="L26" s="1637" t="str">
        <f t="shared" si="10"/>
        <v>隐藏</v>
      </c>
      <c r="M26" s="1637" t="s">
        <v>576</v>
      </c>
      <c r="N26" s="1637" t="e">
        <f ca="1" t="shared" si="11"/>
        <v>#REF!</v>
      </c>
      <c r="O26" s="1637" t="e">
        <f ca="1" t="shared" si="11"/>
        <v>#REF!</v>
      </c>
      <c r="P26" s="1637" t="e">
        <f ca="1" t="shared" si="12"/>
        <v>#REF!</v>
      </c>
      <c r="R26" s="1637">
        <f t="shared" si="3"/>
        <v>1</v>
      </c>
      <c r="S26" s="1637" t="s">
        <v>650</v>
      </c>
      <c r="T26" s="1637"/>
      <c r="U26" s="1637"/>
      <c r="V26" s="1637"/>
      <c r="X26" s="1637">
        <f t="shared" si="4"/>
        <v>2</v>
      </c>
      <c r="Y26" s="1637" t="s">
        <v>605</v>
      </c>
      <c r="Z26" s="1637" t="s">
        <v>651</v>
      </c>
      <c r="AA26" s="1637"/>
      <c r="AB26" s="1637"/>
      <c r="AC26" s="1637"/>
      <c r="AE26" s="1637">
        <f t="shared" si="5"/>
        <v>2</v>
      </c>
      <c r="AF26" s="1637" t="s">
        <v>652</v>
      </c>
      <c r="AG26" s="1637" t="s">
        <v>605</v>
      </c>
      <c r="AH26" s="1637"/>
      <c r="AI26" s="1637"/>
      <c r="AJ26" s="1637"/>
      <c r="AL26" s="1637">
        <f t="shared" si="1"/>
        <v>6</v>
      </c>
      <c r="AM26" s="1637" t="s">
        <v>580</v>
      </c>
      <c r="AN26" s="1637" t="s">
        <v>589</v>
      </c>
      <c r="AO26" s="1637" t="s">
        <v>590</v>
      </c>
      <c r="AP26" s="1637" t="s">
        <v>584</v>
      </c>
      <c r="AQ26" s="1637" t="s">
        <v>653</v>
      </c>
      <c r="AR26" s="1637" t="s">
        <v>653</v>
      </c>
      <c r="AS26" s="1637"/>
      <c r="AT26" s="1637"/>
      <c r="AU26" s="1637"/>
      <c r="AV26" s="1637"/>
      <c r="AW26" s="1637"/>
      <c r="AX26" s="1637"/>
      <c r="AZ26" s="1633" t="s">
        <v>644</v>
      </c>
      <c r="BA26" s="1633"/>
      <c r="BB26" s="1633" t="s">
        <v>654</v>
      </c>
    </row>
    <row r="27" spans="1:54">
      <c r="A27" s="1632">
        <f ca="1">IF(B27="","",SUBTOTAL(3,B$3:B27))</f>
        <v>25</v>
      </c>
      <c r="B27" s="1640" t="str">
        <f ca="1">CELL("filename",'其他应收-股利'!A1)</f>
        <v>D:\桌面\评估\评估\2025评估\中致成\中煤\报告\[104250091]中煤第五建设有限公司第三工程处拟处置实物资产项目\[0000-3基础法明细表.xlsx]其他应收-股利</v>
      </c>
      <c r="C27" s="1641" t="str">
        <f ca="1" t="shared" si="9"/>
        <v>中煤第五建设有限公司第三工程处拟处置实物资产项目\[0000-3基础法明细表.xlsx]其他应收-股利</v>
      </c>
      <c r="D27" s="1642">
        <f>IF(D$25=H$25,0,1)</f>
        <v>0</v>
      </c>
      <c r="E27" s="1643">
        <f>其他应收总!BA8</f>
        <v>0</v>
      </c>
      <c r="F27" s="1643">
        <f>其他应收总!BB8</f>
        <v>0</v>
      </c>
      <c r="G27" s="1643">
        <f>其他应收总!BC8</f>
        <v>0</v>
      </c>
      <c r="H27" s="1643">
        <f>其他应收总!BD8</f>
        <v>0</v>
      </c>
      <c r="I27" s="1643">
        <f>其他应收总!BE8</f>
        <v>0</v>
      </c>
      <c r="J27" s="1643">
        <f>其他应收总!BF8</f>
        <v>0</v>
      </c>
      <c r="K27" s="1644">
        <f t="shared" si="8"/>
        <v>0</v>
      </c>
      <c r="L27" s="1632" t="str">
        <f t="shared" si="10"/>
        <v>隐藏</v>
      </c>
      <c r="M27" s="1632" t="s">
        <v>576</v>
      </c>
      <c r="N27" s="1632" t="e">
        <f ca="1" t="shared" si="11"/>
        <v>#REF!</v>
      </c>
      <c r="O27" s="1632" t="e">
        <f ca="1" t="shared" si="11"/>
        <v>#REF!</v>
      </c>
      <c r="P27" s="1632" t="e">
        <f ca="1" t="shared" si="12"/>
        <v>#REF!</v>
      </c>
      <c r="R27" s="1632">
        <f t="shared" si="3"/>
        <v>1</v>
      </c>
      <c r="S27" s="1632" t="s">
        <v>594</v>
      </c>
      <c r="T27" s="1632"/>
      <c r="U27" s="1632"/>
      <c r="V27" s="1632"/>
      <c r="X27" s="1632">
        <f t="shared" si="4"/>
        <v>2</v>
      </c>
      <c r="Y27" s="1632" t="s">
        <v>595</v>
      </c>
      <c r="Z27" s="1632" t="s">
        <v>596</v>
      </c>
      <c r="AA27" s="1632"/>
      <c r="AB27" s="1632"/>
      <c r="AC27" s="1632"/>
      <c r="AE27" s="1632">
        <f t="shared" si="5"/>
        <v>1</v>
      </c>
      <c r="AF27" s="1632" t="s">
        <v>655</v>
      </c>
      <c r="AG27" s="1632"/>
      <c r="AH27" s="1632"/>
      <c r="AI27" s="1632"/>
      <c r="AJ27" s="1632"/>
      <c r="AL27" s="1632">
        <f t="shared" si="1"/>
        <v>6</v>
      </c>
      <c r="AM27" s="1632" t="s">
        <v>580</v>
      </c>
      <c r="AN27" s="1632" t="s">
        <v>597</v>
      </c>
      <c r="AO27" s="1632" t="s">
        <v>590</v>
      </c>
      <c r="AP27" s="1632" t="s">
        <v>598</v>
      </c>
      <c r="AQ27" s="1632" t="s">
        <v>599</v>
      </c>
      <c r="AR27" s="1632" t="s">
        <v>599</v>
      </c>
      <c r="AS27" s="1632"/>
      <c r="AT27" s="1632"/>
      <c r="AU27" s="1632"/>
      <c r="AV27" s="1632"/>
      <c r="AW27" s="1632"/>
      <c r="AX27" s="1632"/>
      <c r="AZ27" s="1633" t="s">
        <v>649</v>
      </c>
      <c r="BA27" s="1633"/>
      <c r="BB27" s="1633" t="s">
        <v>656</v>
      </c>
    </row>
    <row r="28" spans="1:54">
      <c r="A28" s="1637">
        <f ca="1">IF(B28="","",SUBTOTAL(3,B$3:B28))</f>
        <v>26</v>
      </c>
      <c r="B28" s="1646" t="str">
        <f ca="1">CELL("filename",'其他应收-其他'!A1)</f>
        <v>D:\桌面\评估\评估\2025评估\中致成\中煤\报告\[104250091]中煤第五建设有限公司第三工程处拟处置实物资产项目\[0000-3基础法明细表.xlsx]其他应收-其他</v>
      </c>
      <c r="C28" s="1647" t="str">
        <f ca="1" t="shared" si="9"/>
        <v>中煤第五建设有限公司第三工程处拟处置实物资产项目\[0000-3基础法明细表.xlsx]其他应收-其他</v>
      </c>
      <c r="D28" s="1648">
        <f>IF(D$25=H$25,0,1)</f>
        <v>0</v>
      </c>
      <c r="E28" s="1649">
        <f>其他应收总!BA9</f>
        <v>0</v>
      </c>
      <c r="F28" s="1649">
        <f>其他应收总!BB9</f>
        <v>0</v>
      </c>
      <c r="G28" s="1649">
        <f>其他应收总!BC9</f>
        <v>0</v>
      </c>
      <c r="H28" s="1649">
        <f>其他应收总!BD9</f>
        <v>0</v>
      </c>
      <c r="I28" s="1649">
        <f>其他应收总!BE9</f>
        <v>0</v>
      </c>
      <c r="J28" s="1649">
        <f>其他应收总!BF9</f>
        <v>0</v>
      </c>
      <c r="K28" s="1650">
        <f t="shared" si="8"/>
        <v>0</v>
      </c>
      <c r="L28" s="1637" t="str">
        <f t="shared" si="10"/>
        <v>隐藏</v>
      </c>
      <c r="M28" s="1637" t="s">
        <v>576</v>
      </c>
      <c r="N28" s="1637" t="e">
        <f ca="1" t="shared" si="11"/>
        <v>#REF!</v>
      </c>
      <c r="O28" s="1637" t="e">
        <f ca="1" t="shared" si="11"/>
        <v>#REF!</v>
      </c>
      <c r="P28" s="1637" t="e">
        <f ca="1" t="shared" si="12"/>
        <v>#REF!</v>
      </c>
      <c r="R28" s="1637">
        <f t="shared" si="3"/>
        <v>2</v>
      </c>
      <c r="S28" s="1654" t="s">
        <v>634</v>
      </c>
      <c r="T28" s="1654" t="s">
        <v>635</v>
      </c>
      <c r="U28" s="1637"/>
      <c r="V28" s="1637"/>
      <c r="X28" s="1637">
        <f t="shared" si="4"/>
        <v>2</v>
      </c>
      <c r="Y28" s="1654" t="s">
        <v>636</v>
      </c>
      <c r="Z28" s="1654" t="s">
        <v>637</v>
      </c>
      <c r="AA28" s="1637"/>
      <c r="AB28" s="1637"/>
      <c r="AC28" s="1637"/>
      <c r="AE28" s="1637">
        <f t="shared" si="5"/>
        <v>1</v>
      </c>
      <c r="AF28" s="1654" t="s">
        <v>638</v>
      </c>
      <c r="AG28" s="1637"/>
      <c r="AH28" s="1637"/>
      <c r="AI28" s="1637"/>
      <c r="AJ28" s="1637"/>
      <c r="AL28" s="1637">
        <f t="shared" si="1"/>
        <v>12</v>
      </c>
      <c r="AM28" s="1654" t="s">
        <v>580</v>
      </c>
      <c r="AN28" s="1637" t="s">
        <v>589</v>
      </c>
      <c r="AO28" s="1637" t="s">
        <v>582</v>
      </c>
      <c r="AP28" s="1637" t="s">
        <v>583</v>
      </c>
      <c r="AQ28" s="1637" t="s">
        <v>584</v>
      </c>
      <c r="AR28" s="1637" t="s">
        <v>639</v>
      </c>
      <c r="AS28" s="1637" t="s">
        <v>640</v>
      </c>
      <c r="AT28" s="1637" t="s">
        <v>640</v>
      </c>
      <c r="AU28" s="1637" t="s">
        <v>641</v>
      </c>
      <c r="AV28" s="1637" t="s">
        <v>642</v>
      </c>
      <c r="AW28" s="1637" t="s">
        <v>643</v>
      </c>
      <c r="AX28" s="1637" t="s">
        <v>643</v>
      </c>
      <c r="AZ28" s="1633" t="s">
        <v>619</v>
      </c>
      <c r="BA28" s="1633"/>
      <c r="BB28" s="1633" t="s">
        <v>621</v>
      </c>
    </row>
    <row r="29" s="1613" customFormat="1" spans="1:54">
      <c r="A29" s="1626">
        <f ca="1">IF(B29="","",SUBTOTAL(3,B$3:B29))</f>
        <v>27</v>
      </c>
      <c r="B29" s="1655" t="str">
        <f ca="1">CELL("filename",存货总!A1)</f>
        <v>D:\桌面\评估\评估\2025评估\中致成\中煤\报告\[104250091]中煤第五建设有限公司第三工程处拟处置实物资产项目\[0000-3基础法明细表.xlsx]存货总</v>
      </c>
      <c r="C29" s="1628" t="str">
        <f ca="1" t="shared" si="9"/>
        <v>中煤第五建设有限公司第三工程处拟处置实物资产项目\[0000-3基础法明细表.xlsx]存货总</v>
      </c>
      <c r="D29" s="1656">
        <f>IF(SUM(分类汇总!J$43,分类汇总!J$68)=0,分类汇总!H17,分类汇总!J17)</f>
        <v>0</v>
      </c>
      <c r="E29" s="1657">
        <f>SUM(E30:E40)</f>
        <v>35557.52</v>
      </c>
      <c r="F29" s="1657">
        <f>SUM(F30:F40)</f>
        <v>35557.52</v>
      </c>
      <c r="G29" s="1657">
        <f>SUM(G30:G40)</f>
        <v>0</v>
      </c>
      <c r="H29" s="1657">
        <f t="shared" si="7"/>
        <v>35557.52</v>
      </c>
      <c r="I29" s="1657">
        <f>SUM(I30:I40)</f>
        <v>2837062.634</v>
      </c>
      <c r="J29" s="1657">
        <f>SUM(J30:J40)</f>
        <v>2837062.634</v>
      </c>
      <c r="K29" s="1631">
        <f t="shared" si="8"/>
        <v>5745240.308</v>
      </c>
      <c r="L29" s="1626" t="str">
        <f t="shared" si="10"/>
        <v>显示</v>
      </c>
      <c r="M29" s="1626" t="s">
        <v>565</v>
      </c>
      <c r="N29" s="1632"/>
      <c r="O29" s="1632"/>
      <c r="P29" s="1632"/>
      <c r="R29" s="1632">
        <f t="shared" si="3"/>
        <v>0</v>
      </c>
      <c r="S29" s="1626"/>
      <c r="T29" s="1626"/>
      <c r="U29" s="1626"/>
      <c r="V29" s="1626"/>
      <c r="X29" s="1632">
        <f t="shared" si="4"/>
        <v>0</v>
      </c>
      <c r="Y29" s="1626"/>
      <c r="Z29" s="1626"/>
      <c r="AA29" s="1626"/>
      <c r="AB29" s="1626"/>
      <c r="AC29" s="1626"/>
      <c r="AE29" s="1632">
        <f t="shared" si="5"/>
        <v>0</v>
      </c>
      <c r="AF29" s="1626"/>
      <c r="AG29" s="1626"/>
      <c r="AH29" s="1626"/>
      <c r="AI29" s="1626"/>
      <c r="AJ29" s="1626"/>
      <c r="AL29" s="1632">
        <f t="shared" si="1"/>
        <v>0</v>
      </c>
      <c r="AM29" s="1626"/>
      <c r="AN29" s="1626"/>
      <c r="AO29" s="1626"/>
      <c r="AP29" s="1626"/>
      <c r="AQ29" s="1626"/>
      <c r="AR29" s="1626"/>
      <c r="AS29" s="1626"/>
      <c r="AT29" s="1626"/>
      <c r="AU29" s="1626"/>
      <c r="AV29" s="1626"/>
      <c r="AW29" s="1626"/>
      <c r="AX29" s="1626"/>
      <c r="AZ29" s="1633" t="s">
        <v>654</v>
      </c>
      <c r="BA29" s="1633"/>
      <c r="BB29" s="1633" t="s">
        <v>657</v>
      </c>
    </row>
    <row r="30" spans="1:54">
      <c r="A30" s="1637">
        <f ca="1">IF(B30="","",SUBTOTAL(3,B$3:B30))</f>
        <v>28</v>
      </c>
      <c r="B30" s="1646" t="str">
        <f ca="1">CELL("filename",'采购（在途）'!A1)</f>
        <v>D:\桌面\评估\评估\2025评估\中致成\中煤\报告\[104250091]中煤第五建设有限公司第三工程处拟处置实物资产项目\[0000-3基础法明细表.xlsx]采购（在途）</v>
      </c>
      <c r="C30" s="1647" t="str">
        <f ca="1" t="shared" si="9"/>
        <v>中煤第五建设有限公司第三工程处拟处置实物资产项目\[0000-3基础法明细表.xlsx]采购（在途）</v>
      </c>
      <c r="D30" s="1648">
        <f t="shared" ref="D30:D41" si="13">IF(D$29=H$29,0,1)</f>
        <v>1</v>
      </c>
      <c r="E30" s="1649">
        <f>存货总!BA7</f>
        <v>0</v>
      </c>
      <c r="F30" s="1649">
        <f>存货总!BB7</f>
        <v>0</v>
      </c>
      <c r="G30" s="1649">
        <f>存货总!BC7</f>
        <v>0</v>
      </c>
      <c r="H30" s="1649">
        <f>存货总!BD7</f>
        <v>0</v>
      </c>
      <c r="I30" s="1649">
        <f>存货总!BE7</f>
        <v>0</v>
      </c>
      <c r="J30" s="1649">
        <f>存货总!BF7</f>
        <v>0</v>
      </c>
      <c r="K30" s="1650">
        <f t="shared" si="8"/>
        <v>1</v>
      </c>
      <c r="L30" s="1637" t="str">
        <f t="shared" si="10"/>
        <v>显示</v>
      </c>
      <c r="M30" s="1637" t="s">
        <v>576</v>
      </c>
      <c r="N30" s="1637" t="e">
        <f ca="1" t="shared" si="11"/>
        <v>#REF!</v>
      </c>
      <c r="O30" s="1637" t="e">
        <f ca="1" t="shared" si="11"/>
        <v>#REF!</v>
      </c>
      <c r="P30" s="1637" t="e">
        <f ca="1">IF(L30="隐藏",0,IF(RIGHT($C30,1)="总","",MAX(INDIRECT("'"&amp;$C30&amp;"'!"&amp;P$1))))</f>
        <v>#REF!</v>
      </c>
      <c r="R30" s="1637">
        <f t="shared" si="3"/>
        <v>1</v>
      </c>
      <c r="S30" s="1637" t="s">
        <v>658</v>
      </c>
      <c r="T30" s="1637"/>
      <c r="U30" s="1637"/>
      <c r="V30" s="1637"/>
      <c r="X30" s="1637">
        <f t="shared" si="4"/>
        <v>2</v>
      </c>
      <c r="Y30" s="1637" t="s">
        <v>659</v>
      </c>
      <c r="Z30" s="1637" t="s">
        <v>660</v>
      </c>
      <c r="AA30" s="1637"/>
      <c r="AB30" s="1637"/>
      <c r="AC30" s="1637"/>
      <c r="AE30" s="1637">
        <f t="shared" si="5"/>
        <v>1</v>
      </c>
      <c r="AF30" s="1637" t="s">
        <v>661</v>
      </c>
      <c r="AG30" s="1637"/>
      <c r="AH30" s="1637"/>
      <c r="AI30" s="1637"/>
      <c r="AJ30" s="1637"/>
      <c r="AL30" s="1637">
        <f t="shared" si="1"/>
        <v>6</v>
      </c>
      <c r="AM30" s="1637" t="s">
        <v>580</v>
      </c>
      <c r="AN30" s="1637" t="s">
        <v>597</v>
      </c>
      <c r="AO30" s="1637" t="s">
        <v>598</v>
      </c>
      <c r="AP30" s="1637" t="s">
        <v>627</v>
      </c>
      <c r="AQ30" s="1637" t="s">
        <v>639</v>
      </c>
      <c r="AR30" s="1637" t="s">
        <v>639</v>
      </c>
      <c r="AS30" s="1637"/>
      <c r="AT30" s="1637"/>
      <c r="AU30" s="1637"/>
      <c r="AV30" s="1637"/>
      <c r="AW30" s="1637"/>
      <c r="AX30" s="1637"/>
      <c r="AZ30" s="1633" t="s">
        <v>656</v>
      </c>
      <c r="BA30" s="1633"/>
      <c r="BB30" s="1633" t="s">
        <v>662</v>
      </c>
    </row>
    <row r="31" spans="1:54">
      <c r="A31" s="1632">
        <f ca="1">IF(B31="","",SUBTOTAL(3,B$3:B31))</f>
        <v>29</v>
      </c>
      <c r="B31" s="1640" t="str">
        <f ca="1">CELL("filename",原材料!A1)</f>
        <v>D:\桌面\评估\评估\2025评估\中致成\中煤\报告\[104250091]中煤第五建设有限公司第三工程处拟处置实物资产项目\[0000-3基础法明细表.xlsx]原材料</v>
      </c>
      <c r="C31" s="1641" t="str">
        <f ca="1" t="shared" si="9"/>
        <v>中煤第五建设有限公司第三工程处拟处置实物资产项目\[0000-3基础法明细表.xlsx]原材料</v>
      </c>
      <c r="D31" s="1642">
        <f t="shared" si="13"/>
        <v>1</v>
      </c>
      <c r="E31" s="1643">
        <f>存货总!BA8</f>
        <v>0</v>
      </c>
      <c r="F31" s="1643">
        <f>存货总!BB8</f>
        <v>0</v>
      </c>
      <c r="G31" s="1643">
        <f>存货总!BC8</f>
        <v>0</v>
      </c>
      <c r="H31" s="1643">
        <f>存货总!BD8</f>
        <v>0</v>
      </c>
      <c r="I31" s="1643">
        <f>存货总!BE8</f>
        <v>0</v>
      </c>
      <c r="J31" s="1643">
        <f>存货总!BF8</f>
        <v>0</v>
      </c>
      <c r="K31" s="1644">
        <f t="shared" si="8"/>
        <v>1</v>
      </c>
      <c r="L31" s="1632" t="str">
        <f t="shared" si="10"/>
        <v>显示</v>
      </c>
      <c r="M31" s="1632" t="s">
        <v>576</v>
      </c>
      <c r="N31" s="1632" t="e">
        <f ca="1" t="shared" si="11"/>
        <v>#REF!</v>
      </c>
      <c r="O31" s="1632" t="e">
        <f ca="1" t="shared" si="11"/>
        <v>#REF!</v>
      </c>
      <c r="P31" s="1632" t="e">
        <f ca="1" t="shared" ref="P31:P41" si="14">IF(L31="隐藏",0,IF(RIGHT($C31,1)="总","",MAX(INDIRECT("'"&amp;$C31&amp;"'!"&amp;P$1))))</f>
        <v>#REF!</v>
      </c>
      <c r="R31" s="1632">
        <f t="shared" si="3"/>
        <v>1</v>
      </c>
      <c r="S31" s="1632" t="s">
        <v>663</v>
      </c>
      <c r="T31" s="1632"/>
      <c r="U31" s="1632"/>
      <c r="V31" s="1632"/>
      <c r="X31" s="1632">
        <f t="shared" si="4"/>
        <v>2</v>
      </c>
      <c r="Y31" s="1632" t="s">
        <v>664</v>
      </c>
      <c r="Z31" s="1632" t="s">
        <v>665</v>
      </c>
      <c r="AA31" s="1632"/>
      <c r="AB31" s="1632"/>
      <c r="AC31" s="1632"/>
      <c r="AE31" s="1632">
        <f t="shared" si="5"/>
        <v>1</v>
      </c>
      <c r="AF31" s="1632" t="s">
        <v>666</v>
      </c>
      <c r="AG31" s="1632"/>
      <c r="AH31" s="1632"/>
      <c r="AI31" s="1632"/>
      <c r="AJ31" s="1632"/>
      <c r="AL31" s="1632">
        <f t="shared" si="1"/>
        <v>6</v>
      </c>
      <c r="AM31" s="1632" t="s">
        <v>580</v>
      </c>
      <c r="AN31" s="1632" t="s">
        <v>582</v>
      </c>
      <c r="AO31" s="1632" t="s">
        <v>608</v>
      </c>
      <c r="AP31" s="1632" t="s">
        <v>653</v>
      </c>
      <c r="AQ31" s="1632" t="s">
        <v>640</v>
      </c>
      <c r="AR31" s="1632" t="s">
        <v>640</v>
      </c>
      <c r="AS31" s="1632"/>
      <c r="AT31" s="1632"/>
      <c r="AU31" s="1632"/>
      <c r="AV31" s="1632"/>
      <c r="AW31" s="1632"/>
      <c r="AX31" s="1632"/>
      <c r="AZ31" s="1633" t="s">
        <v>621</v>
      </c>
      <c r="BA31" s="1614"/>
      <c r="BB31" s="1633" t="s">
        <v>622</v>
      </c>
    </row>
    <row r="32" spans="1:54">
      <c r="A32" s="1637">
        <f ca="1">IF(B32="","",SUBTOTAL(3,B$3:B32))</f>
        <v>30</v>
      </c>
      <c r="B32" s="1646" t="str">
        <f ca="1">CELL("filename",在库周转!A1)</f>
        <v>D:\桌面\评估\评估\2025评估\中致成\中煤\报告\[104250091]中煤第五建设有限公司第三工程处拟处置实物资产项目\[0000-3基础法明细表.xlsx]在库周转</v>
      </c>
      <c r="C32" s="1647" t="str">
        <f ca="1" t="shared" si="9"/>
        <v>中煤第五建设有限公司第三工程处拟处置实物资产项目\[0000-3基础法明细表.xlsx]在库周转</v>
      </c>
      <c r="D32" s="1648">
        <f t="shared" si="13"/>
        <v>1</v>
      </c>
      <c r="E32" s="1649">
        <f>存货总!BA9</f>
        <v>0</v>
      </c>
      <c r="F32" s="1649">
        <f>存货总!BB9</f>
        <v>0</v>
      </c>
      <c r="G32" s="1649">
        <f>存货总!BC9</f>
        <v>0</v>
      </c>
      <c r="H32" s="1649">
        <f>存货总!BD9</f>
        <v>0</v>
      </c>
      <c r="I32" s="1649">
        <f>存货总!BE9</f>
        <v>0</v>
      </c>
      <c r="J32" s="1649">
        <f>存货总!BF9</f>
        <v>0</v>
      </c>
      <c r="K32" s="1650">
        <f t="shared" si="8"/>
        <v>1</v>
      </c>
      <c r="L32" s="1637" t="str">
        <f t="shared" si="10"/>
        <v>显示</v>
      </c>
      <c r="M32" s="1637" t="s">
        <v>576</v>
      </c>
      <c r="N32" s="1637" t="e">
        <f ca="1" t="shared" si="11"/>
        <v>#REF!</v>
      </c>
      <c r="O32" s="1637" t="e">
        <f ca="1" t="shared" si="11"/>
        <v>#REF!</v>
      </c>
      <c r="P32" s="1637" t="e">
        <f ca="1" t="shared" si="14"/>
        <v>#REF!</v>
      </c>
      <c r="R32" s="1637">
        <f t="shared" si="3"/>
        <v>1</v>
      </c>
      <c r="S32" s="1637" t="s">
        <v>663</v>
      </c>
      <c r="T32" s="1637"/>
      <c r="U32" s="1637"/>
      <c r="V32" s="1637"/>
      <c r="X32" s="1637">
        <f t="shared" si="4"/>
        <v>2</v>
      </c>
      <c r="Y32" s="1637" t="s">
        <v>664</v>
      </c>
      <c r="Z32" s="1637" t="s">
        <v>665</v>
      </c>
      <c r="AA32" s="1637"/>
      <c r="AB32" s="1637"/>
      <c r="AC32" s="1637"/>
      <c r="AE32" s="1637">
        <f t="shared" si="5"/>
        <v>1</v>
      </c>
      <c r="AF32" s="1637" t="s">
        <v>666</v>
      </c>
      <c r="AG32" s="1637"/>
      <c r="AH32" s="1637"/>
      <c r="AI32" s="1637"/>
      <c r="AJ32" s="1637"/>
      <c r="AL32" s="1637">
        <f t="shared" si="1"/>
        <v>6</v>
      </c>
      <c r="AM32" s="1637" t="s">
        <v>580</v>
      </c>
      <c r="AN32" s="1637" t="s">
        <v>582</v>
      </c>
      <c r="AO32" s="1637" t="s">
        <v>608</v>
      </c>
      <c r="AP32" s="1637" t="s">
        <v>653</v>
      </c>
      <c r="AQ32" s="1637" t="s">
        <v>640</v>
      </c>
      <c r="AR32" s="1637" t="s">
        <v>640</v>
      </c>
      <c r="AS32" s="1637"/>
      <c r="AT32" s="1637"/>
      <c r="AU32" s="1637"/>
      <c r="AV32" s="1637"/>
      <c r="AW32" s="1637"/>
      <c r="AX32" s="1637"/>
      <c r="AZ32" s="1633" t="s">
        <v>657</v>
      </c>
      <c r="BA32" s="1614"/>
      <c r="BB32" s="1633" t="s">
        <v>667</v>
      </c>
    </row>
    <row r="33" spans="1:54">
      <c r="A33" s="1632">
        <f ca="1">IF(B33="","",SUBTOTAL(3,B$3:B33))</f>
        <v>31</v>
      </c>
      <c r="B33" s="1640" t="str">
        <f ca="1">CELL("filename",委托加工!A1)</f>
        <v>D:\桌面\评估\评估\2025评估\中致成\中煤\报告\[104250091]中煤第五建设有限公司第三工程处拟处置实物资产项目\[0000-3基础法明细表.xlsx]委托加工</v>
      </c>
      <c r="C33" s="1641" t="str">
        <f ca="1" t="shared" si="9"/>
        <v>中煤第五建设有限公司第三工程处拟处置实物资产项目\[0000-3基础法明细表.xlsx]委托加工</v>
      </c>
      <c r="D33" s="1642">
        <f t="shared" si="13"/>
        <v>1</v>
      </c>
      <c r="E33" s="1643">
        <f>存货总!BA10</f>
        <v>0</v>
      </c>
      <c r="F33" s="1643">
        <f>存货总!BB10</f>
        <v>0</v>
      </c>
      <c r="G33" s="1643">
        <f>存货总!BC10</f>
        <v>0</v>
      </c>
      <c r="H33" s="1643">
        <f>存货总!BD10</f>
        <v>0</v>
      </c>
      <c r="I33" s="1643">
        <f>存货总!BE10</f>
        <v>0</v>
      </c>
      <c r="J33" s="1643">
        <f>存货总!BF10</f>
        <v>0</v>
      </c>
      <c r="K33" s="1644">
        <f t="shared" si="8"/>
        <v>1</v>
      </c>
      <c r="L33" s="1632" t="str">
        <f t="shared" si="10"/>
        <v>显示</v>
      </c>
      <c r="M33" s="1632" t="s">
        <v>576</v>
      </c>
      <c r="N33" s="1632" t="e">
        <f ca="1" t="shared" si="11"/>
        <v>#REF!</v>
      </c>
      <c r="O33" s="1632" t="e">
        <f ca="1" t="shared" si="11"/>
        <v>#REF!</v>
      </c>
      <c r="P33" s="1632" t="e">
        <f ca="1" t="shared" si="14"/>
        <v>#REF!</v>
      </c>
      <c r="R33" s="1632">
        <f t="shared" si="3"/>
        <v>1</v>
      </c>
      <c r="S33" s="1632" t="s">
        <v>668</v>
      </c>
      <c r="T33" s="1632"/>
      <c r="U33" s="1632"/>
      <c r="V33" s="1632"/>
      <c r="X33" s="1632">
        <f t="shared" si="4"/>
        <v>2</v>
      </c>
      <c r="Y33" s="1632" t="s">
        <v>669</v>
      </c>
      <c r="Z33" s="1632" t="s">
        <v>670</v>
      </c>
      <c r="AA33" s="1632"/>
      <c r="AB33" s="1632"/>
      <c r="AC33" s="1632"/>
      <c r="AE33" s="1632">
        <f t="shared" si="5"/>
        <v>1</v>
      </c>
      <c r="AF33" s="1632" t="s">
        <v>671</v>
      </c>
      <c r="AG33" s="1632"/>
      <c r="AH33" s="1632"/>
      <c r="AI33" s="1632"/>
      <c r="AJ33" s="1632"/>
      <c r="AL33" s="1632">
        <f t="shared" si="1"/>
        <v>6</v>
      </c>
      <c r="AM33" s="1632" t="s">
        <v>580</v>
      </c>
      <c r="AN33" s="1632" t="s">
        <v>582</v>
      </c>
      <c r="AO33" s="1632" t="s">
        <v>608</v>
      </c>
      <c r="AP33" s="1632" t="s">
        <v>672</v>
      </c>
      <c r="AQ33" s="1632" t="s">
        <v>673</v>
      </c>
      <c r="AR33" s="1632" t="s">
        <v>673</v>
      </c>
      <c r="AS33" s="1632"/>
      <c r="AT33" s="1632"/>
      <c r="AU33" s="1632"/>
      <c r="AV33" s="1632"/>
      <c r="AW33" s="1632"/>
      <c r="AX33" s="1632"/>
      <c r="AZ33" s="1633" t="s">
        <v>662</v>
      </c>
      <c r="BA33" s="1614"/>
      <c r="BB33" s="1658" t="s">
        <v>674</v>
      </c>
    </row>
    <row r="34" spans="1:54">
      <c r="A34" s="1637">
        <f ca="1">IF(B34="","",SUBTOTAL(3,B$3:B34))</f>
        <v>32</v>
      </c>
      <c r="B34" s="1646" t="str">
        <f ca="1">CELL("filename",'产成品（商品）'!A1)</f>
        <v>D:\桌面\评估\评估\2025评估\中致成\中煤\报告\[104250091]中煤第五建设有限公司第三工程处拟处置实物资产项目\[0000-3基础法明细表.xlsx]产成品（商品）</v>
      </c>
      <c r="C34" s="1647" t="str">
        <f ca="1" t="shared" si="9"/>
        <v>中煤第五建设有限公司第三工程处拟处置实物资产项目\[0000-3基础法明细表.xlsx]产成品（商品）</v>
      </c>
      <c r="D34" s="1648">
        <f t="shared" si="13"/>
        <v>1</v>
      </c>
      <c r="E34" s="1649">
        <f>存货总!BA11</f>
        <v>0</v>
      </c>
      <c r="F34" s="1649">
        <f>存货总!BB11</f>
        <v>0</v>
      </c>
      <c r="G34" s="1649">
        <f>存货总!BC11</f>
        <v>0</v>
      </c>
      <c r="H34" s="1649">
        <f>存货总!BD11</f>
        <v>0</v>
      </c>
      <c r="I34" s="1649">
        <f>存货总!BE11</f>
        <v>0</v>
      </c>
      <c r="J34" s="1649">
        <f>存货总!BF11</f>
        <v>0</v>
      </c>
      <c r="K34" s="1650">
        <f t="shared" si="8"/>
        <v>1</v>
      </c>
      <c r="L34" s="1637" t="str">
        <f t="shared" si="10"/>
        <v>显示</v>
      </c>
      <c r="M34" s="1637" t="s">
        <v>576</v>
      </c>
      <c r="N34" s="1637" t="e">
        <f ca="1" t="shared" si="11"/>
        <v>#REF!</v>
      </c>
      <c r="O34" s="1637" t="e">
        <f ca="1" t="shared" si="11"/>
        <v>#REF!</v>
      </c>
      <c r="P34" s="1637" t="e">
        <f ca="1" t="shared" si="14"/>
        <v>#REF!</v>
      </c>
      <c r="R34" s="1637">
        <f t="shared" si="3"/>
        <v>1</v>
      </c>
      <c r="S34" s="1637" t="s">
        <v>675</v>
      </c>
      <c r="T34" s="1637"/>
      <c r="U34" s="1637"/>
      <c r="V34" s="1637"/>
      <c r="X34" s="1637">
        <f t="shared" si="4"/>
        <v>2</v>
      </c>
      <c r="Y34" s="1637" t="s">
        <v>676</v>
      </c>
      <c r="Z34" s="1637" t="s">
        <v>677</v>
      </c>
      <c r="AA34" s="1637"/>
      <c r="AB34" s="1637"/>
      <c r="AC34" s="1637"/>
      <c r="AE34" s="1637">
        <f t="shared" si="5"/>
        <v>1</v>
      </c>
      <c r="AF34" s="1637" t="s">
        <v>678</v>
      </c>
      <c r="AG34" s="1637"/>
      <c r="AH34" s="1637"/>
      <c r="AI34" s="1637"/>
      <c r="AJ34" s="1637"/>
      <c r="AL34" s="1637">
        <f t="shared" si="1"/>
        <v>8</v>
      </c>
      <c r="AM34" s="1637" t="s">
        <v>580</v>
      </c>
      <c r="AN34" s="1637" t="s">
        <v>581</v>
      </c>
      <c r="AO34" s="1637" t="s">
        <v>597</v>
      </c>
      <c r="AP34" s="1637" t="s">
        <v>590</v>
      </c>
      <c r="AQ34" s="1637" t="s">
        <v>584</v>
      </c>
      <c r="AR34" s="1637" t="s">
        <v>609</v>
      </c>
      <c r="AS34" s="1637" t="s">
        <v>679</v>
      </c>
      <c r="AT34" s="1637" t="s">
        <v>641</v>
      </c>
      <c r="AU34" s="1637"/>
      <c r="AV34" s="1637"/>
      <c r="AW34" s="1637"/>
      <c r="AX34" s="1637"/>
      <c r="AZ34" s="1633" t="s">
        <v>622</v>
      </c>
      <c r="BA34" s="1614"/>
      <c r="BB34" s="1633"/>
    </row>
    <row r="35" spans="1:54">
      <c r="A35" s="1632">
        <f ca="1">IF(B35="","",SUBTOTAL(3,B$3:B35))</f>
        <v>33</v>
      </c>
      <c r="B35" s="1640" t="str">
        <f ca="1">CELL("filename",'在产品（半成品）'!A1)</f>
        <v>D:\桌面\评估\评估\2025评估\中致成\中煤\报告\[104250091]中煤第五建设有限公司第三工程处拟处置实物资产项目\[0000-3基础法明细表.xlsx]在产品（半成品）</v>
      </c>
      <c r="C35" s="1641" t="str">
        <f ca="1" t="shared" si="9"/>
        <v>中煤第五建设有限公司第三工程处拟处置实物资产项目\[0000-3基础法明细表.xlsx]在产品（半成品）</v>
      </c>
      <c r="D35" s="1642">
        <f t="shared" si="13"/>
        <v>1</v>
      </c>
      <c r="E35" s="1643">
        <f>存货总!BA12</f>
        <v>0</v>
      </c>
      <c r="F35" s="1643">
        <f>存货总!BB12</f>
        <v>0</v>
      </c>
      <c r="G35" s="1643">
        <f>存货总!BC12</f>
        <v>0</v>
      </c>
      <c r="H35" s="1643">
        <f>存货总!BD12</f>
        <v>0</v>
      </c>
      <c r="I35" s="1643">
        <f>存货总!BE12</f>
        <v>0</v>
      </c>
      <c r="J35" s="1643">
        <f>存货总!BF12</f>
        <v>0</v>
      </c>
      <c r="K35" s="1644">
        <f t="shared" si="8"/>
        <v>1</v>
      </c>
      <c r="L35" s="1632" t="str">
        <f t="shared" si="10"/>
        <v>显示</v>
      </c>
      <c r="M35" s="1632" t="s">
        <v>576</v>
      </c>
      <c r="N35" s="1632" t="e">
        <f ca="1" t="shared" si="11"/>
        <v>#REF!</v>
      </c>
      <c r="O35" s="1632" t="e">
        <f ca="1" t="shared" si="11"/>
        <v>#REF!</v>
      </c>
      <c r="P35" s="1632" t="e">
        <f ca="1" t="shared" si="14"/>
        <v>#REF!</v>
      </c>
      <c r="R35" s="1632">
        <f t="shared" si="3"/>
        <v>1</v>
      </c>
      <c r="S35" s="1632" t="s">
        <v>675</v>
      </c>
      <c r="T35" s="1632"/>
      <c r="U35" s="1632"/>
      <c r="V35" s="1632"/>
      <c r="X35" s="1632">
        <f t="shared" si="4"/>
        <v>2</v>
      </c>
      <c r="Y35" s="1632" t="s">
        <v>676</v>
      </c>
      <c r="Z35" s="1632" t="s">
        <v>677</v>
      </c>
      <c r="AA35" s="1632"/>
      <c r="AB35" s="1632"/>
      <c r="AC35" s="1632"/>
      <c r="AE35" s="1632">
        <f t="shared" si="5"/>
        <v>1</v>
      </c>
      <c r="AF35" s="1632" t="s">
        <v>678</v>
      </c>
      <c r="AG35" s="1632"/>
      <c r="AH35" s="1632"/>
      <c r="AI35" s="1632"/>
      <c r="AJ35" s="1632"/>
      <c r="AL35" s="1632">
        <f t="shared" ref="AL35:AL66" si="15">COUNTA(AM35:AX35)</f>
        <v>10</v>
      </c>
      <c r="AM35" s="1632" t="s">
        <v>580</v>
      </c>
      <c r="AN35" s="1632" t="s">
        <v>581</v>
      </c>
      <c r="AO35" s="1632" t="s">
        <v>597</v>
      </c>
      <c r="AP35" s="1632" t="s">
        <v>597</v>
      </c>
      <c r="AQ35" s="1632" t="s">
        <v>590</v>
      </c>
      <c r="AR35" s="1632" t="s">
        <v>590</v>
      </c>
      <c r="AS35" s="1632" t="s">
        <v>584</v>
      </c>
      <c r="AT35" s="1632" t="s">
        <v>609</v>
      </c>
      <c r="AU35" s="1632" t="s">
        <v>679</v>
      </c>
      <c r="AV35" s="1632" t="s">
        <v>679</v>
      </c>
      <c r="AW35" s="1632"/>
      <c r="AX35" s="1632"/>
      <c r="AZ35" s="1633" t="s">
        <v>667</v>
      </c>
      <c r="BA35" s="1614"/>
    </row>
    <row r="36" spans="1:54">
      <c r="A36" s="1637">
        <f ca="1">IF(B36="","",SUBTOTAL(3,B$3:B36))</f>
        <v>34</v>
      </c>
      <c r="B36" s="1646" t="str">
        <f ca="1">CELL("filename",发出商品!A1)</f>
        <v>D:\桌面\评估\评估\2025评估\中致成\中煤\报告\[104250091]中煤第五建设有限公司第三工程处拟处置实物资产项目\[0000-3基础法明细表.xlsx]发出商品</v>
      </c>
      <c r="C36" s="1647" t="str">
        <f ca="1" t="shared" si="9"/>
        <v>中煤第五建设有限公司第三工程处拟处置实物资产项目\[0000-3基础法明细表.xlsx]发出商品</v>
      </c>
      <c r="D36" s="1648">
        <f t="shared" si="13"/>
        <v>1</v>
      </c>
      <c r="E36" s="1649">
        <f>存货总!BA13</f>
        <v>0</v>
      </c>
      <c r="F36" s="1649">
        <f>存货总!BB13</f>
        <v>0</v>
      </c>
      <c r="G36" s="1649">
        <f>存货总!BC13</f>
        <v>0</v>
      </c>
      <c r="H36" s="1649">
        <f>存货总!BD13</f>
        <v>0</v>
      </c>
      <c r="I36" s="1649">
        <f>存货总!BE13</f>
        <v>0</v>
      </c>
      <c r="J36" s="1649">
        <f>存货总!BF13</f>
        <v>0</v>
      </c>
      <c r="K36" s="1650">
        <f t="shared" si="8"/>
        <v>1</v>
      </c>
      <c r="L36" s="1637" t="str">
        <f t="shared" si="10"/>
        <v>显示</v>
      </c>
      <c r="M36" s="1637" t="s">
        <v>576</v>
      </c>
      <c r="N36" s="1637" t="e">
        <f ca="1" t="shared" si="11"/>
        <v>#REF!</v>
      </c>
      <c r="O36" s="1637" t="e">
        <f ca="1" t="shared" si="11"/>
        <v>#REF!</v>
      </c>
      <c r="P36" s="1637" t="e">
        <f ca="1" t="shared" si="14"/>
        <v>#REF!</v>
      </c>
      <c r="R36" s="1637">
        <f t="shared" si="3"/>
        <v>1</v>
      </c>
      <c r="S36" s="1637" t="s">
        <v>680</v>
      </c>
      <c r="T36" s="1637"/>
      <c r="U36" s="1637"/>
      <c r="V36" s="1637"/>
      <c r="X36" s="1637">
        <f t="shared" si="4"/>
        <v>2</v>
      </c>
      <c r="Y36" s="1637" t="s">
        <v>681</v>
      </c>
      <c r="Z36" s="1637" t="s">
        <v>665</v>
      </c>
      <c r="AA36" s="1637"/>
      <c r="AB36" s="1637"/>
      <c r="AC36" s="1637"/>
      <c r="AE36" s="1637">
        <f t="shared" si="5"/>
        <v>1</v>
      </c>
      <c r="AF36" s="1637" t="s">
        <v>682</v>
      </c>
      <c r="AG36" s="1637"/>
      <c r="AH36" s="1637"/>
      <c r="AI36" s="1637"/>
      <c r="AJ36" s="1637"/>
      <c r="AL36" s="1637">
        <f t="shared" si="15"/>
        <v>8</v>
      </c>
      <c r="AM36" s="1637" t="s">
        <v>580</v>
      </c>
      <c r="AN36" s="1637" t="s">
        <v>589</v>
      </c>
      <c r="AO36" s="1637" t="s">
        <v>583</v>
      </c>
      <c r="AP36" s="1637" t="s">
        <v>583</v>
      </c>
      <c r="AQ36" s="1637" t="s">
        <v>614</v>
      </c>
      <c r="AR36" s="1637" t="s">
        <v>653</v>
      </c>
      <c r="AS36" s="1637" t="s">
        <v>640</v>
      </c>
      <c r="AT36" s="1637" t="s">
        <v>640</v>
      </c>
      <c r="AU36" s="1637"/>
      <c r="AV36" s="1637"/>
      <c r="AW36" s="1637"/>
      <c r="AX36" s="1637"/>
      <c r="AZ36" s="1633" t="s">
        <v>674</v>
      </c>
      <c r="BA36" s="1614"/>
    </row>
    <row r="37" spans="1:54">
      <c r="A37" s="1632">
        <f ca="1">IF(B37="","",SUBTOTAL(3,B$3:B37))</f>
        <v>35</v>
      </c>
      <c r="B37" s="1640" t="str">
        <f ca="1">CELL("filename",在用周转!A1)</f>
        <v>D:\桌面\评估\评估\2025评估\中致成\中煤\报告\[104250091]中煤第五建设有限公司第三工程处拟处置实物资产项目\[0000-3基础法明细表.xlsx]在用周转</v>
      </c>
      <c r="C37" s="1641" t="str">
        <f ca="1" t="shared" si="9"/>
        <v>中煤第五建设有限公司第三工程处拟处置实物资产项目\[0000-3基础法明细表.xlsx]在用周转</v>
      </c>
      <c r="D37" s="1642">
        <f t="shared" si="13"/>
        <v>1</v>
      </c>
      <c r="E37" s="1643">
        <f>存货总!BA14</f>
        <v>35557.52</v>
      </c>
      <c r="F37" s="1643">
        <f>存货总!BB14</f>
        <v>35557.52</v>
      </c>
      <c r="G37" s="1643">
        <f>存货总!BC14</f>
        <v>0</v>
      </c>
      <c r="H37" s="1643">
        <f>存货总!BD14</f>
        <v>35557.52</v>
      </c>
      <c r="I37" s="1643">
        <f>存货总!BE14</f>
        <v>2837062.634</v>
      </c>
      <c r="J37" s="1643">
        <f>存货总!BF14</f>
        <v>2837062.634</v>
      </c>
      <c r="K37" s="1644">
        <f t="shared" si="8"/>
        <v>5745241.308</v>
      </c>
      <c r="L37" s="1632" t="str">
        <f t="shared" si="10"/>
        <v>显示</v>
      </c>
      <c r="M37" s="1632" t="s">
        <v>576</v>
      </c>
      <c r="N37" s="1632" t="e">
        <f ca="1" t="shared" si="11"/>
        <v>#REF!</v>
      </c>
      <c r="O37" s="1632" t="e">
        <f ca="1" t="shared" si="11"/>
        <v>#REF!</v>
      </c>
      <c r="P37" s="1632" t="e">
        <f ca="1" t="shared" si="14"/>
        <v>#REF!</v>
      </c>
      <c r="R37" s="1632">
        <f t="shared" si="3"/>
        <v>1</v>
      </c>
      <c r="S37" s="1632" t="s">
        <v>668</v>
      </c>
      <c r="T37" s="1632"/>
      <c r="U37" s="1632"/>
      <c r="V37" s="1632"/>
      <c r="X37" s="1632">
        <f t="shared" si="4"/>
        <v>2</v>
      </c>
      <c r="Y37" s="1632" t="s">
        <v>683</v>
      </c>
      <c r="Z37" s="1632" t="s">
        <v>684</v>
      </c>
      <c r="AA37" s="1632"/>
      <c r="AB37" s="1632"/>
      <c r="AC37" s="1632"/>
      <c r="AE37" s="1632">
        <f t="shared" si="5"/>
        <v>1</v>
      </c>
      <c r="AF37" s="1632" t="s">
        <v>685</v>
      </c>
      <c r="AG37" s="1632"/>
      <c r="AH37" s="1632"/>
      <c r="AI37" s="1632"/>
      <c r="AJ37" s="1632"/>
      <c r="AL37" s="1632">
        <f t="shared" si="15"/>
        <v>6</v>
      </c>
      <c r="AM37" s="1632" t="s">
        <v>580</v>
      </c>
      <c r="AN37" s="1632" t="s">
        <v>583</v>
      </c>
      <c r="AO37" s="1632" t="s">
        <v>614</v>
      </c>
      <c r="AP37" s="1632" t="s">
        <v>672</v>
      </c>
      <c r="AQ37" s="1632" t="s">
        <v>673</v>
      </c>
      <c r="AR37" s="1632" t="s">
        <v>673</v>
      </c>
      <c r="AS37" s="1632"/>
      <c r="AT37" s="1632"/>
      <c r="AU37" s="1632"/>
      <c r="AV37" s="1632"/>
      <c r="AW37" s="1632"/>
      <c r="AX37" s="1632"/>
      <c r="AZ37" s="1633"/>
      <c r="BA37" s="1614"/>
    </row>
    <row r="38" spans="1:54">
      <c r="A38" s="1637">
        <f ca="1">IF(B38="","",SUBTOTAL(3,B$3:B38))</f>
        <v>36</v>
      </c>
      <c r="B38" s="1646" t="str">
        <f ca="1">CELL("filename",开发产品!A1)</f>
        <v>D:\桌面\评估\评估\2025评估\中致成\中煤\报告\[104250091]中煤第五建设有限公司第三工程处拟处置实物资产项目\[0000-3基础法明细表.xlsx]开发产品</v>
      </c>
      <c r="C38" s="1647" t="str">
        <f ca="1" t="shared" si="9"/>
        <v>中煤第五建设有限公司第三工程处拟处置实物资产项目\[0000-3基础法明细表.xlsx]开发产品</v>
      </c>
      <c r="D38" s="1648">
        <f t="shared" si="13"/>
        <v>1</v>
      </c>
      <c r="E38" s="1649">
        <f>存货总!BA15</f>
        <v>0</v>
      </c>
      <c r="F38" s="1649">
        <f>存货总!BB15</f>
        <v>0</v>
      </c>
      <c r="G38" s="1649">
        <f>存货总!BC15</f>
        <v>0</v>
      </c>
      <c r="H38" s="1649">
        <f>存货总!BD15</f>
        <v>0</v>
      </c>
      <c r="I38" s="1649">
        <f>存货总!BE15</f>
        <v>0</v>
      </c>
      <c r="J38" s="1649">
        <f>存货总!BF15</f>
        <v>0</v>
      </c>
      <c r="K38" s="1650">
        <f t="shared" si="8"/>
        <v>1</v>
      </c>
      <c r="L38" s="1637" t="str">
        <f t="shared" si="10"/>
        <v>显示</v>
      </c>
      <c r="M38" s="1637" t="s">
        <v>576</v>
      </c>
      <c r="N38" s="1637" t="e">
        <f ca="1" t="shared" si="11"/>
        <v>#REF!</v>
      </c>
      <c r="O38" s="1637" t="e">
        <f ca="1" t="shared" si="11"/>
        <v>#REF!</v>
      </c>
      <c r="P38" s="1637" t="e">
        <f ca="1" t="shared" si="14"/>
        <v>#REF!</v>
      </c>
      <c r="R38" s="1637">
        <f t="shared" si="3"/>
        <v>3</v>
      </c>
      <c r="S38" s="1637" t="s">
        <v>686</v>
      </c>
      <c r="T38" s="1637" t="s">
        <v>687</v>
      </c>
      <c r="U38" s="1637" t="s">
        <v>688</v>
      </c>
      <c r="V38" s="1637"/>
      <c r="X38" s="1637">
        <f t="shared" si="4"/>
        <v>3</v>
      </c>
      <c r="Y38" s="1637" t="s">
        <v>686</v>
      </c>
      <c r="Z38" s="1659" t="s">
        <v>689</v>
      </c>
      <c r="AA38" s="1637" t="s">
        <v>690</v>
      </c>
      <c r="AB38" s="1637"/>
      <c r="AC38" s="1637"/>
      <c r="AE38" s="1637">
        <f t="shared" si="5"/>
        <v>2</v>
      </c>
      <c r="AF38" s="1637" t="s">
        <v>686</v>
      </c>
      <c r="AG38" s="1637" t="s">
        <v>691</v>
      </c>
      <c r="AH38" s="1637"/>
      <c r="AI38" s="1637"/>
      <c r="AJ38" s="1637"/>
      <c r="AL38" s="1637">
        <f t="shared" si="15"/>
        <v>8</v>
      </c>
      <c r="AM38" s="1637" t="s">
        <v>580</v>
      </c>
      <c r="AN38" s="1637" t="s">
        <v>627</v>
      </c>
      <c r="AO38" s="1637" t="s">
        <v>692</v>
      </c>
      <c r="AP38" s="1637" t="s">
        <v>673</v>
      </c>
      <c r="AQ38" s="1637" t="s">
        <v>679</v>
      </c>
      <c r="AR38" s="1637" t="s">
        <v>643</v>
      </c>
      <c r="AS38" s="1637" t="s">
        <v>693</v>
      </c>
      <c r="AT38" s="1637" t="s">
        <v>693</v>
      </c>
      <c r="AU38" s="1637"/>
      <c r="AV38" s="1637"/>
      <c r="AW38" s="1637"/>
      <c r="AX38" s="1637"/>
    </row>
    <row r="39" spans="1:54">
      <c r="A39" s="1632">
        <f ca="1">IF(B39="","",SUBTOTAL(3,B$3:B39))</f>
        <v>37</v>
      </c>
      <c r="B39" s="1640" t="str">
        <f ca="1">CELL("filename",出租开发产品!A1)</f>
        <v>D:\桌面\评估\评估\2025评估\中致成\中煤\报告\[104250091]中煤第五建设有限公司第三工程处拟处置实物资产项目\[0000-3基础法明细表.xlsx]出租开发产品</v>
      </c>
      <c r="C39" s="1641" t="str">
        <f ca="1" t="shared" si="9"/>
        <v>中煤第五建设有限公司第三工程处拟处置实物资产项目\[0000-3基础法明细表.xlsx]出租开发产品</v>
      </c>
      <c r="D39" s="1642">
        <f t="shared" si="13"/>
        <v>1</v>
      </c>
      <c r="E39" s="1643">
        <f>存货总!BA16</f>
        <v>0</v>
      </c>
      <c r="F39" s="1643">
        <f>存货总!BB16</f>
        <v>0</v>
      </c>
      <c r="G39" s="1643">
        <f>存货总!BC16</f>
        <v>0</v>
      </c>
      <c r="H39" s="1643">
        <f>存货总!BD16</f>
        <v>0</v>
      </c>
      <c r="I39" s="1643">
        <f>存货总!BE16</f>
        <v>0</v>
      </c>
      <c r="J39" s="1643">
        <f>存货总!BF16</f>
        <v>0</v>
      </c>
      <c r="K39" s="1644">
        <f t="shared" si="8"/>
        <v>1</v>
      </c>
      <c r="L39" s="1632" t="str">
        <f t="shared" si="10"/>
        <v>显示</v>
      </c>
      <c r="M39" s="1632" t="s">
        <v>576</v>
      </c>
      <c r="N39" s="1632" t="e">
        <f ca="1" t="shared" si="11"/>
        <v>#REF!</v>
      </c>
      <c r="O39" s="1632" t="e">
        <f ca="1" t="shared" si="11"/>
        <v>#REF!</v>
      </c>
      <c r="P39" s="1632" t="e">
        <f ca="1" t="shared" si="14"/>
        <v>#REF!</v>
      </c>
      <c r="R39" s="1632">
        <f t="shared" si="3"/>
        <v>3</v>
      </c>
      <c r="S39" s="1632" t="s">
        <v>686</v>
      </c>
      <c r="T39" s="1632" t="s">
        <v>658</v>
      </c>
      <c r="U39" s="1632" t="s">
        <v>694</v>
      </c>
      <c r="V39" s="1632"/>
      <c r="X39" s="1632">
        <f t="shared" si="4"/>
        <v>4</v>
      </c>
      <c r="Y39" s="1632" t="s">
        <v>686</v>
      </c>
      <c r="Z39" s="1660" t="s">
        <v>658</v>
      </c>
      <c r="AA39" s="1632" t="s">
        <v>695</v>
      </c>
      <c r="AB39" s="1632" t="s">
        <v>696</v>
      </c>
      <c r="AC39" s="1632"/>
      <c r="AE39" s="1632">
        <f t="shared" si="5"/>
        <v>2</v>
      </c>
      <c r="AF39" s="1632" t="s">
        <v>686</v>
      </c>
      <c r="AG39" s="1632" t="s">
        <v>697</v>
      </c>
      <c r="AH39" s="1632"/>
      <c r="AI39" s="1632"/>
      <c r="AJ39" s="1632"/>
      <c r="AL39" s="1632">
        <f t="shared" si="15"/>
        <v>6</v>
      </c>
      <c r="AM39" s="1632" t="s">
        <v>580</v>
      </c>
      <c r="AN39" s="1632" t="s">
        <v>639</v>
      </c>
      <c r="AO39" s="1632" t="s">
        <v>642</v>
      </c>
      <c r="AP39" s="1632" t="s">
        <v>698</v>
      </c>
      <c r="AQ39" s="1632" t="s">
        <v>699</v>
      </c>
      <c r="AR39" s="1632" t="s">
        <v>699</v>
      </c>
      <c r="AS39" s="1632"/>
      <c r="AT39" s="1632"/>
      <c r="AU39" s="1632"/>
      <c r="AV39" s="1632"/>
      <c r="AW39" s="1632"/>
      <c r="AX39" s="1632"/>
    </row>
    <row r="40" spans="1:54">
      <c r="A40" s="1637">
        <f ca="1">IF(B40="","",SUBTOTAL(3,B$3:B40))</f>
        <v>38</v>
      </c>
      <c r="B40" s="1646" t="str">
        <f ca="1">CELL("filename",开发成本!A1)</f>
        <v>D:\桌面\评估\评估\2025评估\中致成\中煤\报告\[104250091]中煤第五建设有限公司第三工程处拟处置实物资产项目\[0000-3基础法明细表.xlsx]开发成本</v>
      </c>
      <c r="C40" s="1647" t="str">
        <f ca="1" t="shared" si="9"/>
        <v>中煤第五建设有限公司第三工程处拟处置实物资产项目\[0000-3基础法明细表.xlsx]开发成本</v>
      </c>
      <c r="D40" s="1648">
        <f t="shared" si="13"/>
        <v>1</v>
      </c>
      <c r="E40" s="1649">
        <f>存货总!BA17</f>
        <v>0</v>
      </c>
      <c r="F40" s="1649">
        <f>存货总!BB17</f>
        <v>0</v>
      </c>
      <c r="G40" s="1649">
        <f>存货总!BC17</f>
        <v>0</v>
      </c>
      <c r="H40" s="1649">
        <f>存货总!BD17</f>
        <v>0</v>
      </c>
      <c r="I40" s="1649">
        <f>存货总!BE17</f>
        <v>0</v>
      </c>
      <c r="J40" s="1649">
        <f>存货总!BF17</f>
        <v>0</v>
      </c>
      <c r="K40" s="1650">
        <f t="shared" si="8"/>
        <v>1</v>
      </c>
      <c r="L40" s="1637" t="str">
        <f t="shared" si="10"/>
        <v>显示</v>
      </c>
      <c r="M40" s="1637" t="s">
        <v>576</v>
      </c>
      <c r="N40" s="1637" t="e">
        <f ca="1" t="shared" si="11"/>
        <v>#REF!</v>
      </c>
      <c r="O40" s="1637" t="e">
        <f ca="1" t="shared" si="11"/>
        <v>#REF!</v>
      </c>
      <c r="P40" s="1637" t="e">
        <f ca="1" t="shared" si="14"/>
        <v>#REF!</v>
      </c>
      <c r="R40" s="1637">
        <f t="shared" si="3"/>
        <v>3</v>
      </c>
      <c r="S40" s="1637" t="s">
        <v>686</v>
      </c>
      <c r="T40" s="1637" t="s">
        <v>687</v>
      </c>
      <c r="U40" s="1637" t="s">
        <v>688</v>
      </c>
      <c r="V40" s="1637"/>
      <c r="X40" s="1637">
        <f t="shared" si="4"/>
        <v>3</v>
      </c>
      <c r="Y40" s="1637" t="s">
        <v>686</v>
      </c>
      <c r="Z40" s="1659" t="s">
        <v>689</v>
      </c>
      <c r="AA40" s="1637" t="s">
        <v>690</v>
      </c>
      <c r="AB40" s="1637"/>
      <c r="AC40" s="1637"/>
      <c r="AE40" s="1637">
        <f t="shared" si="5"/>
        <v>2</v>
      </c>
      <c r="AF40" s="1637" t="s">
        <v>686</v>
      </c>
      <c r="AG40" s="1637" t="s">
        <v>691</v>
      </c>
      <c r="AH40" s="1637"/>
      <c r="AI40" s="1637"/>
      <c r="AJ40" s="1637"/>
      <c r="AL40" s="1637">
        <f t="shared" si="15"/>
        <v>8</v>
      </c>
      <c r="AM40" s="1637" t="s">
        <v>580</v>
      </c>
      <c r="AN40" s="1637" t="s">
        <v>627</v>
      </c>
      <c r="AO40" s="1637" t="s">
        <v>692</v>
      </c>
      <c r="AP40" s="1637" t="s">
        <v>673</v>
      </c>
      <c r="AQ40" s="1637" t="s">
        <v>679</v>
      </c>
      <c r="AR40" s="1637" t="s">
        <v>643</v>
      </c>
      <c r="AS40" s="1637" t="s">
        <v>693</v>
      </c>
      <c r="AT40" s="1637" t="s">
        <v>693</v>
      </c>
      <c r="AU40" s="1637"/>
      <c r="AV40" s="1637"/>
      <c r="AW40" s="1637"/>
      <c r="AX40" s="1637"/>
    </row>
    <row r="41" spans="1:54">
      <c r="A41" s="1632">
        <f ca="1">IF(B41="","",SUBTOTAL(3,B$3:B41))</f>
        <v>39</v>
      </c>
      <c r="B41" s="1640" t="str">
        <f ca="1">CELL("filename",未完施工!A2)</f>
        <v>D:\桌面\评估\评估\2025评估\中致成\中煤\报告\[104250091]中煤第五建设有限公司第三工程处拟处置实物资产项目\[0000-3基础法明细表.xlsx]未完施工</v>
      </c>
      <c r="C41" s="1641" t="str">
        <f ca="1" t="shared" si="9"/>
        <v>中煤第五建设有限公司第三工程处拟处置实物资产项目\[0000-3基础法明细表.xlsx]未完施工</v>
      </c>
      <c r="D41" s="1642">
        <f t="shared" si="13"/>
        <v>1</v>
      </c>
      <c r="E41" s="1643">
        <f>存货总!BA18</f>
        <v>0</v>
      </c>
      <c r="F41" s="1643">
        <f>存货总!BB18</f>
        <v>0</v>
      </c>
      <c r="G41" s="1643">
        <f>存货总!BC18</f>
        <v>0</v>
      </c>
      <c r="H41" s="1643">
        <f>存货总!BD18</f>
        <v>0</v>
      </c>
      <c r="I41" s="1643">
        <f>存货总!BE18</f>
        <v>0</v>
      </c>
      <c r="J41" s="1643">
        <f>存货总!BF18</f>
        <v>0</v>
      </c>
      <c r="K41" s="1644">
        <f t="shared" si="8"/>
        <v>1</v>
      </c>
      <c r="L41" s="1632" t="str">
        <f t="shared" si="10"/>
        <v>显示</v>
      </c>
      <c r="M41" s="1632" t="s">
        <v>576</v>
      </c>
      <c r="N41" s="1632" t="e">
        <f ca="1" t="shared" ref="N41:O41" si="16">IF(RIGHT($C41,1)="总","",INDIRECT("'"&amp;$C41&amp;"'!"&amp;N$1))</f>
        <v>#REF!</v>
      </c>
      <c r="O41" s="1632" t="e">
        <f ca="1" t="shared" si="16"/>
        <v>#REF!</v>
      </c>
      <c r="P41" s="1632" t="e">
        <f ca="1" t="shared" si="14"/>
        <v>#REF!</v>
      </c>
      <c r="R41" s="1632">
        <f t="shared" si="3"/>
        <v>3</v>
      </c>
      <c r="S41" s="1632" t="s">
        <v>700</v>
      </c>
      <c r="T41" s="1632" t="s">
        <v>701</v>
      </c>
      <c r="U41" s="1632" t="s">
        <v>702</v>
      </c>
      <c r="V41" s="1632"/>
      <c r="X41" s="1632">
        <f t="shared" si="4"/>
        <v>4</v>
      </c>
      <c r="Y41" s="1632" t="s">
        <v>700</v>
      </c>
      <c r="Z41" s="1632" t="s">
        <v>701</v>
      </c>
      <c r="AA41" s="1632" t="s">
        <v>703</v>
      </c>
      <c r="AB41" s="1632" t="s">
        <v>704</v>
      </c>
      <c r="AC41" s="1632"/>
      <c r="AE41" s="1632">
        <f t="shared" si="5"/>
        <v>2</v>
      </c>
      <c r="AF41" s="1632" t="s">
        <v>700</v>
      </c>
      <c r="AG41" s="1632" t="s">
        <v>705</v>
      </c>
      <c r="AH41" s="1632"/>
      <c r="AI41" s="1632"/>
      <c r="AJ41" s="1632"/>
      <c r="AL41" s="1632">
        <f t="shared" si="15"/>
        <v>8</v>
      </c>
      <c r="AM41" s="1632" t="s">
        <v>580</v>
      </c>
      <c r="AN41" s="1632" t="s">
        <v>627</v>
      </c>
      <c r="AO41" s="1632" t="s">
        <v>653</v>
      </c>
      <c r="AP41" s="1632" t="s">
        <v>706</v>
      </c>
      <c r="AQ41" s="1632" t="s">
        <v>641</v>
      </c>
      <c r="AR41" s="1632" t="s">
        <v>707</v>
      </c>
      <c r="AS41" s="1632" t="s">
        <v>643</v>
      </c>
      <c r="AT41" s="1632" t="s">
        <v>643</v>
      </c>
      <c r="AU41" s="1632"/>
      <c r="AV41" s="1632"/>
      <c r="AW41" s="1632"/>
      <c r="AX41" s="1632"/>
    </row>
    <row r="42" s="1613" customFormat="1" spans="1:54">
      <c r="A42" s="1617">
        <f ca="1">IF(B42="","",SUBTOTAL(3,B$3:B42))</f>
        <v>40</v>
      </c>
      <c r="B42" s="1651" t="str">
        <f ca="1">CELL("filename",合同资总!A2)</f>
        <v>D:\桌面\评估\评估\2025评估\中致成\中煤\报告\[104250091]中煤第五建设有限公司第三工程处拟处置实物资产项目\[0000-3基础法明细表.xlsx]合同资总</v>
      </c>
      <c r="C42" s="1635" t="str">
        <f ca="1" t="shared" si="9"/>
        <v>中煤第五建设有限公司第三工程处拟处置实物资产项目\[0000-3基础法明细表.xlsx]合同资总</v>
      </c>
      <c r="D42" s="1639">
        <f>IF(SUM(分类汇总!J$43,分类汇总!J$68)=0,分类汇总!H18,分类汇总!J18)</f>
        <v>0</v>
      </c>
      <c r="E42" s="1652">
        <f>SUM(E43:E44)</f>
        <v>0</v>
      </c>
      <c r="F42" s="1652">
        <f t="shared" ref="F42:J42" si="17">SUM(F43:F44)</f>
        <v>0</v>
      </c>
      <c r="G42" s="1652">
        <f t="shared" si="17"/>
        <v>0</v>
      </c>
      <c r="H42" s="1652">
        <f t="shared" si="7"/>
        <v>0</v>
      </c>
      <c r="I42" s="1652">
        <f t="shared" si="17"/>
        <v>0</v>
      </c>
      <c r="J42" s="1652">
        <f t="shared" si="17"/>
        <v>0</v>
      </c>
      <c r="K42" s="1636">
        <f t="shared" si="8"/>
        <v>0</v>
      </c>
      <c r="L42" s="1617" t="str">
        <f t="shared" si="10"/>
        <v>隐藏</v>
      </c>
      <c r="M42" s="1617" t="s">
        <v>618</v>
      </c>
      <c r="N42" s="1637"/>
      <c r="O42" s="1637"/>
      <c r="P42" s="1637"/>
      <c r="R42" s="1637">
        <f t="shared" si="3"/>
        <v>0</v>
      </c>
      <c r="S42" s="1617"/>
      <c r="T42" s="1617"/>
      <c r="U42" s="1617"/>
      <c r="V42" s="1617"/>
      <c r="X42" s="1637">
        <f t="shared" si="4"/>
        <v>0</v>
      </c>
      <c r="Y42" s="1617"/>
      <c r="Z42" s="1617"/>
      <c r="AA42" s="1617"/>
      <c r="AB42" s="1617"/>
      <c r="AC42" s="1617"/>
      <c r="AE42" s="1637">
        <f t="shared" si="5"/>
        <v>0</v>
      </c>
      <c r="AF42" s="1617"/>
      <c r="AG42" s="1617"/>
      <c r="AH42" s="1617"/>
      <c r="AI42" s="1617"/>
      <c r="AJ42" s="1617"/>
      <c r="AL42" s="1637">
        <f t="shared" si="15"/>
        <v>0</v>
      </c>
      <c r="AM42" s="1617"/>
      <c r="AN42" s="1617"/>
      <c r="AO42" s="1617"/>
      <c r="AP42" s="1617"/>
      <c r="AQ42" s="1617"/>
      <c r="AR42" s="1617"/>
      <c r="AS42" s="1617"/>
      <c r="AT42" s="1617"/>
      <c r="AU42" s="1617"/>
      <c r="AV42" s="1617"/>
      <c r="AW42" s="1617"/>
      <c r="AX42" s="1617"/>
    </row>
    <row r="43" spans="1:54">
      <c r="A43" s="1632">
        <f ca="1">IF(B43="","",SUBTOTAL(3,B$3:B43))</f>
        <v>41</v>
      </c>
      <c r="B43" s="1640" t="str">
        <f ca="1">CELL("filename",'合同资-未完施工'!A1)</f>
        <v>D:\桌面\评估\评估\2025评估\中致成\中煤\报告\[104250091]中煤第五建设有限公司第三工程处拟处置实物资产项目\[0000-3基础法明细表.xlsx]合同资-未完施工</v>
      </c>
      <c r="C43" s="1641" t="str">
        <f ca="1" t="shared" si="9"/>
        <v>中煤第五建设有限公司第三工程处拟处置实物资产项目\[0000-3基础法明细表.xlsx]合同资-未完施工</v>
      </c>
      <c r="D43" s="1642">
        <f>IF(D$42=H$42,0,1)</f>
        <v>0</v>
      </c>
      <c r="E43" s="1643">
        <f>合同资总!BA7</f>
        <v>0</v>
      </c>
      <c r="F43" s="1643">
        <f>合同资总!BB7</f>
        <v>0</v>
      </c>
      <c r="G43" s="1643">
        <f>合同资总!BC7</f>
        <v>0</v>
      </c>
      <c r="H43" s="1643">
        <f>合同资总!BD7</f>
        <v>0</v>
      </c>
      <c r="I43" s="1643">
        <f>合同资总!BE7</f>
        <v>0</v>
      </c>
      <c r="J43" s="1643">
        <f>合同资总!BF7</f>
        <v>0</v>
      </c>
      <c r="K43" s="1644">
        <f t="shared" si="8"/>
        <v>0</v>
      </c>
      <c r="L43" s="1632" t="str">
        <f t="shared" si="10"/>
        <v>隐藏</v>
      </c>
      <c r="M43" s="1632" t="s">
        <v>345</v>
      </c>
      <c r="N43" s="1632" t="e">
        <f ca="1" t="shared" ref="N43:O111" si="18">IF(RIGHT($C43,1)="总","",INDIRECT("'"&amp;$C43&amp;"'!"&amp;N$1))</f>
        <v>#REF!</v>
      </c>
      <c r="O43" s="1632" t="e">
        <f ca="1" t="shared" si="18"/>
        <v>#REF!</v>
      </c>
      <c r="P43" s="1632" t="e">
        <f ca="1" t="shared" si="12"/>
        <v>#REF!</v>
      </c>
      <c r="R43" s="1632">
        <f t="shared" si="3"/>
        <v>3</v>
      </c>
      <c r="S43" s="1632" t="s">
        <v>700</v>
      </c>
      <c r="T43" s="1632" t="s">
        <v>701</v>
      </c>
      <c r="U43" s="1632" t="s">
        <v>702</v>
      </c>
      <c r="V43" s="1632"/>
      <c r="X43" s="1632">
        <f t="shared" ref="X43" si="19">COUNTA(Y43:AC43)</f>
        <v>4</v>
      </c>
      <c r="Y43" s="1632" t="s">
        <v>700</v>
      </c>
      <c r="Z43" s="1632" t="s">
        <v>701</v>
      </c>
      <c r="AA43" s="1632" t="s">
        <v>703</v>
      </c>
      <c r="AB43" s="1632" t="s">
        <v>704</v>
      </c>
      <c r="AC43" s="1632"/>
      <c r="AE43" s="1632">
        <f t="shared" ref="AE43" si="20">COUNTA(AF43:AJ43)</f>
        <v>2</v>
      </c>
      <c r="AF43" s="1632" t="s">
        <v>700</v>
      </c>
      <c r="AG43" s="1632" t="s">
        <v>705</v>
      </c>
      <c r="AH43" s="1632"/>
      <c r="AI43" s="1632"/>
      <c r="AJ43" s="1632"/>
      <c r="AL43" s="1632">
        <f t="shared" ref="AL43" si="21">COUNTA(AM43:AX43)</f>
        <v>8</v>
      </c>
      <c r="AM43" s="1632" t="s">
        <v>580</v>
      </c>
      <c r="AN43" s="1632" t="s">
        <v>627</v>
      </c>
      <c r="AO43" s="1632" t="s">
        <v>653</v>
      </c>
      <c r="AP43" s="1632" t="s">
        <v>706</v>
      </c>
      <c r="AQ43" s="1632" t="s">
        <v>641</v>
      </c>
      <c r="AR43" s="1632" t="s">
        <v>707</v>
      </c>
      <c r="AS43" s="1632" t="s">
        <v>643</v>
      </c>
      <c r="AT43" s="1632" t="s">
        <v>643</v>
      </c>
      <c r="AU43" s="1632"/>
      <c r="AV43" s="1632"/>
      <c r="AW43" s="1632"/>
      <c r="AX43" s="1632"/>
    </row>
    <row r="44" spans="1:54">
      <c r="A44" s="1637">
        <f ca="1">IF(B44="","",SUBTOTAL(3,B$3:B44))</f>
        <v>42</v>
      </c>
      <c r="B44" s="1646" t="str">
        <f ca="1">CELL("filename",'合同资-其他'!A2:T2)</f>
        <v>D:\桌面\评估\评估\2025评估\中致成\中煤\报告\[104250091]中煤第五建设有限公司第三工程处拟处置实物资产项目\[0000-3基础法明细表.xlsx]合同资-其他</v>
      </c>
      <c r="C44" s="1647" t="str">
        <f ca="1" t="shared" si="9"/>
        <v>中煤第五建设有限公司第三工程处拟处置实物资产项目\[0000-3基础法明细表.xlsx]合同资-其他</v>
      </c>
      <c r="D44" s="1648">
        <f>IF(D$42=H$42,0,1)</f>
        <v>0</v>
      </c>
      <c r="E44" s="1649">
        <f>合同资总!BA8</f>
        <v>0</v>
      </c>
      <c r="F44" s="1649">
        <f>合同资总!BB8</f>
        <v>0</v>
      </c>
      <c r="G44" s="1649">
        <f>合同资总!BC8</f>
        <v>0</v>
      </c>
      <c r="H44" s="1649">
        <f>合同资总!BD8</f>
        <v>0</v>
      </c>
      <c r="I44" s="1649">
        <f>合同资总!BE8</f>
        <v>0</v>
      </c>
      <c r="J44" s="1649">
        <f>合同资总!BF8</f>
        <v>0</v>
      </c>
      <c r="K44" s="1650">
        <f t="shared" si="8"/>
        <v>0</v>
      </c>
      <c r="L44" s="1637" t="str">
        <f t="shared" si="10"/>
        <v>隐藏</v>
      </c>
      <c r="M44" s="1637" t="s">
        <v>345</v>
      </c>
      <c r="N44" s="1637" t="e">
        <f ca="1" t="shared" si="18"/>
        <v>#REF!</v>
      </c>
      <c r="O44" s="1637" t="e">
        <f ca="1" t="shared" si="18"/>
        <v>#REF!</v>
      </c>
      <c r="P44" s="1637" t="e">
        <f ca="1" t="shared" si="12"/>
        <v>#REF!</v>
      </c>
      <c r="R44" s="1637">
        <f t="shared" si="3"/>
        <v>1</v>
      </c>
      <c r="S44" s="1637" t="s">
        <v>629</v>
      </c>
      <c r="T44" s="1637"/>
      <c r="U44" s="1637"/>
      <c r="V44" s="1637"/>
      <c r="X44" s="1637">
        <f t="shared" si="4"/>
        <v>2</v>
      </c>
      <c r="Y44" s="1637" t="s">
        <v>630</v>
      </c>
      <c r="Z44" s="1637" t="s">
        <v>631</v>
      </c>
      <c r="AA44" s="1637"/>
      <c r="AB44" s="1637"/>
      <c r="AC44" s="1637"/>
      <c r="AE44" s="1637">
        <f t="shared" si="5"/>
        <v>1</v>
      </c>
      <c r="AF44" s="1637" t="s">
        <v>708</v>
      </c>
      <c r="AG44" s="1637"/>
      <c r="AH44" s="1637"/>
      <c r="AI44" s="1637"/>
      <c r="AJ44" s="1637"/>
      <c r="AL44" s="1637">
        <f t="shared" si="15"/>
        <v>8</v>
      </c>
      <c r="AM44" s="1637" t="s">
        <v>580</v>
      </c>
      <c r="AN44" s="1637" t="s">
        <v>589</v>
      </c>
      <c r="AO44" s="1637" t="s">
        <v>582</v>
      </c>
      <c r="AP44" s="1637" t="s">
        <v>583</v>
      </c>
      <c r="AQ44" s="1637" t="s">
        <v>608</v>
      </c>
      <c r="AR44" s="1637" t="s">
        <v>591</v>
      </c>
      <c r="AS44" s="1637" t="s">
        <v>633</v>
      </c>
      <c r="AT44" s="1637" t="s">
        <v>633</v>
      </c>
      <c r="AU44" s="1637"/>
      <c r="AV44" s="1637"/>
      <c r="AW44" s="1637"/>
      <c r="AX44" s="1637"/>
    </row>
    <row r="45" spans="1:54">
      <c r="A45" s="1632">
        <f ca="1">IF(B45="","",SUBTOTAL(3,B$3:B45))</f>
        <v>43</v>
      </c>
      <c r="B45" s="1640" t="str">
        <f ca="1">CELL("filename",持有待售资!A1)</f>
        <v>D:\桌面\评估\评估\2025评估\中致成\中煤\报告\[104250091]中煤第五建设有限公司第三工程处拟处置实物资产项目\[0000-3基础法明细表.xlsx]持有待售资</v>
      </c>
      <c r="C45" s="1641" t="str">
        <f ca="1" t="shared" si="9"/>
        <v>中煤第五建设有限公司第三工程处拟处置实物资产项目\[0000-3基础法明细表.xlsx]持有待售资</v>
      </c>
      <c r="D45" s="1642">
        <f>IF(SUM(分类汇总!J$43,分类汇总!J$68)=0,分类汇总!H19,分类汇总!J19)</f>
        <v>0</v>
      </c>
      <c r="E45" s="1643">
        <f>流动资总!BA18</f>
        <v>0</v>
      </c>
      <c r="F45" s="1643">
        <f>流动资总!BB18</f>
        <v>0</v>
      </c>
      <c r="G45" s="1643">
        <f>流动资总!BC18</f>
        <v>0</v>
      </c>
      <c r="H45" s="1643">
        <f>流动资总!BD18</f>
        <v>0</v>
      </c>
      <c r="I45" s="1643">
        <f>流动资总!BE18</f>
        <v>0</v>
      </c>
      <c r="J45" s="1643">
        <f>流动资总!BF18</f>
        <v>0</v>
      </c>
      <c r="K45" s="1644">
        <f t="shared" si="8"/>
        <v>0</v>
      </c>
      <c r="L45" s="1632" t="str">
        <f t="shared" si="10"/>
        <v>隐藏</v>
      </c>
      <c r="M45" s="1632" t="s">
        <v>576</v>
      </c>
      <c r="N45" s="1632" t="e">
        <f ca="1" t="shared" si="18"/>
        <v>#REF!</v>
      </c>
      <c r="O45" s="1632" t="e">
        <f ca="1" t="shared" si="18"/>
        <v>#REF!</v>
      </c>
      <c r="P45" s="1632" t="e">
        <f ca="1" t="shared" si="12"/>
        <v>#REF!</v>
      </c>
      <c r="R45" s="1632">
        <f t="shared" si="3"/>
        <v>1</v>
      </c>
      <c r="S45" s="1632" t="s">
        <v>709</v>
      </c>
      <c r="T45" s="1632"/>
      <c r="U45" s="1632"/>
      <c r="V45" s="1632"/>
      <c r="X45" s="1632">
        <f t="shared" si="4"/>
        <v>2</v>
      </c>
      <c r="Y45" s="1632" t="s">
        <v>595</v>
      </c>
      <c r="Z45" s="1632" t="s">
        <v>605</v>
      </c>
      <c r="AA45" s="1632"/>
      <c r="AB45" s="1632"/>
      <c r="AC45" s="1632"/>
      <c r="AE45" s="1632">
        <f t="shared" si="5"/>
        <v>1</v>
      </c>
      <c r="AF45" s="1632" t="s">
        <v>655</v>
      </c>
      <c r="AG45" s="1632"/>
      <c r="AH45" s="1632"/>
      <c r="AI45" s="1632"/>
      <c r="AJ45" s="1632"/>
      <c r="AL45" s="1632">
        <f t="shared" si="15"/>
        <v>6</v>
      </c>
      <c r="AM45" s="1632" t="s">
        <v>580</v>
      </c>
      <c r="AN45" s="1632" t="s">
        <v>597</v>
      </c>
      <c r="AO45" s="1632" t="s">
        <v>590</v>
      </c>
      <c r="AP45" s="1632" t="s">
        <v>598</v>
      </c>
      <c r="AQ45" s="1632" t="s">
        <v>591</v>
      </c>
      <c r="AR45" s="1632" t="s">
        <v>591</v>
      </c>
      <c r="AS45" s="1632"/>
      <c r="AT45" s="1632"/>
      <c r="AU45" s="1632"/>
      <c r="AV45" s="1632"/>
      <c r="AW45" s="1632"/>
      <c r="AX45" s="1632"/>
    </row>
    <row r="46" spans="1:54">
      <c r="A46" s="1637">
        <f ca="1">IF(B46="","",SUBTOTAL(3,B$3:B46))</f>
        <v>44</v>
      </c>
      <c r="B46" s="1646" t="str">
        <f ca="1">CELL("filename",一年到期资!A1)</f>
        <v>D:\桌面\评估\评估\2025评估\中致成\中煤\报告\[104250091]中煤第五建设有限公司第三工程处拟处置实物资产项目\[0000-3基础法明细表.xlsx]一年到期资</v>
      </c>
      <c r="C46" s="1647" t="str">
        <f ca="1" t="shared" si="9"/>
        <v>中煤第五建设有限公司第三工程处拟处置实物资产项目\[0000-3基础法明细表.xlsx]一年到期资</v>
      </c>
      <c r="D46" s="1648">
        <f>IF(SUM(分类汇总!J$43,分类汇总!J$68)=0,分类汇总!H20,分类汇总!J20)</f>
        <v>0</v>
      </c>
      <c r="E46" s="1649">
        <f>流动资总!BA19</f>
        <v>0</v>
      </c>
      <c r="F46" s="1649">
        <f>流动资总!BB19</f>
        <v>0</v>
      </c>
      <c r="G46" s="1649">
        <f>流动资总!BC19</f>
        <v>0</v>
      </c>
      <c r="H46" s="1649">
        <f>流动资总!BD19</f>
        <v>0</v>
      </c>
      <c r="I46" s="1649">
        <f>流动资总!BE19</f>
        <v>0</v>
      </c>
      <c r="J46" s="1649">
        <f>流动资总!BF19</f>
        <v>0</v>
      </c>
      <c r="K46" s="1650">
        <f t="shared" si="8"/>
        <v>0</v>
      </c>
      <c r="L46" s="1637" t="str">
        <f t="shared" si="10"/>
        <v>隐藏</v>
      </c>
      <c r="M46" s="1637" t="s">
        <v>576</v>
      </c>
      <c r="N46" s="1637" t="e">
        <f ca="1" t="shared" si="18"/>
        <v>#REF!</v>
      </c>
      <c r="O46" s="1637" t="e">
        <f ca="1" t="shared" si="18"/>
        <v>#REF!</v>
      </c>
      <c r="P46" s="1637" t="e">
        <f ca="1" t="shared" si="12"/>
        <v>#REF!</v>
      </c>
      <c r="R46" s="1637">
        <f t="shared" si="3"/>
        <v>1</v>
      </c>
      <c r="S46" s="1637" t="s">
        <v>594</v>
      </c>
      <c r="T46" s="1637"/>
      <c r="U46" s="1637"/>
      <c r="V46" s="1637"/>
      <c r="X46" s="1637">
        <f t="shared" si="4"/>
        <v>2</v>
      </c>
      <c r="Y46" s="1637" t="s">
        <v>595</v>
      </c>
      <c r="Z46" s="1637" t="s">
        <v>596</v>
      </c>
      <c r="AA46" s="1637"/>
      <c r="AB46" s="1637"/>
      <c r="AC46" s="1637"/>
      <c r="AE46" s="1637">
        <f t="shared" si="5"/>
        <v>1</v>
      </c>
      <c r="AF46" s="1637" t="s">
        <v>655</v>
      </c>
      <c r="AG46" s="1637"/>
      <c r="AH46" s="1637"/>
      <c r="AI46" s="1637"/>
      <c r="AJ46" s="1637"/>
      <c r="AL46" s="1637">
        <f t="shared" si="15"/>
        <v>6</v>
      </c>
      <c r="AM46" s="1637" t="s">
        <v>580</v>
      </c>
      <c r="AN46" s="1637" t="s">
        <v>597</v>
      </c>
      <c r="AO46" s="1637" t="s">
        <v>590</v>
      </c>
      <c r="AP46" s="1637" t="s">
        <v>598</v>
      </c>
      <c r="AQ46" s="1637" t="s">
        <v>599</v>
      </c>
      <c r="AR46" s="1637" t="s">
        <v>599</v>
      </c>
      <c r="AS46" s="1637"/>
      <c r="AT46" s="1637"/>
      <c r="AU46" s="1637"/>
      <c r="AV46" s="1637"/>
      <c r="AW46" s="1637"/>
      <c r="AX46" s="1637"/>
    </row>
    <row r="47" spans="1:54">
      <c r="A47" s="1632">
        <f ca="1">IF(B47="","",SUBTOTAL(3,B$3:B47))</f>
        <v>45</v>
      </c>
      <c r="B47" s="1640" t="str">
        <f ca="1">CELL("filename",其他流资!A1)</f>
        <v>D:\桌面\评估\评估\2025评估\中致成\中煤\报告\[104250091]中煤第五建设有限公司第三工程处拟处置实物资产项目\[0000-3基础法明细表.xlsx]其他流资</v>
      </c>
      <c r="C47" s="1641" t="str">
        <f ca="1" t="shared" si="9"/>
        <v>中煤第五建设有限公司第三工程处拟处置实物资产项目\[0000-3基础法明细表.xlsx]其他流资</v>
      </c>
      <c r="D47" s="1642">
        <f>IF(SUM(分类汇总!J$43,分类汇总!J$68)=0,分类汇总!H21,分类汇总!J21)</f>
        <v>0</v>
      </c>
      <c r="E47" s="1643">
        <f>流动资总!BA20</f>
        <v>0</v>
      </c>
      <c r="F47" s="1643">
        <f>流动资总!BB20</f>
        <v>0</v>
      </c>
      <c r="G47" s="1643">
        <f>流动资总!BC20</f>
        <v>0</v>
      </c>
      <c r="H47" s="1643">
        <f>流动资总!BD20</f>
        <v>0</v>
      </c>
      <c r="I47" s="1643">
        <f>流动资总!BE20</f>
        <v>0</v>
      </c>
      <c r="J47" s="1643">
        <f>流动资总!BF20</f>
        <v>0</v>
      </c>
      <c r="K47" s="1644">
        <f t="shared" si="8"/>
        <v>0</v>
      </c>
      <c r="L47" s="1632" t="str">
        <f t="shared" si="10"/>
        <v>隐藏</v>
      </c>
      <c r="M47" s="1632" t="s">
        <v>576</v>
      </c>
      <c r="N47" s="1632" t="e">
        <f ca="1" t="shared" si="18"/>
        <v>#REF!</v>
      </c>
      <c r="O47" s="1632" t="e">
        <f ca="1" t="shared" si="18"/>
        <v>#REF!</v>
      </c>
      <c r="P47" s="1632" t="e">
        <f ca="1" t="shared" si="12"/>
        <v>#REF!</v>
      </c>
      <c r="R47" s="1632">
        <f t="shared" si="3"/>
        <v>1</v>
      </c>
      <c r="S47" s="1632" t="s">
        <v>710</v>
      </c>
      <c r="T47" s="1632"/>
      <c r="U47" s="1632"/>
      <c r="V47" s="1632"/>
      <c r="X47" s="1632">
        <f t="shared" si="4"/>
        <v>2</v>
      </c>
      <c r="Y47" s="1632" t="s">
        <v>625</v>
      </c>
      <c r="Z47" s="1632" t="s">
        <v>711</v>
      </c>
      <c r="AA47" s="1632"/>
      <c r="AB47" s="1632"/>
      <c r="AC47" s="1632"/>
      <c r="AE47" s="1632">
        <f t="shared" si="5"/>
        <v>2</v>
      </c>
      <c r="AF47" s="1632" t="s">
        <v>712</v>
      </c>
      <c r="AG47" s="1632" t="s">
        <v>625</v>
      </c>
      <c r="AH47" s="1632"/>
      <c r="AI47" s="1632"/>
      <c r="AJ47" s="1632"/>
      <c r="AL47" s="1632">
        <f t="shared" si="15"/>
        <v>6</v>
      </c>
      <c r="AM47" s="1632" t="s">
        <v>580</v>
      </c>
      <c r="AN47" s="1632" t="s">
        <v>597</v>
      </c>
      <c r="AO47" s="1632" t="s">
        <v>598</v>
      </c>
      <c r="AP47" s="1632" t="s">
        <v>614</v>
      </c>
      <c r="AQ47" s="1632" t="s">
        <v>672</v>
      </c>
      <c r="AR47" s="1632" t="s">
        <v>672</v>
      </c>
      <c r="AS47" s="1632"/>
      <c r="AT47" s="1632"/>
      <c r="AU47" s="1632"/>
      <c r="AV47" s="1632"/>
      <c r="AW47" s="1632"/>
      <c r="AX47" s="1632"/>
    </row>
    <row r="48" s="1613" customFormat="1" spans="1:54">
      <c r="A48" s="1617">
        <f ca="1">IF(B48="","",SUBTOTAL(3,B$3:B48))</f>
        <v>46</v>
      </c>
      <c r="B48" s="1651" t="str">
        <f ca="1">CELL("filename",非流动资总!A1)</f>
        <v>D:\桌面\评估\评估\2025评估\中致成\中煤\报告\[104250091]中煤第五建设有限公司第三工程处拟处置实物资产项目\[0000-3基础法明细表.xlsx]非流动资总</v>
      </c>
      <c r="C48" s="1635" t="str">
        <f ca="1" t="shared" si="9"/>
        <v>中煤第五建设有限公司第三工程处拟处置实物资产项目\[0000-3基础法明细表.xlsx]非流动资总</v>
      </c>
      <c r="D48" s="1652">
        <f>SUM(D49,D53:D60,D65,D76,D83:D86,D92:D96)</f>
        <v>0</v>
      </c>
      <c r="E48" s="1652">
        <f t="shared" ref="E48:J48" si="22">SUM(E49,E53:E60,E65,E76,E83:E86,E92:E96)</f>
        <v>0</v>
      </c>
      <c r="F48" s="1652">
        <f t="shared" si="22"/>
        <v>0</v>
      </c>
      <c r="G48" s="1652">
        <f t="shared" si="22"/>
        <v>0</v>
      </c>
      <c r="H48" s="1652">
        <f t="shared" si="7"/>
        <v>0</v>
      </c>
      <c r="I48" s="1652">
        <f t="shared" si="22"/>
        <v>0</v>
      </c>
      <c r="J48" s="1652">
        <f t="shared" si="22"/>
        <v>0</v>
      </c>
      <c r="K48" s="1636">
        <f t="shared" si="8"/>
        <v>0</v>
      </c>
      <c r="L48" s="1617" t="str">
        <f t="shared" si="10"/>
        <v>隐藏</v>
      </c>
      <c r="M48" s="1617" t="s">
        <v>565</v>
      </c>
      <c r="N48" s="1637"/>
      <c r="O48" s="1637"/>
      <c r="P48" s="1637"/>
      <c r="R48" s="1637">
        <f t="shared" si="3"/>
        <v>0</v>
      </c>
      <c r="S48" s="1617"/>
      <c r="T48" s="1617"/>
      <c r="U48" s="1617"/>
      <c r="V48" s="1617"/>
      <c r="X48" s="1637">
        <f t="shared" si="4"/>
        <v>0</v>
      </c>
      <c r="Y48" s="1617"/>
      <c r="Z48" s="1617"/>
      <c r="AA48" s="1617"/>
      <c r="AB48" s="1617"/>
      <c r="AC48" s="1617"/>
      <c r="AE48" s="1637">
        <f t="shared" si="5"/>
        <v>0</v>
      </c>
      <c r="AF48" s="1617"/>
      <c r="AG48" s="1617"/>
      <c r="AH48" s="1617"/>
      <c r="AI48" s="1617"/>
      <c r="AJ48" s="1617"/>
      <c r="AL48" s="1637">
        <f t="shared" si="15"/>
        <v>0</v>
      </c>
      <c r="AM48" s="1617"/>
      <c r="AN48" s="1617"/>
      <c r="AO48" s="1617"/>
      <c r="AP48" s="1617"/>
      <c r="AQ48" s="1617"/>
      <c r="AR48" s="1617"/>
      <c r="AS48" s="1617"/>
      <c r="AT48" s="1617"/>
      <c r="AU48" s="1617"/>
      <c r="AV48" s="1617"/>
      <c r="AW48" s="1617"/>
      <c r="AX48" s="1617"/>
    </row>
    <row r="49" s="1613" customFormat="1" spans="1:50">
      <c r="A49" s="1626">
        <f ca="1">IF(B49="","",SUBTOTAL(3,B$3:B49))</f>
        <v>47</v>
      </c>
      <c r="B49" s="1655" t="str">
        <f ca="1">CELL("filename",可供出售总!A1)</f>
        <v>D:\桌面\评估\评估\2025评估\中致成\中煤\报告\[104250091]中煤第五建设有限公司第三工程处拟处置实物资产项目\[0000-3基础法明细表.xlsx]可供出售总</v>
      </c>
      <c r="C49" s="1628" t="str">
        <f ca="1" t="shared" si="9"/>
        <v>中煤第五建设有限公司第三工程处拟处置实物资产项目\[0000-3基础法明细表.xlsx]可供出售总</v>
      </c>
      <c r="D49" s="1656">
        <f>IF(SUM(分类汇总!J$43,分类汇总!J$68)=0,分类汇总!H23,分类汇总!J23)</f>
        <v>0</v>
      </c>
      <c r="E49" s="1657">
        <f>SUM(E50:E52)</f>
        <v>0</v>
      </c>
      <c r="F49" s="1657">
        <f>SUM(F50:F52)</f>
        <v>0</v>
      </c>
      <c r="G49" s="1657">
        <f>SUM(G50:G52)</f>
        <v>0</v>
      </c>
      <c r="H49" s="1657">
        <f t="shared" si="7"/>
        <v>0</v>
      </c>
      <c r="I49" s="1657">
        <f>SUM(I50:I52)</f>
        <v>0</v>
      </c>
      <c r="J49" s="1657">
        <f>SUM(J50:J52)</f>
        <v>0</v>
      </c>
      <c r="K49" s="1631">
        <f t="shared" si="8"/>
        <v>0</v>
      </c>
      <c r="L49" s="1626" t="str">
        <f t="shared" si="10"/>
        <v>隐藏</v>
      </c>
      <c r="M49" s="1626" t="s">
        <v>601</v>
      </c>
      <c r="N49" s="1632"/>
      <c r="O49" s="1632"/>
      <c r="P49" s="1632"/>
      <c r="R49" s="1632">
        <f t="shared" si="3"/>
        <v>0</v>
      </c>
      <c r="S49" s="1626"/>
      <c r="T49" s="1626"/>
      <c r="U49" s="1626"/>
      <c r="V49" s="1626"/>
      <c r="X49" s="1632">
        <f t="shared" si="4"/>
        <v>0</v>
      </c>
      <c r="Y49" s="1626"/>
      <c r="Z49" s="1626"/>
      <c r="AA49" s="1626"/>
      <c r="AB49" s="1626"/>
      <c r="AC49" s="1626"/>
      <c r="AE49" s="1632">
        <f t="shared" si="5"/>
        <v>0</v>
      </c>
      <c r="AF49" s="1626"/>
      <c r="AG49" s="1626"/>
      <c r="AH49" s="1626"/>
      <c r="AI49" s="1626"/>
      <c r="AJ49" s="1626"/>
      <c r="AL49" s="1632">
        <f t="shared" si="15"/>
        <v>0</v>
      </c>
      <c r="AM49" s="1626"/>
      <c r="AN49" s="1626"/>
      <c r="AO49" s="1626"/>
      <c r="AP49" s="1626"/>
      <c r="AQ49" s="1626"/>
      <c r="AR49" s="1626"/>
      <c r="AS49" s="1626"/>
      <c r="AT49" s="1626"/>
      <c r="AU49" s="1626"/>
      <c r="AV49" s="1626"/>
      <c r="AW49" s="1626"/>
      <c r="AX49" s="1626"/>
    </row>
    <row r="50" spans="1:50">
      <c r="A50" s="1637">
        <f ca="1">IF(B50="","",SUBTOTAL(3,B$3:B50))</f>
        <v>48</v>
      </c>
      <c r="B50" s="1646" t="str">
        <f ca="1">CELL("filename",'可供-股票'!A1)</f>
        <v>D:\桌面\评估\评估\2025评估\中致成\中煤\报告\[104250091]中煤第五建设有限公司第三工程处拟处置实物资产项目\[0000-3基础法明细表.xlsx]可供-股票</v>
      </c>
      <c r="C50" s="1647" t="str">
        <f ca="1" t="shared" si="9"/>
        <v>中煤第五建设有限公司第三工程处拟处置实物资产项目\[0000-3基础法明细表.xlsx]可供-股票</v>
      </c>
      <c r="D50" s="1648">
        <f>IF(D$49=H$49,0,1)</f>
        <v>0</v>
      </c>
      <c r="E50" s="1649">
        <f>可供出售总!BA7</f>
        <v>0</v>
      </c>
      <c r="F50" s="1649">
        <f>可供出售总!BB7</f>
        <v>0</v>
      </c>
      <c r="G50" s="1649">
        <f>可供出售总!BC7</f>
        <v>0</v>
      </c>
      <c r="H50" s="1649">
        <f>可供出售总!BD7</f>
        <v>0</v>
      </c>
      <c r="I50" s="1649">
        <f>可供出售总!BE7</f>
        <v>0</v>
      </c>
      <c r="J50" s="1649">
        <f>可供出售总!BF7</f>
        <v>0</v>
      </c>
      <c r="K50" s="1650">
        <f t="shared" si="8"/>
        <v>0</v>
      </c>
      <c r="L50" s="1637" t="str">
        <f t="shared" si="10"/>
        <v>隐藏</v>
      </c>
      <c r="M50" s="1637" t="s">
        <v>344</v>
      </c>
      <c r="N50" s="1637" t="e">
        <f ca="1" t="shared" si="18"/>
        <v>#REF!</v>
      </c>
      <c r="O50" s="1637" t="e">
        <f ca="1" t="shared" si="18"/>
        <v>#REF!</v>
      </c>
      <c r="P50" s="1637" t="e">
        <f ca="1" t="shared" si="12"/>
        <v>#REF!</v>
      </c>
      <c r="R50" s="1637">
        <f t="shared" si="3"/>
        <v>1</v>
      </c>
      <c r="S50" s="1637" t="s">
        <v>611</v>
      </c>
      <c r="T50" s="1637"/>
      <c r="U50" s="1637"/>
      <c r="V50" s="1637"/>
      <c r="X50" s="1637">
        <f t="shared" si="4"/>
        <v>2</v>
      </c>
      <c r="Y50" s="1637" t="s">
        <v>612</v>
      </c>
      <c r="Z50" s="1637" t="s">
        <v>606</v>
      </c>
      <c r="AA50" s="1637"/>
      <c r="AB50" s="1637"/>
      <c r="AC50" s="1637"/>
      <c r="AE50" s="1637">
        <f t="shared" si="5"/>
        <v>2</v>
      </c>
      <c r="AF50" s="1637" t="s">
        <v>613</v>
      </c>
      <c r="AG50" s="1637" t="s">
        <v>612</v>
      </c>
      <c r="AH50" s="1637"/>
      <c r="AI50" s="1637"/>
      <c r="AJ50" s="1637"/>
      <c r="AL50" s="1637">
        <f t="shared" si="15"/>
        <v>6</v>
      </c>
      <c r="AM50" s="1637" t="s">
        <v>580</v>
      </c>
      <c r="AN50" s="1637" t="s">
        <v>583</v>
      </c>
      <c r="AO50" s="1637" t="s">
        <v>614</v>
      </c>
      <c r="AP50" s="1637" t="s">
        <v>591</v>
      </c>
      <c r="AQ50" s="1637" t="s">
        <v>609</v>
      </c>
      <c r="AR50" s="1637" t="s">
        <v>609</v>
      </c>
      <c r="AS50" s="1637"/>
      <c r="AT50" s="1637"/>
      <c r="AU50" s="1637"/>
      <c r="AV50" s="1637"/>
      <c r="AW50" s="1637"/>
      <c r="AX50" s="1637"/>
    </row>
    <row r="51" spans="1:50">
      <c r="A51" s="1632">
        <f ca="1">IF(B51="","",SUBTOTAL(3,B$3:B51))</f>
        <v>49</v>
      </c>
      <c r="B51" s="1640" t="str">
        <f ca="1">CELL("filename",'可供-债券'!A1)</f>
        <v>D:\桌面\评估\评估\2025评估\中致成\中煤\报告\[104250091]中煤第五建设有限公司第三工程处拟处置实物资产项目\[0000-3基础法明细表.xlsx]可供-债券</v>
      </c>
      <c r="C51" s="1641" t="str">
        <f ca="1" t="shared" si="9"/>
        <v>中煤第五建设有限公司第三工程处拟处置实物资产项目\[0000-3基础法明细表.xlsx]可供-债券</v>
      </c>
      <c r="D51" s="1642">
        <f>IF(D$49=H$49,0,1)</f>
        <v>0</v>
      </c>
      <c r="E51" s="1643">
        <f>可供出售总!BA8</f>
        <v>0</v>
      </c>
      <c r="F51" s="1643">
        <f>可供出售总!BB8</f>
        <v>0</v>
      </c>
      <c r="G51" s="1643">
        <f>可供出售总!BC8</f>
        <v>0</v>
      </c>
      <c r="H51" s="1643">
        <f>可供出售总!BD8</f>
        <v>0</v>
      </c>
      <c r="I51" s="1643">
        <f>可供出售总!BE8</f>
        <v>0</v>
      </c>
      <c r="J51" s="1643">
        <f>可供出售总!BF8</f>
        <v>0</v>
      </c>
      <c r="K51" s="1644">
        <f t="shared" si="8"/>
        <v>0</v>
      </c>
      <c r="L51" s="1632" t="str">
        <f t="shared" si="10"/>
        <v>隐藏</v>
      </c>
      <c r="M51" s="1632" t="s">
        <v>344</v>
      </c>
      <c r="N51" s="1632" t="e">
        <f ca="1" t="shared" si="18"/>
        <v>#REF!</v>
      </c>
      <c r="O51" s="1632" t="e">
        <f ca="1" t="shared" si="18"/>
        <v>#REF!</v>
      </c>
      <c r="P51" s="1632" t="e">
        <f ca="1" t="shared" si="12"/>
        <v>#REF!</v>
      </c>
      <c r="R51" s="1632">
        <f t="shared" si="3"/>
        <v>1</v>
      </c>
      <c r="S51" s="1632" t="s">
        <v>611</v>
      </c>
      <c r="T51" s="1632"/>
      <c r="U51" s="1632"/>
      <c r="V51" s="1632"/>
      <c r="X51" s="1632">
        <f t="shared" si="4"/>
        <v>2</v>
      </c>
      <c r="Y51" s="1632" t="s">
        <v>612</v>
      </c>
      <c r="Z51" s="1632" t="s">
        <v>606</v>
      </c>
      <c r="AA51" s="1632"/>
      <c r="AB51" s="1632"/>
      <c r="AC51" s="1632"/>
      <c r="AE51" s="1632">
        <f t="shared" si="5"/>
        <v>2</v>
      </c>
      <c r="AF51" s="1632" t="s">
        <v>613</v>
      </c>
      <c r="AG51" s="1632" t="s">
        <v>612</v>
      </c>
      <c r="AH51" s="1632"/>
      <c r="AI51" s="1632"/>
      <c r="AJ51" s="1632"/>
      <c r="AL51" s="1632">
        <f t="shared" si="15"/>
        <v>6</v>
      </c>
      <c r="AM51" s="1632" t="s">
        <v>580</v>
      </c>
      <c r="AN51" s="1632" t="s">
        <v>583</v>
      </c>
      <c r="AO51" s="1632" t="s">
        <v>614</v>
      </c>
      <c r="AP51" s="1632" t="s">
        <v>591</v>
      </c>
      <c r="AQ51" s="1632" t="s">
        <v>609</v>
      </c>
      <c r="AR51" s="1632" t="s">
        <v>609</v>
      </c>
      <c r="AS51" s="1632"/>
      <c r="AT51" s="1632"/>
      <c r="AU51" s="1632"/>
      <c r="AV51" s="1632"/>
      <c r="AW51" s="1632"/>
      <c r="AX51" s="1632"/>
    </row>
    <row r="52" spans="1:50">
      <c r="A52" s="1637">
        <f ca="1">IF(B52="","",SUBTOTAL(3,B$3:B52))</f>
        <v>50</v>
      </c>
      <c r="B52" s="1646" t="str">
        <f ca="1">CELL("filename",'可供-其他'!A1)</f>
        <v>D:\桌面\评估\评估\2025评估\中致成\中煤\报告\[104250091]中煤第五建设有限公司第三工程处拟处置实物资产项目\[0000-3基础法明细表.xlsx]可供-其他</v>
      </c>
      <c r="C52" s="1647" t="str">
        <f ca="1" t="shared" si="9"/>
        <v>中煤第五建设有限公司第三工程处拟处置实物资产项目\[0000-3基础法明细表.xlsx]可供-其他</v>
      </c>
      <c r="D52" s="1648">
        <f>IF(D$49=H$49,0,1)</f>
        <v>0</v>
      </c>
      <c r="E52" s="1649">
        <f>可供出售总!BA9</f>
        <v>0</v>
      </c>
      <c r="F52" s="1649">
        <f>可供出售总!BB9</f>
        <v>0</v>
      </c>
      <c r="G52" s="1649">
        <f>可供出售总!BC9</f>
        <v>0</v>
      </c>
      <c r="H52" s="1649">
        <f>可供出售总!BD9</f>
        <v>0</v>
      </c>
      <c r="I52" s="1649">
        <f>可供出售总!BE9</f>
        <v>0</v>
      </c>
      <c r="J52" s="1649">
        <f>可供出售总!BF9</f>
        <v>0</v>
      </c>
      <c r="K52" s="1650">
        <f t="shared" si="8"/>
        <v>0</v>
      </c>
      <c r="L52" s="1637" t="str">
        <f t="shared" si="10"/>
        <v>隐藏</v>
      </c>
      <c r="M52" s="1637" t="s">
        <v>344</v>
      </c>
      <c r="N52" s="1637" t="e">
        <f ca="1" t="shared" si="18"/>
        <v>#REF!</v>
      </c>
      <c r="O52" s="1637" t="e">
        <f ca="1" t="shared" si="18"/>
        <v>#REF!</v>
      </c>
      <c r="P52" s="1637" t="e">
        <f ca="1" t="shared" si="12"/>
        <v>#REF!</v>
      </c>
      <c r="R52" s="1637">
        <f t="shared" si="3"/>
        <v>1</v>
      </c>
      <c r="S52" s="1637" t="s">
        <v>611</v>
      </c>
      <c r="T52" s="1637"/>
      <c r="U52" s="1637"/>
      <c r="V52" s="1637"/>
      <c r="X52" s="1637">
        <f t="shared" si="4"/>
        <v>2</v>
      </c>
      <c r="Y52" s="1637" t="s">
        <v>612</v>
      </c>
      <c r="Z52" s="1637" t="s">
        <v>606</v>
      </c>
      <c r="AA52" s="1637"/>
      <c r="AB52" s="1637"/>
      <c r="AC52" s="1637"/>
      <c r="AE52" s="1637">
        <f t="shared" si="5"/>
        <v>2</v>
      </c>
      <c r="AF52" s="1637" t="s">
        <v>613</v>
      </c>
      <c r="AG52" s="1637" t="s">
        <v>612</v>
      </c>
      <c r="AH52" s="1637"/>
      <c r="AI52" s="1637"/>
      <c r="AJ52" s="1637"/>
      <c r="AL52" s="1637">
        <f t="shared" si="15"/>
        <v>6</v>
      </c>
      <c r="AM52" s="1637" t="s">
        <v>580</v>
      </c>
      <c r="AN52" s="1637" t="s">
        <v>583</v>
      </c>
      <c r="AO52" s="1637" t="s">
        <v>614</v>
      </c>
      <c r="AP52" s="1637" t="s">
        <v>591</v>
      </c>
      <c r="AQ52" s="1637" t="s">
        <v>609</v>
      </c>
      <c r="AR52" s="1637" t="s">
        <v>609</v>
      </c>
      <c r="AS52" s="1637"/>
      <c r="AT52" s="1637"/>
      <c r="AU52" s="1637"/>
      <c r="AV52" s="1637"/>
      <c r="AW52" s="1637"/>
      <c r="AX52" s="1637"/>
    </row>
    <row r="53" spans="1:50">
      <c r="A53" s="1632">
        <f ca="1">IF(B53="","",SUBTOTAL(3,B$3:B53))</f>
        <v>51</v>
      </c>
      <c r="B53" s="1640" t="str">
        <f ca="1">CELL("filename",持有到期!A1)</f>
        <v>D:\桌面\评估\评估\2025评估\中致成\中煤\报告\[104250091]中煤第五建设有限公司第三工程处拟处置实物资产项目\[0000-3基础法明细表.xlsx]持有到期</v>
      </c>
      <c r="C53" s="1641" t="str">
        <f ca="1" t="shared" si="9"/>
        <v>中煤第五建设有限公司第三工程处拟处置实物资产项目\[0000-3基础法明细表.xlsx]持有到期</v>
      </c>
      <c r="D53" s="1642">
        <f>IF(SUM(分类汇总!J$43,分类汇总!J$68)=0,分类汇总!H24,分类汇总!J24)</f>
        <v>0</v>
      </c>
      <c r="E53" s="1643">
        <f>非流动资总!BA8</f>
        <v>0</v>
      </c>
      <c r="F53" s="1643">
        <f>非流动资总!BB8</f>
        <v>0</v>
      </c>
      <c r="G53" s="1643">
        <f>非流动资总!BC8</f>
        <v>0</v>
      </c>
      <c r="H53" s="1643">
        <f>非流动资总!BD8</f>
        <v>0</v>
      </c>
      <c r="I53" s="1643">
        <f>非流动资总!BE8</f>
        <v>0</v>
      </c>
      <c r="J53" s="1643">
        <f>非流动资总!BF8</f>
        <v>0</v>
      </c>
      <c r="K53" s="1644">
        <f t="shared" si="8"/>
        <v>0</v>
      </c>
      <c r="L53" s="1632" t="str">
        <f t="shared" si="10"/>
        <v>隐藏</v>
      </c>
      <c r="M53" s="1632" t="s">
        <v>344</v>
      </c>
      <c r="N53" s="1632" t="e">
        <f ca="1" t="shared" si="18"/>
        <v>#REF!</v>
      </c>
      <c r="O53" s="1632" t="e">
        <f ca="1" t="shared" si="18"/>
        <v>#REF!</v>
      </c>
      <c r="P53" s="1632" t="e">
        <f ca="1" t="shared" si="12"/>
        <v>#REF!</v>
      </c>
      <c r="R53" s="1632">
        <f t="shared" si="3"/>
        <v>1</v>
      </c>
      <c r="S53" s="1632" t="s">
        <v>611</v>
      </c>
      <c r="T53" s="1632"/>
      <c r="U53" s="1632"/>
      <c r="V53" s="1632"/>
      <c r="X53" s="1632">
        <f t="shared" si="4"/>
        <v>2</v>
      </c>
      <c r="Y53" s="1632" t="s">
        <v>612</v>
      </c>
      <c r="Z53" s="1632" t="s">
        <v>606</v>
      </c>
      <c r="AA53" s="1632"/>
      <c r="AB53" s="1632"/>
      <c r="AC53" s="1632"/>
      <c r="AE53" s="1632">
        <f t="shared" si="5"/>
        <v>2</v>
      </c>
      <c r="AF53" s="1632" t="s">
        <v>613</v>
      </c>
      <c r="AG53" s="1632" t="s">
        <v>612</v>
      </c>
      <c r="AH53" s="1632"/>
      <c r="AI53" s="1632"/>
      <c r="AJ53" s="1632"/>
      <c r="AL53" s="1632">
        <f t="shared" si="15"/>
        <v>6</v>
      </c>
      <c r="AM53" s="1632" t="s">
        <v>580</v>
      </c>
      <c r="AN53" s="1632" t="s">
        <v>583</v>
      </c>
      <c r="AO53" s="1632" t="s">
        <v>614</v>
      </c>
      <c r="AP53" s="1632" t="s">
        <v>591</v>
      </c>
      <c r="AQ53" s="1632" t="s">
        <v>609</v>
      </c>
      <c r="AR53" s="1632" t="s">
        <v>609</v>
      </c>
      <c r="AS53" s="1632"/>
      <c r="AT53" s="1632"/>
      <c r="AU53" s="1632"/>
      <c r="AV53" s="1632"/>
      <c r="AW53" s="1632"/>
      <c r="AX53" s="1632"/>
    </row>
    <row r="54" spans="1:50">
      <c r="A54" s="1637">
        <f ca="1">IF(B54="","",SUBTOTAL(3,B$3:B54))</f>
        <v>52</v>
      </c>
      <c r="B54" s="1646" t="str">
        <f ca="1">CELL("filename",债权投资!A1)</f>
        <v>D:\桌面\评估\评估\2025评估\中致成\中煤\报告\[104250091]中煤第五建设有限公司第三工程处拟处置实物资产项目\[0000-3基础法明细表.xlsx]债权投资</v>
      </c>
      <c r="C54" s="1647" t="str">
        <f ca="1" t="shared" si="9"/>
        <v>中煤第五建设有限公司第三工程处拟处置实物资产项目\[0000-3基础法明细表.xlsx]债权投资</v>
      </c>
      <c r="D54" s="1648">
        <f>IF(SUM(分类汇总!J$43,分类汇总!J$68)=0,分类汇总!H25,分类汇总!J25)</f>
        <v>0</v>
      </c>
      <c r="E54" s="1649">
        <f>非流动资总!BA9</f>
        <v>0</v>
      </c>
      <c r="F54" s="1649">
        <f>非流动资总!BB9</f>
        <v>0</v>
      </c>
      <c r="G54" s="1649">
        <f>非流动资总!BC9</f>
        <v>0</v>
      </c>
      <c r="H54" s="1649">
        <f>非流动资总!BD9</f>
        <v>0</v>
      </c>
      <c r="I54" s="1649">
        <f>非流动资总!BE9</f>
        <v>0</v>
      </c>
      <c r="J54" s="1649">
        <f>非流动资总!BF9</f>
        <v>0</v>
      </c>
      <c r="K54" s="1650">
        <f t="shared" si="8"/>
        <v>0</v>
      </c>
      <c r="L54" s="1637" t="str">
        <f t="shared" si="10"/>
        <v>隐藏</v>
      </c>
      <c r="M54" s="1637" t="s">
        <v>345</v>
      </c>
      <c r="N54" s="1637" t="e">
        <f ca="1" t="shared" si="18"/>
        <v>#REF!</v>
      </c>
      <c r="O54" s="1637" t="e">
        <f ca="1" t="shared" si="18"/>
        <v>#REF!</v>
      </c>
      <c r="P54" s="1637" t="e">
        <f ca="1" t="shared" si="12"/>
        <v>#REF!</v>
      </c>
      <c r="R54" s="1637">
        <f t="shared" si="3"/>
        <v>1</v>
      </c>
      <c r="S54" s="1637" t="s">
        <v>611</v>
      </c>
      <c r="T54" s="1637"/>
      <c r="U54" s="1637"/>
      <c r="V54" s="1637"/>
      <c r="X54" s="1637">
        <f t="shared" si="4"/>
        <v>2</v>
      </c>
      <c r="Y54" s="1637" t="s">
        <v>612</v>
      </c>
      <c r="Z54" s="1637" t="s">
        <v>606</v>
      </c>
      <c r="AA54" s="1637"/>
      <c r="AB54" s="1637"/>
      <c r="AC54" s="1637"/>
      <c r="AE54" s="1637">
        <f t="shared" si="5"/>
        <v>2</v>
      </c>
      <c r="AF54" s="1637" t="s">
        <v>613</v>
      </c>
      <c r="AG54" s="1637" t="s">
        <v>612</v>
      </c>
      <c r="AH54" s="1637"/>
      <c r="AI54" s="1637"/>
      <c r="AJ54" s="1637"/>
      <c r="AL54" s="1637">
        <f t="shared" si="15"/>
        <v>6</v>
      </c>
      <c r="AM54" s="1637" t="s">
        <v>580</v>
      </c>
      <c r="AN54" s="1637" t="s">
        <v>583</v>
      </c>
      <c r="AO54" s="1637" t="s">
        <v>614</v>
      </c>
      <c r="AP54" s="1637" t="s">
        <v>591</v>
      </c>
      <c r="AQ54" s="1637" t="s">
        <v>609</v>
      </c>
      <c r="AR54" s="1637" t="s">
        <v>609</v>
      </c>
      <c r="AS54" s="1637"/>
      <c r="AT54" s="1637"/>
      <c r="AU54" s="1637"/>
      <c r="AV54" s="1637"/>
      <c r="AW54" s="1637"/>
      <c r="AX54" s="1637"/>
    </row>
    <row r="55" spans="1:50">
      <c r="A55" s="1632">
        <f ca="1">IF(B55="","",SUBTOTAL(3,B$3:B55))</f>
        <v>53</v>
      </c>
      <c r="B55" s="1640" t="str">
        <f ca="1">CELL("filename",其他债权!A1)</f>
        <v>D:\桌面\评估\评估\2025评估\中致成\中煤\报告\[104250091]中煤第五建设有限公司第三工程处拟处置实物资产项目\[0000-3基础法明细表.xlsx]其他债权</v>
      </c>
      <c r="C55" s="1641" t="str">
        <f ca="1" t="shared" si="9"/>
        <v>中煤第五建设有限公司第三工程处拟处置实物资产项目\[0000-3基础法明细表.xlsx]其他债权</v>
      </c>
      <c r="D55" s="1642">
        <f>IF(SUM(分类汇总!J$43,分类汇总!J$68)=0,分类汇总!H26,分类汇总!J26)</f>
        <v>0</v>
      </c>
      <c r="E55" s="1643">
        <f>非流动资总!BA10</f>
        <v>0</v>
      </c>
      <c r="F55" s="1643">
        <f>非流动资总!BB10</f>
        <v>0</v>
      </c>
      <c r="G55" s="1643">
        <f>非流动资总!BC10</f>
        <v>0</v>
      </c>
      <c r="H55" s="1643">
        <f>非流动资总!BD10</f>
        <v>0</v>
      </c>
      <c r="I55" s="1643">
        <f>非流动资总!BE10</f>
        <v>0</v>
      </c>
      <c r="J55" s="1643">
        <f>非流动资总!BF10</f>
        <v>0</v>
      </c>
      <c r="K55" s="1644">
        <f t="shared" si="8"/>
        <v>0</v>
      </c>
      <c r="L55" s="1632" t="str">
        <f t="shared" si="10"/>
        <v>隐藏</v>
      </c>
      <c r="M55" s="1632" t="s">
        <v>345</v>
      </c>
      <c r="N55" s="1632" t="e">
        <f ca="1" t="shared" si="18"/>
        <v>#REF!</v>
      </c>
      <c r="O55" s="1632" t="e">
        <f ca="1" t="shared" si="18"/>
        <v>#REF!</v>
      </c>
      <c r="P55" s="1632" t="e">
        <f ca="1" t="shared" si="12"/>
        <v>#REF!</v>
      </c>
      <c r="R55" s="1632">
        <f t="shared" si="3"/>
        <v>1</v>
      </c>
      <c r="S55" s="1632" t="s">
        <v>611</v>
      </c>
      <c r="T55" s="1632"/>
      <c r="U55" s="1632"/>
      <c r="V55" s="1632"/>
      <c r="X55" s="1632">
        <f t="shared" si="4"/>
        <v>2</v>
      </c>
      <c r="Y55" s="1632" t="s">
        <v>612</v>
      </c>
      <c r="Z55" s="1632" t="s">
        <v>606</v>
      </c>
      <c r="AA55" s="1632"/>
      <c r="AB55" s="1632"/>
      <c r="AC55" s="1632"/>
      <c r="AE55" s="1632">
        <f t="shared" si="5"/>
        <v>2</v>
      </c>
      <c r="AF55" s="1632" t="s">
        <v>613</v>
      </c>
      <c r="AG55" s="1632" t="s">
        <v>612</v>
      </c>
      <c r="AH55" s="1632"/>
      <c r="AI55" s="1632"/>
      <c r="AJ55" s="1632"/>
      <c r="AL55" s="1632">
        <f t="shared" si="15"/>
        <v>6</v>
      </c>
      <c r="AM55" s="1632" t="s">
        <v>580</v>
      </c>
      <c r="AN55" s="1632" t="s">
        <v>583</v>
      </c>
      <c r="AO55" s="1632" t="s">
        <v>614</v>
      </c>
      <c r="AP55" s="1632" t="s">
        <v>591</v>
      </c>
      <c r="AQ55" s="1632" t="s">
        <v>609</v>
      </c>
      <c r="AR55" s="1632" t="s">
        <v>609</v>
      </c>
      <c r="AS55" s="1632"/>
      <c r="AT55" s="1632"/>
      <c r="AU55" s="1632"/>
      <c r="AV55" s="1632"/>
      <c r="AW55" s="1632"/>
      <c r="AX55" s="1632"/>
    </row>
    <row r="56" spans="1:50">
      <c r="A56" s="1637">
        <f ca="1">IF(B56="","",SUBTOTAL(3,B$3:B56))</f>
        <v>54</v>
      </c>
      <c r="B56" s="1646" t="str">
        <f ca="1">CELL("filename",长期应收!A1)</f>
        <v>D:\桌面\评估\评估\2025评估\中致成\中煤\报告\[104250091]中煤第五建设有限公司第三工程处拟处置实物资产项目\[0000-3基础法明细表.xlsx]长期应收</v>
      </c>
      <c r="C56" s="1647" t="str">
        <f ca="1" t="shared" si="9"/>
        <v>中煤第五建设有限公司第三工程处拟处置实物资产项目\[0000-3基础法明细表.xlsx]长期应收</v>
      </c>
      <c r="D56" s="1648">
        <f>IF(SUM(分类汇总!J$43,分类汇总!J$68)=0,分类汇总!H27,分类汇总!J27)</f>
        <v>0</v>
      </c>
      <c r="E56" s="1649">
        <f>非流动资总!BA11</f>
        <v>0</v>
      </c>
      <c r="F56" s="1649">
        <f>非流动资总!BB11</f>
        <v>0</v>
      </c>
      <c r="G56" s="1649">
        <f>非流动资总!BC11</f>
        <v>0</v>
      </c>
      <c r="H56" s="1649">
        <f>非流动资总!BD11</f>
        <v>0</v>
      </c>
      <c r="I56" s="1649">
        <f>非流动资总!BE11</f>
        <v>0</v>
      </c>
      <c r="J56" s="1649">
        <f>非流动资总!BF11</f>
        <v>0</v>
      </c>
      <c r="K56" s="1650">
        <f t="shared" si="8"/>
        <v>0</v>
      </c>
      <c r="L56" s="1637" t="str">
        <f t="shared" si="10"/>
        <v>隐藏</v>
      </c>
      <c r="M56" s="1637" t="s">
        <v>576</v>
      </c>
      <c r="N56" s="1637" t="e">
        <f ca="1" t="shared" si="18"/>
        <v>#REF!</v>
      </c>
      <c r="O56" s="1637" t="e">
        <f ca="1" t="shared" si="18"/>
        <v>#REF!</v>
      </c>
      <c r="P56" s="1637" t="e">
        <f ca="1" t="shared" si="12"/>
        <v>#REF!</v>
      </c>
      <c r="R56" s="1637">
        <f t="shared" si="3"/>
        <v>1</v>
      </c>
      <c r="S56" s="1637" t="s">
        <v>713</v>
      </c>
      <c r="T56" s="1637"/>
      <c r="U56" s="1637"/>
      <c r="V56" s="1637"/>
      <c r="X56" s="1637">
        <f t="shared" si="4"/>
        <v>2</v>
      </c>
      <c r="Y56" s="1637" t="s">
        <v>709</v>
      </c>
      <c r="Z56" s="1637" t="s">
        <v>714</v>
      </c>
      <c r="AA56" s="1637"/>
      <c r="AB56" s="1637"/>
      <c r="AC56" s="1637"/>
      <c r="AE56" s="1637">
        <f t="shared" si="5"/>
        <v>1</v>
      </c>
      <c r="AF56" s="1637" t="s">
        <v>715</v>
      </c>
      <c r="AG56" s="1637"/>
      <c r="AH56" s="1637"/>
      <c r="AI56" s="1637"/>
      <c r="AJ56" s="1637"/>
      <c r="AL56" s="1637">
        <f t="shared" si="15"/>
        <v>6</v>
      </c>
      <c r="AM56" s="1637" t="s">
        <v>580</v>
      </c>
      <c r="AN56" s="1637" t="s">
        <v>597</v>
      </c>
      <c r="AO56" s="1637" t="s">
        <v>598</v>
      </c>
      <c r="AP56" s="1637" t="s">
        <v>584</v>
      </c>
      <c r="AQ56" s="1637" t="s">
        <v>692</v>
      </c>
      <c r="AR56" s="1637" t="s">
        <v>692</v>
      </c>
      <c r="AS56" s="1637"/>
      <c r="AT56" s="1637"/>
      <c r="AU56" s="1637"/>
      <c r="AV56" s="1637"/>
      <c r="AW56" s="1637"/>
      <c r="AX56" s="1637"/>
    </row>
    <row r="57" spans="1:50">
      <c r="A57" s="1632">
        <f ca="1">IF(B57="","",SUBTOTAL(3,B$3:B57))</f>
        <v>55</v>
      </c>
      <c r="B57" s="1640" t="str">
        <f ca="1">CELL("filename",股权投资!A1)</f>
        <v>D:\桌面\评估\评估\2025评估\中致成\中煤\报告\[104250091]中煤第五建设有限公司第三工程处拟处置实物资产项目\[0000-3基础法明细表.xlsx]股权投资</v>
      </c>
      <c r="C57" s="1641" t="str">
        <f ca="1" t="shared" si="9"/>
        <v>中煤第五建设有限公司第三工程处拟处置实物资产项目\[0000-3基础法明细表.xlsx]股权投资</v>
      </c>
      <c r="D57" s="1642">
        <f>IF(SUM(分类汇总!J$43,分类汇总!J$68)=0,分类汇总!H28,分类汇总!J28)</f>
        <v>0</v>
      </c>
      <c r="E57" s="1643">
        <f>非流动资总!BA12</f>
        <v>0</v>
      </c>
      <c r="F57" s="1643">
        <f>非流动资总!BB12</f>
        <v>0</v>
      </c>
      <c r="G57" s="1643">
        <f>非流动资总!BC12</f>
        <v>0</v>
      </c>
      <c r="H57" s="1643">
        <f>非流动资总!BD12</f>
        <v>0</v>
      </c>
      <c r="I57" s="1643">
        <f>非流动资总!BE12</f>
        <v>0</v>
      </c>
      <c r="J57" s="1643">
        <f>非流动资总!BF12</f>
        <v>0</v>
      </c>
      <c r="K57" s="1644">
        <f t="shared" si="8"/>
        <v>0</v>
      </c>
      <c r="L57" s="1632" t="str">
        <f t="shared" si="10"/>
        <v>隐藏</v>
      </c>
      <c r="M57" s="1632" t="s">
        <v>576</v>
      </c>
      <c r="N57" s="1632" t="e">
        <f ca="1" t="shared" si="18"/>
        <v>#REF!</v>
      </c>
      <c r="O57" s="1632" t="e">
        <f ca="1" t="shared" si="18"/>
        <v>#REF!</v>
      </c>
      <c r="P57" s="1632" t="e">
        <f ca="1" t="shared" si="12"/>
        <v>#REF!</v>
      </c>
      <c r="R57" s="1632">
        <f t="shared" si="3"/>
        <v>1</v>
      </c>
      <c r="S57" s="1632" t="s">
        <v>710</v>
      </c>
      <c r="T57" s="1632"/>
      <c r="U57" s="1632"/>
      <c r="V57" s="1632"/>
      <c r="X57" s="1632">
        <f t="shared" si="4"/>
        <v>2</v>
      </c>
      <c r="Y57" s="1632" t="s">
        <v>625</v>
      </c>
      <c r="Z57" s="1632" t="s">
        <v>711</v>
      </c>
      <c r="AA57" s="1632"/>
      <c r="AB57" s="1632"/>
      <c r="AC57" s="1632"/>
      <c r="AE57" s="1632">
        <f t="shared" si="5"/>
        <v>1</v>
      </c>
      <c r="AF57" s="1632" t="s">
        <v>577</v>
      </c>
      <c r="AG57" s="1632"/>
      <c r="AH57" s="1632"/>
      <c r="AI57" s="1632"/>
      <c r="AJ57" s="1632"/>
      <c r="AL57" s="1632">
        <f t="shared" si="15"/>
        <v>6</v>
      </c>
      <c r="AM57" s="1632" t="s">
        <v>580</v>
      </c>
      <c r="AN57" s="1632" t="s">
        <v>583</v>
      </c>
      <c r="AO57" s="1632" t="s">
        <v>608</v>
      </c>
      <c r="AP57" s="1632" t="s">
        <v>614</v>
      </c>
      <c r="AQ57" s="1632" t="s">
        <v>672</v>
      </c>
      <c r="AR57" s="1632" t="s">
        <v>672</v>
      </c>
      <c r="AS57" s="1632"/>
      <c r="AT57" s="1632"/>
      <c r="AU57" s="1632"/>
      <c r="AV57" s="1632"/>
      <c r="AW57" s="1632"/>
      <c r="AX57" s="1632"/>
    </row>
    <row r="58" spans="1:50">
      <c r="A58" s="1637">
        <f ca="1">IF(B58="","",SUBTOTAL(3,B$3:B58))</f>
        <v>56</v>
      </c>
      <c r="B58" s="1646" t="str">
        <f ca="1">CELL("filename",其他权益工具!A1)</f>
        <v>D:\桌面\评估\评估\2025评估\中致成\中煤\报告\[104250091]中煤第五建设有限公司第三工程处拟处置实物资产项目\[0000-3基础法明细表.xlsx]其他权益工具</v>
      </c>
      <c r="C58" s="1647" t="str">
        <f ca="1" t="shared" si="9"/>
        <v>中煤第五建设有限公司第三工程处拟处置实物资产项目\[0000-3基础法明细表.xlsx]其他权益工具</v>
      </c>
      <c r="D58" s="1648">
        <f>IF(SUM(分类汇总!J$43,分类汇总!J$68)=0,分类汇总!H29,分类汇总!J29)</f>
        <v>0</v>
      </c>
      <c r="E58" s="1649">
        <f>非流动资总!BA13</f>
        <v>0</v>
      </c>
      <c r="F58" s="1649">
        <f>非流动资总!BB13</f>
        <v>0</v>
      </c>
      <c r="G58" s="1649">
        <f>非流动资总!BC13</f>
        <v>0</v>
      </c>
      <c r="H58" s="1649">
        <f>非流动资总!BD13</f>
        <v>0</v>
      </c>
      <c r="I58" s="1649">
        <f>非流动资总!BE13</f>
        <v>0</v>
      </c>
      <c r="J58" s="1649">
        <f>非流动资总!BF13</f>
        <v>0</v>
      </c>
      <c r="K58" s="1650">
        <f t="shared" si="8"/>
        <v>0</v>
      </c>
      <c r="L58" s="1637" t="str">
        <f t="shared" si="10"/>
        <v>隐藏</v>
      </c>
      <c r="M58" s="1637" t="s">
        <v>345</v>
      </c>
      <c r="N58" s="1637" t="e">
        <f ca="1" t="shared" si="18"/>
        <v>#REF!</v>
      </c>
      <c r="O58" s="1637" t="e">
        <f ca="1" t="shared" si="18"/>
        <v>#REF!</v>
      </c>
      <c r="P58" s="1637" t="e">
        <f ca="1" t="shared" si="12"/>
        <v>#REF!</v>
      </c>
      <c r="R58" s="1637">
        <f t="shared" si="3"/>
        <v>1</v>
      </c>
      <c r="S58" s="1637" t="s">
        <v>716</v>
      </c>
      <c r="T58" s="1637"/>
      <c r="U58" s="1637"/>
      <c r="V58" s="1637"/>
      <c r="X58" s="1637">
        <f t="shared" si="4"/>
        <v>2</v>
      </c>
      <c r="Y58" s="1637" t="s">
        <v>605</v>
      </c>
      <c r="Z58" s="1637" t="s">
        <v>717</v>
      </c>
      <c r="AA58" s="1637"/>
      <c r="AB58" s="1637"/>
      <c r="AC58" s="1637"/>
      <c r="AE58" s="1637">
        <f t="shared" si="5"/>
        <v>1</v>
      </c>
      <c r="AF58" s="1637" t="s">
        <v>586</v>
      </c>
      <c r="AG58" s="1637"/>
      <c r="AH58" s="1637"/>
      <c r="AI58" s="1637"/>
      <c r="AJ58" s="1637"/>
      <c r="AL58" s="1637">
        <f t="shared" si="15"/>
        <v>6</v>
      </c>
      <c r="AM58" s="1637" t="s">
        <v>580</v>
      </c>
      <c r="AN58" s="1637" t="s">
        <v>590</v>
      </c>
      <c r="AO58" s="1637" t="s">
        <v>614</v>
      </c>
      <c r="AP58" s="1637" t="s">
        <v>584</v>
      </c>
      <c r="AQ58" s="1637" t="s">
        <v>672</v>
      </c>
      <c r="AR58" s="1637" t="s">
        <v>672</v>
      </c>
      <c r="AS58" s="1637"/>
      <c r="AT58" s="1637"/>
      <c r="AU58" s="1637"/>
      <c r="AV58" s="1637"/>
      <c r="AW58" s="1637"/>
      <c r="AX58" s="1637"/>
    </row>
    <row r="59" spans="1:50">
      <c r="A59" s="1632">
        <f ca="1">IF(B59="","",SUBTOTAL(3,B$3:B59))</f>
        <v>57</v>
      </c>
      <c r="B59" s="1640" t="str">
        <f ca="1">CELL("filename",其他金资!A1)</f>
        <v>D:\桌面\评估\评估\2025评估\中致成\中煤\报告\[104250091]中煤第五建设有限公司第三工程处拟处置实物资产项目\[0000-3基础法明细表.xlsx]其他金资</v>
      </c>
      <c r="C59" s="1641" t="str">
        <f ca="1" t="shared" si="9"/>
        <v>中煤第五建设有限公司第三工程处拟处置实物资产项目\[0000-3基础法明细表.xlsx]其他金资</v>
      </c>
      <c r="D59" s="1642">
        <f>IF(SUM(分类汇总!J$43,分类汇总!J$68)=0,分类汇总!H30,分类汇总!J30)</f>
        <v>0</v>
      </c>
      <c r="E59" s="1643">
        <f>非流动资总!BA14</f>
        <v>0</v>
      </c>
      <c r="F59" s="1643">
        <f>非流动资总!BB14</f>
        <v>0</v>
      </c>
      <c r="G59" s="1643">
        <f>非流动资总!BC14</f>
        <v>0</v>
      </c>
      <c r="H59" s="1643">
        <f>非流动资总!BD14</f>
        <v>0</v>
      </c>
      <c r="I59" s="1643">
        <f>非流动资总!BE14</f>
        <v>0</v>
      </c>
      <c r="J59" s="1643">
        <f>非流动资总!BF14</f>
        <v>0</v>
      </c>
      <c r="K59" s="1644">
        <f t="shared" si="8"/>
        <v>0</v>
      </c>
      <c r="L59" s="1632" t="str">
        <f t="shared" si="10"/>
        <v>隐藏</v>
      </c>
      <c r="M59" s="1632" t="s">
        <v>345</v>
      </c>
      <c r="N59" s="1632" t="e">
        <f ca="1" t="shared" si="18"/>
        <v>#REF!</v>
      </c>
      <c r="O59" s="1632" t="e">
        <f ca="1" t="shared" si="18"/>
        <v>#REF!</v>
      </c>
      <c r="P59" s="1632" t="e">
        <f ca="1" t="shared" si="12"/>
        <v>#REF!</v>
      </c>
      <c r="R59" s="1632">
        <f t="shared" si="3"/>
        <v>1</v>
      </c>
      <c r="S59" s="1632" t="s">
        <v>716</v>
      </c>
      <c r="T59" s="1632"/>
      <c r="U59" s="1632"/>
      <c r="V59" s="1632"/>
      <c r="X59" s="1632">
        <f t="shared" si="4"/>
        <v>2</v>
      </c>
      <c r="Y59" s="1632" t="s">
        <v>605</v>
      </c>
      <c r="Z59" s="1632" t="s">
        <v>717</v>
      </c>
      <c r="AA59" s="1632"/>
      <c r="AB59" s="1632"/>
      <c r="AC59" s="1632"/>
      <c r="AE59" s="1632">
        <f t="shared" si="5"/>
        <v>2</v>
      </c>
      <c r="AF59" s="1632" t="s">
        <v>607</v>
      </c>
      <c r="AG59" s="1632" t="s">
        <v>605</v>
      </c>
      <c r="AH59" s="1632"/>
      <c r="AI59" s="1632"/>
      <c r="AJ59" s="1632"/>
      <c r="AL59" s="1632">
        <f t="shared" si="15"/>
        <v>6</v>
      </c>
      <c r="AM59" s="1632" t="s">
        <v>580</v>
      </c>
      <c r="AN59" s="1632" t="s">
        <v>582</v>
      </c>
      <c r="AO59" s="1632" t="s">
        <v>608</v>
      </c>
      <c r="AP59" s="1632" t="s">
        <v>584</v>
      </c>
      <c r="AQ59" s="1632" t="s">
        <v>672</v>
      </c>
      <c r="AR59" s="1632" t="s">
        <v>672</v>
      </c>
      <c r="AS59" s="1632"/>
      <c r="AT59" s="1632"/>
      <c r="AU59" s="1632"/>
      <c r="AV59" s="1632"/>
      <c r="AW59" s="1632"/>
      <c r="AX59" s="1632"/>
    </row>
    <row r="60" s="1613" customFormat="1" spans="1:50">
      <c r="A60" s="1617">
        <f ca="1">IF(B60="","",SUBTOTAL(3,B$3:B60))</f>
        <v>58</v>
      </c>
      <c r="B60" s="1651" t="str">
        <f ca="1">CELL("filename",投资性房产总!A1)</f>
        <v>D:\桌面\评估\评估\2025评估\中致成\中煤\报告\[104250091]中煤第五建设有限公司第三工程处拟处置实物资产项目\[0000-3基础法明细表.xlsx]投资性房产总</v>
      </c>
      <c r="C60" s="1635" t="str">
        <f ca="1" t="shared" si="9"/>
        <v>中煤第五建设有限公司第三工程处拟处置实物资产项目\[0000-3基础法明细表.xlsx]投资性房产总</v>
      </c>
      <c r="D60" s="1639">
        <f>IF(SUM(分类汇总!J$43,分类汇总!J$68)=0,分类汇总!H31,分类汇总!J31)</f>
        <v>0</v>
      </c>
      <c r="E60" s="1652">
        <f>SUM(E61:E64)</f>
        <v>0</v>
      </c>
      <c r="F60" s="1652">
        <f>SUM(F61:F64)</f>
        <v>0</v>
      </c>
      <c r="G60" s="1652">
        <f>SUM(G61:G64)</f>
        <v>0</v>
      </c>
      <c r="H60" s="1652">
        <f t="shared" si="7"/>
        <v>0</v>
      </c>
      <c r="I60" s="1652">
        <f>SUM(I61:I64)</f>
        <v>0</v>
      </c>
      <c r="J60" s="1652">
        <f>SUM(J61:J64)</f>
        <v>0</v>
      </c>
      <c r="K60" s="1636">
        <f t="shared" si="8"/>
        <v>0</v>
      </c>
      <c r="L60" s="1617" t="str">
        <f t="shared" si="10"/>
        <v>隐藏</v>
      </c>
      <c r="M60" s="1617" t="s">
        <v>565</v>
      </c>
      <c r="N60" s="1637"/>
      <c r="O60" s="1637"/>
      <c r="P60" s="1637"/>
      <c r="R60" s="1637">
        <f t="shared" si="3"/>
        <v>0</v>
      </c>
      <c r="S60" s="1617"/>
      <c r="T60" s="1617"/>
      <c r="U60" s="1617"/>
      <c r="V60" s="1617"/>
      <c r="X60" s="1637">
        <f t="shared" si="4"/>
        <v>0</v>
      </c>
      <c r="Y60" s="1617"/>
      <c r="Z60" s="1617"/>
      <c r="AA60" s="1617"/>
      <c r="AB60" s="1617"/>
      <c r="AC60" s="1617"/>
      <c r="AE60" s="1637">
        <f t="shared" si="5"/>
        <v>0</v>
      </c>
      <c r="AF60" s="1617"/>
      <c r="AG60" s="1617"/>
      <c r="AH60" s="1617"/>
      <c r="AI60" s="1617"/>
      <c r="AJ60" s="1617"/>
      <c r="AL60" s="1637">
        <f t="shared" si="15"/>
        <v>0</v>
      </c>
      <c r="AM60" s="1617"/>
      <c r="AN60" s="1617"/>
      <c r="AO60" s="1617"/>
      <c r="AP60" s="1617"/>
      <c r="AQ60" s="1617"/>
      <c r="AR60" s="1617"/>
      <c r="AS60" s="1617"/>
      <c r="AT60" s="1617"/>
      <c r="AU60" s="1617"/>
      <c r="AV60" s="1617"/>
      <c r="AW60" s="1617"/>
      <c r="AX60" s="1617"/>
    </row>
    <row r="61" spans="1:50">
      <c r="A61" s="1632">
        <f ca="1">IF(B61="","",SUBTOTAL(3,B$3:B61))</f>
        <v>59</v>
      </c>
      <c r="B61" s="1640" t="str">
        <f ca="1">CELL("filename",'投资-房屋成本'!A1)</f>
        <v>D:\桌面\评估\评估\2025评估\中致成\中煤\报告\[104250091]中煤第五建设有限公司第三工程处拟处置实物资产项目\[0000-3基础法明细表.xlsx]投资-房屋成本</v>
      </c>
      <c r="C61" s="1641" t="str">
        <f ca="1" t="shared" si="9"/>
        <v>中煤第五建设有限公司第三工程处拟处置实物资产项目\[0000-3基础法明细表.xlsx]投资-房屋成本</v>
      </c>
      <c r="D61" s="1642">
        <f>IF(D$60=H$60-G$60,0,1)</f>
        <v>0</v>
      </c>
      <c r="E61" s="1643">
        <f>投资性房产总!BA7</f>
        <v>0</v>
      </c>
      <c r="F61" s="1643">
        <f>投资性房产总!BB7</f>
        <v>0</v>
      </c>
      <c r="G61" s="1643">
        <f>投资性房产总!BC7</f>
        <v>0</v>
      </c>
      <c r="H61" s="1643">
        <f>投资性房产总!BD7</f>
        <v>0</v>
      </c>
      <c r="I61" s="1643">
        <f>投资性房产总!BE7</f>
        <v>0</v>
      </c>
      <c r="J61" s="1643">
        <f>投资性房产总!BF7</f>
        <v>0</v>
      </c>
      <c r="K61" s="1644">
        <f t="shared" si="8"/>
        <v>0</v>
      </c>
      <c r="L61" s="1632" t="str">
        <f t="shared" si="10"/>
        <v>隐藏</v>
      </c>
      <c r="M61" s="1632" t="s">
        <v>576</v>
      </c>
      <c r="N61" s="1632" t="e">
        <f ca="1" t="shared" si="18"/>
        <v>#REF!</v>
      </c>
      <c r="O61" s="1632" t="e">
        <f ca="1" t="shared" si="18"/>
        <v>#REF!</v>
      </c>
      <c r="P61" s="1632" t="e">
        <f ca="1" t="shared" si="12"/>
        <v>#REF!</v>
      </c>
      <c r="R61" s="1632">
        <f t="shared" si="3"/>
        <v>4</v>
      </c>
      <c r="S61" s="1632" t="s">
        <v>718</v>
      </c>
      <c r="T61" s="1632" t="s">
        <v>719</v>
      </c>
      <c r="U61" s="1632" t="s">
        <v>720</v>
      </c>
      <c r="V61" s="1632" t="s">
        <v>721</v>
      </c>
      <c r="X61" s="1632">
        <f t="shared" si="4"/>
        <v>5</v>
      </c>
      <c r="Y61" s="1632" t="s">
        <v>718</v>
      </c>
      <c r="Z61" s="1632" t="s">
        <v>719</v>
      </c>
      <c r="AA61" s="1632" t="s">
        <v>720</v>
      </c>
      <c r="AB61" s="1632" t="s">
        <v>722</v>
      </c>
      <c r="AC61" s="1632" t="s">
        <v>723</v>
      </c>
      <c r="AE61" s="1632">
        <f t="shared" si="5"/>
        <v>4</v>
      </c>
      <c r="AF61" s="1632" t="s">
        <v>718</v>
      </c>
      <c r="AG61" s="1632" t="s">
        <v>719</v>
      </c>
      <c r="AH61" s="1632" t="s">
        <v>720</v>
      </c>
      <c r="AI61" s="1632" t="s">
        <v>724</v>
      </c>
      <c r="AJ61" s="1632"/>
      <c r="AL61" s="1632">
        <f t="shared" si="15"/>
        <v>8</v>
      </c>
      <c r="AM61" s="1632" t="s">
        <v>580</v>
      </c>
      <c r="AN61" s="1632" t="s">
        <v>639</v>
      </c>
      <c r="AO61" s="1632" t="s">
        <v>640</v>
      </c>
      <c r="AP61" s="1632" t="s">
        <v>640</v>
      </c>
      <c r="AQ61" s="1632" t="s">
        <v>725</v>
      </c>
      <c r="AR61" s="1632" t="s">
        <v>643</v>
      </c>
      <c r="AS61" s="1632" t="s">
        <v>726</v>
      </c>
      <c r="AT61" s="1632" t="s">
        <v>726</v>
      </c>
      <c r="AU61" s="1632"/>
      <c r="AV61" s="1632"/>
      <c r="AW61" s="1632"/>
      <c r="AX61" s="1632"/>
    </row>
    <row r="62" spans="1:50">
      <c r="A62" s="1637">
        <f ca="1">IF(B62="","",SUBTOTAL(3,B$3:B62))</f>
        <v>60</v>
      </c>
      <c r="B62" s="1646" t="str">
        <f ca="1">CELL("filename",'投资-房屋公允'!A1)</f>
        <v>D:\桌面\评估\评估\2025评估\中致成\中煤\报告\[104250091]中煤第五建设有限公司第三工程处拟处置实物资产项目\[0000-3基础法明细表.xlsx]投资-房屋公允</v>
      </c>
      <c r="C62" s="1647" t="str">
        <f ca="1" t="shared" si="9"/>
        <v>中煤第五建设有限公司第三工程处拟处置实物资产项目\[0000-3基础法明细表.xlsx]投资-房屋公允</v>
      </c>
      <c r="D62" s="1648">
        <f>IF(D$60=H$60-G$60,0,1)</f>
        <v>0</v>
      </c>
      <c r="E62" s="1649">
        <f>投资性房产总!BA8</f>
        <v>0</v>
      </c>
      <c r="F62" s="1649">
        <f>投资性房产总!BB8</f>
        <v>0</v>
      </c>
      <c r="G62" s="1649">
        <f>投资性房产总!BC8</f>
        <v>0</v>
      </c>
      <c r="H62" s="1649">
        <f>投资性房产总!BD8</f>
        <v>0</v>
      </c>
      <c r="I62" s="1649">
        <f>投资性房产总!BE8</f>
        <v>0</v>
      </c>
      <c r="J62" s="1649">
        <f>投资性房产总!BF8</f>
        <v>0</v>
      </c>
      <c r="K62" s="1650">
        <f t="shared" si="8"/>
        <v>0</v>
      </c>
      <c r="L62" s="1637" t="str">
        <f t="shared" si="10"/>
        <v>隐藏</v>
      </c>
      <c r="M62" s="1637" t="s">
        <v>576</v>
      </c>
      <c r="N62" s="1637" t="e">
        <f ca="1" t="shared" si="18"/>
        <v>#REF!</v>
      </c>
      <c r="O62" s="1637" t="e">
        <f ca="1" t="shared" si="18"/>
        <v>#REF!</v>
      </c>
      <c r="P62" s="1637" t="e">
        <f ca="1" t="shared" si="12"/>
        <v>#REF!</v>
      </c>
      <c r="R62" s="1637">
        <f t="shared" si="3"/>
        <v>4</v>
      </c>
      <c r="S62" s="1637" t="s">
        <v>718</v>
      </c>
      <c r="T62" s="1637" t="s">
        <v>719</v>
      </c>
      <c r="U62" s="1637" t="s">
        <v>727</v>
      </c>
      <c r="V62" s="1637" t="s">
        <v>728</v>
      </c>
      <c r="X62" s="1637">
        <f t="shared" si="4"/>
        <v>5</v>
      </c>
      <c r="Y62" s="1637" t="s">
        <v>718</v>
      </c>
      <c r="Z62" s="1637" t="s">
        <v>719</v>
      </c>
      <c r="AA62" s="1637" t="s">
        <v>727</v>
      </c>
      <c r="AB62" s="1637" t="s">
        <v>729</v>
      </c>
      <c r="AC62" s="1637" t="s">
        <v>730</v>
      </c>
      <c r="AE62" s="1637">
        <f t="shared" si="5"/>
        <v>5</v>
      </c>
      <c r="AF62" s="1637" t="s">
        <v>718</v>
      </c>
      <c r="AG62" s="1637" t="s">
        <v>719</v>
      </c>
      <c r="AH62" s="1637" t="s">
        <v>727</v>
      </c>
      <c r="AI62" s="1637" t="s">
        <v>731</v>
      </c>
      <c r="AJ62" s="1637" t="s">
        <v>729</v>
      </c>
      <c r="AL62" s="1637">
        <f t="shared" si="15"/>
        <v>8</v>
      </c>
      <c r="AM62" s="1637" t="s">
        <v>580</v>
      </c>
      <c r="AN62" s="1637" t="s">
        <v>732</v>
      </c>
      <c r="AO62" s="1637" t="s">
        <v>639</v>
      </c>
      <c r="AP62" s="1637" t="s">
        <v>639</v>
      </c>
      <c r="AQ62" s="1637" t="s">
        <v>641</v>
      </c>
      <c r="AR62" s="1637" t="s">
        <v>707</v>
      </c>
      <c r="AS62" s="1637" t="s">
        <v>733</v>
      </c>
      <c r="AT62" s="1637" t="s">
        <v>733</v>
      </c>
      <c r="AU62" s="1637"/>
      <c r="AV62" s="1637"/>
      <c r="AW62" s="1637"/>
      <c r="AX62" s="1637"/>
    </row>
    <row r="63" spans="1:50">
      <c r="A63" s="1632">
        <f ca="1">IF(B63="","",SUBTOTAL(3,B$3:B63))</f>
        <v>61</v>
      </c>
      <c r="B63" s="1640" t="str">
        <f ca="1">CELL("filename",'投资-土地成本'!A1)</f>
        <v>D:\桌面\评估\评估\2025评估\中致成\中煤\报告\[104250091]中煤第五建设有限公司第三工程处拟处置实物资产项目\[0000-3基础法明细表.xlsx]投资-土地成本</v>
      </c>
      <c r="C63" s="1641" t="str">
        <f ca="1" t="shared" si="9"/>
        <v>中煤第五建设有限公司第三工程处拟处置实物资产项目\[0000-3基础法明细表.xlsx]投资-土地成本</v>
      </c>
      <c r="D63" s="1642">
        <f>IF(D$60=H$60-G$60,0,1)</f>
        <v>0</v>
      </c>
      <c r="E63" s="1643">
        <f>投资性房产总!BA9</f>
        <v>0</v>
      </c>
      <c r="F63" s="1643">
        <f>投资性房产总!BB9</f>
        <v>0</v>
      </c>
      <c r="G63" s="1643">
        <f>投资性房产总!BC9</f>
        <v>0</v>
      </c>
      <c r="H63" s="1643">
        <f>投资性房产总!BD9</f>
        <v>0</v>
      </c>
      <c r="I63" s="1643">
        <f>投资性房产总!BE9</f>
        <v>0</v>
      </c>
      <c r="J63" s="1643">
        <f>投资性房产总!BF9</f>
        <v>0</v>
      </c>
      <c r="K63" s="1644">
        <f t="shared" si="8"/>
        <v>0</v>
      </c>
      <c r="L63" s="1632" t="str">
        <f t="shared" si="10"/>
        <v>隐藏</v>
      </c>
      <c r="M63" s="1632" t="s">
        <v>576</v>
      </c>
      <c r="N63" s="1632" t="e">
        <f ca="1" t="shared" si="18"/>
        <v>#REF!</v>
      </c>
      <c r="O63" s="1632" t="e">
        <f ca="1" t="shared" si="18"/>
        <v>#REF!</v>
      </c>
      <c r="P63" s="1632" t="e">
        <f ca="1" t="shared" si="12"/>
        <v>#REF!</v>
      </c>
      <c r="R63" s="1632">
        <f t="shared" si="3"/>
        <v>4</v>
      </c>
      <c r="S63" s="1632" t="s">
        <v>718</v>
      </c>
      <c r="T63" s="1632" t="s">
        <v>734</v>
      </c>
      <c r="U63" s="1632" t="s">
        <v>735</v>
      </c>
      <c r="V63" s="1632" t="s">
        <v>736</v>
      </c>
      <c r="X63" s="1632">
        <f t="shared" si="4"/>
        <v>5</v>
      </c>
      <c r="Y63" s="1632" t="s">
        <v>718</v>
      </c>
      <c r="Z63" s="1632" t="s">
        <v>734</v>
      </c>
      <c r="AA63" s="1632" t="s">
        <v>735</v>
      </c>
      <c r="AB63" s="1632" t="s">
        <v>737</v>
      </c>
      <c r="AC63" s="1632" t="s">
        <v>738</v>
      </c>
      <c r="AE63" s="1632">
        <f t="shared" si="5"/>
        <v>4</v>
      </c>
      <c r="AF63" s="1632" t="s">
        <v>718</v>
      </c>
      <c r="AG63" s="1632" t="s">
        <v>734</v>
      </c>
      <c r="AH63" s="1632" t="s">
        <v>739</v>
      </c>
      <c r="AI63" s="1632" t="s">
        <v>737</v>
      </c>
      <c r="AJ63" s="1632"/>
      <c r="AL63" s="1632">
        <f t="shared" si="15"/>
        <v>6</v>
      </c>
      <c r="AM63" s="1632" t="s">
        <v>580</v>
      </c>
      <c r="AN63" s="1632" t="s">
        <v>679</v>
      </c>
      <c r="AO63" s="1632" t="s">
        <v>740</v>
      </c>
      <c r="AP63" s="1632" t="s">
        <v>643</v>
      </c>
      <c r="AQ63" s="1632" t="s">
        <v>741</v>
      </c>
      <c r="AR63" s="1632" t="s">
        <v>741</v>
      </c>
      <c r="AS63" s="1632"/>
      <c r="AT63" s="1632"/>
      <c r="AU63" s="1632"/>
      <c r="AV63" s="1632"/>
      <c r="AW63" s="1632"/>
      <c r="AX63" s="1632"/>
    </row>
    <row r="64" spans="1:50">
      <c r="A64" s="1637">
        <f ca="1">IF(B64="","",SUBTOTAL(3,B$3:B64))</f>
        <v>62</v>
      </c>
      <c r="B64" s="1646" t="str">
        <f ca="1">CELL("filename",'投资-土地公允'!A1)</f>
        <v>D:\桌面\评估\评估\2025评估\中致成\中煤\报告\[104250091]中煤第五建设有限公司第三工程处拟处置实物资产项目\[0000-3基础法明细表.xlsx]投资-土地公允</v>
      </c>
      <c r="C64" s="1647" t="str">
        <f ca="1" t="shared" si="9"/>
        <v>中煤第五建设有限公司第三工程处拟处置实物资产项目\[0000-3基础法明细表.xlsx]投资-土地公允</v>
      </c>
      <c r="D64" s="1648">
        <f>IF(D$60=H$60-G$60,0,1)</f>
        <v>0</v>
      </c>
      <c r="E64" s="1649">
        <f>投资性房产总!BA10</f>
        <v>0</v>
      </c>
      <c r="F64" s="1649">
        <f>投资性房产总!BB10</f>
        <v>0</v>
      </c>
      <c r="G64" s="1649">
        <f>投资性房产总!BC10</f>
        <v>0</v>
      </c>
      <c r="H64" s="1649">
        <f>投资性房产总!BD10</f>
        <v>0</v>
      </c>
      <c r="I64" s="1649">
        <f>投资性房产总!BE10</f>
        <v>0</v>
      </c>
      <c r="J64" s="1649">
        <f>投资性房产总!BF10</f>
        <v>0</v>
      </c>
      <c r="K64" s="1650">
        <f t="shared" si="8"/>
        <v>0</v>
      </c>
      <c r="L64" s="1637" t="str">
        <f t="shared" si="10"/>
        <v>隐藏</v>
      </c>
      <c r="M64" s="1637" t="s">
        <v>576</v>
      </c>
      <c r="N64" s="1637" t="e">
        <f ca="1" t="shared" si="18"/>
        <v>#REF!</v>
      </c>
      <c r="O64" s="1637" t="e">
        <f ca="1" t="shared" si="18"/>
        <v>#REF!</v>
      </c>
      <c r="P64" s="1637" t="e">
        <f ca="1" t="shared" si="12"/>
        <v>#REF!</v>
      </c>
      <c r="R64" s="1637">
        <f t="shared" si="3"/>
        <v>4</v>
      </c>
      <c r="S64" s="1637" t="s">
        <v>718</v>
      </c>
      <c r="T64" s="1637" t="s">
        <v>734</v>
      </c>
      <c r="U64" s="1637" t="s">
        <v>680</v>
      </c>
      <c r="V64" s="1637" t="s">
        <v>742</v>
      </c>
      <c r="X64" s="1637">
        <f t="shared" si="4"/>
        <v>5</v>
      </c>
      <c r="Y64" s="1637" t="s">
        <v>718</v>
      </c>
      <c r="Z64" s="1637" t="s">
        <v>734</v>
      </c>
      <c r="AA64" s="1637" t="s">
        <v>680</v>
      </c>
      <c r="AB64" s="1637" t="s">
        <v>743</v>
      </c>
      <c r="AC64" s="1637" t="s">
        <v>744</v>
      </c>
      <c r="AE64" s="1637">
        <f t="shared" si="5"/>
        <v>4</v>
      </c>
      <c r="AF64" s="1637" t="s">
        <v>718</v>
      </c>
      <c r="AG64" s="1637" t="s">
        <v>734</v>
      </c>
      <c r="AH64" s="1637" t="s">
        <v>745</v>
      </c>
      <c r="AI64" s="1637" t="s">
        <v>743</v>
      </c>
      <c r="AJ64" s="1637"/>
      <c r="AL64" s="1637">
        <f t="shared" si="15"/>
        <v>6</v>
      </c>
      <c r="AM64" s="1637" t="s">
        <v>580</v>
      </c>
      <c r="AN64" s="1637" t="s">
        <v>640</v>
      </c>
      <c r="AO64" s="1637" t="s">
        <v>707</v>
      </c>
      <c r="AP64" s="1637" t="s">
        <v>740</v>
      </c>
      <c r="AQ64" s="1637" t="s">
        <v>746</v>
      </c>
      <c r="AR64" s="1637" t="s">
        <v>746</v>
      </c>
      <c r="AS64" s="1637"/>
      <c r="AT64" s="1637"/>
      <c r="AU64" s="1637"/>
      <c r="AV64" s="1637"/>
      <c r="AW64" s="1637"/>
      <c r="AX64" s="1637"/>
    </row>
    <row r="65" s="1613" customFormat="1" spans="1:50">
      <c r="A65" s="1626">
        <f ca="1">IF(B65="","",SUBTOTAL(3,B$3:B65))</f>
        <v>63</v>
      </c>
      <c r="B65" s="1655" t="str">
        <f ca="1">CELL("filename",固定资产总!A1)</f>
        <v>D:\桌面\评估\评估\2025评估\中致成\中煤\报告\[104250091]中煤第五建设有限公司第三工程处拟处置实物资产项目\[0000-3基础法明细表.xlsx]固定资产总</v>
      </c>
      <c r="C65" s="1628" t="str">
        <f ca="1" t="shared" si="9"/>
        <v>中煤第五建设有限公司第三工程处拟处置实物资产项目\[0000-3基础法明细表.xlsx]固定资产总</v>
      </c>
      <c r="D65" s="1656">
        <f>IF(SUM(分类汇总!J$43,分类汇总!J$68)=0,分类汇总!H32,分类汇总!J32)</f>
        <v>0</v>
      </c>
      <c r="E65" s="1657">
        <f>SUM(E66:E75)</f>
        <v>0</v>
      </c>
      <c r="F65" s="1657">
        <f>SUM(F66:F75)</f>
        <v>0</v>
      </c>
      <c r="G65" s="1657">
        <f>SUM(G66:G75)</f>
        <v>0</v>
      </c>
      <c r="H65" s="1657">
        <f t="shared" si="7"/>
        <v>0</v>
      </c>
      <c r="I65" s="1657">
        <f>SUM(I66:I75)</f>
        <v>0</v>
      </c>
      <c r="J65" s="1657">
        <f>SUM(J66:J75)</f>
        <v>0</v>
      </c>
      <c r="K65" s="1631">
        <f t="shared" si="8"/>
        <v>0</v>
      </c>
      <c r="L65" s="1626" t="str">
        <f t="shared" si="10"/>
        <v>隐藏</v>
      </c>
      <c r="M65" s="1626" t="s">
        <v>565</v>
      </c>
      <c r="N65" s="1632"/>
      <c r="O65" s="1632"/>
      <c r="P65" s="1632"/>
      <c r="R65" s="1632">
        <f t="shared" si="3"/>
        <v>0</v>
      </c>
      <c r="S65" s="1626"/>
      <c r="T65" s="1626"/>
      <c r="U65" s="1626"/>
      <c r="V65" s="1626"/>
      <c r="X65" s="1632">
        <f t="shared" si="4"/>
        <v>0</v>
      </c>
      <c r="Y65" s="1626"/>
      <c r="Z65" s="1626"/>
      <c r="AA65" s="1626"/>
      <c r="AB65" s="1626"/>
      <c r="AC65" s="1626"/>
      <c r="AE65" s="1632">
        <f t="shared" si="5"/>
        <v>0</v>
      </c>
      <c r="AF65" s="1626"/>
      <c r="AG65" s="1626"/>
      <c r="AH65" s="1626"/>
      <c r="AI65" s="1626"/>
      <c r="AJ65" s="1626"/>
      <c r="AL65" s="1632">
        <f t="shared" si="15"/>
        <v>0</v>
      </c>
      <c r="AM65" s="1626"/>
      <c r="AN65" s="1626"/>
      <c r="AO65" s="1626"/>
      <c r="AP65" s="1626"/>
      <c r="AQ65" s="1626"/>
      <c r="AR65" s="1626"/>
      <c r="AS65" s="1626"/>
      <c r="AT65" s="1626"/>
      <c r="AU65" s="1626"/>
      <c r="AV65" s="1626"/>
      <c r="AW65" s="1626"/>
      <c r="AX65" s="1626"/>
    </row>
    <row r="66" spans="1:50">
      <c r="A66" s="1637">
        <f ca="1">IF(B66="","",SUBTOTAL(3,B$3:B66))</f>
        <v>64</v>
      </c>
      <c r="B66" s="1646" t="str">
        <f ca="1">CELL("filename",房屋!A1)</f>
        <v>D:\桌面\评估\评估\2025评估\中致成\中煤\报告\[104250091]中煤第五建设有限公司第三工程处拟处置实物资产项目\[0000-3基础法明细表.xlsx]房屋</v>
      </c>
      <c r="C66" s="1647" t="str">
        <f ca="1" t="shared" si="9"/>
        <v>中煤第五建设有限公司第三工程处拟处置实物资产项目\[0000-3基础法明细表.xlsx]房屋</v>
      </c>
      <c r="D66" s="1648">
        <f t="shared" ref="D66:D75" si="23">IF(D$65=H$65-G$65,0,1)</f>
        <v>0</v>
      </c>
      <c r="E66" s="1649">
        <f>固定资产总!BA9</f>
        <v>0</v>
      </c>
      <c r="F66" s="1649">
        <f>固定资产总!BB9</f>
        <v>0</v>
      </c>
      <c r="G66" s="1649">
        <f>固定资产总!BC9</f>
        <v>0</v>
      </c>
      <c r="H66" s="1649">
        <f>固定资产总!BD9</f>
        <v>0</v>
      </c>
      <c r="I66" s="1649">
        <f>固定资产总!BE9</f>
        <v>0</v>
      </c>
      <c r="J66" s="1649">
        <f>固定资产总!BF9</f>
        <v>0</v>
      </c>
      <c r="K66" s="1650">
        <f t="shared" si="8"/>
        <v>0</v>
      </c>
      <c r="L66" s="1637" t="str">
        <f t="shared" si="10"/>
        <v>隐藏</v>
      </c>
      <c r="M66" s="1637" t="s">
        <v>576</v>
      </c>
      <c r="N66" s="1637" t="e">
        <f ca="1" t="shared" si="18"/>
        <v>#REF!</v>
      </c>
      <c r="O66" s="1637" t="e">
        <f ca="1" t="shared" si="18"/>
        <v>#REF!</v>
      </c>
      <c r="P66" s="1637" t="e">
        <f ca="1" t="shared" si="12"/>
        <v>#REF!</v>
      </c>
      <c r="R66" s="1637">
        <f t="shared" si="3"/>
        <v>4</v>
      </c>
      <c r="S66" s="1637" t="s">
        <v>718</v>
      </c>
      <c r="T66" s="1637" t="s">
        <v>587</v>
      </c>
      <c r="U66" s="1637" t="s">
        <v>747</v>
      </c>
      <c r="V66" s="1637" t="s">
        <v>748</v>
      </c>
      <c r="X66" s="1637">
        <f t="shared" si="4"/>
        <v>5</v>
      </c>
      <c r="Y66" s="1637" t="s">
        <v>718</v>
      </c>
      <c r="Z66" s="1637" t="s">
        <v>587</v>
      </c>
      <c r="AA66" s="1637" t="s">
        <v>747</v>
      </c>
      <c r="AB66" s="1637" t="s">
        <v>749</v>
      </c>
      <c r="AC66" s="1637" t="s">
        <v>750</v>
      </c>
      <c r="AE66" s="1637">
        <f t="shared" si="5"/>
        <v>4</v>
      </c>
      <c r="AF66" s="1637" t="s">
        <v>718</v>
      </c>
      <c r="AG66" s="1637" t="s">
        <v>587</v>
      </c>
      <c r="AH66" s="1637" t="s">
        <v>747</v>
      </c>
      <c r="AI66" s="1637" t="s">
        <v>751</v>
      </c>
      <c r="AJ66" s="1637"/>
      <c r="AL66" s="1637">
        <f t="shared" si="15"/>
        <v>8</v>
      </c>
      <c r="AM66" s="1637" t="s">
        <v>580</v>
      </c>
      <c r="AN66" s="1637" t="s">
        <v>706</v>
      </c>
      <c r="AO66" s="1637" t="s">
        <v>673</v>
      </c>
      <c r="AP66" s="1637" t="s">
        <v>673</v>
      </c>
      <c r="AQ66" s="1637" t="s">
        <v>707</v>
      </c>
      <c r="AR66" s="1637" t="s">
        <v>733</v>
      </c>
      <c r="AS66" s="1637" t="s">
        <v>752</v>
      </c>
      <c r="AT66" s="1637" t="s">
        <v>752</v>
      </c>
      <c r="AU66" s="1637"/>
      <c r="AV66" s="1637"/>
      <c r="AW66" s="1637"/>
      <c r="AX66" s="1637"/>
    </row>
    <row r="67" spans="1:50">
      <c r="A67" s="1632">
        <f ca="1">IF(B67="","",SUBTOTAL(3,B$3:B67))</f>
        <v>65</v>
      </c>
      <c r="B67" s="1640" t="str">
        <f ca="1">CELL("filename",构筑物!A1)</f>
        <v>D:\桌面\评估\评估\2025评估\中致成\中煤\报告\[104250091]中煤第五建设有限公司第三工程处拟处置实物资产项目\[0000-3基础法明细表.xlsx]构筑物</v>
      </c>
      <c r="C67" s="1641" t="str">
        <f ca="1" t="shared" si="9"/>
        <v>中煤第五建设有限公司第三工程处拟处置实物资产项目\[0000-3基础法明细表.xlsx]构筑物</v>
      </c>
      <c r="D67" s="1642">
        <f t="shared" si="23"/>
        <v>0</v>
      </c>
      <c r="E67" s="1643">
        <f>固定资产总!BA10</f>
        <v>0</v>
      </c>
      <c r="F67" s="1643">
        <f>固定资产总!BB10</f>
        <v>0</v>
      </c>
      <c r="G67" s="1643">
        <f>固定资产总!BC10</f>
        <v>0</v>
      </c>
      <c r="H67" s="1643">
        <f>固定资产总!BD10</f>
        <v>0</v>
      </c>
      <c r="I67" s="1643">
        <f>固定资产总!BE10</f>
        <v>0</v>
      </c>
      <c r="J67" s="1643">
        <f>固定资产总!BF10</f>
        <v>0</v>
      </c>
      <c r="K67" s="1644">
        <f t="shared" si="8"/>
        <v>0</v>
      </c>
      <c r="L67" s="1632" t="str">
        <f t="shared" si="10"/>
        <v>隐藏</v>
      </c>
      <c r="M67" s="1632" t="s">
        <v>576</v>
      </c>
      <c r="N67" s="1632" t="e">
        <f ca="1" t="shared" si="18"/>
        <v>#REF!</v>
      </c>
      <c r="O67" s="1632" t="e">
        <f ca="1" t="shared" si="18"/>
        <v>#REF!</v>
      </c>
      <c r="P67" s="1632" t="e">
        <f ca="1" t="shared" si="12"/>
        <v>#REF!</v>
      </c>
      <c r="R67" s="1632">
        <f t="shared" ref="R67:R88" si="24">COUNTA(S67:V67)</f>
        <v>4</v>
      </c>
      <c r="S67" s="1632" t="s">
        <v>718</v>
      </c>
      <c r="T67" s="1632" t="s">
        <v>753</v>
      </c>
      <c r="U67" s="1632" t="s">
        <v>626</v>
      </c>
      <c r="V67" s="1632" t="s">
        <v>754</v>
      </c>
      <c r="X67" s="1632">
        <f t="shared" si="4"/>
        <v>5</v>
      </c>
      <c r="Y67" s="1632" t="s">
        <v>718</v>
      </c>
      <c r="Z67" s="1632" t="s">
        <v>753</v>
      </c>
      <c r="AA67" s="1632" t="s">
        <v>626</v>
      </c>
      <c r="AB67" s="1632" t="s">
        <v>755</v>
      </c>
      <c r="AC67" s="1632" t="s">
        <v>728</v>
      </c>
      <c r="AE67" s="1632">
        <f t="shared" si="5"/>
        <v>4</v>
      </c>
      <c r="AF67" s="1632" t="s">
        <v>718</v>
      </c>
      <c r="AG67" s="1632" t="s">
        <v>753</v>
      </c>
      <c r="AH67" s="1632" t="s">
        <v>626</v>
      </c>
      <c r="AI67" s="1632" t="s">
        <v>756</v>
      </c>
      <c r="AJ67" s="1632"/>
      <c r="AL67" s="1632">
        <f t="shared" ref="AL67:AL98" si="25">COUNTA(AM67:AX67)</f>
        <v>6</v>
      </c>
      <c r="AM67" s="1632" t="s">
        <v>580</v>
      </c>
      <c r="AN67" s="1632" t="s">
        <v>653</v>
      </c>
      <c r="AO67" s="1632" t="s">
        <v>757</v>
      </c>
      <c r="AP67" s="1632" t="s">
        <v>640</v>
      </c>
      <c r="AQ67" s="1632" t="s">
        <v>733</v>
      </c>
      <c r="AR67" s="1632" t="s">
        <v>733</v>
      </c>
      <c r="AS67" s="1632"/>
      <c r="AT67" s="1632"/>
      <c r="AU67" s="1632"/>
      <c r="AV67" s="1632"/>
      <c r="AW67" s="1632"/>
      <c r="AX67" s="1632"/>
    </row>
    <row r="68" spans="1:50">
      <c r="A68" s="1637">
        <f ca="1">IF(B68="","",SUBTOTAL(3,B$3:B68))</f>
        <v>66</v>
      </c>
      <c r="B68" s="1646" t="str">
        <f ca="1">CELL("filename",沟槽!A1)</f>
        <v>D:\桌面\评估\评估\2025评估\中致成\中煤\报告\[104250091]中煤第五建设有限公司第三工程处拟处置实物资产项目\[0000-3基础法明细表.xlsx]沟槽</v>
      </c>
      <c r="C68" s="1647" t="str">
        <f ca="1" t="shared" si="9"/>
        <v>中煤第五建设有限公司第三工程处拟处置实物资产项目\[0000-3基础法明细表.xlsx]沟槽</v>
      </c>
      <c r="D68" s="1648">
        <f t="shared" si="23"/>
        <v>0</v>
      </c>
      <c r="E68" s="1649">
        <f>固定资产总!BA11</f>
        <v>0</v>
      </c>
      <c r="F68" s="1649">
        <f>固定资产总!BB11</f>
        <v>0</v>
      </c>
      <c r="G68" s="1649">
        <f>固定资产总!BC11</f>
        <v>0</v>
      </c>
      <c r="H68" s="1649">
        <f>固定资产总!BD11</f>
        <v>0</v>
      </c>
      <c r="I68" s="1649">
        <f>固定资产总!BE11</f>
        <v>0</v>
      </c>
      <c r="J68" s="1649">
        <f>固定资产总!BF11</f>
        <v>0</v>
      </c>
      <c r="K68" s="1650">
        <f t="shared" si="8"/>
        <v>0</v>
      </c>
      <c r="L68" s="1637" t="str">
        <f t="shared" si="10"/>
        <v>隐藏</v>
      </c>
      <c r="M68" s="1637" t="s">
        <v>576</v>
      </c>
      <c r="N68" s="1637" t="e">
        <f ca="1" t="shared" si="18"/>
        <v>#REF!</v>
      </c>
      <c r="O68" s="1637" t="e">
        <f ca="1" t="shared" si="18"/>
        <v>#REF!</v>
      </c>
      <c r="P68" s="1637" t="e">
        <f ca="1" t="shared" si="12"/>
        <v>#REF!</v>
      </c>
      <c r="R68" s="1637">
        <f t="shared" si="24"/>
        <v>3</v>
      </c>
      <c r="S68" s="1637" t="s">
        <v>718</v>
      </c>
      <c r="T68" s="1637" t="s">
        <v>579</v>
      </c>
      <c r="U68" s="1637" t="s">
        <v>758</v>
      </c>
      <c r="V68" s="1637"/>
      <c r="X68" s="1637">
        <f t="shared" ref="X68:X125" si="26">COUNTA(Y68:AC68)</f>
        <v>4</v>
      </c>
      <c r="Y68" s="1637" t="s">
        <v>718</v>
      </c>
      <c r="Z68" s="1637" t="s">
        <v>579</v>
      </c>
      <c r="AA68" s="1637" t="s">
        <v>759</v>
      </c>
      <c r="AB68" s="1637" t="s">
        <v>760</v>
      </c>
      <c r="AC68" s="1637"/>
      <c r="AE68" s="1637">
        <f t="shared" ref="AE68:AE125" si="27">COUNTA(AF68:AJ68)</f>
        <v>3</v>
      </c>
      <c r="AF68" s="1637" t="s">
        <v>718</v>
      </c>
      <c r="AG68" s="1637" t="s">
        <v>579</v>
      </c>
      <c r="AH68" s="1637" t="s">
        <v>761</v>
      </c>
      <c r="AI68" s="1637"/>
      <c r="AJ68" s="1637"/>
      <c r="AL68" s="1637">
        <f t="shared" si="25"/>
        <v>6</v>
      </c>
      <c r="AM68" s="1637" t="s">
        <v>580</v>
      </c>
      <c r="AN68" s="1637" t="s">
        <v>672</v>
      </c>
      <c r="AO68" s="1637" t="s">
        <v>648</v>
      </c>
      <c r="AP68" s="1637" t="s">
        <v>673</v>
      </c>
      <c r="AQ68" s="1637" t="s">
        <v>762</v>
      </c>
      <c r="AR68" s="1637" t="s">
        <v>762</v>
      </c>
      <c r="AS68" s="1637"/>
      <c r="AT68" s="1637"/>
      <c r="AU68" s="1637"/>
      <c r="AV68" s="1637"/>
      <c r="AW68" s="1637"/>
      <c r="AX68" s="1637"/>
    </row>
    <row r="69" spans="1:50">
      <c r="A69" s="1632">
        <f ca="1">IF(B69="","",SUBTOTAL(3,B$3:B69))</f>
        <v>67</v>
      </c>
      <c r="B69" s="1640" t="str">
        <f ca="1">CELL("filename",井巷!A1)</f>
        <v>D:\桌面\评估\评估\2025评估\中致成\中煤\报告\[104250091]中煤第五建设有限公司第三工程处拟处置实物资产项目\[0000-3基础法明细表.xlsx]井巷</v>
      </c>
      <c r="C69" s="1641" t="str">
        <f ca="1" t="shared" si="9"/>
        <v>中煤第五建设有限公司第三工程处拟处置实物资产项目\[0000-3基础法明细表.xlsx]井巷</v>
      </c>
      <c r="D69" s="1642">
        <f t="shared" si="23"/>
        <v>0</v>
      </c>
      <c r="E69" s="1643">
        <f>固定资产总!BA12</f>
        <v>0</v>
      </c>
      <c r="F69" s="1643">
        <f>固定资产总!BB12</f>
        <v>0</v>
      </c>
      <c r="G69" s="1643">
        <f>固定资产总!BC12</f>
        <v>0</v>
      </c>
      <c r="H69" s="1643">
        <f>固定资产总!BD12</f>
        <v>0</v>
      </c>
      <c r="I69" s="1643">
        <f>固定资产总!BE12</f>
        <v>0</v>
      </c>
      <c r="J69" s="1643">
        <f>固定资产总!BF12</f>
        <v>0</v>
      </c>
      <c r="K69" s="1644">
        <f t="shared" si="8"/>
        <v>0</v>
      </c>
      <c r="L69" s="1632" t="str">
        <f t="shared" si="10"/>
        <v>隐藏</v>
      </c>
      <c r="M69" s="1632" t="s">
        <v>576</v>
      </c>
      <c r="N69" s="1632" t="e">
        <f ca="1" t="shared" si="18"/>
        <v>#REF!</v>
      </c>
      <c r="O69" s="1632" t="e">
        <f ca="1" t="shared" si="18"/>
        <v>#REF!</v>
      </c>
      <c r="P69" s="1632" t="e">
        <f ca="1" t="shared" si="12"/>
        <v>#REF!</v>
      </c>
      <c r="R69" s="1632">
        <f t="shared" si="24"/>
        <v>2</v>
      </c>
      <c r="S69" s="1632" t="s">
        <v>763</v>
      </c>
      <c r="T69" s="1632" t="s">
        <v>764</v>
      </c>
      <c r="U69" s="1632"/>
      <c r="V69" s="1632"/>
      <c r="X69" s="1632">
        <f t="shared" si="26"/>
        <v>3</v>
      </c>
      <c r="Y69" s="1632" t="s">
        <v>763</v>
      </c>
      <c r="Z69" s="1632" t="s">
        <v>765</v>
      </c>
      <c r="AA69" s="1632" t="s">
        <v>766</v>
      </c>
      <c r="AB69" s="1632"/>
      <c r="AC69" s="1632"/>
      <c r="AE69" s="1632">
        <f t="shared" si="27"/>
        <v>2</v>
      </c>
      <c r="AF69" s="1632" t="s">
        <v>763</v>
      </c>
      <c r="AG69" s="1632" t="s">
        <v>767</v>
      </c>
      <c r="AH69" s="1632"/>
      <c r="AI69" s="1632"/>
      <c r="AJ69" s="1632"/>
      <c r="AL69" s="1632">
        <f t="shared" si="25"/>
        <v>6</v>
      </c>
      <c r="AM69" s="1632" t="s">
        <v>580</v>
      </c>
      <c r="AN69" s="1632" t="s">
        <v>609</v>
      </c>
      <c r="AO69" s="1632" t="s">
        <v>732</v>
      </c>
      <c r="AP69" s="1632" t="s">
        <v>679</v>
      </c>
      <c r="AQ69" s="1632" t="s">
        <v>733</v>
      </c>
      <c r="AR69" s="1632" t="s">
        <v>733</v>
      </c>
      <c r="AS69" s="1632"/>
      <c r="AT69" s="1632"/>
      <c r="AU69" s="1632"/>
      <c r="AV69" s="1632"/>
      <c r="AW69" s="1632"/>
      <c r="AX69" s="1632"/>
    </row>
    <row r="70" spans="1:50">
      <c r="A70" s="1637">
        <f ca="1">IF(B70="","",SUBTOTAL(3,B$3:B70))</f>
        <v>68</v>
      </c>
      <c r="B70" s="1646" t="str">
        <f ca="1">CELL("filename",铺轨!A2)</f>
        <v>D:\桌面\评估\评估\2025评估\中致成\中煤\报告\[104250091]中煤第五建设有限公司第三工程处拟处置实物资产项目\[0000-3基础法明细表.xlsx]铺轨</v>
      </c>
      <c r="C70" s="1647" t="str">
        <f ca="1" t="shared" si="9"/>
        <v>中煤第五建设有限公司第三工程处拟处置实物资产项目\[0000-3基础法明细表.xlsx]铺轨</v>
      </c>
      <c r="D70" s="1648">
        <f t="shared" si="23"/>
        <v>0</v>
      </c>
      <c r="E70" s="1649">
        <f>固定资产总!BA13</f>
        <v>0</v>
      </c>
      <c r="F70" s="1649">
        <f>固定资产总!BB13</f>
        <v>0</v>
      </c>
      <c r="G70" s="1649">
        <f>固定资产总!BC13</f>
        <v>0</v>
      </c>
      <c r="H70" s="1649">
        <f>固定资产总!BD13</f>
        <v>0</v>
      </c>
      <c r="I70" s="1649">
        <f>固定资产总!BE13</f>
        <v>0</v>
      </c>
      <c r="J70" s="1649">
        <f>固定资产总!BF13</f>
        <v>0</v>
      </c>
      <c r="K70" s="1650">
        <f t="shared" ref="K70:K125" si="28">ABS(D70)+ABS(E70)+ABS(F70)+ABS(H70)*ABS(G70)+ABS(I70)+ABS(J70)</f>
        <v>0</v>
      </c>
      <c r="L70" s="1637" t="str">
        <f t="shared" ref="L70:L78" si="29">IF(K70&gt;0,"显示","隐藏")</f>
        <v>隐藏</v>
      </c>
      <c r="M70" s="1637" t="s">
        <v>576</v>
      </c>
      <c r="N70" s="1637" t="e">
        <f ca="1" t="shared" si="18"/>
        <v>#REF!</v>
      </c>
      <c r="O70" s="1637" t="e">
        <f ca="1" t="shared" si="18"/>
        <v>#REF!</v>
      </c>
      <c r="P70" s="1637" t="e">
        <f ca="1" t="shared" ref="P70:P125" si="30">IF(RIGHT($C70,1)="总","",MAX(INDIRECT("'"&amp;$C70&amp;"'!"&amp;P$1)))</f>
        <v>#REF!</v>
      </c>
      <c r="R70" s="1637">
        <f t="shared" si="24"/>
        <v>3</v>
      </c>
      <c r="S70" s="1637" t="s">
        <v>718</v>
      </c>
      <c r="T70" s="1637" t="s">
        <v>612</v>
      </c>
      <c r="U70" s="1637" t="s">
        <v>768</v>
      </c>
      <c r="V70" s="1637"/>
      <c r="X70" s="1637">
        <f t="shared" si="26"/>
        <v>4</v>
      </c>
      <c r="Y70" s="1637" t="s">
        <v>718</v>
      </c>
      <c r="Z70" s="1637" t="s">
        <v>612</v>
      </c>
      <c r="AA70" s="1637" t="s">
        <v>769</v>
      </c>
      <c r="AB70" s="1637" t="s">
        <v>703</v>
      </c>
      <c r="AC70" s="1637"/>
      <c r="AE70" s="1637">
        <f t="shared" si="27"/>
        <v>2</v>
      </c>
      <c r="AF70" s="1637" t="s">
        <v>718</v>
      </c>
      <c r="AG70" s="1637" t="s">
        <v>770</v>
      </c>
      <c r="AH70" s="1637"/>
      <c r="AI70" s="1637"/>
      <c r="AJ70" s="1637"/>
      <c r="AL70" s="1637">
        <f t="shared" si="25"/>
        <v>6</v>
      </c>
      <c r="AM70" s="1637" t="s">
        <v>580</v>
      </c>
      <c r="AN70" s="1637" t="s">
        <v>599</v>
      </c>
      <c r="AO70" s="1637" t="s">
        <v>692</v>
      </c>
      <c r="AP70" s="1637" t="s">
        <v>706</v>
      </c>
      <c r="AQ70" s="1637" t="s">
        <v>725</v>
      </c>
      <c r="AR70" s="1637" t="s">
        <v>725</v>
      </c>
      <c r="AS70" s="1637"/>
      <c r="AT70" s="1637"/>
      <c r="AU70" s="1637"/>
      <c r="AV70" s="1637"/>
      <c r="AW70" s="1637"/>
      <c r="AX70" s="1637"/>
    </row>
    <row r="71" spans="1:50">
      <c r="A71" s="1632">
        <f ca="1">IF(B71="","",SUBTOTAL(3,B$3:B71))</f>
        <v>69</v>
      </c>
      <c r="B71" s="1640" t="str">
        <f ca="1">CELL("filename",机器!A1)</f>
        <v>D:\桌面\评估\评估\2025评估\中致成\中煤\报告\[104250091]中煤第五建设有限公司第三工程处拟处置实物资产项目\[0000-3基础法明细表.xlsx]机器</v>
      </c>
      <c r="C71" s="1641" t="str">
        <f ca="1" t="shared" si="9"/>
        <v>中煤第五建设有限公司第三工程处拟处置实物资产项目\[0000-3基础法明细表.xlsx]机器</v>
      </c>
      <c r="D71" s="1642">
        <f t="shared" si="23"/>
        <v>0</v>
      </c>
      <c r="E71" s="1643">
        <f>固定资产总!BA16</f>
        <v>0</v>
      </c>
      <c r="F71" s="1643">
        <f>固定资产总!BB16</f>
        <v>0</v>
      </c>
      <c r="G71" s="1643">
        <f>固定资产总!BC16</f>
        <v>0</v>
      </c>
      <c r="H71" s="1643">
        <f>固定资产总!BD16</f>
        <v>0</v>
      </c>
      <c r="I71" s="1643">
        <f>固定资产总!BE16</f>
        <v>0</v>
      </c>
      <c r="J71" s="1643">
        <f>固定资产总!BF16</f>
        <v>0</v>
      </c>
      <c r="K71" s="1644">
        <f t="shared" si="28"/>
        <v>0</v>
      </c>
      <c r="L71" s="1632" t="str">
        <f t="shared" si="29"/>
        <v>隐藏</v>
      </c>
      <c r="M71" s="1632" t="s">
        <v>576</v>
      </c>
      <c r="N71" s="1632" t="e">
        <f ca="1" t="shared" si="18"/>
        <v>#REF!</v>
      </c>
      <c r="O71" s="1632" t="e">
        <f ca="1" t="shared" si="18"/>
        <v>#REF!</v>
      </c>
      <c r="P71" s="1632" t="e">
        <f ca="1" t="shared" si="30"/>
        <v>#REF!</v>
      </c>
      <c r="R71" s="1632">
        <f t="shared" si="24"/>
        <v>2</v>
      </c>
      <c r="S71" s="1632" t="s">
        <v>712</v>
      </c>
      <c r="T71" s="1632" t="s">
        <v>768</v>
      </c>
      <c r="U71" s="1632"/>
      <c r="V71" s="1632"/>
      <c r="X71" s="1632">
        <f t="shared" si="26"/>
        <v>3</v>
      </c>
      <c r="Y71" s="1632" t="s">
        <v>712</v>
      </c>
      <c r="Z71" s="1632" t="s">
        <v>769</v>
      </c>
      <c r="AA71" s="1632" t="s">
        <v>703</v>
      </c>
      <c r="AB71" s="1632"/>
      <c r="AC71" s="1632"/>
      <c r="AE71" s="1632">
        <f t="shared" si="27"/>
        <v>2</v>
      </c>
      <c r="AF71" s="1632" t="s">
        <v>712</v>
      </c>
      <c r="AG71" s="1632" t="s">
        <v>771</v>
      </c>
      <c r="AH71" s="1632"/>
      <c r="AI71" s="1632"/>
      <c r="AJ71" s="1632"/>
      <c r="AL71" s="1632">
        <f t="shared" si="25"/>
        <v>6</v>
      </c>
      <c r="AM71" s="1632" t="s">
        <v>580</v>
      </c>
      <c r="AN71" s="1632" t="s">
        <v>599</v>
      </c>
      <c r="AO71" s="1632" t="s">
        <v>692</v>
      </c>
      <c r="AP71" s="1632" t="s">
        <v>706</v>
      </c>
      <c r="AQ71" s="1632" t="s">
        <v>725</v>
      </c>
      <c r="AR71" s="1632" t="s">
        <v>725</v>
      </c>
      <c r="AS71" s="1632"/>
      <c r="AT71" s="1632"/>
      <c r="AU71" s="1632"/>
      <c r="AV71" s="1632"/>
      <c r="AW71" s="1632"/>
      <c r="AX71" s="1632"/>
    </row>
    <row r="72" spans="1:50">
      <c r="A72" s="1637">
        <f ca="1">IF(B72="","",SUBTOTAL(3,B$3:B72))</f>
        <v>70</v>
      </c>
      <c r="B72" s="1646" t="str">
        <f ca="1">CELL("filename",车辆!A1)</f>
        <v>D:\桌面\评估\评估\2025评估\中致成\中煤\报告\[104250091]中煤第五建设有限公司第三工程处拟处置实物资产项目\[0000-3基础法明细表.xlsx]车辆</v>
      </c>
      <c r="C72" s="1647" t="str">
        <f ca="1" t="shared" si="9"/>
        <v>中煤第五建设有限公司第三工程处拟处置实物资产项目\[0000-3基础法明细表.xlsx]车辆</v>
      </c>
      <c r="D72" s="1648">
        <f t="shared" si="23"/>
        <v>0</v>
      </c>
      <c r="E72" s="1649">
        <f>固定资产总!BA17</f>
        <v>0</v>
      </c>
      <c r="F72" s="1649">
        <f>固定资产总!BB17</f>
        <v>0</v>
      </c>
      <c r="G72" s="1649">
        <f>固定资产总!BC17</f>
        <v>0</v>
      </c>
      <c r="H72" s="1649">
        <f>固定资产总!BD17</f>
        <v>0</v>
      </c>
      <c r="I72" s="1649">
        <f>固定资产总!BE17</f>
        <v>0</v>
      </c>
      <c r="J72" s="1649">
        <f>固定资产总!BF17</f>
        <v>0</v>
      </c>
      <c r="K72" s="1650">
        <f t="shared" si="28"/>
        <v>0</v>
      </c>
      <c r="L72" s="1637" t="str">
        <f t="shared" si="29"/>
        <v>隐藏</v>
      </c>
      <c r="M72" s="1637" t="s">
        <v>576</v>
      </c>
      <c r="N72" s="1637" t="e">
        <f ca="1" t="shared" si="18"/>
        <v>#REF!</v>
      </c>
      <c r="O72" s="1637" t="e">
        <f ca="1" t="shared" si="18"/>
        <v>#REF!</v>
      </c>
      <c r="P72" s="1637" t="e">
        <f ca="1" t="shared" si="30"/>
        <v>#REF!</v>
      </c>
      <c r="R72" s="1637">
        <f t="shared" si="24"/>
        <v>3</v>
      </c>
      <c r="S72" s="1637" t="s">
        <v>772</v>
      </c>
      <c r="T72" s="1637" t="s">
        <v>719</v>
      </c>
      <c r="U72" s="1637" t="s">
        <v>758</v>
      </c>
      <c r="V72" s="1637"/>
      <c r="X72" s="1637">
        <f t="shared" si="26"/>
        <v>4</v>
      </c>
      <c r="Y72" s="1637" t="s">
        <v>772</v>
      </c>
      <c r="Z72" s="1637" t="s">
        <v>719</v>
      </c>
      <c r="AA72" s="1637" t="s">
        <v>759</v>
      </c>
      <c r="AB72" s="1637" t="s">
        <v>760</v>
      </c>
      <c r="AC72" s="1637"/>
      <c r="AE72" s="1637">
        <f t="shared" si="27"/>
        <v>3</v>
      </c>
      <c r="AF72" s="1637" t="s">
        <v>772</v>
      </c>
      <c r="AG72" s="1637" t="s">
        <v>719</v>
      </c>
      <c r="AH72" s="1637" t="s">
        <v>761</v>
      </c>
      <c r="AI72" s="1637"/>
      <c r="AJ72" s="1637"/>
      <c r="AL72" s="1637">
        <f t="shared" si="25"/>
        <v>6</v>
      </c>
      <c r="AM72" s="1637" t="s">
        <v>580</v>
      </c>
      <c r="AN72" s="1637" t="s">
        <v>672</v>
      </c>
      <c r="AO72" s="1637" t="s">
        <v>648</v>
      </c>
      <c r="AP72" s="1637" t="s">
        <v>673</v>
      </c>
      <c r="AQ72" s="1637" t="s">
        <v>762</v>
      </c>
      <c r="AR72" s="1637" t="s">
        <v>762</v>
      </c>
      <c r="AS72" s="1637"/>
      <c r="AT72" s="1637"/>
      <c r="AU72" s="1637"/>
      <c r="AV72" s="1637"/>
      <c r="AW72" s="1637"/>
      <c r="AX72" s="1637"/>
    </row>
    <row r="73" spans="1:50">
      <c r="A73" s="1632">
        <f ca="1">IF(B73="","",SUBTOTAL(3,B$3:B73))</f>
        <v>71</v>
      </c>
      <c r="B73" s="1640" t="str">
        <f ca="1">CELL("filename",电子!A1)</f>
        <v>D:\桌面\评估\评估\2025评估\中致成\中煤\报告\[104250091]中煤第五建设有限公司第三工程处拟处置实物资产项目\[0000-3基础法明细表.xlsx]电子</v>
      </c>
      <c r="C73" s="1641" t="str">
        <f ca="1" t="shared" si="9"/>
        <v>中煤第五建设有限公司第三工程处拟处置实物资产项目\[0000-3基础法明细表.xlsx]电子</v>
      </c>
      <c r="D73" s="1642">
        <f t="shared" si="23"/>
        <v>0</v>
      </c>
      <c r="E73" s="1643">
        <f>固定资产总!BA18</f>
        <v>0</v>
      </c>
      <c r="F73" s="1643">
        <f>固定资产总!BB18</f>
        <v>0</v>
      </c>
      <c r="G73" s="1643">
        <f>固定资产总!BC18</f>
        <v>0</v>
      </c>
      <c r="H73" s="1643">
        <f>固定资产总!BD18</f>
        <v>0</v>
      </c>
      <c r="I73" s="1643">
        <f>固定资产总!BE18</f>
        <v>0</v>
      </c>
      <c r="J73" s="1643">
        <f>固定资产总!BF18</f>
        <v>0</v>
      </c>
      <c r="K73" s="1644">
        <f t="shared" si="28"/>
        <v>0</v>
      </c>
      <c r="L73" s="1632" t="str">
        <f t="shared" si="29"/>
        <v>隐藏</v>
      </c>
      <c r="M73" s="1632" t="s">
        <v>576</v>
      </c>
      <c r="N73" s="1632" t="e">
        <f ca="1" t="shared" si="18"/>
        <v>#REF!</v>
      </c>
      <c r="O73" s="1632" t="e">
        <f ca="1" t="shared" si="18"/>
        <v>#REF!</v>
      </c>
      <c r="P73" s="1632" t="e">
        <f ca="1" t="shared" si="30"/>
        <v>#REF!</v>
      </c>
      <c r="R73" s="1632">
        <f t="shared" si="24"/>
        <v>2</v>
      </c>
      <c r="S73" s="1632" t="s">
        <v>773</v>
      </c>
      <c r="T73" s="1632" t="s">
        <v>774</v>
      </c>
      <c r="U73" s="1632"/>
      <c r="V73" s="1632"/>
      <c r="X73" s="1632">
        <f t="shared" si="26"/>
        <v>3</v>
      </c>
      <c r="Y73" s="1632" t="s">
        <v>773</v>
      </c>
      <c r="Z73" s="1632" t="s">
        <v>775</v>
      </c>
      <c r="AA73" s="1632" t="s">
        <v>776</v>
      </c>
      <c r="AB73" s="1632"/>
      <c r="AC73" s="1632"/>
      <c r="AE73" s="1632">
        <f t="shared" si="27"/>
        <v>2</v>
      </c>
      <c r="AF73" s="1632" t="s">
        <v>773</v>
      </c>
      <c r="AG73" s="1632" t="s">
        <v>777</v>
      </c>
      <c r="AH73" s="1632"/>
      <c r="AI73" s="1632"/>
      <c r="AJ73" s="1632"/>
      <c r="AL73" s="1632">
        <f t="shared" si="25"/>
        <v>6</v>
      </c>
      <c r="AM73" s="1632" t="s">
        <v>580</v>
      </c>
      <c r="AN73" s="1632" t="s">
        <v>591</v>
      </c>
      <c r="AO73" s="1632" t="s">
        <v>609</v>
      </c>
      <c r="AP73" s="1632" t="s">
        <v>732</v>
      </c>
      <c r="AQ73" s="1632" t="s">
        <v>707</v>
      </c>
      <c r="AR73" s="1632" t="s">
        <v>707</v>
      </c>
      <c r="AS73" s="1632"/>
      <c r="AT73" s="1632"/>
      <c r="AU73" s="1632"/>
      <c r="AV73" s="1632"/>
      <c r="AW73" s="1632"/>
      <c r="AX73" s="1632"/>
    </row>
    <row r="74" spans="1:50">
      <c r="A74" s="1637">
        <f ca="1">IF(B74="","",SUBTOTAL(3,B$3:B74))</f>
        <v>72</v>
      </c>
      <c r="B74" s="1646" t="str">
        <f ca="1">CELL("filename",清理!A2)</f>
        <v>D:\桌面\评估\评估\2025评估\中致成\中煤\报告\[104250091]中煤第五建设有限公司第三工程处拟处置实物资产项目\[0000-3基础法明细表.xlsx]清理</v>
      </c>
      <c r="C74" s="1647" t="str">
        <f ca="1" t="shared" si="9"/>
        <v>中煤第五建设有限公司第三工程处拟处置实物资产项目\[0000-3基础法明细表.xlsx]清理</v>
      </c>
      <c r="D74" s="1648">
        <f t="shared" si="23"/>
        <v>0</v>
      </c>
      <c r="E74" s="1649">
        <f>固定资产总!BA20</f>
        <v>0</v>
      </c>
      <c r="F74" s="1649">
        <f>固定资产总!BB20</f>
        <v>0</v>
      </c>
      <c r="G74" s="1649">
        <f>固定资产总!BC20</f>
        <v>0</v>
      </c>
      <c r="H74" s="1649">
        <f>固定资产总!BD20</f>
        <v>0</v>
      </c>
      <c r="I74" s="1649">
        <f>固定资产总!BE20</f>
        <v>0</v>
      </c>
      <c r="J74" s="1649">
        <f>固定资产总!BF20</f>
        <v>0</v>
      </c>
      <c r="K74" s="1650">
        <f t="shared" si="28"/>
        <v>0</v>
      </c>
      <c r="L74" s="1637" t="str">
        <f t="shared" si="29"/>
        <v>隐藏</v>
      </c>
      <c r="M74" s="1637" t="s">
        <v>576</v>
      </c>
      <c r="N74" s="1637" t="e">
        <f ca="1" t="shared" si="18"/>
        <v>#REF!</v>
      </c>
      <c r="O74" s="1637" t="e">
        <f ca="1" t="shared" si="18"/>
        <v>#REF!</v>
      </c>
      <c r="P74" s="1637" t="e">
        <f ca="1" t="shared" si="30"/>
        <v>#REF!</v>
      </c>
      <c r="R74" s="1637">
        <f t="shared" si="24"/>
        <v>2</v>
      </c>
      <c r="S74" s="1637" t="s">
        <v>778</v>
      </c>
      <c r="T74" s="1637" t="s">
        <v>779</v>
      </c>
      <c r="U74" s="1637"/>
      <c r="V74" s="1637"/>
      <c r="X74" s="1637">
        <f t="shared" si="26"/>
        <v>3</v>
      </c>
      <c r="Y74" s="1637" t="s">
        <v>778</v>
      </c>
      <c r="Z74" s="1637" t="s">
        <v>775</v>
      </c>
      <c r="AA74" s="1637" t="s">
        <v>780</v>
      </c>
      <c r="AB74" s="1637"/>
      <c r="AC74" s="1637"/>
      <c r="AE74" s="1637">
        <f t="shared" si="27"/>
        <v>1</v>
      </c>
      <c r="AF74" s="1637" t="s">
        <v>781</v>
      </c>
      <c r="AG74" s="1637"/>
      <c r="AH74" s="1637"/>
      <c r="AI74" s="1637"/>
      <c r="AJ74" s="1637"/>
      <c r="AL74" s="1637">
        <f t="shared" si="25"/>
        <v>6</v>
      </c>
      <c r="AM74" s="1637" t="s">
        <v>580</v>
      </c>
      <c r="AN74" s="1637" t="s">
        <v>591</v>
      </c>
      <c r="AO74" s="1637" t="s">
        <v>609</v>
      </c>
      <c r="AP74" s="1637" t="s">
        <v>732</v>
      </c>
      <c r="AQ74" s="1637" t="s">
        <v>642</v>
      </c>
      <c r="AR74" s="1637" t="s">
        <v>642</v>
      </c>
      <c r="AS74" s="1637"/>
      <c r="AT74" s="1637"/>
      <c r="AU74" s="1637"/>
      <c r="AV74" s="1637"/>
      <c r="AW74" s="1637"/>
      <c r="AX74" s="1637"/>
    </row>
    <row r="75" spans="1:50">
      <c r="A75" s="1632">
        <f ca="1">IF(B75="","",SUBTOTAL(3,B$3:B75))</f>
        <v>73</v>
      </c>
      <c r="B75" s="1640" t="str">
        <f ca="1">CELL("filename",土地!A1)</f>
        <v>D:\桌面\评估\评估\2025评估\中致成\中煤\报告\[104250091]中煤第五建设有限公司第三工程处拟处置实物资产项目\[0000-3基础法明细表.xlsx]土地</v>
      </c>
      <c r="C75" s="1641" t="str">
        <f ca="1" t="shared" si="9"/>
        <v>中煤第五建设有限公司第三工程处拟处置实物资产项目\[0000-3基础法明细表.xlsx]土地</v>
      </c>
      <c r="D75" s="1642">
        <f t="shared" si="23"/>
        <v>0</v>
      </c>
      <c r="E75" s="1643">
        <f>固定资产总!BA22</f>
        <v>0</v>
      </c>
      <c r="F75" s="1643">
        <f>固定资产总!BB22</f>
        <v>0</v>
      </c>
      <c r="G75" s="1643">
        <f>固定资产总!BC22</f>
        <v>0</v>
      </c>
      <c r="H75" s="1643">
        <f>固定资产总!BD22</f>
        <v>0</v>
      </c>
      <c r="I75" s="1643">
        <f>固定资产总!BE22</f>
        <v>0</v>
      </c>
      <c r="J75" s="1643">
        <f>固定资产总!BF22</f>
        <v>0</v>
      </c>
      <c r="K75" s="1644">
        <f t="shared" si="28"/>
        <v>0</v>
      </c>
      <c r="L75" s="1632" t="str">
        <f t="shared" si="29"/>
        <v>隐藏</v>
      </c>
      <c r="M75" s="1632" t="s">
        <v>576</v>
      </c>
      <c r="N75" s="1632" t="e">
        <f ca="1" t="shared" si="18"/>
        <v>#REF!</v>
      </c>
      <c r="O75" s="1632" t="e">
        <f ca="1" t="shared" si="18"/>
        <v>#REF!</v>
      </c>
      <c r="P75" s="1632" t="e">
        <f ca="1" t="shared" si="30"/>
        <v>#REF!</v>
      </c>
      <c r="R75" s="1632">
        <f t="shared" si="24"/>
        <v>3</v>
      </c>
      <c r="S75" s="1632" t="s">
        <v>718</v>
      </c>
      <c r="T75" s="1632" t="s">
        <v>668</v>
      </c>
      <c r="U75" s="1632" t="s">
        <v>782</v>
      </c>
      <c r="V75" s="1632"/>
      <c r="X75" s="1632">
        <f t="shared" si="26"/>
        <v>4</v>
      </c>
      <c r="Y75" s="1632" t="s">
        <v>718</v>
      </c>
      <c r="Z75" s="1632" t="s">
        <v>668</v>
      </c>
      <c r="AA75" s="1632" t="s">
        <v>783</v>
      </c>
      <c r="AB75" s="1632" t="s">
        <v>784</v>
      </c>
      <c r="AC75" s="1632"/>
      <c r="AE75" s="1632">
        <f t="shared" si="27"/>
        <v>3</v>
      </c>
      <c r="AF75" s="1632" t="s">
        <v>718</v>
      </c>
      <c r="AG75" s="1632" t="s">
        <v>668</v>
      </c>
      <c r="AH75" s="1632" t="s">
        <v>785</v>
      </c>
      <c r="AI75" s="1632"/>
      <c r="AJ75" s="1632"/>
      <c r="AL75" s="1632">
        <f t="shared" si="25"/>
        <v>6</v>
      </c>
      <c r="AM75" s="1632" t="s">
        <v>580</v>
      </c>
      <c r="AN75" s="1632" t="s">
        <v>640</v>
      </c>
      <c r="AO75" s="1632" t="s">
        <v>707</v>
      </c>
      <c r="AP75" s="1632" t="s">
        <v>762</v>
      </c>
      <c r="AQ75" s="1632" t="s">
        <v>786</v>
      </c>
      <c r="AR75" s="1632" t="s">
        <v>786</v>
      </c>
      <c r="AS75" s="1632"/>
      <c r="AT75" s="1632"/>
      <c r="AU75" s="1632"/>
      <c r="AV75" s="1632"/>
      <c r="AW75" s="1632"/>
      <c r="AX75" s="1632"/>
    </row>
    <row r="76" s="1613" customFormat="1" spans="1:50">
      <c r="A76" s="1617">
        <f ca="1">IF(B76="","",SUBTOTAL(3,B$3:B76))</f>
        <v>74</v>
      </c>
      <c r="B76" s="1651" t="str">
        <f ca="1">CELL("filename",在建总!A1)</f>
        <v>D:\桌面\评估\评估\2025评估\中致成\中煤\报告\[104250091]中煤第五建设有限公司第三工程处拟处置实物资产项目\[0000-3基础法明细表.xlsx]在建总</v>
      </c>
      <c r="C76" s="1635" t="str">
        <f ca="1" t="shared" ref="C76:C77" si="31">RIGHT(B76,LEN(B76)-FIND("]",B76))</f>
        <v>中煤第五建设有限公司第三工程处拟处置实物资产项目\[0000-3基础法明细表.xlsx]在建总</v>
      </c>
      <c r="D76" s="1639">
        <f>IF(SUM(分类汇总!J$43,分类汇总!J$68)=0,分类汇总!H33,分类汇总!J33)</f>
        <v>0</v>
      </c>
      <c r="E76" s="1652">
        <f>SUM(E77:E81)</f>
        <v>0</v>
      </c>
      <c r="F76" s="1652">
        <f>SUM(F77:F81)</f>
        <v>0</v>
      </c>
      <c r="G76" s="1652">
        <f>SUM(G77:G81)</f>
        <v>0</v>
      </c>
      <c r="H76" s="1652">
        <f t="shared" ref="H76:H117" si="32">F76-G76</f>
        <v>0</v>
      </c>
      <c r="I76" s="1652">
        <f>SUM(I77:I81)</f>
        <v>0</v>
      </c>
      <c r="J76" s="1652">
        <f>SUM(J77:J81)</f>
        <v>0</v>
      </c>
      <c r="K76" s="1636">
        <f t="shared" si="28"/>
        <v>0</v>
      </c>
      <c r="L76" s="1617" t="str">
        <f t="shared" si="29"/>
        <v>隐藏</v>
      </c>
      <c r="M76" s="1617" t="s">
        <v>565</v>
      </c>
      <c r="N76" s="1637"/>
      <c r="O76" s="1637"/>
      <c r="P76" s="1637"/>
      <c r="R76" s="1637">
        <f t="shared" si="24"/>
        <v>0</v>
      </c>
      <c r="S76" s="1617"/>
      <c r="T76" s="1617"/>
      <c r="U76" s="1617"/>
      <c r="V76" s="1617"/>
      <c r="X76" s="1637">
        <f t="shared" si="26"/>
        <v>0</v>
      </c>
      <c r="Y76" s="1617"/>
      <c r="Z76" s="1617"/>
      <c r="AA76" s="1617"/>
      <c r="AB76" s="1617"/>
      <c r="AC76" s="1617"/>
      <c r="AE76" s="1637">
        <f t="shared" si="27"/>
        <v>0</v>
      </c>
      <c r="AF76" s="1617"/>
      <c r="AG76" s="1617"/>
      <c r="AH76" s="1617"/>
      <c r="AI76" s="1617"/>
      <c r="AJ76" s="1617"/>
      <c r="AL76" s="1637">
        <f t="shared" si="25"/>
        <v>0</v>
      </c>
      <c r="AM76" s="1617"/>
      <c r="AN76" s="1617"/>
      <c r="AO76" s="1617"/>
      <c r="AP76" s="1617"/>
      <c r="AQ76" s="1617"/>
      <c r="AR76" s="1617"/>
      <c r="AS76" s="1617"/>
      <c r="AT76" s="1617"/>
      <c r="AU76" s="1617"/>
      <c r="AV76" s="1617"/>
      <c r="AW76" s="1617"/>
      <c r="AX76" s="1617"/>
    </row>
    <row r="77" spans="1:50">
      <c r="A77" s="1632">
        <f ca="1">IF(B77="","",SUBTOTAL(3,B$3:B77))</f>
        <v>75</v>
      </c>
      <c r="B77" s="1640" t="str">
        <f ca="1">CELL("filename",'在建-土建'!A1)</f>
        <v>D:\桌面\评估\评估\2025评估\中致成\中煤\报告\[104250091]中煤第五建设有限公司第三工程处拟处置实物资产项目\[0000-3基础法明细表.xlsx]在建-土建</v>
      </c>
      <c r="C77" s="1641" t="str">
        <f ca="1" t="shared" si="31"/>
        <v>中煤第五建设有限公司第三工程处拟处置实物资产项目\[0000-3基础法明细表.xlsx]在建-土建</v>
      </c>
      <c r="D77" s="1642">
        <f t="shared" ref="D77:D82" si="33">IF(D$76=H$76,0,1)</f>
        <v>0</v>
      </c>
      <c r="E77" s="1643">
        <f>在建总!BA7</f>
        <v>0</v>
      </c>
      <c r="F77" s="1643">
        <f>在建总!BB7</f>
        <v>0</v>
      </c>
      <c r="G77" s="1643">
        <f>在建总!BC7</f>
        <v>0</v>
      </c>
      <c r="H77" s="1643">
        <f>在建总!BD7</f>
        <v>0</v>
      </c>
      <c r="I77" s="1643">
        <f>在建总!BE7</f>
        <v>0</v>
      </c>
      <c r="J77" s="1643">
        <f>在建总!BF7</f>
        <v>0</v>
      </c>
      <c r="K77" s="1644">
        <f t="shared" si="28"/>
        <v>0</v>
      </c>
      <c r="L77" s="1632" t="str">
        <f t="shared" si="29"/>
        <v>隐藏</v>
      </c>
      <c r="M77" s="1632" t="s">
        <v>576</v>
      </c>
      <c r="N77" s="1632" t="e">
        <f ca="1" t="shared" si="18"/>
        <v>#REF!</v>
      </c>
      <c r="O77" s="1632" t="e">
        <f ca="1" t="shared" si="18"/>
        <v>#REF!</v>
      </c>
      <c r="P77" s="1632" t="e">
        <f ca="1" t="shared" si="30"/>
        <v>#REF!</v>
      </c>
      <c r="R77" s="1632">
        <f t="shared" si="24"/>
        <v>1</v>
      </c>
      <c r="S77" s="1632" t="s">
        <v>787</v>
      </c>
      <c r="T77" s="1632"/>
      <c r="U77" s="1632"/>
      <c r="V77" s="1632"/>
      <c r="X77" s="1632">
        <f t="shared" si="26"/>
        <v>2</v>
      </c>
      <c r="Y77" s="1632" t="s">
        <v>626</v>
      </c>
      <c r="Z77" s="1632" t="s">
        <v>788</v>
      </c>
      <c r="AA77" s="1632"/>
      <c r="AB77" s="1632"/>
      <c r="AC77" s="1632"/>
      <c r="AE77" s="1632">
        <f t="shared" si="27"/>
        <v>1</v>
      </c>
      <c r="AF77" s="1632" t="s">
        <v>789</v>
      </c>
      <c r="AG77" s="1632"/>
      <c r="AH77" s="1632"/>
      <c r="AI77" s="1632"/>
      <c r="AJ77" s="1632"/>
      <c r="AL77" s="1632">
        <f t="shared" si="25"/>
        <v>6</v>
      </c>
      <c r="AM77" s="1632" t="s">
        <v>580</v>
      </c>
      <c r="AN77" s="1632" t="s">
        <v>608</v>
      </c>
      <c r="AO77" s="1632" t="s">
        <v>591</v>
      </c>
      <c r="AP77" s="1632" t="s">
        <v>599</v>
      </c>
      <c r="AQ77" s="1632" t="s">
        <v>692</v>
      </c>
      <c r="AR77" s="1632" t="s">
        <v>692</v>
      </c>
      <c r="AS77" s="1632"/>
      <c r="AT77" s="1632"/>
      <c r="AU77" s="1632"/>
      <c r="AV77" s="1632"/>
      <c r="AW77" s="1632"/>
      <c r="AX77" s="1632"/>
    </row>
    <row r="78" spans="1:50">
      <c r="A78" s="1637">
        <f ca="1">IF(B78="","",SUBTOTAL(3,B$3:B78))</f>
        <v>76</v>
      </c>
      <c r="B78" s="1646" t="str">
        <f ca="1">CELL("filename",'在建-设备'!A1)</f>
        <v>D:\桌面\评估\评估\2025评估\中致成\中煤\报告\[104250091]中煤第五建设有限公司第三工程处拟处置实物资产项目\[0000-3基础法明细表.xlsx]在建-设备</v>
      </c>
      <c r="C78" s="1647" t="str">
        <f ca="1" t="shared" ref="C78:C125" si="34">RIGHT(B78,LEN(B78)-FIND("]",B78))</f>
        <v>中煤第五建设有限公司第三工程处拟处置实物资产项目\[0000-3基础法明细表.xlsx]在建-设备</v>
      </c>
      <c r="D78" s="1648">
        <f t="shared" si="33"/>
        <v>0</v>
      </c>
      <c r="E78" s="1649">
        <f>在建总!BA8</f>
        <v>0</v>
      </c>
      <c r="F78" s="1649">
        <f>在建总!BB8</f>
        <v>0</v>
      </c>
      <c r="G78" s="1649">
        <f>在建总!BC8</f>
        <v>0</v>
      </c>
      <c r="H78" s="1649">
        <f>在建总!BD8</f>
        <v>0</v>
      </c>
      <c r="I78" s="1649">
        <f>在建总!BE8</f>
        <v>0</v>
      </c>
      <c r="J78" s="1649">
        <f>在建总!BF8</f>
        <v>0</v>
      </c>
      <c r="K78" s="1650">
        <f t="shared" si="28"/>
        <v>0</v>
      </c>
      <c r="L78" s="1637" t="str">
        <f t="shared" si="29"/>
        <v>隐藏</v>
      </c>
      <c r="M78" s="1637" t="s">
        <v>576</v>
      </c>
      <c r="N78" s="1637" t="e">
        <f ca="1" t="shared" si="18"/>
        <v>#REF!</v>
      </c>
      <c r="O78" s="1637" t="e">
        <f ca="1" t="shared" si="18"/>
        <v>#REF!</v>
      </c>
      <c r="P78" s="1637" t="e">
        <f ca="1" t="shared" si="30"/>
        <v>#REF!</v>
      </c>
      <c r="R78" s="1637">
        <f t="shared" si="24"/>
        <v>1</v>
      </c>
      <c r="S78" s="1637" t="s">
        <v>790</v>
      </c>
      <c r="T78" s="1637"/>
      <c r="U78" s="1637"/>
      <c r="V78" s="1637"/>
      <c r="X78" s="1637">
        <f t="shared" si="26"/>
        <v>2</v>
      </c>
      <c r="Y78" s="1637" t="s">
        <v>676</v>
      </c>
      <c r="Z78" s="1637" t="s">
        <v>765</v>
      </c>
      <c r="AA78" s="1637"/>
      <c r="AB78" s="1637"/>
      <c r="AC78" s="1637"/>
      <c r="AE78" s="1637">
        <f t="shared" si="27"/>
        <v>1</v>
      </c>
      <c r="AF78" s="1637" t="s">
        <v>791</v>
      </c>
      <c r="AG78" s="1637"/>
      <c r="AH78" s="1637"/>
      <c r="AI78" s="1637"/>
      <c r="AJ78" s="1637"/>
      <c r="AL78" s="1637">
        <f t="shared" si="25"/>
        <v>8</v>
      </c>
      <c r="AM78" s="1637" t="s">
        <v>580</v>
      </c>
      <c r="AN78" s="1637" t="s">
        <v>598</v>
      </c>
      <c r="AO78" s="1637" t="s">
        <v>584</v>
      </c>
      <c r="AP78" s="1637" t="s">
        <v>599</v>
      </c>
      <c r="AQ78" s="1637" t="s">
        <v>672</v>
      </c>
      <c r="AR78" s="1637" t="s">
        <v>609</v>
      </c>
      <c r="AS78" s="1637" t="s">
        <v>641</v>
      </c>
      <c r="AT78" s="1637" t="s">
        <v>641</v>
      </c>
      <c r="AU78" s="1637"/>
      <c r="AV78" s="1637"/>
      <c r="AW78" s="1637"/>
      <c r="AX78" s="1637"/>
    </row>
    <row r="79" spans="1:50">
      <c r="A79" s="1632">
        <f ca="1">IF(B79="","",SUBTOTAL(3,B$3:B79))</f>
        <v>77</v>
      </c>
      <c r="B79" s="1640" t="str">
        <f ca="1">CELL("filename",'在建-待摊'!A1)</f>
        <v>D:\桌面\评估\评估\2025评估\中致成\中煤\报告\[104250091]中煤第五建设有限公司第三工程处拟处置实物资产项目\[0000-3基础法明细表.xlsx]在建-待摊</v>
      </c>
      <c r="C79" s="1641" t="str">
        <f ca="1" t="shared" si="34"/>
        <v>中煤第五建设有限公司第三工程处拟处置实物资产项目\[0000-3基础法明细表.xlsx]在建-待摊</v>
      </c>
      <c r="D79" s="1642">
        <f t="shared" si="33"/>
        <v>0</v>
      </c>
      <c r="E79" s="1643">
        <f>在建总!BA9</f>
        <v>0</v>
      </c>
      <c r="F79" s="1643">
        <f>在建总!BB9</f>
        <v>0</v>
      </c>
      <c r="G79" s="1643">
        <f>在建总!BC9</f>
        <v>0</v>
      </c>
      <c r="H79" s="1643">
        <f>在建总!BD9</f>
        <v>0</v>
      </c>
      <c r="I79" s="1643">
        <f>在建总!BE9</f>
        <v>0</v>
      </c>
      <c r="J79" s="1643">
        <f>在建总!BF9</f>
        <v>0</v>
      </c>
      <c r="K79" s="1644">
        <f t="shared" si="28"/>
        <v>0</v>
      </c>
      <c r="L79" s="1632" t="str">
        <f t="shared" ref="L79:L125" si="35">IF(K79&gt;0,"显示","隐藏")</f>
        <v>隐藏</v>
      </c>
      <c r="M79" s="1632" t="s">
        <v>576</v>
      </c>
      <c r="N79" s="1632" t="e">
        <f ca="1" t="shared" si="18"/>
        <v>#REF!</v>
      </c>
      <c r="O79" s="1632" t="e">
        <f ca="1" t="shared" si="18"/>
        <v>#REF!</v>
      </c>
      <c r="P79" s="1632" t="e">
        <f ca="1" t="shared" si="30"/>
        <v>#REF!</v>
      </c>
      <c r="R79" s="1632">
        <f t="shared" si="24"/>
        <v>1</v>
      </c>
      <c r="S79" s="1632" t="s">
        <v>789</v>
      </c>
      <c r="T79" s="1632"/>
      <c r="U79" s="1632"/>
      <c r="V79" s="1632"/>
      <c r="X79" s="1632">
        <f t="shared" si="26"/>
        <v>2</v>
      </c>
      <c r="Y79" s="1632" t="s">
        <v>792</v>
      </c>
      <c r="Z79" s="1632" t="s">
        <v>793</v>
      </c>
      <c r="AA79" s="1632"/>
      <c r="AB79" s="1632"/>
      <c r="AC79" s="1632"/>
      <c r="AE79" s="1632">
        <f t="shared" si="27"/>
        <v>1</v>
      </c>
      <c r="AF79" s="1632" t="s">
        <v>794</v>
      </c>
      <c r="AG79" s="1632"/>
      <c r="AH79" s="1632"/>
      <c r="AI79" s="1632"/>
      <c r="AJ79" s="1632"/>
      <c r="AL79" s="1632">
        <f t="shared" si="25"/>
        <v>6</v>
      </c>
      <c r="AM79" s="1632" t="s">
        <v>580</v>
      </c>
      <c r="AN79" s="1632" t="s">
        <v>582</v>
      </c>
      <c r="AO79" s="1632" t="s">
        <v>598</v>
      </c>
      <c r="AP79" s="1632" t="s">
        <v>608</v>
      </c>
      <c r="AQ79" s="1632" t="s">
        <v>627</v>
      </c>
      <c r="AR79" s="1632" t="s">
        <v>627</v>
      </c>
      <c r="AS79" s="1632"/>
      <c r="AT79" s="1632"/>
      <c r="AU79" s="1632"/>
      <c r="AV79" s="1632"/>
      <c r="AW79" s="1632"/>
      <c r="AX79" s="1632"/>
    </row>
    <row r="80" spans="1:50">
      <c r="A80" s="1637">
        <f ca="1">IF(B80="","",SUBTOTAL(3,B$3:B80))</f>
        <v>78</v>
      </c>
      <c r="B80" s="1646" t="str">
        <f ca="1">CELL("filename",'在建-预付'!A1)</f>
        <v>D:\桌面\评估\评估\2025评估\中致成\中煤\报告\[104250091]中煤第五建设有限公司第三工程处拟处置实物资产项目\[0000-3基础法明细表.xlsx]在建-预付</v>
      </c>
      <c r="C80" s="1647" t="str">
        <f ca="1" t="shared" si="34"/>
        <v>中煤第五建设有限公司第三工程处拟处置实物资产项目\[0000-3基础法明细表.xlsx]在建-预付</v>
      </c>
      <c r="D80" s="1648">
        <f t="shared" si="33"/>
        <v>0</v>
      </c>
      <c r="E80" s="1649">
        <f>在建总!BA10</f>
        <v>0</v>
      </c>
      <c r="F80" s="1649">
        <f>在建总!BB10</f>
        <v>0</v>
      </c>
      <c r="G80" s="1649">
        <f>在建总!BC10</f>
        <v>0</v>
      </c>
      <c r="H80" s="1649">
        <f>在建总!BD10</f>
        <v>0</v>
      </c>
      <c r="I80" s="1649">
        <f>在建总!BE10</f>
        <v>0</v>
      </c>
      <c r="J80" s="1649">
        <f>在建总!BF10</f>
        <v>0</v>
      </c>
      <c r="K80" s="1650">
        <f t="shared" si="28"/>
        <v>0</v>
      </c>
      <c r="L80" s="1637" t="str">
        <f t="shared" si="35"/>
        <v>隐藏</v>
      </c>
      <c r="M80" s="1637" t="s">
        <v>576</v>
      </c>
      <c r="N80" s="1637" t="e">
        <f ca="1" t="shared" si="18"/>
        <v>#REF!</v>
      </c>
      <c r="O80" s="1637" t="e">
        <f ca="1" t="shared" si="18"/>
        <v>#REF!</v>
      </c>
      <c r="P80" s="1637" t="e">
        <f ca="1" t="shared" si="30"/>
        <v>#REF!</v>
      </c>
      <c r="R80" s="1637">
        <f t="shared" si="24"/>
        <v>1</v>
      </c>
      <c r="S80" s="1637" t="s">
        <v>594</v>
      </c>
      <c r="T80" s="1637"/>
      <c r="U80" s="1637"/>
      <c r="V80" s="1637"/>
      <c r="X80" s="1637">
        <f t="shared" si="26"/>
        <v>2</v>
      </c>
      <c r="Y80" s="1637" t="s">
        <v>595</v>
      </c>
      <c r="Z80" s="1637" t="s">
        <v>596</v>
      </c>
      <c r="AA80" s="1637"/>
      <c r="AB80" s="1637"/>
      <c r="AC80" s="1637"/>
      <c r="AE80" s="1637">
        <f t="shared" si="27"/>
        <v>1</v>
      </c>
      <c r="AF80" s="1637" t="s">
        <v>655</v>
      </c>
      <c r="AG80" s="1637"/>
      <c r="AH80" s="1637"/>
      <c r="AI80" s="1637"/>
      <c r="AJ80" s="1637"/>
      <c r="AL80" s="1637">
        <f t="shared" si="25"/>
        <v>6</v>
      </c>
      <c r="AM80" s="1637" t="s">
        <v>580</v>
      </c>
      <c r="AN80" s="1637" t="s">
        <v>597</v>
      </c>
      <c r="AO80" s="1637" t="s">
        <v>590</v>
      </c>
      <c r="AP80" s="1637" t="s">
        <v>598</v>
      </c>
      <c r="AQ80" s="1637" t="s">
        <v>599</v>
      </c>
      <c r="AR80" s="1637" t="s">
        <v>599</v>
      </c>
      <c r="AS80" s="1637"/>
      <c r="AT80" s="1637"/>
      <c r="AU80" s="1637"/>
      <c r="AV80" s="1637"/>
      <c r="AW80" s="1637"/>
      <c r="AX80" s="1637"/>
    </row>
    <row r="81" spans="1:50">
      <c r="A81" s="1632">
        <f ca="1">IF(B81="","",SUBTOTAL(3,B$3:B81))</f>
        <v>79</v>
      </c>
      <c r="B81" s="1640" t="str">
        <f ca="1">CELL("filename",'在建-井巷'!A1)</f>
        <v>D:\桌面\评估\评估\2025评估\中致成\中煤\报告\[104250091]中煤第五建设有限公司第三工程处拟处置实物资产项目\[0000-3基础法明细表.xlsx]在建-井巷</v>
      </c>
      <c r="C81" s="1641" t="str">
        <f ca="1" t="shared" si="34"/>
        <v>中煤第五建设有限公司第三工程处拟处置实物资产项目\[0000-3基础法明细表.xlsx]在建-井巷</v>
      </c>
      <c r="D81" s="1642">
        <f t="shared" si="33"/>
        <v>0</v>
      </c>
      <c r="E81" s="1643">
        <f>在建总!BA11</f>
        <v>0</v>
      </c>
      <c r="F81" s="1643">
        <f>在建总!BB11</f>
        <v>0</v>
      </c>
      <c r="G81" s="1643">
        <f>在建总!BC11</f>
        <v>0</v>
      </c>
      <c r="H81" s="1643">
        <f>在建总!BD11</f>
        <v>0</v>
      </c>
      <c r="I81" s="1643">
        <f>在建总!BE11</f>
        <v>0</v>
      </c>
      <c r="J81" s="1643">
        <f>在建总!BF11</f>
        <v>0</v>
      </c>
      <c r="K81" s="1644">
        <f t="shared" si="28"/>
        <v>0</v>
      </c>
      <c r="L81" s="1632" t="str">
        <f t="shared" si="35"/>
        <v>隐藏</v>
      </c>
      <c r="M81" s="1632" t="s">
        <v>576</v>
      </c>
      <c r="N81" s="1632" t="e">
        <f ca="1" t="shared" si="18"/>
        <v>#REF!</v>
      </c>
      <c r="O81" s="1632" t="e">
        <f ca="1" t="shared" si="18"/>
        <v>#REF!</v>
      </c>
      <c r="P81" s="1632" t="e">
        <f ca="1" t="shared" si="30"/>
        <v>#REF!</v>
      </c>
      <c r="R81" s="1632">
        <f t="shared" si="24"/>
        <v>1</v>
      </c>
      <c r="S81" s="1632" t="s">
        <v>795</v>
      </c>
      <c r="T81" s="1632"/>
      <c r="U81" s="1632"/>
      <c r="V81" s="1632"/>
      <c r="X81" s="1632">
        <f t="shared" si="26"/>
        <v>2</v>
      </c>
      <c r="Y81" s="1632" t="s">
        <v>796</v>
      </c>
      <c r="Z81" s="1632" t="s">
        <v>797</v>
      </c>
      <c r="AA81" s="1632"/>
      <c r="AB81" s="1632"/>
      <c r="AC81" s="1632"/>
      <c r="AE81" s="1632">
        <f t="shared" si="27"/>
        <v>1</v>
      </c>
      <c r="AF81" s="1632" t="s">
        <v>798</v>
      </c>
      <c r="AG81" s="1632"/>
      <c r="AH81" s="1632"/>
      <c r="AI81" s="1632"/>
      <c r="AJ81" s="1632"/>
      <c r="AL81" s="1632">
        <f t="shared" si="25"/>
        <v>6</v>
      </c>
      <c r="AM81" s="1632" t="s">
        <v>580</v>
      </c>
      <c r="AN81" s="1632" t="s">
        <v>627</v>
      </c>
      <c r="AO81" s="1632" t="s">
        <v>609</v>
      </c>
      <c r="AP81" s="1632" t="s">
        <v>692</v>
      </c>
      <c r="AQ81" s="1632" t="s">
        <v>732</v>
      </c>
      <c r="AR81" s="1632" t="s">
        <v>732</v>
      </c>
      <c r="AS81" s="1632"/>
      <c r="AT81" s="1632"/>
      <c r="AU81" s="1632"/>
      <c r="AV81" s="1632"/>
      <c r="AW81" s="1632"/>
      <c r="AX81" s="1632"/>
    </row>
    <row r="82" spans="1:50">
      <c r="A82" s="1637">
        <f ca="1">IF(B82="","",SUBTOTAL(3,B$3:B82))</f>
        <v>80</v>
      </c>
      <c r="B82" s="1646" t="str">
        <f ca="1">CELL("filename",'在建-物资'!A2)</f>
        <v>D:\桌面\评估\评估\2025评估\中致成\中煤\报告\[104250091]中煤第五建设有限公司第三工程处拟处置实物资产项目\[0000-3基础法明细表.xlsx]在建-物资</v>
      </c>
      <c r="C82" s="1647" t="str">
        <f ca="1" t="shared" si="34"/>
        <v>中煤第五建设有限公司第三工程处拟处置实物资产项目\[0000-3基础法明细表.xlsx]在建-物资</v>
      </c>
      <c r="D82" s="1648">
        <f t="shared" si="33"/>
        <v>0</v>
      </c>
      <c r="E82" s="1649">
        <f>在建总!BA12</f>
        <v>0</v>
      </c>
      <c r="F82" s="1649">
        <f>在建总!BB12</f>
        <v>0</v>
      </c>
      <c r="G82" s="1649">
        <f>在建总!BC12</f>
        <v>0</v>
      </c>
      <c r="H82" s="1649">
        <f>在建总!BD12</f>
        <v>0</v>
      </c>
      <c r="I82" s="1649">
        <f>在建总!BE12</f>
        <v>0</v>
      </c>
      <c r="J82" s="1649">
        <f>在建总!BF12</f>
        <v>0</v>
      </c>
      <c r="K82" s="1650">
        <f t="shared" si="28"/>
        <v>0</v>
      </c>
      <c r="L82" s="1637" t="str">
        <f t="shared" ref="L82:L108" si="36">IF(K82&gt;0,"显示","隐藏")</f>
        <v>隐藏</v>
      </c>
      <c r="M82" s="1637" t="s">
        <v>576</v>
      </c>
      <c r="N82" s="1637" t="e">
        <f ca="1" t="shared" si="18"/>
        <v>#REF!</v>
      </c>
      <c r="O82" s="1637" t="e">
        <f ca="1" t="shared" si="18"/>
        <v>#REF!</v>
      </c>
      <c r="P82" s="1637" t="e">
        <f ca="1" t="shared" si="30"/>
        <v>#REF!</v>
      </c>
      <c r="R82" s="1637">
        <f t="shared" si="24"/>
        <v>1</v>
      </c>
      <c r="S82" s="1637" t="s">
        <v>761</v>
      </c>
      <c r="T82" s="1637"/>
      <c r="U82" s="1637"/>
      <c r="V82" s="1637"/>
      <c r="X82" s="1637">
        <f t="shared" si="26"/>
        <v>2</v>
      </c>
      <c r="Y82" s="1637" t="s">
        <v>676</v>
      </c>
      <c r="Z82" s="1637" t="s">
        <v>799</v>
      </c>
      <c r="AA82" s="1637"/>
      <c r="AB82" s="1637"/>
      <c r="AC82" s="1637"/>
      <c r="AE82" s="1637">
        <f t="shared" si="27"/>
        <v>1</v>
      </c>
      <c r="AF82" s="1637" t="s">
        <v>678</v>
      </c>
      <c r="AG82" s="1637"/>
      <c r="AH82" s="1637"/>
      <c r="AI82" s="1637"/>
      <c r="AJ82" s="1637"/>
      <c r="AL82" s="1637">
        <f t="shared" si="25"/>
        <v>6</v>
      </c>
      <c r="AM82" s="1637" t="s">
        <v>580</v>
      </c>
      <c r="AN82" s="1637" t="s">
        <v>590</v>
      </c>
      <c r="AO82" s="1637" t="s">
        <v>584</v>
      </c>
      <c r="AP82" s="1637" t="s">
        <v>609</v>
      </c>
      <c r="AQ82" s="1637" t="s">
        <v>640</v>
      </c>
      <c r="AR82" s="1637" t="s">
        <v>640</v>
      </c>
      <c r="AS82" s="1637"/>
      <c r="AT82" s="1637"/>
      <c r="AU82" s="1637"/>
      <c r="AV82" s="1637"/>
      <c r="AW82" s="1637"/>
      <c r="AX82" s="1637"/>
    </row>
    <row r="83" spans="1:50">
      <c r="A83" s="1632">
        <f ca="1">IF(B83="","",SUBTOTAL(3,B$3:B83))</f>
        <v>81</v>
      </c>
      <c r="B83" s="1640" t="str">
        <f ca="1">CELL("filename",生物资!A1)</f>
        <v>D:\桌面\评估\评估\2025评估\中致成\中煤\报告\[104250091]中煤第五建设有限公司第三工程处拟处置实物资产项目\[0000-3基础法明细表.xlsx]生物资</v>
      </c>
      <c r="C83" s="1641" t="str">
        <f ca="1" t="shared" si="34"/>
        <v>中煤第五建设有限公司第三工程处拟处置实物资产项目\[0000-3基础法明细表.xlsx]生物资</v>
      </c>
      <c r="D83" s="1642">
        <f>IF(SUM(分类汇总!J$43,分类汇总!J$68)=0,分类汇总!H34,分类汇总!J34)</f>
        <v>0</v>
      </c>
      <c r="E83" s="1643">
        <f>非流动资总!BA18</f>
        <v>0</v>
      </c>
      <c r="F83" s="1643">
        <f>非流动资总!BB18</f>
        <v>0</v>
      </c>
      <c r="G83" s="1643">
        <f>非流动资总!BC18</f>
        <v>0</v>
      </c>
      <c r="H83" s="1643">
        <f>非流动资总!BD18</f>
        <v>0</v>
      </c>
      <c r="I83" s="1643">
        <f>非流动资总!BE18</f>
        <v>0</v>
      </c>
      <c r="J83" s="1643">
        <f>非流动资总!BF18</f>
        <v>0</v>
      </c>
      <c r="K83" s="1644">
        <f t="shared" si="28"/>
        <v>0</v>
      </c>
      <c r="L83" s="1632" t="str">
        <f t="shared" si="36"/>
        <v>隐藏</v>
      </c>
      <c r="M83" s="1632" t="s">
        <v>576</v>
      </c>
      <c r="N83" s="1632" t="e">
        <f ca="1" t="shared" si="18"/>
        <v>#REF!</v>
      </c>
      <c r="O83" s="1632" t="e">
        <f ca="1" t="shared" si="18"/>
        <v>#REF!</v>
      </c>
      <c r="P83" s="1632" t="e">
        <f ca="1" t="shared" si="30"/>
        <v>#REF!</v>
      </c>
      <c r="R83" s="1632">
        <f t="shared" si="24"/>
        <v>2</v>
      </c>
      <c r="S83" s="1632" t="s">
        <v>700</v>
      </c>
      <c r="T83" s="1632" t="s">
        <v>800</v>
      </c>
      <c r="U83" s="1632"/>
      <c r="V83" s="1632"/>
      <c r="X83" s="1632">
        <f t="shared" si="26"/>
        <v>3</v>
      </c>
      <c r="Y83" s="1632" t="s">
        <v>700</v>
      </c>
      <c r="Z83" s="1632" t="s">
        <v>801</v>
      </c>
      <c r="AA83" s="1632" t="s">
        <v>802</v>
      </c>
      <c r="AB83" s="1632"/>
      <c r="AC83" s="1632"/>
      <c r="AE83" s="1632">
        <f t="shared" si="27"/>
        <v>2</v>
      </c>
      <c r="AF83" s="1632" t="s">
        <v>700</v>
      </c>
      <c r="AG83" s="1632" t="s">
        <v>803</v>
      </c>
      <c r="AH83" s="1632"/>
      <c r="AI83" s="1632"/>
      <c r="AJ83" s="1632"/>
      <c r="AL83" s="1632">
        <f t="shared" si="25"/>
        <v>6</v>
      </c>
      <c r="AM83" s="1632" t="s">
        <v>580</v>
      </c>
      <c r="AN83" s="1632" t="s">
        <v>608</v>
      </c>
      <c r="AO83" s="1632" t="s">
        <v>627</v>
      </c>
      <c r="AP83" s="1632" t="s">
        <v>633</v>
      </c>
      <c r="AQ83" s="1632" t="s">
        <v>679</v>
      </c>
      <c r="AR83" s="1632" t="s">
        <v>679</v>
      </c>
      <c r="AS83" s="1632"/>
      <c r="AT83" s="1632"/>
      <c r="AU83" s="1632"/>
      <c r="AV83" s="1632"/>
      <c r="AW83" s="1632"/>
      <c r="AX83" s="1632"/>
    </row>
    <row r="84" spans="1:50">
      <c r="A84" s="1637">
        <f ca="1">IF(B84="","",SUBTOTAL(3,B$3:B84))</f>
        <v>82</v>
      </c>
      <c r="B84" s="1646" t="str">
        <f ca="1">CELL("filename",油气资!A1)</f>
        <v>D:\桌面\评估\评估\2025评估\中致成\中煤\报告\[104250091]中煤第五建设有限公司第三工程处拟处置实物资产项目\[0000-3基础法明细表.xlsx]油气资</v>
      </c>
      <c r="C84" s="1647" t="str">
        <f ca="1" t="shared" si="34"/>
        <v>中煤第五建设有限公司第三工程处拟处置实物资产项目\[0000-3基础法明细表.xlsx]油气资</v>
      </c>
      <c r="D84" s="1648">
        <f>IF(SUM(分类汇总!J$43,分类汇总!J$68)=0,分类汇总!H35,分类汇总!J35)</f>
        <v>0</v>
      </c>
      <c r="E84" s="1649">
        <f>非流动资总!BA19</f>
        <v>0</v>
      </c>
      <c r="F84" s="1649">
        <f>非流动资总!BB19</f>
        <v>0</v>
      </c>
      <c r="G84" s="1649">
        <f>非流动资总!BC19</f>
        <v>0</v>
      </c>
      <c r="H84" s="1649">
        <f>非流动资总!BD19</f>
        <v>0</v>
      </c>
      <c r="I84" s="1649">
        <f>非流动资总!BE19</f>
        <v>0</v>
      </c>
      <c r="J84" s="1649">
        <f>非流动资总!BF19</f>
        <v>0</v>
      </c>
      <c r="K84" s="1650">
        <f t="shared" si="28"/>
        <v>0</v>
      </c>
      <c r="L84" s="1637" t="str">
        <f t="shared" si="36"/>
        <v>隐藏</v>
      </c>
      <c r="M84" s="1637" t="s">
        <v>576</v>
      </c>
      <c r="N84" s="1637" t="e">
        <f ca="1" t="shared" si="18"/>
        <v>#REF!</v>
      </c>
      <c r="O84" s="1637" t="e">
        <f ca="1" t="shared" si="18"/>
        <v>#REF!</v>
      </c>
      <c r="P84" s="1637" t="e">
        <f ca="1" t="shared" si="30"/>
        <v>#REF!</v>
      </c>
      <c r="R84" s="1637">
        <f t="shared" si="24"/>
        <v>2</v>
      </c>
      <c r="S84" s="1637" t="s">
        <v>773</v>
      </c>
      <c r="T84" s="1637" t="s">
        <v>804</v>
      </c>
      <c r="U84" s="1637"/>
      <c r="V84" s="1637"/>
      <c r="X84" s="1637">
        <f t="shared" si="26"/>
        <v>3</v>
      </c>
      <c r="Y84" s="1637" t="s">
        <v>773</v>
      </c>
      <c r="Z84" s="1637" t="s">
        <v>805</v>
      </c>
      <c r="AA84" s="1637" t="s">
        <v>731</v>
      </c>
      <c r="AB84" s="1637"/>
      <c r="AC84" s="1637"/>
      <c r="AE84" s="1637">
        <f t="shared" si="27"/>
        <v>2</v>
      </c>
      <c r="AF84" s="1637" t="s">
        <v>773</v>
      </c>
      <c r="AG84" s="1637" t="s">
        <v>806</v>
      </c>
      <c r="AH84" s="1637"/>
      <c r="AI84" s="1637"/>
      <c r="AJ84" s="1637"/>
      <c r="AL84" s="1637">
        <f t="shared" si="25"/>
        <v>6</v>
      </c>
      <c r="AM84" s="1637" t="s">
        <v>580</v>
      </c>
      <c r="AN84" s="1637" t="s">
        <v>614</v>
      </c>
      <c r="AO84" s="1637" t="s">
        <v>672</v>
      </c>
      <c r="AP84" s="1637" t="s">
        <v>648</v>
      </c>
      <c r="AQ84" s="1637" t="s">
        <v>641</v>
      </c>
      <c r="AR84" s="1637" t="s">
        <v>641</v>
      </c>
      <c r="AS84" s="1637"/>
      <c r="AT84" s="1637"/>
      <c r="AU84" s="1637"/>
      <c r="AV84" s="1637"/>
      <c r="AW84" s="1637"/>
      <c r="AX84" s="1637"/>
    </row>
    <row r="85" spans="1:50">
      <c r="A85" s="1632">
        <f ca="1">IF(B85="","",SUBTOTAL(3,B$3:B85))</f>
        <v>83</v>
      </c>
      <c r="B85" s="1640" t="str">
        <f ca="1">CELL("filename",使用权资!A1)</f>
        <v>D:\桌面\评估\评估\2025评估\中致成\中煤\报告\[104250091]中煤第五建设有限公司第三工程处拟处置实物资产项目\[0000-3基础法明细表.xlsx]使用权资</v>
      </c>
      <c r="C85" s="1641" t="str">
        <f ca="1" t="shared" si="34"/>
        <v>中煤第五建设有限公司第三工程处拟处置实物资产项目\[0000-3基础法明细表.xlsx]使用权资</v>
      </c>
      <c r="D85" s="1642">
        <f>IF(SUM(分类汇总!J$43,分类汇总!J$68)=0,分类汇总!H36,分类汇总!J36)</f>
        <v>0</v>
      </c>
      <c r="E85" s="1643">
        <f>非流动资总!BA20</f>
        <v>0</v>
      </c>
      <c r="F85" s="1643">
        <f>非流动资总!BB20</f>
        <v>0</v>
      </c>
      <c r="G85" s="1643">
        <f>非流动资总!BC20</f>
        <v>0</v>
      </c>
      <c r="H85" s="1643">
        <f>非流动资总!BD20</f>
        <v>0</v>
      </c>
      <c r="I85" s="1643">
        <f>非流动资总!BE20</f>
        <v>0</v>
      </c>
      <c r="J85" s="1643">
        <f>非流动资总!BF20</f>
        <v>0</v>
      </c>
      <c r="K85" s="1644">
        <f t="shared" si="28"/>
        <v>0</v>
      </c>
      <c r="L85" s="1632" t="str">
        <f t="shared" si="36"/>
        <v>隐藏</v>
      </c>
      <c r="M85" s="1632" t="s">
        <v>345</v>
      </c>
      <c r="N85" s="1632" t="e">
        <f ca="1" t="shared" si="18"/>
        <v>#REF!</v>
      </c>
      <c r="O85" s="1632" t="e">
        <f ca="1" t="shared" si="18"/>
        <v>#REF!</v>
      </c>
      <c r="P85" s="1632" t="e">
        <f ca="1" t="shared" si="30"/>
        <v>#REF!</v>
      </c>
      <c r="R85" s="1632">
        <f t="shared" si="24"/>
        <v>1</v>
      </c>
      <c r="S85" s="1632" t="s">
        <v>804</v>
      </c>
      <c r="T85" s="1632"/>
      <c r="U85" s="1632"/>
      <c r="V85" s="1632"/>
      <c r="X85" s="1632">
        <f t="shared" si="26"/>
        <v>2</v>
      </c>
      <c r="Y85" s="1632" t="s">
        <v>805</v>
      </c>
      <c r="Z85" s="1632" t="s">
        <v>731</v>
      </c>
      <c r="AA85" s="1632"/>
      <c r="AB85" s="1632"/>
      <c r="AC85" s="1632"/>
      <c r="AE85" s="1632">
        <f t="shared" si="27"/>
        <v>1</v>
      </c>
      <c r="AF85" s="1632" t="s">
        <v>806</v>
      </c>
      <c r="AG85" s="1632"/>
      <c r="AH85" s="1632"/>
      <c r="AI85" s="1632"/>
      <c r="AJ85" s="1632"/>
      <c r="AL85" s="1632">
        <f t="shared" si="25"/>
        <v>6</v>
      </c>
      <c r="AM85" s="1632" t="s">
        <v>580</v>
      </c>
      <c r="AN85" s="1632" t="s">
        <v>614</v>
      </c>
      <c r="AO85" s="1632" t="s">
        <v>672</v>
      </c>
      <c r="AP85" s="1632" t="s">
        <v>648</v>
      </c>
      <c r="AQ85" s="1632" t="s">
        <v>641</v>
      </c>
      <c r="AR85" s="1632" t="s">
        <v>641</v>
      </c>
      <c r="AS85" s="1632"/>
      <c r="AT85" s="1632"/>
      <c r="AU85" s="1632"/>
      <c r="AV85" s="1632"/>
      <c r="AW85" s="1632"/>
      <c r="AX85" s="1632"/>
    </row>
    <row r="86" s="1613" customFormat="1" spans="1:50">
      <c r="A86" s="1617">
        <f ca="1">IF(B86="","",SUBTOTAL(3,B$3:B86))</f>
        <v>84</v>
      </c>
      <c r="B86" s="1651" t="str">
        <f ca="1">CELL("filename",无形资总!A1)</f>
        <v>D:\桌面\评估\评估\2025评估\中致成\中煤\报告\[104250091]中煤第五建设有限公司第三工程处拟处置实物资产项目\[0000-3基础法明细表.xlsx]无形资总</v>
      </c>
      <c r="C86" s="1635" t="str">
        <f ca="1" t="shared" si="34"/>
        <v>中煤第五建设有限公司第三工程处拟处置实物资产项目\[0000-3基础法明细表.xlsx]无形资总</v>
      </c>
      <c r="D86" s="1639">
        <f>IF(SUM(分类汇总!J$43,分类汇总!J$68)=0,分类汇总!H37,分类汇总!J37)</f>
        <v>0</v>
      </c>
      <c r="E86" s="1652">
        <f>SUM(E87:E89)</f>
        <v>0</v>
      </c>
      <c r="F86" s="1652">
        <f>SUM(F87:F89)</f>
        <v>0</v>
      </c>
      <c r="G86" s="1652">
        <f>SUM(G87:G89)</f>
        <v>0</v>
      </c>
      <c r="H86" s="1652">
        <f t="shared" si="32"/>
        <v>0</v>
      </c>
      <c r="I86" s="1652">
        <f>SUM(I87:I89)</f>
        <v>0</v>
      </c>
      <c r="J86" s="1652">
        <f>SUM(J87:J89)</f>
        <v>0</v>
      </c>
      <c r="K86" s="1636">
        <f t="shared" si="28"/>
        <v>0</v>
      </c>
      <c r="L86" s="1617" t="str">
        <f t="shared" si="36"/>
        <v>隐藏</v>
      </c>
      <c r="M86" s="1617" t="s">
        <v>565</v>
      </c>
      <c r="N86" s="1637"/>
      <c r="O86" s="1637"/>
      <c r="P86" s="1637"/>
      <c r="R86" s="1637">
        <f t="shared" si="24"/>
        <v>0</v>
      </c>
      <c r="S86" s="1617"/>
      <c r="T86" s="1617"/>
      <c r="U86" s="1617"/>
      <c r="V86" s="1617"/>
      <c r="X86" s="1637">
        <f t="shared" si="26"/>
        <v>0</v>
      </c>
      <c r="Y86" s="1617"/>
      <c r="Z86" s="1617"/>
      <c r="AA86" s="1617"/>
      <c r="AB86" s="1617"/>
      <c r="AC86" s="1617"/>
      <c r="AE86" s="1637">
        <f t="shared" si="27"/>
        <v>0</v>
      </c>
      <c r="AF86" s="1617"/>
      <c r="AG86" s="1617"/>
      <c r="AH86" s="1617"/>
      <c r="AI86" s="1617"/>
      <c r="AJ86" s="1617"/>
      <c r="AL86" s="1637">
        <f t="shared" si="25"/>
        <v>0</v>
      </c>
      <c r="AM86" s="1617"/>
      <c r="AN86" s="1617"/>
      <c r="AO86" s="1617"/>
      <c r="AP86" s="1617"/>
      <c r="AQ86" s="1617"/>
      <c r="AR86" s="1617"/>
      <c r="AS86" s="1617"/>
      <c r="AT86" s="1617"/>
      <c r="AU86" s="1617"/>
      <c r="AV86" s="1617"/>
      <c r="AW86" s="1617"/>
      <c r="AX86" s="1617"/>
    </row>
    <row r="87" spans="1:50">
      <c r="A87" s="1632">
        <f ca="1">IF(B87="","",SUBTOTAL(3,B$3:B87))</f>
        <v>85</v>
      </c>
      <c r="B87" s="1640" t="str">
        <f ca="1">CELL("filename",'无形-土地'!A1)</f>
        <v>D:\桌面\评估\评估\2025评估\中致成\中煤\报告\[104250091]中煤第五建设有限公司第三工程处拟处置实物资产项目\[0000-3基础法明细表.xlsx]无形-土地</v>
      </c>
      <c r="C87" s="1641" t="str">
        <f ca="1" t="shared" si="34"/>
        <v>中煤第五建设有限公司第三工程处拟处置实物资产项目\[0000-3基础法明细表.xlsx]无形-土地</v>
      </c>
      <c r="D87" s="1642">
        <f>IF(D$86=H$86,0,1)</f>
        <v>0</v>
      </c>
      <c r="E87" s="1643">
        <f>无形资总!BA7</f>
        <v>0</v>
      </c>
      <c r="F87" s="1643">
        <f>无形资总!BB7</f>
        <v>0</v>
      </c>
      <c r="G87" s="1643">
        <f>无形资总!BC7</f>
        <v>0</v>
      </c>
      <c r="H87" s="1643">
        <f>无形资总!BD7</f>
        <v>0</v>
      </c>
      <c r="I87" s="1643">
        <f>无形资总!BE7</f>
        <v>0</v>
      </c>
      <c r="J87" s="1643">
        <f>无形资总!BF7</f>
        <v>0</v>
      </c>
      <c r="K87" s="1644">
        <f t="shared" si="28"/>
        <v>0</v>
      </c>
      <c r="L87" s="1632" t="str">
        <f t="shared" si="36"/>
        <v>隐藏</v>
      </c>
      <c r="M87" s="1632" t="s">
        <v>576</v>
      </c>
      <c r="N87" s="1632" t="e">
        <f ca="1" t="shared" si="18"/>
        <v>#REF!</v>
      </c>
      <c r="O87" s="1632" t="e">
        <f ca="1" t="shared" si="18"/>
        <v>#REF!</v>
      </c>
      <c r="P87" s="1632" t="e">
        <f ca="1" t="shared" si="30"/>
        <v>#REF!</v>
      </c>
      <c r="R87" s="1632">
        <f t="shared" si="24"/>
        <v>3</v>
      </c>
      <c r="S87" s="1632" t="s">
        <v>807</v>
      </c>
      <c r="T87" s="1632" t="s">
        <v>808</v>
      </c>
      <c r="U87" s="1632" t="s">
        <v>809</v>
      </c>
      <c r="V87" s="1632"/>
      <c r="X87" s="1632">
        <f t="shared" si="26"/>
        <v>4</v>
      </c>
      <c r="Y87" s="1632" t="s">
        <v>807</v>
      </c>
      <c r="Z87" s="1632" t="s">
        <v>808</v>
      </c>
      <c r="AA87" s="1632" t="s">
        <v>810</v>
      </c>
      <c r="AB87" s="1632" t="s">
        <v>704</v>
      </c>
      <c r="AC87" s="1632"/>
      <c r="AE87" s="1632">
        <f t="shared" si="27"/>
        <v>3</v>
      </c>
      <c r="AF87" s="1632" t="s">
        <v>807</v>
      </c>
      <c r="AG87" s="1632" t="s">
        <v>811</v>
      </c>
      <c r="AH87" s="1632" t="s">
        <v>810</v>
      </c>
      <c r="AI87" s="1632"/>
      <c r="AJ87" s="1632"/>
      <c r="AL87" s="1632">
        <f t="shared" si="25"/>
        <v>6</v>
      </c>
      <c r="AM87" s="1632" t="s">
        <v>580</v>
      </c>
      <c r="AN87" s="1632" t="s">
        <v>673</v>
      </c>
      <c r="AO87" s="1632" t="s">
        <v>642</v>
      </c>
      <c r="AP87" s="1632" t="s">
        <v>725</v>
      </c>
      <c r="AQ87" s="1632" t="s">
        <v>643</v>
      </c>
      <c r="AR87" s="1632" t="s">
        <v>643</v>
      </c>
      <c r="AS87" s="1632"/>
      <c r="AT87" s="1632"/>
      <c r="AU87" s="1632"/>
      <c r="AV87" s="1632"/>
      <c r="AW87" s="1632"/>
      <c r="AX87" s="1632"/>
    </row>
    <row r="88" spans="1:50">
      <c r="A88" s="1637">
        <f ca="1">IF(B88="","",SUBTOTAL(3,B$3:B88))</f>
        <v>86</v>
      </c>
      <c r="B88" s="1646" t="str">
        <f ca="1">CELL("filename",'无形-矿权'!A1)</f>
        <v>D:\桌面\评估\评估\2025评估\中致成\中煤\报告\[104250091]中煤第五建设有限公司第三工程处拟处置实物资产项目\[0000-3基础法明细表.xlsx]无形-矿权</v>
      </c>
      <c r="C88" s="1647" t="str">
        <f ca="1" t="shared" si="34"/>
        <v>中煤第五建设有限公司第三工程处拟处置实物资产项目\[0000-3基础法明细表.xlsx]无形-矿权</v>
      </c>
      <c r="D88" s="1648">
        <f>IF(D$86=H$86,0,1)</f>
        <v>0</v>
      </c>
      <c r="E88" s="1649">
        <f>无形资总!BA8</f>
        <v>0</v>
      </c>
      <c r="F88" s="1649">
        <f>无形资总!BB8</f>
        <v>0</v>
      </c>
      <c r="G88" s="1649">
        <f>无形资总!BC8</f>
        <v>0</v>
      </c>
      <c r="H88" s="1649">
        <f>无形资总!BD8</f>
        <v>0</v>
      </c>
      <c r="I88" s="1649">
        <f>无形资总!BE8</f>
        <v>0</v>
      </c>
      <c r="J88" s="1649">
        <f>无形资总!BF8</f>
        <v>0</v>
      </c>
      <c r="K88" s="1650">
        <f t="shared" si="28"/>
        <v>0</v>
      </c>
      <c r="L88" s="1637" t="str">
        <f t="shared" si="36"/>
        <v>隐藏</v>
      </c>
      <c r="M88" s="1637" t="s">
        <v>576</v>
      </c>
      <c r="N88" s="1637" t="e">
        <f ca="1" t="shared" si="18"/>
        <v>#REF!</v>
      </c>
      <c r="O88" s="1637" t="e">
        <f ca="1" t="shared" si="18"/>
        <v>#REF!</v>
      </c>
      <c r="P88" s="1637" t="e">
        <f ca="1" t="shared" si="30"/>
        <v>#REF!</v>
      </c>
      <c r="R88" s="1637">
        <f t="shared" si="24"/>
        <v>1</v>
      </c>
      <c r="S88" s="1637" t="s">
        <v>798</v>
      </c>
      <c r="T88" s="1637"/>
      <c r="U88" s="1637"/>
      <c r="V88" s="1637"/>
      <c r="X88" s="1637">
        <f t="shared" si="26"/>
        <v>2</v>
      </c>
      <c r="Y88" s="1637" t="s">
        <v>717</v>
      </c>
      <c r="Z88" s="1637" t="s">
        <v>812</v>
      </c>
      <c r="AA88" s="1637"/>
      <c r="AB88" s="1637"/>
      <c r="AC88" s="1637"/>
      <c r="AE88" s="1637">
        <f t="shared" si="27"/>
        <v>2</v>
      </c>
      <c r="AF88" s="1637" t="s">
        <v>709</v>
      </c>
      <c r="AG88" s="1637" t="s">
        <v>717</v>
      </c>
      <c r="AH88" s="1637"/>
      <c r="AI88" s="1637"/>
      <c r="AJ88" s="1637"/>
      <c r="AL88" s="1637">
        <f t="shared" si="25"/>
        <v>6</v>
      </c>
      <c r="AM88" s="1637" t="s">
        <v>580</v>
      </c>
      <c r="AN88" s="1637" t="s">
        <v>598</v>
      </c>
      <c r="AO88" s="1637" t="s">
        <v>591</v>
      </c>
      <c r="AP88" s="1637" t="s">
        <v>627</v>
      </c>
      <c r="AQ88" s="1637" t="s">
        <v>633</v>
      </c>
      <c r="AR88" s="1637" t="s">
        <v>633</v>
      </c>
      <c r="AS88" s="1637"/>
      <c r="AT88" s="1637"/>
      <c r="AU88" s="1637"/>
      <c r="AV88" s="1637"/>
      <c r="AW88" s="1637"/>
      <c r="AX88" s="1637"/>
    </row>
    <row r="89" spans="1:50">
      <c r="A89" s="1632">
        <f ca="1">IF(B89="","",SUBTOTAL(3,B$3:B89))</f>
        <v>87</v>
      </c>
      <c r="B89" s="1640" t="str">
        <f ca="1">CELL("filename",'无形-其他'!A1)</f>
        <v>D:\桌面\评估\评估\2025评估\中致成\中煤\报告\[104250091]中煤第五建设有限公司第三工程处拟处置实物资产项目\[0000-3基础法明细表.xlsx]无形-其他</v>
      </c>
      <c r="C89" s="1641" t="str">
        <f ca="1" t="shared" si="34"/>
        <v>中煤第五建设有限公司第三工程处拟处置实物资产项目\[0000-3基础法明细表.xlsx]无形-其他</v>
      </c>
      <c r="D89" s="1642">
        <f>IF(D$86=H$86,0,1)</f>
        <v>0</v>
      </c>
      <c r="E89" s="1643">
        <f>无形资总!BA9</f>
        <v>0</v>
      </c>
      <c r="F89" s="1643">
        <f>无形资总!BB9</f>
        <v>0</v>
      </c>
      <c r="G89" s="1643">
        <f>无形资总!BC9</f>
        <v>0</v>
      </c>
      <c r="H89" s="1643">
        <f>无形资总!BD9</f>
        <v>0</v>
      </c>
      <c r="I89" s="1643">
        <f>无形资总!BE9</f>
        <v>0</v>
      </c>
      <c r="J89" s="1643">
        <f>无形资总!BF9</f>
        <v>0</v>
      </c>
      <c r="K89" s="1644">
        <f t="shared" si="28"/>
        <v>0</v>
      </c>
      <c r="L89" s="1632" t="str">
        <f t="shared" si="36"/>
        <v>隐藏</v>
      </c>
      <c r="M89" s="1632" t="s">
        <v>576</v>
      </c>
      <c r="N89" s="1632" t="e">
        <f ca="1" t="shared" si="18"/>
        <v>#REF!</v>
      </c>
      <c r="O89" s="1632" t="e">
        <f ca="1" t="shared" si="18"/>
        <v>#REF!</v>
      </c>
      <c r="P89" s="1632" t="e">
        <f ca="1" t="shared" si="30"/>
        <v>#REF!</v>
      </c>
      <c r="R89" s="1632">
        <f t="shared" ref="R89:R125" si="37">COUNTA(S89:V89)</f>
        <v>1</v>
      </c>
      <c r="S89" s="1632" t="s">
        <v>683</v>
      </c>
      <c r="T89" s="1632"/>
      <c r="U89" s="1632"/>
      <c r="V89" s="1632"/>
      <c r="X89" s="1632">
        <f t="shared" si="26"/>
        <v>2</v>
      </c>
      <c r="Y89" s="1632" t="s">
        <v>625</v>
      </c>
      <c r="Z89" s="1632" t="s">
        <v>651</v>
      </c>
      <c r="AA89" s="1632"/>
      <c r="AB89" s="1632"/>
      <c r="AC89" s="1632"/>
      <c r="AE89" s="1632">
        <f t="shared" si="27"/>
        <v>2</v>
      </c>
      <c r="AF89" s="1632" t="s">
        <v>712</v>
      </c>
      <c r="AG89" s="1632" t="s">
        <v>625</v>
      </c>
      <c r="AH89" s="1632"/>
      <c r="AI89" s="1632"/>
      <c r="AJ89" s="1632"/>
      <c r="AL89" s="1632">
        <f t="shared" si="25"/>
        <v>6</v>
      </c>
      <c r="AM89" s="1632" t="s">
        <v>580</v>
      </c>
      <c r="AN89" s="1632" t="s">
        <v>597</v>
      </c>
      <c r="AO89" s="1632" t="s">
        <v>598</v>
      </c>
      <c r="AP89" s="1632" t="s">
        <v>614</v>
      </c>
      <c r="AQ89" s="1632" t="s">
        <v>653</v>
      </c>
      <c r="AR89" s="1632" t="s">
        <v>653</v>
      </c>
      <c r="AS89" s="1632"/>
      <c r="AT89" s="1632"/>
      <c r="AU89" s="1632"/>
      <c r="AV89" s="1632"/>
      <c r="AW89" s="1632"/>
      <c r="AX89" s="1632"/>
    </row>
    <row r="90" spans="1:50">
      <c r="A90" s="1637">
        <f ca="1">IF(B90="","",SUBTOTAL(3,B$3:B90))</f>
        <v>88</v>
      </c>
      <c r="B90" s="1646" t="str">
        <f ca="1">CELL("filename",'无形-收益法'!A1)</f>
        <v>D:\桌面\评估\评估\2025评估\中致成\中煤\报告\[104250091]中煤第五建设有限公司第三工程处拟处置实物资产项目\[0000-3基础法明细表.xlsx]无形-收益法</v>
      </c>
      <c r="C90" s="1647" t="str">
        <f ca="1" t="shared" si="34"/>
        <v>中煤第五建设有限公司第三工程处拟处置实物资产项目\[0000-3基础法明细表.xlsx]无形-收益法</v>
      </c>
      <c r="D90" s="1648"/>
      <c r="E90" s="1649"/>
      <c r="F90" s="1649"/>
      <c r="G90" s="1649"/>
      <c r="H90" s="1649"/>
      <c r="I90" s="1649"/>
      <c r="J90" s="1649"/>
      <c r="K90" s="1650"/>
      <c r="L90" s="1637" t="str">
        <f>IF(L89="隐藏","隐藏",IF('无形-其他'!BO5="成本法","隐藏","显示"))</f>
        <v>隐藏</v>
      </c>
      <c r="M90" s="1637" t="s">
        <v>576</v>
      </c>
      <c r="N90" s="1637"/>
      <c r="O90" s="1637"/>
      <c r="P90" s="1637"/>
      <c r="R90" s="1637">
        <f t="shared" si="37"/>
        <v>0</v>
      </c>
      <c r="S90" s="1637"/>
      <c r="T90" s="1637"/>
      <c r="U90" s="1637"/>
      <c r="V90" s="1637"/>
      <c r="X90" s="1637">
        <f t="shared" si="26"/>
        <v>0</v>
      </c>
      <c r="Y90" s="1637"/>
      <c r="Z90" s="1637"/>
      <c r="AA90" s="1637"/>
      <c r="AB90" s="1637"/>
      <c r="AC90" s="1637"/>
      <c r="AE90" s="1637">
        <f t="shared" si="27"/>
        <v>0</v>
      </c>
      <c r="AF90" s="1637"/>
      <c r="AG90" s="1637"/>
      <c r="AH90" s="1637"/>
      <c r="AI90" s="1637"/>
      <c r="AJ90" s="1637"/>
      <c r="AL90" s="1637">
        <f t="shared" si="25"/>
        <v>0</v>
      </c>
      <c r="AM90" s="1637"/>
      <c r="AN90" s="1637"/>
      <c r="AO90" s="1637"/>
      <c r="AP90" s="1637"/>
      <c r="AQ90" s="1637"/>
      <c r="AR90" s="1637"/>
      <c r="AS90" s="1637"/>
      <c r="AT90" s="1637"/>
      <c r="AU90" s="1637"/>
      <c r="AV90" s="1637"/>
      <c r="AW90" s="1637"/>
      <c r="AX90" s="1637"/>
    </row>
    <row r="91" spans="1:50">
      <c r="A91" s="1632">
        <f ca="1">IF(B91="","",SUBTOTAL(3,B$3:B91))</f>
        <v>89</v>
      </c>
      <c r="B91" s="1646" t="str">
        <f ca="1">CELL("filename",'无形-成本法'!A1)</f>
        <v>D:\桌面\评估\评估\2025评估\中致成\中煤\报告\[104250091]中煤第五建设有限公司第三工程处拟处置实物资产项目\[0000-3基础法明细表.xlsx]无形-成本法</v>
      </c>
      <c r="C91" s="1641" t="str">
        <f ca="1" t="shared" si="34"/>
        <v>中煤第五建设有限公司第三工程处拟处置实物资产项目\[0000-3基础法明细表.xlsx]无形-成本法</v>
      </c>
      <c r="D91" s="1642"/>
      <c r="E91" s="1643"/>
      <c r="F91" s="1643"/>
      <c r="G91" s="1643"/>
      <c r="H91" s="1643"/>
      <c r="I91" s="1643"/>
      <c r="J91" s="1643"/>
      <c r="K91" s="1644"/>
      <c r="L91" s="1632" t="str">
        <f>IF(L89="隐藏","隐藏",IF('无形-其他'!BO5="成本法","显示","隐藏"))</f>
        <v>隐藏</v>
      </c>
      <c r="M91" s="1632" t="s">
        <v>576</v>
      </c>
      <c r="N91" s="1632"/>
      <c r="O91" s="1632"/>
      <c r="P91" s="1632"/>
      <c r="R91" s="1632">
        <f t="shared" si="37"/>
        <v>0</v>
      </c>
      <c r="S91" s="1632"/>
      <c r="T91" s="1632"/>
      <c r="U91" s="1632"/>
      <c r="V91" s="1632"/>
      <c r="X91" s="1632">
        <f t="shared" si="26"/>
        <v>0</v>
      </c>
      <c r="Y91" s="1632"/>
      <c r="Z91" s="1632"/>
      <c r="AA91" s="1632"/>
      <c r="AB91" s="1632"/>
      <c r="AC91" s="1632"/>
      <c r="AE91" s="1632">
        <f t="shared" si="27"/>
        <v>0</v>
      </c>
      <c r="AF91" s="1632"/>
      <c r="AG91" s="1632"/>
      <c r="AH91" s="1632"/>
      <c r="AI91" s="1632"/>
      <c r="AJ91" s="1632"/>
      <c r="AL91" s="1632">
        <f t="shared" si="25"/>
        <v>0</v>
      </c>
      <c r="AM91" s="1632"/>
      <c r="AN91" s="1632"/>
      <c r="AO91" s="1632"/>
      <c r="AP91" s="1632"/>
      <c r="AQ91" s="1632"/>
      <c r="AR91" s="1632"/>
      <c r="AS91" s="1632"/>
      <c r="AT91" s="1632"/>
      <c r="AU91" s="1632"/>
      <c r="AV91" s="1632"/>
      <c r="AW91" s="1632"/>
      <c r="AX91" s="1632"/>
    </row>
    <row r="92" spans="1:50">
      <c r="A92" s="1637">
        <f ca="1">IF(B92="","",SUBTOTAL(3,B$3:B92))</f>
        <v>90</v>
      </c>
      <c r="B92" s="1646" t="str">
        <f ca="1">CELL("filename",开发支出!A1)</f>
        <v>D:\桌面\评估\评估\2025评估\中致成\中煤\报告\[104250091]中煤第五建设有限公司第三工程处拟处置实物资产项目\[0000-3基础法明细表.xlsx]开发支出</v>
      </c>
      <c r="C92" s="1647" t="str">
        <f ca="1" t="shared" si="34"/>
        <v>中煤第五建设有限公司第三工程处拟处置实物资产项目\[0000-3基础法明细表.xlsx]开发支出</v>
      </c>
      <c r="D92" s="1648">
        <f>IF(SUM(分类汇总!J$43,分类汇总!J$68)=0,分类汇总!H38,分类汇总!J38)</f>
        <v>0</v>
      </c>
      <c r="E92" s="1649">
        <f>非流动资总!BA22</f>
        <v>0</v>
      </c>
      <c r="F92" s="1649">
        <f>非流动资总!BB22</f>
        <v>0</v>
      </c>
      <c r="G92" s="1649">
        <f>非流动资总!BC22</f>
        <v>0</v>
      </c>
      <c r="H92" s="1649">
        <f>非流动资总!BD22</f>
        <v>0</v>
      </c>
      <c r="I92" s="1649">
        <f>非流动资总!BE22</f>
        <v>0</v>
      </c>
      <c r="J92" s="1649">
        <f>非流动资总!BF22</f>
        <v>0</v>
      </c>
      <c r="K92" s="1650">
        <f t="shared" si="28"/>
        <v>0</v>
      </c>
      <c r="L92" s="1637" t="str">
        <f t="shared" si="36"/>
        <v>隐藏</v>
      </c>
      <c r="M92" s="1637" t="s">
        <v>576</v>
      </c>
      <c r="N92" s="1637" t="e">
        <f ca="1" t="shared" si="18"/>
        <v>#REF!</v>
      </c>
      <c r="O92" s="1637" t="e">
        <f ca="1" t="shared" si="18"/>
        <v>#REF!</v>
      </c>
      <c r="P92" s="1637" t="e">
        <f ca="1" t="shared" si="30"/>
        <v>#REF!</v>
      </c>
      <c r="R92" s="1637">
        <f t="shared" si="37"/>
        <v>1</v>
      </c>
      <c r="S92" s="1637" t="s">
        <v>586</v>
      </c>
      <c r="T92" s="1637"/>
      <c r="U92" s="1637"/>
      <c r="V92" s="1637"/>
      <c r="X92" s="1637">
        <f t="shared" si="26"/>
        <v>2</v>
      </c>
      <c r="Y92" s="1637" t="s">
        <v>587</v>
      </c>
      <c r="Z92" s="1637" t="s">
        <v>588</v>
      </c>
      <c r="AA92" s="1637"/>
      <c r="AB92" s="1637"/>
      <c r="AC92" s="1637"/>
      <c r="AE92" s="1637">
        <f t="shared" si="27"/>
        <v>1</v>
      </c>
      <c r="AF92" s="1637" t="s">
        <v>813</v>
      </c>
      <c r="AG92" s="1637"/>
      <c r="AH92" s="1637"/>
      <c r="AI92" s="1637"/>
      <c r="AJ92" s="1637"/>
      <c r="AL92" s="1637">
        <f t="shared" si="25"/>
        <v>6</v>
      </c>
      <c r="AM92" s="1637" t="s">
        <v>580</v>
      </c>
      <c r="AN92" s="1637" t="s">
        <v>589</v>
      </c>
      <c r="AO92" s="1637" t="s">
        <v>583</v>
      </c>
      <c r="AP92" s="1637" t="s">
        <v>590</v>
      </c>
      <c r="AQ92" s="1637" t="s">
        <v>591</v>
      </c>
      <c r="AR92" s="1637" t="s">
        <v>591</v>
      </c>
      <c r="AS92" s="1637"/>
      <c r="AT92" s="1637"/>
      <c r="AU92" s="1637"/>
      <c r="AV92" s="1637"/>
      <c r="AW92" s="1637"/>
      <c r="AX92" s="1637"/>
    </row>
    <row r="93" spans="1:50">
      <c r="A93" s="1632">
        <f ca="1">IF(B93="","",SUBTOTAL(3,B$3:B93))</f>
        <v>91</v>
      </c>
      <c r="B93" s="1640" t="str">
        <f ca="1">CELL("filename",商誉!A1)</f>
        <v>D:\桌面\评估\评估\2025评估\中致成\中煤\报告\[104250091]中煤第五建设有限公司第三工程处拟处置实物资产项目\[0000-3基础法明细表.xlsx]商誉</v>
      </c>
      <c r="C93" s="1641" t="str">
        <f ca="1" t="shared" si="34"/>
        <v>中煤第五建设有限公司第三工程处拟处置实物资产项目\[0000-3基础法明细表.xlsx]商誉</v>
      </c>
      <c r="D93" s="1642">
        <f>IF(SUM(分类汇总!J$43,分类汇总!J$68)=0,分类汇总!H39,分类汇总!J39)</f>
        <v>0</v>
      </c>
      <c r="E93" s="1643">
        <f>非流动资总!BA23</f>
        <v>0</v>
      </c>
      <c r="F93" s="1643">
        <f>非流动资总!BB23</f>
        <v>0</v>
      </c>
      <c r="G93" s="1643">
        <f>非流动资总!BC23</f>
        <v>0</v>
      </c>
      <c r="H93" s="1643">
        <f>非流动资总!BD23</f>
        <v>0</v>
      </c>
      <c r="I93" s="1643">
        <f>非流动资总!BE23</f>
        <v>0</v>
      </c>
      <c r="J93" s="1643">
        <f>非流动资总!BF23</f>
        <v>0</v>
      </c>
      <c r="K93" s="1644">
        <f t="shared" si="28"/>
        <v>0</v>
      </c>
      <c r="L93" s="1632" t="str">
        <f t="shared" si="36"/>
        <v>隐藏</v>
      </c>
      <c r="M93" s="1632" t="s">
        <v>576</v>
      </c>
      <c r="N93" s="1632" t="e">
        <f ca="1" t="shared" si="18"/>
        <v>#REF!</v>
      </c>
      <c r="O93" s="1632" t="e">
        <f ca="1" t="shared" si="18"/>
        <v>#REF!</v>
      </c>
      <c r="P93" s="1632" t="e">
        <f ca="1" t="shared" si="30"/>
        <v>#REF!</v>
      </c>
      <c r="R93" s="1632">
        <f t="shared" si="37"/>
        <v>1</v>
      </c>
      <c r="S93" s="1632" t="s">
        <v>586</v>
      </c>
      <c r="T93" s="1632"/>
      <c r="U93" s="1632"/>
      <c r="V93" s="1632"/>
      <c r="X93" s="1632">
        <f t="shared" si="26"/>
        <v>2</v>
      </c>
      <c r="Y93" s="1632" t="s">
        <v>587</v>
      </c>
      <c r="Z93" s="1632" t="s">
        <v>588</v>
      </c>
      <c r="AA93" s="1632"/>
      <c r="AB93" s="1632"/>
      <c r="AC93" s="1632"/>
      <c r="AE93" s="1632">
        <f t="shared" si="27"/>
        <v>1</v>
      </c>
      <c r="AF93" s="1632" t="s">
        <v>813</v>
      </c>
      <c r="AG93" s="1632"/>
      <c r="AH93" s="1632"/>
      <c r="AI93" s="1632"/>
      <c r="AJ93" s="1632"/>
      <c r="AL93" s="1632">
        <f t="shared" si="25"/>
        <v>6</v>
      </c>
      <c r="AM93" s="1632" t="s">
        <v>580</v>
      </c>
      <c r="AN93" s="1632" t="s">
        <v>589</v>
      </c>
      <c r="AO93" s="1632" t="s">
        <v>583</v>
      </c>
      <c r="AP93" s="1632" t="s">
        <v>590</v>
      </c>
      <c r="AQ93" s="1632" t="s">
        <v>591</v>
      </c>
      <c r="AR93" s="1632" t="s">
        <v>591</v>
      </c>
      <c r="AS93" s="1632"/>
      <c r="AT93" s="1632"/>
      <c r="AU93" s="1632"/>
      <c r="AV93" s="1632"/>
      <c r="AW93" s="1632"/>
      <c r="AX93" s="1632"/>
    </row>
    <row r="94" spans="1:50">
      <c r="A94" s="1637">
        <f ca="1">IF(B94="","",SUBTOTAL(3,B$3:B94))</f>
        <v>92</v>
      </c>
      <c r="B94" s="1646" t="str">
        <f ca="1">CELL("filename",长期待摊!A1)</f>
        <v>D:\桌面\评估\评估\2025评估\中致成\中煤\报告\[104250091]中煤第五建设有限公司第三工程处拟处置实物资产项目\[0000-3基础法明细表.xlsx]长期待摊</v>
      </c>
      <c r="C94" s="1647" t="str">
        <f ca="1" t="shared" si="34"/>
        <v>中煤第五建设有限公司第三工程处拟处置实物资产项目\[0000-3基础法明细表.xlsx]长期待摊</v>
      </c>
      <c r="D94" s="1648">
        <f>IF(SUM(分类汇总!J$43,分类汇总!J$68)=0,分类汇总!H40,分类汇总!J40)</f>
        <v>0</v>
      </c>
      <c r="E94" s="1649">
        <f>非流动资总!BA24</f>
        <v>0</v>
      </c>
      <c r="F94" s="1649">
        <f>非流动资总!BB24</f>
        <v>0</v>
      </c>
      <c r="G94" s="1649">
        <f>非流动资总!BC24</f>
        <v>0</v>
      </c>
      <c r="H94" s="1649">
        <f>非流动资总!BD24</f>
        <v>0</v>
      </c>
      <c r="I94" s="1649">
        <f>非流动资总!BE24</f>
        <v>0</v>
      </c>
      <c r="J94" s="1649">
        <f>非流动资总!BF24</f>
        <v>0</v>
      </c>
      <c r="K94" s="1650">
        <f t="shared" si="28"/>
        <v>0</v>
      </c>
      <c r="L94" s="1637" t="str">
        <f t="shared" si="36"/>
        <v>隐藏</v>
      </c>
      <c r="M94" s="1637" t="s">
        <v>576</v>
      </c>
      <c r="N94" s="1637" t="e">
        <f ca="1" t="shared" si="18"/>
        <v>#REF!</v>
      </c>
      <c r="O94" s="1637" t="e">
        <f ca="1" t="shared" si="18"/>
        <v>#REF!</v>
      </c>
      <c r="P94" s="1637" t="e">
        <f ca="1" t="shared" si="30"/>
        <v>#REF!</v>
      </c>
      <c r="R94" s="1637">
        <f t="shared" si="37"/>
        <v>1</v>
      </c>
      <c r="S94" s="1637" t="s">
        <v>683</v>
      </c>
      <c r="T94" s="1637"/>
      <c r="U94" s="1637"/>
      <c r="V94" s="1637"/>
      <c r="X94" s="1637">
        <f t="shared" si="26"/>
        <v>2</v>
      </c>
      <c r="Y94" s="1637" t="s">
        <v>625</v>
      </c>
      <c r="Z94" s="1637" t="s">
        <v>651</v>
      </c>
      <c r="AA94" s="1637"/>
      <c r="AB94" s="1637"/>
      <c r="AC94" s="1637"/>
      <c r="AE94" s="1637">
        <f t="shared" si="27"/>
        <v>2</v>
      </c>
      <c r="AF94" s="1637" t="s">
        <v>652</v>
      </c>
      <c r="AG94" s="1637" t="s">
        <v>625</v>
      </c>
      <c r="AH94" s="1637"/>
      <c r="AI94" s="1637"/>
      <c r="AJ94" s="1637"/>
      <c r="AL94" s="1637">
        <f t="shared" si="25"/>
        <v>6</v>
      </c>
      <c r="AM94" s="1637" t="s">
        <v>580</v>
      </c>
      <c r="AN94" s="1637" t="s">
        <v>589</v>
      </c>
      <c r="AO94" s="1637" t="s">
        <v>590</v>
      </c>
      <c r="AP94" s="1637" t="s">
        <v>614</v>
      </c>
      <c r="AQ94" s="1637" t="s">
        <v>653</v>
      </c>
      <c r="AR94" s="1637" t="s">
        <v>653</v>
      </c>
      <c r="AS94" s="1637"/>
      <c r="AT94" s="1637"/>
      <c r="AU94" s="1637"/>
      <c r="AV94" s="1637"/>
      <c r="AW94" s="1637"/>
      <c r="AX94" s="1637"/>
    </row>
    <row r="95" spans="1:50">
      <c r="A95" s="1632">
        <f ca="1">IF(B95="","",SUBTOTAL(3,B$3:B95))</f>
        <v>93</v>
      </c>
      <c r="B95" s="1640" t="str">
        <f ca="1">CELL("filename",递延资!A1)</f>
        <v>D:\桌面\评估\评估\2025评估\中致成\中煤\报告\[104250091]中煤第五建设有限公司第三工程处拟处置实物资产项目\[0000-3基础法明细表.xlsx]递延资</v>
      </c>
      <c r="C95" s="1641" t="str">
        <f ca="1" t="shared" si="34"/>
        <v>中煤第五建设有限公司第三工程处拟处置实物资产项目\[0000-3基础法明细表.xlsx]递延资</v>
      </c>
      <c r="D95" s="1642">
        <f>IF(SUM(分类汇总!J$43,分类汇总!J$68)=0,分类汇总!H41,分类汇总!J41)</f>
        <v>0</v>
      </c>
      <c r="E95" s="1643">
        <f>非流动资总!BA25</f>
        <v>0</v>
      </c>
      <c r="F95" s="1643">
        <f>非流动资总!BB25</f>
        <v>0</v>
      </c>
      <c r="G95" s="1643">
        <f>非流动资总!BC25</f>
        <v>0</v>
      </c>
      <c r="H95" s="1643">
        <f>非流动资总!BD25</f>
        <v>0</v>
      </c>
      <c r="I95" s="1643">
        <f>非流动资总!BE25</f>
        <v>0</v>
      </c>
      <c r="J95" s="1643">
        <f>非流动资总!BF25</f>
        <v>0</v>
      </c>
      <c r="K95" s="1644">
        <f t="shared" si="28"/>
        <v>0</v>
      </c>
      <c r="L95" s="1632" t="str">
        <f t="shared" si="36"/>
        <v>隐藏</v>
      </c>
      <c r="M95" s="1632" t="s">
        <v>576</v>
      </c>
      <c r="N95" s="1632" t="e">
        <f ca="1" t="shared" si="18"/>
        <v>#REF!</v>
      </c>
      <c r="O95" s="1632" t="e">
        <f ca="1" t="shared" si="18"/>
        <v>#REF!</v>
      </c>
      <c r="P95" s="1632" t="e">
        <f ca="1" t="shared" si="30"/>
        <v>#REF!</v>
      </c>
      <c r="R95" s="1632">
        <f t="shared" si="37"/>
        <v>1</v>
      </c>
      <c r="S95" s="1632" t="s">
        <v>586</v>
      </c>
      <c r="T95" s="1632"/>
      <c r="U95" s="1632"/>
      <c r="V95" s="1632"/>
      <c r="X95" s="1632">
        <f t="shared" si="26"/>
        <v>2</v>
      </c>
      <c r="Y95" s="1632" t="s">
        <v>587</v>
      </c>
      <c r="Z95" s="1632" t="s">
        <v>588</v>
      </c>
      <c r="AA95" s="1632"/>
      <c r="AB95" s="1632"/>
      <c r="AC95" s="1632"/>
      <c r="AE95" s="1632">
        <f t="shared" si="27"/>
        <v>1</v>
      </c>
      <c r="AF95" s="1632" t="s">
        <v>813</v>
      </c>
      <c r="AG95" s="1632"/>
      <c r="AH95" s="1632"/>
      <c r="AI95" s="1632"/>
      <c r="AJ95" s="1632"/>
      <c r="AL95" s="1632">
        <f t="shared" si="25"/>
        <v>6</v>
      </c>
      <c r="AM95" s="1632" t="s">
        <v>580</v>
      </c>
      <c r="AN95" s="1632" t="s">
        <v>589</v>
      </c>
      <c r="AO95" s="1632" t="s">
        <v>583</v>
      </c>
      <c r="AP95" s="1632" t="s">
        <v>590</v>
      </c>
      <c r="AQ95" s="1632" t="s">
        <v>591</v>
      </c>
      <c r="AR95" s="1632" t="s">
        <v>591</v>
      </c>
      <c r="AS95" s="1632"/>
      <c r="AT95" s="1632"/>
      <c r="AU95" s="1632"/>
      <c r="AV95" s="1632"/>
      <c r="AW95" s="1632"/>
      <c r="AX95" s="1632"/>
    </row>
    <row r="96" spans="1:50">
      <c r="A96" s="1637">
        <f ca="1">IF(B96="","",SUBTOTAL(3,B$3:B96))</f>
        <v>94</v>
      </c>
      <c r="B96" s="1646" t="str">
        <f ca="1">CELL("filename",其他非资!A1)</f>
        <v>D:\桌面\评估\评估\2025评估\中致成\中煤\报告\[104250091]中煤第五建设有限公司第三工程处拟处置实物资产项目\[0000-3基础法明细表.xlsx]其他非资</v>
      </c>
      <c r="C96" s="1647" t="str">
        <f ca="1" t="shared" si="34"/>
        <v>中煤第五建设有限公司第三工程处拟处置实物资产项目\[0000-3基础法明细表.xlsx]其他非资</v>
      </c>
      <c r="D96" s="1648">
        <f>IF(SUM(分类汇总!J$43,分类汇总!J$68)=0,分类汇总!H42,分类汇总!J42)</f>
        <v>0</v>
      </c>
      <c r="E96" s="1649">
        <f>非流动资总!BA26</f>
        <v>0</v>
      </c>
      <c r="F96" s="1649">
        <f>非流动资总!BB26</f>
        <v>0</v>
      </c>
      <c r="G96" s="1649">
        <f>非流动资总!BC26</f>
        <v>0</v>
      </c>
      <c r="H96" s="1649">
        <f>非流动资总!BD26</f>
        <v>0</v>
      </c>
      <c r="I96" s="1649">
        <f>非流动资总!BE26</f>
        <v>0</v>
      </c>
      <c r="J96" s="1649">
        <f>非流动资总!BF26</f>
        <v>0</v>
      </c>
      <c r="K96" s="1650">
        <f t="shared" si="28"/>
        <v>0</v>
      </c>
      <c r="L96" s="1637" t="str">
        <f t="shared" si="36"/>
        <v>隐藏</v>
      </c>
      <c r="M96" s="1637" t="s">
        <v>576</v>
      </c>
      <c r="N96" s="1637" t="e">
        <f ca="1" t="shared" si="18"/>
        <v>#REF!</v>
      </c>
      <c r="O96" s="1637" t="e">
        <f ca="1" t="shared" si="18"/>
        <v>#REF!</v>
      </c>
      <c r="P96" s="1637" t="e">
        <f ca="1" t="shared" si="30"/>
        <v>#REF!</v>
      </c>
      <c r="R96" s="1637">
        <f t="shared" si="37"/>
        <v>1</v>
      </c>
      <c r="S96" s="1637" t="s">
        <v>586</v>
      </c>
      <c r="T96" s="1637"/>
      <c r="U96" s="1637"/>
      <c r="V96" s="1637"/>
      <c r="X96" s="1637">
        <f t="shared" si="26"/>
        <v>2</v>
      </c>
      <c r="Y96" s="1637" t="s">
        <v>587</v>
      </c>
      <c r="Z96" s="1637" t="s">
        <v>588</v>
      </c>
      <c r="AA96" s="1637"/>
      <c r="AB96" s="1637"/>
      <c r="AC96" s="1637"/>
      <c r="AE96" s="1637">
        <f t="shared" si="27"/>
        <v>1</v>
      </c>
      <c r="AF96" s="1637" t="s">
        <v>813</v>
      </c>
      <c r="AG96" s="1637"/>
      <c r="AH96" s="1637"/>
      <c r="AI96" s="1637"/>
      <c r="AJ96" s="1637"/>
      <c r="AL96" s="1637">
        <f t="shared" si="25"/>
        <v>6</v>
      </c>
      <c r="AM96" s="1637" t="s">
        <v>580</v>
      </c>
      <c r="AN96" s="1637" t="s">
        <v>589</v>
      </c>
      <c r="AO96" s="1637" t="s">
        <v>583</v>
      </c>
      <c r="AP96" s="1637" t="s">
        <v>590</v>
      </c>
      <c r="AQ96" s="1637" t="s">
        <v>591</v>
      </c>
      <c r="AR96" s="1637" t="s">
        <v>591</v>
      </c>
      <c r="AS96" s="1637"/>
      <c r="AT96" s="1637"/>
      <c r="AU96" s="1637"/>
      <c r="AV96" s="1637"/>
      <c r="AW96" s="1637"/>
      <c r="AX96" s="1637"/>
    </row>
    <row r="97" s="1613" customFormat="1" spans="1:50">
      <c r="A97" s="1626">
        <f ca="1">IF(B97="","",SUBTOTAL(3,B$3:B97))</f>
        <v>95</v>
      </c>
      <c r="B97" s="1655" t="str">
        <f ca="1">CELL("filename",流动负总!A1)</f>
        <v>D:\桌面\评估\评估\2025评估\中致成\中煤\报告\[104250091]中煤第五建设有限公司第三工程处拟处置实物资产项目\[0000-3基础法明细表.xlsx]流动负总</v>
      </c>
      <c r="C97" s="1628" t="str">
        <f ca="1" t="shared" si="34"/>
        <v>中煤第五建设有限公司第三工程处拟处置实物资产项目\[0000-3基础法明细表.xlsx]流动负总</v>
      </c>
      <c r="D97" s="1657">
        <f>SUM(D98:D110,D114:D116)</f>
        <v>0</v>
      </c>
      <c r="E97" s="1657">
        <f t="shared" ref="E97:E117" si="38">0</f>
        <v>0</v>
      </c>
      <c r="F97" s="1657">
        <f>SUM(F98:F110,F114:F116)</f>
        <v>0</v>
      </c>
      <c r="G97" s="1657">
        <f t="shared" ref="G97:G117" si="39">0</f>
        <v>0</v>
      </c>
      <c r="H97" s="1657">
        <f t="shared" si="32"/>
        <v>0</v>
      </c>
      <c r="I97" s="1657">
        <f t="shared" ref="I97:I117" si="40">0</f>
        <v>0</v>
      </c>
      <c r="J97" s="1657">
        <f>SUM(J98:J110,J114:J116)</f>
        <v>0</v>
      </c>
      <c r="K97" s="1631">
        <f t="shared" si="28"/>
        <v>0</v>
      </c>
      <c r="L97" s="1626" t="str">
        <f t="shared" si="36"/>
        <v>隐藏</v>
      </c>
      <c r="M97" s="1626" t="s">
        <v>565</v>
      </c>
      <c r="N97" s="1632"/>
      <c r="O97" s="1632"/>
      <c r="P97" s="1632"/>
      <c r="R97" s="1632">
        <f t="shared" si="37"/>
        <v>0</v>
      </c>
      <c r="S97" s="1626"/>
      <c r="T97" s="1626"/>
      <c r="U97" s="1626"/>
      <c r="V97" s="1626"/>
      <c r="X97" s="1632">
        <f t="shared" si="26"/>
        <v>0</v>
      </c>
      <c r="Y97" s="1626"/>
      <c r="Z97" s="1626"/>
      <c r="AA97" s="1626"/>
      <c r="AB97" s="1626"/>
      <c r="AC97" s="1626"/>
      <c r="AE97" s="1632">
        <f t="shared" si="27"/>
        <v>0</v>
      </c>
      <c r="AF97" s="1626"/>
      <c r="AG97" s="1626"/>
      <c r="AH97" s="1626"/>
      <c r="AI97" s="1626"/>
      <c r="AJ97" s="1626"/>
      <c r="AL97" s="1632">
        <f t="shared" si="25"/>
        <v>0</v>
      </c>
      <c r="AM97" s="1626"/>
      <c r="AN97" s="1626"/>
      <c r="AO97" s="1626"/>
      <c r="AP97" s="1626"/>
      <c r="AQ97" s="1626"/>
      <c r="AR97" s="1626"/>
      <c r="AS97" s="1626"/>
      <c r="AT97" s="1626"/>
      <c r="AU97" s="1626"/>
      <c r="AV97" s="1626"/>
      <c r="AW97" s="1626"/>
      <c r="AX97" s="1626"/>
    </row>
    <row r="98" spans="1:50">
      <c r="A98" s="1637">
        <f ca="1">IF(B98="","",SUBTOTAL(3,B$3:B98))</f>
        <v>96</v>
      </c>
      <c r="B98" s="1646" t="str">
        <f ca="1">CELL("filename",短期借款!A1)</f>
        <v>D:\桌面\评估\评估\2025评估\中致成\中煤\报告\[104250091]中煤第五建设有限公司第三工程处拟处置实物资产项目\[0000-3基础法明细表.xlsx]短期借款</v>
      </c>
      <c r="C98" s="1647" t="str">
        <f ca="1" t="shared" si="34"/>
        <v>中煤第五建设有限公司第三工程处拟处置实物资产项目\[0000-3基础法明细表.xlsx]短期借款</v>
      </c>
      <c r="D98" s="1648">
        <f>IF(SUM(分类汇总!J$43,分类汇总!J$68)=0,分类汇总!H45,分类汇总!J45)</f>
        <v>0</v>
      </c>
      <c r="E98" s="1649">
        <f>流动负总!BA7</f>
        <v>0</v>
      </c>
      <c r="F98" s="1649">
        <f>流动负总!BB7</f>
        <v>0</v>
      </c>
      <c r="G98" s="1649">
        <f>流动负总!BC7</f>
        <v>0</v>
      </c>
      <c r="H98" s="1649">
        <f>流动负总!BD7</f>
        <v>0</v>
      </c>
      <c r="I98" s="1649">
        <f>流动负总!BE7</f>
        <v>0</v>
      </c>
      <c r="J98" s="1649">
        <f>流动负总!BF7</f>
        <v>0</v>
      </c>
      <c r="K98" s="1650">
        <f t="shared" si="28"/>
        <v>0</v>
      </c>
      <c r="L98" s="1637" t="str">
        <f t="shared" si="36"/>
        <v>隐藏</v>
      </c>
      <c r="M98" s="1637" t="s">
        <v>576</v>
      </c>
      <c r="N98" s="1637" t="e">
        <f ca="1" t="shared" si="18"/>
        <v>#REF!</v>
      </c>
      <c r="O98" s="1637" t="e">
        <f ca="1" t="shared" si="18"/>
        <v>#REF!</v>
      </c>
      <c r="P98" s="1637" t="e">
        <f ca="1" t="shared" si="30"/>
        <v>#REF!</v>
      </c>
      <c r="R98" s="1637">
        <f t="shared" si="37"/>
        <v>1</v>
      </c>
      <c r="S98" s="1637" t="s">
        <v>596</v>
      </c>
      <c r="T98" s="1637"/>
      <c r="U98" s="1637"/>
      <c r="V98" s="1637"/>
      <c r="X98" s="1637">
        <f t="shared" si="26"/>
        <v>2</v>
      </c>
      <c r="Y98" s="1637" t="s">
        <v>625</v>
      </c>
      <c r="Z98" s="1637" t="s">
        <v>814</v>
      </c>
      <c r="AA98" s="1637"/>
      <c r="AB98" s="1637"/>
      <c r="AC98" s="1637"/>
      <c r="AE98" s="1637">
        <f t="shared" si="27"/>
        <v>1</v>
      </c>
      <c r="AF98" s="1637" t="s">
        <v>625</v>
      </c>
      <c r="AG98" s="1637"/>
      <c r="AH98" s="1637"/>
      <c r="AI98" s="1637"/>
      <c r="AJ98" s="1637"/>
      <c r="AL98" s="1637">
        <f t="shared" si="25"/>
        <v>6</v>
      </c>
      <c r="AM98" s="1637" t="s">
        <v>580</v>
      </c>
      <c r="AN98" s="1637" t="s">
        <v>583</v>
      </c>
      <c r="AO98" s="1637" t="s">
        <v>608</v>
      </c>
      <c r="AP98" s="1637" t="s">
        <v>614</v>
      </c>
      <c r="AQ98" s="1637" t="s">
        <v>599</v>
      </c>
      <c r="AR98" s="1637" t="s">
        <v>599</v>
      </c>
      <c r="AS98" s="1637"/>
      <c r="AT98" s="1637"/>
      <c r="AU98" s="1637"/>
      <c r="AV98" s="1637"/>
      <c r="AW98" s="1637"/>
      <c r="AX98" s="1637"/>
    </row>
    <row r="99" spans="1:50">
      <c r="A99" s="1632">
        <f ca="1">IF(B99="","",SUBTOTAL(3,B$3:B99))</f>
        <v>97</v>
      </c>
      <c r="B99" s="1640" t="str">
        <f ca="1">CELL("filename",公允计量金负!A1)</f>
        <v>D:\桌面\评估\评估\2025评估\中致成\中煤\报告\[104250091]中煤第五建设有限公司第三工程处拟处置实物资产项目\[0000-3基础法明细表.xlsx]公允计量金负</v>
      </c>
      <c r="C99" s="1641" t="str">
        <f ca="1" t="shared" si="34"/>
        <v>中煤第五建设有限公司第三工程处拟处置实物资产项目\[0000-3基础法明细表.xlsx]公允计量金负</v>
      </c>
      <c r="D99" s="1642">
        <f>IF(SUM(分类汇总!J$43,分类汇总!J$68)=0,分类汇总!H46,分类汇总!J46)</f>
        <v>0</v>
      </c>
      <c r="E99" s="1643">
        <f>流动负总!BA8</f>
        <v>0</v>
      </c>
      <c r="F99" s="1643">
        <f>流动负总!BB8</f>
        <v>0</v>
      </c>
      <c r="G99" s="1643">
        <f>流动负总!BC8</f>
        <v>0</v>
      </c>
      <c r="H99" s="1643">
        <f>流动负总!BD8</f>
        <v>0</v>
      </c>
      <c r="I99" s="1643">
        <f>流动负总!BE8</f>
        <v>0</v>
      </c>
      <c r="J99" s="1643">
        <f>流动负总!BF8</f>
        <v>0</v>
      </c>
      <c r="K99" s="1644">
        <f t="shared" si="28"/>
        <v>0</v>
      </c>
      <c r="L99" s="1632" t="str">
        <f t="shared" si="36"/>
        <v>隐藏</v>
      </c>
      <c r="M99" s="1632" t="s">
        <v>344</v>
      </c>
      <c r="N99" s="1632" t="e">
        <f ca="1" t="shared" si="18"/>
        <v>#REF!</v>
      </c>
      <c r="O99" s="1632" t="e">
        <f ca="1" t="shared" si="18"/>
        <v>#REF!</v>
      </c>
      <c r="P99" s="1632" t="e">
        <f ca="1" t="shared" si="30"/>
        <v>#REF!</v>
      </c>
      <c r="R99" s="1632">
        <f t="shared" si="37"/>
        <v>1</v>
      </c>
      <c r="S99" s="1632" t="s">
        <v>579</v>
      </c>
      <c r="T99" s="1632"/>
      <c r="U99" s="1632"/>
      <c r="V99" s="1632"/>
      <c r="X99" s="1632">
        <f t="shared" si="26"/>
        <v>2</v>
      </c>
      <c r="Y99" s="1632" t="s">
        <v>595</v>
      </c>
      <c r="Z99" s="1632" t="s">
        <v>815</v>
      </c>
      <c r="AA99" s="1632"/>
      <c r="AB99" s="1632"/>
      <c r="AC99" s="1632"/>
      <c r="AE99" s="1632">
        <f t="shared" si="27"/>
        <v>1</v>
      </c>
      <c r="AF99" s="1632" t="s">
        <v>655</v>
      </c>
      <c r="AG99" s="1632"/>
      <c r="AH99" s="1632"/>
      <c r="AI99" s="1632"/>
      <c r="AJ99" s="1632"/>
      <c r="AL99" s="1632">
        <f t="shared" ref="AL99:AL125" si="41">COUNTA(AM99:AX99)</f>
        <v>6</v>
      </c>
      <c r="AM99" s="1632" t="s">
        <v>580</v>
      </c>
      <c r="AN99" s="1632" t="s">
        <v>597</v>
      </c>
      <c r="AO99" s="1632" t="s">
        <v>590</v>
      </c>
      <c r="AP99" s="1632" t="s">
        <v>598</v>
      </c>
      <c r="AQ99" s="1632" t="s">
        <v>584</v>
      </c>
      <c r="AR99" s="1632" t="s">
        <v>584</v>
      </c>
      <c r="AS99" s="1632"/>
      <c r="AT99" s="1632"/>
      <c r="AU99" s="1632"/>
      <c r="AV99" s="1632"/>
      <c r="AW99" s="1632"/>
      <c r="AX99" s="1632"/>
    </row>
    <row r="100" spans="1:50">
      <c r="A100" s="1637">
        <f ca="1">IF(B100="","",SUBTOTAL(3,B$3:B100))</f>
        <v>98</v>
      </c>
      <c r="B100" s="1646" t="str">
        <f ca="1">CELL("filename",交易性金负!A1)</f>
        <v>D:\桌面\评估\评估\2025评估\中致成\中煤\报告\[104250091]中煤第五建设有限公司第三工程处拟处置实物资产项目\[0000-3基础法明细表.xlsx]交易性金负</v>
      </c>
      <c r="C100" s="1647" t="str">
        <f ca="1" t="shared" si="34"/>
        <v>中煤第五建设有限公司第三工程处拟处置实物资产项目\[0000-3基础法明细表.xlsx]交易性金负</v>
      </c>
      <c r="D100" s="1648">
        <f>IF(SUM(分类汇总!J$43,分类汇总!J$68)=0,分类汇总!H47,分类汇总!J47)</f>
        <v>0</v>
      </c>
      <c r="E100" s="1649">
        <f>流动负总!BA9</f>
        <v>0</v>
      </c>
      <c r="F100" s="1649">
        <f>流动负总!BB9</f>
        <v>0</v>
      </c>
      <c r="G100" s="1649">
        <f>流动负总!BC9</f>
        <v>0</v>
      </c>
      <c r="H100" s="1649">
        <f>流动负总!BD9</f>
        <v>0</v>
      </c>
      <c r="I100" s="1649">
        <f>流动负总!BE9</f>
        <v>0</v>
      </c>
      <c r="J100" s="1649">
        <f>流动负总!BF9</f>
        <v>0</v>
      </c>
      <c r="K100" s="1650">
        <f t="shared" si="28"/>
        <v>0</v>
      </c>
      <c r="L100" s="1637" t="str">
        <f t="shared" si="36"/>
        <v>隐藏</v>
      </c>
      <c r="M100" s="1637" t="s">
        <v>345</v>
      </c>
      <c r="N100" s="1637" t="e">
        <f ca="1" t="shared" si="18"/>
        <v>#REF!</v>
      </c>
      <c r="O100" s="1637" t="e">
        <f ca="1" t="shared" si="18"/>
        <v>#REF!</v>
      </c>
      <c r="P100" s="1637" t="e">
        <f ca="1" t="shared" si="30"/>
        <v>#REF!</v>
      </c>
      <c r="R100" s="1637">
        <f t="shared" si="37"/>
        <v>1</v>
      </c>
      <c r="S100" s="1637" t="s">
        <v>579</v>
      </c>
      <c r="T100" s="1637"/>
      <c r="U100" s="1637"/>
      <c r="V100" s="1637"/>
      <c r="X100" s="1637">
        <f t="shared" si="26"/>
        <v>2</v>
      </c>
      <c r="Y100" s="1637" t="s">
        <v>595</v>
      </c>
      <c r="Z100" s="1637" t="s">
        <v>815</v>
      </c>
      <c r="AA100" s="1637"/>
      <c r="AB100" s="1637"/>
      <c r="AC100" s="1637"/>
      <c r="AE100" s="1637">
        <f t="shared" si="27"/>
        <v>1</v>
      </c>
      <c r="AF100" s="1637" t="s">
        <v>655</v>
      </c>
      <c r="AG100" s="1637"/>
      <c r="AH100" s="1637"/>
      <c r="AI100" s="1637"/>
      <c r="AJ100" s="1637"/>
      <c r="AL100" s="1637">
        <f t="shared" si="41"/>
        <v>6</v>
      </c>
      <c r="AM100" s="1637" t="s">
        <v>580</v>
      </c>
      <c r="AN100" s="1637" t="s">
        <v>597</v>
      </c>
      <c r="AO100" s="1637" t="s">
        <v>590</v>
      </c>
      <c r="AP100" s="1637" t="s">
        <v>598</v>
      </c>
      <c r="AQ100" s="1637" t="s">
        <v>584</v>
      </c>
      <c r="AR100" s="1637" t="s">
        <v>584</v>
      </c>
      <c r="AS100" s="1637"/>
      <c r="AT100" s="1637"/>
      <c r="AU100" s="1637"/>
      <c r="AV100" s="1637"/>
      <c r="AW100" s="1637"/>
      <c r="AX100" s="1637"/>
    </row>
    <row r="101" spans="1:50">
      <c r="A101" s="1632">
        <f ca="1">IF(B101="","",SUBTOTAL(3,B$3:B101))</f>
        <v>99</v>
      </c>
      <c r="B101" s="1640" t="str">
        <f ca="1">CELL("filename",衍生金负!A1)</f>
        <v>D:\桌面\评估\评估\2025评估\中致成\中煤\报告\[104250091]中煤第五建设有限公司第三工程处拟处置实物资产项目\[0000-3基础法明细表.xlsx]衍生金负</v>
      </c>
      <c r="C101" s="1641" t="str">
        <f ca="1" t="shared" si="34"/>
        <v>中煤第五建设有限公司第三工程处拟处置实物资产项目\[0000-3基础法明细表.xlsx]衍生金负</v>
      </c>
      <c r="D101" s="1642">
        <f>IF(SUM(分类汇总!J$43,分类汇总!J$68)=0,分类汇总!H48,分类汇总!J48)</f>
        <v>0</v>
      </c>
      <c r="E101" s="1643">
        <f>流动负总!BA10</f>
        <v>0</v>
      </c>
      <c r="F101" s="1643">
        <f>流动负总!BB10</f>
        <v>0</v>
      </c>
      <c r="G101" s="1643">
        <f>流动负总!BC10</f>
        <v>0</v>
      </c>
      <c r="H101" s="1643">
        <f>流动负总!BD10</f>
        <v>0</v>
      </c>
      <c r="I101" s="1643">
        <f>流动负总!BE10</f>
        <v>0</v>
      </c>
      <c r="J101" s="1643">
        <f>流动负总!BF10</f>
        <v>0</v>
      </c>
      <c r="K101" s="1644">
        <f t="shared" si="28"/>
        <v>0</v>
      </c>
      <c r="L101" s="1632" t="str">
        <f t="shared" si="36"/>
        <v>隐藏</v>
      </c>
      <c r="M101" s="1632" t="s">
        <v>576</v>
      </c>
      <c r="N101" s="1632" t="e">
        <f ca="1" t="shared" si="18"/>
        <v>#REF!</v>
      </c>
      <c r="O101" s="1632" t="e">
        <f ca="1" t="shared" si="18"/>
        <v>#REF!</v>
      </c>
      <c r="P101" s="1632" t="e">
        <f ca="1" t="shared" si="30"/>
        <v>#REF!</v>
      </c>
      <c r="R101" s="1632">
        <f t="shared" si="37"/>
        <v>1</v>
      </c>
      <c r="S101" s="1632" t="s">
        <v>588</v>
      </c>
      <c r="T101" s="1632"/>
      <c r="U101" s="1632"/>
      <c r="V101" s="1632"/>
      <c r="X101" s="1632">
        <f t="shared" si="26"/>
        <v>2</v>
      </c>
      <c r="Y101" s="1632" t="s">
        <v>792</v>
      </c>
      <c r="Z101" s="1632" t="s">
        <v>816</v>
      </c>
      <c r="AA101" s="1632"/>
      <c r="AB101" s="1632"/>
      <c r="AC101" s="1632"/>
      <c r="AE101" s="1632">
        <f t="shared" si="27"/>
        <v>1</v>
      </c>
      <c r="AF101" s="1632" t="s">
        <v>794</v>
      </c>
      <c r="AG101" s="1632"/>
      <c r="AH101" s="1632"/>
      <c r="AI101" s="1632"/>
      <c r="AJ101" s="1632"/>
      <c r="AL101" s="1632">
        <f t="shared" si="41"/>
        <v>6</v>
      </c>
      <c r="AM101" s="1632" t="s">
        <v>580</v>
      </c>
      <c r="AN101" s="1632" t="s">
        <v>582</v>
      </c>
      <c r="AO101" s="1632" t="s">
        <v>598</v>
      </c>
      <c r="AP101" s="1632" t="s">
        <v>608</v>
      </c>
      <c r="AQ101" s="1632" t="s">
        <v>591</v>
      </c>
      <c r="AR101" s="1632" t="s">
        <v>591</v>
      </c>
      <c r="AS101" s="1632"/>
      <c r="AT101" s="1632"/>
      <c r="AU101" s="1632"/>
      <c r="AV101" s="1632"/>
      <c r="AW101" s="1632"/>
      <c r="AX101" s="1632"/>
    </row>
    <row r="102" spans="1:50">
      <c r="A102" s="1637">
        <f ca="1">IF(B102="","",SUBTOTAL(3,B$3:B102))</f>
        <v>100</v>
      </c>
      <c r="B102" s="1646" t="str">
        <f ca="1">CELL("filename",应付票据!A1)</f>
        <v>D:\桌面\评估\评估\2025评估\中致成\中煤\报告\[104250091]中煤第五建设有限公司第三工程处拟处置实物资产项目\[0000-3基础法明细表.xlsx]应付票据</v>
      </c>
      <c r="C102" s="1647" t="str">
        <f ca="1" t="shared" si="34"/>
        <v>中煤第五建设有限公司第三工程处拟处置实物资产项目\[0000-3基础法明细表.xlsx]应付票据</v>
      </c>
      <c r="D102" s="1648">
        <f>IF(SUM(分类汇总!J$43,分类汇总!J$68)=0,分类汇总!H49,分类汇总!J49)</f>
        <v>0</v>
      </c>
      <c r="E102" s="1649">
        <f>流动负总!BA11</f>
        <v>0</v>
      </c>
      <c r="F102" s="1649">
        <f>流动负总!BB11</f>
        <v>0</v>
      </c>
      <c r="G102" s="1649">
        <f>流动负总!BC11</f>
        <v>0</v>
      </c>
      <c r="H102" s="1649">
        <f>流动负总!BD11</f>
        <v>0</v>
      </c>
      <c r="I102" s="1649">
        <f>流动负总!BE11</f>
        <v>0</v>
      </c>
      <c r="J102" s="1649">
        <f>流动负总!BF11</f>
        <v>0</v>
      </c>
      <c r="K102" s="1650">
        <f t="shared" si="28"/>
        <v>0</v>
      </c>
      <c r="L102" s="1637" t="str">
        <f t="shared" si="36"/>
        <v>隐藏</v>
      </c>
      <c r="M102" s="1637" t="s">
        <v>576</v>
      </c>
      <c r="N102" s="1637" t="e">
        <f ca="1" t="shared" si="18"/>
        <v>#REF!</v>
      </c>
      <c r="O102" s="1637" t="e">
        <f ca="1" t="shared" si="18"/>
        <v>#REF!</v>
      </c>
      <c r="P102" s="1637" t="e">
        <f ca="1" t="shared" si="30"/>
        <v>#REF!</v>
      </c>
      <c r="R102" s="1637">
        <f t="shared" si="37"/>
        <v>1</v>
      </c>
      <c r="S102" s="1637" t="s">
        <v>588</v>
      </c>
      <c r="T102" s="1637"/>
      <c r="U102" s="1637"/>
      <c r="V102" s="1637"/>
      <c r="X102" s="1637">
        <f t="shared" si="26"/>
        <v>2</v>
      </c>
      <c r="Y102" s="1637" t="s">
        <v>792</v>
      </c>
      <c r="Z102" s="1637" t="s">
        <v>816</v>
      </c>
      <c r="AA102" s="1637"/>
      <c r="AB102" s="1637"/>
      <c r="AC102" s="1637"/>
      <c r="AE102" s="1637">
        <f t="shared" si="27"/>
        <v>1</v>
      </c>
      <c r="AF102" s="1637" t="s">
        <v>794</v>
      </c>
      <c r="AG102" s="1637"/>
      <c r="AH102" s="1637"/>
      <c r="AI102" s="1637"/>
      <c r="AJ102" s="1637"/>
      <c r="AL102" s="1637">
        <f t="shared" si="41"/>
        <v>6</v>
      </c>
      <c r="AM102" s="1637" t="s">
        <v>580</v>
      </c>
      <c r="AN102" s="1637" t="s">
        <v>582</v>
      </c>
      <c r="AO102" s="1637" t="s">
        <v>598</v>
      </c>
      <c r="AP102" s="1637" t="s">
        <v>608</v>
      </c>
      <c r="AQ102" s="1637" t="s">
        <v>591</v>
      </c>
      <c r="AR102" s="1637" t="s">
        <v>591</v>
      </c>
      <c r="AS102" s="1637"/>
      <c r="AT102" s="1637"/>
      <c r="AU102" s="1637"/>
      <c r="AV102" s="1637"/>
      <c r="AW102" s="1637"/>
      <c r="AX102" s="1637"/>
    </row>
    <row r="103" spans="1:50">
      <c r="A103" s="1632">
        <f ca="1">IF(B103="","",SUBTOTAL(3,B$3:B103))</f>
        <v>101</v>
      </c>
      <c r="B103" s="1640" t="str">
        <f ca="1">CELL("filename",应付账款!A1)</f>
        <v>D:\桌面\评估\评估\2025评估\中致成\中煤\报告\[104250091]中煤第五建设有限公司第三工程处拟处置实物资产项目\[0000-3基础法明细表.xlsx]应付账款</v>
      </c>
      <c r="C103" s="1641" t="str">
        <f ca="1" t="shared" si="34"/>
        <v>中煤第五建设有限公司第三工程处拟处置实物资产项目\[0000-3基础法明细表.xlsx]应付账款</v>
      </c>
      <c r="D103" s="1642">
        <f>IF(SUM(分类汇总!J$43,分类汇总!J$68)=0,分类汇总!H50,分类汇总!J50)</f>
        <v>0</v>
      </c>
      <c r="E103" s="1643">
        <f>流动负总!BA12</f>
        <v>0</v>
      </c>
      <c r="F103" s="1643">
        <f>流动负总!BB12</f>
        <v>0</v>
      </c>
      <c r="G103" s="1643">
        <f>流动负总!BC12</f>
        <v>0</v>
      </c>
      <c r="H103" s="1643">
        <f>流动负总!BD12</f>
        <v>0</v>
      </c>
      <c r="I103" s="1643">
        <f>流动负总!BE12</f>
        <v>0</v>
      </c>
      <c r="J103" s="1643">
        <f>流动负总!BF12</f>
        <v>0</v>
      </c>
      <c r="K103" s="1644">
        <f t="shared" si="28"/>
        <v>0</v>
      </c>
      <c r="L103" s="1632" t="str">
        <f t="shared" si="36"/>
        <v>隐藏</v>
      </c>
      <c r="M103" s="1632" t="s">
        <v>576</v>
      </c>
      <c r="N103" s="1632" t="e">
        <f ca="1" t="shared" si="18"/>
        <v>#REF!</v>
      </c>
      <c r="O103" s="1632" t="e">
        <f ca="1" t="shared" si="18"/>
        <v>#REF!</v>
      </c>
      <c r="P103" s="1632" t="e">
        <f ca="1" t="shared" si="30"/>
        <v>#REF!</v>
      </c>
      <c r="R103" s="1632">
        <f t="shared" si="37"/>
        <v>1</v>
      </c>
      <c r="S103" s="1632" t="s">
        <v>579</v>
      </c>
      <c r="T103" s="1632"/>
      <c r="U103" s="1632"/>
      <c r="V103" s="1632"/>
      <c r="X103" s="1632">
        <f t="shared" si="26"/>
        <v>2</v>
      </c>
      <c r="Y103" s="1632" t="s">
        <v>595</v>
      </c>
      <c r="Z103" s="1632" t="s">
        <v>815</v>
      </c>
      <c r="AA103" s="1632"/>
      <c r="AB103" s="1632"/>
      <c r="AC103" s="1632"/>
      <c r="AE103" s="1632">
        <f t="shared" si="27"/>
        <v>1</v>
      </c>
      <c r="AF103" s="1632" t="s">
        <v>655</v>
      </c>
      <c r="AG103" s="1632"/>
      <c r="AH103" s="1632"/>
      <c r="AI103" s="1632"/>
      <c r="AJ103" s="1632"/>
      <c r="AL103" s="1632">
        <f t="shared" si="41"/>
        <v>6</v>
      </c>
      <c r="AM103" s="1632" t="s">
        <v>580</v>
      </c>
      <c r="AN103" s="1632" t="s">
        <v>597</v>
      </c>
      <c r="AO103" s="1632" t="s">
        <v>590</v>
      </c>
      <c r="AP103" s="1632" t="s">
        <v>598</v>
      </c>
      <c r="AQ103" s="1632" t="s">
        <v>584</v>
      </c>
      <c r="AR103" s="1632" t="s">
        <v>584</v>
      </c>
      <c r="AS103" s="1632"/>
      <c r="AT103" s="1632"/>
      <c r="AU103" s="1632"/>
      <c r="AV103" s="1632"/>
      <c r="AW103" s="1632"/>
      <c r="AX103" s="1632"/>
    </row>
    <row r="104" spans="1:50">
      <c r="A104" s="1637">
        <f ca="1">IF(B104="","",SUBTOTAL(3,B$3:B104))</f>
        <v>102</v>
      </c>
      <c r="B104" s="1646" t="str">
        <f ca="1">CELL("filename",预收账款!A1)</f>
        <v>D:\桌面\评估\评估\2025评估\中致成\中煤\报告\[104250091]中煤第五建设有限公司第三工程处拟处置实物资产项目\[0000-3基础法明细表.xlsx]预收账款</v>
      </c>
      <c r="C104" s="1647" t="str">
        <f ca="1" t="shared" si="34"/>
        <v>中煤第五建设有限公司第三工程处拟处置实物资产项目\[0000-3基础法明细表.xlsx]预收账款</v>
      </c>
      <c r="D104" s="1648">
        <f>IF(SUM(分类汇总!J$43,分类汇总!J$68)=0,分类汇总!H51,分类汇总!J51)</f>
        <v>0</v>
      </c>
      <c r="E104" s="1649">
        <f>流动负总!BA13</f>
        <v>0</v>
      </c>
      <c r="F104" s="1649">
        <f>流动负总!BB13</f>
        <v>0</v>
      </c>
      <c r="G104" s="1649">
        <f>流动负总!BC13</f>
        <v>0</v>
      </c>
      <c r="H104" s="1649">
        <f>流动负总!BD13</f>
        <v>0</v>
      </c>
      <c r="I104" s="1649">
        <f>流动负总!BE13</f>
        <v>0</v>
      </c>
      <c r="J104" s="1649">
        <f>流动负总!BF13</f>
        <v>0</v>
      </c>
      <c r="K104" s="1650">
        <f t="shared" si="28"/>
        <v>0</v>
      </c>
      <c r="L104" s="1637" t="str">
        <f t="shared" si="36"/>
        <v>隐藏</v>
      </c>
      <c r="M104" s="1637" t="s">
        <v>576</v>
      </c>
      <c r="N104" s="1637" t="e">
        <f ca="1" t="shared" si="18"/>
        <v>#REF!</v>
      </c>
      <c r="O104" s="1637" t="e">
        <f ca="1" t="shared" si="18"/>
        <v>#REF!</v>
      </c>
      <c r="P104" s="1637" t="e">
        <f ca="1" t="shared" si="30"/>
        <v>#REF!</v>
      </c>
      <c r="R104" s="1637">
        <f t="shared" si="37"/>
        <v>1</v>
      </c>
      <c r="S104" s="1637" t="s">
        <v>579</v>
      </c>
      <c r="T104" s="1637"/>
      <c r="U104" s="1637"/>
      <c r="V104" s="1637"/>
      <c r="X104" s="1637">
        <f t="shared" si="26"/>
        <v>2</v>
      </c>
      <c r="Y104" s="1637" t="s">
        <v>595</v>
      </c>
      <c r="Z104" s="1637" t="s">
        <v>815</v>
      </c>
      <c r="AA104" s="1637"/>
      <c r="AB104" s="1637"/>
      <c r="AC104" s="1637"/>
      <c r="AE104" s="1637">
        <f t="shared" si="27"/>
        <v>1</v>
      </c>
      <c r="AF104" s="1637" t="s">
        <v>655</v>
      </c>
      <c r="AG104" s="1637"/>
      <c r="AH104" s="1637"/>
      <c r="AI104" s="1637"/>
      <c r="AJ104" s="1637"/>
      <c r="AL104" s="1637">
        <f t="shared" si="41"/>
        <v>6</v>
      </c>
      <c r="AM104" s="1637" t="s">
        <v>580</v>
      </c>
      <c r="AN104" s="1637" t="s">
        <v>597</v>
      </c>
      <c r="AO104" s="1637" t="s">
        <v>590</v>
      </c>
      <c r="AP104" s="1637" t="s">
        <v>598</v>
      </c>
      <c r="AQ104" s="1637" t="s">
        <v>584</v>
      </c>
      <c r="AR104" s="1637" t="s">
        <v>584</v>
      </c>
      <c r="AS104" s="1637"/>
      <c r="AT104" s="1637"/>
      <c r="AU104" s="1637"/>
      <c r="AV104" s="1637"/>
      <c r="AW104" s="1637"/>
      <c r="AX104" s="1637"/>
    </row>
    <row r="105" s="1613" customFormat="1" spans="1:50">
      <c r="A105" s="1626">
        <f ca="1">IF(B105="","",SUBTOTAL(3,B$3:B105))</f>
        <v>103</v>
      </c>
      <c r="B105" s="1655" t="str">
        <f ca="1">CELL("filename",合同负总!A2)</f>
        <v>D:\桌面\评估\评估\2025评估\中致成\中煤\报告\[104250091]中煤第五建设有限公司第三工程处拟处置实物资产项目\[0000-3基础法明细表.xlsx]合同负总</v>
      </c>
      <c r="C105" s="1628" t="str">
        <f ca="1" t="shared" si="34"/>
        <v>中煤第五建设有限公司第三工程处拟处置实物资产项目\[0000-3基础法明细表.xlsx]合同负总</v>
      </c>
      <c r="D105" s="1656">
        <f>IF(SUM(分类汇总!J$43,分类汇总!J$68)=0,分类汇总!H52,分类汇总!J52)</f>
        <v>0</v>
      </c>
      <c r="E105" s="1657">
        <f>SUM(E106:E107)</f>
        <v>0</v>
      </c>
      <c r="F105" s="1657">
        <f t="shared" ref="F105:J105" si="42">SUM(F106:F107)</f>
        <v>0</v>
      </c>
      <c r="G105" s="1657">
        <f t="shared" si="42"/>
        <v>0</v>
      </c>
      <c r="H105" s="1657">
        <f t="shared" si="32"/>
        <v>0</v>
      </c>
      <c r="I105" s="1657">
        <f t="shared" si="42"/>
        <v>0</v>
      </c>
      <c r="J105" s="1657">
        <f t="shared" si="42"/>
        <v>0</v>
      </c>
      <c r="K105" s="1631">
        <f t="shared" si="28"/>
        <v>0</v>
      </c>
      <c r="L105" s="1626" t="str">
        <f t="shared" si="36"/>
        <v>隐藏</v>
      </c>
      <c r="M105" s="1626" t="s">
        <v>618</v>
      </c>
      <c r="N105" s="1632"/>
      <c r="O105" s="1632"/>
      <c r="P105" s="1632"/>
      <c r="R105" s="1632">
        <f t="shared" si="37"/>
        <v>0</v>
      </c>
      <c r="S105" s="1626"/>
      <c r="T105" s="1626"/>
      <c r="U105" s="1626"/>
      <c r="V105" s="1626"/>
      <c r="X105" s="1632">
        <f t="shared" si="26"/>
        <v>0</v>
      </c>
      <c r="Y105" s="1626"/>
      <c r="Z105" s="1626"/>
      <c r="AA105" s="1626"/>
      <c r="AB105" s="1626"/>
      <c r="AC105" s="1626"/>
      <c r="AE105" s="1632">
        <f t="shared" si="27"/>
        <v>0</v>
      </c>
      <c r="AF105" s="1626"/>
      <c r="AG105" s="1626"/>
      <c r="AH105" s="1626"/>
      <c r="AI105" s="1626"/>
      <c r="AJ105" s="1626"/>
      <c r="AL105" s="1632">
        <f t="shared" si="41"/>
        <v>0</v>
      </c>
      <c r="AM105" s="1626"/>
      <c r="AN105" s="1626"/>
      <c r="AO105" s="1626"/>
      <c r="AP105" s="1626"/>
      <c r="AQ105" s="1626"/>
      <c r="AR105" s="1626"/>
      <c r="AS105" s="1626"/>
      <c r="AT105" s="1626"/>
      <c r="AU105" s="1626"/>
      <c r="AV105" s="1626"/>
      <c r="AW105" s="1626"/>
      <c r="AX105" s="1626"/>
    </row>
    <row r="106" spans="1:50">
      <c r="A106" s="1637">
        <f ca="1">IF(B106="","",SUBTOTAL(3,B$3:B106))</f>
        <v>104</v>
      </c>
      <c r="B106" s="1646" t="str">
        <f ca="1">CELL("filename",'合同负-未完施工'!A1)</f>
        <v>D:\桌面\评估\评估\2025评估\中致成\中煤\报告\[104250091]中煤第五建设有限公司第三工程处拟处置实物资产项目\[0000-3基础法明细表.xlsx]合同负-未完施工</v>
      </c>
      <c r="C106" s="1647" t="str">
        <f ca="1" t="shared" si="34"/>
        <v>中煤第五建设有限公司第三工程处拟处置实物资产项目\[0000-3基础法明细表.xlsx]合同负-未完施工</v>
      </c>
      <c r="D106" s="1648">
        <f>IF(D$105=H$105,0,1)</f>
        <v>0</v>
      </c>
      <c r="E106" s="1649">
        <f>合同负总!BA7</f>
        <v>0</v>
      </c>
      <c r="F106" s="1649">
        <f>合同负总!BB7</f>
        <v>0</v>
      </c>
      <c r="G106" s="1649">
        <f>合同负总!BC7</f>
        <v>0</v>
      </c>
      <c r="H106" s="1649">
        <f>合同负总!BD7</f>
        <v>0</v>
      </c>
      <c r="I106" s="1649">
        <f>合同负总!BE7</f>
        <v>0</v>
      </c>
      <c r="J106" s="1649">
        <f>合同负总!BF7</f>
        <v>0</v>
      </c>
      <c r="K106" s="1650">
        <f t="shared" si="28"/>
        <v>0</v>
      </c>
      <c r="L106" s="1637" t="str">
        <f t="shared" si="36"/>
        <v>隐藏</v>
      </c>
      <c r="M106" s="1637" t="s">
        <v>345</v>
      </c>
      <c r="N106" s="1637" t="e">
        <f ca="1" t="shared" si="18"/>
        <v>#REF!</v>
      </c>
      <c r="O106" s="1637" t="e">
        <f ca="1" t="shared" si="18"/>
        <v>#REF!</v>
      </c>
      <c r="P106" s="1637" t="e">
        <f ca="1" t="shared" si="30"/>
        <v>#REF!</v>
      </c>
      <c r="R106" s="1637">
        <f t="shared" si="37"/>
        <v>3</v>
      </c>
      <c r="S106" s="1637" t="s">
        <v>700</v>
      </c>
      <c r="T106" s="1637" t="s">
        <v>701</v>
      </c>
      <c r="U106" s="1637" t="s">
        <v>703</v>
      </c>
      <c r="V106" s="1637"/>
      <c r="X106" s="1637">
        <f t="shared" si="26"/>
        <v>4</v>
      </c>
      <c r="Y106" s="1637" t="s">
        <v>700</v>
      </c>
      <c r="Z106" s="1637" t="s">
        <v>701</v>
      </c>
      <c r="AA106" s="1637" t="s">
        <v>817</v>
      </c>
      <c r="AB106" s="1637" t="s">
        <v>729</v>
      </c>
      <c r="AC106" s="1637"/>
      <c r="AE106" s="1637">
        <f t="shared" si="27"/>
        <v>2</v>
      </c>
      <c r="AF106" s="1637" t="s">
        <v>700</v>
      </c>
      <c r="AG106" s="1637" t="s">
        <v>818</v>
      </c>
      <c r="AH106" s="1637"/>
      <c r="AI106" s="1637"/>
      <c r="AJ106" s="1637"/>
      <c r="AL106" s="1637">
        <f t="shared" si="41"/>
        <v>8</v>
      </c>
      <c r="AM106" s="1637" t="s">
        <v>580</v>
      </c>
      <c r="AN106" s="1637" t="s">
        <v>627</v>
      </c>
      <c r="AO106" s="1637" t="s">
        <v>653</v>
      </c>
      <c r="AP106" s="1637" t="s">
        <v>706</v>
      </c>
      <c r="AQ106" s="1637" t="s">
        <v>679</v>
      </c>
      <c r="AR106" s="1637" t="s">
        <v>679</v>
      </c>
      <c r="AS106" s="1637" t="s">
        <v>725</v>
      </c>
      <c r="AT106" s="1637" t="s">
        <v>725</v>
      </c>
      <c r="AU106" s="1637"/>
      <c r="AV106" s="1637"/>
      <c r="AW106" s="1637"/>
      <c r="AX106" s="1637"/>
    </row>
    <row r="107" spans="1:50">
      <c r="A107" s="1632">
        <f ca="1">IF(B107="","",SUBTOTAL(3,B$3:B107))</f>
        <v>105</v>
      </c>
      <c r="B107" s="1640" t="str">
        <f ca="1">CELL("filename",'合同负-其他'!A1)</f>
        <v>D:\桌面\评估\评估\2025评估\中致成\中煤\报告\[104250091]中煤第五建设有限公司第三工程处拟处置实物资产项目\[0000-3基础法明细表.xlsx]合同负-其他</v>
      </c>
      <c r="C107" s="1641" t="str">
        <f ca="1" t="shared" si="34"/>
        <v>中煤第五建设有限公司第三工程处拟处置实物资产项目\[0000-3基础法明细表.xlsx]合同负-其他</v>
      </c>
      <c r="D107" s="1642">
        <f>IF(D$105=H$105,0,1)</f>
        <v>0</v>
      </c>
      <c r="E107" s="1643">
        <f>合同负总!BA8</f>
        <v>0</v>
      </c>
      <c r="F107" s="1643">
        <f>合同负总!BB8</f>
        <v>0</v>
      </c>
      <c r="G107" s="1643">
        <f>合同负总!BC8</f>
        <v>0</v>
      </c>
      <c r="H107" s="1643">
        <f>合同负总!BD8</f>
        <v>0</v>
      </c>
      <c r="I107" s="1643">
        <f>合同负总!BE8</f>
        <v>0</v>
      </c>
      <c r="J107" s="1643">
        <f>合同负总!BF8</f>
        <v>0</v>
      </c>
      <c r="K107" s="1644">
        <f t="shared" si="28"/>
        <v>0</v>
      </c>
      <c r="L107" s="1632" t="str">
        <f t="shared" si="36"/>
        <v>隐藏</v>
      </c>
      <c r="M107" s="1632" t="s">
        <v>345</v>
      </c>
      <c r="N107" s="1632" t="e">
        <f ca="1" t="shared" si="18"/>
        <v>#REF!</v>
      </c>
      <c r="O107" s="1632" t="e">
        <f ca="1" t="shared" si="18"/>
        <v>#REF!</v>
      </c>
      <c r="P107" s="1632" t="e">
        <f ca="1" t="shared" si="30"/>
        <v>#REF!</v>
      </c>
      <c r="R107" s="1632">
        <f t="shared" si="37"/>
        <v>2</v>
      </c>
      <c r="S107" s="1632" t="s">
        <v>819</v>
      </c>
      <c r="T107" s="1632" t="s">
        <v>624</v>
      </c>
      <c r="U107" s="1632"/>
      <c r="V107" s="1632"/>
      <c r="X107" s="1632">
        <f t="shared" si="26"/>
        <v>3</v>
      </c>
      <c r="Y107" s="1632" t="s">
        <v>819</v>
      </c>
      <c r="Z107" s="1632" t="s">
        <v>625</v>
      </c>
      <c r="AA107" s="1632" t="s">
        <v>626</v>
      </c>
      <c r="AB107" s="1632"/>
      <c r="AC107" s="1632"/>
      <c r="AE107" s="1632">
        <f t="shared" si="27"/>
        <v>1</v>
      </c>
      <c r="AF107" s="1632" t="s">
        <v>820</v>
      </c>
      <c r="AG107" s="1632"/>
      <c r="AH107" s="1632"/>
      <c r="AI107" s="1632"/>
      <c r="AJ107" s="1632"/>
      <c r="AL107" s="1632">
        <f t="shared" si="41"/>
        <v>8</v>
      </c>
      <c r="AM107" s="1632" t="s">
        <v>580</v>
      </c>
      <c r="AN107" s="1632" t="s">
        <v>589</v>
      </c>
      <c r="AO107" s="1632" t="s">
        <v>582</v>
      </c>
      <c r="AP107" s="1632" t="s">
        <v>583</v>
      </c>
      <c r="AQ107" s="1632" t="s">
        <v>608</v>
      </c>
      <c r="AR107" s="1632" t="s">
        <v>614</v>
      </c>
      <c r="AS107" s="1632" t="s">
        <v>627</v>
      </c>
      <c r="AT107" s="1632" t="s">
        <v>627</v>
      </c>
      <c r="AU107" s="1632"/>
      <c r="AV107" s="1632"/>
      <c r="AW107" s="1632"/>
      <c r="AX107" s="1632"/>
    </row>
    <row r="108" spans="1:50">
      <c r="A108" s="1637">
        <f ca="1">IF(B108="","",SUBTOTAL(3,B$3:B108))</f>
        <v>106</v>
      </c>
      <c r="B108" s="1646" t="str">
        <f ca="1">CELL("filename",职工薪酬!A1)</f>
        <v>D:\桌面\评估\评估\2025评估\中致成\中煤\报告\[104250091]中煤第五建设有限公司第三工程处拟处置实物资产项目\[0000-3基础法明细表.xlsx]职工薪酬</v>
      </c>
      <c r="C108" s="1647" t="str">
        <f ca="1" t="shared" si="34"/>
        <v>中煤第五建设有限公司第三工程处拟处置实物资产项目\[0000-3基础法明细表.xlsx]职工薪酬</v>
      </c>
      <c r="D108" s="1648">
        <f>IF(SUM(分类汇总!J$43,分类汇总!J$68)=0,分类汇总!H53,分类汇总!J53)</f>
        <v>0</v>
      </c>
      <c r="E108" s="1649">
        <f>流动负总!BA15</f>
        <v>0</v>
      </c>
      <c r="F108" s="1649">
        <f>流动负总!BB15</f>
        <v>0</v>
      </c>
      <c r="G108" s="1649">
        <f>流动负总!BC15</f>
        <v>0</v>
      </c>
      <c r="H108" s="1649">
        <f>流动负总!BD15</f>
        <v>0</v>
      </c>
      <c r="I108" s="1649">
        <f>流动负总!BE15</f>
        <v>0</v>
      </c>
      <c r="J108" s="1649">
        <f>流动负总!BF15</f>
        <v>0</v>
      </c>
      <c r="K108" s="1650">
        <f t="shared" si="28"/>
        <v>0</v>
      </c>
      <c r="L108" s="1637" t="str">
        <f t="shared" si="36"/>
        <v>隐藏</v>
      </c>
      <c r="M108" s="1637" t="s">
        <v>576</v>
      </c>
      <c r="N108" s="1637" t="e">
        <f ca="1" t="shared" si="18"/>
        <v>#REF!</v>
      </c>
      <c r="O108" s="1637" t="e">
        <f ca="1" t="shared" si="18"/>
        <v>#REF!</v>
      </c>
      <c r="P108" s="1637" t="e">
        <f ca="1" t="shared" si="30"/>
        <v>#REF!</v>
      </c>
      <c r="R108" s="1637">
        <f t="shared" si="37"/>
        <v>1</v>
      </c>
      <c r="S108" s="1637" t="s">
        <v>821</v>
      </c>
      <c r="T108" s="1637"/>
      <c r="U108" s="1637"/>
      <c r="V108" s="1637"/>
      <c r="X108" s="1637">
        <f t="shared" si="26"/>
        <v>2</v>
      </c>
      <c r="Y108" s="1637" t="s">
        <v>587</v>
      </c>
      <c r="Z108" s="1637" t="s">
        <v>822</v>
      </c>
      <c r="AA108" s="1637"/>
      <c r="AB108" s="1637"/>
      <c r="AC108" s="1637"/>
      <c r="AE108" s="1637">
        <f t="shared" si="27"/>
        <v>1</v>
      </c>
      <c r="AF108" s="1637" t="s">
        <v>813</v>
      </c>
      <c r="AG108" s="1637"/>
      <c r="AH108" s="1637"/>
      <c r="AI108" s="1637"/>
      <c r="AJ108" s="1637"/>
      <c r="AL108" s="1637">
        <f t="shared" si="41"/>
        <v>8</v>
      </c>
      <c r="AM108" s="1637" t="s">
        <v>580</v>
      </c>
      <c r="AN108" s="1637" t="s">
        <v>580</v>
      </c>
      <c r="AO108" s="1637" t="s">
        <v>589</v>
      </c>
      <c r="AP108" s="1637" t="s">
        <v>589</v>
      </c>
      <c r="AQ108" s="1637" t="s">
        <v>583</v>
      </c>
      <c r="AR108" s="1637" t="s">
        <v>590</v>
      </c>
      <c r="AS108" s="1637" t="s">
        <v>614</v>
      </c>
      <c r="AT108" s="1637" t="s">
        <v>614</v>
      </c>
      <c r="AU108" s="1637"/>
      <c r="AV108" s="1637"/>
      <c r="AW108" s="1637"/>
      <c r="AX108" s="1637"/>
    </row>
    <row r="109" spans="1:50">
      <c r="A109" s="1632">
        <f ca="1">IF(B109="","",SUBTOTAL(3,B$3:B109))</f>
        <v>107</v>
      </c>
      <c r="B109" s="1640" t="str">
        <f ca="1">CELL("filename",应交税费!A1)</f>
        <v>D:\桌面\评估\评估\2025评估\中致成\中煤\报告\[104250091]中煤第五建设有限公司第三工程处拟处置实物资产项目\[0000-3基础法明细表.xlsx]应交税费</v>
      </c>
      <c r="C109" s="1641" t="str">
        <f ca="1" t="shared" si="34"/>
        <v>中煤第五建设有限公司第三工程处拟处置实物资产项目\[0000-3基础法明细表.xlsx]应交税费</v>
      </c>
      <c r="D109" s="1642">
        <f>IF(SUM(分类汇总!J$43,分类汇总!J$68)=0,分类汇总!H54,分类汇总!J54)</f>
        <v>0</v>
      </c>
      <c r="E109" s="1643">
        <f>流动负总!BA16</f>
        <v>0</v>
      </c>
      <c r="F109" s="1643">
        <f>流动负总!BB16</f>
        <v>0</v>
      </c>
      <c r="G109" s="1643">
        <f>流动负总!BC16</f>
        <v>0</v>
      </c>
      <c r="H109" s="1643">
        <f>流动负总!BD16</f>
        <v>0</v>
      </c>
      <c r="I109" s="1643">
        <f>流动负总!BE16</f>
        <v>0</v>
      </c>
      <c r="J109" s="1643">
        <f>流动负总!BF16</f>
        <v>0</v>
      </c>
      <c r="K109" s="1644">
        <f t="shared" si="28"/>
        <v>0</v>
      </c>
      <c r="L109" s="1632" t="str">
        <f t="shared" si="35"/>
        <v>隐藏</v>
      </c>
      <c r="M109" s="1632" t="s">
        <v>576</v>
      </c>
      <c r="N109" s="1632" t="e">
        <f ca="1" t="shared" si="18"/>
        <v>#REF!</v>
      </c>
      <c r="O109" s="1632" t="e">
        <f ca="1" t="shared" si="18"/>
        <v>#REF!</v>
      </c>
      <c r="P109" s="1632" t="e">
        <f ca="1" t="shared" si="30"/>
        <v>#REF!</v>
      </c>
      <c r="R109" s="1632">
        <f t="shared" si="37"/>
        <v>1</v>
      </c>
      <c r="S109" s="1632" t="s">
        <v>588</v>
      </c>
      <c r="T109" s="1632"/>
      <c r="U109" s="1632"/>
      <c r="V109" s="1632"/>
      <c r="X109" s="1632">
        <f t="shared" si="26"/>
        <v>2</v>
      </c>
      <c r="Y109" s="1632" t="s">
        <v>792</v>
      </c>
      <c r="Z109" s="1632" t="s">
        <v>816</v>
      </c>
      <c r="AA109" s="1632"/>
      <c r="AB109" s="1632"/>
      <c r="AC109" s="1632"/>
      <c r="AE109" s="1632">
        <f t="shared" si="27"/>
        <v>1</v>
      </c>
      <c r="AF109" s="1632" t="s">
        <v>794</v>
      </c>
      <c r="AG109" s="1632"/>
      <c r="AH109" s="1632"/>
      <c r="AI109" s="1632"/>
      <c r="AJ109" s="1632"/>
      <c r="AL109" s="1632">
        <f t="shared" si="41"/>
        <v>10</v>
      </c>
      <c r="AM109" s="1632" t="s">
        <v>580</v>
      </c>
      <c r="AN109" s="1632" t="s">
        <v>580</v>
      </c>
      <c r="AO109" s="1632" t="s">
        <v>589</v>
      </c>
      <c r="AP109" s="1632" t="s">
        <v>589</v>
      </c>
      <c r="AQ109" s="1632" t="s">
        <v>582</v>
      </c>
      <c r="AR109" s="1632" t="s">
        <v>582</v>
      </c>
      <c r="AS109" s="1632" t="s">
        <v>598</v>
      </c>
      <c r="AT109" s="1632" t="s">
        <v>608</v>
      </c>
      <c r="AU109" s="1632" t="s">
        <v>591</v>
      </c>
      <c r="AV109" s="1632" t="s">
        <v>591</v>
      </c>
      <c r="AW109" s="1632"/>
      <c r="AX109" s="1632"/>
    </row>
    <row r="110" s="1613" customFormat="1" spans="1:50">
      <c r="A110" s="1617">
        <f ca="1">IF(B110="","",SUBTOTAL(3,B$3:B110))</f>
        <v>108</v>
      </c>
      <c r="B110" s="1651" t="str">
        <f ca="1">CELL("filename",其他应付总!A1)</f>
        <v>D:\桌面\评估\评估\2025评估\中致成\中煤\报告\[104250091]中煤第五建设有限公司第三工程处拟处置实物资产项目\[0000-3基础法明细表.xlsx]其他应付总</v>
      </c>
      <c r="C110" s="1635" t="str">
        <f ca="1" t="shared" si="34"/>
        <v>中煤第五建设有限公司第三工程处拟处置实物资产项目\[0000-3基础法明细表.xlsx]其他应付总</v>
      </c>
      <c r="D110" s="1639">
        <f>IF(SUM(分类汇总!J$43,分类汇总!J$68)=0,分类汇总!H55,分类汇总!J55)</f>
        <v>0</v>
      </c>
      <c r="E110" s="1652">
        <f t="shared" si="38"/>
        <v>0</v>
      </c>
      <c r="F110" s="1652">
        <f>SUM(F111:F113)</f>
        <v>0</v>
      </c>
      <c r="G110" s="1652">
        <f t="shared" si="39"/>
        <v>0</v>
      </c>
      <c r="H110" s="1652">
        <f t="shared" si="32"/>
        <v>0</v>
      </c>
      <c r="I110" s="1652">
        <f t="shared" si="40"/>
        <v>0</v>
      </c>
      <c r="J110" s="1652">
        <f>SUM(J111:J113)</f>
        <v>0</v>
      </c>
      <c r="K110" s="1636">
        <f t="shared" si="28"/>
        <v>0</v>
      </c>
      <c r="L110" s="1617" t="str">
        <f t="shared" si="35"/>
        <v>隐藏</v>
      </c>
      <c r="M110" s="1617" t="s">
        <v>565</v>
      </c>
      <c r="N110" s="1637"/>
      <c r="O110" s="1637"/>
      <c r="P110" s="1637"/>
      <c r="R110" s="1637">
        <f t="shared" si="37"/>
        <v>0</v>
      </c>
      <c r="S110" s="1617"/>
      <c r="T110" s="1617"/>
      <c r="U110" s="1617"/>
      <c r="V110" s="1617"/>
      <c r="X110" s="1637">
        <f t="shared" si="26"/>
        <v>0</v>
      </c>
      <c r="Y110" s="1617"/>
      <c r="Z110" s="1617"/>
      <c r="AA110" s="1617"/>
      <c r="AB110" s="1617"/>
      <c r="AC110" s="1617"/>
      <c r="AE110" s="1637">
        <f t="shared" si="27"/>
        <v>0</v>
      </c>
      <c r="AF110" s="1617"/>
      <c r="AG110" s="1617"/>
      <c r="AH110" s="1617"/>
      <c r="AI110" s="1617"/>
      <c r="AJ110" s="1617"/>
      <c r="AL110" s="1637">
        <f t="shared" si="41"/>
        <v>0</v>
      </c>
      <c r="AM110" s="1617"/>
      <c r="AN110" s="1617"/>
      <c r="AO110" s="1617"/>
      <c r="AP110" s="1617"/>
      <c r="AQ110" s="1617"/>
      <c r="AR110" s="1617"/>
      <c r="AS110" s="1617"/>
      <c r="AT110" s="1617"/>
      <c r="AU110" s="1617"/>
      <c r="AV110" s="1617"/>
      <c r="AW110" s="1617"/>
      <c r="AX110" s="1617"/>
    </row>
    <row r="111" spans="1:50">
      <c r="A111" s="1632">
        <f ca="1">IF(B111="","",SUBTOTAL(3,B$3:B111))</f>
        <v>109</v>
      </c>
      <c r="B111" s="1640" t="str">
        <f ca="1">CELL("filename",'其他应付-利息'!A1)</f>
        <v>D:\桌面\评估\评估\2025评估\中致成\中煤\报告\[104250091]中煤第五建设有限公司第三工程处拟处置实物资产项目\[0000-3基础法明细表.xlsx]其他应付-利息</v>
      </c>
      <c r="C111" s="1641" t="str">
        <f ca="1" t="shared" si="34"/>
        <v>中煤第五建设有限公司第三工程处拟处置实物资产项目\[0000-3基础法明细表.xlsx]其他应付-利息</v>
      </c>
      <c r="D111" s="1642">
        <f>IF(D$110=H$110,0,1)</f>
        <v>0</v>
      </c>
      <c r="E111" s="1643">
        <f>其他应付总!BA7</f>
        <v>0</v>
      </c>
      <c r="F111" s="1643">
        <f>其他应付总!BB7</f>
        <v>0</v>
      </c>
      <c r="G111" s="1643">
        <f>其他应付总!BC7</f>
        <v>0</v>
      </c>
      <c r="H111" s="1643">
        <f>其他应付总!BD7</f>
        <v>0</v>
      </c>
      <c r="I111" s="1643">
        <f>其他应付总!BE7</f>
        <v>0</v>
      </c>
      <c r="J111" s="1643">
        <f>其他应付总!BF7</f>
        <v>0</v>
      </c>
      <c r="K111" s="1644">
        <f t="shared" si="28"/>
        <v>0</v>
      </c>
      <c r="L111" s="1632" t="str">
        <f t="shared" si="35"/>
        <v>隐藏</v>
      </c>
      <c r="M111" s="1632" t="s">
        <v>576</v>
      </c>
      <c r="N111" s="1632" t="e">
        <f ca="1" t="shared" si="18"/>
        <v>#REF!</v>
      </c>
      <c r="O111" s="1632" t="e">
        <f ca="1" t="shared" si="18"/>
        <v>#REF!</v>
      </c>
      <c r="P111" s="1632" t="e">
        <f ca="1" t="shared" si="30"/>
        <v>#REF!</v>
      </c>
      <c r="R111" s="1632">
        <f t="shared" si="37"/>
        <v>1</v>
      </c>
      <c r="S111" s="1632" t="s">
        <v>793</v>
      </c>
      <c r="T111" s="1632"/>
      <c r="U111" s="1632"/>
      <c r="V111" s="1632"/>
      <c r="X111" s="1632">
        <f t="shared" si="26"/>
        <v>2</v>
      </c>
      <c r="Y111" s="1632" t="s">
        <v>605</v>
      </c>
      <c r="Z111" s="1632" t="s">
        <v>823</v>
      </c>
      <c r="AA111" s="1632"/>
      <c r="AB111" s="1632"/>
      <c r="AC111" s="1632"/>
      <c r="AE111" s="1632">
        <f t="shared" si="27"/>
        <v>2</v>
      </c>
      <c r="AF111" s="1632" t="s">
        <v>652</v>
      </c>
      <c r="AG111" s="1632" t="s">
        <v>605</v>
      </c>
      <c r="AH111" s="1632"/>
      <c r="AI111" s="1632"/>
      <c r="AJ111" s="1632"/>
      <c r="AL111" s="1632">
        <f t="shared" si="41"/>
        <v>6</v>
      </c>
      <c r="AM111" s="1632" t="s">
        <v>580</v>
      </c>
      <c r="AN111" s="1632" t="s">
        <v>589</v>
      </c>
      <c r="AO111" s="1632" t="s">
        <v>590</v>
      </c>
      <c r="AP111" s="1632" t="s">
        <v>584</v>
      </c>
      <c r="AQ111" s="1632" t="s">
        <v>627</v>
      </c>
      <c r="AR111" s="1632" t="s">
        <v>627</v>
      </c>
      <c r="AS111" s="1632"/>
      <c r="AT111" s="1632"/>
      <c r="AU111" s="1632"/>
      <c r="AV111" s="1632"/>
      <c r="AW111" s="1632"/>
      <c r="AX111" s="1632"/>
    </row>
    <row r="112" spans="1:50">
      <c r="A112" s="1637">
        <f ca="1">IF(B112="","",SUBTOTAL(3,B$3:B112))</f>
        <v>110</v>
      </c>
      <c r="B112" s="1646" t="str">
        <f ca="1">CELL("filename",'其他应付-股利'!A1)</f>
        <v>D:\桌面\评估\评估\2025评估\中致成\中煤\报告\[104250091]中煤第五建设有限公司第三工程处拟处置实物资产项目\[0000-3基础法明细表.xlsx]其他应付-股利</v>
      </c>
      <c r="C112" s="1647" t="str">
        <f ca="1" t="shared" si="34"/>
        <v>中煤第五建设有限公司第三工程处拟处置实物资产项目\[0000-3基础法明细表.xlsx]其他应付-股利</v>
      </c>
      <c r="D112" s="1648">
        <f>IF(D$110=H$110,0,1)</f>
        <v>0</v>
      </c>
      <c r="E112" s="1649">
        <f>其他应付总!BA8</f>
        <v>0</v>
      </c>
      <c r="F112" s="1649">
        <f>其他应付总!BB8</f>
        <v>0</v>
      </c>
      <c r="G112" s="1649">
        <f>其他应付总!BC8</f>
        <v>0</v>
      </c>
      <c r="H112" s="1649">
        <f>其他应付总!BD8</f>
        <v>0</v>
      </c>
      <c r="I112" s="1649">
        <f>其他应付总!BE8</f>
        <v>0</v>
      </c>
      <c r="J112" s="1649">
        <f>其他应付总!BF8</f>
        <v>0</v>
      </c>
      <c r="K112" s="1650">
        <f t="shared" si="28"/>
        <v>0</v>
      </c>
      <c r="L112" s="1637" t="str">
        <f t="shared" si="35"/>
        <v>隐藏</v>
      </c>
      <c r="M112" s="1637" t="s">
        <v>576</v>
      </c>
      <c r="N112" s="1637" t="e">
        <f ca="1" t="shared" ref="N112:O113" si="43">IF(RIGHT($C112,1)="总","",INDIRECT("'"&amp;$C112&amp;"'!"&amp;N$1))</f>
        <v>#REF!</v>
      </c>
      <c r="O112" s="1637" t="e">
        <f ca="1" t="shared" si="43"/>
        <v>#REF!</v>
      </c>
      <c r="P112" s="1637" t="e">
        <f ca="1" t="shared" si="30"/>
        <v>#REF!</v>
      </c>
      <c r="R112" s="1637">
        <f t="shared" si="37"/>
        <v>1</v>
      </c>
      <c r="S112" s="1637" t="s">
        <v>579</v>
      </c>
      <c r="T112" s="1637"/>
      <c r="U112" s="1637"/>
      <c r="V112" s="1637"/>
      <c r="X112" s="1637">
        <f t="shared" si="26"/>
        <v>2</v>
      </c>
      <c r="Y112" s="1637" t="s">
        <v>595</v>
      </c>
      <c r="Z112" s="1637" t="s">
        <v>815</v>
      </c>
      <c r="AA112" s="1637"/>
      <c r="AB112" s="1637"/>
      <c r="AC112" s="1637"/>
      <c r="AE112" s="1637">
        <f t="shared" si="27"/>
        <v>1</v>
      </c>
      <c r="AF112" s="1637" t="s">
        <v>655</v>
      </c>
      <c r="AG112" s="1637"/>
      <c r="AH112" s="1637"/>
      <c r="AI112" s="1637"/>
      <c r="AJ112" s="1637"/>
      <c r="AL112" s="1637">
        <f t="shared" si="41"/>
        <v>6</v>
      </c>
      <c r="AM112" s="1637" t="s">
        <v>580</v>
      </c>
      <c r="AN112" s="1637" t="s">
        <v>589</v>
      </c>
      <c r="AO112" s="1637" t="s">
        <v>590</v>
      </c>
      <c r="AP112" s="1637" t="s">
        <v>598</v>
      </c>
      <c r="AQ112" s="1637" t="s">
        <v>584</v>
      </c>
      <c r="AR112" s="1637" t="s">
        <v>584</v>
      </c>
      <c r="AS112" s="1637"/>
      <c r="AT112" s="1637"/>
      <c r="AU112" s="1637"/>
      <c r="AV112" s="1637"/>
      <c r="AW112" s="1637"/>
      <c r="AX112" s="1637"/>
    </row>
    <row r="113" spans="1:53">
      <c r="A113" s="1632">
        <f ca="1">IF(B113="","",SUBTOTAL(3,B$3:B113))</f>
        <v>111</v>
      </c>
      <c r="B113" s="1640" t="str">
        <f ca="1">CELL("filename",'其他应付-其他'!A1)</f>
        <v>D:\桌面\评估\评估\2025评估\中致成\中煤\报告\[104250091]中煤第五建设有限公司第三工程处拟处置实物资产项目\[0000-3基础法明细表.xlsx]其他应付-其他</v>
      </c>
      <c r="C113" s="1641" t="str">
        <f ca="1" t="shared" si="34"/>
        <v>中煤第五建设有限公司第三工程处拟处置实物资产项目\[0000-3基础法明细表.xlsx]其他应付-其他</v>
      </c>
      <c r="D113" s="1642">
        <f>IF(D$110=H$110,0,1)</f>
        <v>0</v>
      </c>
      <c r="E113" s="1643">
        <f>其他应付总!BA9</f>
        <v>0</v>
      </c>
      <c r="F113" s="1643">
        <f>其他应付总!BB9</f>
        <v>0</v>
      </c>
      <c r="G113" s="1643">
        <f>其他应付总!BC9</f>
        <v>0</v>
      </c>
      <c r="H113" s="1643">
        <f>其他应付总!BD9</f>
        <v>0</v>
      </c>
      <c r="I113" s="1643">
        <f>其他应付总!BE9</f>
        <v>0</v>
      </c>
      <c r="J113" s="1643">
        <f>其他应付总!BF9</f>
        <v>0</v>
      </c>
      <c r="K113" s="1644">
        <f t="shared" si="28"/>
        <v>0</v>
      </c>
      <c r="L113" s="1632" t="str">
        <f t="shared" si="35"/>
        <v>隐藏</v>
      </c>
      <c r="M113" s="1632" t="s">
        <v>576</v>
      </c>
      <c r="N113" s="1632" t="e">
        <f ca="1" t="shared" si="43"/>
        <v>#REF!</v>
      </c>
      <c r="O113" s="1632" t="e">
        <f ca="1" t="shared" si="43"/>
        <v>#REF!</v>
      </c>
      <c r="P113" s="1632" t="e">
        <f ca="1" t="shared" si="30"/>
        <v>#REF!</v>
      </c>
      <c r="R113" s="1632">
        <f t="shared" si="37"/>
        <v>1</v>
      </c>
      <c r="S113" s="1632" t="s">
        <v>579</v>
      </c>
      <c r="T113" s="1632"/>
      <c r="U113" s="1632"/>
      <c r="V113" s="1632"/>
      <c r="X113" s="1632">
        <f t="shared" si="26"/>
        <v>2</v>
      </c>
      <c r="Y113" s="1632" t="s">
        <v>595</v>
      </c>
      <c r="Z113" s="1632" t="s">
        <v>815</v>
      </c>
      <c r="AA113" s="1632"/>
      <c r="AB113" s="1632"/>
      <c r="AC113" s="1632"/>
      <c r="AE113" s="1632">
        <f t="shared" si="27"/>
        <v>1</v>
      </c>
      <c r="AF113" s="1632" t="s">
        <v>655</v>
      </c>
      <c r="AG113" s="1632"/>
      <c r="AH113" s="1632"/>
      <c r="AI113" s="1632"/>
      <c r="AJ113" s="1632"/>
      <c r="AL113" s="1632">
        <f t="shared" si="41"/>
        <v>6</v>
      </c>
      <c r="AM113" s="1632" t="s">
        <v>580</v>
      </c>
      <c r="AN113" s="1632" t="s">
        <v>597</v>
      </c>
      <c r="AO113" s="1632" t="s">
        <v>590</v>
      </c>
      <c r="AP113" s="1632" t="s">
        <v>598</v>
      </c>
      <c r="AQ113" s="1632" t="s">
        <v>584</v>
      </c>
      <c r="AR113" s="1632" t="s">
        <v>584</v>
      </c>
      <c r="AS113" s="1632"/>
      <c r="AT113" s="1632"/>
      <c r="AU113" s="1632"/>
      <c r="AV113" s="1632"/>
      <c r="AW113" s="1632"/>
      <c r="AX113" s="1632"/>
    </row>
    <row r="114" spans="1:53">
      <c r="A114" s="1637">
        <f ca="1">IF(B114="","",SUBTOTAL(3,B$3:B114))</f>
        <v>112</v>
      </c>
      <c r="B114" s="1646" t="str">
        <f ca="1">CELL("filename",持有待售负!A1)</f>
        <v>D:\桌面\评估\评估\2025评估\中致成\中煤\报告\[104250091]中煤第五建设有限公司第三工程处拟处置实物资产项目\[0000-3基础法明细表.xlsx]持有待售负</v>
      </c>
      <c r="C114" s="1647" t="str">
        <f ca="1" t="shared" si="34"/>
        <v>中煤第五建设有限公司第三工程处拟处置实物资产项目\[0000-3基础法明细表.xlsx]持有待售负</v>
      </c>
      <c r="D114" s="1648">
        <f>IF(SUM(分类汇总!J$43,分类汇总!J$68)=0,分类汇总!H56,分类汇总!J56)</f>
        <v>0</v>
      </c>
      <c r="E114" s="1649">
        <f>流动负总!BA18</f>
        <v>0</v>
      </c>
      <c r="F114" s="1649">
        <f>流动负总!BB18</f>
        <v>0</v>
      </c>
      <c r="G114" s="1649">
        <f>流动负总!BC18</f>
        <v>0</v>
      </c>
      <c r="H114" s="1649">
        <f>流动负总!BD18</f>
        <v>0</v>
      </c>
      <c r="I114" s="1649">
        <f>流动负总!BE18</f>
        <v>0</v>
      </c>
      <c r="J114" s="1649">
        <f>流动负总!BF18</f>
        <v>0</v>
      </c>
      <c r="K114" s="1650">
        <f t="shared" si="28"/>
        <v>0</v>
      </c>
      <c r="L114" s="1637" t="str">
        <f t="shared" si="35"/>
        <v>隐藏</v>
      </c>
      <c r="M114" s="1637" t="s">
        <v>576</v>
      </c>
      <c r="N114" s="1637" t="e">
        <f ca="1" t="shared" ref="N114:O125" si="44">IF(RIGHT($C114,1)="总","",INDIRECT("'"&amp;$C114&amp;"'!"&amp;N$1))</f>
        <v>#REF!</v>
      </c>
      <c r="O114" s="1637" t="e">
        <f ca="1" t="shared" si="44"/>
        <v>#REF!</v>
      </c>
      <c r="P114" s="1637" t="e">
        <f ca="1" t="shared" si="30"/>
        <v>#REF!</v>
      </c>
      <c r="R114" s="1637">
        <f t="shared" si="37"/>
        <v>1</v>
      </c>
      <c r="S114" s="1637" t="s">
        <v>579</v>
      </c>
      <c r="T114" s="1637"/>
      <c r="U114" s="1637"/>
      <c r="V114" s="1637"/>
      <c r="X114" s="1637">
        <f t="shared" si="26"/>
        <v>2</v>
      </c>
      <c r="Y114" s="1637" t="s">
        <v>595</v>
      </c>
      <c r="Z114" s="1637" t="s">
        <v>815</v>
      </c>
      <c r="AA114" s="1637"/>
      <c r="AB114" s="1637"/>
      <c r="AC114" s="1637"/>
      <c r="AE114" s="1637">
        <f t="shared" si="27"/>
        <v>1</v>
      </c>
      <c r="AF114" s="1637" t="s">
        <v>655</v>
      </c>
      <c r="AG114" s="1637"/>
      <c r="AH114" s="1637"/>
      <c r="AI114" s="1637"/>
      <c r="AJ114" s="1637"/>
      <c r="AL114" s="1637">
        <f t="shared" si="41"/>
        <v>6</v>
      </c>
      <c r="AM114" s="1637" t="s">
        <v>580</v>
      </c>
      <c r="AN114" s="1637" t="s">
        <v>597</v>
      </c>
      <c r="AO114" s="1637" t="s">
        <v>590</v>
      </c>
      <c r="AP114" s="1637" t="s">
        <v>598</v>
      </c>
      <c r="AQ114" s="1637" t="s">
        <v>584</v>
      </c>
      <c r="AR114" s="1637" t="s">
        <v>584</v>
      </c>
      <c r="AS114" s="1637"/>
      <c r="AT114" s="1637"/>
      <c r="AU114" s="1637"/>
      <c r="AV114" s="1637"/>
      <c r="AW114" s="1637"/>
      <c r="AX114" s="1637"/>
    </row>
    <row r="115" spans="1:53">
      <c r="A115" s="1632">
        <f ca="1">IF(B115="","",SUBTOTAL(3,B$3:B115))</f>
        <v>113</v>
      </c>
      <c r="B115" s="1640" t="str">
        <f ca="1">CELL("filename",一年到期负!A1)</f>
        <v>D:\桌面\评估\评估\2025评估\中致成\中煤\报告\[104250091]中煤第五建设有限公司第三工程处拟处置实物资产项目\[0000-3基础法明细表.xlsx]一年到期负</v>
      </c>
      <c r="C115" s="1641" t="str">
        <f ca="1" t="shared" si="34"/>
        <v>中煤第五建设有限公司第三工程处拟处置实物资产项目\[0000-3基础法明细表.xlsx]一年到期负</v>
      </c>
      <c r="D115" s="1642">
        <f>IF(SUM(分类汇总!J$43,分类汇总!J$68)=0,分类汇总!H57,分类汇总!J57)</f>
        <v>0</v>
      </c>
      <c r="E115" s="1643">
        <f>流动负总!BA19</f>
        <v>0</v>
      </c>
      <c r="F115" s="1643">
        <f>流动负总!BB19</f>
        <v>0</v>
      </c>
      <c r="G115" s="1643">
        <f>流动负总!BC19</f>
        <v>0</v>
      </c>
      <c r="H115" s="1643">
        <f>流动负总!BD19</f>
        <v>0</v>
      </c>
      <c r="I115" s="1643">
        <f>流动负总!BE19</f>
        <v>0</v>
      </c>
      <c r="J115" s="1643">
        <f>流动负总!BF19</f>
        <v>0</v>
      </c>
      <c r="K115" s="1644">
        <f t="shared" si="28"/>
        <v>0</v>
      </c>
      <c r="L115" s="1632" t="str">
        <f t="shared" si="35"/>
        <v>隐藏</v>
      </c>
      <c r="M115" s="1632" t="s">
        <v>576</v>
      </c>
      <c r="N115" s="1632" t="e">
        <f ca="1" t="shared" si="44"/>
        <v>#REF!</v>
      </c>
      <c r="O115" s="1632" t="e">
        <f ca="1" t="shared" si="44"/>
        <v>#REF!</v>
      </c>
      <c r="P115" s="1632" t="e">
        <f ca="1" t="shared" si="30"/>
        <v>#REF!</v>
      </c>
      <c r="R115" s="1632">
        <f t="shared" si="37"/>
        <v>1</v>
      </c>
      <c r="S115" s="1632" t="s">
        <v>588</v>
      </c>
      <c r="T115" s="1632"/>
      <c r="U115" s="1632"/>
      <c r="V115" s="1632"/>
      <c r="X115" s="1632">
        <f t="shared" si="26"/>
        <v>2</v>
      </c>
      <c r="Y115" s="1632" t="s">
        <v>792</v>
      </c>
      <c r="Z115" s="1632" t="s">
        <v>816</v>
      </c>
      <c r="AA115" s="1632"/>
      <c r="AB115" s="1632"/>
      <c r="AC115" s="1632"/>
      <c r="AE115" s="1632">
        <f t="shared" si="27"/>
        <v>1</v>
      </c>
      <c r="AF115" s="1632" t="s">
        <v>794</v>
      </c>
      <c r="AG115" s="1632"/>
      <c r="AH115" s="1632"/>
      <c r="AI115" s="1632"/>
      <c r="AJ115" s="1632"/>
      <c r="AL115" s="1632">
        <f t="shared" si="41"/>
        <v>6</v>
      </c>
      <c r="AM115" s="1632" t="s">
        <v>580</v>
      </c>
      <c r="AN115" s="1632" t="s">
        <v>582</v>
      </c>
      <c r="AO115" s="1632" t="s">
        <v>598</v>
      </c>
      <c r="AP115" s="1632" t="s">
        <v>608</v>
      </c>
      <c r="AQ115" s="1632" t="s">
        <v>591</v>
      </c>
      <c r="AR115" s="1632" t="s">
        <v>591</v>
      </c>
      <c r="AS115" s="1632"/>
      <c r="AT115" s="1632"/>
      <c r="AU115" s="1632"/>
      <c r="AV115" s="1632"/>
      <c r="AW115" s="1632"/>
      <c r="AX115" s="1632"/>
    </row>
    <row r="116" spans="1:53">
      <c r="A116" s="1637">
        <f ca="1">IF(B116="","",SUBTOTAL(3,B$3:B116))</f>
        <v>114</v>
      </c>
      <c r="B116" s="1646" t="str">
        <f ca="1">CELL("filename",其他流负!A1)</f>
        <v>D:\桌面\评估\评估\2025评估\中致成\中煤\报告\[104250091]中煤第五建设有限公司第三工程处拟处置实物资产项目\[0000-3基础法明细表.xlsx]其他流负</v>
      </c>
      <c r="C116" s="1647" t="str">
        <f ca="1" t="shared" si="34"/>
        <v>中煤第五建设有限公司第三工程处拟处置实物资产项目\[0000-3基础法明细表.xlsx]其他流负</v>
      </c>
      <c r="D116" s="1648">
        <f>IF(SUM(分类汇总!J$43,分类汇总!J$68)=0,分类汇总!H58,分类汇总!J58)</f>
        <v>0</v>
      </c>
      <c r="E116" s="1649">
        <f>流动负总!BA20</f>
        <v>0</v>
      </c>
      <c r="F116" s="1649">
        <f>流动负总!BB20</f>
        <v>0</v>
      </c>
      <c r="G116" s="1649">
        <f>流动负总!BC20</f>
        <v>0</v>
      </c>
      <c r="H116" s="1649">
        <f>流动负总!BD20</f>
        <v>0</v>
      </c>
      <c r="I116" s="1649">
        <f>流动负总!BE20</f>
        <v>0</v>
      </c>
      <c r="J116" s="1649">
        <f>流动负总!BF20</f>
        <v>0</v>
      </c>
      <c r="K116" s="1650">
        <f t="shared" si="28"/>
        <v>0</v>
      </c>
      <c r="L116" s="1637" t="str">
        <f t="shared" si="35"/>
        <v>隐藏</v>
      </c>
      <c r="M116" s="1637" t="s">
        <v>576</v>
      </c>
      <c r="N116" s="1637" t="e">
        <f ca="1" t="shared" si="44"/>
        <v>#REF!</v>
      </c>
      <c r="O116" s="1637" t="e">
        <f ca="1" t="shared" si="44"/>
        <v>#REF!</v>
      </c>
      <c r="P116" s="1637" t="e">
        <f ca="1" t="shared" si="30"/>
        <v>#REF!</v>
      </c>
      <c r="R116" s="1637">
        <f t="shared" si="37"/>
        <v>1</v>
      </c>
      <c r="S116" s="1637" t="s">
        <v>579</v>
      </c>
      <c r="T116" s="1637"/>
      <c r="U116" s="1637"/>
      <c r="V116" s="1637"/>
      <c r="X116" s="1637">
        <f t="shared" si="26"/>
        <v>2</v>
      </c>
      <c r="Y116" s="1637" t="s">
        <v>595</v>
      </c>
      <c r="Z116" s="1637" t="s">
        <v>815</v>
      </c>
      <c r="AA116" s="1637"/>
      <c r="AB116" s="1637"/>
      <c r="AC116" s="1637"/>
      <c r="AE116" s="1637">
        <f t="shared" si="27"/>
        <v>1</v>
      </c>
      <c r="AF116" s="1637" t="s">
        <v>655</v>
      </c>
      <c r="AG116" s="1637"/>
      <c r="AH116" s="1637"/>
      <c r="AI116" s="1637"/>
      <c r="AJ116" s="1637"/>
      <c r="AL116" s="1637">
        <f t="shared" si="41"/>
        <v>6</v>
      </c>
      <c r="AM116" s="1637" t="s">
        <v>580</v>
      </c>
      <c r="AN116" s="1637" t="s">
        <v>597</v>
      </c>
      <c r="AO116" s="1637" t="s">
        <v>590</v>
      </c>
      <c r="AP116" s="1637" t="s">
        <v>598</v>
      </c>
      <c r="AQ116" s="1637" t="s">
        <v>584</v>
      </c>
      <c r="AR116" s="1637" t="s">
        <v>584</v>
      </c>
      <c r="AS116" s="1637"/>
      <c r="AT116" s="1637"/>
      <c r="AU116" s="1637"/>
      <c r="AV116" s="1637"/>
      <c r="AW116" s="1637"/>
      <c r="AX116" s="1637"/>
    </row>
    <row r="117" s="1613" customFormat="1" spans="1:53">
      <c r="A117" s="1626">
        <f ca="1">IF(B117="","",SUBTOTAL(3,B$3:B117))</f>
        <v>115</v>
      </c>
      <c r="B117" s="1655" t="str">
        <f ca="1">CELL("filename",非流动负总!A1)</f>
        <v>D:\桌面\评估\评估\2025评估\中致成\中煤\报告\[104250091]中煤第五建设有限公司第三工程处拟处置实物资产项目\[0000-3基础法明细表.xlsx]非流动负总</v>
      </c>
      <c r="C117" s="1628" t="str">
        <f ca="1" t="shared" si="34"/>
        <v>中煤第五建设有限公司第三工程处拟处置实物资产项目\[0000-3基础法明细表.xlsx]非流动负总</v>
      </c>
      <c r="D117" s="1657">
        <f>SUM(D118:D125)</f>
        <v>0</v>
      </c>
      <c r="E117" s="1657">
        <f t="shared" si="38"/>
        <v>0</v>
      </c>
      <c r="F117" s="1657">
        <f>SUM(F118:F125)</f>
        <v>0</v>
      </c>
      <c r="G117" s="1657">
        <f t="shared" si="39"/>
        <v>0</v>
      </c>
      <c r="H117" s="1657">
        <f t="shared" si="32"/>
        <v>0</v>
      </c>
      <c r="I117" s="1657">
        <f t="shared" si="40"/>
        <v>0</v>
      </c>
      <c r="J117" s="1657">
        <f>SUM(J118:J125)</f>
        <v>0</v>
      </c>
      <c r="K117" s="1631">
        <f t="shared" si="28"/>
        <v>0</v>
      </c>
      <c r="L117" s="1626" t="str">
        <f t="shared" si="35"/>
        <v>隐藏</v>
      </c>
      <c r="M117" s="1626" t="s">
        <v>565</v>
      </c>
      <c r="N117" s="1632"/>
      <c r="O117" s="1632"/>
      <c r="P117" s="1632"/>
      <c r="R117" s="1632">
        <f t="shared" si="37"/>
        <v>0</v>
      </c>
      <c r="S117" s="1626"/>
      <c r="T117" s="1626"/>
      <c r="U117" s="1626"/>
      <c r="V117" s="1626"/>
      <c r="X117" s="1632">
        <f t="shared" si="26"/>
        <v>0</v>
      </c>
      <c r="Y117" s="1626"/>
      <c r="Z117" s="1626"/>
      <c r="AA117" s="1626"/>
      <c r="AB117" s="1626"/>
      <c r="AC117" s="1626"/>
      <c r="AE117" s="1632">
        <f t="shared" si="27"/>
        <v>0</v>
      </c>
      <c r="AF117" s="1626"/>
      <c r="AG117" s="1626"/>
      <c r="AH117" s="1626"/>
      <c r="AI117" s="1626"/>
      <c r="AJ117" s="1626"/>
      <c r="AL117" s="1632">
        <f t="shared" si="41"/>
        <v>0</v>
      </c>
      <c r="AM117" s="1626"/>
      <c r="AN117" s="1626"/>
      <c r="AO117" s="1626"/>
      <c r="AP117" s="1626"/>
      <c r="AQ117" s="1626"/>
      <c r="AR117" s="1626"/>
      <c r="AS117" s="1626"/>
      <c r="AT117" s="1626"/>
      <c r="AU117" s="1626"/>
      <c r="AV117" s="1626"/>
      <c r="AW117" s="1626"/>
      <c r="AX117" s="1626"/>
    </row>
    <row r="118" spans="1:53">
      <c r="A118" s="1637">
        <f ca="1">IF(B118="","",SUBTOTAL(3,B$3:B118))</f>
        <v>116</v>
      </c>
      <c r="B118" s="1646" t="str">
        <f ca="1">CELL("filename",长期借款!A1)</f>
        <v>D:\桌面\评估\评估\2025评估\中致成\中煤\报告\[104250091]中煤第五建设有限公司第三工程处拟处置实物资产项目\[0000-3基础法明细表.xlsx]长期借款</v>
      </c>
      <c r="C118" s="1647" t="str">
        <f ca="1" t="shared" si="34"/>
        <v>中煤第五建设有限公司第三工程处拟处置实物资产项目\[0000-3基础法明细表.xlsx]长期借款</v>
      </c>
      <c r="D118" s="1648">
        <f>IF(SUM(分类汇总!J$43,分类汇总!J$68)=0,分类汇总!H60,分类汇总!J60)</f>
        <v>0</v>
      </c>
      <c r="E118" s="1649">
        <f>非流动负总!BA7</f>
        <v>0</v>
      </c>
      <c r="F118" s="1649">
        <f>非流动负总!BB7</f>
        <v>0</v>
      </c>
      <c r="G118" s="1649">
        <f>非流动负总!BC7</f>
        <v>0</v>
      </c>
      <c r="H118" s="1649">
        <f>非流动负总!BD7</f>
        <v>0</v>
      </c>
      <c r="I118" s="1649">
        <f>非流动负总!BE7</f>
        <v>0</v>
      </c>
      <c r="J118" s="1649">
        <f>非流动负总!BF7</f>
        <v>0</v>
      </c>
      <c r="K118" s="1650">
        <f t="shared" si="28"/>
        <v>0</v>
      </c>
      <c r="L118" s="1637" t="str">
        <f t="shared" si="35"/>
        <v>隐藏</v>
      </c>
      <c r="M118" s="1637" t="s">
        <v>576</v>
      </c>
      <c r="N118" s="1637" t="e">
        <f ca="1" t="shared" si="44"/>
        <v>#REF!</v>
      </c>
      <c r="O118" s="1637" t="e">
        <f ca="1" t="shared" si="44"/>
        <v>#REF!</v>
      </c>
      <c r="P118" s="1637" t="e">
        <f ca="1" t="shared" si="30"/>
        <v>#REF!</v>
      </c>
      <c r="R118" s="1637">
        <f t="shared" si="37"/>
        <v>1</v>
      </c>
      <c r="S118" s="1637" t="s">
        <v>596</v>
      </c>
      <c r="T118" s="1637"/>
      <c r="U118" s="1637"/>
      <c r="V118" s="1637"/>
      <c r="X118" s="1637">
        <f t="shared" si="26"/>
        <v>2</v>
      </c>
      <c r="Y118" s="1637" t="s">
        <v>625</v>
      </c>
      <c r="Z118" s="1637" t="s">
        <v>814</v>
      </c>
      <c r="AA118" s="1637"/>
      <c r="AB118" s="1637"/>
      <c r="AC118" s="1637"/>
      <c r="AE118" s="1637">
        <f t="shared" si="27"/>
        <v>1</v>
      </c>
      <c r="AF118" s="1637" t="s">
        <v>577</v>
      </c>
      <c r="AG118" s="1637"/>
      <c r="AH118" s="1637"/>
      <c r="AI118" s="1637"/>
      <c r="AJ118" s="1637"/>
      <c r="AL118" s="1637">
        <f t="shared" si="41"/>
        <v>6</v>
      </c>
      <c r="AM118" s="1637" t="s">
        <v>580</v>
      </c>
      <c r="AN118" s="1637" t="s">
        <v>583</v>
      </c>
      <c r="AO118" s="1637" t="s">
        <v>608</v>
      </c>
      <c r="AP118" s="1637" t="s">
        <v>614</v>
      </c>
      <c r="AQ118" s="1637" t="s">
        <v>599</v>
      </c>
      <c r="AR118" s="1637" t="s">
        <v>599</v>
      </c>
      <c r="AS118" s="1637"/>
      <c r="AT118" s="1637"/>
      <c r="AU118" s="1637"/>
      <c r="AV118" s="1637"/>
      <c r="AW118" s="1637"/>
      <c r="AX118" s="1637"/>
    </row>
    <row r="119" spans="1:53">
      <c r="A119" s="1632">
        <f ca="1">IF(B119="","",SUBTOTAL(3,B$3:B119))</f>
        <v>117</v>
      </c>
      <c r="B119" s="1640" t="str">
        <f ca="1">CELL("filename",应付债券!A1)</f>
        <v>D:\桌面\评估\评估\2025评估\中致成\中煤\报告\[104250091]中煤第五建设有限公司第三工程处拟处置实物资产项目\[0000-3基础法明细表.xlsx]应付债券</v>
      </c>
      <c r="C119" s="1641" t="str">
        <f ca="1" t="shared" si="34"/>
        <v>中煤第五建设有限公司第三工程处拟处置实物资产项目\[0000-3基础法明细表.xlsx]应付债券</v>
      </c>
      <c r="D119" s="1642">
        <f>IF(SUM(分类汇总!J$43,分类汇总!J$68)=0,分类汇总!H61,分类汇总!J61)</f>
        <v>0</v>
      </c>
      <c r="E119" s="1643">
        <f>非流动负总!BA8</f>
        <v>0</v>
      </c>
      <c r="F119" s="1643">
        <f>非流动负总!BB8</f>
        <v>0</v>
      </c>
      <c r="G119" s="1643">
        <f>非流动负总!BC8</f>
        <v>0</v>
      </c>
      <c r="H119" s="1643">
        <f>非流动负总!BD8</f>
        <v>0</v>
      </c>
      <c r="I119" s="1643">
        <f>非流动负总!BE8</f>
        <v>0</v>
      </c>
      <c r="J119" s="1643">
        <f>非流动负总!BF8</f>
        <v>0</v>
      </c>
      <c r="K119" s="1644">
        <f t="shared" si="28"/>
        <v>0</v>
      </c>
      <c r="L119" s="1632" t="str">
        <f t="shared" si="35"/>
        <v>隐藏</v>
      </c>
      <c r="M119" s="1632" t="s">
        <v>576</v>
      </c>
      <c r="N119" s="1632" t="e">
        <f ca="1" t="shared" si="44"/>
        <v>#REF!</v>
      </c>
      <c r="O119" s="1632" t="e">
        <f ca="1" t="shared" si="44"/>
        <v>#REF!</v>
      </c>
      <c r="P119" s="1632" t="e">
        <f ca="1" t="shared" si="30"/>
        <v>#REF!</v>
      </c>
      <c r="R119" s="1632">
        <f t="shared" si="37"/>
        <v>1</v>
      </c>
      <c r="S119" s="1632" t="s">
        <v>596</v>
      </c>
      <c r="T119" s="1632"/>
      <c r="U119" s="1632"/>
      <c r="V119" s="1632"/>
      <c r="X119" s="1632">
        <f t="shared" si="26"/>
        <v>2</v>
      </c>
      <c r="Y119" s="1632" t="s">
        <v>625</v>
      </c>
      <c r="Z119" s="1632" t="s">
        <v>814</v>
      </c>
      <c r="AA119" s="1632"/>
      <c r="AB119" s="1632"/>
      <c r="AC119" s="1632"/>
      <c r="AE119" s="1632">
        <f t="shared" si="27"/>
        <v>1</v>
      </c>
      <c r="AF119" s="1632" t="s">
        <v>577</v>
      </c>
      <c r="AG119" s="1632"/>
      <c r="AH119" s="1632"/>
      <c r="AI119" s="1632"/>
      <c r="AJ119" s="1632"/>
      <c r="AL119" s="1632">
        <f t="shared" si="41"/>
        <v>6</v>
      </c>
      <c r="AM119" s="1632" t="s">
        <v>580</v>
      </c>
      <c r="AN119" s="1632" t="s">
        <v>583</v>
      </c>
      <c r="AO119" s="1632" t="s">
        <v>608</v>
      </c>
      <c r="AP119" s="1632" t="s">
        <v>614</v>
      </c>
      <c r="AQ119" s="1632" t="s">
        <v>599</v>
      </c>
      <c r="AR119" s="1632" t="s">
        <v>599</v>
      </c>
      <c r="AS119" s="1632"/>
      <c r="AT119" s="1632"/>
      <c r="AU119" s="1632"/>
      <c r="AV119" s="1632"/>
      <c r="AW119" s="1632"/>
      <c r="AX119" s="1632"/>
    </row>
    <row r="120" spans="1:53">
      <c r="A120" s="1637">
        <f ca="1">IF(B120="","",SUBTOTAL(3,B$3:B120))</f>
        <v>118</v>
      </c>
      <c r="B120" s="1646" t="str">
        <f ca="1">CELL("filename",租赁负!A1)</f>
        <v>D:\桌面\评估\评估\2025评估\中致成\中煤\报告\[104250091]中煤第五建设有限公司第三工程处拟处置实物资产项目\[0000-3基础法明细表.xlsx]租赁负</v>
      </c>
      <c r="C120" s="1647" t="str">
        <f ca="1" t="shared" si="34"/>
        <v>中煤第五建设有限公司第三工程处拟处置实物资产项目\[0000-3基础法明细表.xlsx]租赁负</v>
      </c>
      <c r="D120" s="1648">
        <f>IF(SUM(分类汇总!J$43,分类汇总!J$68)=0,分类汇总!H62,分类汇总!J62)</f>
        <v>0</v>
      </c>
      <c r="E120" s="1649">
        <f>非流动负总!BA9</f>
        <v>0</v>
      </c>
      <c r="F120" s="1649">
        <f>非流动负总!BB9</f>
        <v>0</v>
      </c>
      <c r="G120" s="1649">
        <f>非流动负总!BC9</f>
        <v>0</v>
      </c>
      <c r="H120" s="1649">
        <f>非流动负总!BD9</f>
        <v>0</v>
      </c>
      <c r="I120" s="1649">
        <f>非流动负总!BE9</f>
        <v>0</v>
      </c>
      <c r="J120" s="1649">
        <f>非流动负总!BF9</f>
        <v>0</v>
      </c>
      <c r="K120" s="1650">
        <f t="shared" si="28"/>
        <v>0</v>
      </c>
      <c r="L120" s="1637" t="str">
        <f t="shared" si="35"/>
        <v>隐藏</v>
      </c>
      <c r="M120" s="1637" t="s">
        <v>345</v>
      </c>
      <c r="N120" s="1637" t="e">
        <f ca="1" t="shared" si="44"/>
        <v>#REF!</v>
      </c>
      <c r="O120" s="1637" t="e">
        <f ca="1" t="shared" si="44"/>
        <v>#REF!</v>
      </c>
      <c r="P120" s="1637" t="e">
        <f ca="1" t="shared" si="30"/>
        <v>#REF!</v>
      </c>
      <c r="R120" s="1637">
        <f t="shared" si="37"/>
        <v>1</v>
      </c>
      <c r="S120" s="1637" t="s">
        <v>714</v>
      </c>
      <c r="T120" s="1637"/>
      <c r="U120" s="1637"/>
      <c r="V120" s="1637"/>
      <c r="X120" s="1637">
        <f t="shared" si="26"/>
        <v>2</v>
      </c>
      <c r="Y120" s="1637" t="s">
        <v>717</v>
      </c>
      <c r="Z120" s="1637" t="s">
        <v>824</v>
      </c>
      <c r="AA120" s="1637"/>
      <c r="AB120" s="1637"/>
      <c r="AC120" s="1637"/>
      <c r="AE120" s="1637">
        <f t="shared" si="27"/>
        <v>1</v>
      </c>
      <c r="AF120" s="1637" t="s">
        <v>710</v>
      </c>
      <c r="AG120" s="1637"/>
      <c r="AH120" s="1637"/>
      <c r="AI120" s="1637"/>
      <c r="AJ120" s="1637"/>
      <c r="AL120" s="1637">
        <f t="shared" si="41"/>
        <v>6</v>
      </c>
      <c r="AM120" s="1637" t="s">
        <v>580</v>
      </c>
      <c r="AN120" s="1637" t="s">
        <v>614</v>
      </c>
      <c r="AO120" s="1637" t="s">
        <v>599</v>
      </c>
      <c r="AP120" s="1637" t="s">
        <v>627</v>
      </c>
      <c r="AQ120" s="1637" t="s">
        <v>692</v>
      </c>
      <c r="AR120" s="1637" t="s">
        <v>692</v>
      </c>
      <c r="AS120" s="1637"/>
      <c r="AT120" s="1637"/>
      <c r="AU120" s="1637"/>
      <c r="AV120" s="1637"/>
      <c r="AW120" s="1637"/>
      <c r="AX120" s="1637"/>
    </row>
    <row r="121" spans="1:53">
      <c r="A121" s="1632">
        <f ca="1">IF(B121="","",SUBTOTAL(3,B$3:B121))</f>
        <v>119</v>
      </c>
      <c r="B121" s="1640" t="str">
        <f ca="1">CELL("filename",长期应付!A1)</f>
        <v>D:\桌面\评估\评估\2025评估\中致成\中煤\报告\[104250091]中煤第五建设有限公司第三工程处拟处置实物资产项目\[0000-3基础法明细表.xlsx]长期应付</v>
      </c>
      <c r="C121" s="1641" t="str">
        <f ca="1" t="shared" si="34"/>
        <v>中煤第五建设有限公司第三工程处拟处置实物资产项目\[0000-3基础法明细表.xlsx]长期应付</v>
      </c>
      <c r="D121" s="1642">
        <f>IF(SUM(分类汇总!J$43,分类汇总!J$68)=0,分类汇总!H63,分类汇总!J63)</f>
        <v>0</v>
      </c>
      <c r="E121" s="1643">
        <f>非流动负总!BA10</f>
        <v>0</v>
      </c>
      <c r="F121" s="1643">
        <f>非流动负总!BB10</f>
        <v>0</v>
      </c>
      <c r="G121" s="1643">
        <f>非流动负总!BC10</f>
        <v>0</v>
      </c>
      <c r="H121" s="1643">
        <f>非流动负总!BD10</f>
        <v>0</v>
      </c>
      <c r="I121" s="1643">
        <f>非流动负总!BE10</f>
        <v>0</v>
      </c>
      <c r="J121" s="1643">
        <f>非流动负总!BF10</f>
        <v>0</v>
      </c>
      <c r="K121" s="1644">
        <f t="shared" si="28"/>
        <v>0</v>
      </c>
      <c r="L121" s="1632" t="str">
        <f t="shared" si="35"/>
        <v>隐藏</v>
      </c>
      <c r="M121" s="1632" t="s">
        <v>576</v>
      </c>
      <c r="N121" s="1632" t="e">
        <f ca="1" t="shared" si="44"/>
        <v>#REF!</v>
      </c>
      <c r="O121" s="1632" t="e">
        <f ca="1" t="shared" si="44"/>
        <v>#REF!</v>
      </c>
      <c r="P121" s="1632" t="e">
        <f ca="1" t="shared" si="30"/>
        <v>#REF!</v>
      </c>
      <c r="R121" s="1632">
        <f t="shared" si="37"/>
        <v>1</v>
      </c>
      <c r="S121" s="1632" t="s">
        <v>604</v>
      </c>
      <c r="T121" s="1632"/>
      <c r="U121" s="1632"/>
      <c r="V121" s="1632"/>
      <c r="X121" s="1632">
        <f t="shared" si="26"/>
        <v>2</v>
      </c>
      <c r="Y121" s="1632" t="s">
        <v>594</v>
      </c>
      <c r="Z121" s="1632" t="s">
        <v>825</v>
      </c>
      <c r="AA121" s="1632"/>
      <c r="AB121" s="1632"/>
      <c r="AC121" s="1632"/>
      <c r="AE121" s="1632">
        <f t="shared" si="27"/>
        <v>1</v>
      </c>
      <c r="AF121" s="1632" t="s">
        <v>826</v>
      </c>
      <c r="AG121" s="1632"/>
      <c r="AH121" s="1632"/>
      <c r="AI121" s="1632"/>
      <c r="AJ121" s="1632"/>
      <c r="AL121" s="1632">
        <f t="shared" si="41"/>
        <v>8</v>
      </c>
      <c r="AM121" s="1632" t="s">
        <v>580</v>
      </c>
      <c r="AN121" s="1632" t="s">
        <v>597</v>
      </c>
      <c r="AO121" s="1632" t="s">
        <v>598</v>
      </c>
      <c r="AP121" s="1632" t="s">
        <v>608</v>
      </c>
      <c r="AQ121" s="1632" t="s">
        <v>584</v>
      </c>
      <c r="AR121" s="1632" t="s">
        <v>591</v>
      </c>
      <c r="AS121" s="1632" t="s">
        <v>609</v>
      </c>
      <c r="AT121" s="1632" t="s">
        <v>609</v>
      </c>
      <c r="AU121" s="1632"/>
      <c r="AV121" s="1632"/>
      <c r="AW121" s="1632"/>
      <c r="AX121" s="1632"/>
    </row>
    <row r="122" spans="1:53">
      <c r="A122" s="1637">
        <f ca="1">IF(B122="","",SUBTOTAL(3,B$3:B122))</f>
        <v>120</v>
      </c>
      <c r="B122" s="1646" t="str">
        <f ca="1">CELL("filename",预计负!A1)</f>
        <v>D:\桌面\评估\评估\2025评估\中致成\中煤\报告\[104250091]中煤第五建设有限公司第三工程处拟处置实物资产项目\[0000-3基础法明细表.xlsx]预计负</v>
      </c>
      <c r="C122" s="1647" t="str">
        <f ca="1" t="shared" si="34"/>
        <v>中煤第五建设有限公司第三工程处拟处置实物资产项目\[0000-3基础法明细表.xlsx]预计负</v>
      </c>
      <c r="D122" s="1648">
        <f>IF(SUM(分类汇总!J$43,分类汇总!J$68)=0,分类汇总!H64,分类汇总!J64)</f>
        <v>0</v>
      </c>
      <c r="E122" s="1649">
        <f>非流动负总!BA11</f>
        <v>0</v>
      </c>
      <c r="F122" s="1649">
        <f>非流动负总!BB11</f>
        <v>0</v>
      </c>
      <c r="G122" s="1649">
        <f>非流动负总!BC11</f>
        <v>0</v>
      </c>
      <c r="H122" s="1649">
        <f>非流动负总!BD11</f>
        <v>0</v>
      </c>
      <c r="I122" s="1649">
        <f>非流动负总!BE11</f>
        <v>0</v>
      </c>
      <c r="J122" s="1649">
        <f>非流动负总!BF11</f>
        <v>0</v>
      </c>
      <c r="K122" s="1650">
        <f t="shared" si="28"/>
        <v>0</v>
      </c>
      <c r="L122" s="1637" t="str">
        <f t="shared" si="35"/>
        <v>隐藏</v>
      </c>
      <c r="M122" s="1637" t="s">
        <v>576</v>
      </c>
      <c r="N122" s="1637" t="e">
        <f ca="1" t="shared" si="44"/>
        <v>#REF!</v>
      </c>
      <c r="O122" s="1637" t="e">
        <f ca="1" t="shared" si="44"/>
        <v>#REF!</v>
      </c>
      <c r="P122" s="1637" t="e">
        <f ca="1" t="shared" si="30"/>
        <v>#REF!</v>
      </c>
      <c r="R122" s="1637">
        <f t="shared" si="37"/>
        <v>1</v>
      </c>
      <c r="S122" s="1637" t="s">
        <v>579</v>
      </c>
      <c r="T122" s="1637"/>
      <c r="U122" s="1637"/>
      <c r="V122" s="1637"/>
      <c r="X122" s="1637">
        <f t="shared" si="26"/>
        <v>2</v>
      </c>
      <c r="Y122" s="1637" t="s">
        <v>595</v>
      </c>
      <c r="Z122" s="1637" t="s">
        <v>815</v>
      </c>
      <c r="AA122" s="1637"/>
      <c r="AB122" s="1637"/>
      <c r="AC122" s="1637"/>
      <c r="AE122" s="1637">
        <f t="shared" si="27"/>
        <v>1</v>
      </c>
      <c r="AF122" s="1637" t="s">
        <v>655</v>
      </c>
      <c r="AG122" s="1637"/>
      <c r="AH122" s="1637"/>
      <c r="AI122" s="1637"/>
      <c r="AJ122" s="1637"/>
      <c r="AL122" s="1637">
        <f t="shared" si="41"/>
        <v>6</v>
      </c>
      <c r="AM122" s="1637" t="s">
        <v>580</v>
      </c>
      <c r="AN122" s="1637" t="s">
        <v>597</v>
      </c>
      <c r="AO122" s="1637" t="s">
        <v>590</v>
      </c>
      <c r="AP122" s="1637" t="s">
        <v>598</v>
      </c>
      <c r="AQ122" s="1637" t="s">
        <v>584</v>
      </c>
      <c r="AR122" s="1637" t="s">
        <v>584</v>
      </c>
      <c r="AS122" s="1637"/>
      <c r="AT122" s="1637"/>
      <c r="AU122" s="1637"/>
      <c r="AV122" s="1637"/>
      <c r="AW122" s="1637"/>
      <c r="AX122" s="1637"/>
    </row>
    <row r="123" spans="1:53">
      <c r="A123" s="1632">
        <f ca="1">IF(B123="","",SUBTOTAL(3,B$3:B123))</f>
        <v>121</v>
      </c>
      <c r="B123" s="1640" t="str">
        <f ca="1">CELL("filename",递延收益!A1)</f>
        <v>D:\桌面\评估\评估\2025评估\中致成\中煤\报告\[104250091]中煤第五建设有限公司第三工程处拟处置实物资产项目\[0000-3基础法明细表.xlsx]递延收益</v>
      </c>
      <c r="C123" s="1641" t="str">
        <f ca="1" t="shared" si="34"/>
        <v>中煤第五建设有限公司第三工程处拟处置实物资产项目\[0000-3基础法明细表.xlsx]递延收益</v>
      </c>
      <c r="D123" s="1642">
        <f>IF(SUM(分类汇总!J$43,分类汇总!J$68)=0,分类汇总!H65,分类汇总!J65)</f>
        <v>0</v>
      </c>
      <c r="E123" s="1643">
        <f>非流动负总!BA12</f>
        <v>0</v>
      </c>
      <c r="F123" s="1643">
        <f>非流动负总!BB12</f>
        <v>0</v>
      </c>
      <c r="G123" s="1643">
        <f>非流动负总!BC12</f>
        <v>0</v>
      </c>
      <c r="H123" s="1643">
        <f>非流动负总!BD12</f>
        <v>0</v>
      </c>
      <c r="I123" s="1643">
        <f>非流动负总!BE12</f>
        <v>0</v>
      </c>
      <c r="J123" s="1643">
        <f>非流动负总!BF12</f>
        <v>0</v>
      </c>
      <c r="K123" s="1644">
        <f t="shared" si="28"/>
        <v>0</v>
      </c>
      <c r="L123" s="1632" t="str">
        <f t="shared" si="35"/>
        <v>隐藏</v>
      </c>
      <c r="M123" s="1632" t="s">
        <v>576</v>
      </c>
      <c r="N123" s="1632" t="e">
        <f ca="1" t="shared" si="44"/>
        <v>#REF!</v>
      </c>
      <c r="O123" s="1632" t="e">
        <f ca="1" t="shared" si="44"/>
        <v>#REF!</v>
      </c>
      <c r="P123" s="1632" t="e">
        <f ca="1" t="shared" si="30"/>
        <v>#REF!</v>
      </c>
      <c r="R123" s="1632">
        <f t="shared" si="37"/>
        <v>1</v>
      </c>
      <c r="S123" s="1632" t="s">
        <v>579</v>
      </c>
      <c r="T123" s="1632"/>
      <c r="U123" s="1632"/>
      <c r="V123" s="1632"/>
      <c r="X123" s="1632">
        <f t="shared" si="26"/>
        <v>2</v>
      </c>
      <c r="Y123" s="1632" t="s">
        <v>595</v>
      </c>
      <c r="Z123" s="1632" t="s">
        <v>815</v>
      </c>
      <c r="AA123" s="1632"/>
      <c r="AB123" s="1632"/>
      <c r="AC123" s="1632"/>
      <c r="AE123" s="1632">
        <f t="shared" si="27"/>
        <v>1</v>
      </c>
      <c r="AF123" s="1632" t="s">
        <v>655</v>
      </c>
      <c r="AG123" s="1632"/>
      <c r="AH123" s="1632"/>
      <c r="AI123" s="1632"/>
      <c r="AJ123" s="1632"/>
      <c r="AL123" s="1632">
        <f t="shared" si="41"/>
        <v>6</v>
      </c>
      <c r="AM123" s="1632" t="s">
        <v>580</v>
      </c>
      <c r="AN123" s="1632" t="s">
        <v>597</v>
      </c>
      <c r="AO123" s="1632" t="s">
        <v>590</v>
      </c>
      <c r="AP123" s="1632" t="s">
        <v>598</v>
      </c>
      <c r="AQ123" s="1632" t="s">
        <v>584</v>
      </c>
      <c r="AR123" s="1632" t="s">
        <v>584</v>
      </c>
      <c r="AS123" s="1632"/>
      <c r="AT123" s="1632"/>
      <c r="AU123" s="1632"/>
      <c r="AV123" s="1632"/>
      <c r="AW123" s="1632"/>
      <c r="AX123" s="1632"/>
    </row>
    <row r="124" spans="1:53">
      <c r="A124" s="1637">
        <f ca="1">IF(B124="","",SUBTOTAL(3,B$3:B124))</f>
        <v>122</v>
      </c>
      <c r="B124" s="1646" t="str">
        <f ca="1">CELL("filename",递延负!A1)</f>
        <v>D:\桌面\评估\评估\2025评估\中致成\中煤\报告\[104250091]中煤第五建设有限公司第三工程处拟处置实物资产项目\[0000-3基础法明细表.xlsx]递延负</v>
      </c>
      <c r="C124" s="1647" t="str">
        <f ca="1" t="shared" si="34"/>
        <v>中煤第五建设有限公司第三工程处拟处置实物资产项目\[0000-3基础法明细表.xlsx]递延负</v>
      </c>
      <c r="D124" s="1648">
        <f>IF(SUM(分类汇总!J$43,分类汇总!J$68)=0,分类汇总!H66,分类汇总!J66)</f>
        <v>0</v>
      </c>
      <c r="E124" s="1649">
        <f>非流动负总!BA13</f>
        <v>0</v>
      </c>
      <c r="F124" s="1649">
        <f>非流动负总!BB13</f>
        <v>0</v>
      </c>
      <c r="G124" s="1649">
        <f>非流动负总!BC13</f>
        <v>0</v>
      </c>
      <c r="H124" s="1649">
        <f>非流动负总!BD13</f>
        <v>0</v>
      </c>
      <c r="I124" s="1649">
        <f>非流动负总!BE13</f>
        <v>0</v>
      </c>
      <c r="J124" s="1649">
        <f>非流动负总!BF13</f>
        <v>0</v>
      </c>
      <c r="K124" s="1650">
        <f t="shared" si="28"/>
        <v>0</v>
      </c>
      <c r="L124" s="1637" t="str">
        <f t="shared" si="35"/>
        <v>隐藏</v>
      </c>
      <c r="M124" s="1637" t="s">
        <v>576</v>
      </c>
      <c r="N124" s="1637" t="e">
        <f ca="1" t="shared" si="44"/>
        <v>#REF!</v>
      </c>
      <c r="O124" s="1637" t="e">
        <f ca="1" t="shared" si="44"/>
        <v>#REF!</v>
      </c>
      <c r="P124" s="1637" t="e">
        <f ca="1" t="shared" si="30"/>
        <v>#REF!</v>
      </c>
      <c r="R124" s="1637">
        <f t="shared" si="37"/>
        <v>1</v>
      </c>
      <c r="S124" s="1637" t="s">
        <v>821</v>
      </c>
      <c r="T124" s="1637"/>
      <c r="U124" s="1637"/>
      <c r="V124" s="1637"/>
      <c r="X124" s="1637">
        <f t="shared" si="26"/>
        <v>2</v>
      </c>
      <c r="Y124" s="1637" t="s">
        <v>587</v>
      </c>
      <c r="Z124" s="1637" t="s">
        <v>822</v>
      </c>
      <c r="AA124" s="1637"/>
      <c r="AB124" s="1637"/>
      <c r="AC124" s="1637"/>
      <c r="AE124" s="1637">
        <f t="shared" si="27"/>
        <v>1</v>
      </c>
      <c r="AF124" s="1637" t="s">
        <v>813</v>
      </c>
      <c r="AG124" s="1637"/>
      <c r="AH124" s="1637"/>
      <c r="AI124" s="1637"/>
      <c r="AJ124" s="1637"/>
      <c r="AL124" s="1637">
        <f t="shared" si="41"/>
        <v>6</v>
      </c>
      <c r="AM124" s="1637" t="s">
        <v>580</v>
      </c>
      <c r="AN124" s="1637" t="s">
        <v>589</v>
      </c>
      <c r="AO124" s="1637" t="s">
        <v>583</v>
      </c>
      <c r="AP124" s="1637" t="s">
        <v>590</v>
      </c>
      <c r="AQ124" s="1637" t="s">
        <v>614</v>
      </c>
      <c r="AR124" s="1637" t="s">
        <v>614</v>
      </c>
      <c r="AS124" s="1637"/>
      <c r="AT124" s="1637"/>
      <c r="AU124" s="1637"/>
      <c r="AV124" s="1637"/>
      <c r="AW124" s="1637"/>
      <c r="AX124" s="1637"/>
    </row>
    <row r="125" spans="1:53">
      <c r="A125" s="1632">
        <f ca="1">IF(B125="","",SUBTOTAL(3,B$3:B125))</f>
        <v>123</v>
      </c>
      <c r="B125" s="1640" t="str">
        <f ca="1">CELL("filename",其他非负!A1)</f>
        <v>D:\桌面\评估\评估\2025评估\中致成\中煤\报告\[104250091]中煤第五建设有限公司第三工程处拟处置实物资产项目\[0000-3基础法明细表.xlsx]其他非负</v>
      </c>
      <c r="C125" s="1641" t="str">
        <f ca="1" t="shared" si="34"/>
        <v>中煤第五建设有限公司第三工程处拟处置实物资产项目\[0000-3基础法明细表.xlsx]其他非负</v>
      </c>
      <c r="D125" s="1642">
        <f>IF(SUM(分类汇总!J$43,分类汇总!J$68)=0,分类汇总!H67,分类汇总!J67)</f>
        <v>0</v>
      </c>
      <c r="E125" s="1643">
        <f>非流动负总!BA14</f>
        <v>0</v>
      </c>
      <c r="F125" s="1643">
        <f>非流动负总!BB14</f>
        <v>0</v>
      </c>
      <c r="G125" s="1643">
        <f>非流动负总!BC14</f>
        <v>0</v>
      </c>
      <c r="H125" s="1643">
        <f>非流动负总!BD14</f>
        <v>0</v>
      </c>
      <c r="I125" s="1643">
        <f>非流动负总!BE14</f>
        <v>0</v>
      </c>
      <c r="J125" s="1643">
        <f>非流动负总!BF14</f>
        <v>0</v>
      </c>
      <c r="K125" s="1644">
        <f t="shared" si="28"/>
        <v>0</v>
      </c>
      <c r="L125" s="1632" t="str">
        <f t="shared" si="35"/>
        <v>隐藏</v>
      </c>
      <c r="M125" s="1632" t="s">
        <v>576</v>
      </c>
      <c r="N125" s="1632" t="e">
        <f ca="1" t="shared" si="44"/>
        <v>#REF!</v>
      </c>
      <c r="O125" s="1632" t="e">
        <f ca="1" t="shared" si="44"/>
        <v>#REF!</v>
      </c>
      <c r="P125" s="1632" t="e">
        <f ca="1" t="shared" si="30"/>
        <v>#REF!</v>
      </c>
      <c r="R125" s="1632">
        <f t="shared" si="37"/>
        <v>1</v>
      </c>
      <c r="S125" s="1632" t="s">
        <v>579</v>
      </c>
      <c r="T125" s="1632"/>
      <c r="U125" s="1632"/>
      <c r="V125" s="1632"/>
      <c r="X125" s="1632">
        <f t="shared" si="26"/>
        <v>2</v>
      </c>
      <c r="Y125" s="1632" t="s">
        <v>595</v>
      </c>
      <c r="Z125" s="1632" t="s">
        <v>815</v>
      </c>
      <c r="AA125" s="1632"/>
      <c r="AB125" s="1632"/>
      <c r="AC125" s="1632"/>
      <c r="AE125" s="1632">
        <f t="shared" si="27"/>
        <v>1</v>
      </c>
      <c r="AF125" s="1632" t="s">
        <v>655</v>
      </c>
      <c r="AG125" s="1632"/>
      <c r="AH125" s="1632"/>
      <c r="AI125" s="1632"/>
      <c r="AJ125" s="1632"/>
      <c r="AL125" s="1632">
        <f t="shared" si="41"/>
        <v>6</v>
      </c>
      <c r="AM125" s="1632" t="s">
        <v>580</v>
      </c>
      <c r="AN125" s="1632" t="s">
        <v>597</v>
      </c>
      <c r="AO125" s="1632" t="s">
        <v>590</v>
      </c>
      <c r="AP125" s="1632" t="s">
        <v>598</v>
      </c>
      <c r="AQ125" s="1632" t="s">
        <v>584</v>
      </c>
      <c r="AR125" s="1632" t="s">
        <v>584</v>
      </c>
      <c r="AS125" s="1632"/>
      <c r="AT125" s="1632"/>
      <c r="AU125" s="1632"/>
      <c r="AV125" s="1632"/>
      <c r="AW125" s="1632"/>
      <c r="AX125" s="1632"/>
    </row>
    <row r="126" spans="1:53">
      <c r="AZ126" s="1612"/>
      <c r="BA126" s="1612"/>
    </row>
    <row r="127" spans="1:53">
      <c r="B127" s="1612"/>
      <c r="C127" s="1612"/>
      <c r="D127" s="1612"/>
      <c r="E127" s="1612"/>
      <c r="F127" s="1612"/>
      <c r="G127" s="1612"/>
      <c r="H127" s="1612"/>
      <c r="I127" s="1612"/>
      <c r="J127" s="1612"/>
      <c r="K127" s="1612"/>
      <c r="L127" s="1612">
        <f t="shared" ref="L127" si="45">COLUMN(L126)</f>
        <v>12</v>
      </c>
      <c r="M127" s="1612">
        <f t="shared" ref="M127" si="46">COLUMN(M126)</f>
        <v>13</v>
      </c>
      <c r="N127" s="1612">
        <f t="shared" ref="N127" si="47">COLUMN(N126)</f>
        <v>14</v>
      </c>
      <c r="O127" s="1612">
        <f t="shared" ref="O127" si="48">COLUMN(O126)</f>
        <v>15</v>
      </c>
      <c r="P127" s="1612">
        <f t="shared" ref="P127" si="49">COLUMN(P126)</f>
        <v>16</v>
      </c>
      <c r="Q127" s="1612"/>
      <c r="R127" s="1612">
        <f t="shared" ref="R127:AE127" si="50">COLUMN(R126)</f>
        <v>18</v>
      </c>
      <c r="W127" s="1612"/>
      <c r="X127" s="1612">
        <f t="shared" si="50"/>
        <v>24</v>
      </c>
      <c r="AD127" s="1612"/>
      <c r="AE127" s="1612">
        <f t="shared" si="50"/>
        <v>31</v>
      </c>
      <c r="AL127" s="1612">
        <f t="shared" ref="AL127" si="51">COLUMN(AL126)</f>
        <v>38</v>
      </c>
      <c r="AM127" s="1612"/>
      <c r="AN127" s="1612"/>
      <c r="AO127" s="1612"/>
      <c r="AP127" s="1612"/>
      <c r="AQ127" s="1612"/>
      <c r="AR127" s="1612"/>
      <c r="AS127" s="1612"/>
      <c r="AT127" s="1612"/>
      <c r="AU127" s="1612"/>
      <c r="AV127" s="1612"/>
      <c r="AW127" s="1612"/>
      <c r="AX127" s="1612"/>
      <c r="AY127" s="1612"/>
      <c r="AZ127" s="1612">
        <f t="shared" ref="AZ127" si="52">COLUMN(AZ126)</f>
        <v>52</v>
      </c>
      <c r="BA127" s="1612"/>
    </row>
  </sheetData>
  <sheetProtection autoFilter="0"/>
  <autoFilter xmlns:etc="http://www.wps.cn/officeDocument/2017/etCustomData" ref="A2:AJ125" etc:filterBottomFollowUsedRange="0">
    <extLst/>
  </autoFilter>
  <mergeCells count="13">
    <mergeCell ref="E1:H1"/>
    <mergeCell ref="I1:J1"/>
    <mergeCell ref="R1:V1"/>
    <mergeCell ref="X1:AC1"/>
    <mergeCell ref="AE1:AJ1"/>
    <mergeCell ref="AL1:AX1"/>
    <mergeCell ref="A1:A2"/>
    <mergeCell ref="B1:B2"/>
    <mergeCell ref="C1:C2"/>
    <mergeCell ref="D1:D2"/>
    <mergeCell ref="K1:K2"/>
    <mergeCell ref="L1:L2"/>
    <mergeCell ref="M1:M2"/>
  </mergeCells>
  <printOptions horizontalCentered="1"/>
  <pageMargins left="0.708661417322835" right="0.708661417322835" top="0.748031496062992" bottom="0.748031496062992" header="0.31496062992126" footer="0.31496062992126"/>
  <pageSetup paperSize="9" scale="87" orientation="landscape" blackAndWhite="1"/>
  <headerFooter/>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2">
    <tabColor rgb="FFFF0000"/>
  </sheetPr>
  <dimension ref="A1:CE40"/>
  <sheetViews>
    <sheetView zoomScale="90" zoomScaleNormal="90" workbookViewId="0">
      <pane xSplit="2" ySplit="7" topLeftCell="D8" activePane="bottomRight" state="frozen"/>
      <selection/>
      <selection pane="topRight"/>
      <selection pane="bottomLeft"/>
      <selection pane="bottomRight" activeCell="E45" sqref="E45"/>
    </sheetView>
  </sheetViews>
  <sheetFormatPr defaultColWidth="9" defaultRowHeight="15.75" customHeight="1"/>
  <cols>
    <col min="1" max="1" width="9.2" style="75" customWidth="1"/>
    <col min="2" max="2" width="33.7" style="75" customWidth="1"/>
    <col min="3" max="3" width="20.6" style="75" hidden="1" customWidth="1" outlineLevel="1"/>
    <col min="4" max="4" width="20.6" style="75" customWidth="1" collapsed="1"/>
    <col min="5" max="7" width="20.6" style="75" customWidth="1"/>
    <col min="8" max="8" width="5.2" style="75" hidden="1" customWidth="1" outlineLevel="1"/>
    <col min="9" max="52" width="9" style="75" hidden="1" customWidth="1" outlineLevel="1"/>
    <col min="53" max="53" width="10.6" style="227" customWidth="1" collapsed="1"/>
    <col min="54" max="60" width="10.6" style="227" customWidth="1"/>
    <col min="61" max="61" width="1.6" style="227" customWidth="1"/>
    <col min="62"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80" t="s">
        <v>1591</v>
      </c>
      <c r="B1" s="80" t="s">
        <v>1592</v>
      </c>
      <c r="C1" s="81"/>
      <c r="D1" s="81"/>
      <c r="E1" s="81"/>
      <c r="F1" s="81"/>
      <c r="G1" s="81"/>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233" t="s">
        <v>5443</v>
      </c>
      <c r="B2" s="233"/>
      <c r="C2" s="233"/>
      <c r="D2" s="233"/>
      <c r="E2" s="233"/>
      <c r="F2" s="233"/>
      <c r="G2" s="233"/>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5" customHeight="1" spans="1:83">
      <c r="A3" s="238" t="str">
        <f>参数表!F5</f>
        <v>评估基准日：2025年7月31日</v>
      </c>
      <c r="B3" s="238"/>
      <c r="C3" s="238"/>
      <c r="D3" s="238"/>
      <c r="E3" s="238"/>
      <c r="F3" s="238"/>
      <c r="G3" s="238"/>
      <c r="BA3" s="230" t="str">
        <f>参数表!BA3</f>
        <v>是否显示评估值：</v>
      </c>
      <c r="BB3" s="230" t="str">
        <f>参数表!BB3</f>
        <v>是</v>
      </c>
    </row>
    <row r="4" ht="15" customHeight="1" spans="1:83">
      <c r="A4" s="238"/>
      <c r="B4" s="238"/>
      <c r="C4" s="238"/>
      <c r="D4" s="238"/>
      <c r="E4" s="238"/>
      <c r="F4" s="238"/>
      <c r="G4" s="239" t="str">
        <f>"表"&amp;A28</f>
        <v>表6</v>
      </c>
      <c r="BA4" s="240" t="s">
        <v>1595</v>
      </c>
      <c r="BB4" s="241"/>
      <c r="BC4" s="241"/>
      <c r="BD4" s="241"/>
      <c r="BE4" s="241"/>
      <c r="BF4" s="241"/>
      <c r="BG4" s="241"/>
      <c r="BH4" s="241"/>
      <c r="BI4" s="242"/>
      <c r="BJ4" s="241" t="s">
        <v>1545</v>
      </c>
      <c r="BK4" s="241"/>
      <c r="BL4" s="241"/>
      <c r="BM4" s="241"/>
      <c r="BN4" s="241"/>
      <c r="BO4" s="241"/>
      <c r="BP4" s="241"/>
      <c r="BQ4" s="241"/>
      <c r="BS4" s="228" t="str">
        <f>LEFT(A2,LEN(A2)-5)</f>
        <v>非流动负债</v>
      </c>
    </row>
    <row r="5" ht="15" customHeight="1" spans="1:83">
      <c r="A5" s="243" t="str">
        <f>参数表!F3</f>
        <v>产权持有单位:中煤第五建设有限公司</v>
      </c>
      <c r="G5" s="244" t="s">
        <v>236</v>
      </c>
      <c r="H5" s="165">
        <v>11</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非流动负债为：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3837</v>
      </c>
      <c r="G6" s="249" t="s">
        <v>1551</v>
      </c>
      <c r="H6" s="251" t="s">
        <v>1603</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255" t="str">
        <f>A$28&amp;"-"&amp;SUBTOTAL(103,B$7:B7)</f>
        <v>6-1</v>
      </c>
      <c r="B7" s="145" t="s">
        <v>5444</v>
      </c>
      <c r="C7" s="143">
        <f>长期借款!J27</f>
        <v>0</v>
      </c>
      <c r="D7" s="143">
        <f>长期借款!L27</f>
        <v>0</v>
      </c>
      <c r="E7" s="143">
        <f>长期借款!M27</f>
        <v>0</v>
      </c>
      <c r="F7" s="143">
        <f>E7-D7</f>
        <v>0</v>
      </c>
      <c r="G7" s="143" t="str">
        <f>IF(D7=0,"",F7/D7*100)</f>
        <v/>
      </c>
      <c r="H7" s="165" t="str">
        <f>VLOOKUP(B7,分类汇总!B$7:L$69,H$5,FALSE)</f>
        <v>共</v>
      </c>
      <c r="BA7" s="256">
        <f>BB7</f>
        <v>0</v>
      </c>
      <c r="BB7" s="256">
        <f>BD7+BC7</f>
        <v>0</v>
      </c>
      <c r="BC7" s="256">
        <f t="shared" ref="BC7:BC14" si="0">0</f>
        <v>0</v>
      </c>
      <c r="BD7" s="256">
        <f>D7</f>
        <v>0</v>
      </c>
      <c r="BE7" s="256">
        <f>BF7</f>
        <v>0</v>
      </c>
      <c r="BF7" s="256">
        <f>BH7+BG7</f>
        <v>0</v>
      </c>
      <c r="BG7" s="256">
        <f t="shared" ref="BG7:BG14" si="1">0</f>
        <v>0</v>
      </c>
      <c r="BH7" s="256">
        <f>E7</f>
        <v>0</v>
      </c>
      <c r="BI7" s="242"/>
      <c r="BJ7" s="256">
        <f>BK7</f>
        <v>0</v>
      </c>
      <c r="BK7" s="256">
        <f>BM7+BL7</f>
        <v>0</v>
      </c>
      <c r="BL7" s="256">
        <f t="shared" ref="BL7:BL14" si="2">0</f>
        <v>0</v>
      </c>
      <c r="BM7" s="256">
        <f>长期借款!L30</f>
        <v>0</v>
      </c>
      <c r="BN7" s="256">
        <f>BO7</f>
        <v>0</v>
      </c>
      <c r="BO7" s="256">
        <f>BQ7+BP7</f>
        <v>0</v>
      </c>
      <c r="BP7" s="256">
        <f t="shared" ref="BP7:BP14" si="3">0</f>
        <v>0</v>
      </c>
      <c r="BQ7" s="256">
        <f>长期借款!M30</f>
        <v>0</v>
      </c>
      <c r="BS7" s="228" t="str">
        <f t="shared" ref="BS7:BS20" si="4">IF(F7&gt;0,"增值",IF(F7=0,"无增减值","减值"))</f>
        <v>无增减值</v>
      </c>
      <c r="BT7" s="257">
        <f t="shared" ref="BT7:BT20" si="5">ABS(F7)</f>
        <v>0</v>
      </c>
      <c r="BU7" s="257">
        <f t="shared" ref="BU7:BU20" si="6">IFERROR(ABS(G7),0)</f>
        <v>0</v>
      </c>
      <c r="BV7" s="258">
        <f t="shared" ref="BV7:BV20" si="7">IFERROR(FIND("-",B7),0)</f>
        <v>0</v>
      </c>
      <c r="BW7" s="259" t="str">
        <f>IF(SUM(BA7:BH7)=0,"",RIGHT(B7,LEN(B7)-BV7))</f>
        <v/>
      </c>
      <c r="BX7" s="158" t="str">
        <f>IF(BY7="","",IF(BZ7&gt;1,"、",IF(BZ7=1,"和","")))</f>
        <v/>
      </c>
      <c r="BY7" s="158" t="str">
        <f>IF(BW7="","",1)</f>
        <v/>
      </c>
      <c r="BZ7" s="228">
        <f>COUNT(BY8:BY$27)</f>
        <v>0</v>
      </c>
    </row>
    <row r="8" ht="15" customHeight="1" spans="1:83">
      <c r="A8" s="255" t="str">
        <f>A$28&amp;"-"&amp;SUBTOTAL(103,B$7:B8)</f>
        <v>6-2</v>
      </c>
      <c r="B8" s="145" t="s">
        <v>5445</v>
      </c>
      <c r="C8" s="143">
        <f>应付债券!J27</f>
        <v>0</v>
      </c>
      <c r="D8" s="143">
        <f>应付债券!L27</f>
        <v>0</v>
      </c>
      <c r="E8" s="143">
        <f>应付债券!M27</f>
        <v>0</v>
      </c>
      <c r="F8" s="143">
        <f>E8-D8</f>
        <v>0</v>
      </c>
      <c r="G8" s="143" t="str">
        <f>IF(D8=0,"",F8/D8*100)</f>
        <v/>
      </c>
      <c r="H8" s="165" t="str">
        <f>VLOOKUP(B8,分类汇总!B$7:L$69,H$5,FALSE)</f>
        <v>共</v>
      </c>
      <c r="BA8" s="256">
        <f t="shared" ref="BA8:BA14" si="8">BB8</f>
        <v>0</v>
      </c>
      <c r="BB8" s="256">
        <f t="shared" ref="BB8:BB14" si="9">BD8+BC8</f>
        <v>0</v>
      </c>
      <c r="BC8" s="256">
        <f t="shared" si="0"/>
        <v>0</v>
      </c>
      <c r="BD8" s="256">
        <f t="shared" ref="BD8:BD14" si="10">D8</f>
        <v>0</v>
      </c>
      <c r="BE8" s="256">
        <f t="shared" ref="BE8:BE14" si="11">BF8</f>
        <v>0</v>
      </c>
      <c r="BF8" s="256">
        <f t="shared" ref="BF8:BF14" si="12">BH8+BG8</f>
        <v>0</v>
      </c>
      <c r="BG8" s="256">
        <f t="shared" si="1"/>
        <v>0</v>
      </c>
      <c r="BH8" s="256">
        <f t="shared" ref="BH8:BH14" si="13">E8</f>
        <v>0</v>
      </c>
      <c r="BI8" s="242"/>
      <c r="BJ8" s="256">
        <f t="shared" ref="BJ8:BJ14" si="14">BK8</f>
        <v>0</v>
      </c>
      <c r="BK8" s="256">
        <f t="shared" ref="BK8:BK14" si="15">BM8+BL8</f>
        <v>0</v>
      </c>
      <c r="BL8" s="256">
        <f t="shared" si="2"/>
        <v>0</v>
      </c>
      <c r="BM8" s="256">
        <f>应付债券!L30</f>
        <v>0</v>
      </c>
      <c r="BN8" s="256">
        <f t="shared" ref="BN8:BN14" si="16">BO8</f>
        <v>0</v>
      </c>
      <c r="BO8" s="256">
        <f t="shared" ref="BO8:BO14" si="17">BQ8+BP8</f>
        <v>0</v>
      </c>
      <c r="BP8" s="256">
        <f t="shared" si="3"/>
        <v>0</v>
      </c>
      <c r="BQ8" s="256">
        <f>应付债券!M30</f>
        <v>0</v>
      </c>
      <c r="BS8" s="228" t="str">
        <f t="shared" si="4"/>
        <v>无增减值</v>
      </c>
      <c r="BT8" s="257">
        <f t="shared" si="5"/>
        <v>0</v>
      </c>
      <c r="BU8" s="257">
        <f t="shared" si="6"/>
        <v>0</v>
      </c>
      <c r="BV8" s="258">
        <f t="shared" si="7"/>
        <v>0</v>
      </c>
      <c r="BW8" s="259" t="str">
        <f t="shared" ref="BW8:BW27" si="18">IF(SUM(BA8:BH8)=0,"",RIGHT(B8,LEN(B8)-BV8))</f>
        <v/>
      </c>
      <c r="BX8" s="158" t="str">
        <f t="shared" ref="BX8:BX27" si="19">IF(BY8="","",IF(BZ8&gt;1,"、",IF(BZ8=1,"和","")))</f>
        <v/>
      </c>
      <c r="BY8" s="158" t="str">
        <f t="shared" ref="BY8:BY27" si="20">IF(BW8="","",1)</f>
        <v/>
      </c>
      <c r="BZ8" s="228">
        <f>COUNT(BY9:BY$27)</f>
        <v>0</v>
      </c>
    </row>
    <row r="9" ht="15" customHeight="1" spans="1:83">
      <c r="A9" s="255" t="str">
        <f>A$28&amp;"-"&amp;SUBTOTAL(103,B$7:B9)</f>
        <v>6-3</v>
      </c>
      <c r="B9" s="145" t="s">
        <v>5446</v>
      </c>
      <c r="C9" s="143">
        <f>租赁负!N27</f>
        <v>0</v>
      </c>
      <c r="D9" s="143">
        <f>租赁负!P27</f>
        <v>0</v>
      </c>
      <c r="E9" s="143">
        <f>租赁负!Q27</f>
        <v>0</v>
      </c>
      <c r="F9" s="143">
        <f t="shared" ref="F9:F14" si="21">E9-D9</f>
        <v>0</v>
      </c>
      <c r="G9" s="143" t="str">
        <f t="shared" ref="G9:G14" si="22">IF(D9=0,"",F9/D9*100)</f>
        <v/>
      </c>
      <c r="H9" s="165" t="str">
        <f>VLOOKUP(B9,分类汇总!B$7:L$69,H$5,FALSE)</f>
        <v>新</v>
      </c>
      <c r="BA9" s="256">
        <f t="shared" si="8"/>
        <v>0</v>
      </c>
      <c r="BB9" s="256">
        <f t="shared" si="9"/>
        <v>0</v>
      </c>
      <c r="BC9" s="256">
        <f t="shared" si="0"/>
        <v>0</v>
      </c>
      <c r="BD9" s="256">
        <f t="shared" si="10"/>
        <v>0</v>
      </c>
      <c r="BE9" s="256">
        <f t="shared" si="11"/>
        <v>0</v>
      </c>
      <c r="BF9" s="256">
        <f t="shared" si="12"/>
        <v>0</v>
      </c>
      <c r="BG9" s="256">
        <f t="shared" si="1"/>
        <v>0</v>
      </c>
      <c r="BH9" s="256">
        <f t="shared" si="13"/>
        <v>0</v>
      </c>
      <c r="BI9" s="242"/>
      <c r="BJ9" s="256">
        <f t="shared" si="14"/>
        <v>0</v>
      </c>
      <c r="BK9" s="256">
        <f t="shared" si="15"/>
        <v>0</v>
      </c>
      <c r="BL9" s="256">
        <f t="shared" si="2"/>
        <v>0</v>
      </c>
      <c r="BM9" s="256">
        <f>租赁负!P30</f>
        <v>0</v>
      </c>
      <c r="BN9" s="256">
        <f t="shared" si="16"/>
        <v>0</v>
      </c>
      <c r="BO9" s="256">
        <f t="shared" si="17"/>
        <v>0</v>
      </c>
      <c r="BP9" s="256">
        <f t="shared" si="3"/>
        <v>0</v>
      </c>
      <c r="BQ9" s="256">
        <f>租赁负!Q30</f>
        <v>0</v>
      </c>
      <c r="BS9" s="228" t="str">
        <f t="shared" si="4"/>
        <v>无增减值</v>
      </c>
      <c r="BT9" s="257">
        <f t="shared" si="5"/>
        <v>0</v>
      </c>
      <c r="BU9" s="257">
        <f t="shared" si="6"/>
        <v>0</v>
      </c>
      <c r="BV9" s="258">
        <f t="shared" si="7"/>
        <v>0</v>
      </c>
      <c r="BW9" s="259" t="str">
        <f t="shared" si="18"/>
        <v/>
      </c>
      <c r="BX9" s="158" t="str">
        <f t="shared" si="19"/>
        <v/>
      </c>
      <c r="BY9" s="158" t="str">
        <f t="shared" si="20"/>
        <v/>
      </c>
      <c r="BZ9" s="228">
        <f>COUNT(BY10:BY$27)</f>
        <v>0</v>
      </c>
    </row>
    <row r="10" ht="15" customHeight="1" spans="1:83">
      <c r="A10" s="255" t="str">
        <f>A$28&amp;"-"&amp;SUBTOTAL(103,B$7:B10)</f>
        <v>6-4</v>
      </c>
      <c r="B10" s="145" t="s">
        <v>5447</v>
      </c>
      <c r="C10" s="143">
        <f>长期应付!K28</f>
        <v>0</v>
      </c>
      <c r="D10" s="143">
        <f>长期应付!P28</f>
        <v>0</v>
      </c>
      <c r="E10" s="143">
        <f>长期应付!Q28</f>
        <v>0</v>
      </c>
      <c r="F10" s="143">
        <f t="shared" si="21"/>
        <v>0</v>
      </c>
      <c r="G10" s="143" t="str">
        <f t="shared" si="22"/>
        <v/>
      </c>
      <c r="H10" s="165" t="str">
        <f>VLOOKUP(B10,分类汇总!B$7:L$69,H$5,FALSE)</f>
        <v>共</v>
      </c>
      <c r="BA10" s="256">
        <f t="shared" si="8"/>
        <v>0</v>
      </c>
      <c r="BB10" s="256">
        <f t="shared" si="9"/>
        <v>0</v>
      </c>
      <c r="BC10" s="256">
        <f t="shared" si="0"/>
        <v>0</v>
      </c>
      <c r="BD10" s="256">
        <f t="shared" si="10"/>
        <v>0</v>
      </c>
      <c r="BE10" s="256">
        <f t="shared" si="11"/>
        <v>0</v>
      </c>
      <c r="BF10" s="256">
        <f t="shared" si="12"/>
        <v>0</v>
      </c>
      <c r="BG10" s="256">
        <f t="shared" si="1"/>
        <v>0</v>
      </c>
      <c r="BH10" s="256">
        <f t="shared" si="13"/>
        <v>0</v>
      </c>
      <c r="BI10" s="242"/>
      <c r="BJ10" s="256">
        <f t="shared" si="14"/>
        <v>0</v>
      </c>
      <c r="BK10" s="256">
        <f t="shared" si="15"/>
        <v>0</v>
      </c>
      <c r="BL10" s="256">
        <f t="shared" si="2"/>
        <v>0</v>
      </c>
      <c r="BM10" s="256">
        <f>长期应付!P31</f>
        <v>0</v>
      </c>
      <c r="BN10" s="256">
        <f t="shared" si="16"/>
        <v>0</v>
      </c>
      <c r="BO10" s="256">
        <f t="shared" si="17"/>
        <v>0</v>
      </c>
      <c r="BP10" s="256">
        <f t="shared" si="3"/>
        <v>0</v>
      </c>
      <c r="BQ10" s="256">
        <f>长期应付!Q31</f>
        <v>0</v>
      </c>
      <c r="BS10" s="228" t="str">
        <f t="shared" si="4"/>
        <v>无增减值</v>
      </c>
      <c r="BT10" s="257">
        <f t="shared" si="5"/>
        <v>0</v>
      </c>
      <c r="BU10" s="257">
        <f t="shared" si="6"/>
        <v>0</v>
      </c>
      <c r="BV10" s="258">
        <f t="shared" si="7"/>
        <v>0</v>
      </c>
      <c r="BW10" s="259" t="str">
        <f t="shared" si="18"/>
        <v/>
      </c>
      <c r="BX10" s="158" t="str">
        <f t="shared" si="19"/>
        <v/>
      </c>
      <c r="BY10" s="158" t="str">
        <f t="shared" si="20"/>
        <v/>
      </c>
      <c r="BZ10" s="228">
        <f>COUNT(BY11:BY$27)</f>
        <v>0</v>
      </c>
    </row>
    <row r="11" ht="15" customHeight="1" spans="1:83">
      <c r="A11" s="255" t="str">
        <f>A$28&amp;"-"&amp;SUBTOTAL(103,B$7:B11)</f>
        <v>6-5</v>
      </c>
      <c r="B11" s="145" t="s">
        <v>5448</v>
      </c>
      <c r="C11" s="143">
        <f>预计负!H27</f>
        <v>0</v>
      </c>
      <c r="D11" s="143">
        <f>预计负!J27</f>
        <v>0</v>
      </c>
      <c r="E11" s="143">
        <f>预计负!K27</f>
        <v>0</v>
      </c>
      <c r="F11" s="143">
        <f t="shared" si="21"/>
        <v>0</v>
      </c>
      <c r="G11" s="143" t="str">
        <f t="shared" si="22"/>
        <v/>
      </c>
      <c r="H11" s="165" t="str">
        <f>VLOOKUP(B11,分类汇总!B$7:L$69,H$5,FALSE)</f>
        <v>共</v>
      </c>
      <c r="BA11" s="256">
        <f t="shared" si="8"/>
        <v>0</v>
      </c>
      <c r="BB11" s="256">
        <f t="shared" si="9"/>
        <v>0</v>
      </c>
      <c r="BC11" s="256">
        <f t="shared" si="0"/>
        <v>0</v>
      </c>
      <c r="BD11" s="256">
        <f t="shared" si="10"/>
        <v>0</v>
      </c>
      <c r="BE11" s="256">
        <f t="shared" si="11"/>
        <v>0</v>
      </c>
      <c r="BF11" s="256">
        <f t="shared" si="12"/>
        <v>0</v>
      </c>
      <c r="BG11" s="256">
        <f t="shared" si="1"/>
        <v>0</v>
      </c>
      <c r="BH11" s="256">
        <f t="shared" si="13"/>
        <v>0</v>
      </c>
      <c r="BI11" s="242"/>
      <c r="BJ11" s="256">
        <f t="shared" si="14"/>
        <v>0</v>
      </c>
      <c r="BK11" s="256">
        <f t="shared" si="15"/>
        <v>0</v>
      </c>
      <c r="BL11" s="256">
        <f t="shared" si="2"/>
        <v>0</v>
      </c>
      <c r="BM11" s="256">
        <f>预计负!J30</f>
        <v>0</v>
      </c>
      <c r="BN11" s="256">
        <f t="shared" si="16"/>
        <v>0</v>
      </c>
      <c r="BO11" s="256">
        <f t="shared" si="17"/>
        <v>0</v>
      </c>
      <c r="BP11" s="256">
        <f t="shared" si="3"/>
        <v>0</v>
      </c>
      <c r="BQ11" s="256">
        <f>预计负!K30</f>
        <v>0</v>
      </c>
      <c r="BS11" s="228" t="str">
        <f t="shared" si="4"/>
        <v>无增减值</v>
      </c>
      <c r="BT11" s="257">
        <f t="shared" si="5"/>
        <v>0</v>
      </c>
      <c r="BU11" s="257">
        <f t="shared" si="6"/>
        <v>0</v>
      </c>
      <c r="BV11" s="258">
        <f t="shared" si="7"/>
        <v>0</v>
      </c>
      <c r="BW11" s="259" t="str">
        <f t="shared" si="18"/>
        <v/>
      </c>
      <c r="BX11" s="158" t="str">
        <f t="shared" si="19"/>
        <v/>
      </c>
      <c r="BY11" s="158" t="str">
        <f t="shared" si="20"/>
        <v/>
      </c>
      <c r="BZ11" s="228">
        <f>COUNT(BY12:BY$27)</f>
        <v>0</v>
      </c>
    </row>
    <row r="12" ht="15" customHeight="1" spans="1:83">
      <c r="A12" s="255" t="str">
        <f>A$28&amp;"-"&amp;SUBTOTAL(103,B$7:B12)</f>
        <v>6-6</v>
      </c>
      <c r="B12" s="137" t="s">
        <v>402</v>
      </c>
      <c r="C12" s="143">
        <f>递延收益!H27</f>
        <v>0</v>
      </c>
      <c r="D12" s="143">
        <f>递延收益!J27</f>
        <v>0</v>
      </c>
      <c r="E12" s="143">
        <f>递延收益!K27</f>
        <v>0</v>
      </c>
      <c r="F12" s="143">
        <f t="shared" si="21"/>
        <v>0</v>
      </c>
      <c r="G12" s="143" t="str">
        <f t="shared" si="22"/>
        <v/>
      </c>
      <c r="H12" s="165" t="str">
        <f>VLOOKUP(B12,分类汇总!B$7:L$69,H$5,FALSE)</f>
        <v>共</v>
      </c>
      <c r="BA12" s="256">
        <f t="shared" si="8"/>
        <v>0</v>
      </c>
      <c r="BB12" s="256">
        <f t="shared" si="9"/>
        <v>0</v>
      </c>
      <c r="BC12" s="256">
        <f t="shared" si="0"/>
        <v>0</v>
      </c>
      <c r="BD12" s="256">
        <f t="shared" si="10"/>
        <v>0</v>
      </c>
      <c r="BE12" s="256">
        <f t="shared" si="11"/>
        <v>0</v>
      </c>
      <c r="BF12" s="256">
        <f t="shared" si="12"/>
        <v>0</v>
      </c>
      <c r="BG12" s="256">
        <f t="shared" si="1"/>
        <v>0</v>
      </c>
      <c r="BH12" s="256">
        <f t="shared" si="13"/>
        <v>0</v>
      </c>
      <c r="BI12" s="242"/>
      <c r="BJ12" s="256">
        <f t="shared" si="14"/>
        <v>0</v>
      </c>
      <c r="BK12" s="256">
        <f t="shared" si="15"/>
        <v>0</v>
      </c>
      <c r="BL12" s="256">
        <f t="shared" si="2"/>
        <v>0</v>
      </c>
      <c r="BM12" s="256">
        <f>递延收益!J30</f>
        <v>0</v>
      </c>
      <c r="BN12" s="256">
        <f t="shared" si="16"/>
        <v>0</v>
      </c>
      <c r="BO12" s="256">
        <f t="shared" si="17"/>
        <v>0</v>
      </c>
      <c r="BP12" s="256">
        <f t="shared" si="3"/>
        <v>0</v>
      </c>
      <c r="BQ12" s="256">
        <f>递延收益!K30</f>
        <v>0</v>
      </c>
      <c r="BS12" s="228" t="str">
        <f t="shared" si="4"/>
        <v>无增减值</v>
      </c>
      <c r="BT12" s="257">
        <f t="shared" si="5"/>
        <v>0</v>
      </c>
      <c r="BU12" s="257">
        <f t="shared" si="6"/>
        <v>0</v>
      </c>
      <c r="BV12" s="258">
        <f t="shared" si="7"/>
        <v>0</v>
      </c>
      <c r="BW12" s="259" t="str">
        <f t="shared" si="18"/>
        <v/>
      </c>
      <c r="BX12" s="158" t="str">
        <f t="shared" si="19"/>
        <v/>
      </c>
      <c r="BY12" s="158" t="str">
        <f t="shared" si="20"/>
        <v/>
      </c>
      <c r="BZ12" s="228">
        <f>COUNT(BY13:BY$27)</f>
        <v>0</v>
      </c>
    </row>
    <row r="13" ht="15" customHeight="1" spans="1:83">
      <c r="A13" s="255" t="str">
        <f>A$28&amp;"-"&amp;SUBTOTAL(103,B$7:B13)</f>
        <v>6-7</v>
      </c>
      <c r="B13" s="145" t="s">
        <v>5449</v>
      </c>
      <c r="C13" s="143">
        <f>递延负!G27</f>
        <v>0</v>
      </c>
      <c r="D13" s="143">
        <f>递延负!I27</f>
        <v>0</v>
      </c>
      <c r="E13" s="143">
        <f>递延负!J27</f>
        <v>0</v>
      </c>
      <c r="F13" s="143">
        <f t="shared" si="21"/>
        <v>0</v>
      </c>
      <c r="G13" s="143" t="str">
        <f t="shared" si="22"/>
        <v/>
      </c>
      <c r="H13" s="165" t="str">
        <f>VLOOKUP(B13,分类汇总!B$7:L$69,H$5,FALSE)</f>
        <v>共</v>
      </c>
      <c r="BA13" s="256">
        <f t="shared" si="8"/>
        <v>0</v>
      </c>
      <c r="BB13" s="256">
        <f t="shared" si="9"/>
        <v>0</v>
      </c>
      <c r="BC13" s="256">
        <f t="shared" si="0"/>
        <v>0</v>
      </c>
      <c r="BD13" s="256">
        <f t="shared" si="10"/>
        <v>0</v>
      </c>
      <c r="BE13" s="256">
        <f t="shared" si="11"/>
        <v>0</v>
      </c>
      <c r="BF13" s="256">
        <f t="shared" si="12"/>
        <v>0</v>
      </c>
      <c r="BG13" s="256">
        <f t="shared" si="1"/>
        <v>0</v>
      </c>
      <c r="BH13" s="256">
        <f t="shared" si="13"/>
        <v>0</v>
      </c>
      <c r="BI13" s="242"/>
      <c r="BJ13" s="256">
        <f t="shared" si="14"/>
        <v>0</v>
      </c>
      <c r="BK13" s="256">
        <f t="shared" si="15"/>
        <v>0</v>
      </c>
      <c r="BL13" s="256">
        <f t="shared" si="2"/>
        <v>0</v>
      </c>
      <c r="BM13" s="256">
        <f>递延负!I30</f>
        <v>0</v>
      </c>
      <c r="BN13" s="256">
        <f t="shared" si="16"/>
        <v>0</v>
      </c>
      <c r="BO13" s="256">
        <f t="shared" si="17"/>
        <v>0</v>
      </c>
      <c r="BP13" s="256">
        <f t="shared" si="3"/>
        <v>0</v>
      </c>
      <c r="BQ13" s="256">
        <f>递延负!J30</f>
        <v>0</v>
      </c>
      <c r="BS13" s="228" t="str">
        <f t="shared" si="4"/>
        <v>无增减值</v>
      </c>
      <c r="BT13" s="257">
        <f t="shared" si="5"/>
        <v>0</v>
      </c>
      <c r="BU13" s="257">
        <f t="shared" si="6"/>
        <v>0</v>
      </c>
      <c r="BV13" s="258">
        <f t="shared" si="7"/>
        <v>0</v>
      </c>
      <c r="BW13" s="259" t="str">
        <f t="shared" si="18"/>
        <v/>
      </c>
      <c r="BX13" s="158" t="str">
        <f t="shared" si="19"/>
        <v/>
      </c>
      <c r="BY13" s="158" t="str">
        <f t="shared" si="20"/>
        <v/>
      </c>
      <c r="BZ13" s="228">
        <f>COUNT(BY14:BY$27)</f>
        <v>0</v>
      </c>
    </row>
    <row r="14" ht="15" customHeight="1" spans="1:83">
      <c r="A14" s="255" t="str">
        <f>A$28&amp;"-"&amp;SUBTOTAL(103,B$7:B14)</f>
        <v>6-8</v>
      </c>
      <c r="B14" s="145" t="s">
        <v>5450</v>
      </c>
      <c r="C14" s="143">
        <f>其他非负!H27</f>
        <v>0</v>
      </c>
      <c r="D14" s="143">
        <f>其他非负!J27</f>
        <v>0</v>
      </c>
      <c r="E14" s="143">
        <f>其他非负!K27</f>
        <v>0</v>
      </c>
      <c r="F14" s="143">
        <f t="shared" si="21"/>
        <v>0</v>
      </c>
      <c r="G14" s="143" t="str">
        <f t="shared" si="22"/>
        <v/>
      </c>
      <c r="H14" s="165" t="str">
        <f>VLOOKUP(B14,分类汇总!B$7:L$69,H$5,FALSE)</f>
        <v>共</v>
      </c>
      <c r="BA14" s="256">
        <f t="shared" si="8"/>
        <v>0</v>
      </c>
      <c r="BB14" s="256">
        <f t="shared" si="9"/>
        <v>0</v>
      </c>
      <c r="BC14" s="256">
        <f t="shared" si="0"/>
        <v>0</v>
      </c>
      <c r="BD14" s="256">
        <f t="shared" si="10"/>
        <v>0</v>
      </c>
      <c r="BE14" s="256">
        <f t="shared" si="11"/>
        <v>0</v>
      </c>
      <c r="BF14" s="256">
        <f t="shared" si="12"/>
        <v>0</v>
      </c>
      <c r="BG14" s="256">
        <f t="shared" si="1"/>
        <v>0</v>
      </c>
      <c r="BH14" s="256">
        <f t="shared" si="13"/>
        <v>0</v>
      </c>
      <c r="BI14" s="242"/>
      <c r="BJ14" s="256">
        <f t="shared" si="14"/>
        <v>0</v>
      </c>
      <c r="BK14" s="256">
        <f t="shared" si="15"/>
        <v>0</v>
      </c>
      <c r="BL14" s="256">
        <f t="shared" si="2"/>
        <v>0</v>
      </c>
      <c r="BM14" s="256">
        <f>其他非负!J30</f>
        <v>0</v>
      </c>
      <c r="BN14" s="256">
        <f t="shared" si="16"/>
        <v>0</v>
      </c>
      <c r="BO14" s="256">
        <f t="shared" si="17"/>
        <v>0</v>
      </c>
      <c r="BP14" s="256">
        <f t="shared" si="3"/>
        <v>0</v>
      </c>
      <c r="BQ14" s="256">
        <f>其他非负!K30</f>
        <v>0</v>
      </c>
      <c r="BS14" s="228" t="str">
        <f t="shared" si="4"/>
        <v>无增减值</v>
      </c>
      <c r="BT14" s="257">
        <f t="shared" si="5"/>
        <v>0</v>
      </c>
      <c r="BU14" s="257">
        <f t="shared" si="6"/>
        <v>0</v>
      </c>
      <c r="BV14" s="258">
        <f t="shared" si="7"/>
        <v>0</v>
      </c>
      <c r="BW14" s="259" t="str">
        <f t="shared" si="18"/>
        <v/>
      </c>
      <c r="BX14" s="158" t="str">
        <f t="shared" si="19"/>
        <v/>
      </c>
      <c r="BY14" s="158" t="str">
        <f t="shared" si="20"/>
        <v/>
      </c>
      <c r="BZ14" s="228">
        <f>COUNT(BY15:BY$27)</f>
        <v>0</v>
      </c>
    </row>
    <row r="15" ht="15" customHeight="1" spans="1:83">
      <c r="A15" s="141"/>
      <c r="B15" s="145"/>
      <c r="C15" s="143"/>
      <c r="D15" s="143"/>
      <c r="E15" s="143"/>
      <c r="F15" s="143"/>
      <c r="G15" s="143"/>
      <c r="BA15" s="256"/>
      <c r="BB15" s="256"/>
      <c r="BC15" s="256"/>
      <c r="BD15" s="256"/>
      <c r="BE15" s="256"/>
      <c r="BF15" s="256"/>
      <c r="BG15" s="256"/>
      <c r="BH15" s="256"/>
      <c r="BI15" s="242"/>
      <c r="BJ15" s="256"/>
      <c r="BK15" s="256"/>
      <c r="BL15" s="256"/>
      <c r="BM15" s="256"/>
      <c r="BN15" s="256"/>
      <c r="BO15" s="256"/>
      <c r="BP15" s="256"/>
      <c r="BQ15" s="256"/>
      <c r="BS15" s="228" t="str">
        <f t="shared" si="4"/>
        <v>无增减值</v>
      </c>
      <c r="BT15" s="257">
        <f t="shared" si="5"/>
        <v>0</v>
      </c>
      <c r="BU15" s="257">
        <f t="shared" si="6"/>
        <v>0</v>
      </c>
      <c r="BV15" s="258">
        <f t="shared" si="7"/>
        <v>0</v>
      </c>
      <c r="BW15" s="259" t="str">
        <f t="shared" si="18"/>
        <v/>
      </c>
      <c r="BX15" s="158" t="str">
        <f t="shared" si="19"/>
        <v/>
      </c>
      <c r="BY15" s="158" t="str">
        <f t="shared" si="20"/>
        <v/>
      </c>
      <c r="BZ15" s="228">
        <f>COUNT(BY16:BY$27)</f>
        <v>0</v>
      </c>
    </row>
    <row r="16" ht="15" customHeight="1" spans="1:83">
      <c r="A16" s="141"/>
      <c r="B16" s="145"/>
      <c r="C16" s="143"/>
      <c r="D16" s="143"/>
      <c r="E16" s="143"/>
      <c r="F16" s="143"/>
      <c r="G16" s="143"/>
      <c r="BA16" s="256"/>
      <c r="BB16" s="256"/>
      <c r="BC16" s="256"/>
      <c r="BD16" s="256"/>
      <c r="BE16" s="256"/>
      <c r="BF16" s="256"/>
      <c r="BG16" s="256"/>
      <c r="BH16" s="256"/>
      <c r="BI16" s="242"/>
      <c r="BJ16" s="256"/>
      <c r="BK16" s="256"/>
      <c r="BL16" s="256"/>
      <c r="BM16" s="256"/>
      <c r="BN16" s="256"/>
      <c r="BO16" s="256"/>
      <c r="BP16" s="256"/>
      <c r="BQ16" s="256"/>
      <c r="BS16" s="228" t="str">
        <f t="shared" si="4"/>
        <v>无增减值</v>
      </c>
      <c r="BT16" s="257">
        <f t="shared" si="5"/>
        <v>0</v>
      </c>
      <c r="BU16" s="257">
        <f t="shared" si="6"/>
        <v>0</v>
      </c>
      <c r="BV16" s="258">
        <f t="shared" si="7"/>
        <v>0</v>
      </c>
      <c r="BW16" s="259" t="str">
        <f t="shared" si="18"/>
        <v/>
      </c>
      <c r="BX16" s="158" t="str">
        <f t="shared" si="19"/>
        <v/>
      </c>
      <c r="BY16" s="158" t="str">
        <f t="shared" si="20"/>
        <v/>
      </c>
      <c r="BZ16" s="228">
        <f>COUNT(BY17:BY$27)</f>
        <v>0</v>
      </c>
    </row>
    <row r="17" ht="15" customHeight="1" spans="1:83">
      <c r="A17" s="141"/>
      <c r="B17" s="145"/>
      <c r="C17" s="143"/>
      <c r="D17" s="143"/>
      <c r="E17" s="143"/>
      <c r="F17" s="143"/>
      <c r="G17" s="143"/>
      <c r="BA17" s="256"/>
      <c r="BB17" s="256"/>
      <c r="BC17" s="256"/>
      <c r="BD17" s="256"/>
      <c r="BE17" s="256"/>
      <c r="BF17" s="256"/>
      <c r="BG17" s="256"/>
      <c r="BH17" s="256"/>
      <c r="BI17" s="242"/>
      <c r="BJ17" s="256"/>
      <c r="BK17" s="256"/>
      <c r="BL17" s="256"/>
      <c r="BM17" s="256"/>
      <c r="BN17" s="256"/>
      <c r="BO17" s="256"/>
      <c r="BP17" s="256"/>
      <c r="BQ17" s="256"/>
      <c r="BS17" s="228" t="str">
        <f t="shared" si="4"/>
        <v>无增减值</v>
      </c>
      <c r="BT17" s="257">
        <f t="shared" si="5"/>
        <v>0</v>
      </c>
      <c r="BU17" s="257">
        <f t="shared" si="6"/>
        <v>0</v>
      </c>
      <c r="BV17" s="258">
        <f t="shared" si="7"/>
        <v>0</v>
      </c>
      <c r="BW17" s="259" t="str">
        <f t="shared" si="18"/>
        <v/>
      </c>
      <c r="BX17" s="158" t="str">
        <f t="shared" si="19"/>
        <v/>
      </c>
      <c r="BY17" s="158" t="str">
        <f t="shared" si="20"/>
        <v/>
      </c>
      <c r="BZ17" s="228">
        <f>COUNT(BY18:BY$27)</f>
        <v>0</v>
      </c>
    </row>
    <row r="18" ht="15" customHeight="1" spans="1:83">
      <c r="A18" s="141"/>
      <c r="B18" s="145"/>
      <c r="C18" s="143"/>
      <c r="D18" s="143"/>
      <c r="E18" s="143"/>
      <c r="F18" s="143"/>
      <c r="G18" s="143"/>
      <c r="BA18" s="256"/>
      <c r="BB18" s="256"/>
      <c r="BC18" s="256"/>
      <c r="BD18" s="256"/>
      <c r="BE18" s="256"/>
      <c r="BF18" s="256"/>
      <c r="BG18" s="256"/>
      <c r="BH18" s="256"/>
      <c r="BI18" s="242"/>
      <c r="BJ18" s="256"/>
      <c r="BK18" s="256"/>
      <c r="BL18" s="256"/>
      <c r="BM18" s="256"/>
      <c r="BN18" s="256"/>
      <c r="BO18" s="256"/>
      <c r="BP18" s="256"/>
      <c r="BQ18" s="256"/>
      <c r="BS18" s="228" t="str">
        <f t="shared" si="4"/>
        <v>无增减值</v>
      </c>
      <c r="BT18" s="257">
        <f t="shared" si="5"/>
        <v>0</v>
      </c>
      <c r="BU18" s="257">
        <f t="shared" si="6"/>
        <v>0</v>
      </c>
      <c r="BV18" s="258">
        <f t="shared" si="7"/>
        <v>0</v>
      </c>
      <c r="BW18" s="259" t="str">
        <f t="shared" si="18"/>
        <v/>
      </c>
      <c r="BX18" s="158" t="str">
        <f t="shared" si="19"/>
        <v/>
      </c>
      <c r="BY18" s="158" t="str">
        <f t="shared" si="20"/>
        <v/>
      </c>
      <c r="BZ18" s="228">
        <f>COUNT(BY19:BY$27)</f>
        <v>0</v>
      </c>
    </row>
    <row r="19" ht="15" customHeight="1" spans="1:83">
      <c r="A19" s="141"/>
      <c r="B19" s="145"/>
      <c r="C19" s="143"/>
      <c r="D19" s="143"/>
      <c r="E19" s="143"/>
      <c r="F19" s="143"/>
      <c r="G19" s="143"/>
      <c r="BA19" s="256"/>
      <c r="BB19" s="256"/>
      <c r="BC19" s="256"/>
      <c r="BD19" s="256"/>
      <c r="BE19" s="256"/>
      <c r="BF19" s="256"/>
      <c r="BG19" s="256"/>
      <c r="BH19" s="256"/>
      <c r="BI19" s="242"/>
      <c r="BJ19" s="256"/>
      <c r="BK19" s="256"/>
      <c r="BL19" s="256"/>
      <c r="BM19" s="256"/>
      <c r="BN19" s="256"/>
      <c r="BO19" s="256"/>
      <c r="BP19" s="256"/>
      <c r="BQ19" s="256"/>
      <c r="BS19" s="228" t="str">
        <f t="shared" si="4"/>
        <v>无增减值</v>
      </c>
      <c r="BT19" s="257">
        <f t="shared" si="5"/>
        <v>0</v>
      </c>
      <c r="BU19" s="257">
        <f t="shared" si="6"/>
        <v>0</v>
      </c>
      <c r="BV19" s="258">
        <f t="shared" si="7"/>
        <v>0</v>
      </c>
      <c r="BW19" s="259" t="str">
        <f t="shared" si="18"/>
        <v/>
      </c>
      <c r="BX19" s="158" t="str">
        <f t="shared" si="19"/>
        <v/>
      </c>
      <c r="BY19" s="158" t="str">
        <f t="shared" si="20"/>
        <v/>
      </c>
      <c r="BZ19" s="228">
        <f>COUNT(BY20:BY$27)</f>
        <v>0</v>
      </c>
    </row>
    <row r="20" ht="15" customHeight="1" spans="1:83">
      <c r="A20" s="141"/>
      <c r="B20" s="145"/>
      <c r="C20" s="143"/>
      <c r="D20" s="143"/>
      <c r="E20" s="143"/>
      <c r="F20" s="143"/>
      <c r="G20" s="143"/>
      <c r="BA20" s="256"/>
      <c r="BB20" s="256"/>
      <c r="BC20" s="256"/>
      <c r="BD20" s="256"/>
      <c r="BE20" s="256"/>
      <c r="BF20" s="256"/>
      <c r="BG20" s="256"/>
      <c r="BH20" s="256"/>
      <c r="BI20" s="242"/>
      <c r="BJ20" s="256"/>
      <c r="BK20" s="256"/>
      <c r="BL20" s="256"/>
      <c r="BM20" s="256"/>
      <c r="BN20" s="256"/>
      <c r="BO20" s="256"/>
      <c r="BP20" s="256"/>
      <c r="BQ20" s="256"/>
      <c r="BS20" s="228" t="str">
        <f t="shared" si="4"/>
        <v>无增减值</v>
      </c>
      <c r="BT20" s="257">
        <f t="shared" si="5"/>
        <v>0</v>
      </c>
      <c r="BU20" s="257">
        <f t="shared" si="6"/>
        <v>0</v>
      </c>
      <c r="BV20" s="258">
        <f t="shared" si="7"/>
        <v>0</v>
      </c>
      <c r="BW20" s="259" t="str">
        <f t="shared" si="18"/>
        <v/>
      </c>
      <c r="BX20" s="158" t="str">
        <f t="shared" si="19"/>
        <v/>
      </c>
      <c r="BY20" s="158" t="str">
        <f t="shared" si="20"/>
        <v/>
      </c>
      <c r="BZ20" s="228">
        <f>COUNT(BY21:BY$27)</f>
        <v>0</v>
      </c>
    </row>
    <row r="21" ht="15" customHeight="1" spans="1:83">
      <c r="A21" s="141"/>
      <c r="B21" s="145"/>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t="str">
        <f t="shared" ref="BS21:BS28" si="23">IF(F21&gt;0,"增值",IF(F21=0,"无增减值","减值"))</f>
        <v>无增减值</v>
      </c>
      <c r="BT21" s="257">
        <f t="shared" ref="BT21:BT28" si="24">ABS(F21)</f>
        <v>0</v>
      </c>
      <c r="BU21" s="257">
        <f t="shared" ref="BU21:BU28" si="25">IFERROR(ABS(G21),0)</f>
        <v>0</v>
      </c>
      <c r="BV21" s="258">
        <f t="shared" ref="BV21:BV27" si="26">IFERROR(FIND("-",B21),0)</f>
        <v>0</v>
      </c>
      <c r="BW21" s="259" t="str">
        <f t="shared" si="18"/>
        <v/>
      </c>
      <c r="BX21" s="158" t="str">
        <f t="shared" si="19"/>
        <v/>
      </c>
      <c r="BY21" s="158" t="str">
        <f t="shared" si="20"/>
        <v/>
      </c>
      <c r="BZ21" s="228">
        <f>COUNT(BY22:BY$27)</f>
        <v>0</v>
      </c>
    </row>
    <row r="22" ht="15" customHeight="1" spans="1:83">
      <c r="A22" s="141"/>
      <c r="B22" s="145"/>
      <c r="C22" s="143"/>
      <c r="D22" s="143"/>
      <c r="E22" s="143"/>
      <c r="F22" s="143"/>
      <c r="G22" s="143"/>
      <c r="BA22" s="256"/>
      <c r="BB22" s="256"/>
      <c r="BC22" s="256"/>
      <c r="BD22" s="256"/>
      <c r="BE22" s="256"/>
      <c r="BF22" s="256"/>
      <c r="BG22" s="256"/>
      <c r="BH22" s="256"/>
      <c r="BI22" s="242"/>
      <c r="BJ22" s="256"/>
      <c r="BK22" s="256"/>
      <c r="BL22" s="256"/>
      <c r="BM22" s="256"/>
      <c r="BN22" s="256"/>
      <c r="BO22" s="256"/>
      <c r="BP22" s="256"/>
      <c r="BQ22" s="256"/>
      <c r="BS22" s="228" t="str">
        <f t="shared" si="23"/>
        <v>无增减值</v>
      </c>
      <c r="BT22" s="257">
        <f t="shared" si="24"/>
        <v>0</v>
      </c>
      <c r="BU22" s="257">
        <f t="shared" si="25"/>
        <v>0</v>
      </c>
      <c r="BV22" s="258">
        <f t="shared" si="26"/>
        <v>0</v>
      </c>
      <c r="BW22" s="259" t="str">
        <f t="shared" si="18"/>
        <v/>
      </c>
      <c r="BX22" s="158" t="str">
        <f t="shared" si="19"/>
        <v/>
      </c>
      <c r="BY22" s="158" t="str">
        <f t="shared" si="20"/>
        <v/>
      </c>
      <c r="BZ22" s="228">
        <f>COUNT(BY23:BY$27)</f>
        <v>0</v>
      </c>
    </row>
    <row r="23" ht="15" customHeight="1" spans="1:83">
      <c r="A23" s="141"/>
      <c r="B23" s="145"/>
      <c r="C23" s="143"/>
      <c r="D23" s="143"/>
      <c r="E23" s="143"/>
      <c r="F23" s="143"/>
      <c r="G23" s="143"/>
      <c r="BA23" s="256"/>
      <c r="BB23" s="256"/>
      <c r="BC23" s="256"/>
      <c r="BD23" s="256"/>
      <c r="BE23" s="256"/>
      <c r="BF23" s="256"/>
      <c r="BG23" s="256"/>
      <c r="BH23" s="256"/>
      <c r="BI23" s="242"/>
      <c r="BJ23" s="256"/>
      <c r="BK23" s="256"/>
      <c r="BL23" s="256"/>
      <c r="BM23" s="256"/>
      <c r="BN23" s="256"/>
      <c r="BO23" s="256"/>
      <c r="BP23" s="256"/>
      <c r="BQ23" s="256"/>
      <c r="BS23" s="228" t="str">
        <f t="shared" si="23"/>
        <v>无增减值</v>
      </c>
      <c r="BT23" s="257">
        <f t="shared" si="24"/>
        <v>0</v>
      </c>
      <c r="BU23" s="257">
        <f t="shared" si="25"/>
        <v>0</v>
      </c>
      <c r="BV23" s="258">
        <f t="shared" si="26"/>
        <v>0</v>
      </c>
      <c r="BW23" s="259" t="str">
        <f t="shared" si="18"/>
        <v/>
      </c>
      <c r="BX23" s="158" t="str">
        <f t="shared" si="19"/>
        <v/>
      </c>
      <c r="BY23" s="158" t="str">
        <f t="shared" si="20"/>
        <v/>
      </c>
      <c r="BZ23" s="228">
        <f>COUNT(BY24:BY$27)</f>
        <v>0</v>
      </c>
    </row>
    <row r="24" ht="15" customHeight="1" spans="1:83">
      <c r="A24" s="141"/>
      <c r="B24" s="145"/>
      <c r="C24" s="143"/>
      <c r="D24" s="143"/>
      <c r="E24" s="143"/>
      <c r="F24" s="143"/>
      <c r="G24" s="143"/>
      <c r="BA24" s="256"/>
      <c r="BB24" s="256"/>
      <c r="BC24" s="256"/>
      <c r="BD24" s="256"/>
      <c r="BE24" s="256"/>
      <c r="BF24" s="256"/>
      <c r="BG24" s="256"/>
      <c r="BH24" s="256"/>
      <c r="BI24" s="242"/>
      <c r="BJ24" s="256"/>
      <c r="BK24" s="256"/>
      <c r="BL24" s="256"/>
      <c r="BM24" s="256"/>
      <c r="BN24" s="256"/>
      <c r="BO24" s="256"/>
      <c r="BP24" s="256"/>
      <c r="BQ24" s="256"/>
      <c r="BS24" s="228" t="str">
        <f t="shared" si="23"/>
        <v>无增减值</v>
      </c>
      <c r="BT24" s="257">
        <f t="shared" si="24"/>
        <v>0</v>
      </c>
      <c r="BU24" s="257">
        <f t="shared" si="25"/>
        <v>0</v>
      </c>
      <c r="BV24" s="258">
        <f t="shared" si="26"/>
        <v>0</v>
      </c>
      <c r="BW24" s="259" t="str">
        <f t="shared" si="18"/>
        <v/>
      </c>
      <c r="BX24" s="158" t="str">
        <f t="shared" si="19"/>
        <v/>
      </c>
      <c r="BY24" s="158" t="str">
        <f t="shared" si="20"/>
        <v/>
      </c>
      <c r="BZ24" s="228">
        <f>COUNT(BY25:BY$27)</f>
        <v>0</v>
      </c>
    </row>
    <row r="25" ht="15" customHeight="1" spans="1:83">
      <c r="A25" s="141"/>
      <c r="B25" s="145"/>
      <c r="C25" s="143"/>
      <c r="D25" s="143"/>
      <c r="E25" s="143"/>
      <c r="F25" s="143"/>
      <c r="G25" s="143"/>
      <c r="BA25" s="256"/>
      <c r="BB25" s="256"/>
      <c r="BC25" s="256"/>
      <c r="BD25" s="256"/>
      <c r="BE25" s="256"/>
      <c r="BF25" s="256"/>
      <c r="BG25" s="256"/>
      <c r="BH25" s="256"/>
      <c r="BI25" s="242"/>
      <c r="BJ25" s="256"/>
      <c r="BK25" s="256"/>
      <c r="BL25" s="256"/>
      <c r="BM25" s="256"/>
      <c r="BN25" s="256"/>
      <c r="BO25" s="256"/>
      <c r="BP25" s="256"/>
      <c r="BQ25" s="256"/>
      <c r="BS25" s="228" t="str">
        <f t="shared" si="23"/>
        <v>无增减值</v>
      </c>
      <c r="BT25" s="257">
        <f t="shared" si="24"/>
        <v>0</v>
      </c>
      <c r="BU25" s="257">
        <f t="shared" si="25"/>
        <v>0</v>
      </c>
      <c r="BV25" s="258">
        <f t="shared" si="26"/>
        <v>0</v>
      </c>
      <c r="BW25" s="259" t="str">
        <f t="shared" si="18"/>
        <v/>
      </c>
      <c r="BX25" s="158" t="str">
        <f t="shared" si="19"/>
        <v/>
      </c>
      <c r="BY25" s="158" t="str">
        <f t="shared" si="20"/>
        <v/>
      </c>
      <c r="BZ25" s="228">
        <f>COUNT(BY26:BY$27)</f>
        <v>0</v>
      </c>
    </row>
    <row r="26" ht="15" customHeight="1" spans="1:83">
      <c r="A26" s="260"/>
      <c r="B26" s="261"/>
      <c r="C26" s="143"/>
      <c r="D26" s="143"/>
      <c r="E26" s="143"/>
      <c r="F26" s="143"/>
      <c r="G26" s="143"/>
      <c r="BA26" s="256"/>
      <c r="BB26" s="256"/>
      <c r="BC26" s="256"/>
      <c r="BD26" s="256"/>
      <c r="BE26" s="256"/>
      <c r="BF26" s="256"/>
      <c r="BG26" s="256"/>
      <c r="BH26" s="256"/>
      <c r="BI26" s="242"/>
      <c r="BJ26" s="256"/>
      <c r="BK26" s="256"/>
      <c r="BL26" s="256"/>
      <c r="BM26" s="256"/>
      <c r="BN26" s="256"/>
      <c r="BO26" s="256"/>
      <c r="BP26" s="256"/>
      <c r="BQ26" s="256"/>
      <c r="BS26" s="228" t="str">
        <f t="shared" si="23"/>
        <v>无增减值</v>
      </c>
      <c r="BT26" s="257">
        <f t="shared" si="24"/>
        <v>0</v>
      </c>
      <c r="BU26" s="257">
        <f t="shared" si="25"/>
        <v>0</v>
      </c>
      <c r="BV26" s="258">
        <f t="shared" si="26"/>
        <v>0</v>
      </c>
      <c r="BW26" s="259" t="str">
        <f t="shared" si="18"/>
        <v/>
      </c>
      <c r="BX26" s="158" t="str">
        <f t="shared" si="19"/>
        <v/>
      </c>
      <c r="BY26" s="158" t="str">
        <f t="shared" si="20"/>
        <v/>
      </c>
      <c r="BZ26" s="228">
        <f>COUNT(BY27:BY$27)</f>
        <v>0</v>
      </c>
    </row>
    <row r="27" ht="15" customHeight="1" spans="1:83">
      <c r="A27" s="260"/>
      <c r="B27" s="261"/>
      <c r="C27" s="143"/>
      <c r="D27" s="143"/>
      <c r="E27" s="143"/>
      <c r="F27" s="143"/>
      <c r="G27" s="143"/>
      <c r="BA27" s="256"/>
      <c r="BB27" s="256"/>
      <c r="BC27" s="256"/>
      <c r="BD27" s="256"/>
      <c r="BE27" s="256"/>
      <c r="BF27" s="256"/>
      <c r="BG27" s="256"/>
      <c r="BH27" s="256"/>
      <c r="BI27" s="242"/>
      <c r="BJ27" s="256"/>
      <c r="BK27" s="256"/>
      <c r="BL27" s="256"/>
      <c r="BM27" s="256"/>
      <c r="BN27" s="256"/>
      <c r="BO27" s="256"/>
      <c r="BP27" s="256"/>
      <c r="BQ27" s="256"/>
      <c r="BS27" s="228" t="str">
        <f t="shared" si="23"/>
        <v>无增减值</v>
      </c>
      <c r="BT27" s="257">
        <f t="shared" si="24"/>
        <v>0</v>
      </c>
      <c r="BU27" s="257">
        <f t="shared" si="25"/>
        <v>0</v>
      </c>
      <c r="BV27" s="258">
        <f t="shared" si="26"/>
        <v>0</v>
      </c>
      <c r="BW27" s="259" t="str">
        <f t="shared" si="18"/>
        <v/>
      </c>
      <c r="BX27" s="158" t="str">
        <f t="shared" si="19"/>
        <v/>
      </c>
      <c r="BY27" s="158" t="str">
        <f t="shared" si="20"/>
        <v/>
      </c>
      <c r="BZ27" s="228">
        <f>COUNT(BY$27:BY28)</f>
        <v>1</v>
      </c>
    </row>
    <row r="28" s="73" customFormat="1" ht="15" customHeight="1" spans="1:83">
      <c r="A28" s="262" t="s">
        <v>1134</v>
      </c>
      <c r="B28" s="263" t="s">
        <v>316</v>
      </c>
      <c r="C28" s="264">
        <f>SUM(C7:C27)</f>
        <v>0</v>
      </c>
      <c r="D28" s="264">
        <f>SUM(D7:D27)</f>
        <v>0</v>
      </c>
      <c r="E28" s="264">
        <f>SUM(E7:E27)</f>
        <v>0</v>
      </c>
      <c r="F28" s="264">
        <f>E28-D28</f>
        <v>0</v>
      </c>
      <c r="G28" s="265" t="str">
        <f>IF(D28=0,"",F28/D28*100)</f>
        <v/>
      </c>
      <c r="BA28" s="266">
        <f t="shared" ref="BA28:BH28" si="27">SUM(BA7:BA27)</f>
        <v>0</v>
      </c>
      <c r="BB28" s="266">
        <f t="shared" si="27"/>
        <v>0</v>
      </c>
      <c r="BC28" s="266">
        <f t="shared" si="27"/>
        <v>0</v>
      </c>
      <c r="BD28" s="266">
        <f t="shared" si="27"/>
        <v>0</v>
      </c>
      <c r="BE28" s="266">
        <f t="shared" si="27"/>
        <v>0</v>
      </c>
      <c r="BF28" s="266">
        <f t="shared" si="27"/>
        <v>0</v>
      </c>
      <c r="BG28" s="266">
        <f t="shared" si="27"/>
        <v>0</v>
      </c>
      <c r="BH28" s="266">
        <f t="shared" si="27"/>
        <v>0</v>
      </c>
      <c r="BI28" s="267"/>
      <c r="BJ28" s="266">
        <f t="shared" ref="BJ28:BQ28" si="28">SUM(BJ7:BJ27)</f>
        <v>0</v>
      </c>
      <c r="BK28" s="266">
        <f t="shared" si="28"/>
        <v>0</v>
      </c>
      <c r="BL28" s="266">
        <f t="shared" si="28"/>
        <v>0</v>
      </c>
      <c r="BM28" s="266">
        <f t="shared" si="28"/>
        <v>0</v>
      </c>
      <c r="BN28" s="266">
        <f t="shared" si="28"/>
        <v>0</v>
      </c>
      <c r="BO28" s="266">
        <f t="shared" si="28"/>
        <v>0</v>
      </c>
      <c r="BP28" s="266">
        <f t="shared" si="28"/>
        <v>0</v>
      </c>
      <c r="BQ28" s="266">
        <f t="shared" si="28"/>
        <v>0</v>
      </c>
      <c r="BS28" s="268" t="str">
        <f t="shared" si="23"/>
        <v>无增减值</v>
      </c>
      <c r="BT28" s="269">
        <f t="shared" si="24"/>
        <v>0</v>
      </c>
      <c r="BU28" s="269">
        <f t="shared" si="25"/>
        <v>0</v>
      </c>
      <c r="BV28" s="270"/>
      <c r="BW28" s="247"/>
      <c r="BX28" s="247"/>
      <c r="BY28" s="268">
        <f>SUM(BY7:BY27)</f>
        <v>0</v>
      </c>
      <c r="BZ28" s="247"/>
      <c r="CA28" s="271"/>
      <c r="CB28" s="271"/>
      <c r="CC28" s="271"/>
      <c r="CD28" s="271"/>
      <c r="CE28" s="271"/>
    </row>
    <row r="29" ht="15" customHeight="1" spans="1:83">
      <c r="A29" s="75" t="str">
        <f>参数表!F$6</f>
        <v>产权持有单位填表人：贾广东</v>
      </c>
      <c r="B29" s="158"/>
      <c r="C29" s="158"/>
      <c r="D29" s="158"/>
      <c r="E29" s="272" t="str">
        <f>"评估人员："&amp;封面!$G$38</f>
        <v>评估人员：</v>
      </c>
      <c r="F29" s="158"/>
      <c r="G29" s="244"/>
    </row>
    <row r="30" ht="15" customHeight="1" spans="1:83">
      <c r="A30" s="75" t="str">
        <f>参数表!F$7</f>
        <v>填表日期：2025年9月20日</v>
      </c>
      <c r="B30" s="158"/>
      <c r="C30" s="158"/>
      <c r="D30" s="158"/>
      <c r="E30" s="158"/>
      <c r="F30" s="158"/>
    </row>
    <row r="31" customHeight="1" spans="1:83">
      <c r="A31" s="158"/>
    </row>
    <row r="32" customHeight="1" spans="1:83">
      <c r="A32" s="158"/>
    </row>
    <row r="33" customHeight="1" spans="1:6">
      <c r="A33" s="158"/>
      <c r="B33" s="158"/>
      <c r="C33" s="158"/>
      <c r="D33" s="158"/>
      <c r="E33" s="158"/>
      <c r="F33" s="158"/>
    </row>
    <row r="34" customHeight="1" spans="1:6">
      <c r="A34" s="158"/>
      <c r="B34" s="158"/>
      <c r="C34" s="158"/>
      <c r="D34" s="158"/>
      <c r="E34" s="158"/>
      <c r="F34" s="158"/>
    </row>
    <row r="35" customHeight="1" spans="1:6">
      <c r="A35" s="158"/>
      <c r="B35" s="158"/>
      <c r="C35" s="158"/>
      <c r="D35" s="158"/>
      <c r="E35" s="158"/>
      <c r="F35" s="158"/>
    </row>
    <row r="36" customHeight="1" spans="1:6">
      <c r="A36" s="158"/>
      <c r="B36" s="158"/>
      <c r="C36" s="158"/>
      <c r="D36" s="158"/>
      <c r="E36" s="158"/>
      <c r="F36" s="158"/>
    </row>
    <row r="37" customHeight="1" spans="1:6">
      <c r="A37" s="158"/>
      <c r="B37" s="158"/>
      <c r="C37" s="158"/>
      <c r="D37" s="158"/>
      <c r="E37" s="158"/>
      <c r="F37" s="158"/>
    </row>
    <row r="38" customHeight="1" spans="1:6">
      <c r="A38" s="158"/>
      <c r="B38" s="158"/>
      <c r="C38" s="158"/>
      <c r="D38" s="158"/>
      <c r="E38" s="158"/>
      <c r="F38" s="158"/>
    </row>
    <row r="39" customHeight="1" spans="1:6">
      <c r="A39" s="158"/>
      <c r="B39" s="158"/>
      <c r="C39" s="158"/>
      <c r="D39" s="158"/>
      <c r="E39" s="158"/>
      <c r="F39" s="158"/>
    </row>
    <row r="40" customHeight="1" spans="1:6">
      <c r="A40" s="158"/>
      <c r="B40" s="158"/>
      <c r="C40" s="158"/>
      <c r="D40" s="158"/>
      <c r="E40" s="158"/>
      <c r="F40" s="158"/>
    </row>
  </sheetData>
  <sheetProtection autoFilter="0"/>
  <mergeCells count="8">
    <mergeCell ref="A2:G2"/>
    <mergeCell ref="A3:G3"/>
    <mergeCell ref="BA4:BH4"/>
    <mergeCell ref="BJ4:BQ4"/>
    <mergeCell ref="BA5:BD5"/>
    <mergeCell ref="BE5:BH5"/>
    <mergeCell ref="BJ5:BM5"/>
    <mergeCell ref="BN5:BQ5"/>
  </mergeCells>
  <conditionalFormatting sqref="C7:G27">
    <cfRule type="expression" dxfId="3" priority="1">
      <formula>$D7+$E7=0</formula>
    </cfRule>
  </conditionalFormatting>
  <hyperlinks>
    <hyperlink ref="A1" location="索引目录!G20" display="返回索引页"/>
    <hyperlink ref="B1" location="评估结果分类汇总表!B85" display="返回"/>
    <hyperlink ref="B7" location="长期借款!B1" display="长期借款"/>
    <hyperlink ref="B8" location="应付债券!B1" display="应付债券"/>
    <hyperlink ref="B10" location="长期应付款!B1" display="长期应付款"/>
    <hyperlink ref="B11" location="预计负债!B1" display="预计负债"/>
    <hyperlink ref="B13" location="递延所得税负债!B1" display="递延所得税负债"/>
    <hyperlink ref="B14" location="其他非流动负债!B1" display="其他非流动负债"/>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3"/>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22.7" style="75" customWidth="1"/>
    <col min="3" max="4" width="9.1" style="75" customWidth="1"/>
    <col min="5" max="6" width="7.7" style="75" customWidth="1"/>
    <col min="7" max="8" width="4.6" style="75" customWidth="1" outlineLevel="1"/>
    <col min="9" max="9" width="6.1" style="75" customWidth="1" outlineLevel="1"/>
    <col min="10" max="10" width="12.6" style="75" customWidth="1" outlineLevel="1"/>
    <col min="11" max="11" width="12.6" style="76" customWidth="1" outlineLevel="1"/>
    <col min="12" max="13" width="12.6" style="75" customWidth="1"/>
    <col min="14" max="14" width="10.6" style="75" customWidth="1"/>
    <col min="15"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75" customWidth="1"/>
    <col min="61" max="61" width="11.5" style="75" customWidth="1"/>
    <col min="62" max="65" width="4.7" style="75" customWidth="1"/>
    <col min="66" max="66" width="6.7" style="7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2.45" customHeight="1" spans="1:77">
      <c r="A1" s="79" t="s">
        <v>1591</v>
      </c>
      <c r="B1" s="80" t="s">
        <v>1592</v>
      </c>
      <c r="C1" s="81"/>
      <c r="D1" s="81"/>
      <c r="E1" s="81"/>
      <c r="F1" s="81"/>
      <c r="G1" s="82"/>
      <c r="H1" s="82"/>
      <c r="I1" s="82"/>
      <c r="J1" s="81"/>
      <c r="K1" s="83"/>
      <c r="L1" s="81"/>
      <c r="M1" s="81"/>
      <c r="N1" s="81"/>
      <c r="BA1" s="84" t="str">
        <f>参数表!BA1</f>
        <v>注意：补充特殊事项、作价等均从BA列开始填写</v>
      </c>
      <c r="BB1" s="85"/>
      <c r="BC1" s="86"/>
      <c r="BD1" s="86"/>
      <c r="BE1" s="86"/>
      <c r="BF1" s="86"/>
      <c r="BG1" s="86"/>
      <c r="BH1" s="86"/>
      <c r="BI1" s="86"/>
      <c r="BJ1" s="86"/>
      <c r="BK1" s="86"/>
      <c r="BQ1" s="87"/>
      <c r="BR1" s="88"/>
      <c r="BS1" s="87"/>
      <c r="BT1" s="88"/>
      <c r="BU1" s="88"/>
      <c r="BV1" s="88"/>
      <c r="BW1" s="88"/>
      <c r="BX1" s="88"/>
      <c r="BY1" s="87"/>
    </row>
    <row r="2" s="71" customFormat="1" ht="30" customHeight="1" spans="1:77">
      <c r="A2" s="89" t="s">
        <v>5451</v>
      </c>
      <c r="B2" s="89"/>
      <c r="C2" s="89"/>
      <c r="D2" s="89"/>
      <c r="E2" s="89"/>
      <c r="F2" s="89"/>
      <c r="G2" s="89"/>
      <c r="H2" s="89"/>
      <c r="I2" s="89"/>
      <c r="J2" s="89"/>
      <c r="K2" s="89"/>
      <c r="L2" s="89"/>
      <c r="M2" s="89"/>
      <c r="N2" s="89"/>
      <c r="BA2" s="90" t="str">
        <f>参数表!BA2</f>
        <v>评估基准日：</v>
      </c>
      <c r="BB2" s="91" t="str">
        <f>参数表!$BB$2</f>
        <v>2025年7月31日</v>
      </c>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M3" s="95"/>
      <c r="N3" s="95"/>
      <c r="BA3" s="90" t="str">
        <f>参数表!BA3</f>
        <v>是否显示评估值：</v>
      </c>
      <c r="BB3" s="90" t="str">
        <f>参数表!$BB$3</f>
        <v>是</v>
      </c>
      <c r="BS3" s="78"/>
    </row>
    <row r="4" ht="15" customHeight="1" spans="1:77">
      <c r="A4" s="96"/>
      <c r="B4" s="94"/>
      <c r="C4" s="94"/>
      <c r="D4" s="94"/>
      <c r="E4" s="94"/>
      <c r="F4" s="94"/>
      <c r="G4" s="94"/>
      <c r="H4" s="94"/>
      <c r="I4" s="94"/>
      <c r="J4" s="94"/>
      <c r="K4" s="97"/>
      <c r="L4" s="95"/>
      <c r="M4" s="95"/>
      <c r="N4" s="98" t="str">
        <f>"表"&amp;$BA4</f>
        <v>表6-1</v>
      </c>
      <c r="BA4" s="99" t="str">
        <f>非流动负总!A7</f>
        <v>6-1</v>
      </c>
      <c r="BB4" s="100">
        <f>MAX(COUNTA(A7:A26),COUNTA(B7:B26),COUNTA(J7:J26),COUNTA(L7:L26))</f>
        <v>20</v>
      </c>
      <c r="BC4" s="101">
        <f>ROW(A6)+1</f>
        <v>7</v>
      </c>
      <c r="BD4" s="77"/>
      <c r="BE4" s="77"/>
      <c r="BS4" s="78"/>
    </row>
    <row r="5" ht="15" customHeight="1" spans="1:77">
      <c r="A5" s="102" t="str">
        <f>参数表!F3</f>
        <v>产权持有单位:中煤第五建设有限公司</v>
      </c>
      <c r="B5" s="103"/>
      <c r="C5" s="103"/>
      <c r="D5" s="103"/>
      <c r="E5" s="103"/>
      <c r="F5" s="103"/>
      <c r="G5" s="103"/>
      <c r="H5" s="103"/>
      <c r="I5" s="103"/>
      <c r="J5" s="103"/>
      <c r="K5" s="104"/>
      <c r="L5" s="103"/>
      <c r="M5" s="103"/>
      <c r="N5" s="98" t="s">
        <v>236</v>
      </c>
      <c r="BA5" s="103"/>
      <c r="BB5" s="105" t="str">
        <f ca="1">判断表!C118</f>
        <v>中煤第五建设有限公司第三工程处拟处置实物资产项目\[0000-3基础法明细表.xlsx]长期借款</v>
      </c>
      <c r="BC5" s="106">
        <f>IFERROR(SUMIF(BC7:BC26,"√",L7:L26)/L27,0)</f>
        <v>0</v>
      </c>
      <c r="BD5" s="107"/>
      <c r="BE5" s="107"/>
      <c r="BF5" s="108">
        <f>分类汇总!$I60</f>
        <v>0</v>
      </c>
      <c r="BG5" s="108">
        <f>分类汇总!$K60</f>
        <v>0</v>
      </c>
      <c r="BH5" s="109"/>
      <c r="BI5" s="109"/>
      <c r="BJ5" s="109"/>
      <c r="BK5" s="109"/>
      <c r="BL5" s="109"/>
      <c r="BM5" s="109"/>
      <c r="BN5" s="109"/>
      <c r="BO5" s="110"/>
      <c r="BP5" s="110"/>
      <c r="BQ5" s="111"/>
      <c r="BS5" s="78"/>
      <c r="BY5" s="111"/>
    </row>
    <row r="6" s="72" customFormat="1" ht="25.2" customHeight="1" spans="1:77">
      <c r="A6" s="112" t="s">
        <v>305</v>
      </c>
      <c r="B6" s="113" t="s">
        <v>5045</v>
      </c>
      <c r="C6" s="113" t="s">
        <v>1961</v>
      </c>
      <c r="D6" s="113" t="s">
        <v>3437</v>
      </c>
      <c r="E6" s="113" t="s">
        <v>5046</v>
      </c>
      <c r="F6" s="113" t="s">
        <v>5047</v>
      </c>
      <c r="G6" s="114" t="s">
        <v>1631</v>
      </c>
      <c r="H6" s="115" t="s">
        <v>1632</v>
      </c>
      <c r="I6" s="116" t="s">
        <v>3793</v>
      </c>
      <c r="J6" s="113" t="s">
        <v>1549</v>
      </c>
      <c r="K6" s="117" t="s">
        <v>1634</v>
      </c>
      <c r="L6" s="118" t="s">
        <v>1523</v>
      </c>
      <c r="M6" s="113" t="s">
        <v>1550</v>
      </c>
      <c r="N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5"/>
      <c r="E7" s="225"/>
      <c r="F7" s="225"/>
      <c r="G7" s="127"/>
      <c r="H7" s="127" t="str">
        <f>IFERROR(VLOOKUP(G7,参数表!$H$2:$I$50,2,FALSE),"")</f>
        <v/>
      </c>
      <c r="I7" s="128" t="str">
        <f>IFERROR(IF(OR(G7="人民币",G7=""),"",L7/H7),"")</f>
        <v/>
      </c>
      <c r="J7" s="129"/>
      <c r="K7" s="130"/>
      <c r="L7" s="129" t="str">
        <f>IF(B7="","",J7+K7)</f>
        <v/>
      </c>
      <c r="M7" s="129" t="str">
        <f t="shared" ref="M7:M26" si="0">IF(B7="","",IF($BB$3="是",L7,""))</f>
        <v/>
      </c>
      <c r="N7" s="131"/>
      <c r="BA7" s="78"/>
      <c r="BB7" s="132" t="s">
        <v>5452</v>
      </c>
      <c r="BC7" s="133"/>
      <c r="BD7" s="132" t="str">
        <f>IF(OR(B7="",BC7=""),"",COUNTIF(BC$7:BC7,"√"))</f>
        <v/>
      </c>
      <c r="BE7" s="134" t="str">
        <f t="shared" ref="BE7:BE26" si="1">IF(BC7="","",BB7&amp;"︱"&amp;B7&amp;"︱"&amp;TEXT(J7,"#,##0.00"))</f>
        <v/>
      </c>
      <c r="BF7" s="135" t="str">
        <f>IF($B7="","",IF(BF$5=0,"OK","出错"))</f>
        <v/>
      </c>
      <c r="BG7" s="135" t="str">
        <f>IF($B7="","",IF(BG$5=0,"OK","出错"))</f>
        <v/>
      </c>
      <c r="BH7" s="136"/>
      <c r="BI7" s="137"/>
      <c r="BJ7" s="136"/>
      <c r="BK7" s="136"/>
      <c r="BL7" s="136"/>
      <c r="BM7" s="136"/>
      <c r="BN7" s="136"/>
      <c r="BO7" s="137"/>
      <c r="BP7" s="137"/>
      <c r="BR7" s="134" t="str">
        <f>IF(COUNTIF(BR$6:BR6,B7)&gt;0,"",B7)&amp;""</f>
        <v/>
      </c>
      <c r="BS7" s="138">
        <f>SUMIF(B$7:B$26,BR7,L$7:L$26)</f>
        <v>0</v>
      </c>
      <c r="BT7" s="132">
        <f t="shared" ref="BT7" si="2">RANK(BS7,BS$7:BS$26)</f>
        <v>1</v>
      </c>
      <c r="BU7" s="138">
        <f>SUMIF(B$7:B$26,BR7,M$7:M$26)</f>
        <v>0</v>
      </c>
      <c r="BV7" s="132">
        <f>RANK(BU7,BU$7:BU$26)</f>
        <v>1</v>
      </c>
      <c r="BW7" s="138">
        <f>SUM(BS7:BS26)</f>
        <v>0</v>
      </c>
      <c r="BX7" s="138"/>
      <c r="BY7" s="138"/>
    </row>
    <row r="8" ht="15" customHeight="1" spans="1:77">
      <c r="A8" s="123" t="str">
        <f>IF(B8="","",COUNT(A$6:A7)+1)</f>
        <v/>
      </c>
      <c r="B8" s="139"/>
      <c r="C8" s="140"/>
      <c r="D8" s="140"/>
      <c r="E8" s="141"/>
      <c r="F8" s="141"/>
      <c r="G8" s="142"/>
      <c r="H8" s="127" t="str">
        <f>IFERROR(VLOOKUP(G8,参数表!$H$2:$I$50,2,FALSE),"")</f>
        <v/>
      </c>
      <c r="I8" s="128" t="str">
        <f t="shared" ref="I8:I26" si="3">IFERROR(IF(OR(G8="人民币",G8=""),"",L8/H8),"")</f>
        <v/>
      </c>
      <c r="J8" s="143"/>
      <c r="K8" s="144"/>
      <c r="L8" s="129" t="str">
        <f t="shared" ref="L8:L26" si="4">IF(B8="","",J8+K8)</f>
        <v/>
      </c>
      <c r="M8" s="129" t="str">
        <f t="shared" si="0"/>
        <v/>
      </c>
      <c r="N8" s="145"/>
      <c r="BA8" s="78"/>
      <c r="BB8" s="132" t="s">
        <v>5453</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R8" s="134" t="str">
        <f>IF(COUNTIF(BR$6:BR7,B8)&gt;0,"",B8)&amp;""</f>
        <v/>
      </c>
      <c r="BS8" s="138">
        <f t="shared" ref="BS8:BS26" si="6">SUMIF(B$7:B$26,BR8,L$7:L$26)</f>
        <v>0</v>
      </c>
      <c r="BT8" s="132">
        <f t="shared" ref="BT8:BT26" si="7">RANK(BS8,BS$7:BS$26)</f>
        <v>1</v>
      </c>
      <c r="BU8" s="138">
        <f t="shared" ref="BU8:BU26" si="8">SUMIF(B$7:B$26,BR8,M$7:M$26)</f>
        <v>0</v>
      </c>
      <c r="BV8" s="132">
        <f t="shared" ref="BV8:BV26" si="9">RANK(BU8,BU$7:BU$26)</f>
        <v>1</v>
      </c>
      <c r="BW8" s="138">
        <f>SUM(BU7:BU26)</f>
        <v>0</v>
      </c>
      <c r="BX8" s="138"/>
      <c r="BY8" s="138"/>
    </row>
    <row r="9" ht="15" customHeight="1" spans="1:77">
      <c r="A9" s="123" t="str">
        <f>IF(B9="","",COUNT(A$6:A8)+1)</f>
        <v/>
      </c>
      <c r="B9" s="139"/>
      <c r="C9" s="140"/>
      <c r="D9" s="140"/>
      <c r="E9" s="141"/>
      <c r="F9" s="141"/>
      <c r="G9" s="142"/>
      <c r="H9" s="127" t="str">
        <f>IFERROR(VLOOKUP(G9,参数表!$H$2:$I$50,2,FALSE),"")</f>
        <v/>
      </c>
      <c r="I9" s="128" t="str">
        <f t="shared" si="3"/>
        <v/>
      </c>
      <c r="J9" s="143"/>
      <c r="K9" s="144"/>
      <c r="L9" s="129" t="str">
        <f t="shared" si="4"/>
        <v/>
      </c>
      <c r="M9" s="129" t="str">
        <f t="shared" si="0"/>
        <v/>
      </c>
      <c r="N9" s="145"/>
      <c r="BA9" s="78"/>
      <c r="BB9" s="132" t="s">
        <v>5454</v>
      </c>
      <c r="BC9" s="133"/>
      <c r="BD9" s="132" t="str">
        <f>IF(OR(B9="",BC9=""),"",COUNTIF(BC$7:BC9,"√"))</f>
        <v/>
      </c>
      <c r="BE9" s="134" t="str">
        <f t="shared" si="1"/>
        <v/>
      </c>
      <c r="BF9" s="135" t="str">
        <f t="shared" si="5"/>
        <v/>
      </c>
      <c r="BG9" s="135" t="str">
        <f t="shared" si="5"/>
        <v/>
      </c>
      <c r="BH9" s="136"/>
      <c r="BI9" s="137"/>
      <c r="BJ9" s="136"/>
      <c r="BK9" s="136"/>
      <c r="BL9" s="136"/>
      <c r="BM9" s="136"/>
      <c r="BN9" s="136"/>
      <c r="BO9" s="137"/>
      <c r="BP9" s="137"/>
      <c r="BR9" s="134" t="str">
        <f>IF(COUNTIF(BR$6:BR8,B9)&gt;0,"",B9)&amp;""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0"/>
      <c r="E10" s="141"/>
      <c r="F10" s="141"/>
      <c r="G10" s="142"/>
      <c r="H10" s="127" t="str">
        <f>IFERROR(VLOOKUP(G10,参数表!$H$2:$I$50,2,FALSE),"")</f>
        <v/>
      </c>
      <c r="I10" s="128" t="str">
        <f t="shared" si="3"/>
        <v/>
      </c>
      <c r="J10" s="143"/>
      <c r="K10" s="144"/>
      <c r="L10" s="129" t="str">
        <f t="shared" si="4"/>
        <v/>
      </c>
      <c r="M10" s="129" t="str">
        <f t="shared" si="0"/>
        <v/>
      </c>
      <c r="N10" s="145"/>
      <c r="BA10" s="78"/>
      <c r="BB10" s="132" t="s">
        <v>5455</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R10" s="134" t="str">
        <f>IF(COUNTIF(BR$6:BR9,B10)&gt;0,"",B10)&amp;""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0"/>
      <c r="E11" s="141"/>
      <c r="F11" s="141"/>
      <c r="G11" s="142"/>
      <c r="H11" s="127" t="str">
        <f>IFERROR(VLOOKUP(G11,参数表!$H$2:$I$50,2,FALSE),"")</f>
        <v/>
      </c>
      <c r="I11" s="128" t="str">
        <f t="shared" si="3"/>
        <v/>
      </c>
      <c r="J11" s="143"/>
      <c r="K11" s="144"/>
      <c r="L11" s="129" t="str">
        <f t="shared" si="4"/>
        <v/>
      </c>
      <c r="M11" s="129" t="str">
        <f t="shared" si="0"/>
        <v/>
      </c>
      <c r="N11" s="145"/>
      <c r="BA11" s="78"/>
      <c r="BB11" s="132" t="s">
        <v>5456</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R11" s="134" t="str">
        <f>IF(COUNTIF(BR$6:BR10,B11)&gt;0,"",B11)&amp;""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0"/>
      <c r="E12" s="141"/>
      <c r="F12" s="141"/>
      <c r="G12" s="142"/>
      <c r="H12" s="127" t="str">
        <f>IFERROR(VLOOKUP(G12,参数表!$H$2:$I$50,2,FALSE),"")</f>
        <v/>
      </c>
      <c r="I12" s="128" t="str">
        <f t="shared" si="3"/>
        <v/>
      </c>
      <c r="J12" s="143"/>
      <c r="K12" s="144"/>
      <c r="L12" s="129" t="str">
        <f t="shared" si="4"/>
        <v/>
      </c>
      <c r="M12" s="129" t="str">
        <f t="shared" si="0"/>
        <v/>
      </c>
      <c r="N12" s="145"/>
      <c r="BA12" s="78"/>
      <c r="BB12" s="132" t="s">
        <v>5457</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R12" s="134" t="str">
        <f>IF(COUNTIF(BR$6:BR11,B12)&gt;0,"",B12)&amp;""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0"/>
      <c r="E13" s="141"/>
      <c r="F13" s="141"/>
      <c r="G13" s="142"/>
      <c r="H13" s="127" t="str">
        <f>IFERROR(VLOOKUP(G13,参数表!$H$2:$I$50,2,FALSE),"")</f>
        <v/>
      </c>
      <c r="I13" s="128" t="str">
        <f t="shared" si="3"/>
        <v/>
      </c>
      <c r="J13" s="143"/>
      <c r="K13" s="144"/>
      <c r="L13" s="129" t="str">
        <f t="shared" si="4"/>
        <v/>
      </c>
      <c r="M13" s="129" t="str">
        <f t="shared" si="0"/>
        <v/>
      </c>
      <c r="N13" s="145"/>
      <c r="BA13" s="78"/>
      <c r="BB13" s="132" t="s">
        <v>5458</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R13" s="134" t="str">
        <f>IF(COUNTIF(BR$6:BR12,B13)&gt;0,"",B13)&amp;""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0"/>
      <c r="E14" s="141"/>
      <c r="F14" s="141"/>
      <c r="G14" s="142"/>
      <c r="H14" s="127" t="str">
        <f>IFERROR(VLOOKUP(G14,参数表!$H$2:$I$50,2,FALSE),"")</f>
        <v/>
      </c>
      <c r="I14" s="128" t="str">
        <f t="shared" si="3"/>
        <v/>
      </c>
      <c r="J14" s="143"/>
      <c r="K14" s="144"/>
      <c r="L14" s="129" t="str">
        <f t="shared" si="4"/>
        <v/>
      </c>
      <c r="M14" s="129" t="str">
        <f t="shared" si="0"/>
        <v/>
      </c>
      <c r="N14" s="145"/>
      <c r="BA14" s="78"/>
      <c r="BB14" s="132" t="s">
        <v>5459</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R14" s="134" t="str">
        <f>IF(COUNTIF(BR$6:BR13,B14)&gt;0,"",B14)&amp;""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0"/>
      <c r="E15" s="141"/>
      <c r="F15" s="141"/>
      <c r="G15" s="142"/>
      <c r="H15" s="127" t="str">
        <f>IFERROR(VLOOKUP(G15,参数表!$H$2:$I$50,2,FALSE),"")</f>
        <v/>
      </c>
      <c r="I15" s="128" t="str">
        <f t="shared" si="3"/>
        <v/>
      </c>
      <c r="J15" s="143"/>
      <c r="K15" s="144"/>
      <c r="L15" s="129" t="str">
        <f t="shared" si="4"/>
        <v/>
      </c>
      <c r="M15" s="129" t="str">
        <f t="shared" si="0"/>
        <v/>
      </c>
      <c r="N15" s="145"/>
      <c r="BA15" s="78"/>
      <c r="BB15" s="132" t="s">
        <v>5460</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R15" s="134" t="str">
        <f>IF(COUNTIF(BR$6:BR14,B15)&gt;0,"",B15)&amp;""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0"/>
      <c r="E16" s="141"/>
      <c r="F16" s="141"/>
      <c r="G16" s="142"/>
      <c r="H16" s="127" t="str">
        <f>IFERROR(VLOOKUP(G16,参数表!$H$2:$I$50,2,FALSE),"")</f>
        <v/>
      </c>
      <c r="I16" s="128" t="str">
        <f t="shared" si="3"/>
        <v/>
      </c>
      <c r="J16" s="143"/>
      <c r="K16" s="144"/>
      <c r="L16" s="129" t="str">
        <f t="shared" si="4"/>
        <v/>
      </c>
      <c r="M16" s="129" t="str">
        <f t="shared" si="0"/>
        <v/>
      </c>
      <c r="N16" s="145"/>
      <c r="BA16" s="78"/>
      <c r="BB16" s="132" t="s">
        <v>5461</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R16" s="134" t="str">
        <f>IF(COUNTIF(BR$6:BR15,B16)&gt;0,"",B16)&amp;""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0"/>
      <c r="E17" s="141"/>
      <c r="F17" s="141"/>
      <c r="G17" s="142"/>
      <c r="H17" s="127" t="str">
        <f>IFERROR(VLOOKUP(G17,参数表!$H$2:$I$50,2,FALSE),"")</f>
        <v/>
      </c>
      <c r="I17" s="128" t="str">
        <f t="shared" si="3"/>
        <v/>
      </c>
      <c r="J17" s="143"/>
      <c r="K17" s="144"/>
      <c r="L17" s="129" t="str">
        <f t="shared" si="4"/>
        <v/>
      </c>
      <c r="M17" s="129" t="str">
        <f t="shared" si="0"/>
        <v/>
      </c>
      <c r="N17" s="145"/>
      <c r="BA17" s="78"/>
      <c r="BB17" s="132" t="s">
        <v>5462</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R17" s="134" t="str">
        <f>IF(COUNTIF(BR$6:BR16,B17)&gt;0,"",B17)&amp;""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0"/>
      <c r="E18" s="141"/>
      <c r="F18" s="141"/>
      <c r="G18" s="142"/>
      <c r="H18" s="127" t="str">
        <f>IFERROR(VLOOKUP(G18,参数表!$H$2:$I$50,2,FALSE),"")</f>
        <v/>
      </c>
      <c r="I18" s="128" t="str">
        <f t="shared" si="3"/>
        <v/>
      </c>
      <c r="J18" s="143"/>
      <c r="K18" s="144"/>
      <c r="L18" s="129" t="str">
        <f t="shared" si="4"/>
        <v/>
      </c>
      <c r="M18" s="129" t="str">
        <f t="shared" si="0"/>
        <v/>
      </c>
      <c r="N18" s="145"/>
      <c r="BA18" s="78"/>
      <c r="BB18" s="132" t="s">
        <v>5463</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R18" s="134" t="str">
        <f>IF(COUNTIF(BR$6:BR17,B18)&gt;0,"",B18)&amp;""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0"/>
      <c r="E19" s="141"/>
      <c r="F19" s="141"/>
      <c r="G19" s="142"/>
      <c r="H19" s="127" t="str">
        <f>IFERROR(VLOOKUP(G19,参数表!$H$2:$I$50,2,FALSE),"")</f>
        <v/>
      </c>
      <c r="I19" s="128" t="str">
        <f t="shared" si="3"/>
        <v/>
      </c>
      <c r="J19" s="143"/>
      <c r="K19" s="144"/>
      <c r="L19" s="129" t="str">
        <f t="shared" si="4"/>
        <v/>
      </c>
      <c r="M19" s="129" t="str">
        <f t="shared" si="0"/>
        <v/>
      </c>
      <c r="N19" s="145"/>
      <c r="BA19" s="78"/>
      <c r="BB19" s="132" t="s">
        <v>5464</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R19" s="134" t="str">
        <f>IF(COUNTIF(BR$6:BR18,B19)&gt;0,"",B19)&amp;""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0"/>
      <c r="E20" s="141"/>
      <c r="F20" s="141"/>
      <c r="G20" s="142"/>
      <c r="H20" s="127" t="str">
        <f>IFERROR(VLOOKUP(G20,参数表!$H$2:$I$50,2,FALSE),"")</f>
        <v/>
      </c>
      <c r="I20" s="128" t="str">
        <f t="shared" si="3"/>
        <v/>
      </c>
      <c r="J20" s="143"/>
      <c r="K20" s="144"/>
      <c r="L20" s="129" t="str">
        <f t="shared" si="4"/>
        <v/>
      </c>
      <c r="M20" s="129" t="str">
        <f t="shared" si="0"/>
        <v/>
      </c>
      <c r="N20" s="145"/>
      <c r="BA20" s="78"/>
      <c r="BB20" s="132" t="s">
        <v>5465</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R20" s="134" t="str">
        <f>IF(COUNTIF(BR$6:BR19,B20)&gt;0,"",B20)&amp;""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0"/>
      <c r="E21" s="141"/>
      <c r="F21" s="141"/>
      <c r="G21" s="142"/>
      <c r="H21" s="127" t="str">
        <f>IFERROR(VLOOKUP(G21,参数表!$H$2:$I$50,2,FALSE),"")</f>
        <v/>
      </c>
      <c r="I21" s="128" t="str">
        <f t="shared" si="3"/>
        <v/>
      </c>
      <c r="J21" s="143"/>
      <c r="K21" s="144"/>
      <c r="L21" s="129" t="str">
        <f t="shared" si="4"/>
        <v/>
      </c>
      <c r="M21" s="129" t="str">
        <f t="shared" si="0"/>
        <v/>
      </c>
      <c r="N21" s="145"/>
      <c r="BA21" s="78"/>
      <c r="BB21" s="132" t="s">
        <v>5466</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R21" s="134" t="str">
        <f>IF(COUNTIF(BR$6:BR20,B21)&gt;0,"",B21)&amp;""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0"/>
      <c r="E22" s="141"/>
      <c r="F22" s="141"/>
      <c r="G22" s="142"/>
      <c r="H22" s="127" t="str">
        <f>IFERROR(VLOOKUP(G22,参数表!$H$2:$I$50,2,FALSE),"")</f>
        <v/>
      </c>
      <c r="I22" s="128" t="str">
        <f t="shared" si="3"/>
        <v/>
      </c>
      <c r="J22" s="143"/>
      <c r="K22" s="144"/>
      <c r="L22" s="129" t="str">
        <f t="shared" si="4"/>
        <v/>
      </c>
      <c r="M22" s="129" t="str">
        <f t="shared" si="0"/>
        <v/>
      </c>
      <c r="N22" s="145"/>
      <c r="BA22" s="78"/>
      <c r="BB22" s="132" t="s">
        <v>5467</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R22" s="134" t="str">
        <f>IF(COUNTIF(BR$6:BR21,B22)&gt;0,"",B22)&amp;""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0"/>
      <c r="E23" s="141"/>
      <c r="F23" s="141"/>
      <c r="G23" s="142"/>
      <c r="H23" s="127" t="str">
        <f>IFERROR(VLOOKUP(G23,参数表!$H$2:$I$50,2,FALSE),"")</f>
        <v/>
      </c>
      <c r="I23" s="128" t="str">
        <f t="shared" si="3"/>
        <v/>
      </c>
      <c r="J23" s="143"/>
      <c r="K23" s="144"/>
      <c r="L23" s="129" t="str">
        <f t="shared" si="4"/>
        <v/>
      </c>
      <c r="M23" s="129" t="str">
        <f t="shared" si="0"/>
        <v/>
      </c>
      <c r="N23" s="145"/>
      <c r="BA23" s="78"/>
      <c r="BB23" s="132" t="s">
        <v>5468</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R23" s="134" t="str">
        <f>IF(COUNTIF(BR$6:BR22,B23)&gt;0,"",B23)&amp;""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0"/>
      <c r="E24" s="141"/>
      <c r="F24" s="141"/>
      <c r="G24" s="142"/>
      <c r="H24" s="127" t="str">
        <f>IFERROR(VLOOKUP(G24,参数表!$H$2:$I$50,2,FALSE),"")</f>
        <v/>
      </c>
      <c r="I24" s="128" t="str">
        <f t="shared" si="3"/>
        <v/>
      </c>
      <c r="J24" s="143"/>
      <c r="K24" s="144"/>
      <c r="L24" s="129" t="str">
        <f t="shared" si="4"/>
        <v/>
      </c>
      <c r="M24" s="129" t="str">
        <f t="shared" si="0"/>
        <v/>
      </c>
      <c r="N24" s="145"/>
      <c r="BA24" s="78"/>
      <c r="BB24" s="132" t="s">
        <v>5469</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R24" s="134" t="str">
        <f>IF(COUNTIF(BR$6:BR23,B24)&gt;0,"",B24)&amp;""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0"/>
      <c r="E25" s="141"/>
      <c r="F25" s="141"/>
      <c r="G25" s="142"/>
      <c r="H25" s="127" t="str">
        <f>IFERROR(VLOOKUP(G25,参数表!$H$2:$I$50,2,FALSE),"")</f>
        <v/>
      </c>
      <c r="I25" s="128" t="str">
        <f t="shared" si="3"/>
        <v/>
      </c>
      <c r="J25" s="143"/>
      <c r="K25" s="144"/>
      <c r="L25" s="129" t="str">
        <f t="shared" si="4"/>
        <v/>
      </c>
      <c r="M25" s="129" t="str">
        <f t="shared" si="0"/>
        <v/>
      </c>
      <c r="N25" s="145"/>
      <c r="BA25" s="78"/>
      <c r="BB25" s="132" t="s">
        <v>5470</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R25" s="134" t="str">
        <f>IF(COUNTIF(BR$6:BR24,B25)&gt;0,"",B25)&amp;""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5"/>
      <c r="E26" s="126"/>
      <c r="F26" s="126"/>
      <c r="G26" s="127"/>
      <c r="H26" s="127" t="str">
        <f>IFERROR(VLOOKUP(G26,参数表!$H$2:$I$50,2,FALSE),"")</f>
        <v/>
      </c>
      <c r="I26" s="128" t="str">
        <f t="shared" si="3"/>
        <v/>
      </c>
      <c r="J26" s="129"/>
      <c r="K26" s="130"/>
      <c r="L26" s="129" t="str">
        <f t="shared" si="4"/>
        <v/>
      </c>
      <c r="M26" s="129" t="str">
        <f t="shared" si="0"/>
        <v/>
      </c>
      <c r="N26" s="131"/>
      <c r="BA26" s="78"/>
      <c r="BB26" s="132" t="s">
        <v>5471</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R26" s="134" t="str">
        <f>IF(COUNTIF(BR$6:BR25,B26)&gt;0,"",B26)&amp;""</f>
        <v/>
      </c>
      <c r="BS26" s="138">
        <f t="shared" si="6"/>
        <v>0</v>
      </c>
      <c r="BT26" s="132">
        <f t="shared" si="7"/>
        <v>1</v>
      </c>
      <c r="BU26" s="138">
        <f t="shared" si="8"/>
        <v>0</v>
      </c>
      <c r="BV26" s="132">
        <f t="shared" si="9"/>
        <v>1</v>
      </c>
      <c r="BW26" s="133"/>
      <c r="BX26" s="133"/>
    </row>
    <row r="27" s="73" customFormat="1" ht="15" customHeight="1" spans="1:77">
      <c r="A27" s="149" t="s">
        <v>4984</v>
      </c>
      <c r="B27" s="149"/>
      <c r="C27" s="226"/>
      <c r="D27" s="226"/>
      <c r="E27" s="149"/>
      <c r="F27" s="149"/>
      <c r="G27" s="151"/>
      <c r="H27" s="151"/>
      <c r="I27" s="151"/>
      <c r="J27" s="152">
        <f>SUM(J7:J26)</f>
        <v>0</v>
      </c>
      <c r="K27" s="153"/>
      <c r="L27" s="152">
        <f>SUM(L7:L26)</f>
        <v>0</v>
      </c>
      <c r="M27" s="152">
        <f>SUM(M7:M26)</f>
        <v>0</v>
      </c>
      <c r="N27" s="151"/>
      <c r="BF27" s="75"/>
      <c r="BG27" s="75"/>
      <c r="BH27" s="75"/>
      <c r="BI27" s="75"/>
      <c r="BJ27" s="75"/>
      <c r="BK27" s="75"/>
      <c r="BL27" s="75"/>
      <c r="BM27" s="75"/>
      <c r="BN27" s="75"/>
      <c r="BO27" s="75"/>
      <c r="BP27" s="75"/>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4"/>
      <c r="J28" s="103"/>
      <c r="K28" s="104"/>
      <c r="L28" s="103"/>
      <c r="M28" s="156" t="str">
        <f>"评估人员："&amp;封面!$G$38</f>
        <v>评估人员：</v>
      </c>
      <c r="N28" s="103"/>
    </row>
    <row r="29" customHeight="1" spans="1:77">
      <c r="A29" s="102" t="str">
        <f>参数表!F$7</f>
        <v>填表日期：2025年9月20日</v>
      </c>
      <c r="B29" s="154"/>
      <c r="C29" s="154"/>
      <c r="D29" s="154"/>
      <c r="E29" s="154"/>
      <c r="F29" s="154"/>
      <c r="G29" s="154"/>
      <c r="H29" s="154"/>
      <c r="I29" s="154"/>
      <c r="J29" s="103"/>
      <c r="K29" s="104"/>
      <c r="L29" s="103"/>
      <c r="M29" s="103"/>
      <c r="N29" s="103"/>
    </row>
    <row r="30" hidden="1" customHeight="1" outlineLevel="1" spans="1:77">
      <c r="A30" s="157"/>
      <c r="B30" s="154" t="s">
        <v>1673</v>
      </c>
      <c r="C30" s="158"/>
      <c r="D30" s="158"/>
      <c r="E30" s="158"/>
      <c r="F30" s="158"/>
      <c r="G30" s="158"/>
      <c r="H30" s="158"/>
      <c r="I30" s="158"/>
      <c r="J30" s="159">
        <f>SUMIF($BA7:$BA26,$BA30,J7:J26)</f>
        <v>0</v>
      </c>
      <c r="K30" s="202"/>
      <c r="L30" s="159">
        <f>SUMIF($BA7:$BA26,$BA30,L7:L26)</f>
        <v>0</v>
      </c>
      <c r="M30" s="159">
        <f>SUMIF($BA7:$BA26,$BA30,M7:M26)</f>
        <v>0</v>
      </c>
      <c r="BA30" s="161" t="s">
        <v>1674</v>
      </c>
      <c r="BH30" s="162" t="s">
        <v>1675</v>
      </c>
      <c r="BI30" s="163"/>
      <c r="BJ30" s="162" t="s">
        <v>1675</v>
      </c>
      <c r="BK30" s="162" t="s">
        <v>1675</v>
      </c>
      <c r="BL30" s="162" t="s">
        <v>1675</v>
      </c>
      <c r="BM30" s="162" t="s">
        <v>1674</v>
      </c>
      <c r="BN30" s="162" t="s">
        <v>1674</v>
      </c>
    </row>
    <row r="31" hidden="1" customHeight="1" outlineLevel="1" spans="1:77">
      <c r="A31" s="157"/>
      <c r="B31" s="154" t="s">
        <v>1676</v>
      </c>
      <c r="C31" s="158"/>
      <c r="D31" s="158"/>
      <c r="E31" s="158"/>
      <c r="F31" s="158"/>
      <c r="G31" s="158"/>
      <c r="H31" s="158"/>
      <c r="I31" s="158"/>
      <c r="J31" s="159">
        <f>J27-J30</f>
        <v>0</v>
      </c>
      <c r="K31" s="202"/>
      <c r="L31" s="159">
        <f>L27-L30</f>
        <v>0</v>
      </c>
      <c r="M31" s="159">
        <f>M27-M30</f>
        <v>0</v>
      </c>
      <c r="BA31" s="161" t="s">
        <v>1677</v>
      </c>
      <c r="BH31" s="162" t="s">
        <v>1678</v>
      </c>
      <c r="BI31" s="163"/>
      <c r="BJ31" s="162" t="s">
        <v>1678</v>
      </c>
      <c r="BK31" s="162" t="s">
        <v>1678</v>
      </c>
      <c r="BL31" s="162" t="s">
        <v>1678</v>
      </c>
      <c r="BM31" s="162" t="s">
        <v>1677</v>
      </c>
      <c r="BN31" s="162" t="s">
        <v>1677</v>
      </c>
    </row>
    <row r="32" customHeight="1" collapsed="1" spans="1:77">
      <c r="A32" s="157"/>
      <c r="B32" s="158"/>
      <c r="C32" s="158"/>
      <c r="D32" s="158"/>
      <c r="E32" s="158"/>
      <c r="F32" s="158"/>
      <c r="G32" s="158"/>
      <c r="H32" s="158"/>
      <c r="I32" s="158"/>
    </row>
    <row r="33" customHeight="1" spans="1:9">
      <c r="A33" s="157"/>
      <c r="B33" s="158"/>
      <c r="C33" s="158"/>
      <c r="D33" s="158"/>
      <c r="E33" s="158"/>
      <c r="F33" s="158"/>
      <c r="G33" s="158"/>
      <c r="H33" s="158"/>
      <c r="I33" s="158"/>
    </row>
    <row r="34" customHeight="1" spans="1:9">
      <c r="A34" s="157"/>
      <c r="B34" s="158"/>
      <c r="C34" s="158"/>
      <c r="D34" s="158"/>
      <c r="E34" s="158"/>
      <c r="F34" s="158"/>
      <c r="G34" s="158"/>
      <c r="H34" s="158"/>
      <c r="I34" s="158"/>
    </row>
    <row r="35" customHeight="1" spans="1:9">
      <c r="A35" s="157"/>
      <c r="B35" s="158"/>
      <c r="C35" s="158"/>
      <c r="D35" s="158"/>
      <c r="E35" s="158"/>
      <c r="F35" s="158"/>
      <c r="G35" s="158"/>
      <c r="H35" s="158"/>
      <c r="I35" s="158"/>
    </row>
    <row r="36" customHeight="1" spans="1:9">
      <c r="A36" s="157"/>
      <c r="B36" s="158"/>
      <c r="C36" s="158"/>
      <c r="D36" s="158"/>
      <c r="E36" s="158"/>
      <c r="F36" s="158"/>
      <c r="G36" s="158"/>
      <c r="H36" s="158"/>
      <c r="I36" s="158"/>
    </row>
    <row r="37" customHeight="1" spans="1:9">
      <c r="G37" s="158"/>
      <c r="H37" s="158"/>
      <c r="I37" s="158"/>
    </row>
  </sheetData>
  <sheetProtection autoFilter="0"/>
  <mergeCells count="6">
    <mergeCell ref="A2:N2"/>
    <mergeCell ref="A3:N3"/>
    <mergeCell ref="BW7:BY7"/>
    <mergeCell ref="BW8:BY8"/>
    <mergeCell ref="BX14:BY14"/>
    <mergeCell ref="A27:B27"/>
  </mergeCells>
  <conditionalFormatting sqref="BI7:BI26">
    <cfRule type="expression" dxfId="5" priority="8" stopIfTrue="1">
      <formula>AND(BH7="有",BI7="")</formula>
    </cfRule>
  </conditionalFormatting>
  <conditionalFormatting sqref="BO7:BO26">
    <cfRule type="expression" dxfId="5" priority="5"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H7:BH26 BJ7:BN26">
    <cfRule type="expression" dxfId="5" priority="11" stopIfTrue="1">
      <formula>AND($B7&lt;&gt;"",BH7="")</formula>
    </cfRule>
  </conditionalFormatting>
  <dataValidations count="4">
    <dataValidation type="list" allowBlank="1" showInputMessage="1" showErrorMessage="1" sqref="G7:G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20" display="返回索引页"/>
    <hyperlink ref="B1" location="'非流动负债汇总 '!B6"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4"/>
  <dimension ref="A1:BZ37"/>
  <sheetViews>
    <sheetView showGridLines="0" workbookViewId="0">
      <pane xSplit="2" ySplit="7" topLeftCell="C8" activePane="bottomRight" state="frozen"/>
      <selection/>
      <selection pane="topRight"/>
      <selection pane="bottomLeft"/>
      <selection pane="bottomRight" activeCell="E45" sqref="E45"/>
    </sheetView>
  </sheetViews>
  <sheetFormatPr defaultColWidth="8.7" defaultRowHeight="13.2"/>
  <cols>
    <col min="1" max="1" width="7.6" style="74" customWidth="1"/>
    <col min="2" max="2" width="25" style="75" customWidth="1"/>
    <col min="3" max="3" width="12" style="75" customWidth="1"/>
    <col min="4" max="4" width="11.5" style="75" customWidth="1"/>
    <col min="5" max="5" width="11.6" style="75" customWidth="1"/>
    <col min="6" max="6" width="10" style="75" customWidth="1"/>
    <col min="7" max="8" width="4.6" style="75" customWidth="1" outlineLevel="1"/>
    <col min="9" max="9" width="6.1" style="75" customWidth="1" outlineLevel="1"/>
    <col min="10" max="10" width="15.6" style="75" customWidth="1" outlineLevel="1"/>
    <col min="11" max="11" width="15.6" style="76" customWidth="1" outlineLevel="1"/>
    <col min="12" max="13" width="15.6" style="75" customWidth="1"/>
    <col min="14" max="14" width="12.7" style="75" customWidth="1"/>
    <col min="15" max="52" width="8.7"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75" customWidth="1"/>
    <col min="61" max="61" width="11.5" style="75" customWidth="1"/>
    <col min="62" max="65" width="4.7" style="75" customWidth="1"/>
    <col min="66" max="66" width="6.7" style="75" customWidth="1"/>
    <col min="67" max="67" width="10.3" style="75" customWidth="1"/>
    <col min="68" max="68" width="8.7" style="75" customWidth="1"/>
    <col min="69" max="69" width="9.8" style="75" customWidth="1"/>
    <col min="70" max="70" width="1.6" style="77" customWidth="1"/>
    <col min="71" max="71" width="10.6" style="78" customWidth="1"/>
    <col min="72" max="72" width="10.6" style="77" customWidth="1"/>
    <col min="73" max="73" width="4.6" style="78" customWidth="1"/>
    <col min="74" max="74" width="10.6" style="78" customWidth="1"/>
    <col min="75" max="76" width="4.6" style="78" customWidth="1"/>
    <col min="77" max="77" width="10.6" style="78" customWidth="1"/>
    <col min="78" max="78" width="5" style="77" customWidth="1"/>
    <col min="79" max="16384" width="8.7" style="75"/>
  </cols>
  <sheetData>
    <row r="1" s="70" customFormat="1" ht="12.45" customHeight="1" spans="1:78">
      <c r="A1" s="79" t="s">
        <v>1591</v>
      </c>
      <c r="B1" s="80" t="s">
        <v>1592</v>
      </c>
      <c r="C1" s="81"/>
      <c r="D1" s="81"/>
      <c r="E1" s="81"/>
      <c r="F1" s="81"/>
      <c r="G1" s="82"/>
      <c r="H1" s="82"/>
      <c r="I1" s="82"/>
      <c r="J1" s="81"/>
      <c r="K1" s="83"/>
      <c r="L1" s="81"/>
      <c r="M1" s="81"/>
      <c r="N1" s="81"/>
      <c r="BA1" s="84" t="str">
        <f>参数表!BA1</f>
        <v>注意：补充特殊事项、作价等均从BA列开始填写</v>
      </c>
      <c r="BB1" s="85"/>
      <c r="BC1" s="86"/>
      <c r="BD1" s="86"/>
      <c r="BE1" s="86"/>
      <c r="BF1" s="86"/>
      <c r="BG1" s="86"/>
      <c r="BH1" s="86"/>
      <c r="BI1" s="86"/>
      <c r="BJ1" s="86"/>
      <c r="BK1" s="86"/>
      <c r="BR1" s="87"/>
      <c r="BS1" s="88"/>
      <c r="BT1" s="87"/>
      <c r="BU1" s="88"/>
      <c r="BV1" s="88"/>
      <c r="BW1" s="88"/>
      <c r="BX1" s="88"/>
      <c r="BY1" s="88"/>
      <c r="BZ1" s="87"/>
    </row>
    <row r="2" s="71" customFormat="1" ht="30" customHeight="1" spans="1:78">
      <c r="A2" s="170" t="s">
        <v>5472</v>
      </c>
      <c r="B2" s="170"/>
      <c r="C2" s="170"/>
      <c r="D2" s="170"/>
      <c r="E2" s="170"/>
      <c r="F2" s="170"/>
      <c r="G2" s="170"/>
      <c r="H2" s="170"/>
      <c r="I2" s="170"/>
      <c r="J2" s="170"/>
      <c r="K2" s="170"/>
      <c r="L2" s="170"/>
      <c r="M2" s="170"/>
      <c r="N2" s="170"/>
      <c r="BA2" s="90" t="str">
        <f>参数表!BA2</f>
        <v>评估基准日：</v>
      </c>
      <c r="BB2" s="91" t="str">
        <f>参数表!$BB$2</f>
        <v>2025年7月31日</v>
      </c>
      <c r="BR2" s="92"/>
      <c r="BS2" s="93"/>
      <c r="BT2" s="92"/>
      <c r="BU2" s="93"/>
      <c r="BV2" s="93"/>
      <c r="BW2" s="93"/>
      <c r="BX2" s="93"/>
      <c r="BY2" s="93"/>
      <c r="BZ2" s="92"/>
    </row>
    <row r="3" ht="15" customHeight="1" spans="1:78">
      <c r="A3" s="94" t="str">
        <f>参数表!F5</f>
        <v>评估基准日：2025年7月31日</v>
      </c>
      <c r="B3" s="94"/>
      <c r="C3" s="94"/>
      <c r="D3" s="94"/>
      <c r="E3" s="94"/>
      <c r="F3" s="94"/>
      <c r="G3" s="94"/>
      <c r="H3" s="94"/>
      <c r="I3" s="94"/>
      <c r="J3" s="94"/>
      <c r="K3" s="94"/>
      <c r="L3" s="94"/>
      <c r="M3" s="95"/>
      <c r="N3" s="95"/>
      <c r="BA3" s="90" t="str">
        <f>参数表!BA3</f>
        <v>是否显示评估值：</v>
      </c>
      <c r="BB3" s="90" t="str">
        <f>参数表!$BB$3</f>
        <v>是</v>
      </c>
    </row>
    <row r="4" ht="15" customHeight="1" spans="1:78">
      <c r="A4" s="96"/>
      <c r="B4" s="94"/>
      <c r="C4" s="94"/>
      <c r="D4" s="94"/>
      <c r="E4" s="94"/>
      <c r="F4" s="94"/>
      <c r="G4" s="94"/>
      <c r="H4" s="94"/>
      <c r="I4" s="94"/>
      <c r="J4" s="94"/>
      <c r="K4" s="97"/>
      <c r="L4" s="94"/>
      <c r="M4" s="95"/>
      <c r="N4" s="98" t="str">
        <f>"表"&amp;$BA4</f>
        <v>表6-2</v>
      </c>
      <c r="BA4" s="99" t="str">
        <f>非流动负总!A8</f>
        <v>6-2</v>
      </c>
      <c r="BB4" s="100">
        <f>MAX(COUNTA(A7:A26),COUNTA(B7:B26),COUNTA(J7:J26),COUNTA(L7:L26))</f>
        <v>20</v>
      </c>
      <c r="BC4" s="101">
        <f>ROW(A6)+1</f>
        <v>7</v>
      </c>
      <c r="BD4" s="77"/>
      <c r="BE4" s="77"/>
      <c r="BT4" s="78"/>
    </row>
    <row r="5" ht="15" customHeight="1" spans="1:78">
      <c r="A5" s="102" t="str">
        <f>参数表!F3</f>
        <v>产权持有单位:中煤第五建设有限公司</v>
      </c>
      <c r="B5" s="103"/>
      <c r="C5" s="103"/>
      <c r="D5" s="103"/>
      <c r="E5" s="103"/>
      <c r="F5" s="103"/>
      <c r="G5" s="103"/>
      <c r="H5" s="103"/>
      <c r="I5" s="103"/>
      <c r="J5" s="103"/>
      <c r="K5" s="104"/>
      <c r="L5" s="103"/>
      <c r="M5" s="103"/>
      <c r="N5" s="98" t="s">
        <v>236</v>
      </c>
      <c r="BA5" s="103"/>
      <c r="BB5" s="105" t="str">
        <f ca="1">判断表!C119</f>
        <v>中煤第五建设有限公司第三工程处拟处置实物资产项目\[0000-3基础法明细表.xlsx]应付债券</v>
      </c>
      <c r="BC5" s="106">
        <f>IFERROR(SUMIF(BC7:BC26,"√",L7:L26)/L27,0)</f>
        <v>0</v>
      </c>
      <c r="BD5" s="107"/>
      <c r="BE5" s="107"/>
      <c r="BF5" s="108">
        <f>分类汇总!$I61</f>
        <v>0</v>
      </c>
      <c r="BG5" s="108">
        <f>分类汇总!$K61</f>
        <v>0</v>
      </c>
      <c r="BH5" s="109"/>
      <c r="BI5" s="109"/>
      <c r="BJ5" s="109"/>
      <c r="BK5" s="109"/>
      <c r="BL5" s="109"/>
      <c r="BM5" s="109"/>
      <c r="BN5" s="109"/>
      <c r="BO5" s="110"/>
      <c r="BP5" s="110"/>
      <c r="BR5" s="111"/>
      <c r="BT5" s="78"/>
      <c r="BY5" s="194"/>
      <c r="BZ5" s="111"/>
    </row>
    <row r="6" s="73" customFormat="1" ht="25.2" customHeight="1" spans="1:78">
      <c r="A6" s="112" t="s">
        <v>305</v>
      </c>
      <c r="B6" s="113" t="s">
        <v>5473</v>
      </c>
      <c r="C6" s="113" t="s">
        <v>3436</v>
      </c>
      <c r="D6" s="113" t="s">
        <v>1961</v>
      </c>
      <c r="E6" s="113" t="s">
        <v>3437</v>
      </c>
      <c r="F6" s="113" t="s">
        <v>1775</v>
      </c>
      <c r="G6" s="114" t="s">
        <v>1631</v>
      </c>
      <c r="H6" s="115" t="s">
        <v>1632</v>
      </c>
      <c r="I6" s="116" t="s">
        <v>3793</v>
      </c>
      <c r="J6" s="113" t="s">
        <v>1549</v>
      </c>
      <c r="K6" s="117" t="s">
        <v>1634</v>
      </c>
      <c r="L6" s="118" t="s">
        <v>1523</v>
      </c>
      <c r="M6" s="113" t="s">
        <v>1550</v>
      </c>
      <c r="N6" s="113" t="s">
        <v>5474</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224" t="s">
        <v>5475</v>
      </c>
      <c r="BR6" s="119"/>
      <c r="BS6" s="120" t="s">
        <v>1645</v>
      </c>
      <c r="BT6" s="121" t="s">
        <v>1646</v>
      </c>
      <c r="BU6" s="121" t="s">
        <v>1647</v>
      </c>
      <c r="BV6" s="121" t="s">
        <v>1648</v>
      </c>
      <c r="BW6" s="121" t="s">
        <v>1647</v>
      </c>
      <c r="BX6" s="121" t="s">
        <v>1647</v>
      </c>
      <c r="BY6" s="121" t="s">
        <v>1649</v>
      </c>
      <c r="BZ6" s="122" t="s">
        <v>1650</v>
      </c>
    </row>
    <row r="7" ht="15" customHeight="1" spans="1:78">
      <c r="A7" s="123" t="str">
        <f>IF(B7="","",COUNT(A$6:A6)+1)</f>
        <v/>
      </c>
      <c r="B7" s="124"/>
      <c r="C7" s="126"/>
      <c r="D7" s="125"/>
      <c r="E7" s="125"/>
      <c r="F7" s="225"/>
      <c r="G7" s="127"/>
      <c r="H7" s="127" t="str">
        <f>IFERROR(VLOOKUP(G7,参数表!$H$2:$I$50,2,FALSE),"")</f>
        <v/>
      </c>
      <c r="I7" s="128" t="str">
        <f>IFERROR(IF(OR(G7="人民币",G7=""),"",L7/H7),"")</f>
        <v/>
      </c>
      <c r="J7" s="129"/>
      <c r="K7" s="130"/>
      <c r="L7" s="129" t="str">
        <f>IF(B7="","",J7+K7)</f>
        <v/>
      </c>
      <c r="M7" s="129" t="str">
        <f t="shared" ref="M7:M26" si="0">IF(B7="","",IF($BB$3="是",L7,""))</f>
        <v/>
      </c>
      <c r="N7" s="131"/>
      <c r="BA7" s="78"/>
      <c r="BB7" s="132" t="s">
        <v>5476</v>
      </c>
      <c r="BC7" s="133"/>
      <c r="BD7" s="132" t="str">
        <f>IF(OR(B7="",BC7=""),"",COUNTIF(BC$7:BC7,"√"))</f>
        <v/>
      </c>
      <c r="BE7" s="134" t="str">
        <f t="shared" ref="BE7:BE26" si="1">IF(BC7="","",BB7&amp;BC7&amp;"︱"&amp;B7&amp;"︱"&amp;TEXT(L7,"#,##0.00"))</f>
        <v/>
      </c>
      <c r="BF7" s="135" t="str">
        <f>IF($B7="","",IF(BF$5=0,"OK","出错"))</f>
        <v/>
      </c>
      <c r="BG7" s="135" t="str">
        <f>IF($B7="","",IF(BG$5=0,"OK","出错"))</f>
        <v/>
      </c>
      <c r="BH7" s="136"/>
      <c r="BI7" s="137"/>
      <c r="BJ7" s="136"/>
      <c r="BK7" s="136"/>
      <c r="BL7" s="136"/>
      <c r="BM7" s="136"/>
      <c r="BN7" s="136"/>
      <c r="BO7" s="137"/>
      <c r="BP7" s="137"/>
      <c r="BQ7" s="165" t="s">
        <v>1674</v>
      </c>
      <c r="BS7" s="134" t="str">
        <f>IF(COUNTIF(BS$6:BS6,C7)&gt;0,"",C7)&amp;""</f>
        <v/>
      </c>
      <c r="BT7" s="138">
        <f>SUMIF(C$7:C$26,BS7,L$7:L$26)</f>
        <v>0</v>
      </c>
      <c r="BU7" s="132">
        <f t="shared" ref="BU7" si="2">RANK(BT7,BT$7:BT$26)</f>
        <v>1</v>
      </c>
      <c r="BV7" s="138">
        <f>SUMIF(C$7:C$26,BS7,M$7:M$26)</f>
        <v>0</v>
      </c>
      <c r="BW7" s="132">
        <f>RANK(BV7,BV$7:BV$26)</f>
        <v>1</v>
      </c>
      <c r="BX7" s="138">
        <f>SUM(BT7:BT26)</f>
        <v>0</v>
      </c>
      <c r="BY7" s="138"/>
      <c r="BZ7" s="138"/>
    </row>
    <row r="8" ht="15" customHeight="1" spans="1:78">
      <c r="A8" s="123" t="str">
        <f>IF(B8="","",COUNT(A$6:A7)+1)</f>
        <v/>
      </c>
      <c r="B8" s="139"/>
      <c r="C8" s="141"/>
      <c r="D8" s="140"/>
      <c r="E8" s="140"/>
      <c r="F8" s="141"/>
      <c r="G8" s="142"/>
      <c r="H8" s="127" t="str">
        <f>IFERROR(VLOOKUP(G8,参数表!$H$2:$I$50,2,FALSE),"")</f>
        <v/>
      </c>
      <c r="I8" s="128" t="str">
        <f t="shared" ref="I8:I26" si="3">IFERROR(IF(OR(G8="人民币",G8=""),"",L8/H8),"")</f>
        <v/>
      </c>
      <c r="J8" s="143"/>
      <c r="K8" s="144"/>
      <c r="L8" s="129" t="str">
        <f t="shared" ref="L8:L26" si="4">IF(B8="","",J8+K8)</f>
        <v/>
      </c>
      <c r="M8" s="129" t="str">
        <f t="shared" si="0"/>
        <v/>
      </c>
      <c r="N8" s="145"/>
      <c r="BA8" s="78"/>
      <c r="BB8" s="132" t="s">
        <v>5477</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Q8" s="165" t="s">
        <v>1674</v>
      </c>
      <c r="BS8" s="134" t="str">
        <f>IF(COUNTIF(BS$6:BS7,C8)&gt;0,"",C8)&amp;""</f>
        <v/>
      </c>
      <c r="BT8" s="138">
        <f t="shared" ref="BT8:BT26" si="6">SUMIF(C$7:C$26,BS8,L$7:L$26)</f>
        <v>0</v>
      </c>
      <c r="BU8" s="132">
        <f t="shared" ref="BU8:BU26" si="7">RANK(BT8,BT$7:BT$26)</f>
        <v>1</v>
      </c>
      <c r="BV8" s="138">
        <f t="shared" ref="BV8:BV26" si="8">SUMIF(C$7:C$26,BS8,M$7:M$26)</f>
        <v>0</v>
      </c>
      <c r="BW8" s="132">
        <f t="shared" ref="BW8:BW26" si="9">RANK(BV8,BV$7:BV$26)</f>
        <v>1</v>
      </c>
      <c r="BX8" s="138">
        <f>SUM(BV7:BV26)</f>
        <v>0</v>
      </c>
      <c r="BY8" s="138"/>
      <c r="BZ8" s="138"/>
    </row>
    <row r="9" ht="15" customHeight="1" spans="1:78">
      <c r="A9" s="123" t="str">
        <f>IF(B9="","",COUNT(A$6:A8)+1)</f>
        <v/>
      </c>
      <c r="B9" s="139"/>
      <c r="C9" s="141"/>
      <c r="D9" s="140"/>
      <c r="E9" s="140"/>
      <c r="F9" s="141"/>
      <c r="G9" s="142"/>
      <c r="H9" s="127" t="str">
        <f>IFERROR(VLOOKUP(G9,参数表!$H$2:$I$50,2,FALSE),"")</f>
        <v/>
      </c>
      <c r="I9" s="128" t="str">
        <f t="shared" si="3"/>
        <v/>
      </c>
      <c r="J9" s="143"/>
      <c r="K9" s="144"/>
      <c r="L9" s="129" t="str">
        <f t="shared" si="4"/>
        <v/>
      </c>
      <c r="M9" s="129" t="str">
        <f t="shared" si="0"/>
        <v/>
      </c>
      <c r="N9" s="145"/>
      <c r="BA9" s="78"/>
      <c r="BB9" s="132" t="s">
        <v>5478</v>
      </c>
      <c r="BC9" s="133"/>
      <c r="BD9" s="132" t="str">
        <f>IF(OR(B9="",BC9=""),"",COUNTIF(BC$7:BC9,"√"))</f>
        <v/>
      </c>
      <c r="BE9" s="134" t="str">
        <f t="shared" si="1"/>
        <v/>
      </c>
      <c r="BF9" s="135" t="str">
        <f t="shared" si="5"/>
        <v/>
      </c>
      <c r="BG9" s="135" t="str">
        <f t="shared" si="5"/>
        <v/>
      </c>
      <c r="BH9" s="136"/>
      <c r="BI9" s="137"/>
      <c r="BJ9" s="136"/>
      <c r="BK9" s="136"/>
      <c r="BL9" s="136"/>
      <c r="BM9" s="136"/>
      <c r="BN9" s="136"/>
      <c r="BO9" s="137"/>
      <c r="BP9" s="137"/>
      <c r="BQ9" s="165" t="s">
        <v>1674</v>
      </c>
      <c r="BS9" s="134" t="str">
        <f>IF(COUNTIF(BS$6:BS8,C9)&gt;0,"",C9)&amp;""</f>
        <v/>
      </c>
      <c r="BT9" s="138">
        <f t="shared" si="6"/>
        <v>0</v>
      </c>
      <c r="BU9" s="132">
        <f t="shared" si="7"/>
        <v>1</v>
      </c>
      <c r="BV9" s="138">
        <f t="shared" si="8"/>
        <v>0</v>
      </c>
      <c r="BW9" s="132">
        <f t="shared" si="9"/>
        <v>1</v>
      </c>
      <c r="BX9" s="132">
        <v>1</v>
      </c>
      <c r="BY9" s="134" t="str">
        <f>IFERROR(INDEX(BS$7:BS$26,MATCH(BX9,IF(BX$7=0,BW$7:BW$26,BU$7:BU$26),0))&amp;"","")</f>
        <v/>
      </c>
      <c r="BZ9" s="146" t="str">
        <f>IF(BY10="","",IF(BY11="","和","、"))</f>
        <v/>
      </c>
    </row>
    <row r="10" ht="15" customHeight="1" spans="1:78">
      <c r="A10" s="123" t="str">
        <f>IF(B10="","",COUNT(A$6:A9)+1)</f>
        <v/>
      </c>
      <c r="B10" s="139"/>
      <c r="C10" s="141"/>
      <c r="D10" s="140"/>
      <c r="E10" s="140"/>
      <c r="F10" s="141"/>
      <c r="G10" s="142"/>
      <c r="H10" s="127" t="str">
        <f>IFERROR(VLOOKUP(G10,参数表!$H$2:$I$50,2,FALSE),"")</f>
        <v/>
      </c>
      <c r="I10" s="128" t="str">
        <f t="shared" si="3"/>
        <v/>
      </c>
      <c r="J10" s="143"/>
      <c r="K10" s="144"/>
      <c r="L10" s="129" t="str">
        <f t="shared" si="4"/>
        <v/>
      </c>
      <c r="M10" s="129" t="str">
        <f t="shared" si="0"/>
        <v/>
      </c>
      <c r="N10" s="145"/>
      <c r="BA10" s="78"/>
      <c r="BB10" s="132" t="s">
        <v>5479</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Q10" s="165" t="s">
        <v>1674</v>
      </c>
      <c r="BS10" s="134" t="str">
        <f>IF(COUNTIF(BS$6:BS9,C10)&gt;0,"",C10)&amp;""</f>
        <v/>
      </c>
      <c r="BT10" s="138">
        <f t="shared" si="6"/>
        <v>0</v>
      </c>
      <c r="BU10" s="132">
        <f t="shared" si="7"/>
        <v>1</v>
      </c>
      <c r="BV10" s="138">
        <f t="shared" si="8"/>
        <v>0</v>
      </c>
      <c r="BW10" s="132">
        <f t="shared" si="9"/>
        <v>1</v>
      </c>
      <c r="BX10" s="132">
        <v>2</v>
      </c>
      <c r="BY10" s="134" t="str">
        <f t="shared" ref="BY10:BY13" si="10">IFERROR(INDEX(BS$7:BS$26,MATCH(BX10,IF(BX$7=0,BW$7:BW$26,BU$7:BU$26),0))&amp;"","")</f>
        <v/>
      </c>
      <c r="BZ10" s="146" t="str">
        <f t="shared" ref="BZ10:BZ11" si="11">IF(BY11="","",IF(BY12="","和","、"))</f>
        <v/>
      </c>
    </row>
    <row r="11" ht="15" customHeight="1" spans="1:78">
      <c r="A11" s="123" t="str">
        <f>IF(B11="","",COUNT(A$6:A10)+1)</f>
        <v/>
      </c>
      <c r="B11" s="139"/>
      <c r="C11" s="141"/>
      <c r="D11" s="140"/>
      <c r="E11" s="140"/>
      <c r="F11" s="141"/>
      <c r="G11" s="142"/>
      <c r="H11" s="127" t="str">
        <f>IFERROR(VLOOKUP(G11,参数表!$H$2:$I$50,2,FALSE),"")</f>
        <v/>
      </c>
      <c r="I11" s="128" t="str">
        <f t="shared" si="3"/>
        <v/>
      </c>
      <c r="J11" s="143"/>
      <c r="K11" s="144"/>
      <c r="L11" s="129" t="str">
        <f t="shared" si="4"/>
        <v/>
      </c>
      <c r="M11" s="129" t="str">
        <f t="shared" si="0"/>
        <v/>
      </c>
      <c r="N11" s="145"/>
      <c r="BA11" s="78"/>
      <c r="BB11" s="132" t="s">
        <v>5480</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Q11" s="165" t="s">
        <v>1674</v>
      </c>
      <c r="BS11" s="134" t="str">
        <f>IF(COUNTIF(BS$6:BS10,C11)&gt;0,"",C11)&amp;""</f>
        <v/>
      </c>
      <c r="BT11" s="138">
        <f t="shared" si="6"/>
        <v>0</v>
      </c>
      <c r="BU11" s="132">
        <f t="shared" si="7"/>
        <v>1</v>
      </c>
      <c r="BV11" s="138">
        <f t="shared" si="8"/>
        <v>0</v>
      </c>
      <c r="BW11" s="132">
        <f t="shared" si="9"/>
        <v>1</v>
      </c>
      <c r="BX11" s="132">
        <v>3</v>
      </c>
      <c r="BY11" s="134" t="str">
        <f t="shared" si="10"/>
        <v/>
      </c>
      <c r="BZ11" s="146" t="str">
        <f t="shared" si="11"/>
        <v/>
      </c>
    </row>
    <row r="12" ht="15" customHeight="1" spans="1:78">
      <c r="A12" s="123" t="str">
        <f>IF(B12="","",COUNT(A$6:A11)+1)</f>
        <v/>
      </c>
      <c r="B12" s="139"/>
      <c r="C12" s="141"/>
      <c r="D12" s="140"/>
      <c r="E12" s="140"/>
      <c r="F12" s="141"/>
      <c r="G12" s="142"/>
      <c r="H12" s="127" t="str">
        <f>IFERROR(VLOOKUP(G12,参数表!$H$2:$I$50,2,FALSE),"")</f>
        <v/>
      </c>
      <c r="I12" s="128" t="str">
        <f t="shared" si="3"/>
        <v/>
      </c>
      <c r="J12" s="143"/>
      <c r="K12" s="144"/>
      <c r="L12" s="129" t="str">
        <f t="shared" si="4"/>
        <v/>
      </c>
      <c r="M12" s="129" t="str">
        <f t="shared" si="0"/>
        <v/>
      </c>
      <c r="N12" s="145"/>
      <c r="BA12" s="78"/>
      <c r="BB12" s="132" t="s">
        <v>5481</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Q12" s="165" t="s">
        <v>1674</v>
      </c>
      <c r="BS12" s="134" t="str">
        <f>IF(COUNTIF(BS$6:BS11,C12)&gt;0,"",C12)&amp;""</f>
        <v/>
      </c>
      <c r="BT12" s="138">
        <f t="shared" si="6"/>
        <v>0</v>
      </c>
      <c r="BU12" s="132">
        <f t="shared" si="7"/>
        <v>1</v>
      </c>
      <c r="BV12" s="138">
        <f t="shared" si="8"/>
        <v>0</v>
      </c>
      <c r="BW12" s="132">
        <f t="shared" si="9"/>
        <v>1</v>
      </c>
      <c r="BX12" s="132">
        <v>4</v>
      </c>
      <c r="BY12" s="134" t="str">
        <f t="shared" si="10"/>
        <v/>
      </c>
      <c r="BZ12" s="146" t="str">
        <f>IF(BY13="","","和")</f>
        <v/>
      </c>
    </row>
    <row r="13" ht="15" customHeight="1" spans="1:78">
      <c r="A13" s="123" t="str">
        <f>IF(B13="","",COUNT(A$6:A12)+1)</f>
        <v/>
      </c>
      <c r="B13" s="139"/>
      <c r="C13" s="141"/>
      <c r="D13" s="140"/>
      <c r="E13" s="140"/>
      <c r="F13" s="141"/>
      <c r="G13" s="142"/>
      <c r="H13" s="127" t="str">
        <f>IFERROR(VLOOKUP(G13,参数表!$H$2:$I$50,2,FALSE),"")</f>
        <v/>
      </c>
      <c r="I13" s="128" t="str">
        <f t="shared" si="3"/>
        <v/>
      </c>
      <c r="J13" s="143"/>
      <c r="K13" s="144"/>
      <c r="L13" s="129" t="str">
        <f t="shared" si="4"/>
        <v/>
      </c>
      <c r="M13" s="129" t="str">
        <f t="shared" si="0"/>
        <v/>
      </c>
      <c r="N13" s="145"/>
      <c r="BA13" s="78"/>
      <c r="BB13" s="132" t="s">
        <v>5482</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Q13" s="165" t="s">
        <v>1674</v>
      </c>
      <c r="BS13" s="134" t="str">
        <f>IF(COUNTIF(BS$6:BS12,C13)&gt;0,"",C13)&amp;""</f>
        <v/>
      </c>
      <c r="BT13" s="138">
        <f t="shared" si="6"/>
        <v>0</v>
      </c>
      <c r="BU13" s="132">
        <f t="shared" si="7"/>
        <v>1</v>
      </c>
      <c r="BV13" s="138">
        <f t="shared" si="8"/>
        <v>0</v>
      </c>
      <c r="BW13" s="132">
        <f t="shared" si="9"/>
        <v>1</v>
      </c>
      <c r="BX13" s="132">
        <v>5</v>
      </c>
      <c r="BY13" s="134" t="str">
        <f t="shared" si="10"/>
        <v/>
      </c>
      <c r="BZ13" s="146"/>
    </row>
    <row r="14" ht="15" customHeight="1" spans="1:78">
      <c r="A14" s="123" t="str">
        <f>IF(B14="","",COUNT(A$6:A13)+1)</f>
        <v/>
      </c>
      <c r="B14" s="139"/>
      <c r="C14" s="141"/>
      <c r="D14" s="140"/>
      <c r="E14" s="140"/>
      <c r="F14" s="141"/>
      <c r="G14" s="142"/>
      <c r="H14" s="127" t="str">
        <f>IFERROR(VLOOKUP(G14,参数表!$H$2:$I$50,2,FALSE),"")</f>
        <v/>
      </c>
      <c r="I14" s="128" t="str">
        <f t="shared" si="3"/>
        <v/>
      </c>
      <c r="J14" s="143"/>
      <c r="K14" s="144"/>
      <c r="L14" s="129" t="str">
        <f t="shared" si="4"/>
        <v/>
      </c>
      <c r="M14" s="129" t="str">
        <f t="shared" si="0"/>
        <v/>
      </c>
      <c r="N14" s="145"/>
      <c r="BA14" s="78"/>
      <c r="BB14" s="132" t="s">
        <v>5483</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Q14" s="165" t="s">
        <v>1674</v>
      </c>
      <c r="BS14" s="134" t="str">
        <f>IF(COUNTIF(BS$6:BS13,C14)&gt;0,"",C14)&amp;""</f>
        <v/>
      </c>
      <c r="BT14" s="138">
        <f t="shared" si="6"/>
        <v>0</v>
      </c>
      <c r="BU14" s="132">
        <f t="shared" si="7"/>
        <v>1</v>
      </c>
      <c r="BV14" s="138">
        <f t="shared" si="8"/>
        <v>0</v>
      </c>
      <c r="BW14" s="132">
        <f t="shared" si="9"/>
        <v>1</v>
      </c>
      <c r="BX14" s="147" t="s">
        <v>1659</v>
      </c>
      <c r="BY14" s="132" t="str">
        <f>CONCATENATE(BY9,BZ9,BY10,BZ10,BY11,BZ11,BY12,BZ12,BY13)</f>
        <v/>
      </c>
      <c r="BZ14" s="132"/>
    </row>
    <row r="15" ht="15" customHeight="1" spans="1:78">
      <c r="A15" s="123" t="str">
        <f>IF(B15="","",COUNT(A$6:A14)+1)</f>
        <v/>
      </c>
      <c r="B15" s="139"/>
      <c r="C15" s="141"/>
      <c r="D15" s="140"/>
      <c r="E15" s="140"/>
      <c r="F15" s="141"/>
      <c r="G15" s="142"/>
      <c r="H15" s="127" t="str">
        <f>IFERROR(VLOOKUP(G15,参数表!$H$2:$I$50,2,FALSE),"")</f>
        <v/>
      </c>
      <c r="I15" s="128" t="str">
        <f t="shared" si="3"/>
        <v/>
      </c>
      <c r="J15" s="143"/>
      <c r="K15" s="144"/>
      <c r="L15" s="129" t="str">
        <f t="shared" si="4"/>
        <v/>
      </c>
      <c r="M15" s="129" t="str">
        <f t="shared" si="0"/>
        <v/>
      </c>
      <c r="N15" s="145"/>
      <c r="BA15" s="78"/>
      <c r="BB15" s="132" t="s">
        <v>5484</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Q15" s="165" t="s">
        <v>1674</v>
      </c>
      <c r="BS15" s="134" t="str">
        <f>IF(COUNTIF(BS$6:BS14,C15)&gt;0,"",C15)&amp;""</f>
        <v/>
      </c>
      <c r="BT15" s="138">
        <f t="shared" si="6"/>
        <v>0</v>
      </c>
      <c r="BU15" s="132">
        <f t="shared" si="7"/>
        <v>1</v>
      </c>
      <c r="BV15" s="138">
        <f t="shared" si="8"/>
        <v>0</v>
      </c>
      <c r="BW15" s="132">
        <f t="shared" si="9"/>
        <v>1</v>
      </c>
      <c r="BX15" s="133"/>
      <c r="BY15" s="133"/>
    </row>
    <row r="16" ht="15" customHeight="1" spans="1:78">
      <c r="A16" s="123" t="str">
        <f>IF(B16="","",COUNT(A$6:A15)+1)</f>
        <v/>
      </c>
      <c r="B16" s="139"/>
      <c r="C16" s="141"/>
      <c r="D16" s="140"/>
      <c r="E16" s="140"/>
      <c r="F16" s="141"/>
      <c r="G16" s="142"/>
      <c r="H16" s="127" t="str">
        <f>IFERROR(VLOOKUP(G16,参数表!$H$2:$I$50,2,FALSE),"")</f>
        <v/>
      </c>
      <c r="I16" s="128" t="str">
        <f t="shared" si="3"/>
        <v/>
      </c>
      <c r="J16" s="143"/>
      <c r="K16" s="144"/>
      <c r="L16" s="129" t="str">
        <f t="shared" si="4"/>
        <v/>
      </c>
      <c r="M16" s="129" t="str">
        <f t="shared" si="0"/>
        <v/>
      </c>
      <c r="N16" s="145"/>
      <c r="BA16" s="78"/>
      <c r="BB16" s="132" t="s">
        <v>5485</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Q16" s="165" t="s">
        <v>1674</v>
      </c>
      <c r="BS16" s="134" t="str">
        <f>IF(COUNTIF(BS$6:BS15,C16)&gt;0,"",C16)&amp;""</f>
        <v/>
      </c>
      <c r="BT16" s="138">
        <f t="shared" si="6"/>
        <v>0</v>
      </c>
      <c r="BU16" s="132">
        <f t="shared" si="7"/>
        <v>1</v>
      </c>
      <c r="BV16" s="138">
        <f t="shared" si="8"/>
        <v>0</v>
      </c>
      <c r="BW16" s="132">
        <f t="shared" si="9"/>
        <v>1</v>
      </c>
      <c r="BX16" s="133"/>
      <c r="BY16" s="148"/>
    </row>
    <row r="17" ht="15" customHeight="1" spans="1:78">
      <c r="A17" s="123" t="str">
        <f>IF(B17="","",COUNT(A$6:A16)+1)</f>
        <v/>
      </c>
      <c r="B17" s="139"/>
      <c r="C17" s="141"/>
      <c r="D17" s="140"/>
      <c r="E17" s="140"/>
      <c r="F17" s="141"/>
      <c r="G17" s="142"/>
      <c r="H17" s="127" t="str">
        <f>IFERROR(VLOOKUP(G17,参数表!$H$2:$I$50,2,FALSE),"")</f>
        <v/>
      </c>
      <c r="I17" s="128" t="str">
        <f t="shared" si="3"/>
        <v/>
      </c>
      <c r="J17" s="143"/>
      <c r="K17" s="144"/>
      <c r="L17" s="129" t="str">
        <f t="shared" si="4"/>
        <v/>
      </c>
      <c r="M17" s="129" t="str">
        <f t="shared" si="0"/>
        <v/>
      </c>
      <c r="N17" s="145"/>
      <c r="BA17" s="78"/>
      <c r="BB17" s="132" t="s">
        <v>5486</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Q17" s="165" t="s">
        <v>1674</v>
      </c>
      <c r="BS17" s="134" t="str">
        <f>IF(COUNTIF(BS$6:BS16,C17)&gt;0,"",C17)&amp;""</f>
        <v/>
      </c>
      <c r="BT17" s="138">
        <f t="shared" si="6"/>
        <v>0</v>
      </c>
      <c r="BU17" s="132">
        <f t="shared" si="7"/>
        <v>1</v>
      </c>
      <c r="BV17" s="138">
        <f t="shared" si="8"/>
        <v>0</v>
      </c>
      <c r="BW17" s="132">
        <f t="shared" si="9"/>
        <v>1</v>
      </c>
      <c r="BX17" s="133"/>
      <c r="BY17" s="133"/>
    </row>
    <row r="18" ht="15" customHeight="1" spans="1:78">
      <c r="A18" s="123" t="str">
        <f>IF(B18="","",COUNT(A$6:A17)+1)</f>
        <v/>
      </c>
      <c r="B18" s="139"/>
      <c r="C18" s="141"/>
      <c r="D18" s="140"/>
      <c r="E18" s="140"/>
      <c r="F18" s="141"/>
      <c r="G18" s="142"/>
      <c r="H18" s="127" t="str">
        <f>IFERROR(VLOOKUP(G18,参数表!$H$2:$I$50,2,FALSE),"")</f>
        <v/>
      </c>
      <c r="I18" s="128" t="str">
        <f t="shared" si="3"/>
        <v/>
      </c>
      <c r="J18" s="143"/>
      <c r="K18" s="144"/>
      <c r="L18" s="129" t="str">
        <f t="shared" si="4"/>
        <v/>
      </c>
      <c r="M18" s="129" t="str">
        <f t="shared" si="0"/>
        <v/>
      </c>
      <c r="N18" s="145"/>
      <c r="BA18" s="78"/>
      <c r="BB18" s="132" t="s">
        <v>5487</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Q18" s="165" t="s">
        <v>1674</v>
      </c>
      <c r="BS18" s="134" t="str">
        <f>IF(COUNTIF(BS$6:BS17,C18)&gt;0,"",C18)&amp;""</f>
        <v/>
      </c>
      <c r="BT18" s="138">
        <f t="shared" si="6"/>
        <v>0</v>
      </c>
      <c r="BU18" s="132">
        <f t="shared" si="7"/>
        <v>1</v>
      </c>
      <c r="BV18" s="138">
        <f t="shared" si="8"/>
        <v>0</v>
      </c>
      <c r="BW18" s="132">
        <f t="shared" si="9"/>
        <v>1</v>
      </c>
      <c r="BX18" s="133"/>
      <c r="BY18" s="133"/>
    </row>
    <row r="19" ht="15" customHeight="1" spans="1:78">
      <c r="A19" s="123" t="str">
        <f>IF(B19="","",COUNT(A$6:A18)+1)</f>
        <v/>
      </c>
      <c r="B19" s="139"/>
      <c r="C19" s="141"/>
      <c r="D19" s="140"/>
      <c r="E19" s="140"/>
      <c r="F19" s="141"/>
      <c r="G19" s="142"/>
      <c r="H19" s="127" t="str">
        <f>IFERROR(VLOOKUP(G19,参数表!$H$2:$I$50,2,FALSE),"")</f>
        <v/>
      </c>
      <c r="I19" s="128" t="str">
        <f t="shared" si="3"/>
        <v/>
      </c>
      <c r="J19" s="143"/>
      <c r="K19" s="144"/>
      <c r="L19" s="129" t="str">
        <f t="shared" si="4"/>
        <v/>
      </c>
      <c r="M19" s="129" t="str">
        <f t="shared" si="0"/>
        <v/>
      </c>
      <c r="N19" s="145"/>
      <c r="BA19" s="78"/>
      <c r="BB19" s="132" t="s">
        <v>5488</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Q19" s="165" t="s">
        <v>1674</v>
      </c>
      <c r="BS19" s="134" t="str">
        <f>IF(COUNTIF(BS$6:BS18,C19)&gt;0,"",C19)&amp;""</f>
        <v/>
      </c>
      <c r="BT19" s="138">
        <f t="shared" si="6"/>
        <v>0</v>
      </c>
      <c r="BU19" s="132">
        <f t="shared" si="7"/>
        <v>1</v>
      </c>
      <c r="BV19" s="138">
        <f t="shared" si="8"/>
        <v>0</v>
      </c>
      <c r="BW19" s="132">
        <f t="shared" si="9"/>
        <v>1</v>
      </c>
      <c r="BX19" s="133"/>
      <c r="BY19" s="133"/>
    </row>
    <row r="20" ht="15" customHeight="1" spans="1:78">
      <c r="A20" s="123" t="str">
        <f>IF(B20="","",COUNT(A$6:A19)+1)</f>
        <v/>
      </c>
      <c r="B20" s="139"/>
      <c r="C20" s="141"/>
      <c r="D20" s="140"/>
      <c r="E20" s="140"/>
      <c r="F20" s="141"/>
      <c r="G20" s="142"/>
      <c r="H20" s="127" t="str">
        <f>IFERROR(VLOOKUP(G20,参数表!$H$2:$I$50,2,FALSE),"")</f>
        <v/>
      </c>
      <c r="I20" s="128" t="str">
        <f t="shared" si="3"/>
        <v/>
      </c>
      <c r="J20" s="143"/>
      <c r="K20" s="144"/>
      <c r="L20" s="129" t="str">
        <f t="shared" si="4"/>
        <v/>
      </c>
      <c r="M20" s="129" t="str">
        <f t="shared" si="0"/>
        <v/>
      </c>
      <c r="N20" s="145"/>
      <c r="BA20" s="78"/>
      <c r="BB20" s="132" t="s">
        <v>5489</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Q20" s="165" t="s">
        <v>1674</v>
      </c>
      <c r="BS20" s="134" t="str">
        <f>IF(COUNTIF(BS$6:BS19,C20)&gt;0,"",C20)&amp;""</f>
        <v/>
      </c>
      <c r="BT20" s="138">
        <f t="shared" si="6"/>
        <v>0</v>
      </c>
      <c r="BU20" s="132">
        <f t="shared" si="7"/>
        <v>1</v>
      </c>
      <c r="BV20" s="138">
        <f t="shared" si="8"/>
        <v>0</v>
      </c>
      <c r="BW20" s="132">
        <f t="shared" si="9"/>
        <v>1</v>
      </c>
      <c r="BX20" s="133"/>
      <c r="BY20" s="133"/>
    </row>
    <row r="21" ht="15" customHeight="1" spans="1:78">
      <c r="A21" s="123" t="str">
        <f>IF(B21="","",COUNT(A$6:A20)+1)</f>
        <v/>
      </c>
      <c r="B21" s="139"/>
      <c r="C21" s="141"/>
      <c r="D21" s="140"/>
      <c r="E21" s="140"/>
      <c r="F21" s="141"/>
      <c r="G21" s="142"/>
      <c r="H21" s="127" t="str">
        <f>IFERROR(VLOOKUP(G21,参数表!$H$2:$I$50,2,FALSE),"")</f>
        <v/>
      </c>
      <c r="I21" s="128" t="str">
        <f t="shared" si="3"/>
        <v/>
      </c>
      <c r="J21" s="143"/>
      <c r="K21" s="144"/>
      <c r="L21" s="129" t="str">
        <f t="shared" si="4"/>
        <v/>
      </c>
      <c r="M21" s="129" t="str">
        <f t="shared" si="0"/>
        <v/>
      </c>
      <c r="N21" s="145"/>
      <c r="BA21" s="78"/>
      <c r="BB21" s="132" t="s">
        <v>5490</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Q21" s="165" t="s">
        <v>1674</v>
      </c>
      <c r="BS21" s="134" t="str">
        <f>IF(COUNTIF(BS$6:BS20,C21)&gt;0,"",C21)&amp;""</f>
        <v/>
      </c>
      <c r="BT21" s="138">
        <f t="shared" si="6"/>
        <v>0</v>
      </c>
      <c r="BU21" s="132">
        <f t="shared" si="7"/>
        <v>1</v>
      </c>
      <c r="BV21" s="138">
        <f t="shared" si="8"/>
        <v>0</v>
      </c>
      <c r="BW21" s="132">
        <f t="shared" si="9"/>
        <v>1</v>
      </c>
      <c r="BX21" s="133"/>
      <c r="BY21" s="133"/>
    </row>
    <row r="22" ht="15" customHeight="1" spans="1:78">
      <c r="A22" s="123" t="str">
        <f>IF(B22="","",COUNT(A$6:A21)+1)</f>
        <v/>
      </c>
      <c r="B22" s="139"/>
      <c r="C22" s="141"/>
      <c r="D22" s="140"/>
      <c r="E22" s="140"/>
      <c r="F22" s="141"/>
      <c r="G22" s="142"/>
      <c r="H22" s="127" t="str">
        <f>IFERROR(VLOOKUP(G22,参数表!$H$2:$I$50,2,FALSE),"")</f>
        <v/>
      </c>
      <c r="I22" s="128" t="str">
        <f t="shared" si="3"/>
        <v/>
      </c>
      <c r="J22" s="143"/>
      <c r="K22" s="144"/>
      <c r="L22" s="129" t="str">
        <f t="shared" si="4"/>
        <v/>
      </c>
      <c r="M22" s="129" t="str">
        <f t="shared" si="0"/>
        <v/>
      </c>
      <c r="N22" s="145"/>
      <c r="BA22" s="78"/>
      <c r="BB22" s="132" t="s">
        <v>5491</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Q22" s="165" t="s">
        <v>1674</v>
      </c>
      <c r="BS22" s="134" t="str">
        <f>IF(COUNTIF(BS$6:BS21,C22)&gt;0,"",C22)&amp;""</f>
        <v/>
      </c>
      <c r="BT22" s="138">
        <f t="shared" si="6"/>
        <v>0</v>
      </c>
      <c r="BU22" s="132">
        <f t="shared" si="7"/>
        <v>1</v>
      </c>
      <c r="BV22" s="138">
        <f t="shared" si="8"/>
        <v>0</v>
      </c>
      <c r="BW22" s="132">
        <f t="shared" si="9"/>
        <v>1</v>
      </c>
      <c r="BX22" s="133"/>
      <c r="BY22" s="133"/>
    </row>
    <row r="23" ht="15" customHeight="1" spans="1:78">
      <c r="A23" s="123" t="str">
        <f>IF(B23="","",COUNT(A$6:A22)+1)</f>
        <v/>
      </c>
      <c r="B23" s="139"/>
      <c r="C23" s="141"/>
      <c r="D23" s="140"/>
      <c r="E23" s="140"/>
      <c r="F23" s="141"/>
      <c r="G23" s="142"/>
      <c r="H23" s="127" t="str">
        <f>IFERROR(VLOOKUP(G23,参数表!$H$2:$I$50,2,FALSE),"")</f>
        <v/>
      </c>
      <c r="I23" s="128" t="str">
        <f t="shared" si="3"/>
        <v/>
      </c>
      <c r="J23" s="143"/>
      <c r="K23" s="144"/>
      <c r="L23" s="129" t="str">
        <f t="shared" si="4"/>
        <v/>
      </c>
      <c r="M23" s="129" t="str">
        <f t="shared" si="0"/>
        <v/>
      </c>
      <c r="N23" s="145"/>
      <c r="BA23" s="78"/>
      <c r="BB23" s="132" t="s">
        <v>5492</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Q23" s="165" t="s">
        <v>1674</v>
      </c>
      <c r="BS23" s="134" t="str">
        <f>IF(COUNTIF(BS$6:BS22,C23)&gt;0,"",C23)&amp;""</f>
        <v/>
      </c>
      <c r="BT23" s="138">
        <f t="shared" si="6"/>
        <v>0</v>
      </c>
      <c r="BU23" s="132">
        <f t="shared" si="7"/>
        <v>1</v>
      </c>
      <c r="BV23" s="138">
        <f t="shared" si="8"/>
        <v>0</v>
      </c>
      <c r="BW23" s="132">
        <f t="shared" si="9"/>
        <v>1</v>
      </c>
      <c r="BX23" s="133"/>
      <c r="BY23" s="133"/>
    </row>
    <row r="24" ht="15" customHeight="1" spans="1:78">
      <c r="A24" s="123" t="str">
        <f>IF(B24="","",COUNT(A$6:A23)+1)</f>
        <v/>
      </c>
      <c r="B24" s="139"/>
      <c r="C24" s="141"/>
      <c r="D24" s="140"/>
      <c r="E24" s="140"/>
      <c r="F24" s="141"/>
      <c r="G24" s="142"/>
      <c r="H24" s="127" t="str">
        <f>IFERROR(VLOOKUP(G24,参数表!$H$2:$I$50,2,FALSE),"")</f>
        <v/>
      </c>
      <c r="I24" s="128" t="str">
        <f t="shared" si="3"/>
        <v/>
      </c>
      <c r="J24" s="143"/>
      <c r="K24" s="144"/>
      <c r="L24" s="129" t="str">
        <f t="shared" si="4"/>
        <v/>
      </c>
      <c r="M24" s="129" t="str">
        <f t="shared" si="0"/>
        <v/>
      </c>
      <c r="N24" s="145"/>
      <c r="BA24" s="78"/>
      <c r="BB24" s="132" t="s">
        <v>5493</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Q24" s="165" t="s">
        <v>1674</v>
      </c>
      <c r="BS24" s="134" t="str">
        <f>IF(COUNTIF(BS$6:BS23,C24)&gt;0,"",C24)&amp;""</f>
        <v/>
      </c>
      <c r="BT24" s="138">
        <f t="shared" si="6"/>
        <v>0</v>
      </c>
      <c r="BU24" s="132">
        <f t="shared" si="7"/>
        <v>1</v>
      </c>
      <c r="BV24" s="138">
        <f t="shared" si="8"/>
        <v>0</v>
      </c>
      <c r="BW24" s="132">
        <f t="shared" si="9"/>
        <v>1</v>
      </c>
      <c r="BX24" s="133"/>
      <c r="BY24" s="133"/>
    </row>
    <row r="25" ht="15" customHeight="1" spans="1:78">
      <c r="A25" s="123" t="str">
        <f>IF(B25="","",COUNT(A$6:A24)+1)</f>
        <v/>
      </c>
      <c r="B25" s="139"/>
      <c r="C25" s="141"/>
      <c r="D25" s="140"/>
      <c r="E25" s="140"/>
      <c r="F25" s="141"/>
      <c r="G25" s="142"/>
      <c r="H25" s="127" t="str">
        <f>IFERROR(VLOOKUP(G25,参数表!$H$2:$I$50,2,FALSE),"")</f>
        <v/>
      </c>
      <c r="I25" s="128" t="str">
        <f t="shared" si="3"/>
        <v/>
      </c>
      <c r="J25" s="143"/>
      <c r="K25" s="144"/>
      <c r="L25" s="129" t="str">
        <f t="shared" si="4"/>
        <v/>
      </c>
      <c r="M25" s="129" t="str">
        <f t="shared" si="0"/>
        <v/>
      </c>
      <c r="N25" s="145"/>
      <c r="BA25" s="78"/>
      <c r="BB25" s="132" t="s">
        <v>5494</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Q25" s="165" t="s">
        <v>1674</v>
      </c>
      <c r="BS25" s="134" t="str">
        <f>IF(COUNTIF(BS$6:BS24,C25)&gt;0,"",C25)&amp;""</f>
        <v/>
      </c>
      <c r="BT25" s="138">
        <f t="shared" si="6"/>
        <v>0</v>
      </c>
      <c r="BU25" s="132">
        <f t="shared" si="7"/>
        <v>1</v>
      </c>
      <c r="BV25" s="138">
        <f t="shared" si="8"/>
        <v>0</v>
      </c>
      <c r="BW25" s="132">
        <f t="shared" si="9"/>
        <v>1</v>
      </c>
      <c r="BX25" s="133"/>
      <c r="BY25" s="133"/>
    </row>
    <row r="26" ht="15" customHeight="1" spans="1:78">
      <c r="A26" s="123" t="str">
        <f>IF(B26="","",COUNT(A$6:A25)+1)</f>
        <v/>
      </c>
      <c r="B26" s="124"/>
      <c r="C26" s="126"/>
      <c r="D26" s="125"/>
      <c r="E26" s="125"/>
      <c r="F26" s="126"/>
      <c r="G26" s="127"/>
      <c r="H26" s="127" t="str">
        <f>IFERROR(VLOOKUP(G26,参数表!$H$2:$I$50,2,FALSE),"")</f>
        <v/>
      </c>
      <c r="I26" s="128" t="str">
        <f t="shared" si="3"/>
        <v/>
      </c>
      <c r="J26" s="129"/>
      <c r="K26" s="130"/>
      <c r="L26" s="129" t="str">
        <f t="shared" si="4"/>
        <v/>
      </c>
      <c r="M26" s="129" t="str">
        <f t="shared" si="0"/>
        <v/>
      </c>
      <c r="N26" s="131"/>
      <c r="BA26" s="78"/>
      <c r="BB26" s="132" t="s">
        <v>5495</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Q26" s="165" t="s">
        <v>1674</v>
      </c>
      <c r="BS26" s="134" t="str">
        <f>IF(COUNTIF(BS$6:BS25,C26)&gt;0,"",C26)&amp;""</f>
        <v/>
      </c>
      <c r="BT26" s="138">
        <f t="shared" si="6"/>
        <v>0</v>
      </c>
      <c r="BU26" s="132">
        <f t="shared" si="7"/>
        <v>1</v>
      </c>
      <c r="BV26" s="138">
        <f t="shared" si="8"/>
        <v>0</v>
      </c>
      <c r="BW26" s="132">
        <f t="shared" si="9"/>
        <v>1</v>
      </c>
      <c r="BX26" s="133"/>
      <c r="BY26" s="133"/>
    </row>
    <row r="27" s="73" customFormat="1" ht="15" customHeight="1" spans="1:78">
      <c r="A27" s="149" t="s">
        <v>4984</v>
      </c>
      <c r="B27" s="149"/>
      <c r="C27" s="149"/>
      <c r="D27" s="149"/>
      <c r="E27" s="149"/>
      <c r="F27" s="149"/>
      <c r="G27" s="151"/>
      <c r="H27" s="151"/>
      <c r="I27" s="151"/>
      <c r="J27" s="152">
        <f>SUM(J7:J26)</f>
        <v>0</v>
      </c>
      <c r="K27" s="153"/>
      <c r="L27" s="152">
        <f>SUM(L7:L26)</f>
        <v>0</v>
      </c>
      <c r="M27" s="152">
        <f>SUM(M7:M26)</f>
        <v>0</v>
      </c>
      <c r="N27" s="151"/>
      <c r="BF27" s="75"/>
      <c r="BG27" s="75"/>
      <c r="BH27" s="75"/>
      <c r="BI27" s="75"/>
      <c r="BJ27" s="75"/>
      <c r="BK27" s="75"/>
      <c r="BL27" s="75"/>
      <c r="BM27" s="75"/>
      <c r="BN27" s="75"/>
      <c r="BO27" s="75"/>
      <c r="BP27" s="75"/>
      <c r="BR27" s="111"/>
      <c r="BS27" s="119"/>
      <c r="BT27" s="77"/>
      <c r="BU27" s="77"/>
      <c r="BV27" s="77"/>
      <c r="BW27" s="119"/>
      <c r="BX27" s="119"/>
      <c r="BY27" s="119"/>
      <c r="BZ27" s="111"/>
    </row>
    <row r="28" spans="1:78">
      <c r="A28" s="102" t="str">
        <f>参数表!F$6</f>
        <v>产权持有单位填表人：贾广东</v>
      </c>
      <c r="B28" s="154"/>
      <c r="C28" s="154"/>
      <c r="D28" s="154"/>
      <c r="E28" s="154"/>
      <c r="F28" s="154"/>
      <c r="G28" s="154"/>
      <c r="H28" s="154"/>
      <c r="I28" s="154"/>
      <c r="J28" s="103"/>
      <c r="K28" s="104"/>
      <c r="L28" s="103"/>
      <c r="M28" s="156" t="str">
        <f>"评估人员："&amp;封面!$G$38</f>
        <v>评估人员：</v>
      </c>
      <c r="N28" s="103"/>
    </row>
    <row r="29" spans="1:78">
      <c r="A29" s="102" t="str">
        <f>参数表!F$7</f>
        <v>填表日期：2025年9月20日</v>
      </c>
      <c r="B29" s="154"/>
      <c r="C29" s="154"/>
      <c r="D29" s="154"/>
      <c r="E29" s="154"/>
      <c r="F29" s="154"/>
      <c r="G29" s="154"/>
      <c r="H29" s="154"/>
      <c r="I29" s="154"/>
      <c r="J29" s="103"/>
      <c r="K29" s="104"/>
      <c r="L29" s="103"/>
      <c r="M29" s="103"/>
      <c r="N29" s="103"/>
    </row>
    <row r="30" ht="13.5" hidden="1" customHeight="1" outlineLevel="1" spans="1:78">
      <c r="A30" s="157"/>
      <c r="B30" s="154" t="s">
        <v>1673</v>
      </c>
      <c r="C30" s="158"/>
      <c r="D30" s="158"/>
      <c r="E30" s="158"/>
      <c r="F30" s="158"/>
      <c r="G30" s="158"/>
      <c r="H30" s="158"/>
      <c r="I30" s="158"/>
      <c r="J30" s="159">
        <f>SUMIF($BA7:$BA26,$BA30,J7:J26)</f>
        <v>0</v>
      </c>
      <c r="K30" s="202"/>
      <c r="L30" s="159">
        <f>SUMIF($BA7:$BA26,$BA30,L7:L26)</f>
        <v>0</v>
      </c>
      <c r="M30" s="159">
        <f>SUMIF($BA7:$BA26,$BA30,M7:M26)</f>
        <v>0</v>
      </c>
      <c r="BA30" s="161" t="s">
        <v>1674</v>
      </c>
      <c r="BH30" s="162" t="s">
        <v>1675</v>
      </c>
      <c r="BI30" s="163"/>
      <c r="BJ30" s="162" t="s">
        <v>1675</v>
      </c>
      <c r="BK30" s="162" t="s">
        <v>1675</v>
      </c>
      <c r="BL30" s="162" t="s">
        <v>1675</v>
      </c>
      <c r="BM30" s="162" t="s">
        <v>1674</v>
      </c>
      <c r="BN30" s="162" t="s">
        <v>1674</v>
      </c>
    </row>
    <row r="31" ht="13.5" hidden="1" customHeight="1" outlineLevel="1" spans="1:78">
      <c r="A31" s="157"/>
      <c r="B31" s="154" t="s">
        <v>1676</v>
      </c>
      <c r="C31" s="158"/>
      <c r="D31" s="158"/>
      <c r="E31" s="158"/>
      <c r="F31" s="158"/>
      <c r="G31" s="158"/>
      <c r="H31" s="158"/>
      <c r="I31" s="158"/>
      <c r="J31" s="159">
        <f>J27-J30</f>
        <v>0</v>
      </c>
      <c r="K31" s="202"/>
      <c r="L31" s="159">
        <f>L27-L30</f>
        <v>0</v>
      </c>
      <c r="M31" s="159">
        <f>M27-M30</f>
        <v>0</v>
      </c>
      <c r="BA31" s="161" t="s">
        <v>1677</v>
      </c>
      <c r="BH31" s="162" t="s">
        <v>1678</v>
      </c>
      <c r="BI31" s="163"/>
      <c r="BJ31" s="162" t="s">
        <v>1678</v>
      </c>
      <c r="BK31" s="162" t="s">
        <v>1678</v>
      </c>
      <c r="BL31" s="162" t="s">
        <v>1678</v>
      </c>
      <c r="BM31" s="162" t="s">
        <v>1677</v>
      </c>
      <c r="BN31" s="162" t="s">
        <v>1677</v>
      </c>
    </row>
    <row r="32" collapsed="1" spans="1:78">
      <c r="A32" s="157"/>
      <c r="B32" s="158"/>
      <c r="C32" s="158"/>
      <c r="D32" s="158"/>
      <c r="E32" s="158"/>
      <c r="F32" s="158"/>
      <c r="G32" s="158"/>
      <c r="H32" s="158"/>
      <c r="I32" s="158"/>
    </row>
    <row r="33" spans="1:9">
      <c r="A33" s="157"/>
      <c r="B33" s="158"/>
      <c r="C33" s="158"/>
      <c r="D33" s="158"/>
      <c r="E33" s="158"/>
      <c r="F33" s="158"/>
      <c r="G33" s="158"/>
      <c r="H33" s="158"/>
      <c r="I33" s="158"/>
    </row>
    <row r="34" spans="1:9">
      <c r="A34" s="157"/>
      <c r="B34" s="158"/>
      <c r="C34" s="158"/>
      <c r="D34" s="158"/>
      <c r="E34" s="158"/>
      <c r="F34" s="158"/>
      <c r="G34" s="158"/>
      <c r="H34" s="158"/>
      <c r="I34" s="158"/>
    </row>
    <row r="35" spans="1:9">
      <c r="A35" s="157"/>
      <c r="B35" s="158"/>
      <c r="C35" s="158"/>
      <c r="D35" s="158"/>
      <c r="E35" s="158"/>
      <c r="F35" s="158"/>
      <c r="G35" s="158"/>
      <c r="H35" s="158"/>
      <c r="I35" s="158"/>
    </row>
    <row r="36" spans="1:9">
      <c r="A36" s="157"/>
      <c r="B36" s="158"/>
      <c r="C36" s="158"/>
      <c r="D36" s="158"/>
      <c r="E36" s="158"/>
      <c r="F36" s="158"/>
      <c r="G36" s="158"/>
      <c r="H36" s="158"/>
      <c r="I36" s="158"/>
    </row>
    <row r="37" spans="1:9">
      <c r="G37" s="158"/>
      <c r="H37" s="158"/>
      <c r="I37" s="158"/>
    </row>
  </sheetData>
  <sheetProtection autoFilter="0"/>
  <mergeCells count="6">
    <mergeCell ref="A2:N2"/>
    <mergeCell ref="A3:N3"/>
    <mergeCell ref="BX7:BZ7"/>
    <mergeCell ref="BX8:BZ8"/>
    <mergeCell ref="BY14:BZ14"/>
    <mergeCell ref="A27:B27"/>
  </mergeCells>
  <conditionalFormatting sqref="BI7:BI26">
    <cfRule type="expression" dxfId="5" priority="8" stopIfTrue="1">
      <formula>AND(BH7="有",BI7="")</formula>
    </cfRule>
  </conditionalFormatting>
  <conditionalFormatting sqref="BO7:BO26">
    <cfRule type="expression" dxfId="5" priority="5"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H7:BH26 BJ7:BN26">
    <cfRule type="expression" dxfId="5" priority="11" stopIfTrue="1">
      <formula>AND($B7&lt;&gt;"",BH7="")</formula>
    </cfRule>
  </conditionalFormatting>
  <dataValidations count="4">
    <dataValidation type="list" allowBlank="1" showInputMessage="1" showErrorMessage="1" sqref="G7:G26">
      <formula1>OFFSET(参数表!$H$2:$H$50,,,COUNTA(参数表!$H$2:$H$50))</formula1>
    </dataValidation>
    <dataValidation type="list" allowBlank="1" showInputMessage="1" showErrorMessage="1" sqref="BA7:BA26 BA30:BA31 BQ7:BQ26">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21" display="返回索引页"/>
    <hyperlink ref="B1" location="'非流动负债汇总 '!B7" display="返回"/>
  </hyperlinks>
  <printOptions horizontalCentered="1"/>
  <pageMargins left="0.393700787401575" right="0.393700787401575" top="0.984251968503937" bottom="0.393700787401575" header="0.984251968503937" footer="0.393700787401575"/>
  <pageSetup paperSize="9" fitToHeight="0" orientation="landscape" blackAndWhite="1" horizontalDpi="300" verticalDpi="300"/>
  <headerFooter alignWithMargins="0">
    <oddHeader>&amp;R&amp;"宋体,常规"&amp;11共&amp;N页，第&amp;P页&amp;"Times New Roman,常规"</oddHeader>
  </headerFooter>
  <legacyDrawing r:id="rId2"/>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5"/>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3.2"/>
  <cols>
    <col min="1" max="1" width="5.8" style="74" customWidth="1"/>
    <col min="2" max="2" width="13.5" style="75" customWidth="1"/>
    <col min="3" max="3" width="7.8" style="75" customWidth="1"/>
    <col min="4" max="4" width="4.2" style="75" customWidth="1"/>
    <col min="5" max="5" width="4.5" style="75" customWidth="1"/>
    <col min="6" max="7" width="5.6" style="75" customWidth="1"/>
    <col min="8" max="8" width="5.2" style="75" customWidth="1"/>
    <col min="9" max="10" width="6.7" style="75" customWidth="1"/>
    <col min="11" max="12" width="4.6" style="75" customWidth="1" outlineLevel="1"/>
    <col min="13" max="13" width="6.1" style="75" customWidth="1" outlineLevel="1"/>
    <col min="14" max="14" width="11" style="75" customWidth="1" outlineLevel="1"/>
    <col min="15" max="15" width="11" style="76" customWidth="1" outlineLevel="1"/>
    <col min="16" max="17" width="11" style="75" customWidth="1"/>
    <col min="18" max="18" width="6.6" style="75" customWidth="1"/>
    <col min="19" max="19" width="9.2" style="75" customWidth="1"/>
    <col min="20" max="52" width="9" style="75" hidden="1" customWidth="1" outlineLevel="1"/>
    <col min="53" max="53" width="14.7" style="75" customWidth="1" collapsed="1"/>
    <col min="54" max="54" width="6.7" style="75" customWidth="1"/>
    <col min="55" max="56" width="5" style="75" customWidth="1"/>
    <col min="57" max="57" width="8.6" style="75" customWidth="1"/>
    <col min="58" max="59" width="10" style="75" customWidth="1"/>
    <col min="60" max="60" width="4.7" style="75" customWidth="1"/>
    <col min="61" max="61" width="11.5" style="75" customWidth="1"/>
    <col min="62" max="65" width="4.7" style="75" customWidth="1"/>
    <col min="66" max="66" width="6.7" style="75" customWidth="1"/>
    <col min="67" max="67" width="10.3" style="75" customWidth="1"/>
    <col min="68" max="68" width="8.6"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86" customFormat="1" ht="13.8" spans="1:77">
      <c r="A1" s="203" t="s">
        <v>1591</v>
      </c>
      <c r="B1" s="204" t="s">
        <v>1592</v>
      </c>
      <c r="C1" s="82"/>
      <c r="D1" s="82"/>
      <c r="E1" s="82"/>
      <c r="F1" s="82"/>
      <c r="G1" s="82"/>
      <c r="H1" s="82"/>
      <c r="I1" s="82"/>
      <c r="J1" s="82"/>
      <c r="K1" s="82"/>
      <c r="L1" s="82"/>
      <c r="M1" s="82"/>
      <c r="N1" s="82"/>
      <c r="O1" s="205"/>
      <c r="P1" s="82"/>
      <c r="Q1" s="82"/>
      <c r="R1" s="82"/>
      <c r="S1" s="82"/>
      <c r="BA1" s="84" t="str">
        <f>参数表!BA1</f>
        <v>注意：补充特殊事项、作价等均从BA列开始填写</v>
      </c>
      <c r="BB1" s="85"/>
      <c r="BD1" s="85"/>
      <c r="BQ1" s="87"/>
      <c r="BR1" s="88"/>
      <c r="BS1" s="87"/>
      <c r="BT1" s="88"/>
      <c r="BU1" s="88"/>
      <c r="BV1" s="88"/>
      <c r="BW1" s="88"/>
      <c r="BX1" s="88"/>
      <c r="BY1" s="87"/>
    </row>
    <row r="2" s="71" customFormat="1" ht="30" customHeight="1" spans="1:77">
      <c r="A2" s="89" t="s">
        <v>5496</v>
      </c>
      <c r="B2" s="89"/>
      <c r="C2" s="89"/>
      <c r="D2" s="89"/>
      <c r="E2" s="89"/>
      <c r="F2" s="89"/>
      <c r="G2" s="89"/>
      <c r="H2" s="89"/>
      <c r="I2" s="89"/>
      <c r="J2" s="89"/>
      <c r="K2" s="89"/>
      <c r="L2" s="89"/>
      <c r="M2" s="89"/>
      <c r="N2" s="89"/>
      <c r="O2" s="89"/>
      <c r="P2" s="89"/>
      <c r="Q2" s="89"/>
      <c r="R2" s="89"/>
      <c r="S2" s="89"/>
      <c r="BA2" s="90" t="str">
        <f>参数表!BA2</f>
        <v>评估基准日：</v>
      </c>
      <c r="BB2" s="91" t="str">
        <f>参数表!BB2</f>
        <v>2025年7月31日</v>
      </c>
      <c r="BD2" s="182"/>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4"/>
      <c r="M3" s="94"/>
      <c r="N3" s="95"/>
      <c r="O3" s="95"/>
      <c r="P3" s="95"/>
      <c r="Q3" s="95"/>
      <c r="R3" s="95"/>
      <c r="S3" s="95"/>
      <c r="BA3" s="90" t="str">
        <f>参数表!BA3</f>
        <v>是否显示评估值：</v>
      </c>
      <c r="BB3" s="90" t="str">
        <f>参数表!BB3</f>
        <v>是</v>
      </c>
      <c r="BD3" s="85"/>
      <c r="BS3" s="78"/>
    </row>
    <row r="4" ht="15" customHeight="1" spans="1:77">
      <c r="A4" s="96"/>
      <c r="B4" s="94"/>
      <c r="C4" s="94"/>
      <c r="D4" s="94"/>
      <c r="E4" s="94"/>
      <c r="F4" s="94"/>
      <c r="G4" s="94"/>
      <c r="H4" s="94"/>
      <c r="I4" s="94"/>
      <c r="J4" s="94"/>
      <c r="K4" s="94"/>
      <c r="L4" s="94"/>
      <c r="M4" s="94"/>
      <c r="N4" s="95"/>
      <c r="O4" s="206"/>
      <c r="P4" s="95"/>
      <c r="Q4" s="95"/>
      <c r="R4" s="95"/>
      <c r="S4" s="98" t="str">
        <f>"表"&amp;$BA4</f>
        <v>表6-3</v>
      </c>
      <c r="BA4" s="99" t="str">
        <f>非流动负总!A9</f>
        <v>6-3</v>
      </c>
      <c r="BB4" s="100">
        <f>MAX(COUNTA(A7:A26),COUNTA(B7:B26),COUNTA(N7:N26),COUNTA(P7:P26))</f>
        <v>20</v>
      </c>
      <c r="BC4" s="101">
        <f>ROW(A6)+1</f>
        <v>7</v>
      </c>
      <c r="BD4" s="77"/>
      <c r="BE4" s="77"/>
      <c r="BS4" s="78"/>
    </row>
    <row r="5" ht="15" customHeight="1" spans="1:77">
      <c r="A5" s="102" t="str">
        <f>参数表!F3</f>
        <v>产权持有单位:中煤第五建设有限公司</v>
      </c>
      <c r="B5" s="103"/>
      <c r="C5" s="103"/>
      <c r="D5" s="103"/>
      <c r="E5" s="103"/>
      <c r="F5" s="103"/>
      <c r="G5" s="103"/>
      <c r="H5" s="103"/>
      <c r="I5" s="103"/>
      <c r="J5" s="103"/>
      <c r="K5" s="103"/>
      <c r="L5" s="103"/>
      <c r="M5" s="103"/>
      <c r="N5" s="103"/>
      <c r="O5" s="104"/>
      <c r="P5" s="103"/>
      <c r="Q5" s="103"/>
      <c r="R5" s="103"/>
      <c r="S5" s="98" t="s">
        <v>236</v>
      </c>
      <c r="BA5" s="103"/>
      <c r="BB5" s="105" t="str">
        <f ca="1">判断表!C120</f>
        <v>中煤第五建设有限公司第三工程处拟处置实物资产项目\[0000-3基础法明细表.xlsx]租赁负</v>
      </c>
      <c r="BC5" s="106">
        <f>IFERROR(SUMIF(BC7:BC26,"√",P7:P26)/P27,0)</f>
        <v>0</v>
      </c>
      <c r="BD5" s="107"/>
      <c r="BE5" s="107"/>
      <c r="BF5" s="108">
        <f>分类汇总!$I62</f>
        <v>0</v>
      </c>
      <c r="BG5" s="108">
        <f>分类汇总!$K62</f>
        <v>0</v>
      </c>
      <c r="BH5" s="109"/>
      <c r="BI5" s="109"/>
      <c r="BJ5" s="109"/>
      <c r="BK5" s="109"/>
      <c r="BL5" s="109"/>
      <c r="BM5" s="109"/>
      <c r="BN5" s="109"/>
      <c r="BO5" s="110"/>
      <c r="BP5" s="110"/>
      <c r="BQ5" s="111"/>
      <c r="BS5" s="78"/>
      <c r="BX5" s="194"/>
      <c r="BY5" s="111"/>
    </row>
    <row r="6" s="72" customFormat="1" ht="26.55" customHeight="1" spans="1:77">
      <c r="A6" s="207" t="s">
        <v>305</v>
      </c>
      <c r="B6" s="208" t="s">
        <v>4532</v>
      </c>
      <c r="C6" s="208" t="s">
        <v>4533</v>
      </c>
      <c r="D6" s="208" t="s">
        <v>2176</v>
      </c>
      <c r="E6" s="208" t="s">
        <v>4534</v>
      </c>
      <c r="F6" s="208" t="s">
        <v>3637</v>
      </c>
      <c r="G6" s="209" t="s">
        <v>3777</v>
      </c>
      <c r="H6" s="209" t="s">
        <v>4535</v>
      </c>
      <c r="I6" s="209" t="s">
        <v>4536</v>
      </c>
      <c r="J6" s="209" t="s">
        <v>4537</v>
      </c>
      <c r="K6" s="114" t="s">
        <v>1631</v>
      </c>
      <c r="L6" s="115" t="s">
        <v>1632</v>
      </c>
      <c r="M6" s="116" t="s">
        <v>3793</v>
      </c>
      <c r="N6" s="210" t="s">
        <v>1549</v>
      </c>
      <c r="O6" s="211" t="s">
        <v>1634</v>
      </c>
      <c r="P6" s="210" t="s">
        <v>1567</v>
      </c>
      <c r="Q6" s="210" t="s">
        <v>1524</v>
      </c>
      <c r="R6" s="208" t="s">
        <v>1551</v>
      </c>
      <c r="S6" s="149"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5" t="s">
        <v>1686</v>
      </c>
      <c r="BN6" s="115" t="s">
        <v>1687</v>
      </c>
      <c r="BO6" s="118" t="s">
        <v>2063</v>
      </c>
      <c r="BP6" s="118" t="s">
        <v>1644</v>
      </c>
      <c r="BQ6" s="119"/>
      <c r="BR6" s="120" t="s">
        <v>1645</v>
      </c>
      <c r="BS6" s="121" t="s">
        <v>1646</v>
      </c>
      <c r="BT6" s="121" t="s">
        <v>1647</v>
      </c>
      <c r="BU6" s="121" t="s">
        <v>1648</v>
      </c>
      <c r="BV6" s="121" t="s">
        <v>1647</v>
      </c>
      <c r="BW6" s="121" t="s">
        <v>1647</v>
      </c>
      <c r="BX6" s="121" t="s">
        <v>1649</v>
      </c>
      <c r="BY6" s="122" t="s">
        <v>1650</v>
      </c>
    </row>
    <row r="7" s="72" customFormat="1" ht="15" customHeight="1" spans="1:77">
      <c r="A7" s="123" t="str">
        <f>IF(B7="","",COUNT(A$6:A6)+1)</f>
        <v/>
      </c>
      <c r="B7" s="124"/>
      <c r="C7" s="124"/>
      <c r="D7" s="126"/>
      <c r="E7" s="124"/>
      <c r="F7" s="212"/>
      <c r="G7" s="125"/>
      <c r="H7" s="213"/>
      <c r="I7" s="214"/>
      <c r="J7" s="126"/>
      <c r="K7" s="127"/>
      <c r="L7" s="127" t="str">
        <f>IFERROR(VLOOKUP(K7,参数表!$H$2:$I$50,2,FALSE),"")</f>
        <v/>
      </c>
      <c r="M7" s="128" t="str">
        <f>IFERROR(IF(OR(K7="人民币",K7=""),"",P7/L7),"")</f>
        <v/>
      </c>
      <c r="N7" s="129"/>
      <c r="O7" s="130"/>
      <c r="P7" s="129" t="str">
        <f>IF(B7="","",N7+O7)</f>
        <v/>
      </c>
      <c r="Q7" s="129" t="str">
        <f t="shared" ref="Q7:Q26" si="0">IF(B7="","",IF($BB$3="是",P7,""))</f>
        <v/>
      </c>
      <c r="R7" s="129" t="str">
        <f>IFERROR((Q7-P7)/P7*100,"")</f>
        <v/>
      </c>
      <c r="S7" s="131"/>
      <c r="BA7" s="78"/>
      <c r="BB7" s="132" t="s">
        <v>5497</v>
      </c>
      <c r="BC7" s="133"/>
      <c r="BD7" s="132" t="str">
        <f>IF(OR(B7="",BC7=""),"",COUNTIF(BC$7:BC7,"√"))</f>
        <v/>
      </c>
      <c r="BE7" s="134" t="str">
        <f t="shared" ref="BE7:BE26" si="1">IF(BC7="","",BB7&amp;"︱"&amp;B7&amp;"︱"&amp;TEXT(N7,"#,##0.00"))</f>
        <v/>
      </c>
      <c r="BF7" s="135" t="str">
        <f>IF($B7="","",IF(BF$5=0,"OK","出错"))</f>
        <v/>
      </c>
      <c r="BG7" s="135" t="str">
        <f>IF($B7="","",IF(BG$5=0,"OK","出错"))</f>
        <v/>
      </c>
      <c r="BH7" s="215"/>
      <c r="BI7" s="216"/>
      <c r="BJ7" s="215"/>
      <c r="BK7" s="215"/>
      <c r="BL7" s="215"/>
      <c r="BM7" s="215"/>
      <c r="BN7" s="215"/>
      <c r="BO7" s="216"/>
      <c r="BP7" s="137"/>
      <c r="BQ7" s="77"/>
      <c r="BR7" s="134" t="str">
        <f>IF(COUNTIF(BR$6:BR6,B7)&gt;0,"",B7)&amp;""</f>
        <v/>
      </c>
      <c r="BS7" s="138">
        <f>SUMIF(B$7:B$26,BR7,P$7:P$26)</f>
        <v>0</v>
      </c>
      <c r="BT7" s="132">
        <f t="shared" ref="BT7" si="2">RANK(BS7,BS$7:BS$26)</f>
        <v>1</v>
      </c>
      <c r="BU7" s="138">
        <f>SUMIF(B$7:B$26,BR7,Q$7:Q$26)</f>
        <v>0</v>
      </c>
      <c r="BV7" s="132">
        <f>RANK(BU7,BU$7:BU$26)</f>
        <v>1</v>
      </c>
      <c r="BW7" s="138">
        <f>SUM(BS7:BS26)</f>
        <v>0</v>
      </c>
      <c r="BX7" s="138"/>
      <c r="BY7" s="138"/>
    </row>
    <row r="8" ht="15" customHeight="1" spans="1:77">
      <c r="A8" s="123" t="str">
        <f>IF(B8="","",COUNT(A$6:A7)+1)</f>
        <v/>
      </c>
      <c r="B8" s="139"/>
      <c r="C8" s="139"/>
      <c r="D8" s="141"/>
      <c r="E8" s="139"/>
      <c r="F8" s="217"/>
      <c r="G8" s="140"/>
      <c r="H8" s="218"/>
      <c r="I8" s="219"/>
      <c r="J8" s="141"/>
      <c r="K8" s="142"/>
      <c r="L8" s="127" t="str">
        <f>IFERROR(VLOOKUP(K8,参数表!$H$2:$I$50,2,FALSE),"")</f>
        <v/>
      </c>
      <c r="M8" s="128" t="str">
        <f t="shared" ref="M8:M26" si="3">IFERROR(IF(OR(K8="人民币",K8=""),"",P8/L8),"")</f>
        <v/>
      </c>
      <c r="N8" s="143"/>
      <c r="O8" s="144"/>
      <c r="P8" s="129" t="str">
        <f t="shared" ref="P8:P26" si="4">IF(B8="","",N8+O8)</f>
        <v/>
      </c>
      <c r="Q8" s="129" t="str">
        <f t="shared" si="0"/>
        <v/>
      </c>
      <c r="R8" s="129" t="str">
        <f t="shared" ref="R8:R27" si="5">IFERROR((Q8-P8)/P8*100,"")</f>
        <v/>
      </c>
      <c r="S8" s="145"/>
      <c r="BA8" s="78"/>
      <c r="BB8" s="132" t="s">
        <v>5498</v>
      </c>
      <c r="BC8" s="133"/>
      <c r="BD8" s="132" t="str">
        <f>IF(OR(B8="",BC8=""),"",COUNTIF(BC$7:BC8,"√"))</f>
        <v/>
      </c>
      <c r="BE8" s="134" t="str">
        <f t="shared" si="1"/>
        <v/>
      </c>
      <c r="BF8" s="135" t="str">
        <f t="shared" ref="BF8:BG26" si="6">IF($B8="","",IF(BF$5=0,"OK","出错"))</f>
        <v/>
      </c>
      <c r="BG8" s="135" t="str">
        <f t="shared" si="6"/>
        <v/>
      </c>
      <c r="BH8" s="215"/>
      <c r="BI8" s="137"/>
      <c r="BJ8" s="215"/>
      <c r="BK8" s="215"/>
      <c r="BL8" s="215"/>
      <c r="BM8" s="215"/>
      <c r="BN8" s="215"/>
      <c r="BO8" s="137"/>
      <c r="BP8" s="137"/>
      <c r="BR8" s="134" t="str">
        <f>IF(COUNTIF(BR$6:BR7,B8)&gt;0,"",B8)&amp;""</f>
        <v/>
      </c>
      <c r="BS8" s="138">
        <f t="shared" ref="BS8:BS26" si="7">SUMIF(B$7:B$26,BR8,P$7:P$26)</f>
        <v>0</v>
      </c>
      <c r="BT8" s="132">
        <f t="shared" ref="BT8:BT26" si="8">RANK(BS8,BS$7:BS$26)</f>
        <v>1</v>
      </c>
      <c r="BU8" s="138">
        <f t="shared" ref="BU8:BU26" si="9">SUMIF(B$7:B$26,BR8,Q$7:Q$26)</f>
        <v>0</v>
      </c>
      <c r="BV8" s="132">
        <f t="shared" ref="BV8:BV26" si="10">RANK(BU8,BU$7:BU$26)</f>
        <v>1</v>
      </c>
      <c r="BW8" s="138">
        <f>SUM(BU7:BU26)</f>
        <v>0</v>
      </c>
      <c r="BX8" s="138"/>
      <c r="BY8" s="138"/>
    </row>
    <row r="9" ht="15" customHeight="1" spans="1:77">
      <c r="A9" s="123" t="str">
        <f>IF(B9="","",COUNT(A$6:A8)+1)</f>
        <v/>
      </c>
      <c r="B9" s="139"/>
      <c r="C9" s="139"/>
      <c r="D9" s="141"/>
      <c r="E9" s="139"/>
      <c r="F9" s="217"/>
      <c r="G9" s="140"/>
      <c r="H9" s="218"/>
      <c r="I9" s="219"/>
      <c r="J9" s="141"/>
      <c r="K9" s="142"/>
      <c r="L9" s="127" t="str">
        <f>IFERROR(VLOOKUP(K9,参数表!$H$2:$I$50,2,FALSE),"")</f>
        <v/>
      </c>
      <c r="M9" s="128" t="str">
        <f t="shared" si="3"/>
        <v/>
      </c>
      <c r="N9" s="143"/>
      <c r="O9" s="144"/>
      <c r="P9" s="129" t="str">
        <f t="shared" si="4"/>
        <v/>
      </c>
      <c r="Q9" s="129" t="str">
        <f t="shared" si="0"/>
        <v/>
      </c>
      <c r="R9" s="129" t="str">
        <f t="shared" si="5"/>
        <v/>
      </c>
      <c r="S9" s="145"/>
      <c r="BA9" s="78"/>
      <c r="BB9" s="132" t="s">
        <v>5499</v>
      </c>
      <c r="BC9" s="133"/>
      <c r="BD9" s="132" t="str">
        <f>IF(OR(B9="",BC9=""),"",COUNTIF(BC$7:BC9,"√"))</f>
        <v/>
      </c>
      <c r="BE9" s="134" t="str">
        <f t="shared" si="1"/>
        <v/>
      </c>
      <c r="BF9" s="135" t="str">
        <f t="shared" si="6"/>
        <v/>
      </c>
      <c r="BG9" s="135" t="str">
        <f t="shared" si="6"/>
        <v/>
      </c>
      <c r="BH9" s="215"/>
      <c r="BI9" s="137"/>
      <c r="BJ9" s="215"/>
      <c r="BK9" s="215"/>
      <c r="BL9" s="215"/>
      <c r="BM9" s="215"/>
      <c r="BN9" s="215"/>
      <c r="BO9" s="137"/>
      <c r="BP9" s="137"/>
      <c r="BR9" s="134" t="str">
        <f>IF(COUNTIF(BR$6:BR8,B9)&gt;0,"",B9)&amp;""</f>
        <v/>
      </c>
      <c r="BS9" s="138">
        <f t="shared" si="7"/>
        <v>0</v>
      </c>
      <c r="BT9" s="132">
        <f t="shared" si="8"/>
        <v>1</v>
      </c>
      <c r="BU9" s="138">
        <f t="shared" si="9"/>
        <v>0</v>
      </c>
      <c r="BV9" s="132">
        <f t="shared" si="10"/>
        <v>1</v>
      </c>
      <c r="BW9" s="132">
        <v>1</v>
      </c>
      <c r="BX9" s="134" t="str">
        <f>IFERROR(INDEX(BR$7:BR$26,MATCH(BW9,IF(BW$7=0,BV$7:BV$26,BT$7:BT$26),0))&amp;"","")</f>
        <v/>
      </c>
      <c r="BY9" s="146" t="str">
        <f>IF(BX10="","",IF(BX11="","和","、"))</f>
        <v/>
      </c>
    </row>
    <row r="10" ht="15" customHeight="1" spans="1:77">
      <c r="A10" s="123" t="str">
        <f>IF(B10="","",COUNT(A$6:A9)+1)</f>
        <v/>
      </c>
      <c r="B10" s="139"/>
      <c r="C10" s="139"/>
      <c r="D10" s="141"/>
      <c r="E10" s="139"/>
      <c r="F10" s="217"/>
      <c r="G10" s="140"/>
      <c r="H10" s="218"/>
      <c r="I10" s="219"/>
      <c r="J10" s="141"/>
      <c r="K10" s="142"/>
      <c r="L10" s="127" t="str">
        <f>IFERROR(VLOOKUP(K10,参数表!$H$2:$I$50,2,FALSE),"")</f>
        <v/>
      </c>
      <c r="M10" s="128" t="str">
        <f t="shared" si="3"/>
        <v/>
      </c>
      <c r="N10" s="143"/>
      <c r="O10" s="144"/>
      <c r="P10" s="129" t="str">
        <f t="shared" si="4"/>
        <v/>
      </c>
      <c r="Q10" s="129" t="str">
        <f t="shared" si="0"/>
        <v/>
      </c>
      <c r="R10" s="129" t="str">
        <f t="shared" si="5"/>
        <v/>
      </c>
      <c r="S10" s="145"/>
      <c r="BA10" s="78"/>
      <c r="BB10" s="132" t="s">
        <v>5500</v>
      </c>
      <c r="BC10" s="133"/>
      <c r="BD10" s="132" t="str">
        <f>IF(OR(B10="",BC10=""),"",COUNTIF(BC$7:BC10,"√"))</f>
        <v/>
      </c>
      <c r="BE10" s="134" t="str">
        <f t="shared" si="1"/>
        <v/>
      </c>
      <c r="BF10" s="135" t="str">
        <f t="shared" si="6"/>
        <v/>
      </c>
      <c r="BG10" s="135" t="str">
        <f t="shared" si="6"/>
        <v/>
      </c>
      <c r="BH10" s="215"/>
      <c r="BI10" s="137"/>
      <c r="BJ10" s="215"/>
      <c r="BK10" s="215"/>
      <c r="BL10" s="215"/>
      <c r="BM10" s="215"/>
      <c r="BN10" s="215"/>
      <c r="BO10" s="137"/>
      <c r="BP10" s="137"/>
      <c r="BR10" s="134" t="str">
        <f>IF(COUNTIF(BR$6:BR9,B10)&gt;0,"",B10)&amp;""</f>
        <v/>
      </c>
      <c r="BS10" s="138">
        <f t="shared" si="7"/>
        <v>0</v>
      </c>
      <c r="BT10" s="132">
        <f t="shared" si="8"/>
        <v>1</v>
      </c>
      <c r="BU10" s="138">
        <f t="shared" si="9"/>
        <v>0</v>
      </c>
      <c r="BV10" s="132">
        <f t="shared" si="10"/>
        <v>1</v>
      </c>
      <c r="BW10" s="132">
        <v>2</v>
      </c>
      <c r="BX10" s="134" t="str">
        <f t="shared" ref="BX10:BX13" si="11">IFERROR(INDEX(BR$7:BR$26,MATCH(BW10,IF(BW$7=0,BV$7:BV$26,BT$7:BT$26),0))&amp;"","")</f>
        <v/>
      </c>
      <c r="BY10" s="146" t="str">
        <f t="shared" ref="BY10:BY11" si="12">IF(BX11="","",IF(BX12="","和","、"))</f>
        <v/>
      </c>
    </row>
    <row r="11" ht="15" customHeight="1" spans="1:77">
      <c r="A11" s="123" t="str">
        <f>IF(B11="","",COUNT(A$6:A10)+1)</f>
        <v/>
      </c>
      <c r="B11" s="139"/>
      <c r="C11" s="139"/>
      <c r="D11" s="141"/>
      <c r="E11" s="139"/>
      <c r="F11" s="217"/>
      <c r="G11" s="140"/>
      <c r="H11" s="218"/>
      <c r="I11" s="219"/>
      <c r="J11" s="141"/>
      <c r="K11" s="142"/>
      <c r="L11" s="127" t="str">
        <f>IFERROR(VLOOKUP(K11,参数表!$H$2:$I$50,2,FALSE),"")</f>
        <v/>
      </c>
      <c r="M11" s="128" t="str">
        <f t="shared" si="3"/>
        <v/>
      </c>
      <c r="N11" s="143"/>
      <c r="O11" s="144"/>
      <c r="P11" s="129" t="str">
        <f t="shared" si="4"/>
        <v/>
      </c>
      <c r="Q11" s="129" t="str">
        <f t="shared" si="0"/>
        <v/>
      </c>
      <c r="R11" s="129" t="str">
        <f t="shared" si="5"/>
        <v/>
      </c>
      <c r="S11" s="145"/>
      <c r="BA11" s="78"/>
      <c r="BB11" s="132" t="s">
        <v>5501</v>
      </c>
      <c r="BC11" s="133"/>
      <c r="BD11" s="132" t="str">
        <f>IF(OR(B11="",BC11=""),"",COUNTIF(BC$7:BC11,"√"))</f>
        <v/>
      </c>
      <c r="BE11" s="134" t="str">
        <f t="shared" si="1"/>
        <v/>
      </c>
      <c r="BF11" s="135" t="str">
        <f t="shared" si="6"/>
        <v/>
      </c>
      <c r="BG11" s="135" t="str">
        <f t="shared" si="6"/>
        <v/>
      </c>
      <c r="BH11" s="215"/>
      <c r="BI11" s="137"/>
      <c r="BJ11" s="215"/>
      <c r="BK11" s="215"/>
      <c r="BL11" s="215"/>
      <c r="BM11" s="215"/>
      <c r="BN11" s="215"/>
      <c r="BO11" s="137"/>
      <c r="BP11" s="137"/>
      <c r="BR11" s="134" t="str">
        <f>IF(COUNTIF(BR$6:BR10,B11)&gt;0,"",B11)&amp;""</f>
        <v/>
      </c>
      <c r="BS11" s="138">
        <f t="shared" si="7"/>
        <v>0</v>
      </c>
      <c r="BT11" s="132">
        <f t="shared" si="8"/>
        <v>1</v>
      </c>
      <c r="BU11" s="138">
        <f t="shared" si="9"/>
        <v>0</v>
      </c>
      <c r="BV11" s="132">
        <f t="shared" si="10"/>
        <v>1</v>
      </c>
      <c r="BW11" s="132">
        <v>3</v>
      </c>
      <c r="BX11" s="134" t="str">
        <f t="shared" si="11"/>
        <v/>
      </c>
      <c r="BY11" s="146" t="str">
        <f t="shared" si="12"/>
        <v/>
      </c>
    </row>
    <row r="12" ht="15" customHeight="1" spans="1:77">
      <c r="A12" s="123" t="str">
        <f>IF(B12="","",COUNT(A$6:A11)+1)</f>
        <v/>
      </c>
      <c r="B12" s="139"/>
      <c r="C12" s="139"/>
      <c r="D12" s="141"/>
      <c r="E12" s="139"/>
      <c r="F12" s="217"/>
      <c r="G12" s="140"/>
      <c r="H12" s="218"/>
      <c r="I12" s="219"/>
      <c r="J12" s="141"/>
      <c r="K12" s="142"/>
      <c r="L12" s="127" t="str">
        <f>IFERROR(VLOOKUP(K12,参数表!$H$2:$I$50,2,FALSE),"")</f>
        <v/>
      </c>
      <c r="M12" s="128" t="str">
        <f t="shared" si="3"/>
        <v/>
      </c>
      <c r="N12" s="143"/>
      <c r="O12" s="144"/>
      <c r="P12" s="129" t="str">
        <f t="shared" si="4"/>
        <v/>
      </c>
      <c r="Q12" s="129" t="str">
        <f t="shared" si="0"/>
        <v/>
      </c>
      <c r="R12" s="129" t="str">
        <f t="shared" si="5"/>
        <v/>
      </c>
      <c r="S12" s="145"/>
      <c r="BA12" s="78"/>
      <c r="BB12" s="132" t="s">
        <v>5502</v>
      </c>
      <c r="BC12" s="133"/>
      <c r="BD12" s="132" t="str">
        <f>IF(OR(B12="",BC12=""),"",COUNTIF(BC$7:BC12,"√"))</f>
        <v/>
      </c>
      <c r="BE12" s="134" t="str">
        <f t="shared" si="1"/>
        <v/>
      </c>
      <c r="BF12" s="135" t="str">
        <f t="shared" si="6"/>
        <v/>
      </c>
      <c r="BG12" s="135" t="str">
        <f t="shared" si="6"/>
        <v/>
      </c>
      <c r="BH12" s="215"/>
      <c r="BI12" s="137"/>
      <c r="BJ12" s="215"/>
      <c r="BK12" s="215"/>
      <c r="BL12" s="215"/>
      <c r="BM12" s="215"/>
      <c r="BN12" s="215"/>
      <c r="BO12" s="137"/>
      <c r="BP12" s="137"/>
      <c r="BR12" s="134" t="str">
        <f>IF(COUNTIF(BR$6:BR11,B12)&gt;0,"",B12)&amp;""</f>
        <v/>
      </c>
      <c r="BS12" s="138">
        <f t="shared" si="7"/>
        <v>0</v>
      </c>
      <c r="BT12" s="132">
        <f t="shared" si="8"/>
        <v>1</v>
      </c>
      <c r="BU12" s="138">
        <f t="shared" si="9"/>
        <v>0</v>
      </c>
      <c r="BV12" s="132">
        <f t="shared" si="10"/>
        <v>1</v>
      </c>
      <c r="BW12" s="132">
        <v>4</v>
      </c>
      <c r="BX12" s="134" t="str">
        <f t="shared" si="11"/>
        <v/>
      </c>
      <c r="BY12" s="146" t="str">
        <f>IF(BX13="","","和")</f>
        <v/>
      </c>
    </row>
    <row r="13" ht="15" customHeight="1" spans="1:77">
      <c r="A13" s="123" t="str">
        <f>IF(B13="","",COUNT(A$6:A12)+1)</f>
        <v/>
      </c>
      <c r="B13" s="139"/>
      <c r="C13" s="139"/>
      <c r="D13" s="141"/>
      <c r="E13" s="139"/>
      <c r="F13" s="217"/>
      <c r="G13" s="140"/>
      <c r="H13" s="218"/>
      <c r="I13" s="219"/>
      <c r="J13" s="141"/>
      <c r="K13" s="142"/>
      <c r="L13" s="127" t="str">
        <f>IFERROR(VLOOKUP(K13,参数表!$H$2:$I$50,2,FALSE),"")</f>
        <v/>
      </c>
      <c r="M13" s="128" t="str">
        <f t="shared" si="3"/>
        <v/>
      </c>
      <c r="N13" s="143"/>
      <c r="O13" s="144"/>
      <c r="P13" s="129" t="str">
        <f t="shared" si="4"/>
        <v/>
      </c>
      <c r="Q13" s="129" t="str">
        <f t="shared" si="0"/>
        <v/>
      </c>
      <c r="R13" s="129" t="str">
        <f t="shared" si="5"/>
        <v/>
      </c>
      <c r="S13" s="145"/>
      <c r="BA13" s="78"/>
      <c r="BB13" s="132" t="s">
        <v>5503</v>
      </c>
      <c r="BC13" s="133"/>
      <c r="BD13" s="132" t="str">
        <f>IF(OR(B13="",BC13=""),"",COUNTIF(BC$7:BC13,"√"))</f>
        <v/>
      </c>
      <c r="BE13" s="134" t="str">
        <f t="shared" si="1"/>
        <v/>
      </c>
      <c r="BF13" s="135" t="str">
        <f t="shared" si="6"/>
        <v/>
      </c>
      <c r="BG13" s="135" t="str">
        <f t="shared" si="6"/>
        <v/>
      </c>
      <c r="BH13" s="215"/>
      <c r="BI13" s="137"/>
      <c r="BJ13" s="215"/>
      <c r="BK13" s="215"/>
      <c r="BL13" s="215"/>
      <c r="BM13" s="215"/>
      <c r="BN13" s="215"/>
      <c r="BO13" s="137"/>
      <c r="BP13" s="137"/>
      <c r="BR13" s="134" t="str">
        <f>IF(COUNTIF(BR$6:BR12,B13)&gt;0,"",B13)&amp;""</f>
        <v/>
      </c>
      <c r="BS13" s="138">
        <f t="shared" si="7"/>
        <v>0</v>
      </c>
      <c r="BT13" s="132">
        <f t="shared" si="8"/>
        <v>1</v>
      </c>
      <c r="BU13" s="138">
        <f t="shared" si="9"/>
        <v>0</v>
      </c>
      <c r="BV13" s="132">
        <f t="shared" si="10"/>
        <v>1</v>
      </c>
      <c r="BW13" s="132">
        <v>5</v>
      </c>
      <c r="BX13" s="134" t="str">
        <f t="shared" si="11"/>
        <v/>
      </c>
      <c r="BY13" s="146"/>
    </row>
    <row r="14" ht="15" customHeight="1" spans="1:77">
      <c r="A14" s="123" t="str">
        <f>IF(B14="","",COUNT(A$6:A13)+1)</f>
        <v/>
      </c>
      <c r="B14" s="139"/>
      <c r="C14" s="139"/>
      <c r="D14" s="141"/>
      <c r="E14" s="139"/>
      <c r="F14" s="217"/>
      <c r="G14" s="140"/>
      <c r="H14" s="218"/>
      <c r="I14" s="219"/>
      <c r="J14" s="141"/>
      <c r="K14" s="142"/>
      <c r="L14" s="127" t="str">
        <f>IFERROR(VLOOKUP(K14,参数表!$H$2:$I$50,2,FALSE),"")</f>
        <v/>
      </c>
      <c r="M14" s="128" t="str">
        <f t="shared" si="3"/>
        <v/>
      </c>
      <c r="N14" s="143"/>
      <c r="O14" s="144"/>
      <c r="P14" s="129" t="str">
        <f t="shared" si="4"/>
        <v/>
      </c>
      <c r="Q14" s="129" t="str">
        <f t="shared" si="0"/>
        <v/>
      </c>
      <c r="R14" s="129" t="str">
        <f t="shared" si="5"/>
        <v/>
      </c>
      <c r="S14" s="145"/>
      <c r="BA14" s="78"/>
      <c r="BB14" s="132" t="s">
        <v>5504</v>
      </c>
      <c r="BC14" s="133"/>
      <c r="BD14" s="132" t="str">
        <f>IF(OR(B14="",BC14=""),"",COUNTIF(BC$7:BC14,"√"))</f>
        <v/>
      </c>
      <c r="BE14" s="134" t="str">
        <f t="shared" si="1"/>
        <v/>
      </c>
      <c r="BF14" s="135" t="str">
        <f t="shared" si="6"/>
        <v/>
      </c>
      <c r="BG14" s="135" t="str">
        <f t="shared" si="6"/>
        <v/>
      </c>
      <c r="BH14" s="215"/>
      <c r="BI14" s="137"/>
      <c r="BJ14" s="215"/>
      <c r="BK14" s="215"/>
      <c r="BL14" s="215"/>
      <c r="BM14" s="215"/>
      <c r="BN14" s="215"/>
      <c r="BO14" s="137"/>
      <c r="BP14" s="137"/>
      <c r="BR14" s="134" t="str">
        <f>IF(COUNTIF(BR$6:BR13,B14)&gt;0,"",B14)&amp;""</f>
        <v/>
      </c>
      <c r="BS14" s="138">
        <f t="shared" si="7"/>
        <v>0</v>
      </c>
      <c r="BT14" s="132">
        <f t="shared" si="8"/>
        <v>1</v>
      </c>
      <c r="BU14" s="138">
        <f t="shared" si="9"/>
        <v>0</v>
      </c>
      <c r="BV14" s="132">
        <f t="shared" si="10"/>
        <v>1</v>
      </c>
      <c r="BW14" s="147" t="s">
        <v>1659</v>
      </c>
      <c r="BX14" s="132" t="str">
        <f>CONCATENATE(BX9,BY9,BX10,BY10,BX11,BY11,BX12,BY12,BX13)</f>
        <v/>
      </c>
      <c r="BY14" s="132"/>
    </row>
    <row r="15" ht="15" customHeight="1" spans="1:77">
      <c r="A15" s="123" t="str">
        <f>IF(B15="","",COUNT(A$6:A14)+1)</f>
        <v/>
      </c>
      <c r="B15" s="139"/>
      <c r="C15" s="139"/>
      <c r="D15" s="141"/>
      <c r="E15" s="139"/>
      <c r="F15" s="217"/>
      <c r="G15" s="140"/>
      <c r="H15" s="218"/>
      <c r="I15" s="219"/>
      <c r="J15" s="141"/>
      <c r="K15" s="142"/>
      <c r="L15" s="127" t="str">
        <f>IFERROR(VLOOKUP(K15,参数表!$H$2:$I$50,2,FALSE),"")</f>
        <v/>
      </c>
      <c r="M15" s="128" t="str">
        <f t="shared" si="3"/>
        <v/>
      </c>
      <c r="N15" s="143"/>
      <c r="O15" s="144"/>
      <c r="P15" s="129" t="str">
        <f t="shared" si="4"/>
        <v/>
      </c>
      <c r="Q15" s="129" t="str">
        <f t="shared" si="0"/>
        <v/>
      </c>
      <c r="R15" s="129" t="str">
        <f t="shared" si="5"/>
        <v/>
      </c>
      <c r="S15" s="145"/>
      <c r="BA15" s="78"/>
      <c r="BB15" s="132" t="s">
        <v>5505</v>
      </c>
      <c r="BC15" s="133"/>
      <c r="BD15" s="132" t="str">
        <f>IF(OR(B15="",BC15=""),"",COUNTIF(BC$7:BC15,"√"))</f>
        <v/>
      </c>
      <c r="BE15" s="134" t="str">
        <f t="shared" si="1"/>
        <v/>
      </c>
      <c r="BF15" s="135" t="str">
        <f t="shared" si="6"/>
        <v/>
      </c>
      <c r="BG15" s="135" t="str">
        <f t="shared" si="6"/>
        <v/>
      </c>
      <c r="BH15" s="215"/>
      <c r="BI15" s="137"/>
      <c r="BJ15" s="215"/>
      <c r="BK15" s="215"/>
      <c r="BL15" s="215"/>
      <c r="BM15" s="215"/>
      <c r="BN15" s="215"/>
      <c r="BO15" s="137"/>
      <c r="BP15" s="137"/>
      <c r="BR15" s="134" t="str">
        <f>IF(COUNTIF(BR$6:BR14,B15)&gt;0,"",B15)&amp;""</f>
        <v/>
      </c>
      <c r="BS15" s="138">
        <f t="shared" si="7"/>
        <v>0</v>
      </c>
      <c r="BT15" s="132">
        <f t="shared" si="8"/>
        <v>1</v>
      </c>
      <c r="BU15" s="138">
        <f t="shared" si="9"/>
        <v>0</v>
      </c>
      <c r="BV15" s="132">
        <f t="shared" si="10"/>
        <v>1</v>
      </c>
      <c r="BW15" s="133"/>
      <c r="BX15" s="133"/>
    </row>
    <row r="16" ht="15" customHeight="1" spans="1:77">
      <c r="A16" s="123" t="str">
        <f>IF(B16="","",COUNT(A$6:A15)+1)</f>
        <v/>
      </c>
      <c r="B16" s="139"/>
      <c r="C16" s="139"/>
      <c r="D16" s="141"/>
      <c r="E16" s="139"/>
      <c r="F16" s="217"/>
      <c r="G16" s="140"/>
      <c r="H16" s="218"/>
      <c r="I16" s="219"/>
      <c r="J16" s="141"/>
      <c r="K16" s="142"/>
      <c r="L16" s="127" t="str">
        <f>IFERROR(VLOOKUP(K16,参数表!$H$2:$I$50,2,FALSE),"")</f>
        <v/>
      </c>
      <c r="M16" s="128" t="str">
        <f t="shared" si="3"/>
        <v/>
      </c>
      <c r="N16" s="143"/>
      <c r="O16" s="144"/>
      <c r="P16" s="129" t="str">
        <f t="shared" si="4"/>
        <v/>
      </c>
      <c r="Q16" s="129" t="str">
        <f t="shared" si="0"/>
        <v/>
      </c>
      <c r="R16" s="129" t="str">
        <f t="shared" si="5"/>
        <v/>
      </c>
      <c r="S16" s="145"/>
      <c r="BA16" s="78"/>
      <c r="BB16" s="132" t="s">
        <v>5506</v>
      </c>
      <c r="BC16" s="133"/>
      <c r="BD16" s="132" t="str">
        <f>IF(OR(B16="",BC16=""),"",COUNTIF(BC$7:BC16,"√"))</f>
        <v/>
      </c>
      <c r="BE16" s="134" t="str">
        <f t="shared" si="1"/>
        <v/>
      </c>
      <c r="BF16" s="135" t="str">
        <f t="shared" si="6"/>
        <v/>
      </c>
      <c r="BG16" s="135" t="str">
        <f t="shared" si="6"/>
        <v/>
      </c>
      <c r="BH16" s="215"/>
      <c r="BI16" s="137"/>
      <c r="BJ16" s="215"/>
      <c r="BK16" s="215"/>
      <c r="BL16" s="215"/>
      <c r="BM16" s="215"/>
      <c r="BN16" s="215"/>
      <c r="BO16" s="137"/>
      <c r="BP16" s="137"/>
      <c r="BR16" s="134" t="str">
        <f>IF(COUNTIF(BR$6:BR15,B16)&gt;0,"",B16)&amp;""</f>
        <v/>
      </c>
      <c r="BS16" s="138">
        <f t="shared" si="7"/>
        <v>0</v>
      </c>
      <c r="BT16" s="132">
        <f t="shared" si="8"/>
        <v>1</v>
      </c>
      <c r="BU16" s="138">
        <f t="shared" si="9"/>
        <v>0</v>
      </c>
      <c r="BV16" s="132">
        <f t="shared" si="10"/>
        <v>1</v>
      </c>
      <c r="BW16" s="133"/>
      <c r="BX16" s="148"/>
    </row>
    <row r="17" ht="15" customHeight="1" spans="1:77">
      <c r="A17" s="123" t="str">
        <f>IF(B17="","",COUNT(A$6:A16)+1)</f>
        <v/>
      </c>
      <c r="B17" s="139"/>
      <c r="C17" s="139"/>
      <c r="D17" s="141"/>
      <c r="E17" s="139"/>
      <c r="F17" s="217"/>
      <c r="G17" s="140"/>
      <c r="H17" s="218"/>
      <c r="I17" s="219"/>
      <c r="J17" s="141"/>
      <c r="K17" s="142"/>
      <c r="L17" s="127" t="str">
        <f>IFERROR(VLOOKUP(K17,参数表!$H$2:$I$50,2,FALSE),"")</f>
        <v/>
      </c>
      <c r="M17" s="128" t="str">
        <f t="shared" si="3"/>
        <v/>
      </c>
      <c r="N17" s="143"/>
      <c r="O17" s="144"/>
      <c r="P17" s="129" t="str">
        <f t="shared" si="4"/>
        <v/>
      </c>
      <c r="Q17" s="129" t="str">
        <f t="shared" si="0"/>
        <v/>
      </c>
      <c r="R17" s="129" t="str">
        <f t="shared" si="5"/>
        <v/>
      </c>
      <c r="S17" s="145"/>
      <c r="BA17" s="78"/>
      <c r="BB17" s="132" t="s">
        <v>5507</v>
      </c>
      <c r="BC17" s="133"/>
      <c r="BD17" s="132" t="str">
        <f>IF(OR(B17="",BC17=""),"",COUNTIF(BC$7:BC17,"√"))</f>
        <v/>
      </c>
      <c r="BE17" s="134" t="str">
        <f t="shared" si="1"/>
        <v/>
      </c>
      <c r="BF17" s="135" t="str">
        <f t="shared" si="6"/>
        <v/>
      </c>
      <c r="BG17" s="135" t="str">
        <f t="shared" si="6"/>
        <v/>
      </c>
      <c r="BH17" s="215"/>
      <c r="BI17" s="137"/>
      <c r="BJ17" s="215"/>
      <c r="BK17" s="215"/>
      <c r="BL17" s="215"/>
      <c r="BM17" s="215"/>
      <c r="BN17" s="215"/>
      <c r="BO17" s="137"/>
      <c r="BP17" s="137"/>
      <c r="BR17" s="134" t="str">
        <f>IF(COUNTIF(BR$6:BR16,B17)&gt;0,"",B17)&amp;""</f>
        <v/>
      </c>
      <c r="BS17" s="138">
        <f t="shared" si="7"/>
        <v>0</v>
      </c>
      <c r="BT17" s="132">
        <f t="shared" si="8"/>
        <v>1</v>
      </c>
      <c r="BU17" s="138">
        <f t="shared" si="9"/>
        <v>0</v>
      </c>
      <c r="BV17" s="132">
        <f t="shared" si="10"/>
        <v>1</v>
      </c>
      <c r="BW17" s="133"/>
      <c r="BX17" s="133"/>
    </row>
    <row r="18" ht="15" customHeight="1" spans="1:77">
      <c r="A18" s="123" t="str">
        <f>IF(B18="","",COUNT(A$6:A17)+1)</f>
        <v/>
      </c>
      <c r="B18" s="139"/>
      <c r="C18" s="139"/>
      <c r="D18" s="141"/>
      <c r="E18" s="139"/>
      <c r="F18" s="217"/>
      <c r="G18" s="140"/>
      <c r="H18" s="218"/>
      <c r="I18" s="219"/>
      <c r="J18" s="141"/>
      <c r="K18" s="142"/>
      <c r="L18" s="127" t="str">
        <f>IFERROR(VLOOKUP(K18,参数表!$H$2:$I$50,2,FALSE),"")</f>
        <v/>
      </c>
      <c r="M18" s="128" t="str">
        <f t="shared" si="3"/>
        <v/>
      </c>
      <c r="N18" s="143"/>
      <c r="O18" s="144"/>
      <c r="P18" s="129" t="str">
        <f t="shared" si="4"/>
        <v/>
      </c>
      <c r="Q18" s="129" t="str">
        <f t="shared" si="0"/>
        <v/>
      </c>
      <c r="R18" s="129" t="str">
        <f t="shared" si="5"/>
        <v/>
      </c>
      <c r="S18" s="145"/>
      <c r="BA18" s="78"/>
      <c r="BB18" s="132" t="s">
        <v>5508</v>
      </c>
      <c r="BC18" s="133"/>
      <c r="BD18" s="132" t="str">
        <f>IF(OR(B18="",BC18=""),"",COUNTIF(BC$7:BC18,"√"))</f>
        <v/>
      </c>
      <c r="BE18" s="134" t="str">
        <f t="shared" si="1"/>
        <v/>
      </c>
      <c r="BF18" s="135" t="str">
        <f t="shared" si="6"/>
        <v/>
      </c>
      <c r="BG18" s="135" t="str">
        <f t="shared" si="6"/>
        <v/>
      </c>
      <c r="BH18" s="215"/>
      <c r="BI18" s="137"/>
      <c r="BJ18" s="215"/>
      <c r="BK18" s="215"/>
      <c r="BL18" s="215"/>
      <c r="BM18" s="215"/>
      <c r="BN18" s="215"/>
      <c r="BO18" s="137"/>
      <c r="BP18" s="137"/>
      <c r="BR18" s="134" t="str">
        <f>IF(COUNTIF(BR$6:BR17,B18)&gt;0,"",B18)&amp;""</f>
        <v/>
      </c>
      <c r="BS18" s="138">
        <f t="shared" si="7"/>
        <v>0</v>
      </c>
      <c r="BT18" s="132">
        <f t="shared" si="8"/>
        <v>1</v>
      </c>
      <c r="BU18" s="138">
        <f t="shared" si="9"/>
        <v>0</v>
      </c>
      <c r="BV18" s="132">
        <f t="shared" si="10"/>
        <v>1</v>
      </c>
      <c r="BW18" s="133"/>
      <c r="BX18" s="133"/>
    </row>
    <row r="19" ht="15" customHeight="1" spans="1:77">
      <c r="A19" s="123" t="str">
        <f>IF(B19="","",COUNT(A$6:A18)+1)</f>
        <v/>
      </c>
      <c r="B19" s="139"/>
      <c r="C19" s="139"/>
      <c r="D19" s="141"/>
      <c r="E19" s="139"/>
      <c r="F19" s="217"/>
      <c r="G19" s="140"/>
      <c r="H19" s="218"/>
      <c r="I19" s="219"/>
      <c r="J19" s="141"/>
      <c r="K19" s="142"/>
      <c r="L19" s="127" t="str">
        <f>IFERROR(VLOOKUP(K19,参数表!$H$2:$I$50,2,FALSE),"")</f>
        <v/>
      </c>
      <c r="M19" s="128" t="str">
        <f t="shared" si="3"/>
        <v/>
      </c>
      <c r="N19" s="143"/>
      <c r="O19" s="144"/>
      <c r="P19" s="129" t="str">
        <f t="shared" si="4"/>
        <v/>
      </c>
      <c r="Q19" s="129" t="str">
        <f t="shared" si="0"/>
        <v/>
      </c>
      <c r="R19" s="129" t="str">
        <f t="shared" si="5"/>
        <v/>
      </c>
      <c r="S19" s="145"/>
      <c r="BA19" s="78"/>
      <c r="BB19" s="132" t="s">
        <v>5509</v>
      </c>
      <c r="BC19" s="133"/>
      <c r="BD19" s="132" t="str">
        <f>IF(OR(B19="",BC19=""),"",COUNTIF(BC$7:BC19,"√"))</f>
        <v/>
      </c>
      <c r="BE19" s="134" t="str">
        <f t="shared" si="1"/>
        <v/>
      </c>
      <c r="BF19" s="135" t="str">
        <f t="shared" si="6"/>
        <v/>
      </c>
      <c r="BG19" s="135" t="str">
        <f t="shared" si="6"/>
        <v/>
      </c>
      <c r="BH19" s="215"/>
      <c r="BI19" s="137"/>
      <c r="BJ19" s="215"/>
      <c r="BK19" s="215"/>
      <c r="BL19" s="215"/>
      <c r="BM19" s="215"/>
      <c r="BN19" s="215"/>
      <c r="BO19" s="137"/>
      <c r="BP19" s="137"/>
      <c r="BR19" s="134" t="str">
        <f>IF(COUNTIF(BR$6:BR18,B19)&gt;0,"",B19)&amp;""</f>
        <v/>
      </c>
      <c r="BS19" s="138">
        <f t="shared" si="7"/>
        <v>0</v>
      </c>
      <c r="BT19" s="132">
        <f t="shared" si="8"/>
        <v>1</v>
      </c>
      <c r="BU19" s="138">
        <f t="shared" si="9"/>
        <v>0</v>
      </c>
      <c r="BV19" s="132">
        <f t="shared" si="10"/>
        <v>1</v>
      </c>
      <c r="BW19" s="133"/>
      <c r="BX19" s="133"/>
    </row>
    <row r="20" ht="15" customHeight="1" spans="1:77">
      <c r="A20" s="123" t="str">
        <f>IF(B20="","",COUNT(A$6:A19)+1)</f>
        <v/>
      </c>
      <c r="B20" s="139"/>
      <c r="C20" s="139"/>
      <c r="D20" s="141"/>
      <c r="E20" s="139"/>
      <c r="F20" s="217"/>
      <c r="G20" s="140"/>
      <c r="H20" s="218"/>
      <c r="I20" s="219"/>
      <c r="J20" s="141"/>
      <c r="K20" s="142"/>
      <c r="L20" s="127" t="str">
        <f>IFERROR(VLOOKUP(K20,参数表!$H$2:$I$50,2,FALSE),"")</f>
        <v/>
      </c>
      <c r="M20" s="128" t="str">
        <f t="shared" si="3"/>
        <v/>
      </c>
      <c r="N20" s="143"/>
      <c r="O20" s="144"/>
      <c r="P20" s="129" t="str">
        <f t="shared" si="4"/>
        <v/>
      </c>
      <c r="Q20" s="129" t="str">
        <f t="shared" si="0"/>
        <v/>
      </c>
      <c r="R20" s="129" t="str">
        <f t="shared" si="5"/>
        <v/>
      </c>
      <c r="S20" s="145"/>
      <c r="BA20" s="78"/>
      <c r="BB20" s="132" t="s">
        <v>5510</v>
      </c>
      <c r="BC20" s="133"/>
      <c r="BD20" s="132" t="str">
        <f>IF(OR(B20="",BC20=""),"",COUNTIF(BC$7:BC20,"√"))</f>
        <v/>
      </c>
      <c r="BE20" s="134" t="str">
        <f t="shared" si="1"/>
        <v/>
      </c>
      <c r="BF20" s="135" t="str">
        <f t="shared" si="6"/>
        <v/>
      </c>
      <c r="BG20" s="135" t="str">
        <f t="shared" si="6"/>
        <v/>
      </c>
      <c r="BH20" s="215"/>
      <c r="BI20" s="137"/>
      <c r="BJ20" s="215"/>
      <c r="BK20" s="215"/>
      <c r="BL20" s="215"/>
      <c r="BM20" s="215"/>
      <c r="BN20" s="215"/>
      <c r="BO20" s="137"/>
      <c r="BP20" s="137"/>
      <c r="BR20" s="134" t="str">
        <f>IF(COUNTIF(BR$6:BR19,B20)&gt;0,"",B20)&amp;""</f>
        <v/>
      </c>
      <c r="BS20" s="138">
        <f t="shared" si="7"/>
        <v>0</v>
      </c>
      <c r="BT20" s="132">
        <f t="shared" si="8"/>
        <v>1</v>
      </c>
      <c r="BU20" s="138">
        <f t="shared" si="9"/>
        <v>0</v>
      </c>
      <c r="BV20" s="132">
        <f t="shared" si="10"/>
        <v>1</v>
      </c>
      <c r="BW20" s="133"/>
      <c r="BX20" s="133"/>
    </row>
    <row r="21" ht="15" customHeight="1" spans="1:77">
      <c r="A21" s="123" t="str">
        <f>IF(B21="","",COUNT(A$6:A20)+1)</f>
        <v/>
      </c>
      <c r="B21" s="139"/>
      <c r="C21" s="139"/>
      <c r="D21" s="141"/>
      <c r="E21" s="139"/>
      <c r="F21" s="217"/>
      <c r="G21" s="140"/>
      <c r="H21" s="218"/>
      <c r="I21" s="219"/>
      <c r="J21" s="141"/>
      <c r="K21" s="142"/>
      <c r="L21" s="127" t="str">
        <f>IFERROR(VLOOKUP(K21,参数表!$H$2:$I$50,2,FALSE),"")</f>
        <v/>
      </c>
      <c r="M21" s="128" t="str">
        <f t="shared" si="3"/>
        <v/>
      </c>
      <c r="N21" s="143"/>
      <c r="O21" s="144"/>
      <c r="P21" s="129" t="str">
        <f t="shared" si="4"/>
        <v/>
      </c>
      <c r="Q21" s="129" t="str">
        <f t="shared" si="0"/>
        <v/>
      </c>
      <c r="R21" s="129" t="str">
        <f t="shared" si="5"/>
        <v/>
      </c>
      <c r="S21" s="145"/>
      <c r="BA21" s="78"/>
      <c r="BB21" s="132" t="s">
        <v>5511</v>
      </c>
      <c r="BC21" s="133"/>
      <c r="BD21" s="132" t="str">
        <f>IF(OR(B21="",BC21=""),"",COUNTIF(BC$7:BC21,"√"))</f>
        <v/>
      </c>
      <c r="BE21" s="134" t="str">
        <f t="shared" si="1"/>
        <v/>
      </c>
      <c r="BF21" s="135" t="str">
        <f t="shared" si="6"/>
        <v/>
      </c>
      <c r="BG21" s="135" t="str">
        <f t="shared" si="6"/>
        <v/>
      </c>
      <c r="BH21" s="215"/>
      <c r="BI21" s="137"/>
      <c r="BJ21" s="215"/>
      <c r="BK21" s="215"/>
      <c r="BL21" s="215"/>
      <c r="BM21" s="215"/>
      <c r="BN21" s="215"/>
      <c r="BO21" s="137"/>
      <c r="BP21" s="137"/>
      <c r="BR21" s="134" t="str">
        <f>IF(COUNTIF(BR$6:BR20,B21)&gt;0,"",B21)&amp;""</f>
        <v/>
      </c>
      <c r="BS21" s="138">
        <f t="shared" si="7"/>
        <v>0</v>
      </c>
      <c r="BT21" s="132">
        <f t="shared" si="8"/>
        <v>1</v>
      </c>
      <c r="BU21" s="138">
        <f t="shared" si="9"/>
        <v>0</v>
      </c>
      <c r="BV21" s="132">
        <f t="shared" si="10"/>
        <v>1</v>
      </c>
      <c r="BW21" s="133"/>
      <c r="BX21" s="133"/>
    </row>
    <row r="22" ht="15" customHeight="1" spans="1:77">
      <c r="A22" s="123" t="str">
        <f>IF(B22="","",COUNT(A$6:A21)+1)</f>
        <v/>
      </c>
      <c r="B22" s="139"/>
      <c r="C22" s="139"/>
      <c r="D22" s="141"/>
      <c r="E22" s="139"/>
      <c r="F22" s="217"/>
      <c r="G22" s="140"/>
      <c r="H22" s="218"/>
      <c r="I22" s="219"/>
      <c r="J22" s="141"/>
      <c r="K22" s="142"/>
      <c r="L22" s="127" t="str">
        <f>IFERROR(VLOOKUP(K22,参数表!$H$2:$I$50,2,FALSE),"")</f>
        <v/>
      </c>
      <c r="M22" s="128" t="str">
        <f t="shared" si="3"/>
        <v/>
      </c>
      <c r="N22" s="143"/>
      <c r="O22" s="144"/>
      <c r="P22" s="129" t="str">
        <f t="shared" si="4"/>
        <v/>
      </c>
      <c r="Q22" s="129" t="str">
        <f t="shared" si="0"/>
        <v/>
      </c>
      <c r="R22" s="129" t="str">
        <f t="shared" si="5"/>
        <v/>
      </c>
      <c r="S22" s="145"/>
      <c r="BA22" s="78"/>
      <c r="BB22" s="132" t="s">
        <v>5512</v>
      </c>
      <c r="BC22" s="133"/>
      <c r="BD22" s="132" t="str">
        <f>IF(OR(B22="",BC22=""),"",COUNTIF(BC$7:BC22,"√"))</f>
        <v/>
      </c>
      <c r="BE22" s="134" t="str">
        <f t="shared" si="1"/>
        <v/>
      </c>
      <c r="BF22" s="135" t="str">
        <f t="shared" si="6"/>
        <v/>
      </c>
      <c r="BG22" s="135" t="str">
        <f t="shared" si="6"/>
        <v/>
      </c>
      <c r="BH22" s="215"/>
      <c r="BI22" s="137"/>
      <c r="BJ22" s="215"/>
      <c r="BK22" s="215"/>
      <c r="BL22" s="215"/>
      <c r="BM22" s="215"/>
      <c r="BN22" s="215"/>
      <c r="BO22" s="137"/>
      <c r="BP22" s="137"/>
      <c r="BR22" s="134" t="str">
        <f>IF(COUNTIF(BR$6:BR21,B22)&gt;0,"",B22)&amp;""</f>
        <v/>
      </c>
      <c r="BS22" s="138">
        <f t="shared" si="7"/>
        <v>0</v>
      </c>
      <c r="BT22" s="132">
        <f t="shared" si="8"/>
        <v>1</v>
      </c>
      <c r="BU22" s="138">
        <f t="shared" si="9"/>
        <v>0</v>
      </c>
      <c r="BV22" s="132">
        <f t="shared" si="10"/>
        <v>1</v>
      </c>
      <c r="BW22" s="133"/>
      <c r="BX22" s="133"/>
    </row>
    <row r="23" ht="15" customHeight="1" spans="1:77">
      <c r="A23" s="123" t="str">
        <f>IF(B23="","",COUNT(A$6:A22)+1)</f>
        <v/>
      </c>
      <c r="B23" s="139"/>
      <c r="C23" s="139"/>
      <c r="D23" s="141"/>
      <c r="E23" s="139"/>
      <c r="F23" s="217"/>
      <c r="G23" s="140"/>
      <c r="H23" s="218"/>
      <c r="I23" s="219"/>
      <c r="J23" s="141"/>
      <c r="K23" s="142"/>
      <c r="L23" s="127" t="str">
        <f>IFERROR(VLOOKUP(K23,参数表!$H$2:$I$50,2,FALSE),"")</f>
        <v/>
      </c>
      <c r="M23" s="128" t="str">
        <f t="shared" si="3"/>
        <v/>
      </c>
      <c r="N23" s="143"/>
      <c r="O23" s="144"/>
      <c r="P23" s="129" t="str">
        <f t="shared" si="4"/>
        <v/>
      </c>
      <c r="Q23" s="129" t="str">
        <f t="shared" si="0"/>
        <v/>
      </c>
      <c r="R23" s="129" t="str">
        <f t="shared" si="5"/>
        <v/>
      </c>
      <c r="S23" s="145"/>
      <c r="BA23" s="78"/>
      <c r="BB23" s="132" t="s">
        <v>5513</v>
      </c>
      <c r="BC23" s="133"/>
      <c r="BD23" s="132" t="str">
        <f>IF(OR(B23="",BC23=""),"",COUNTIF(BC$7:BC23,"√"))</f>
        <v/>
      </c>
      <c r="BE23" s="134" t="str">
        <f t="shared" si="1"/>
        <v/>
      </c>
      <c r="BF23" s="135" t="str">
        <f t="shared" si="6"/>
        <v/>
      </c>
      <c r="BG23" s="135" t="str">
        <f t="shared" si="6"/>
        <v/>
      </c>
      <c r="BH23" s="215"/>
      <c r="BI23" s="137"/>
      <c r="BJ23" s="215"/>
      <c r="BK23" s="215"/>
      <c r="BL23" s="215"/>
      <c r="BM23" s="215"/>
      <c r="BN23" s="215"/>
      <c r="BO23" s="137"/>
      <c r="BP23" s="137"/>
      <c r="BR23" s="134" t="str">
        <f>IF(COUNTIF(BR$6:BR22,B23)&gt;0,"",B23)&amp;""</f>
        <v/>
      </c>
      <c r="BS23" s="138">
        <f t="shared" si="7"/>
        <v>0</v>
      </c>
      <c r="BT23" s="132">
        <f t="shared" si="8"/>
        <v>1</v>
      </c>
      <c r="BU23" s="138">
        <f t="shared" si="9"/>
        <v>0</v>
      </c>
      <c r="BV23" s="132">
        <f t="shared" si="10"/>
        <v>1</v>
      </c>
      <c r="BW23" s="133"/>
      <c r="BX23" s="133"/>
    </row>
    <row r="24" ht="15" customHeight="1" spans="1:77">
      <c r="A24" s="123" t="str">
        <f>IF(B24="","",COUNT(A$6:A23)+1)</f>
        <v/>
      </c>
      <c r="B24" s="139"/>
      <c r="C24" s="139"/>
      <c r="D24" s="141"/>
      <c r="E24" s="139"/>
      <c r="F24" s="217"/>
      <c r="G24" s="140"/>
      <c r="H24" s="218"/>
      <c r="I24" s="219"/>
      <c r="J24" s="141"/>
      <c r="K24" s="142"/>
      <c r="L24" s="127" t="str">
        <f>IFERROR(VLOOKUP(K24,参数表!$H$2:$I$50,2,FALSE),"")</f>
        <v/>
      </c>
      <c r="M24" s="128" t="str">
        <f t="shared" si="3"/>
        <v/>
      </c>
      <c r="N24" s="143"/>
      <c r="O24" s="144"/>
      <c r="P24" s="129" t="str">
        <f t="shared" si="4"/>
        <v/>
      </c>
      <c r="Q24" s="129" t="str">
        <f t="shared" si="0"/>
        <v/>
      </c>
      <c r="R24" s="129" t="str">
        <f t="shared" si="5"/>
        <v/>
      </c>
      <c r="S24" s="145"/>
      <c r="BA24" s="78"/>
      <c r="BB24" s="132" t="s">
        <v>5514</v>
      </c>
      <c r="BC24" s="133"/>
      <c r="BD24" s="132" t="str">
        <f>IF(OR(B24="",BC24=""),"",COUNTIF(BC$7:BC24,"√"))</f>
        <v/>
      </c>
      <c r="BE24" s="134" t="str">
        <f t="shared" si="1"/>
        <v/>
      </c>
      <c r="BF24" s="135" t="str">
        <f t="shared" si="6"/>
        <v/>
      </c>
      <c r="BG24" s="135" t="str">
        <f t="shared" si="6"/>
        <v/>
      </c>
      <c r="BH24" s="215"/>
      <c r="BI24" s="137"/>
      <c r="BJ24" s="215"/>
      <c r="BK24" s="215"/>
      <c r="BL24" s="215"/>
      <c r="BM24" s="215"/>
      <c r="BN24" s="215"/>
      <c r="BO24" s="137"/>
      <c r="BP24" s="137"/>
      <c r="BR24" s="134" t="str">
        <f>IF(COUNTIF(BR$6:BR23,B24)&gt;0,"",B24)&amp;""</f>
        <v/>
      </c>
      <c r="BS24" s="138">
        <f t="shared" si="7"/>
        <v>0</v>
      </c>
      <c r="BT24" s="132">
        <f t="shared" si="8"/>
        <v>1</v>
      </c>
      <c r="BU24" s="138">
        <f t="shared" si="9"/>
        <v>0</v>
      </c>
      <c r="BV24" s="132">
        <f t="shared" si="10"/>
        <v>1</v>
      </c>
      <c r="BW24" s="133"/>
      <c r="BX24" s="133"/>
    </row>
    <row r="25" ht="15" customHeight="1" spans="1:77">
      <c r="A25" s="123" t="str">
        <f>IF(B25="","",COUNT(A$6:A24)+1)</f>
        <v/>
      </c>
      <c r="B25" s="139"/>
      <c r="C25" s="139"/>
      <c r="D25" s="141"/>
      <c r="E25" s="139"/>
      <c r="F25" s="217"/>
      <c r="G25" s="140"/>
      <c r="H25" s="218"/>
      <c r="I25" s="219"/>
      <c r="J25" s="141"/>
      <c r="K25" s="142"/>
      <c r="L25" s="127" t="str">
        <f>IFERROR(VLOOKUP(K25,参数表!$H$2:$I$50,2,FALSE),"")</f>
        <v/>
      </c>
      <c r="M25" s="128" t="str">
        <f t="shared" si="3"/>
        <v/>
      </c>
      <c r="N25" s="143"/>
      <c r="O25" s="144"/>
      <c r="P25" s="129" t="str">
        <f t="shared" si="4"/>
        <v/>
      </c>
      <c r="Q25" s="129" t="str">
        <f t="shared" si="0"/>
        <v/>
      </c>
      <c r="R25" s="129" t="str">
        <f t="shared" si="5"/>
        <v/>
      </c>
      <c r="S25" s="145"/>
      <c r="BA25" s="78"/>
      <c r="BB25" s="132" t="s">
        <v>5515</v>
      </c>
      <c r="BC25" s="133"/>
      <c r="BD25" s="132" t="str">
        <f>IF(OR(B25="",BC25=""),"",COUNTIF(BC$7:BC25,"√"))</f>
        <v/>
      </c>
      <c r="BE25" s="134" t="str">
        <f t="shared" si="1"/>
        <v/>
      </c>
      <c r="BF25" s="135" t="str">
        <f t="shared" si="6"/>
        <v/>
      </c>
      <c r="BG25" s="135" t="str">
        <f t="shared" si="6"/>
        <v/>
      </c>
      <c r="BH25" s="215"/>
      <c r="BI25" s="137"/>
      <c r="BJ25" s="215"/>
      <c r="BK25" s="215"/>
      <c r="BL25" s="215"/>
      <c r="BM25" s="215"/>
      <c r="BN25" s="215"/>
      <c r="BO25" s="137"/>
      <c r="BP25" s="137"/>
      <c r="BR25" s="134" t="str">
        <f>IF(COUNTIF(BR$6:BR24,B25)&gt;0,"",B25)&amp;""</f>
        <v/>
      </c>
      <c r="BS25" s="138">
        <f t="shared" si="7"/>
        <v>0</v>
      </c>
      <c r="BT25" s="132">
        <f t="shared" si="8"/>
        <v>1</v>
      </c>
      <c r="BU25" s="138">
        <f t="shared" si="9"/>
        <v>0</v>
      </c>
      <c r="BV25" s="132">
        <f t="shared" si="10"/>
        <v>1</v>
      </c>
      <c r="BW25" s="133"/>
      <c r="BX25" s="133"/>
    </row>
    <row r="26" ht="15" customHeight="1" spans="1:77">
      <c r="A26" s="123" t="str">
        <f>IF(B26="","",COUNT(A$6:A25)+1)</f>
        <v/>
      </c>
      <c r="B26" s="124"/>
      <c r="C26" s="124"/>
      <c r="D26" s="126"/>
      <c r="E26" s="124"/>
      <c r="F26" s="212"/>
      <c r="G26" s="125"/>
      <c r="H26" s="213"/>
      <c r="I26" s="214"/>
      <c r="J26" s="126"/>
      <c r="K26" s="127"/>
      <c r="L26" s="127" t="str">
        <f>IFERROR(VLOOKUP(K26,参数表!$H$2:$I$50,2,FALSE),"")</f>
        <v/>
      </c>
      <c r="M26" s="128" t="str">
        <f t="shared" si="3"/>
        <v/>
      </c>
      <c r="N26" s="129"/>
      <c r="O26" s="130"/>
      <c r="P26" s="129" t="str">
        <f t="shared" si="4"/>
        <v/>
      </c>
      <c r="Q26" s="129" t="str">
        <f t="shared" si="0"/>
        <v/>
      </c>
      <c r="R26" s="129" t="str">
        <f t="shared" si="5"/>
        <v/>
      </c>
      <c r="S26" s="131"/>
      <c r="BA26" s="78"/>
      <c r="BB26" s="132" t="s">
        <v>5516</v>
      </c>
      <c r="BC26" s="133"/>
      <c r="BD26" s="132" t="str">
        <f>IF(OR(B26="",BC26=""),"",COUNTIF(BC$7:BC26,"√"))</f>
        <v/>
      </c>
      <c r="BE26" s="134" t="str">
        <f t="shared" si="1"/>
        <v/>
      </c>
      <c r="BF26" s="135" t="str">
        <f t="shared" si="6"/>
        <v/>
      </c>
      <c r="BG26" s="135" t="str">
        <f t="shared" si="6"/>
        <v/>
      </c>
      <c r="BH26" s="215"/>
      <c r="BI26" s="137"/>
      <c r="BJ26" s="215"/>
      <c r="BK26" s="215"/>
      <c r="BL26" s="215"/>
      <c r="BM26" s="215"/>
      <c r="BN26" s="215"/>
      <c r="BO26" s="137"/>
      <c r="BP26" s="137"/>
      <c r="BR26" s="134" t="str">
        <f>IF(COUNTIF(BR$6:BR25,B26)&gt;0,"",B26)&amp;""</f>
        <v/>
      </c>
      <c r="BS26" s="138">
        <f t="shared" si="7"/>
        <v>0</v>
      </c>
      <c r="BT26" s="132">
        <f t="shared" si="8"/>
        <v>1</v>
      </c>
      <c r="BU26" s="138">
        <f t="shared" si="9"/>
        <v>0</v>
      </c>
      <c r="BV26" s="132">
        <f t="shared" si="10"/>
        <v>1</v>
      </c>
      <c r="BW26" s="133"/>
      <c r="BX26" s="133"/>
    </row>
    <row r="27" ht="15" customHeight="1" spans="1:77">
      <c r="A27" s="149" t="s">
        <v>5517</v>
      </c>
      <c r="B27" s="220"/>
      <c r="C27" s="220"/>
      <c r="D27" s="149"/>
      <c r="E27" s="221"/>
      <c r="F27" s="221"/>
      <c r="G27" s="149"/>
      <c r="H27" s="149"/>
      <c r="I27" s="222"/>
      <c r="J27" s="149"/>
      <c r="K27" s="151"/>
      <c r="L27" s="151"/>
      <c r="M27" s="151"/>
      <c r="N27" s="152">
        <f>SUM(N7:N26)</f>
        <v>0</v>
      </c>
      <c r="O27" s="153"/>
      <c r="P27" s="152">
        <f>SUM(P7:P26)</f>
        <v>0</v>
      </c>
      <c r="Q27" s="152">
        <f>SUM(Q7:Q26)</f>
        <v>0</v>
      </c>
      <c r="R27" s="152" t="str">
        <f t="shared" si="5"/>
        <v/>
      </c>
      <c r="S27" s="151"/>
      <c r="BB27" s="223"/>
      <c r="BC27" s="223"/>
      <c r="BD27" s="223"/>
      <c r="BE27" s="223"/>
      <c r="BQ27" s="111"/>
      <c r="BR27" s="119"/>
      <c r="BT27" s="77"/>
      <c r="BU27" s="77"/>
      <c r="BV27" s="119"/>
      <c r="BW27" s="119"/>
      <c r="BX27" s="119"/>
      <c r="BY27" s="111"/>
    </row>
    <row r="28" s="73" customFormat="1" ht="15" customHeight="1" spans="1:77">
      <c r="A28" s="102" t="str">
        <f>参数表!F$6</f>
        <v>产权持有单位填表人：贾广东</v>
      </c>
      <c r="B28" s="154"/>
      <c r="C28" s="154"/>
      <c r="D28" s="154"/>
      <c r="E28" s="154"/>
      <c r="F28" s="154"/>
      <c r="G28" s="103"/>
      <c r="H28" s="103"/>
      <c r="I28" s="103"/>
      <c r="J28" s="103"/>
      <c r="K28" s="154"/>
      <c r="L28" s="154"/>
      <c r="M28" s="154"/>
      <c r="N28" s="103"/>
      <c r="O28" s="104"/>
      <c r="P28" s="103"/>
      <c r="Q28" s="156" t="str">
        <f>"评估人员："&amp;封面!$G$32</f>
        <v>评估人员：</v>
      </c>
      <c r="R28" s="103"/>
      <c r="S28" s="103"/>
      <c r="BF28" s="75"/>
      <c r="BG28" s="75"/>
      <c r="BH28" s="75"/>
      <c r="BI28" s="75"/>
      <c r="BJ28" s="75"/>
      <c r="BK28" s="75"/>
      <c r="BL28" s="75"/>
      <c r="BM28" s="75"/>
      <c r="BN28" s="75"/>
      <c r="BO28" s="75"/>
      <c r="BP28" s="75"/>
      <c r="BQ28" s="77"/>
      <c r="BR28" s="78"/>
      <c r="BS28" s="77"/>
      <c r="BT28" s="78"/>
      <c r="BU28" s="78"/>
      <c r="BV28" s="78"/>
      <c r="BW28" s="78"/>
      <c r="BX28" s="78"/>
      <c r="BY28" s="77"/>
    </row>
    <row r="29" ht="15.75" customHeight="1" spans="1:77">
      <c r="A29" s="102" t="str">
        <f>参数表!F$7</f>
        <v>填表日期：2025年9月20日</v>
      </c>
      <c r="B29" s="154"/>
      <c r="C29" s="154"/>
      <c r="D29" s="154"/>
      <c r="E29" s="154"/>
      <c r="F29" s="154"/>
      <c r="G29" s="103"/>
      <c r="H29" s="103"/>
      <c r="I29" s="103"/>
      <c r="J29" s="103"/>
      <c r="K29" s="154"/>
      <c r="L29" s="154"/>
      <c r="M29" s="154"/>
      <c r="N29" s="103"/>
      <c r="O29" s="104"/>
      <c r="P29" s="103"/>
      <c r="Q29" s="103"/>
      <c r="R29" s="103"/>
      <c r="S29" s="103"/>
    </row>
    <row r="30" ht="15.75" hidden="1" customHeight="1" outlineLevel="1" spans="1:77">
      <c r="A30" s="157"/>
      <c r="B30" s="154" t="s">
        <v>1673</v>
      </c>
      <c r="C30" s="158"/>
      <c r="D30" s="158"/>
      <c r="E30" s="158"/>
      <c r="F30" s="158"/>
      <c r="H30" s="95" t="s">
        <v>4558</v>
      </c>
      <c r="K30" s="158"/>
      <c r="L30" s="158"/>
      <c r="M30" s="158"/>
      <c r="N30" s="159">
        <f>SUMIF($BA7:$BA26,$BA30,N7:N26)</f>
        <v>0</v>
      </c>
      <c r="O30" s="202"/>
      <c r="P30" s="159">
        <f>SUMIF($BA7:$BA26,$BA30,P7:P26)</f>
        <v>0</v>
      </c>
      <c r="Q30" s="159">
        <f>SUMIF($BA7:$BA26,$BA30,Q7:Q26)</f>
        <v>0</v>
      </c>
      <c r="BA30" s="161" t="s">
        <v>1674</v>
      </c>
      <c r="BH30" s="162" t="s">
        <v>1675</v>
      </c>
      <c r="BI30" s="163"/>
      <c r="BJ30" s="162" t="s">
        <v>1675</v>
      </c>
      <c r="BK30" s="162" t="s">
        <v>1675</v>
      </c>
      <c r="BL30" s="162" t="s">
        <v>1675</v>
      </c>
      <c r="BM30" s="162" t="s">
        <v>1674</v>
      </c>
      <c r="BN30" s="162" t="s">
        <v>1674</v>
      </c>
    </row>
    <row r="31" ht="15.75" hidden="1" customHeight="1" outlineLevel="1" spans="1:77">
      <c r="A31" s="157"/>
      <c r="B31" s="154" t="s">
        <v>1676</v>
      </c>
      <c r="C31" s="158"/>
      <c r="D31" s="158"/>
      <c r="E31" s="158"/>
      <c r="F31" s="158"/>
      <c r="H31" s="95" t="s">
        <v>4559</v>
      </c>
      <c r="K31" s="158"/>
      <c r="L31" s="158"/>
      <c r="M31" s="158"/>
      <c r="N31" s="159">
        <f>N27-N30</f>
        <v>0</v>
      </c>
      <c r="O31" s="202"/>
      <c r="P31" s="159">
        <f>P27-P30</f>
        <v>0</v>
      </c>
      <c r="Q31" s="159">
        <f>Q27-Q30</f>
        <v>0</v>
      </c>
      <c r="BA31" s="161" t="s">
        <v>1677</v>
      </c>
      <c r="BH31" s="162" t="s">
        <v>1678</v>
      </c>
      <c r="BI31" s="163"/>
      <c r="BJ31" s="162" t="s">
        <v>1678</v>
      </c>
      <c r="BK31" s="162" t="s">
        <v>1678</v>
      </c>
      <c r="BL31" s="162" t="s">
        <v>1678</v>
      </c>
      <c r="BM31" s="162" t="s">
        <v>1677</v>
      </c>
      <c r="BN31" s="162" t="s">
        <v>1677</v>
      </c>
    </row>
    <row r="32" ht="15.75" hidden="1" customHeight="1" outlineLevel="1" spans="1:77">
      <c r="A32" s="157"/>
      <c r="B32" s="158"/>
      <c r="C32" s="158"/>
      <c r="D32" s="158"/>
      <c r="E32" s="158"/>
      <c r="F32" s="158"/>
      <c r="H32" s="95" t="s">
        <v>4560</v>
      </c>
      <c r="K32" s="158"/>
      <c r="L32" s="158"/>
      <c r="M32" s="158"/>
    </row>
    <row r="33" ht="15.75" hidden="1" customHeight="1" outlineLevel="1" spans="1:13">
      <c r="A33" s="157"/>
      <c r="B33" s="158"/>
      <c r="C33" s="158"/>
      <c r="D33" s="158"/>
      <c r="E33" s="158"/>
      <c r="F33" s="158"/>
      <c r="H33" s="95" t="s">
        <v>4561</v>
      </c>
      <c r="K33" s="158"/>
      <c r="L33" s="158"/>
      <c r="M33" s="158"/>
    </row>
    <row r="34" ht="15.75" hidden="1" customHeight="1" outlineLevel="1" spans="1:13">
      <c r="A34" s="157"/>
      <c r="B34" s="158"/>
      <c r="C34" s="158"/>
      <c r="D34" s="158"/>
      <c r="E34" s="158"/>
      <c r="F34" s="158"/>
      <c r="H34" s="95" t="s">
        <v>2663</v>
      </c>
      <c r="K34" s="158"/>
      <c r="L34" s="158"/>
      <c r="M34" s="158"/>
    </row>
    <row r="35" ht="15.75" customHeight="1" collapsed="1" spans="1:13">
      <c r="A35" s="157"/>
      <c r="B35" s="158"/>
      <c r="C35" s="158"/>
      <c r="D35" s="158"/>
      <c r="E35" s="158"/>
      <c r="F35" s="158"/>
      <c r="K35" s="158"/>
      <c r="L35" s="158"/>
      <c r="M35" s="158"/>
    </row>
    <row r="36" ht="15.75" customHeight="1" spans="1:13">
      <c r="A36" s="157"/>
      <c r="B36" s="158"/>
      <c r="C36" s="158"/>
      <c r="D36" s="158"/>
      <c r="E36" s="158"/>
      <c r="F36" s="158"/>
      <c r="K36" s="158"/>
      <c r="L36" s="158"/>
      <c r="M36" s="158"/>
    </row>
    <row r="37" ht="15.75" customHeight="1" spans="1:13">
      <c r="K37" s="158"/>
      <c r="L37" s="158"/>
      <c r="M37" s="158"/>
    </row>
  </sheetData>
  <sheetProtection autoFilter="0"/>
  <mergeCells count="6">
    <mergeCell ref="A2:S2"/>
    <mergeCell ref="A3:S3"/>
    <mergeCell ref="BW7:BY7"/>
    <mergeCell ref="BW8:BY8"/>
    <mergeCell ref="BX14:BY14"/>
    <mergeCell ref="A27:C27"/>
  </mergeCells>
  <conditionalFormatting sqref="BI7:BI26">
    <cfRule type="expression" dxfId="5" priority="13" stopIfTrue="1">
      <formula>AND(BH7="有",BI7="")</formula>
    </cfRule>
  </conditionalFormatting>
  <conditionalFormatting sqref="BO7:BO26">
    <cfRule type="expression" dxfId="5" priority="10"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H7:BH26 BJ7:BN26">
    <cfRule type="expression" dxfId="5" priority="11" stopIfTrue="1">
      <formula>AND($B7&lt;&gt;"",BH7="")</formula>
    </cfRule>
  </conditionalFormatting>
  <dataValidations count="5">
    <dataValidation type="list" allowBlank="1" showInputMessage="1" showErrorMessage="1" sqref="H7:H26">
      <formula1>$H$30:$H$34</formula1>
    </dataValidation>
    <dataValidation type="list" allowBlank="1" showInputMessage="1" showErrorMessage="1" sqref="K7:K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D47" display="返回索引页"/>
    <hyperlink ref="B1" location="非流动资产评估汇总!B35"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6"/>
  <dimension ref="A1:BY37"/>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18.6" style="75" customWidth="1"/>
    <col min="3" max="3" width="10.6" style="75" customWidth="1"/>
    <col min="4" max="4" width="12.6" style="75" customWidth="1"/>
    <col min="5" max="6" width="4.6" style="75" customWidth="1" outlineLevel="1"/>
    <col min="7" max="8" width="6.1" style="75" customWidth="1" outlineLevel="1"/>
    <col min="9" max="10" width="10.6" style="75" customWidth="1" outlineLevel="1"/>
    <col min="11" max="11" width="12.6" style="75" customWidth="1" outlineLevel="1"/>
    <col min="12" max="13" width="13.2" style="76" customWidth="1" outlineLevel="1"/>
    <col min="14" max="15" width="10.6" style="75" customWidth="1"/>
    <col min="16" max="16" width="12.6" style="75" customWidth="1"/>
    <col min="17" max="17" width="15.6" style="75" customWidth="1"/>
    <col min="18" max="18" width="11.7" style="75" customWidth="1"/>
    <col min="19" max="52" width="9" style="75" hidden="1" customWidth="1" outlineLevel="1"/>
    <col min="53" max="53" width="14.7" style="75" customWidth="1" collapsed="1"/>
    <col min="54" max="54" width="6.7" style="75" customWidth="1"/>
    <col min="55" max="56" width="5.1" style="75" customWidth="1"/>
    <col min="57" max="57" width="8.7" style="75" customWidth="1"/>
    <col min="58" max="59" width="10.3" style="75" customWidth="1"/>
    <col min="60" max="60" width="4.7" style="75" customWidth="1"/>
    <col min="61" max="61" width="11.5" style="75" customWidth="1"/>
    <col min="62" max="65" width="4.7" style="75" customWidth="1"/>
    <col min="66" max="66" width="6.7" style="7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2.45" customHeight="1" spans="1:77">
      <c r="A1" s="79" t="s">
        <v>1591</v>
      </c>
      <c r="B1" s="80" t="s">
        <v>1592</v>
      </c>
      <c r="C1" s="81"/>
      <c r="D1" s="81"/>
      <c r="E1" s="81"/>
      <c r="F1" s="81"/>
      <c r="G1" s="81"/>
      <c r="H1" s="81"/>
      <c r="I1" s="81"/>
      <c r="J1" s="81"/>
      <c r="K1" s="81"/>
      <c r="L1" s="83"/>
      <c r="M1" s="83"/>
      <c r="N1" s="81"/>
      <c r="O1" s="81"/>
      <c r="P1" s="81"/>
      <c r="Q1" s="81"/>
      <c r="R1" s="81"/>
      <c r="BA1" s="84" t="str">
        <f>参数表!BA1</f>
        <v>注意：补充特殊事项、作价等均从BA列开始填写</v>
      </c>
      <c r="BB1" s="85"/>
      <c r="BC1" s="86"/>
      <c r="BD1" s="86"/>
      <c r="BE1" s="86"/>
      <c r="BF1" s="86"/>
      <c r="BG1" s="86"/>
      <c r="BH1" s="86"/>
      <c r="BI1" s="86"/>
      <c r="BJ1" s="86"/>
      <c r="BK1" s="86"/>
      <c r="BQ1" s="87"/>
      <c r="BR1" s="88"/>
      <c r="BS1" s="87"/>
      <c r="BT1" s="88"/>
      <c r="BU1" s="88"/>
      <c r="BV1" s="88"/>
      <c r="BW1" s="88"/>
      <c r="BX1" s="88"/>
      <c r="BY1" s="87"/>
    </row>
    <row r="2" s="71" customFormat="1" ht="30" customHeight="1" spans="1:77">
      <c r="A2" s="89" t="s">
        <v>5518</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4"/>
      <c r="M3" s="94"/>
      <c r="N3" s="94"/>
      <c r="O3" s="94"/>
      <c r="P3" s="94"/>
      <c r="Q3" s="95"/>
      <c r="R3" s="95"/>
      <c r="BA3" s="90" t="str">
        <f>参数表!BA3</f>
        <v>是否显示评估值：</v>
      </c>
      <c r="BB3" s="90" t="str">
        <f>参数表!$BB$3</f>
        <v>是</v>
      </c>
      <c r="BQ3" s="92"/>
      <c r="BR3" s="93"/>
      <c r="BS3" s="92"/>
      <c r="BT3" s="93"/>
      <c r="BU3" s="93"/>
      <c r="BV3" s="93"/>
      <c r="BW3" s="93"/>
      <c r="BX3" s="93"/>
      <c r="BY3" s="92"/>
    </row>
    <row r="4" ht="15" customHeight="1" spans="1:77">
      <c r="A4" s="96"/>
      <c r="B4" s="94"/>
      <c r="C4" s="94"/>
      <c r="D4" s="94"/>
      <c r="E4" s="94"/>
      <c r="F4" s="94"/>
      <c r="G4" s="94"/>
      <c r="H4" s="94"/>
      <c r="I4" s="94"/>
      <c r="J4" s="94"/>
      <c r="K4" s="94"/>
      <c r="L4" s="97"/>
      <c r="M4" s="97"/>
      <c r="N4" s="94"/>
      <c r="O4" s="94"/>
      <c r="P4" s="94"/>
      <c r="Q4" s="95"/>
      <c r="R4" s="98" t="str">
        <f>"表"&amp;$BA4</f>
        <v>表6-4</v>
      </c>
      <c r="BA4" s="187" t="str">
        <f>非流动负总!A10</f>
        <v>6-4</v>
      </c>
      <c r="BB4" s="100">
        <f>MAX(COUNTA(A8:A27),COUNTA(B8:B27),COUNTA(K8:K27),COUNTA(P8:P27))</f>
        <v>20</v>
      </c>
      <c r="BC4" s="101">
        <f>ROW(A7)+1</f>
        <v>8</v>
      </c>
      <c r="BD4" s="77"/>
      <c r="BE4" s="77"/>
      <c r="BS4" s="78"/>
    </row>
    <row r="5" ht="15" customHeight="1" spans="1:77">
      <c r="A5" s="102" t="str">
        <f>参数表!F3</f>
        <v>产权持有单位:中煤第五建设有限公司</v>
      </c>
      <c r="B5" s="103"/>
      <c r="C5" s="103"/>
      <c r="D5" s="103"/>
      <c r="E5" s="103"/>
      <c r="F5" s="103"/>
      <c r="G5" s="103"/>
      <c r="H5" s="103"/>
      <c r="I5" s="103"/>
      <c r="J5" s="103"/>
      <c r="K5" s="103"/>
      <c r="L5" s="104"/>
      <c r="M5" s="104"/>
      <c r="N5" s="103"/>
      <c r="O5" s="103"/>
      <c r="P5" s="103"/>
      <c r="Q5" s="103"/>
      <c r="R5" s="98" t="s">
        <v>236</v>
      </c>
      <c r="BA5" s="103"/>
      <c r="BB5" s="105" t="str">
        <f ca="1">判断表!C121</f>
        <v>中煤第五建设有限公司第三工程处拟处置实物资产项目\[0000-3基础法明细表.xlsx]长期应付</v>
      </c>
      <c r="BC5" s="106">
        <f>IFERROR(SUMIF(BC8:BC27,"√",P8:P27)/P28,0)</f>
        <v>0</v>
      </c>
      <c r="BD5" s="107"/>
      <c r="BE5" s="107"/>
      <c r="BF5" s="108">
        <f>分类汇总!$I63</f>
        <v>0</v>
      </c>
      <c r="BG5" s="108">
        <f>分类汇总!$K63</f>
        <v>0</v>
      </c>
      <c r="BH5" s="109"/>
      <c r="BI5" s="109"/>
      <c r="BJ5" s="109"/>
      <c r="BK5" s="109"/>
      <c r="BL5" s="109"/>
      <c r="BM5" s="109"/>
      <c r="BN5" s="109"/>
      <c r="BO5" s="110"/>
      <c r="BP5" s="110"/>
      <c r="BS5" s="78"/>
    </row>
    <row r="6" s="72" customFormat="1" ht="15" customHeight="1" spans="1:77">
      <c r="A6" s="112" t="s">
        <v>305</v>
      </c>
      <c r="B6" s="113" t="s">
        <v>1897</v>
      </c>
      <c r="C6" s="113" t="s">
        <v>1961</v>
      </c>
      <c r="D6" s="113" t="s">
        <v>1898</v>
      </c>
      <c r="E6" s="188" t="s">
        <v>1964</v>
      </c>
      <c r="F6" s="189"/>
      <c r="G6" s="189"/>
      <c r="H6" s="190"/>
      <c r="I6" s="113" t="s">
        <v>1549</v>
      </c>
      <c r="J6" s="113"/>
      <c r="K6" s="113"/>
      <c r="L6" s="117" t="s">
        <v>3236</v>
      </c>
      <c r="M6" s="117"/>
      <c r="N6" s="113" t="s">
        <v>1523</v>
      </c>
      <c r="O6" s="113"/>
      <c r="P6" s="113"/>
      <c r="Q6" s="113" t="s">
        <v>1550</v>
      </c>
      <c r="R6" s="113" t="s">
        <v>308</v>
      </c>
      <c r="BA6" s="191"/>
      <c r="BB6" s="100"/>
      <c r="BC6" s="100"/>
      <c r="BD6" s="100"/>
      <c r="BE6" s="100"/>
      <c r="BF6" s="192" t="s">
        <v>1639</v>
      </c>
      <c r="BG6" s="192" t="s">
        <v>1640</v>
      </c>
      <c r="BH6" s="193" t="s">
        <v>1748</v>
      </c>
      <c r="BI6" s="193" t="s">
        <v>4217</v>
      </c>
      <c r="BJ6" s="193" t="s">
        <v>1712</v>
      </c>
      <c r="BK6" s="193" t="s">
        <v>3696</v>
      </c>
      <c r="BL6" s="193" t="s">
        <v>4355</v>
      </c>
      <c r="BM6" s="193" t="s">
        <v>1686</v>
      </c>
      <c r="BN6" s="193" t="s">
        <v>1687</v>
      </c>
      <c r="BO6" s="193" t="s">
        <v>2063</v>
      </c>
      <c r="BP6" s="193" t="s">
        <v>1644</v>
      </c>
      <c r="BQ6" s="111"/>
      <c r="BR6" s="78"/>
      <c r="BS6" s="78"/>
      <c r="BT6" s="78"/>
      <c r="BU6" s="78"/>
      <c r="BV6" s="78"/>
      <c r="BW6" s="78"/>
      <c r="BX6" s="194"/>
      <c r="BY6" s="111"/>
    </row>
    <row r="7" s="72" customFormat="1" ht="15" customHeight="1" spans="1:77">
      <c r="A7" s="195"/>
      <c r="B7" s="149"/>
      <c r="C7" s="149"/>
      <c r="D7" s="149"/>
      <c r="E7" s="114" t="s">
        <v>1631</v>
      </c>
      <c r="F7" s="115" t="s">
        <v>1632</v>
      </c>
      <c r="G7" s="116" t="s">
        <v>5519</v>
      </c>
      <c r="H7" s="116" t="s">
        <v>5520</v>
      </c>
      <c r="I7" s="149" t="s">
        <v>5521</v>
      </c>
      <c r="J7" s="149" t="s">
        <v>5522</v>
      </c>
      <c r="K7" s="149" t="s">
        <v>1988</v>
      </c>
      <c r="L7" s="196" t="s">
        <v>5523</v>
      </c>
      <c r="M7" s="196" t="s">
        <v>5524</v>
      </c>
      <c r="N7" s="149" t="s">
        <v>5521</v>
      </c>
      <c r="O7" s="149" t="s">
        <v>5522</v>
      </c>
      <c r="P7" s="149" t="s">
        <v>1988</v>
      </c>
      <c r="Q7" s="113"/>
      <c r="R7" s="113"/>
      <c r="BA7" s="100" t="s">
        <v>1545</v>
      </c>
      <c r="BB7" s="100" t="s">
        <v>1635</v>
      </c>
      <c r="BC7" s="100" t="s">
        <v>1636</v>
      </c>
      <c r="BD7" s="100" t="s">
        <v>1637</v>
      </c>
      <c r="BE7" s="100" t="s">
        <v>1638</v>
      </c>
      <c r="BF7" s="197"/>
      <c r="BG7" s="197"/>
      <c r="BH7" s="198"/>
      <c r="BI7" s="198"/>
      <c r="BJ7" s="198"/>
      <c r="BK7" s="198"/>
      <c r="BL7" s="198"/>
      <c r="BM7" s="198"/>
      <c r="BN7" s="198"/>
      <c r="BO7" s="198"/>
      <c r="BP7" s="198"/>
      <c r="BQ7" s="119"/>
      <c r="BR7" s="120" t="s">
        <v>1645</v>
      </c>
      <c r="BS7" s="121" t="s">
        <v>1646</v>
      </c>
      <c r="BT7" s="121" t="s">
        <v>1647</v>
      </c>
      <c r="BU7" s="121" t="s">
        <v>1648</v>
      </c>
      <c r="BV7" s="121" t="s">
        <v>1647</v>
      </c>
      <c r="BW7" s="121" t="s">
        <v>1647</v>
      </c>
      <c r="BX7" s="121" t="s">
        <v>1649</v>
      </c>
      <c r="BY7" s="122" t="s">
        <v>1650</v>
      </c>
    </row>
    <row r="8" ht="15" customHeight="1" spans="1:77">
      <c r="A8" s="123" t="str">
        <f>IF(B8="","",COUNT(A$6:A6)+1)</f>
        <v/>
      </c>
      <c r="B8" s="124"/>
      <c r="C8" s="125"/>
      <c r="D8" s="199"/>
      <c r="E8" s="127"/>
      <c r="F8" s="127" t="str">
        <f>IFERROR(VLOOKUP(E8,参数表!$H$2:$I$50,2,FALSE),"")</f>
        <v/>
      </c>
      <c r="G8" s="128" t="str">
        <f>IFERROR(IF(OR(E8="人民币",E8=""),"",N8/F8),"")</f>
        <v/>
      </c>
      <c r="H8" s="128" t="str">
        <f>IFERROR(IF(OR(E8="人民币",E8=""),"",O8/F8),"")</f>
        <v/>
      </c>
      <c r="I8" s="129"/>
      <c r="J8" s="129"/>
      <c r="K8" s="129" t="str">
        <f>IF(B8="","",SUM(I8:J8))</f>
        <v/>
      </c>
      <c r="L8" s="130"/>
      <c r="M8" s="130"/>
      <c r="N8" s="129" t="str">
        <f>IF(B8="","",I8+L8)</f>
        <v/>
      </c>
      <c r="O8" s="129" t="str">
        <f>IF(B8="","",J8+M8)</f>
        <v/>
      </c>
      <c r="P8" s="129" t="str">
        <f>IF(B8="","",SUM(N8:O8))</f>
        <v/>
      </c>
      <c r="Q8" s="129" t="str">
        <f t="shared" ref="Q8:Q27" si="0">IF(B8="","",IF($BB$3="是",P8,""))</f>
        <v/>
      </c>
      <c r="R8" s="131"/>
      <c r="BA8" s="78"/>
      <c r="BB8" s="132" t="s">
        <v>5525</v>
      </c>
      <c r="BC8" s="133"/>
      <c r="BD8" s="132" t="str">
        <f>IF(OR(B8="",BC8=""),"",COUNTIF(BC$7:BC8,"√"))</f>
        <v/>
      </c>
      <c r="BE8" s="134" t="str">
        <f t="shared" ref="BE8:BE27" si="1">IF(BC8="","",BB8&amp;"︱"&amp;B8&amp;"︱"&amp;TEXT(K8,"#,##0.00"))</f>
        <v/>
      </c>
      <c r="BF8" s="135" t="str">
        <f>IF($B8="","",IF(BF$5=0,"OK","出错"))</f>
        <v/>
      </c>
      <c r="BG8" s="135" t="str">
        <f>IF($B8="","",IF(BG$5=0,"OK","出错"))</f>
        <v/>
      </c>
      <c r="BH8" s="136"/>
      <c r="BI8" s="137"/>
      <c r="BJ8" s="136"/>
      <c r="BK8" s="136"/>
      <c r="BL8" s="136"/>
      <c r="BM8" s="136"/>
      <c r="BN8" s="136"/>
      <c r="BO8" s="137"/>
      <c r="BP8" s="137"/>
      <c r="BR8" s="134" t="str">
        <f>IF(COUNTIF(BR$7:BR7,D8)&gt;0,"",D8)&amp;""</f>
        <v/>
      </c>
      <c r="BS8" s="138">
        <f>SUMIF(D$8:D$27,BR8,N$8:N$27)</f>
        <v>0</v>
      </c>
      <c r="BT8" s="132">
        <f t="shared" ref="BT8" si="2">RANK(BS8,BS$8:BS$27)</f>
        <v>1</v>
      </c>
      <c r="BU8" s="138">
        <f>SUMIF(D$8:D$27,BR8,Q$8:Q$27)</f>
        <v>0</v>
      </c>
      <c r="BV8" s="132">
        <f>RANK(BU8,BU$8:BU$27)</f>
        <v>1</v>
      </c>
      <c r="BW8" s="138">
        <f>SUM(BS8:BS27)</f>
        <v>0</v>
      </c>
      <c r="BX8" s="138"/>
      <c r="BY8" s="138"/>
    </row>
    <row r="9" ht="15" customHeight="1" spans="1:77">
      <c r="A9" s="123" t="str">
        <f>IF(B9="","",COUNT(A$6:A7)+1)</f>
        <v/>
      </c>
      <c r="B9" s="139"/>
      <c r="C9" s="140"/>
      <c r="D9" s="200"/>
      <c r="E9" s="142"/>
      <c r="F9" s="127" t="str">
        <f>IFERROR(VLOOKUP(E9,参数表!$H$2:$I$50,2,FALSE),"")</f>
        <v/>
      </c>
      <c r="G9" s="128" t="str">
        <f t="shared" ref="G9:G27" si="3">IFERROR(IF(OR(E9="人民币",E9=""),"",N9/F9),"")</f>
        <v/>
      </c>
      <c r="H9" s="128" t="str">
        <f t="shared" ref="H9:H27" si="4">IFERROR(IF(OR(E9="人民币",E9=""),"",O9/F9),"")</f>
        <v/>
      </c>
      <c r="I9" s="143"/>
      <c r="J9" s="143"/>
      <c r="K9" s="129" t="str">
        <f t="shared" ref="K9:K27" si="5">IF(B9="","",SUM(I9:J9))</f>
        <v/>
      </c>
      <c r="L9" s="144"/>
      <c r="M9" s="144"/>
      <c r="N9" s="129" t="str">
        <f t="shared" ref="N9:N27" si="6">IF(B9="","",I9+L9)</f>
        <v/>
      </c>
      <c r="O9" s="129" t="str">
        <f t="shared" ref="O9:O27" si="7">IF(B9="","",J9+M9)</f>
        <v/>
      </c>
      <c r="P9" s="129" t="str">
        <f t="shared" ref="P9:P27" si="8">IF(B9="","",SUM(N9:O9))</f>
        <v/>
      </c>
      <c r="Q9" s="129" t="str">
        <f t="shared" si="0"/>
        <v/>
      </c>
      <c r="R9" s="145"/>
      <c r="BA9" s="78"/>
      <c r="BB9" s="132" t="s">
        <v>5526</v>
      </c>
      <c r="BC9" s="133"/>
      <c r="BD9" s="132" t="str">
        <f>IF(OR(B9="",BC9=""),"",COUNTIF(BC$7:BC9,"√"))</f>
        <v/>
      </c>
      <c r="BE9" s="134" t="str">
        <f t="shared" si="1"/>
        <v/>
      </c>
      <c r="BF9" s="135" t="str">
        <f t="shared" ref="BF9:BG27" si="9">IF($B9="","",IF(BF$5=0,"OK","出错"))</f>
        <v/>
      </c>
      <c r="BG9" s="135" t="str">
        <f t="shared" si="9"/>
        <v/>
      </c>
      <c r="BH9" s="136"/>
      <c r="BI9" s="137"/>
      <c r="BJ9" s="136"/>
      <c r="BK9" s="136"/>
      <c r="BL9" s="136"/>
      <c r="BM9" s="136"/>
      <c r="BN9" s="136"/>
      <c r="BO9" s="137"/>
      <c r="BP9" s="137"/>
      <c r="BR9" s="134" t="str">
        <f>IF(COUNTIF(BR$7:BR8,D9)&gt;0,"",D9)&amp;""</f>
        <v/>
      </c>
      <c r="BS9" s="138">
        <f t="shared" ref="BS9:BS27" si="10">SUMIF(D$8:D$27,BR9,N$8:N$27)</f>
        <v>0</v>
      </c>
      <c r="BT9" s="132">
        <f t="shared" ref="BT9:BT27" si="11">RANK(BS9,BS$8:BS$27)</f>
        <v>1</v>
      </c>
      <c r="BU9" s="138">
        <f t="shared" ref="BU9:BU27" si="12">SUMIF(D$8:D$27,BR9,Q$8:Q$27)</f>
        <v>0</v>
      </c>
      <c r="BV9" s="132">
        <f t="shared" ref="BV9:BV27" si="13">RANK(BU9,BU$8:BU$27)</f>
        <v>1</v>
      </c>
      <c r="BW9" s="138">
        <f>SUM(BU8:BU27)</f>
        <v>0</v>
      </c>
      <c r="BX9" s="138"/>
      <c r="BY9" s="138"/>
    </row>
    <row r="10" ht="15" customHeight="1" spans="1:77">
      <c r="A10" s="123" t="str">
        <f>IF(B10="","",COUNT(A$6:A8)+1)</f>
        <v/>
      </c>
      <c r="B10" s="139"/>
      <c r="C10" s="140"/>
      <c r="D10" s="200"/>
      <c r="E10" s="142"/>
      <c r="F10" s="127" t="str">
        <f>IFERROR(VLOOKUP(E10,参数表!$H$2:$I$50,2,FALSE),"")</f>
        <v/>
      </c>
      <c r="G10" s="128" t="str">
        <f t="shared" si="3"/>
        <v/>
      </c>
      <c r="H10" s="128" t="str">
        <f t="shared" si="4"/>
        <v/>
      </c>
      <c r="I10" s="143"/>
      <c r="J10" s="143"/>
      <c r="K10" s="129" t="str">
        <f t="shared" si="5"/>
        <v/>
      </c>
      <c r="L10" s="144"/>
      <c r="M10" s="144"/>
      <c r="N10" s="129" t="str">
        <f t="shared" si="6"/>
        <v/>
      </c>
      <c r="O10" s="129" t="str">
        <f t="shared" si="7"/>
        <v/>
      </c>
      <c r="P10" s="129" t="str">
        <f t="shared" si="8"/>
        <v/>
      </c>
      <c r="Q10" s="129" t="str">
        <f t="shared" si="0"/>
        <v/>
      </c>
      <c r="R10" s="145"/>
      <c r="BA10" s="78"/>
      <c r="BB10" s="132" t="s">
        <v>5527</v>
      </c>
      <c r="BC10" s="133"/>
      <c r="BD10" s="132" t="str">
        <f>IF(OR(B10="",BC10=""),"",COUNTIF(BC$7:BC10,"√"))</f>
        <v/>
      </c>
      <c r="BE10" s="134" t="str">
        <f t="shared" si="1"/>
        <v/>
      </c>
      <c r="BF10" s="135" t="str">
        <f t="shared" si="9"/>
        <v/>
      </c>
      <c r="BG10" s="135" t="str">
        <f t="shared" si="9"/>
        <v/>
      </c>
      <c r="BH10" s="136"/>
      <c r="BI10" s="137"/>
      <c r="BJ10" s="136"/>
      <c r="BK10" s="136"/>
      <c r="BL10" s="136"/>
      <c r="BM10" s="136"/>
      <c r="BN10" s="136"/>
      <c r="BO10" s="137"/>
      <c r="BP10" s="137"/>
      <c r="BR10" s="134" t="str">
        <f>IF(COUNTIF(BR$7:BR9,D10)&gt;0,"",D10)&amp;""</f>
        <v/>
      </c>
      <c r="BS10" s="138">
        <f t="shared" si="10"/>
        <v>0</v>
      </c>
      <c r="BT10" s="132">
        <f t="shared" si="11"/>
        <v>1</v>
      </c>
      <c r="BU10" s="138">
        <f t="shared" si="12"/>
        <v>0</v>
      </c>
      <c r="BV10" s="132">
        <f t="shared" si="13"/>
        <v>1</v>
      </c>
      <c r="BW10" s="132">
        <v>1</v>
      </c>
      <c r="BX10" s="134" t="str">
        <f>IFERROR(INDEX(BR$8:BR$27,MATCH(BW10,IF(BW$8=0,BV$8:BV$27,BT$8:BT$27),0))&amp;"","")</f>
        <v/>
      </c>
      <c r="BY10" s="146" t="str">
        <f>IF(BX11="","",IF(BX12="","和","、"))</f>
        <v/>
      </c>
    </row>
    <row r="11" ht="15" customHeight="1" spans="1:77">
      <c r="A11" s="123" t="str">
        <f>IF(B11="","",COUNT(A$6:A9)+1)</f>
        <v/>
      </c>
      <c r="B11" s="139"/>
      <c r="C11" s="140"/>
      <c r="D11" s="200"/>
      <c r="E11" s="142"/>
      <c r="F11" s="127" t="str">
        <f>IFERROR(VLOOKUP(E11,参数表!$H$2:$I$50,2,FALSE),"")</f>
        <v/>
      </c>
      <c r="G11" s="128" t="str">
        <f t="shared" si="3"/>
        <v/>
      </c>
      <c r="H11" s="128" t="str">
        <f t="shared" si="4"/>
        <v/>
      </c>
      <c r="I11" s="143"/>
      <c r="J11" s="143"/>
      <c r="K11" s="129" t="str">
        <f t="shared" si="5"/>
        <v/>
      </c>
      <c r="L11" s="144"/>
      <c r="M11" s="144"/>
      <c r="N11" s="129" t="str">
        <f t="shared" si="6"/>
        <v/>
      </c>
      <c r="O11" s="129" t="str">
        <f t="shared" si="7"/>
        <v/>
      </c>
      <c r="P11" s="129" t="str">
        <f t="shared" si="8"/>
        <v/>
      </c>
      <c r="Q11" s="129" t="str">
        <f t="shared" si="0"/>
        <v/>
      </c>
      <c r="R11" s="145"/>
      <c r="BA11" s="78"/>
      <c r="BB11" s="132" t="s">
        <v>5528</v>
      </c>
      <c r="BC11" s="133"/>
      <c r="BD11" s="132" t="str">
        <f>IF(OR(B11="",BC11=""),"",COUNTIF(BC$7:BC11,"√"))</f>
        <v/>
      </c>
      <c r="BE11" s="134" t="str">
        <f t="shared" si="1"/>
        <v/>
      </c>
      <c r="BF11" s="135" t="str">
        <f t="shared" si="9"/>
        <v/>
      </c>
      <c r="BG11" s="135" t="str">
        <f t="shared" si="9"/>
        <v/>
      </c>
      <c r="BH11" s="136"/>
      <c r="BI11" s="137"/>
      <c r="BJ11" s="136"/>
      <c r="BK11" s="136"/>
      <c r="BL11" s="136"/>
      <c r="BM11" s="136"/>
      <c r="BN11" s="136"/>
      <c r="BO11" s="137"/>
      <c r="BP11" s="137"/>
      <c r="BR11" s="134" t="str">
        <f>IF(COUNTIF(BR$7:BR10,D11)&gt;0,"",D11)&amp;""</f>
        <v/>
      </c>
      <c r="BS11" s="138">
        <f t="shared" si="10"/>
        <v>0</v>
      </c>
      <c r="BT11" s="132">
        <f t="shared" si="11"/>
        <v>1</v>
      </c>
      <c r="BU11" s="138">
        <f t="shared" si="12"/>
        <v>0</v>
      </c>
      <c r="BV11" s="132">
        <f t="shared" si="13"/>
        <v>1</v>
      </c>
      <c r="BW11" s="132">
        <v>2</v>
      </c>
      <c r="BX11" s="134" t="str">
        <f t="shared" ref="BX11:BX14" si="14">IFERROR(INDEX(BR$8:BR$27,MATCH(BW11,IF(BW$8=0,BV$8:BV$27,BT$8:BT$27),0))&amp;"","")</f>
        <v/>
      </c>
      <c r="BY11" s="146" t="str">
        <f t="shared" ref="BY11:BY12" si="15">IF(BX12="","",IF(BX13="","和","、"))</f>
        <v/>
      </c>
    </row>
    <row r="12" ht="15" customHeight="1" spans="1:77">
      <c r="A12" s="123" t="str">
        <f>IF(B12="","",COUNT(A$6:A10)+1)</f>
        <v/>
      </c>
      <c r="B12" s="139"/>
      <c r="C12" s="140"/>
      <c r="D12" s="200"/>
      <c r="E12" s="142"/>
      <c r="F12" s="127" t="str">
        <f>IFERROR(VLOOKUP(E12,参数表!$H$2:$I$50,2,FALSE),"")</f>
        <v/>
      </c>
      <c r="G12" s="128" t="str">
        <f t="shared" si="3"/>
        <v/>
      </c>
      <c r="H12" s="128" t="str">
        <f t="shared" si="4"/>
        <v/>
      </c>
      <c r="I12" s="143"/>
      <c r="J12" s="143"/>
      <c r="K12" s="129" t="str">
        <f t="shared" si="5"/>
        <v/>
      </c>
      <c r="L12" s="144"/>
      <c r="M12" s="144"/>
      <c r="N12" s="129" t="str">
        <f t="shared" si="6"/>
        <v/>
      </c>
      <c r="O12" s="129" t="str">
        <f t="shared" si="7"/>
        <v/>
      </c>
      <c r="P12" s="129" t="str">
        <f t="shared" si="8"/>
        <v/>
      </c>
      <c r="Q12" s="129" t="str">
        <f t="shared" si="0"/>
        <v/>
      </c>
      <c r="R12" s="145"/>
      <c r="BA12" s="78"/>
      <c r="BB12" s="132" t="s">
        <v>5529</v>
      </c>
      <c r="BC12" s="133"/>
      <c r="BD12" s="132" t="str">
        <f>IF(OR(B12="",BC12=""),"",COUNTIF(BC$7:BC12,"√"))</f>
        <v/>
      </c>
      <c r="BE12" s="134" t="str">
        <f t="shared" si="1"/>
        <v/>
      </c>
      <c r="BF12" s="135" t="str">
        <f t="shared" si="9"/>
        <v/>
      </c>
      <c r="BG12" s="135" t="str">
        <f t="shared" si="9"/>
        <v/>
      </c>
      <c r="BH12" s="136"/>
      <c r="BI12" s="137"/>
      <c r="BJ12" s="136"/>
      <c r="BK12" s="136"/>
      <c r="BL12" s="136"/>
      <c r="BM12" s="136"/>
      <c r="BN12" s="136"/>
      <c r="BO12" s="137"/>
      <c r="BP12" s="137"/>
      <c r="BR12" s="134" t="str">
        <f>IF(COUNTIF(BR$7:BR11,D12)&gt;0,"",D12)&amp;""</f>
        <v/>
      </c>
      <c r="BS12" s="138">
        <f t="shared" si="10"/>
        <v>0</v>
      </c>
      <c r="BT12" s="132">
        <f t="shared" si="11"/>
        <v>1</v>
      </c>
      <c r="BU12" s="138">
        <f t="shared" si="12"/>
        <v>0</v>
      </c>
      <c r="BV12" s="132">
        <f t="shared" si="13"/>
        <v>1</v>
      </c>
      <c r="BW12" s="132">
        <v>3</v>
      </c>
      <c r="BX12" s="134" t="str">
        <f t="shared" si="14"/>
        <v/>
      </c>
      <c r="BY12" s="146" t="str">
        <f t="shared" si="15"/>
        <v/>
      </c>
    </row>
    <row r="13" ht="15" customHeight="1" spans="1:77">
      <c r="A13" s="123" t="str">
        <f>IF(B13="","",COUNT(A$6:A11)+1)</f>
        <v/>
      </c>
      <c r="B13" s="139"/>
      <c r="C13" s="140"/>
      <c r="D13" s="200"/>
      <c r="E13" s="142"/>
      <c r="F13" s="127" t="str">
        <f>IFERROR(VLOOKUP(E13,参数表!$H$2:$I$50,2,FALSE),"")</f>
        <v/>
      </c>
      <c r="G13" s="128" t="str">
        <f t="shared" si="3"/>
        <v/>
      </c>
      <c r="H13" s="128" t="str">
        <f t="shared" si="4"/>
        <v/>
      </c>
      <c r="I13" s="143"/>
      <c r="J13" s="143"/>
      <c r="K13" s="129" t="str">
        <f t="shared" si="5"/>
        <v/>
      </c>
      <c r="L13" s="144"/>
      <c r="M13" s="144"/>
      <c r="N13" s="129" t="str">
        <f t="shared" si="6"/>
        <v/>
      </c>
      <c r="O13" s="129" t="str">
        <f t="shared" si="7"/>
        <v/>
      </c>
      <c r="P13" s="129" t="str">
        <f t="shared" si="8"/>
        <v/>
      </c>
      <c r="Q13" s="129" t="str">
        <f t="shared" si="0"/>
        <v/>
      </c>
      <c r="R13" s="145"/>
      <c r="BA13" s="78"/>
      <c r="BB13" s="132" t="s">
        <v>5530</v>
      </c>
      <c r="BC13" s="133"/>
      <c r="BD13" s="132" t="str">
        <f>IF(OR(B13="",BC13=""),"",COUNTIF(BC$7:BC13,"√"))</f>
        <v/>
      </c>
      <c r="BE13" s="134" t="str">
        <f t="shared" si="1"/>
        <v/>
      </c>
      <c r="BF13" s="135" t="str">
        <f t="shared" si="9"/>
        <v/>
      </c>
      <c r="BG13" s="135" t="str">
        <f t="shared" si="9"/>
        <v/>
      </c>
      <c r="BH13" s="136"/>
      <c r="BI13" s="137"/>
      <c r="BJ13" s="136"/>
      <c r="BK13" s="136"/>
      <c r="BL13" s="136"/>
      <c r="BM13" s="136"/>
      <c r="BN13" s="136"/>
      <c r="BO13" s="137"/>
      <c r="BP13" s="137"/>
      <c r="BR13" s="134" t="str">
        <f>IF(COUNTIF(BR$7:BR12,D13)&gt;0,"",D13)&amp;""</f>
        <v/>
      </c>
      <c r="BS13" s="138">
        <f t="shared" si="10"/>
        <v>0</v>
      </c>
      <c r="BT13" s="132">
        <f t="shared" si="11"/>
        <v>1</v>
      </c>
      <c r="BU13" s="138">
        <f t="shared" si="12"/>
        <v>0</v>
      </c>
      <c r="BV13" s="132">
        <f t="shared" si="13"/>
        <v>1</v>
      </c>
      <c r="BW13" s="132">
        <v>4</v>
      </c>
      <c r="BX13" s="134" t="str">
        <f t="shared" si="14"/>
        <v/>
      </c>
      <c r="BY13" s="146" t="str">
        <f>IF(BX14="","","和")</f>
        <v/>
      </c>
    </row>
    <row r="14" ht="15" customHeight="1" spans="1:77">
      <c r="A14" s="123" t="str">
        <f>IF(B14="","",COUNT(A$6:A12)+1)</f>
        <v/>
      </c>
      <c r="B14" s="139"/>
      <c r="C14" s="140"/>
      <c r="D14" s="200"/>
      <c r="E14" s="142"/>
      <c r="F14" s="127" t="str">
        <f>IFERROR(VLOOKUP(E14,参数表!$H$2:$I$50,2,FALSE),"")</f>
        <v/>
      </c>
      <c r="G14" s="128" t="str">
        <f t="shared" si="3"/>
        <v/>
      </c>
      <c r="H14" s="128" t="str">
        <f t="shared" si="4"/>
        <v/>
      </c>
      <c r="I14" s="143"/>
      <c r="J14" s="143"/>
      <c r="K14" s="129" t="str">
        <f t="shared" si="5"/>
        <v/>
      </c>
      <c r="L14" s="144"/>
      <c r="M14" s="144"/>
      <c r="N14" s="129" t="str">
        <f t="shared" si="6"/>
        <v/>
      </c>
      <c r="O14" s="129" t="str">
        <f t="shared" si="7"/>
        <v/>
      </c>
      <c r="P14" s="129" t="str">
        <f t="shared" si="8"/>
        <v/>
      </c>
      <c r="Q14" s="129" t="str">
        <f t="shared" si="0"/>
        <v/>
      </c>
      <c r="R14" s="145"/>
      <c r="BA14" s="78"/>
      <c r="BB14" s="132" t="s">
        <v>5531</v>
      </c>
      <c r="BC14" s="133"/>
      <c r="BD14" s="132" t="str">
        <f>IF(OR(B14="",BC14=""),"",COUNTIF(BC$7:BC14,"√"))</f>
        <v/>
      </c>
      <c r="BE14" s="134" t="str">
        <f t="shared" si="1"/>
        <v/>
      </c>
      <c r="BF14" s="135" t="str">
        <f t="shared" si="9"/>
        <v/>
      </c>
      <c r="BG14" s="135" t="str">
        <f t="shared" si="9"/>
        <v/>
      </c>
      <c r="BH14" s="136"/>
      <c r="BI14" s="137"/>
      <c r="BJ14" s="136"/>
      <c r="BK14" s="136"/>
      <c r="BL14" s="136"/>
      <c r="BM14" s="136"/>
      <c r="BN14" s="136"/>
      <c r="BO14" s="137"/>
      <c r="BP14" s="137"/>
      <c r="BR14" s="134" t="str">
        <f>IF(COUNTIF(BR$7:BR13,D14)&gt;0,"",D14)&amp;""</f>
        <v/>
      </c>
      <c r="BS14" s="138">
        <f t="shared" si="10"/>
        <v>0</v>
      </c>
      <c r="BT14" s="132">
        <f t="shared" si="11"/>
        <v>1</v>
      </c>
      <c r="BU14" s="138">
        <f t="shared" si="12"/>
        <v>0</v>
      </c>
      <c r="BV14" s="132">
        <f t="shared" si="13"/>
        <v>1</v>
      </c>
      <c r="BW14" s="132">
        <v>5</v>
      </c>
      <c r="BX14" s="134" t="str">
        <f t="shared" si="14"/>
        <v/>
      </c>
      <c r="BY14" s="146"/>
    </row>
    <row r="15" ht="15" customHeight="1" spans="1:77">
      <c r="A15" s="123" t="str">
        <f>IF(B15="","",COUNT(A$6:A13)+1)</f>
        <v/>
      </c>
      <c r="B15" s="139"/>
      <c r="C15" s="140"/>
      <c r="D15" s="200"/>
      <c r="E15" s="142"/>
      <c r="F15" s="127" t="str">
        <f>IFERROR(VLOOKUP(E15,参数表!$H$2:$I$50,2,FALSE),"")</f>
        <v/>
      </c>
      <c r="G15" s="128" t="str">
        <f t="shared" si="3"/>
        <v/>
      </c>
      <c r="H15" s="128" t="str">
        <f t="shared" si="4"/>
        <v/>
      </c>
      <c r="I15" s="143"/>
      <c r="J15" s="143"/>
      <c r="K15" s="129" t="str">
        <f t="shared" si="5"/>
        <v/>
      </c>
      <c r="L15" s="144"/>
      <c r="M15" s="144"/>
      <c r="N15" s="129" t="str">
        <f t="shared" si="6"/>
        <v/>
      </c>
      <c r="O15" s="129" t="str">
        <f t="shared" si="7"/>
        <v/>
      </c>
      <c r="P15" s="129" t="str">
        <f t="shared" si="8"/>
        <v/>
      </c>
      <c r="Q15" s="129" t="str">
        <f t="shared" si="0"/>
        <v/>
      </c>
      <c r="R15" s="145"/>
      <c r="BA15" s="78"/>
      <c r="BB15" s="132" t="s">
        <v>5532</v>
      </c>
      <c r="BC15" s="133"/>
      <c r="BD15" s="132" t="str">
        <f>IF(OR(B15="",BC15=""),"",COUNTIF(BC$7:BC15,"√"))</f>
        <v/>
      </c>
      <c r="BE15" s="134" t="str">
        <f t="shared" si="1"/>
        <v/>
      </c>
      <c r="BF15" s="135" t="str">
        <f t="shared" si="9"/>
        <v/>
      </c>
      <c r="BG15" s="135" t="str">
        <f t="shared" si="9"/>
        <v/>
      </c>
      <c r="BH15" s="136"/>
      <c r="BI15" s="137"/>
      <c r="BJ15" s="136"/>
      <c r="BK15" s="136"/>
      <c r="BL15" s="136"/>
      <c r="BM15" s="136"/>
      <c r="BN15" s="136"/>
      <c r="BO15" s="137"/>
      <c r="BP15" s="137"/>
      <c r="BR15" s="134" t="str">
        <f>IF(COUNTIF(BR$7:BR14,D15)&gt;0,"",D15)&amp;""</f>
        <v/>
      </c>
      <c r="BS15" s="138">
        <f t="shared" si="10"/>
        <v>0</v>
      </c>
      <c r="BT15" s="132">
        <f t="shared" si="11"/>
        <v>1</v>
      </c>
      <c r="BU15" s="138">
        <f t="shared" si="12"/>
        <v>0</v>
      </c>
      <c r="BV15" s="132">
        <f t="shared" si="13"/>
        <v>1</v>
      </c>
      <c r="BW15" s="147" t="s">
        <v>1659</v>
      </c>
      <c r="BX15" s="132" t="str">
        <f>CONCATENATE(BX10,BY10,BX11,BY11,BX12,BY12,BX13,BY13,BX14)</f>
        <v/>
      </c>
      <c r="BY15" s="132"/>
    </row>
    <row r="16" ht="15" customHeight="1" spans="1:77">
      <c r="A16" s="123" t="str">
        <f>IF(B16="","",COUNT(A$6:A14)+1)</f>
        <v/>
      </c>
      <c r="B16" s="139"/>
      <c r="C16" s="140"/>
      <c r="D16" s="200"/>
      <c r="E16" s="142"/>
      <c r="F16" s="127" t="str">
        <f>IFERROR(VLOOKUP(E16,参数表!$H$2:$I$50,2,FALSE),"")</f>
        <v/>
      </c>
      <c r="G16" s="128" t="str">
        <f t="shared" si="3"/>
        <v/>
      </c>
      <c r="H16" s="128" t="str">
        <f t="shared" si="4"/>
        <v/>
      </c>
      <c r="I16" s="143"/>
      <c r="J16" s="143"/>
      <c r="K16" s="129" t="str">
        <f t="shared" si="5"/>
        <v/>
      </c>
      <c r="L16" s="144"/>
      <c r="M16" s="144"/>
      <c r="N16" s="129" t="str">
        <f t="shared" si="6"/>
        <v/>
      </c>
      <c r="O16" s="129" t="str">
        <f t="shared" si="7"/>
        <v/>
      </c>
      <c r="P16" s="129" t="str">
        <f t="shared" si="8"/>
        <v/>
      </c>
      <c r="Q16" s="129" t="str">
        <f t="shared" si="0"/>
        <v/>
      </c>
      <c r="R16" s="145"/>
      <c r="BA16" s="78"/>
      <c r="BB16" s="132" t="s">
        <v>5533</v>
      </c>
      <c r="BC16" s="133"/>
      <c r="BD16" s="132" t="str">
        <f>IF(OR(B16="",BC16=""),"",COUNTIF(BC$7:BC16,"√"))</f>
        <v/>
      </c>
      <c r="BE16" s="134" t="str">
        <f t="shared" si="1"/>
        <v/>
      </c>
      <c r="BF16" s="135" t="str">
        <f t="shared" si="9"/>
        <v/>
      </c>
      <c r="BG16" s="135" t="str">
        <f t="shared" si="9"/>
        <v/>
      </c>
      <c r="BH16" s="136"/>
      <c r="BI16" s="137"/>
      <c r="BJ16" s="136"/>
      <c r="BK16" s="136"/>
      <c r="BL16" s="136"/>
      <c r="BM16" s="136"/>
      <c r="BN16" s="136"/>
      <c r="BO16" s="137"/>
      <c r="BP16" s="137"/>
      <c r="BR16" s="134" t="str">
        <f>IF(COUNTIF(BR$7:BR15,D16)&gt;0,"",D16)&amp;""</f>
        <v/>
      </c>
      <c r="BS16" s="138">
        <f t="shared" si="10"/>
        <v>0</v>
      </c>
      <c r="BT16" s="132">
        <f t="shared" si="11"/>
        <v>1</v>
      </c>
      <c r="BU16" s="138">
        <f t="shared" si="12"/>
        <v>0</v>
      </c>
      <c r="BV16" s="132">
        <f t="shared" si="13"/>
        <v>1</v>
      </c>
      <c r="BW16" s="133"/>
      <c r="BX16" s="133"/>
    </row>
    <row r="17" ht="15" customHeight="1" spans="1:77">
      <c r="A17" s="123" t="str">
        <f>IF(B17="","",COUNT(A$6:A15)+1)</f>
        <v/>
      </c>
      <c r="B17" s="139"/>
      <c r="C17" s="140"/>
      <c r="D17" s="200"/>
      <c r="E17" s="142"/>
      <c r="F17" s="127" t="str">
        <f>IFERROR(VLOOKUP(E17,参数表!$H$2:$I$50,2,FALSE),"")</f>
        <v/>
      </c>
      <c r="G17" s="128" t="str">
        <f t="shared" si="3"/>
        <v/>
      </c>
      <c r="H17" s="128" t="str">
        <f t="shared" si="4"/>
        <v/>
      </c>
      <c r="I17" s="143"/>
      <c r="J17" s="143"/>
      <c r="K17" s="129" t="str">
        <f t="shared" si="5"/>
        <v/>
      </c>
      <c r="L17" s="144"/>
      <c r="M17" s="144"/>
      <c r="N17" s="129" t="str">
        <f t="shared" si="6"/>
        <v/>
      </c>
      <c r="O17" s="129" t="str">
        <f t="shared" si="7"/>
        <v/>
      </c>
      <c r="P17" s="129" t="str">
        <f t="shared" si="8"/>
        <v/>
      </c>
      <c r="Q17" s="129" t="str">
        <f t="shared" si="0"/>
        <v/>
      </c>
      <c r="R17" s="145"/>
      <c r="BA17" s="78"/>
      <c r="BB17" s="132" t="s">
        <v>5534</v>
      </c>
      <c r="BC17" s="133"/>
      <c r="BD17" s="132" t="str">
        <f>IF(OR(B17="",BC17=""),"",COUNTIF(BC$7:BC17,"√"))</f>
        <v/>
      </c>
      <c r="BE17" s="134" t="str">
        <f t="shared" si="1"/>
        <v/>
      </c>
      <c r="BF17" s="135" t="str">
        <f t="shared" si="9"/>
        <v/>
      </c>
      <c r="BG17" s="135" t="str">
        <f t="shared" si="9"/>
        <v/>
      </c>
      <c r="BH17" s="136"/>
      <c r="BI17" s="137"/>
      <c r="BJ17" s="136"/>
      <c r="BK17" s="136"/>
      <c r="BL17" s="136"/>
      <c r="BM17" s="136"/>
      <c r="BN17" s="136"/>
      <c r="BO17" s="137"/>
      <c r="BP17" s="137"/>
      <c r="BR17" s="134" t="str">
        <f>IF(COUNTIF(BR$7:BR16,D17)&gt;0,"",D17)&amp;""</f>
        <v/>
      </c>
      <c r="BS17" s="138">
        <f t="shared" si="10"/>
        <v>0</v>
      </c>
      <c r="BT17" s="132">
        <f t="shared" si="11"/>
        <v>1</v>
      </c>
      <c r="BU17" s="138">
        <f t="shared" si="12"/>
        <v>0</v>
      </c>
      <c r="BV17" s="132">
        <f t="shared" si="13"/>
        <v>1</v>
      </c>
      <c r="BW17" s="133"/>
      <c r="BX17" s="148"/>
    </row>
    <row r="18" ht="15" customHeight="1" spans="1:77">
      <c r="A18" s="123" t="str">
        <f>IF(B18="","",COUNT(A$6:A16)+1)</f>
        <v/>
      </c>
      <c r="B18" s="139"/>
      <c r="C18" s="140"/>
      <c r="D18" s="200"/>
      <c r="E18" s="142"/>
      <c r="F18" s="127" t="str">
        <f>IFERROR(VLOOKUP(E18,参数表!$H$2:$I$50,2,FALSE),"")</f>
        <v/>
      </c>
      <c r="G18" s="128" t="str">
        <f t="shared" si="3"/>
        <v/>
      </c>
      <c r="H18" s="128" t="str">
        <f t="shared" si="4"/>
        <v/>
      </c>
      <c r="I18" s="143"/>
      <c r="J18" s="143"/>
      <c r="K18" s="129" t="str">
        <f t="shared" si="5"/>
        <v/>
      </c>
      <c r="L18" s="144"/>
      <c r="M18" s="144"/>
      <c r="N18" s="129" t="str">
        <f t="shared" si="6"/>
        <v/>
      </c>
      <c r="O18" s="129" t="str">
        <f t="shared" si="7"/>
        <v/>
      </c>
      <c r="P18" s="129" t="str">
        <f t="shared" si="8"/>
        <v/>
      </c>
      <c r="Q18" s="129" t="str">
        <f t="shared" si="0"/>
        <v/>
      </c>
      <c r="R18" s="145"/>
      <c r="BA18" s="78"/>
      <c r="BB18" s="132" t="s">
        <v>5535</v>
      </c>
      <c r="BC18" s="133"/>
      <c r="BD18" s="132" t="str">
        <f>IF(OR(B18="",BC18=""),"",COUNTIF(BC$7:BC18,"√"))</f>
        <v/>
      </c>
      <c r="BE18" s="134" t="str">
        <f t="shared" si="1"/>
        <v/>
      </c>
      <c r="BF18" s="135" t="str">
        <f t="shared" si="9"/>
        <v/>
      </c>
      <c r="BG18" s="135" t="str">
        <f t="shared" si="9"/>
        <v/>
      </c>
      <c r="BH18" s="136"/>
      <c r="BI18" s="137"/>
      <c r="BJ18" s="136"/>
      <c r="BK18" s="136"/>
      <c r="BL18" s="136"/>
      <c r="BM18" s="136"/>
      <c r="BN18" s="136"/>
      <c r="BO18" s="137"/>
      <c r="BP18" s="137"/>
      <c r="BR18" s="134" t="str">
        <f>IF(COUNTIF(BR$7:BR17,D18)&gt;0,"",D18)&amp;""</f>
        <v/>
      </c>
      <c r="BS18" s="138">
        <f t="shared" si="10"/>
        <v>0</v>
      </c>
      <c r="BT18" s="132">
        <f t="shared" si="11"/>
        <v>1</v>
      </c>
      <c r="BU18" s="138">
        <f t="shared" si="12"/>
        <v>0</v>
      </c>
      <c r="BV18" s="132">
        <f t="shared" si="13"/>
        <v>1</v>
      </c>
      <c r="BW18" s="133"/>
      <c r="BX18" s="133"/>
    </row>
    <row r="19" ht="15" customHeight="1" spans="1:77">
      <c r="A19" s="123" t="str">
        <f>IF(B19="","",COUNT(A$6:A17)+1)</f>
        <v/>
      </c>
      <c r="B19" s="139"/>
      <c r="C19" s="140"/>
      <c r="D19" s="200"/>
      <c r="E19" s="142"/>
      <c r="F19" s="127" t="str">
        <f>IFERROR(VLOOKUP(E19,参数表!$H$2:$I$50,2,FALSE),"")</f>
        <v/>
      </c>
      <c r="G19" s="128" t="str">
        <f t="shared" si="3"/>
        <v/>
      </c>
      <c r="H19" s="128" t="str">
        <f t="shared" si="4"/>
        <v/>
      </c>
      <c r="I19" s="143"/>
      <c r="J19" s="143"/>
      <c r="K19" s="129" t="str">
        <f t="shared" si="5"/>
        <v/>
      </c>
      <c r="L19" s="144"/>
      <c r="M19" s="144"/>
      <c r="N19" s="129" t="str">
        <f t="shared" si="6"/>
        <v/>
      </c>
      <c r="O19" s="129" t="str">
        <f t="shared" si="7"/>
        <v/>
      </c>
      <c r="P19" s="129" t="str">
        <f t="shared" si="8"/>
        <v/>
      </c>
      <c r="Q19" s="129" t="str">
        <f t="shared" si="0"/>
        <v/>
      </c>
      <c r="R19" s="145"/>
      <c r="BA19" s="78"/>
      <c r="BB19" s="132" t="s">
        <v>5536</v>
      </c>
      <c r="BC19" s="133"/>
      <c r="BD19" s="132" t="str">
        <f>IF(OR(B19="",BC19=""),"",COUNTIF(BC$7:BC19,"√"))</f>
        <v/>
      </c>
      <c r="BE19" s="134" t="str">
        <f t="shared" si="1"/>
        <v/>
      </c>
      <c r="BF19" s="135" t="str">
        <f t="shared" si="9"/>
        <v/>
      </c>
      <c r="BG19" s="135" t="str">
        <f t="shared" si="9"/>
        <v/>
      </c>
      <c r="BH19" s="136"/>
      <c r="BI19" s="137"/>
      <c r="BJ19" s="136"/>
      <c r="BK19" s="136"/>
      <c r="BL19" s="136"/>
      <c r="BM19" s="136"/>
      <c r="BN19" s="136"/>
      <c r="BO19" s="137"/>
      <c r="BP19" s="137"/>
      <c r="BR19" s="134" t="str">
        <f>IF(COUNTIF(BR$7:BR18,D19)&gt;0,"",D19)&amp;""</f>
        <v/>
      </c>
      <c r="BS19" s="138">
        <f t="shared" si="10"/>
        <v>0</v>
      </c>
      <c r="BT19" s="132">
        <f t="shared" si="11"/>
        <v>1</v>
      </c>
      <c r="BU19" s="138">
        <f t="shared" si="12"/>
        <v>0</v>
      </c>
      <c r="BV19" s="132">
        <f t="shared" si="13"/>
        <v>1</v>
      </c>
      <c r="BW19" s="133"/>
      <c r="BX19" s="133"/>
    </row>
    <row r="20" ht="15" customHeight="1" spans="1:77">
      <c r="A20" s="123" t="str">
        <f>IF(B20="","",COUNT(A$6:A18)+1)</f>
        <v/>
      </c>
      <c r="B20" s="139"/>
      <c r="C20" s="140"/>
      <c r="D20" s="200"/>
      <c r="E20" s="142"/>
      <c r="F20" s="127" t="str">
        <f>IFERROR(VLOOKUP(E20,参数表!$H$2:$I$50,2,FALSE),"")</f>
        <v/>
      </c>
      <c r="G20" s="128" t="str">
        <f t="shared" si="3"/>
        <v/>
      </c>
      <c r="H20" s="128" t="str">
        <f t="shared" si="4"/>
        <v/>
      </c>
      <c r="I20" s="143"/>
      <c r="J20" s="143"/>
      <c r="K20" s="129" t="str">
        <f t="shared" si="5"/>
        <v/>
      </c>
      <c r="L20" s="144"/>
      <c r="M20" s="144"/>
      <c r="N20" s="129" t="str">
        <f t="shared" si="6"/>
        <v/>
      </c>
      <c r="O20" s="129" t="str">
        <f t="shared" si="7"/>
        <v/>
      </c>
      <c r="P20" s="129" t="str">
        <f t="shared" si="8"/>
        <v/>
      </c>
      <c r="Q20" s="129" t="str">
        <f t="shared" si="0"/>
        <v/>
      </c>
      <c r="R20" s="145"/>
      <c r="BA20" s="78"/>
      <c r="BB20" s="132" t="s">
        <v>5537</v>
      </c>
      <c r="BC20" s="133"/>
      <c r="BD20" s="132" t="str">
        <f>IF(OR(B20="",BC20=""),"",COUNTIF(BC$7:BC20,"√"))</f>
        <v/>
      </c>
      <c r="BE20" s="134" t="str">
        <f t="shared" si="1"/>
        <v/>
      </c>
      <c r="BF20" s="135" t="str">
        <f t="shared" si="9"/>
        <v/>
      </c>
      <c r="BG20" s="135" t="str">
        <f t="shared" si="9"/>
        <v/>
      </c>
      <c r="BH20" s="136"/>
      <c r="BI20" s="137"/>
      <c r="BJ20" s="136"/>
      <c r="BK20" s="136"/>
      <c r="BL20" s="136"/>
      <c r="BM20" s="136"/>
      <c r="BN20" s="136"/>
      <c r="BO20" s="137"/>
      <c r="BP20" s="137"/>
      <c r="BR20" s="134" t="str">
        <f>IF(COUNTIF(BR$7:BR19,D20)&gt;0,"",D20)&amp;""</f>
        <v/>
      </c>
      <c r="BS20" s="138">
        <f t="shared" si="10"/>
        <v>0</v>
      </c>
      <c r="BT20" s="132">
        <f t="shared" si="11"/>
        <v>1</v>
      </c>
      <c r="BU20" s="138">
        <f t="shared" si="12"/>
        <v>0</v>
      </c>
      <c r="BV20" s="132">
        <f t="shared" si="13"/>
        <v>1</v>
      </c>
      <c r="BW20" s="133"/>
      <c r="BX20" s="133"/>
    </row>
    <row r="21" ht="15" customHeight="1" spans="1:77">
      <c r="A21" s="123" t="str">
        <f>IF(B21="","",COUNT(A$6:A19)+1)</f>
        <v/>
      </c>
      <c r="B21" s="139"/>
      <c r="C21" s="140"/>
      <c r="D21" s="200"/>
      <c r="E21" s="142"/>
      <c r="F21" s="127" t="str">
        <f>IFERROR(VLOOKUP(E21,参数表!$H$2:$I$50,2,FALSE),"")</f>
        <v/>
      </c>
      <c r="G21" s="128" t="str">
        <f t="shared" si="3"/>
        <v/>
      </c>
      <c r="H21" s="128" t="str">
        <f t="shared" si="4"/>
        <v/>
      </c>
      <c r="I21" s="143"/>
      <c r="J21" s="143"/>
      <c r="K21" s="129" t="str">
        <f t="shared" si="5"/>
        <v/>
      </c>
      <c r="L21" s="144"/>
      <c r="M21" s="144"/>
      <c r="N21" s="129" t="str">
        <f t="shared" si="6"/>
        <v/>
      </c>
      <c r="O21" s="129" t="str">
        <f t="shared" si="7"/>
        <v/>
      </c>
      <c r="P21" s="129" t="str">
        <f t="shared" si="8"/>
        <v/>
      </c>
      <c r="Q21" s="129" t="str">
        <f t="shared" si="0"/>
        <v/>
      </c>
      <c r="R21" s="145"/>
      <c r="BA21" s="78"/>
      <c r="BB21" s="132" t="s">
        <v>5538</v>
      </c>
      <c r="BC21" s="133"/>
      <c r="BD21" s="132" t="str">
        <f>IF(OR(B21="",BC21=""),"",COUNTIF(BC$7:BC21,"√"))</f>
        <v/>
      </c>
      <c r="BE21" s="134" t="str">
        <f t="shared" si="1"/>
        <v/>
      </c>
      <c r="BF21" s="135" t="str">
        <f t="shared" si="9"/>
        <v/>
      </c>
      <c r="BG21" s="135" t="str">
        <f t="shared" si="9"/>
        <v/>
      </c>
      <c r="BH21" s="136"/>
      <c r="BI21" s="137"/>
      <c r="BJ21" s="136"/>
      <c r="BK21" s="136"/>
      <c r="BL21" s="136"/>
      <c r="BM21" s="136"/>
      <c r="BN21" s="136"/>
      <c r="BO21" s="137"/>
      <c r="BP21" s="137"/>
      <c r="BR21" s="134" t="str">
        <f>IF(COUNTIF(BR$7:BR20,D21)&gt;0,"",D21)&amp;""</f>
        <v/>
      </c>
      <c r="BS21" s="138">
        <f t="shared" si="10"/>
        <v>0</v>
      </c>
      <c r="BT21" s="132">
        <f t="shared" si="11"/>
        <v>1</v>
      </c>
      <c r="BU21" s="138">
        <f t="shared" si="12"/>
        <v>0</v>
      </c>
      <c r="BV21" s="132">
        <f t="shared" si="13"/>
        <v>1</v>
      </c>
      <c r="BW21" s="133"/>
      <c r="BX21" s="133"/>
    </row>
    <row r="22" ht="15" customHeight="1" spans="1:77">
      <c r="A22" s="123" t="str">
        <f>IF(B22="","",COUNT(A$6:A20)+1)</f>
        <v/>
      </c>
      <c r="B22" s="139"/>
      <c r="C22" s="140"/>
      <c r="D22" s="200"/>
      <c r="E22" s="142"/>
      <c r="F22" s="127" t="str">
        <f>IFERROR(VLOOKUP(E22,参数表!$H$2:$I$50,2,FALSE),"")</f>
        <v/>
      </c>
      <c r="G22" s="128" t="str">
        <f t="shared" si="3"/>
        <v/>
      </c>
      <c r="H22" s="128" t="str">
        <f t="shared" si="4"/>
        <v/>
      </c>
      <c r="I22" s="143"/>
      <c r="J22" s="143"/>
      <c r="K22" s="129" t="str">
        <f t="shared" si="5"/>
        <v/>
      </c>
      <c r="L22" s="144"/>
      <c r="M22" s="144"/>
      <c r="N22" s="129" t="str">
        <f t="shared" si="6"/>
        <v/>
      </c>
      <c r="O22" s="129" t="str">
        <f t="shared" si="7"/>
        <v/>
      </c>
      <c r="P22" s="129" t="str">
        <f t="shared" si="8"/>
        <v/>
      </c>
      <c r="Q22" s="129" t="str">
        <f t="shared" si="0"/>
        <v/>
      </c>
      <c r="R22" s="145"/>
      <c r="BA22" s="78"/>
      <c r="BB22" s="132" t="s">
        <v>5539</v>
      </c>
      <c r="BC22" s="133"/>
      <c r="BD22" s="132" t="str">
        <f>IF(OR(B22="",BC22=""),"",COUNTIF(BC$7:BC22,"√"))</f>
        <v/>
      </c>
      <c r="BE22" s="134" t="str">
        <f t="shared" si="1"/>
        <v/>
      </c>
      <c r="BF22" s="135" t="str">
        <f t="shared" si="9"/>
        <v/>
      </c>
      <c r="BG22" s="135" t="str">
        <f t="shared" si="9"/>
        <v/>
      </c>
      <c r="BH22" s="136"/>
      <c r="BI22" s="137"/>
      <c r="BJ22" s="136"/>
      <c r="BK22" s="136"/>
      <c r="BL22" s="136"/>
      <c r="BM22" s="136"/>
      <c r="BN22" s="136"/>
      <c r="BO22" s="137"/>
      <c r="BP22" s="137"/>
      <c r="BR22" s="134" t="str">
        <f>IF(COUNTIF(BR$7:BR21,D22)&gt;0,"",D22)&amp;""</f>
        <v/>
      </c>
      <c r="BS22" s="138">
        <f t="shared" si="10"/>
        <v>0</v>
      </c>
      <c r="BT22" s="132">
        <f t="shared" si="11"/>
        <v>1</v>
      </c>
      <c r="BU22" s="138">
        <f t="shared" si="12"/>
        <v>0</v>
      </c>
      <c r="BV22" s="132">
        <f t="shared" si="13"/>
        <v>1</v>
      </c>
      <c r="BW22" s="133"/>
      <c r="BX22" s="133"/>
    </row>
    <row r="23" ht="15" customHeight="1" spans="1:77">
      <c r="A23" s="123" t="str">
        <f>IF(B23="","",COUNT(A$6:A21)+1)</f>
        <v/>
      </c>
      <c r="B23" s="139"/>
      <c r="C23" s="140"/>
      <c r="D23" s="200"/>
      <c r="E23" s="142"/>
      <c r="F23" s="127" t="str">
        <f>IFERROR(VLOOKUP(E23,参数表!$H$2:$I$50,2,FALSE),"")</f>
        <v/>
      </c>
      <c r="G23" s="128" t="str">
        <f t="shared" si="3"/>
        <v/>
      </c>
      <c r="H23" s="128" t="str">
        <f t="shared" si="4"/>
        <v/>
      </c>
      <c r="I23" s="143"/>
      <c r="J23" s="143"/>
      <c r="K23" s="129" t="str">
        <f t="shared" si="5"/>
        <v/>
      </c>
      <c r="L23" s="144"/>
      <c r="M23" s="144"/>
      <c r="N23" s="129" t="str">
        <f t="shared" si="6"/>
        <v/>
      </c>
      <c r="O23" s="129" t="str">
        <f t="shared" si="7"/>
        <v/>
      </c>
      <c r="P23" s="129" t="str">
        <f t="shared" si="8"/>
        <v/>
      </c>
      <c r="Q23" s="129" t="str">
        <f t="shared" si="0"/>
        <v/>
      </c>
      <c r="R23" s="145"/>
      <c r="BA23" s="78"/>
      <c r="BB23" s="132" t="s">
        <v>5540</v>
      </c>
      <c r="BC23" s="133"/>
      <c r="BD23" s="132" t="str">
        <f>IF(OR(B23="",BC23=""),"",COUNTIF(BC$7:BC23,"√"))</f>
        <v/>
      </c>
      <c r="BE23" s="134" t="str">
        <f t="shared" si="1"/>
        <v/>
      </c>
      <c r="BF23" s="135" t="str">
        <f t="shared" si="9"/>
        <v/>
      </c>
      <c r="BG23" s="135" t="str">
        <f t="shared" si="9"/>
        <v/>
      </c>
      <c r="BH23" s="136"/>
      <c r="BI23" s="137"/>
      <c r="BJ23" s="136"/>
      <c r="BK23" s="136"/>
      <c r="BL23" s="136"/>
      <c r="BM23" s="136"/>
      <c r="BN23" s="136"/>
      <c r="BO23" s="137"/>
      <c r="BP23" s="137"/>
      <c r="BR23" s="134" t="str">
        <f>IF(COUNTIF(BR$7:BR22,D23)&gt;0,"",D23)&amp;""</f>
        <v/>
      </c>
      <c r="BS23" s="138">
        <f t="shared" si="10"/>
        <v>0</v>
      </c>
      <c r="BT23" s="132">
        <f t="shared" si="11"/>
        <v>1</v>
      </c>
      <c r="BU23" s="138">
        <f t="shared" si="12"/>
        <v>0</v>
      </c>
      <c r="BV23" s="132">
        <f t="shared" si="13"/>
        <v>1</v>
      </c>
      <c r="BW23" s="133"/>
      <c r="BX23" s="133"/>
    </row>
    <row r="24" ht="15" customHeight="1" spans="1:77">
      <c r="A24" s="123" t="str">
        <f>IF(B24="","",COUNT(A$6:A22)+1)</f>
        <v/>
      </c>
      <c r="B24" s="139"/>
      <c r="C24" s="140"/>
      <c r="D24" s="200"/>
      <c r="E24" s="142"/>
      <c r="F24" s="127" t="str">
        <f>IFERROR(VLOOKUP(E24,参数表!$H$2:$I$50,2,FALSE),"")</f>
        <v/>
      </c>
      <c r="G24" s="128" t="str">
        <f t="shared" si="3"/>
        <v/>
      </c>
      <c r="H24" s="128" t="str">
        <f t="shared" si="4"/>
        <v/>
      </c>
      <c r="I24" s="143"/>
      <c r="J24" s="143"/>
      <c r="K24" s="129" t="str">
        <f t="shared" si="5"/>
        <v/>
      </c>
      <c r="L24" s="144"/>
      <c r="M24" s="144"/>
      <c r="N24" s="129" t="str">
        <f t="shared" si="6"/>
        <v/>
      </c>
      <c r="O24" s="129" t="str">
        <f t="shared" si="7"/>
        <v/>
      </c>
      <c r="P24" s="129" t="str">
        <f t="shared" si="8"/>
        <v/>
      </c>
      <c r="Q24" s="129" t="str">
        <f t="shared" si="0"/>
        <v/>
      </c>
      <c r="R24" s="145"/>
      <c r="BA24" s="78"/>
      <c r="BB24" s="132" t="s">
        <v>5541</v>
      </c>
      <c r="BC24" s="133"/>
      <c r="BD24" s="132" t="str">
        <f>IF(OR(B24="",BC24=""),"",COUNTIF(BC$7:BC24,"√"))</f>
        <v/>
      </c>
      <c r="BE24" s="134" t="str">
        <f t="shared" si="1"/>
        <v/>
      </c>
      <c r="BF24" s="135" t="str">
        <f t="shared" si="9"/>
        <v/>
      </c>
      <c r="BG24" s="135" t="str">
        <f t="shared" si="9"/>
        <v/>
      </c>
      <c r="BH24" s="136"/>
      <c r="BI24" s="137"/>
      <c r="BJ24" s="136"/>
      <c r="BK24" s="136"/>
      <c r="BL24" s="136"/>
      <c r="BM24" s="136"/>
      <c r="BN24" s="136"/>
      <c r="BO24" s="137"/>
      <c r="BP24" s="137"/>
      <c r="BR24" s="134" t="str">
        <f>IF(COUNTIF(BR$7:BR23,D24)&gt;0,"",D24)&amp;""</f>
        <v/>
      </c>
      <c r="BS24" s="138">
        <f t="shared" si="10"/>
        <v>0</v>
      </c>
      <c r="BT24" s="132">
        <f t="shared" si="11"/>
        <v>1</v>
      </c>
      <c r="BU24" s="138">
        <f t="shared" si="12"/>
        <v>0</v>
      </c>
      <c r="BV24" s="132">
        <f t="shared" si="13"/>
        <v>1</v>
      </c>
      <c r="BW24" s="133"/>
      <c r="BX24" s="133"/>
    </row>
    <row r="25" ht="15" customHeight="1" spans="1:77">
      <c r="A25" s="123" t="str">
        <f>IF(B25="","",COUNT(A$6:A23)+1)</f>
        <v/>
      </c>
      <c r="B25" s="139"/>
      <c r="C25" s="140"/>
      <c r="D25" s="200"/>
      <c r="E25" s="142"/>
      <c r="F25" s="127" t="str">
        <f>IFERROR(VLOOKUP(E25,参数表!$H$2:$I$50,2,FALSE),"")</f>
        <v/>
      </c>
      <c r="G25" s="128" t="str">
        <f t="shared" si="3"/>
        <v/>
      </c>
      <c r="H25" s="128" t="str">
        <f t="shared" si="4"/>
        <v/>
      </c>
      <c r="I25" s="143"/>
      <c r="J25" s="143"/>
      <c r="K25" s="129" t="str">
        <f t="shared" si="5"/>
        <v/>
      </c>
      <c r="L25" s="144"/>
      <c r="M25" s="144"/>
      <c r="N25" s="129" t="str">
        <f t="shared" si="6"/>
        <v/>
      </c>
      <c r="O25" s="129" t="str">
        <f t="shared" si="7"/>
        <v/>
      </c>
      <c r="P25" s="129" t="str">
        <f t="shared" si="8"/>
        <v/>
      </c>
      <c r="Q25" s="129" t="str">
        <f t="shared" si="0"/>
        <v/>
      </c>
      <c r="R25" s="145"/>
      <c r="BA25" s="78"/>
      <c r="BB25" s="132" t="s">
        <v>5542</v>
      </c>
      <c r="BC25" s="133"/>
      <c r="BD25" s="132" t="str">
        <f>IF(OR(B25="",BC25=""),"",COUNTIF(BC$7:BC25,"√"))</f>
        <v/>
      </c>
      <c r="BE25" s="134" t="str">
        <f t="shared" si="1"/>
        <v/>
      </c>
      <c r="BF25" s="135" t="str">
        <f t="shared" si="9"/>
        <v/>
      </c>
      <c r="BG25" s="135" t="str">
        <f t="shared" si="9"/>
        <v/>
      </c>
      <c r="BH25" s="136"/>
      <c r="BI25" s="137"/>
      <c r="BJ25" s="136"/>
      <c r="BK25" s="136"/>
      <c r="BL25" s="136"/>
      <c r="BM25" s="136"/>
      <c r="BN25" s="136"/>
      <c r="BO25" s="137"/>
      <c r="BP25" s="137"/>
      <c r="BR25" s="134" t="str">
        <f>IF(COUNTIF(BR$7:BR24,D25)&gt;0,"",D25)&amp;""</f>
        <v/>
      </c>
      <c r="BS25" s="138">
        <f t="shared" si="10"/>
        <v>0</v>
      </c>
      <c r="BT25" s="132">
        <f t="shared" si="11"/>
        <v>1</v>
      </c>
      <c r="BU25" s="138">
        <f t="shared" si="12"/>
        <v>0</v>
      </c>
      <c r="BV25" s="132">
        <f t="shared" si="13"/>
        <v>1</v>
      </c>
      <c r="BW25" s="133"/>
      <c r="BX25" s="133"/>
    </row>
    <row r="26" ht="15" customHeight="1" spans="1:77">
      <c r="A26" s="123" t="str">
        <f>IF(B26="","",COUNT(A$6:A24)+1)</f>
        <v/>
      </c>
      <c r="B26" s="139"/>
      <c r="C26" s="140"/>
      <c r="D26" s="200"/>
      <c r="E26" s="142"/>
      <c r="F26" s="127" t="str">
        <f>IFERROR(VLOOKUP(E26,参数表!$H$2:$I$50,2,FALSE),"")</f>
        <v/>
      </c>
      <c r="G26" s="128" t="str">
        <f t="shared" si="3"/>
        <v/>
      </c>
      <c r="H26" s="128" t="str">
        <f t="shared" si="4"/>
        <v/>
      </c>
      <c r="I26" s="143"/>
      <c r="J26" s="143"/>
      <c r="K26" s="129" t="str">
        <f t="shared" si="5"/>
        <v/>
      </c>
      <c r="L26" s="144"/>
      <c r="M26" s="144"/>
      <c r="N26" s="129" t="str">
        <f t="shared" si="6"/>
        <v/>
      </c>
      <c r="O26" s="129" t="str">
        <f t="shared" si="7"/>
        <v/>
      </c>
      <c r="P26" s="129" t="str">
        <f t="shared" si="8"/>
        <v/>
      </c>
      <c r="Q26" s="129" t="str">
        <f t="shared" si="0"/>
        <v/>
      </c>
      <c r="R26" s="145"/>
      <c r="BA26" s="78"/>
      <c r="BB26" s="132" t="s">
        <v>5543</v>
      </c>
      <c r="BC26" s="133"/>
      <c r="BD26" s="132" t="str">
        <f>IF(OR(B26="",BC26=""),"",COUNTIF(BC$7:BC26,"√"))</f>
        <v/>
      </c>
      <c r="BE26" s="134" t="str">
        <f t="shared" si="1"/>
        <v/>
      </c>
      <c r="BF26" s="135" t="str">
        <f t="shared" si="9"/>
        <v/>
      </c>
      <c r="BG26" s="135" t="str">
        <f t="shared" si="9"/>
        <v/>
      </c>
      <c r="BH26" s="136"/>
      <c r="BI26" s="137"/>
      <c r="BJ26" s="136"/>
      <c r="BK26" s="136"/>
      <c r="BL26" s="136"/>
      <c r="BM26" s="136"/>
      <c r="BN26" s="136"/>
      <c r="BO26" s="137"/>
      <c r="BP26" s="137"/>
      <c r="BR26" s="134" t="str">
        <f>IF(COUNTIF(BR$7:BR25,D26)&gt;0,"",D26)&amp;""</f>
        <v/>
      </c>
      <c r="BS26" s="138">
        <f t="shared" si="10"/>
        <v>0</v>
      </c>
      <c r="BT26" s="132">
        <f t="shared" si="11"/>
        <v>1</v>
      </c>
      <c r="BU26" s="138">
        <f t="shared" si="12"/>
        <v>0</v>
      </c>
      <c r="BV26" s="132">
        <f t="shared" si="13"/>
        <v>1</v>
      </c>
      <c r="BW26" s="133"/>
      <c r="BX26" s="133"/>
    </row>
    <row r="27" ht="15" customHeight="1" spans="1:77">
      <c r="A27" s="123" t="str">
        <f>IF(B27="","",COUNT(A$6:A25)+1)</f>
        <v/>
      </c>
      <c r="B27" s="124"/>
      <c r="C27" s="125"/>
      <c r="D27" s="199"/>
      <c r="E27" s="127"/>
      <c r="F27" s="127" t="str">
        <f>IFERROR(VLOOKUP(E27,参数表!$H$2:$I$50,2,FALSE),"")</f>
        <v/>
      </c>
      <c r="G27" s="128" t="str">
        <f t="shared" si="3"/>
        <v/>
      </c>
      <c r="H27" s="128" t="str">
        <f t="shared" si="4"/>
        <v/>
      </c>
      <c r="I27" s="129"/>
      <c r="J27" s="129"/>
      <c r="K27" s="129" t="str">
        <f t="shared" si="5"/>
        <v/>
      </c>
      <c r="L27" s="130"/>
      <c r="M27" s="130"/>
      <c r="N27" s="129" t="str">
        <f t="shared" si="6"/>
        <v/>
      </c>
      <c r="O27" s="129" t="str">
        <f t="shared" si="7"/>
        <v/>
      </c>
      <c r="P27" s="129" t="str">
        <f t="shared" si="8"/>
        <v/>
      </c>
      <c r="Q27" s="129" t="str">
        <f t="shared" si="0"/>
        <v/>
      </c>
      <c r="R27" s="131"/>
      <c r="BA27" s="78"/>
      <c r="BB27" s="132" t="s">
        <v>5544</v>
      </c>
      <c r="BC27" s="133"/>
      <c r="BD27" s="132" t="str">
        <f>IF(OR(B27="",BC27=""),"",COUNTIF(BC$7:BC27,"√"))</f>
        <v/>
      </c>
      <c r="BE27" s="134" t="str">
        <f t="shared" si="1"/>
        <v/>
      </c>
      <c r="BF27" s="135" t="str">
        <f t="shared" si="9"/>
        <v/>
      </c>
      <c r="BG27" s="135" t="str">
        <f t="shared" si="9"/>
        <v/>
      </c>
      <c r="BH27" s="136"/>
      <c r="BI27" s="137"/>
      <c r="BJ27" s="136"/>
      <c r="BK27" s="136"/>
      <c r="BL27" s="136"/>
      <c r="BM27" s="136"/>
      <c r="BN27" s="136"/>
      <c r="BO27" s="137"/>
      <c r="BP27" s="137"/>
      <c r="BR27" s="134" t="str">
        <f>IF(COUNTIF(BR$7:BR26,D27)&gt;0,"",D27)&amp;""</f>
        <v/>
      </c>
      <c r="BS27" s="138">
        <f t="shared" si="10"/>
        <v>0</v>
      </c>
      <c r="BT27" s="132">
        <f t="shared" si="11"/>
        <v>1</v>
      </c>
      <c r="BU27" s="138">
        <f t="shared" si="12"/>
        <v>0</v>
      </c>
      <c r="BV27" s="132">
        <f t="shared" si="13"/>
        <v>1</v>
      </c>
      <c r="BW27" s="133"/>
      <c r="BX27" s="133"/>
    </row>
    <row r="28" s="73" customFormat="1" ht="15" customHeight="1" spans="1:77">
      <c r="A28" s="149" t="s">
        <v>5281</v>
      </c>
      <c r="B28" s="149"/>
      <c r="C28" s="150"/>
      <c r="D28" s="201"/>
      <c r="E28" s="201"/>
      <c r="F28" s="201"/>
      <c r="G28" s="201"/>
      <c r="H28" s="201"/>
      <c r="I28" s="152"/>
      <c r="J28" s="152"/>
      <c r="K28" s="152">
        <f>SUM(K8:K27)</f>
        <v>0</v>
      </c>
      <c r="L28" s="153"/>
      <c r="M28" s="153"/>
      <c r="N28" s="152"/>
      <c r="O28" s="152"/>
      <c r="P28" s="152">
        <f>SUM(P8:P27)</f>
        <v>0</v>
      </c>
      <c r="Q28" s="152">
        <f>SUM(Q8:Q27)</f>
        <v>0</v>
      </c>
      <c r="R28" s="151"/>
      <c r="BF28" s="75"/>
      <c r="BG28" s="75"/>
      <c r="BH28" s="75"/>
      <c r="BI28" s="75"/>
      <c r="BJ28" s="75"/>
      <c r="BK28" s="75"/>
      <c r="BL28" s="75"/>
      <c r="BM28" s="75"/>
      <c r="BN28" s="75"/>
      <c r="BO28" s="75"/>
      <c r="BP28" s="75"/>
      <c r="BQ28" s="111"/>
      <c r="BR28" s="119"/>
      <c r="BS28" s="77"/>
      <c r="BT28" s="77"/>
      <c r="BU28" s="77"/>
      <c r="BV28" s="119"/>
      <c r="BW28" s="119"/>
      <c r="BX28" s="119"/>
      <c r="BY28" s="111"/>
    </row>
    <row r="29" customHeight="1" spans="1:77">
      <c r="A29" s="102" t="str">
        <f>参数表!F$6</f>
        <v>产权持有单位填表人：贾广东</v>
      </c>
      <c r="B29" s="154"/>
      <c r="C29" s="154"/>
      <c r="D29" s="154"/>
      <c r="E29" s="154"/>
      <c r="F29" s="154"/>
      <c r="G29" s="154"/>
      <c r="H29" s="154"/>
      <c r="I29" s="154"/>
      <c r="J29" s="154"/>
      <c r="K29" s="103"/>
      <c r="L29" s="104"/>
      <c r="M29" s="104"/>
      <c r="N29" s="103"/>
      <c r="O29" s="103"/>
      <c r="P29" s="103"/>
      <c r="Q29" s="156" t="str">
        <f>"评估人员："&amp;封面!$G$38</f>
        <v>评估人员：</v>
      </c>
      <c r="R29" s="103"/>
    </row>
    <row r="30" customHeight="1" spans="1:77">
      <c r="A30" s="102" t="str">
        <f>参数表!F$7</f>
        <v>填表日期：2025年9月20日</v>
      </c>
      <c r="B30" s="154"/>
      <c r="C30" s="154"/>
      <c r="D30" s="154"/>
      <c r="E30" s="154"/>
      <c r="F30" s="154"/>
      <c r="G30" s="154"/>
      <c r="H30" s="154"/>
      <c r="I30" s="154"/>
      <c r="J30" s="154"/>
      <c r="K30" s="103"/>
      <c r="L30" s="104"/>
      <c r="M30" s="104"/>
      <c r="N30" s="103"/>
      <c r="O30" s="103"/>
      <c r="P30" s="103"/>
      <c r="Q30" s="103"/>
      <c r="R30" s="103"/>
    </row>
    <row r="31" hidden="1" customHeight="1" outlineLevel="1" spans="1:77">
      <c r="A31" s="157"/>
      <c r="B31" s="154" t="s">
        <v>1673</v>
      </c>
      <c r="C31" s="158"/>
      <c r="D31" s="158"/>
      <c r="E31" s="158"/>
      <c r="F31" s="158"/>
      <c r="G31" s="158"/>
      <c r="H31" s="158"/>
      <c r="I31" s="159">
        <f>SUMIF($BA8:$BA27,$BA31,I8:I27)</f>
        <v>0</v>
      </c>
      <c r="J31" s="159">
        <f>SUMIF($BA8:$BA27,$BA31,J8:J27)</f>
        <v>0</v>
      </c>
      <c r="K31" s="159">
        <f>SUMIF($BA8:$BA27,$BA31,K8:K27)</f>
        <v>0</v>
      </c>
      <c r="L31" s="202"/>
      <c r="M31" s="202"/>
      <c r="N31" s="159">
        <f>SUMIF($BA8:$BA27,$BA31,N8:N27)</f>
        <v>0</v>
      </c>
      <c r="O31" s="159">
        <f>SUMIF($BA8:$BA27,$BA31,O8:O27)</f>
        <v>0</v>
      </c>
      <c r="P31" s="159">
        <f>SUMIF($BA8:$BA27,$BA31,P8:P27)</f>
        <v>0</v>
      </c>
      <c r="Q31" s="159">
        <f>SUMIF($BA8:$BA27,$BA31,Q8:Q27)</f>
        <v>0</v>
      </c>
      <c r="BA31" s="161" t="s">
        <v>1674</v>
      </c>
      <c r="BH31" s="162" t="s">
        <v>1675</v>
      </c>
      <c r="BI31" s="163"/>
      <c r="BJ31" s="162" t="s">
        <v>1675</v>
      </c>
      <c r="BK31" s="162" t="s">
        <v>1675</v>
      </c>
      <c r="BL31" s="162" t="s">
        <v>1675</v>
      </c>
      <c r="BM31" s="162" t="s">
        <v>1674</v>
      </c>
      <c r="BN31" s="162" t="s">
        <v>1674</v>
      </c>
    </row>
    <row r="32" hidden="1" customHeight="1" outlineLevel="1" spans="1:77">
      <c r="A32" s="157"/>
      <c r="B32" s="154" t="s">
        <v>1676</v>
      </c>
      <c r="C32" s="158"/>
      <c r="D32" s="158"/>
      <c r="E32" s="158"/>
      <c r="F32" s="158"/>
      <c r="G32" s="158"/>
      <c r="H32" s="158"/>
      <c r="I32" s="159">
        <f>I28-I31</f>
        <v>0</v>
      </c>
      <c r="J32" s="159">
        <f>J28-J31</f>
        <v>0</v>
      </c>
      <c r="K32" s="159">
        <f>K28-K31</f>
        <v>0</v>
      </c>
      <c r="L32" s="202"/>
      <c r="M32" s="202"/>
      <c r="N32" s="159">
        <f>N28-N31</f>
        <v>0</v>
      </c>
      <c r="O32" s="159">
        <f>O28-O31</f>
        <v>0</v>
      </c>
      <c r="P32" s="159">
        <f>P28-P31</f>
        <v>0</v>
      </c>
      <c r="Q32" s="159">
        <f>Q28-Q31</f>
        <v>0</v>
      </c>
      <c r="BA32" s="161" t="s">
        <v>1677</v>
      </c>
      <c r="BH32" s="162" t="s">
        <v>1678</v>
      </c>
      <c r="BI32" s="163"/>
      <c r="BJ32" s="162" t="s">
        <v>1678</v>
      </c>
      <c r="BK32" s="162" t="s">
        <v>1678</v>
      </c>
      <c r="BL32" s="162" t="s">
        <v>1678</v>
      </c>
      <c r="BM32" s="162" t="s">
        <v>1677</v>
      </c>
      <c r="BN32" s="162" t="s">
        <v>1677</v>
      </c>
    </row>
    <row r="33" customHeight="1" collapsed="1" spans="1:10">
      <c r="A33" s="157"/>
      <c r="B33" s="158"/>
      <c r="C33" s="158"/>
      <c r="D33" s="158"/>
      <c r="E33" s="158"/>
      <c r="F33" s="158"/>
      <c r="G33" s="158"/>
      <c r="H33" s="158"/>
      <c r="I33" s="158"/>
      <c r="J33" s="158"/>
    </row>
    <row r="34" customHeight="1" spans="1:10">
      <c r="A34" s="157"/>
      <c r="B34" s="158"/>
      <c r="C34" s="158"/>
      <c r="D34" s="158"/>
      <c r="E34" s="158"/>
      <c r="F34" s="158"/>
      <c r="G34" s="158"/>
      <c r="H34" s="158"/>
      <c r="I34" s="158"/>
      <c r="J34" s="158"/>
    </row>
    <row r="35" customHeight="1" spans="1:10">
      <c r="A35" s="157"/>
      <c r="B35" s="158"/>
      <c r="C35" s="158"/>
      <c r="D35" s="158"/>
      <c r="E35" s="158"/>
      <c r="F35" s="158"/>
      <c r="G35" s="158"/>
      <c r="H35" s="158"/>
      <c r="I35" s="158"/>
      <c r="J35" s="158"/>
    </row>
    <row r="36" customHeight="1" spans="1:10">
      <c r="A36" s="157"/>
      <c r="B36" s="158"/>
      <c r="C36" s="158"/>
      <c r="D36" s="158"/>
      <c r="E36" s="158"/>
      <c r="F36" s="158"/>
      <c r="G36" s="158"/>
      <c r="H36" s="158"/>
      <c r="I36" s="158"/>
      <c r="J36" s="158"/>
    </row>
    <row r="37" customHeight="1" spans="1:10">
      <c r="A37" s="157"/>
      <c r="B37" s="158"/>
      <c r="C37" s="158"/>
      <c r="D37" s="158"/>
      <c r="E37" s="158"/>
      <c r="F37" s="158"/>
      <c r="G37" s="158"/>
      <c r="H37" s="158"/>
      <c r="I37" s="158"/>
      <c r="J37" s="158"/>
    </row>
  </sheetData>
  <sheetProtection autoFilter="0"/>
  <mergeCells count="27">
    <mergeCell ref="A2:R2"/>
    <mergeCell ref="A3:R3"/>
    <mergeCell ref="E6:H6"/>
    <mergeCell ref="I6:K6"/>
    <mergeCell ref="L6:M6"/>
    <mergeCell ref="N6:P6"/>
    <mergeCell ref="BW8:BY8"/>
    <mergeCell ref="BW9:BY9"/>
    <mergeCell ref="BX15:BY15"/>
    <mergeCell ref="A28:B28"/>
    <mergeCell ref="A6:A7"/>
    <mergeCell ref="B6:B7"/>
    <mergeCell ref="C6:C7"/>
    <mergeCell ref="D6:D7"/>
    <mergeCell ref="Q6:Q7"/>
    <mergeCell ref="R6:R7"/>
    <mergeCell ref="BF6:BF7"/>
    <mergeCell ref="BG6:BG7"/>
    <mergeCell ref="BH6:BH7"/>
    <mergeCell ref="BI6:BI7"/>
    <mergeCell ref="BJ6:BJ7"/>
    <mergeCell ref="BK6:BK7"/>
    <mergeCell ref="BL6:BL7"/>
    <mergeCell ref="BM6:BM7"/>
    <mergeCell ref="BN6:BN7"/>
    <mergeCell ref="BO6:BO7"/>
    <mergeCell ref="BP6:BP7"/>
  </mergeCells>
  <conditionalFormatting sqref="BH8:BH27">
    <cfRule type="expression" dxfId="5" priority="6" stopIfTrue="1">
      <formula>AND($B8&lt;&gt;"",BH8="")</formula>
    </cfRule>
  </conditionalFormatting>
  <conditionalFormatting sqref="BI8:BI27">
    <cfRule type="expression" dxfId="5" priority="9" stopIfTrue="1">
      <formula>AND(BH8="有",BI8="")</formula>
    </cfRule>
  </conditionalFormatting>
  <conditionalFormatting sqref="BO8:BO27">
    <cfRule type="expression" dxfId="5" priority="11" stopIfTrue="1">
      <formula>AND(BM8="无",BO8="")</formula>
    </cfRule>
  </conditionalFormatting>
  <conditionalFormatting sqref="BF8:BG27">
    <cfRule type="containsText" dxfId="6" priority="1" stopIfTrue="1" operator="between" text="出错">
      <formula>NOT(ISERROR(SEARCH("出错",BF8)))</formula>
    </cfRule>
  </conditionalFormatting>
  <conditionalFormatting sqref="BJ8:BN27">
    <cfRule type="expression" dxfId="5" priority="3" stopIfTrue="1">
      <formula>AND($B8&lt;&gt;"",BJ8="")</formula>
    </cfRule>
  </conditionalFormatting>
  <dataValidations count="5">
    <dataValidation type="list" allowBlank="1" showInputMessage="1" showErrorMessage="1" sqref="BH7 BJ7:BM7">
      <formula1>"有,无"</formula1>
    </dataValidation>
    <dataValidation type="list" allowBlank="1" showInputMessage="1" showErrorMessage="1" sqref="E8:E27">
      <formula1>OFFSET(参数表!$H$2:$H$50,,,COUNTA(参数表!$H$2:$H$50))</formula1>
    </dataValidation>
    <dataValidation type="list" allowBlank="1" showInputMessage="1" showErrorMessage="1" sqref="BA8:BA27 BA31:BA32">
      <formula1>"是,否"</formula1>
    </dataValidation>
    <dataValidation type="list" allowBlank="1" showInputMessage="1" showErrorMessage="1" sqref="BC8:BC27">
      <formula1>"  ,√"</formula1>
    </dataValidation>
    <dataValidation type="list" allowBlank="1" showInputMessage="1" showErrorMessage="1" sqref="BH8:BH27 BJ8:BN27">
      <formula1>BH$31:BH$32</formula1>
    </dataValidation>
  </dataValidations>
  <hyperlinks>
    <hyperlink ref="A1" location="索引目录!I22" display="返回索引页"/>
    <hyperlink ref="B1" location="'非流动负债汇总 '!B8"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7"/>
  <dimension ref="A1:BV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29" style="75" customWidth="1"/>
    <col min="3" max="3" width="12.5" style="75" customWidth="1"/>
    <col min="4" max="4" width="22.2" style="75" customWidth="1"/>
    <col min="5" max="6" width="4.6" style="75" customWidth="1" outlineLevel="1"/>
    <col min="7" max="7" width="6.1" style="75" customWidth="1" outlineLevel="1"/>
    <col min="8" max="8" width="16.6" style="75" customWidth="1" outlineLevel="1"/>
    <col min="9" max="9" width="18.6" style="76" customWidth="1" outlineLevel="1"/>
    <col min="10" max="11" width="16.6" style="75" customWidth="1"/>
    <col min="12" max="12" width="15.5" style="75" customWidth="1"/>
    <col min="13"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75" customWidth="1"/>
    <col min="61" max="61" width="11.5" style="75" customWidth="1"/>
    <col min="62" max="64" width="4.7" style="75" customWidth="1"/>
    <col min="65" max="65" width="8.7" style="75" customWidth="1"/>
    <col min="66" max="66" width="1.6" style="77" customWidth="1"/>
    <col min="67" max="67" width="10.6" style="78" customWidth="1"/>
    <col min="68" max="68" width="10.6" style="77" customWidth="1"/>
    <col min="69" max="69" width="4.6" style="78" customWidth="1"/>
    <col min="70" max="70" width="10.6" style="78" customWidth="1"/>
    <col min="71" max="72" width="4.6" style="78" customWidth="1"/>
    <col min="73" max="73" width="10.6" style="78" customWidth="1"/>
    <col min="74" max="74" width="5" style="77" customWidth="1"/>
    <col min="75" max="16384" width="9" style="75"/>
  </cols>
  <sheetData>
    <row r="1" s="70" customFormat="1" ht="12.45" customHeight="1" spans="1:74">
      <c r="A1" s="79" t="s">
        <v>1591</v>
      </c>
      <c r="B1" s="80" t="s">
        <v>1592</v>
      </c>
      <c r="C1" s="81"/>
      <c r="D1" s="81"/>
      <c r="E1" s="82"/>
      <c r="F1" s="82"/>
      <c r="G1" s="82"/>
      <c r="H1" s="81"/>
      <c r="I1" s="83"/>
      <c r="J1" s="81"/>
      <c r="K1" s="81"/>
      <c r="L1" s="81"/>
      <c r="BA1" s="84" t="str">
        <f>参数表!BA1</f>
        <v>注意：补充特殊事项、作价等均从BA列开始填写</v>
      </c>
      <c r="BB1" s="85"/>
      <c r="BC1" s="86"/>
      <c r="BD1" s="86"/>
      <c r="BE1" s="86"/>
      <c r="BF1" s="86"/>
      <c r="BG1" s="86"/>
      <c r="BH1" s="86"/>
      <c r="BI1" s="86"/>
      <c r="BN1" s="87"/>
      <c r="BO1" s="88"/>
      <c r="BP1" s="87"/>
      <c r="BQ1" s="88"/>
      <c r="BR1" s="88"/>
      <c r="BS1" s="88"/>
      <c r="BT1" s="88"/>
      <c r="BU1" s="88"/>
      <c r="BV1" s="87"/>
    </row>
    <row r="2" s="71" customFormat="1" ht="30" customHeight="1" spans="1:74">
      <c r="A2" s="89" t="s">
        <v>5545</v>
      </c>
      <c r="B2" s="89"/>
      <c r="C2" s="89"/>
      <c r="D2" s="89"/>
      <c r="E2" s="89"/>
      <c r="F2" s="89"/>
      <c r="G2" s="89"/>
      <c r="H2" s="89"/>
      <c r="I2" s="89"/>
      <c r="J2" s="89"/>
      <c r="K2" s="89"/>
      <c r="L2" s="89"/>
      <c r="BA2" s="90" t="str">
        <f>参数表!BA2</f>
        <v>评估基准日：</v>
      </c>
      <c r="BB2" s="91" t="str">
        <f>参数表!$BB$2</f>
        <v>2025年7月31日</v>
      </c>
      <c r="BN2" s="92"/>
      <c r="BO2" s="93"/>
      <c r="BP2" s="92"/>
      <c r="BQ2" s="93"/>
      <c r="BR2" s="93"/>
      <c r="BS2" s="93"/>
      <c r="BT2" s="93"/>
      <c r="BU2" s="93"/>
      <c r="BV2" s="92"/>
    </row>
    <row r="3" ht="15" customHeight="1" spans="1:74">
      <c r="A3" s="94" t="str">
        <f>参数表!F5</f>
        <v>评估基准日：2025年7月31日</v>
      </c>
      <c r="B3" s="94"/>
      <c r="C3" s="94"/>
      <c r="D3" s="94"/>
      <c r="E3" s="94"/>
      <c r="F3" s="94"/>
      <c r="G3" s="94"/>
      <c r="H3" s="94"/>
      <c r="I3" s="94"/>
      <c r="J3" s="94"/>
      <c r="K3" s="94"/>
      <c r="L3" s="95"/>
      <c r="BA3" s="90" t="str">
        <f>参数表!BA3</f>
        <v>是否显示评估值：</v>
      </c>
      <c r="BB3" s="90" t="str">
        <f>参数表!$BB$3</f>
        <v>是</v>
      </c>
      <c r="BP3" s="78"/>
    </row>
    <row r="4" ht="15" customHeight="1" spans="1:74">
      <c r="A4" s="96"/>
      <c r="B4" s="94"/>
      <c r="C4" s="94"/>
      <c r="D4" s="94"/>
      <c r="E4" s="94"/>
      <c r="F4" s="94"/>
      <c r="G4" s="94"/>
      <c r="H4" s="94"/>
      <c r="I4" s="97"/>
      <c r="J4" s="94"/>
      <c r="K4" s="94"/>
      <c r="L4" s="98" t="str">
        <f>"表"&amp;$BA4</f>
        <v>表6-5</v>
      </c>
      <c r="BA4" s="99" t="str">
        <f>非流动负总!A11</f>
        <v>6-5</v>
      </c>
      <c r="BB4" s="100">
        <f>MAX(COUNTA(A7:A26),COUNTA(B7:B26),COUNTA(H7:H26),COUNTA(J7:J26))</f>
        <v>20</v>
      </c>
      <c r="BC4" s="101">
        <f>ROW(A6)+1</f>
        <v>7</v>
      </c>
      <c r="BD4" s="77"/>
      <c r="BE4" s="77"/>
      <c r="BP4" s="78"/>
    </row>
    <row r="5" ht="15" customHeight="1" spans="1:74">
      <c r="A5" s="102" t="str">
        <f>参数表!F3</f>
        <v>产权持有单位:中煤第五建设有限公司</v>
      </c>
      <c r="B5" s="103"/>
      <c r="C5" s="103"/>
      <c r="D5" s="103"/>
      <c r="E5" s="103"/>
      <c r="F5" s="103"/>
      <c r="G5" s="103"/>
      <c r="H5" s="103"/>
      <c r="I5" s="104"/>
      <c r="J5" s="103"/>
      <c r="K5" s="103"/>
      <c r="L5" s="98" t="s">
        <v>236</v>
      </c>
      <c r="BA5" s="103"/>
      <c r="BB5" s="105" t="str">
        <f ca="1">判断表!C122</f>
        <v>中煤第五建设有限公司第三工程处拟处置实物资产项目\[0000-3基础法明细表.xlsx]预计负</v>
      </c>
      <c r="BC5" s="106">
        <f>IFERROR(SUMIF(BC7:BC26,"√",J7:J26)/J27,0)</f>
        <v>0</v>
      </c>
      <c r="BD5" s="107"/>
      <c r="BE5" s="107"/>
      <c r="BF5" s="108">
        <f>分类汇总!$I64</f>
        <v>0</v>
      </c>
      <c r="BG5" s="108">
        <f>分类汇总!$K64</f>
        <v>0</v>
      </c>
      <c r="BH5" s="109"/>
      <c r="BI5" s="109"/>
      <c r="BJ5" s="109"/>
      <c r="BK5" s="109"/>
      <c r="BL5" s="109"/>
      <c r="BM5" s="110"/>
      <c r="BN5" s="111"/>
      <c r="BP5" s="78"/>
      <c r="BV5" s="111"/>
    </row>
    <row r="6" s="72" customFormat="1" ht="25.2" customHeight="1" spans="1:74">
      <c r="A6" s="112" t="s">
        <v>305</v>
      </c>
      <c r="B6" s="113" t="s">
        <v>1897</v>
      </c>
      <c r="C6" s="113" t="s">
        <v>1961</v>
      </c>
      <c r="D6" s="113" t="s">
        <v>5546</v>
      </c>
      <c r="E6" s="114" t="s">
        <v>1631</v>
      </c>
      <c r="F6" s="115" t="s">
        <v>1632</v>
      </c>
      <c r="G6" s="116" t="s">
        <v>3793</v>
      </c>
      <c r="H6" s="113" t="s">
        <v>1549</v>
      </c>
      <c r="I6" s="117" t="s">
        <v>1634</v>
      </c>
      <c r="J6" s="118" t="s">
        <v>1523</v>
      </c>
      <c r="K6" s="113" t="s">
        <v>1550</v>
      </c>
      <c r="L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1644</v>
      </c>
      <c r="BN6" s="119"/>
      <c r="BO6" s="120" t="s">
        <v>1645</v>
      </c>
      <c r="BP6" s="121" t="s">
        <v>1646</v>
      </c>
      <c r="BQ6" s="121" t="s">
        <v>1647</v>
      </c>
      <c r="BR6" s="121" t="s">
        <v>1648</v>
      </c>
      <c r="BS6" s="121" t="s">
        <v>1647</v>
      </c>
      <c r="BT6" s="121" t="s">
        <v>1647</v>
      </c>
      <c r="BU6" s="121" t="s">
        <v>1649</v>
      </c>
      <c r="BV6" s="122" t="s">
        <v>1650</v>
      </c>
    </row>
    <row r="7" ht="15" customHeight="1" spans="1:74">
      <c r="A7" s="123" t="str">
        <f>IF(B7="","",COUNT(A$6:A6)+1)</f>
        <v/>
      </c>
      <c r="B7" s="124"/>
      <c r="C7" s="125"/>
      <c r="D7" s="126"/>
      <c r="E7" s="127"/>
      <c r="F7" s="127" t="str">
        <f>IFERROR(VLOOKUP(E7,参数表!$H$2:$I$50,2,FALSE),"")</f>
        <v/>
      </c>
      <c r="G7" s="128" t="str">
        <f>IFERROR(IF(OR(E7="人民币",E7=""),"",J7/F7),"")</f>
        <v/>
      </c>
      <c r="H7" s="129"/>
      <c r="I7" s="130"/>
      <c r="J7" s="129" t="str">
        <f>IF(B7="","",H7+I7)</f>
        <v/>
      </c>
      <c r="K7" s="129" t="str">
        <f t="shared" ref="K7:K26" si="0">IF(B7="","",IF($BB$3="是",J7,""))</f>
        <v/>
      </c>
      <c r="L7" s="131"/>
      <c r="BA7" s="78"/>
      <c r="BB7" s="132" t="s">
        <v>5547</v>
      </c>
      <c r="BC7" s="133"/>
      <c r="BD7" s="132" t="str">
        <f>IF(OR(B7="",BC7=""),"",COUNTIF(BC$7:BC7,"√"))</f>
        <v/>
      </c>
      <c r="BE7" s="134" t="str">
        <f t="shared" ref="BE7:BE26" si="1">IF(BC7="","",BB7&amp;"︱"&amp;B7&amp;"︱"&amp;TEXT(H7,"#,##0.00"))</f>
        <v/>
      </c>
      <c r="BF7" s="135" t="str">
        <f>IF($B7="","",IF(BF$5=0,"OK","出错"))</f>
        <v/>
      </c>
      <c r="BG7" s="135" t="str">
        <f>IF($B7="","",IF(BG$5=0,"OK","出错"))</f>
        <v/>
      </c>
      <c r="BH7" s="136"/>
      <c r="BI7" s="137"/>
      <c r="BJ7" s="136"/>
      <c r="BK7" s="136"/>
      <c r="BL7" s="136"/>
      <c r="BM7" s="137"/>
      <c r="BO7" s="134" t="str">
        <f>IF(COUNTIF(BO$6:BO6,D7)&gt;0,"",D7)&amp;""</f>
        <v/>
      </c>
      <c r="BP7" s="138">
        <f>SUMIF(D$7:D$26,BO7,J$7:J$26)</f>
        <v>0</v>
      </c>
      <c r="BQ7" s="132">
        <f t="shared" ref="BQ7" si="2">RANK(BP7,BP$7:BP$26)</f>
        <v>1</v>
      </c>
      <c r="BR7" s="138">
        <f>SUMIF(D$7:D$26,BO7,K$7:K$26)</f>
        <v>0</v>
      </c>
      <c r="BS7" s="132">
        <f>RANK(BR7,BR$7:BR$26)</f>
        <v>1</v>
      </c>
      <c r="BT7" s="138">
        <f>SUM(BP7:BP26)</f>
        <v>0</v>
      </c>
      <c r="BU7" s="138"/>
      <c r="BV7" s="138"/>
    </row>
    <row r="8" ht="15" customHeight="1" spans="1:74">
      <c r="A8" s="123" t="str">
        <f>IF(B8="","",COUNT(A$6:A7)+1)</f>
        <v/>
      </c>
      <c r="B8" s="139"/>
      <c r="C8" s="140"/>
      <c r="D8" s="141"/>
      <c r="E8" s="142"/>
      <c r="F8" s="127" t="str">
        <f>IFERROR(VLOOKUP(E8,参数表!$H$2:$I$50,2,FALSE),"")</f>
        <v/>
      </c>
      <c r="G8" s="128" t="str">
        <f t="shared" ref="G8:G26" si="3">IFERROR(IF(OR(E8="人民币",E8=""),"",J8/F8),"")</f>
        <v/>
      </c>
      <c r="H8" s="143"/>
      <c r="I8" s="144"/>
      <c r="J8" s="129" t="str">
        <f t="shared" ref="J8:J26" si="4">IF(B8="","",H8+I8)</f>
        <v/>
      </c>
      <c r="K8" s="129" t="str">
        <f t="shared" si="0"/>
        <v/>
      </c>
      <c r="L8" s="145"/>
      <c r="BA8" s="78"/>
      <c r="BB8" s="132" t="s">
        <v>5548</v>
      </c>
      <c r="BC8" s="133"/>
      <c r="BD8" s="132" t="str">
        <f>IF(OR(B8="",BC8=""),"",COUNTIF(BC$7:BC8,"√"))</f>
        <v/>
      </c>
      <c r="BE8" s="134" t="str">
        <f t="shared" si="1"/>
        <v/>
      </c>
      <c r="BF8" s="135" t="str">
        <f t="shared" ref="BF8:BG26" si="5">IF($B8="","",IF(BF$5=0,"OK","出错"))</f>
        <v/>
      </c>
      <c r="BG8" s="135" t="str">
        <f t="shared" si="5"/>
        <v/>
      </c>
      <c r="BH8" s="136"/>
      <c r="BI8" s="137"/>
      <c r="BJ8" s="136"/>
      <c r="BK8" s="136"/>
      <c r="BL8" s="136"/>
      <c r="BM8" s="137"/>
      <c r="BO8" s="134" t="str">
        <f>IF(COUNTIF(BO$6:BO7,D8)&gt;0,"",D8)&amp;""</f>
        <v/>
      </c>
      <c r="BP8" s="138">
        <f t="shared" ref="BP8:BP26" si="6">SUMIF(D$7:D$26,BO8,J$7:J$26)</f>
        <v>0</v>
      </c>
      <c r="BQ8" s="132">
        <f t="shared" ref="BQ8:BQ26" si="7">RANK(BP8,BP$7:BP$26)</f>
        <v>1</v>
      </c>
      <c r="BR8" s="138">
        <f t="shared" ref="BR8:BR26" si="8">SUMIF(D$7:D$26,BO8,K$7:K$26)</f>
        <v>0</v>
      </c>
      <c r="BS8" s="132">
        <f t="shared" ref="BS8:BS26" si="9">RANK(BR8,BR$7:BR$26)</f>
        <v>1</v>
      </c>
      <c r="BT8" s="138">
        <f>SUM(BR7:BR26)</f>
        <v>0</v>
      </c>
      <c r="BU8" s="138"/>
      <c r="BV8" s="138"/>
    </row>
    <row r="9" ht="15" customHeight="1" spans="1:74">
      <c r="A9" s="123" t="str">
        <f>IF(B9="","",COUNT(A$6:A8)+1)</f>
        <v/>
      </c>
      <c r="B9" s="139"/>
      <c r="C9" s="140"/>
      <c r="D9" s="141"/>
      <c r="E9" s="142"/>
      <c r="F9" s="127" t="str">
        <f>IFERROR(VLOOKUP(E9,参数表!$H$2:$I$50,2,FALSE),"")</f>
        <v/>
      </c>
      <c r="G9" s="128" t="str">
        <f t="shared" si="3"/>
        <v/>
      </c>
      <c r="H9" s="143"/>
      <c r="I9" s="144"/>
      <c r="J9" s="129" t="str">
        <f t="shared" si="4"/>
        <v/>
      </c>
      <c r="K9" s="129" t="str">
        <f t="shared" si="0"/>
        <v/>
      </c>
      <c r="L9" s="145"/>
      <c r="BA9" s="78"/>
      <c r="BB9" s="132" t="s">
        <v>5549</v>
      </c>
      <c r="BC9" s="133"/>
      <c r="BD9" s="132" t="str">
        <f>IF(OR(B9="",BC9=""),"",COUNTIF(BC$7:BC9,"√"))</f>
        <v/>
      </c>
      <c r="BE9" s="134" t="str">
        <f t="shared" si="1"/>
        <v/>
      </c>
      <c r="BF9" s="135" t="str">
        <f t="shared" si="5"/>
        <v/>
      </c>
      <c r="BG9" s="135" t="str">
        <f t="shared" si="5"/>
        <v/>
      </c>
      <c r="BH9" s="136"/>
      <c r="BI9" s="137"/>
      <c r="BJ9" s="136"/>
      <c r="BK9" s="136"/>
      <c r="BL9" s="136"/>
      <c r="BM9" s="137"/>
      <c r="BO9" s="134" t="str">
        <f>IF(COUNTIF(BO$6:BO8,D9)&gt;0,"",D9)&amp;""</f>
        <v/>
      </c>
      <c r="BP9" s="138">
        <f t="shared" si="6"/>
        <v>0</v>
      </c>
      <c r="BQ9" s="132">
        <f t="shared" si="7"/>
        <v>1</v>
      </c>
      <c r="BR9" s="138">
        <f t="shared" si="8"/>
        <v>0</v>
      </c>
      <c r="BS9" s="132">
        <f t="shared" si="9"/>
        <v>1</v>
      </c>
      <c r="BT9" s="132">
        <v>1</v>
      </c>
      <c r="BU9" s="134" t="str">
        <f>IFERROR(INDEX(BO$7:BO$26,MATCH(BT9,IF(BT$7=0,BS$7:BS$26,BQ$7:BQ$26),0))&amp;"","")</f>
        <v/>
      </c>
      <c r="BV9" s="146" t="str">
        <f>IF(BU10="","",IF(BU11="","和","、"))</f>
        <v/>
      </c>
    </row>
    <row r="10" ht="15" customHeight="1" spans="1:74">
      <c r="A10" s="123" t="str">
        <f>IF(B10="","",COUNT(A$6:A9)+1)</f>
        <v/>
      </c>
      <c r="B10" s="139"/>
      <c r="C10" s="140"/>
      <c r="D10" s="141"/>
      <c r="E10" s="142"/>
      <c r="F10" s="127" t="str">
        <f>IFERROR(VLOOKUP(E10,参数表!$H$2:$I$50,2,FALSE),"")</f>
        <v/>
      </c>
      <c r="G10" s="128" t="str">
        <f t="shared" si="3"/>
        <v/>
      </c>
      <c r="H10" s="143"/>
      <c r="I10" s="144"/>
      <c r="J10" s="129" t="str">
        <f t="shared" si="4"/>
        <v/>
      </c>
      <c r="K10" s="129" t="str">
        <f t="shared" si="0"/>
        <v/>
      </c>
      <c r="L10" s="145"/>
      <c r="BA10" s="78"/>
      <c r="BB10" s="132" t="s">
        <v>5550</v>
      </c>
      <c r="BC10" s="133"/>
      <c r="BD10" s="132" t="str">
        <f>IF(OR(B10="",BC10=""),"",COUNTIF(BC$7:BC10,"√"))</f>
        <v/>
      </c>
      <c r="BE10" s="134" t="str">
        <f t="shared" si="1"/>
        <v/>
      </c>
      <c r="BF10" s="135" t="str">
        <f t="shared" si="5"/>
        <v/>
      </c>
      <c r="BG10" s="135" t="str">
        <f t="shared" si="5"/>
        <v/>
      </c>
      <c r="BH10" s="136"/>
      <c r="BI10" s="137"/>
      <c r="BJ10" s="136"/>
      <c r="BK10" s="136"/>
      <c r="BL10" s="136"/>
      <c r="BM10" s="137"/>
      <c r="BO10" s="134" t="str">
        <f>IF(COUNTIF(BO$6:BO9,D10)&gt;0,"",D10)&amp;""</f>
        <v/>
      </c>
      <c r="BP10" s="138">
        <f t="shared" si="6"/>
        <v>0</v>
      </c>
      <c r="BQ10" s="132">
        <f t="shared" si="7"/>
        <v>1</v>
      </c>
      <c r="BR10" s="138">
        <f t="shared" si="8"/>
        <v>0</v>
      </c>
      <c r="BS10" s="132">
        <f t="shared" si="9"/>
        <v>1</v>
      </c>
      <c r="BT10" s="132">
        <v>2</v>
      </c>
      <c r="BU10" s="134" t="str">
        <f t="shared" ref="BU10:BU13" si="10">IFERROR(INDEX(BO$7:BO$26,MATCH(BT10,IF(BT$7=0,BS$7:BS$26,BQ$7:BQ$26),0))&amp;"","")</f>
        <v/>
      </c>
      <c r="BV10" s="146" t="str">
        <f t="shared" ref="BV10:BV11" si="11">IF(BU11="","",IF(BU12="","和","、"))</f>
        <v/>
      </c>
    </row>
    <row r="11" ht="15" customHeight="1" spans="1:74">
      <c r="A11" s="123" t="str">
        <f>IF(B11="","",COUNT(A$6:A10)+1)</f>
        <v/>
      </c>
      <c r="B11" s="139"/>
      <c r="C11" s="140"/>
      <c r="D11" s="141"/>
      <c r="E11" s="142"/>
      <c r="F11" s="127" t="str">
        <f>IFERROR(VLOOKUP(E11,参数表!$H$2:$I$50,2,FALSE),"")</f>
        <v/>
      </c>
      <c r="G11" s="128" t="str">
        <f t="shared" si="3"/>
        <v/>
      </c>
      <c r="H11" s="143"/>
      <c r="I11" s="144"/>
      <c r="J11" s="129" t="str">
        <f t="shared" si="4"/>
        <v/>
      </c>
      <c r="K11" s="129" t="str">
        <f t="shared" si="0"/>
        <v/>
      </c>
      <c r="L11" s="145"/>
      <c r="BA11" s="78"/>
      <c r="BB11" s="132" t="s">
        <v>5551</v>
      </c>
      <c r="BC11" s="133"/>
      <c r="BD11" s="132" t="str">
        <f>IF(OR(B11="",BC11=""),"",COUNTIF(BC$7:BC11,"√"))</f>
        <v/>
      </c>
      <c r="BE11" s="134" t="str">
        <f t="shared" si="1"/>
        <v/>
      </c>
      <c r="BF11" s="135" t="str">
        <f t="shared" si="5"/>
        <v/>
      </c>
      <c r="BG11" s="135" t="str">
        <f t="shared" si="5"/>
        <v/>
      </c>
      <c r="BH11" s="136"/>
      <c r="BI11" s="137"/>
      <c r="BJ11" s="136"/>
      <c r="BK11" s="136"/>
      <c r="BL11" s="136"/>
      <c r="BM11" s="137"/>
      <c r="BO11" s="134" t="str">
        <f>IF(COUNTIF(BO$6:BO10,D11)&gt;0,"",D11)&amp;""</f>
        <v/>
      </c>
      <c r="BP11" s="138">
        <f t="shared" si="6"/>
        <v>0</v>
      </c>
      <c r="BQ11" s="132">
        <f t="shared" si="7"/>
        <v>1</v>
      </c>
      <c r="BR11" s="138">
        <f t="shared" si="8"/>
        <v>0</v>
      </c>
      <c r="BS11" s="132">
        <f t="shared" si="9"/>
        <v>1</v>
      </c>
      <c r="BT11" s="132">
        <v>3</v>
      </c>
      <c r="BU11" s="134" t="str">
        <f t="shared" si="10"/>
        <v/>
      </c>
      <c r="BV11" s="146" t="str">
        <f t="shared" si="11"/>
        <v/>
      </c>
    </row>
    <row r="12" ht="15" customHeight="1" spans="1:74">
      <c r="A12" s="123" t="str">
        <f>IF(B12="","",COUNT(A$6:A11)+1)</f>
        <v/>
      </c>
      <c r="B12" s="139"/>
      <c r="C12" s="140"/>
      <c r="D12" s="141"/>
      <c r="E12" s="142"/>
      <c r="F12" s="127" t="str">
        <f>IFERROR(VLOOKUP(E12,参数表!$H$2:$I$50,2,FALSE),"")</f>
        <v/>
      </c>
      <c r="G12" s="128" t="str">
        <f t="shared" si="3"/>
        <v/>
      </c>
      <c r="H12" s="143"/>
      <c r="I12" s="144"/>
      <c r="J12" s="129" t="str">
        <f t="shared" si="4"/>
        <v/>
      </c>
      <c r="K12" s="129" t="str">
        <f t="shared" si="0"/>
        <v/>
      </c>
      <c r="L12" s="145"/>
      <c r="BA12" s="78"/>
      <c r="BB12" s="132" t="s">
        <v>5552</v>
      </c>
      <c r="BC12" s="133"/>
      <c r="BD12" s="132" t="str">
        <f>IF(OR(B12="",BC12=""),"",COUNTIF(BC$7:BC12,"√"))</f>
        <v/>
      </c>
      <c r="BE12" s="134" t="str">
        <f t="shared" si="1"/>
        <v/>
      </c>
      <c r="BF12" s="135" t="str">
        <f t="shared" si="5"/>
        <v/>
      </c>
      <c r="BG12" s="135" t="str">
        <f t="shared" si="5"/>
        <v/>
      </c>
      <c r="BH12" s="136"/>
      <c r="BI12" s="137"/>
      <c r="BJ12" s="136"/>
      <c r="BK12" s="136"/>
      <c r="BL12" s="136"/>
      <c r="BM12" s="137"/>
      <c r="BO12" s="134" t="str">
        <f>IF(COUNTIF(BO$6:BO11,D12)&gt;0,"",D12)&amp;""</f>
        <v/>
      </c>
      <c r="BP12" s="138">
        <f t="shared" si="6"/>
        <v>0</v>
      </c>
      <c r="BQ12" s="132">
        <f t="shared" si="7"/>
        <v>1</v>
      </c>
      <c r="BR12" s="138">
        <f t="shared" si="8"/>
        <v>0</v>
      </c>
      <c r="BS12" s="132">
        <f t="shared" si="9"/>
        <v>1</v>
      </c>
      <c r="BT12" s="132">
        <v>4</v>
      </c>
      <c r="BU12" s="134" t="str">
        <f t="shared" si="10"/>
        <v/>
      </c>
      <c r="BV12" s="146" t="str">
        <f>IF(BU13="","","和")</f>
        <v/>
      </c>
    </row>
    <row r="13" ht="15" customHeight="1" spans="1:74">
      <c r="A13" s="123" t="str">
        <f>IF(B13="","",COUNT(A$6:A12)+1)</f>
        <v/>
      </c>
      <c r="B13" s="139"/>
      <c r="C13" s="140"/>
      <c r="D13" s="141"/>
      <c r="E13" s="142"/>
      <c r="F13" s="127" t="str">
        <f>IFERROR(VLOOKUP(E13,参数表!$H$2:$I$50,2,FALSE),"")</f>
        <v/>
      </c>
      <c r="G13" s="128" t="str">
        <f t="shared" si="3"/>
        <v/>
      </c>
      <c r="H13" s="143"/>
      <c r="I13" s="144"/>
      <c r="J13" s="129" t="str">
        <f t="shared" si="4"/>
        <v/>
      </c>
      <c r="K13" s="129" t="str">
        <f t="shared" si="0"/>
        <v/>
      </c>
      <c r="L13" s="145"/>
      <c r="BA13" s="78"/>
      <c r="BB13" s="132" t="s">
        <v>5553</v>
      </c>
      <c r="BC13" s="133"/>
      <c r="BD13" s="132" t="str">
        <f>IF(OR(B13="",BC13=""),"",COUNTIF(BC$7:BC13,"√"))</f>
        <v/>
      </c>
      <c r="BE13" s="134" t="str">
        <f t="shared" si="1"/>
        <v/>
      </c>
      <c r="BF13" s="135" t="str">
        <f t="shared" si="5"/>
        <v/>
      </c>
      <c r="BG13" s="135" t="str">
        <f t="shared" si="5"/>
        <v/>
      </c>
      <c r="BH13" s="136"/>
      <c r="BI13" s="137"/>
      <c r="BJ13" s="136"/>
      <c r="BK13" s="136"/>
      <c r="BL13" s="136"/>
      <c r="BM13" s="137"/>
      <c r="BO13" s="134" t="str">
        <f>IF(COUNTIF(BO$6:BO12,D13)&gt;0,"",D13)&amp;""</f>
        <v/>
      </c>
      <c r="BP13" s="138">
        <f t="shared" si="6"/>
        <v>0</v>
      </c>
      <c r="BQ13" s="132">
        <f t="shared" si="7"/>
        <v>1</v>
      </c>
      <c r="BR13" s="138">
        <f t="shared" si="8"/>
        <v>0</v>
      </c>
      <c r="BS13" s="132">
        <f t="shared" si="9"/>
        <v>1</v>
      </c>
      <c r="BT13" s="132">
        <v>5</v>
      </c>
      <c r="BU13" s="134" t="str">
        <f t="shared" si="10"/>
        <v/>
      </c>
      <c r="BV13" s="146"/>
    </row>
    <row r="14" ht="15" customHeight="1" spans="1:74">
      <c r="A14" s="123" t="str">
        <f>IF(B14="","",COUNT(A$6:A13)+1)</f>
        <v/>
      </c>
      <c r="B14" s="139"/>
      <c r="C14" s="140"/>
      <c r="D14" s="141"/>
      <c r="E14" s="142"/>
      <c r="F14" s="127" t="str">
        <f>IFERROR(VLOOKUP(E14,参数表!$H$2:$I$50,2,FALSE),"")</f>
        <v/>
      </c>
      <c r="G14" s="128" t="str">
        <f t="shared" si="3"/>
        <v/>
      </c>
      <c r="H14" s="143"/>
      <c r="I14" s="144"/>
      <c r="J14" s="129" t="str">
        <f t="shared" si="4"/>
        <v/>
      </c>
      <c r="K14" s="129" t="str">
        <f t="shared" si="0"/>
        <v/>
      </c>
      <c r="L14" s="145"/>
      <c r="BA14" s="78"/>
      <c r="BB14" s="132" t="s">
        <v>5554</v>
      </c>
      <c r="BC14" s="133"/>
      <c r="BD14" s="132" t="str">
        <f>IF(OR(B14="",BC14=""),"",COUNTIF(BC$7:BC14,"√"))</f>
        <v/>
      </c>
      <c r="BE14" s="134" t="str">
        <f t="shared" si="1"/>
        <v/>
      </c>
      <c r="BF14" s="135" t="str">
        <f t="shared" si="5"/>
        <v/>
      </c>
      <c r="BG14" s="135" t="str">
        <f t="shared" si="5"/>
        <v/>
      </c>
      <c r="BH14" s="136"/>
      <c r="BI14" s="137"/>
      <c r="BJ14" s="136"/>
      <c r="BK14" s="136"/>
      <c r="BL14" s="136"/>
      <c r="BM14" s="137"/>
      <c r="BO14" s="134" t="str">
        <f>IF(COUNTIF(BO$6:BO13,D14)&gt;0,"",D14)&amp;""</f>
        <v/>
      </c>
      <c r="BP14" s="138">
        <f t="shared" si="6"/>
        <v>0</v>
      </c>
      <c r="BQ14" s="132">
        <f t="shared" si="7"/>
        <v>1</v>
      </c>
      <c r="BR14" s="138">
        <f t="shared" si="8"/>
        <v>0</v>
      </c>
      <c r="BS14" s="132">
        <f t="shared" si="9"/>
        <v>1</v>
      </c>
      <c r="BT14" s="147" t="s">
        <v>1659</v>
      </c>
      <c r="BU14" s="132" t="str">
        <f>CONCATENATE(BU9,BV9,BU10,BV10,BU11,BV11,BU12,BV12,BU13)</f>
        <v/>
      </c>
      <c r="BV14" s="132"/>
    </row>
    <row r="15" ht="15" customHeight="1" spans="1:74">
      <c r="A15" s="123" t="str">
        <f>IF(B15="","",COUNT(A$6:A14)+1)</f>
        <v/>
      </c>
      <c r="B15" s="139"/>
      <c r="C15" s="140"/>
      <c r="D15" s="141"/>
      <c r="E15" s="142"/>
      <c r="F15" s="127" t="str">
        <f>IFERROR(VLOOKUP(E15,参数表!$H$2:$I$50,2,FALSE),"")</f>
        <v/>
      </c>
      <c r="G15" s="128" t="str">
        <f t="shared" si="3"/>
        <v/>
      </c>
      <c r="H15" s="143"/>
      <c r="I15" s="144"/>
      <c r="J15" s="129" t="str">
        <f t="shared" si="4"/>
        <v/>
      </c>
      <c r="K15" s="129" t="str">
        <f t="shared" si="0"/>
        <v/>
      </c>
      <c r="L15" s="145"/>
      <c r="BA15" s="78"/>
      <c r="BB15" s="132" t="s">
        <v>5555</v>
      </c>
      <c r="BC15" s="133"/>
      <c r="BD15" s="132" t="str">
        <f>IF(OR(B15="",BC15=""),"",COUNTIF(BC$7:BC15,"√"))</f>
        <v/>
      </c>
      <c r="BE15" s="134" t="str">
        <f t="shared" si="1"/>
        <v/>
      </c>
      <c r="BF15" s="135" t="str">
        <f t="shared" si="5"/>
        <v/>
      </c>
      <c r="BG15" s="135" t="str">
        <f t="shared" si="5"/>
        <v/>
      </c>
      <c r="BH15" s="136"/>
      <c r="BI15" s="137"/>
      <c r="BJ15" s="136"/>
      <c r="BK15" s="136"/>
      <c r="BL15" s="136"/>
      <c r="BM15" s="137"/>
      <c r="BO15" s="134" t="str">
        <f>IF(COUNTIF(BO$6:BO14,D15)&gt;0,"",D15)&amp;""</f>
        <v/>
      </c>
      <c r="BP15" s="138">
        <f t="shared" si="6"/>
        <v>0</v>
      </c>
      <c r="BQ15" s="132">
        <f t="shared" si="7"/>
        <v>1</v>
      </c>
      <c r="BR15" s="138">
        <f t="shared" si="8"/>
        <v>0</v>
      </c>
      <c r="BS15" s="132">
        <f t="shared" si="9"/>
        <v>1</v>
      </c>
      <c r="BT15" s="133"/>
      <c r="BU15" s="133"/>
    </row>
    <row r="16" ht="15" customHeight="1" spans="1:74">
      <c r="A16" s="123" t="str">
        <f>IF(B16="","",COUNT(A$6:A15)+1)</f>
        <v/>
      </c>
      <c r="B16" s="139"/>
      <c r="C16" s="140"/>
      <c r="D16" s="141"/>
      <c r="E16" s="142"/>
      <c r="F16" s="127" t="str">
        <f>IFERROR(VLOOKUP(E16,参数表!$H$2:$I$50,2,FALSE),"")</f>
        <v/>
      </c>
      <c r="G16" s="128" t="str">
        <f t="shared" si="3"/>
        <v/>
      </c>
      <c r="H16" s="143"/>
      <c r="I16" s="144"/>
      <c r="J16" s="129" t="str">
        <f t="shared" si="4"/>
        <v/>
      </c>
      <c r="K16" s="129" t="str">
        <f t="shared" si="0"/>
        <v/>
      </c>
      <c r="L16" s="145"/>
      <c r="BA16" s="78"/>
      <c r="BB16" s="132" t="s">
        <v>5556</v>
      </c>
      <c r="BC16" s="133"/>
      <c r="BD16" s="132" t="str">
        <f>IF(OR(B16="",BC16=""),"",COUNTIF(BC$7:BC16,"√"))</f>
        <v/>
      </c>
      <c r="BE16" s="134" t="str">
        <f t="shared" si="1"/>
        <v/>
      </c>
      <c r="BF16" s="135" t="str">
        <f t="shared" si="5"/>
        <v/>
      </c>
      <c r="BG16" s="135" t="str">
        <f t="shared" si="5"/>
        <v/>
      </c>
      <c r="BH16" s="136"/>
      <c r="BI16" s="137"/>
      <c r="BJ16" s="136"/>
      <c r="BK16" s="136"/>
      <c r="BL16" s="136"/>
      <c r="BM16" s="137"/>
      <c r="BO16" s="134" t="str">
        <f>IF(COUNTIF(BO$6:BO15,D16)&gt;0,"",D16)&amp;""</f>
        <v/>
      </c>
      <c r="BP16" s="138">
        <f t="shared" si="6"/>
        <v>0</v>
      </c>
      <c r="BQ16" s="132">
        <f t="shared" si="7"/>
        <v>1</v>
      </c>
      <c r="BR16" s="138">
        <f t="shared" si="8"/>
        <v>0</v>
      </c>
      <c r="BS16" s="132">
        <f t="shared" si="9"/>
        <v>1</v>
      </c>
      <c r="BT16" s="133"/>
      <c r="BU16" s="148"/>
    </row>
    <row r="17" ht="15" customHeight="1" spans="1:74">
      <c r="A17" s="123" t="str">
        <f>IF(B17="","",COUNT(A$6:A16)+1)</f>
        <v/>
      </c>
      <c r="B17" s="139"/>
      <c r="C17" s="140"/>
      <c r="D17" s="141"/>
      <c r="E17" s="142"/>
      <c r="F17" s="127" t="str">
        <f>IFERROR(VLOOKUP(E17,参数表!$H$2:$I$50,2,FALSE),"")</f>
        <v/>
      </c>
      <c r="G17" s="128" t="str">
        <f t="shared" si="3"/>
        <v/>
      </c>
      <c r="H17" s="143"/>
      <c r="I17" s="144"/>
      <c r="J17" s="129" t="str">
        <f t="shared" si="4"/>
        <v/>
      </c>
      <c r="K17" s="129" t="str">
        <f t="shared" si="0"/>
        <v/>
      </c>
      <c r="L17" s="145"/>
      <c r="BA17" s="78"/>
      <c r="BB17" s="132" t="s">
        <v>5557</v>
      </c>
      <c r="BC17" s="133"/>
      <c r="BD17" s="132" t="str">
        <f>IF(OR(B17="",BC17=""),"",COUNTIF(BC$7:BC17,"√"))</f>
        <v/>
      </c>
      <c r="BE17" s="134" t="str">
        <f t="shared" si="1"/>
        <v/>
      </c>
      <c r="BF17" s="135" t="str">
        <f t="shared" si="5"/>
        <v/>
      </c>
      <c r="BG17" s="135" t="str">
        <f t="shared" si="5"/>
        <v/>
      </c>
      <c r="BH17" s="136"/>
      <c r="BI17" s="137"/>
      <c r="BJ17" s="136"/>
      <c r="BK17" s="136"/>
      <c r="BL17" s="136"/>
      <c r="BM17" s="137"/>
      <c r="BO17" s="134" t="str">
        <f>IF(COUNTIF(BO$6:BO16,D17)&gt;0,"",D17)&amp;""</f>
        <v/>
      </c>
      <c r="BP17" s="138">
        <f t="shared" si="6"/>
        <v>0</v>
      </c>
      <c r="BQ17" s="132">
        <f t="shared" si="7"/>
        <v>1</v>
      </c>
      <c r="BR17" s="138">
        <f t="shared" si="8"/>
        <v>0</v>
      </c>
      <c r="BS17" s="132">
        <f t="shared" si="9"/>
        <v>1</v>
      </c>
      <c r="BT17" s="133"/>
      <c r="BU17" s="133"/>
    </row>
    <row r="18" ht="15" customHeight="1" spans="1:74">
      <c r="A18" s="123" t="str">
        <f>IF(B18="","",COUNT(A$6:A17)+1)</f>
        <v/>
      </c>
      <c r="B18" s="139"/>
      <c r="C18" s="140"/>
      <c r="D18" s="141"/>
      <c r="E18" s="142"/>
      <c r="F18" s="127" t="str">
        <f>IFERROR(VLOOKUP(E18,参数表!$H$2:$I$50,2,FALSE),"")</f>
        <v/>
      </c>
      <c r="G18" s="128" t="str">
        <f t="shared" si="3"/>
        <v/>
      </c>
      <c r="H18" s="143"/>
      <c r="I18" s="144"/>
      <c r="J18" s="129" t="str">
        <f t="shared" si="4"/>
        <v/>
      </c>
      <c r="K18" s="129" t="str">
        <f t="shared" si="0"/>
        <v/>
      </c>
      <c r="L18" s="145"/>
      <c r="BA18" s="78"/>
      <c r="BB18" s="132" t="s">
        <v>5558</v>
      </c>
      <c r="BC18" s="133"/>
      <c r="BD18" s="132" t="str">
        <f>IF(OR(B18="",BC18=""),"",COUNTIF(BC$7:BC18,"√"))</f>
        <v/>
      </c>
      <c r="BE18" s="134" t="str">
        <f t="shared" si="1"/>
        <v/>
      </c>
      <c r="BF18" s="135" t="str">
        <f t="shared" si="5"/>
        <v/>
      </c>
      <c r="BG18" s="135" t="str">
        <f t="shared" si="5"/>
        <v/>
      </c>
      <c r="BH18" s="136"/>
      <c r="BI18" s="137"/>
      <c r="BJ18" s="136"/>
      <c r="BK18" s="136"/>
      <c r="BL18" s="136"/>
      <c r="BM18" s="137"/>
      <c r="BO18" s="134" t="str">
        <f>IF(COUNTIF(BO$6:BO17,D18)&gt;0,"",D18)&amp;""</f>
        <v/>
      </c>
      <c r="BP18" s="138">
        <f t="shared" si="6"/>
        <v>0</v>
      </c>
      <c r="BQ18" s="132">
        <f t="shared" si="7"/>
        <v>1</v>
      </c>
      <c r="BR18" s="138">
        <f t="shared" si="8"/>
        <v>0</v>
      </c>
      <c r="BS18" s="132">
        <f t="shared" si="9"/>
        <v>1</v>
      </c>
      <c r="BT18" s="133"/>
      <c r="BU18" s="133"/>
    </row>
    <row r="19" ht="15" customHeight="1" spans="1:74">
      <c r="A19" s="123" t="str">
        <f>IF(B19="","",COUNT(A$6:A18)+1)</f>
        <v/>
      </c>
      <c r="B19" s="139"/>
      <c r="C19" s="140"/>
      <c r="D19" s="141"/>
      <c r="E19" s="142"/>
      <c r="F19" s="127" t="str">
        <f>IFERROR(VLOOKUP(E19,参数表!$H$2:$I$50,2,FALSE),"")</f>
        <v/>
      </c>
      <c r="G19" s="128" t="str">
        <f t="shared" si="3"/>
        <v/>
      </c>
      <c r="H19" s="143"/>
      <c r="I19" s="144"/>
      <c r="J19" s="129" t="str">
        <f t="shared" si="4"/>
        <v/>
      </c>
      <c r="K19" s="129" t="str">
        <f t="shared" si="0"/>
        <v/>
      </c>
      <c r="L19" s="145"/>
      <c r="BA19" s="78"/>
      <c r="BB19" s="132" t="s">
        <v>5559</v>
      </c>
      <c r="BC19" s="133"/>
      <c r="BD19" s="132" t="str">
        <f>IF(OR(B19="",BC19=""),"",COUNTIF(BC$7:BC19,"√"))</f>
        <v/>
      </c>
      <c r="BE19" s="134" t="str">
        <f t="shared" si="1"/>
        <v/>
      </c>
      <c r="BF19" s="135" t="str">
        <f t="shared" si="5"/>
        <v/>
      </c>
      <c r="BG19" s="135" t="str">
        <f t="shared" si="5"/>
        <v/>
      </c>
      <c r="BH19" s="136"/>
      <c r="BI19" s="137"/>
      <c r="BJ19" s="136"/>
      <c r="BK19" s="136"/>
      <c r="BL19" s="136"/>
      <c r="BM19" s="137"/>
      <c r="BO19" s="134" t="str">
        <f>IF(COUNTIF(BO$6:BO18,D19)&gt;0,"",D19)&amp;""</f>
        <v/>
      </c>
      <c r="BP19" s="138">
        <f t="shared" si="6"/>
        <v>0</v>
      </c>
      <c r="BQ19" s="132">
        <f t="shared" si="7"/>
        <v>1</v>
      </c>
      <c r="BR19" s="138">
        <f t="shared" si="8"/>
        <v>0</v>
      </c>
      <c r="BS19" s="132">
        <f t="shared" si="9"/>
        <v>1</v>
      </c>
      <c r="BT19" s="133"/>
      <c r="BU19" s="133"/>
    </row>
    <row r="20" ht="15" customHeight="1" spans="1:74">
      <c r="A20" s="123" t="str">
        <f>IF(B20="","",COUNT(A$6:A19)+1)</f>
        <v/>
      </c>
      <c r="B20" s="139"/>
      <c r="C20" s="140"/>
      <c r="D20" s="141"/>
      <c r="E20" s="142"/>
      <c r="F20" s="127" t="str">
        <f>IFERROR(VLOOKUP(E20,参数表!$H$2:$I$50,2,FALSE),"")</f>
        <v/>
      </c>
      <c r="G20" s="128" t="str">
        <f t="shared" si="3"/>
        <v/>
      </c>
      <c r="H20" s="143"/>
      <c r="I20" s="144"/>
      <c r="J20" s="129" t="str">
        <f t="shared" si="4"/>
        <v/>
      </c>
      <c r="K20" s="129" t="str">
        <f t="shared" si="0"/>
        <v/>
      </c>
      <c r="L20" s="145"/>
      <c r="BA20" s="78"/>
      <c r="BB20" s="132" t="s">
        <v>5560</v>
      </c>
      <c r="BC20" s="133"/>
      <c r="BD20" s="132" t="str">
        <f>IF(OR(B20="",BC20=""),"",COUNTIF(BC$7:BC20,"√"))</f>
        <v/>
      </c>
      <c r="BE20" s="134" t="str">
        <f t="shared" si="1"/>
        <v/>
      </c>
      <c r="BF20" s="135" t="str">
        <f t="shared" si="5"/>
        <v/>
      </c>
      <c r="BG20" s="135" t="str">
        <f t="shared" si="5"/>
        <v/>
      </c>
      <c r="BH20" s="136"/>
      <c r="BI20" s="137"/>
      <c r="BJ20" s="136"/>
      <c r="BK20" s="136"/>
      <c r="BL20" s="136"/>
      <c r="BM20" s="137"/>
      <c r="BO20" s="134" t="str">
        <f>IF(COUNTIF(BO$6:BO19,D20)&gt;0,"",D20)&amp;""</f>
        <v/>
      </c>
      <c r="BP20" s="138">
        <f t="shared" si="6"/>
        <v>0</v>
      </c>
      <c r="BQ20" s="132">
        <f t="shared" si="7"/>
        <v>1</v>
      </c>
      <c r="BR20" s="138">
        <f t="shared" si="8"/>
        <v>0</v>
      </c>
      <c r="BS20" s="132">
        <f t="shared" si="9"/>
        <v>1</v>
      </c>
      <c r="BT20" s="133"/>
      <c r="BU20" s="133"/>
    </row>
    <row r="21" ht="15" customHeight="1" spans="1:74">
      <c r="A21" s="123" t="str">
        <f>IF(B21="","",COUNT(A$6:A20)+1)</f>
        <v/>
      </c>
      <c r="B21" s="139"/>
      <c r="C21" s="140"/>
      <c r="D21" s="141"/>
      <c r="E21" s="142"/>
      <c r="F21" s="127" t="str">
        <f>IFERROR(VLOOKUP(E21,参数表!$H$2:$I$50,2,FALSE),"")</f>
        <v/>
      </c>
      <c r="G21" s="128" t="str">
        <f t="shared" si="3"/>
        <v/>
      </c>
      <c r="H21" s="143"/>
      <c r="I21" s="144"/>
      <c r="J21" s="129" t="str">
        <f t="shared" si="4"/>
        <v/>
      </c>
      <c r="K21" s="129" t="str">
        <f t="shared" si="0"/>
        <v/>
      </c>
      <c r="L21" s="145"/>
      <c r="BA21" s="78"/>
      <c r="BB21" s="132" t="s">
        <v>5561</v>
      </c>
      <c r="BC21" s="133"/>
      <c r="BD21" s="132" t="str">
        <f>IF(OR(B21="",BC21=""),"",COUNTIF(BC$7:BC21,"√"))</f>
        <v/>
      </c>
      <c r="BE21" s="134" t="str">
        <f t="shared" si="1"/>
        <v/>
      </c>
      <c r="BF21" s="135" t="str">
        <f t="shared" si="5"/>
        <v/>
      </c>
      <c r="BG21" s="135" t="str">
        <f t="shared" si="5"/>
        <v/>
      </c>
      <c r="BH21" s="136"/>
      <c r="BI21" s="137"/>
      <c r="BJ21" s="136"/>
      <c r="BK21" s="136"/>
      <c r="BL21" s="136"/>
      <c r="BM21" s="137"/>
      <c r="BO21" s="134" t="str">
        <f>IF(COUNTIF(BO$6:BO20,D21)&gt;0,"",D21)&amp;""</f>
        <v/>
      </c>
      <c r="BP21" s="138">
        <f t="shared" si="6"/>
        <v>0</v>
      </c>
      <c r="BQ21" s="132">
        <f t="shared" si="7"/>
        <v>1</v>
      </c>
      <c r="BR21" s="138">
        <f t="shared" si="8"/>
        <v>0</v>
      </c>
      <c r="BS21" s="132">
        <f t="shared" si="9"/>
        <v>1</v>
      </c>
      <c r="BT21" s="133"/>
      <c r="BU21" s="133"/>
    </row>
    <row r="22" ht="15" customHeight="1" spans="1:74">
      <c r="A22" s="123" t="str">
        <f>IF(B22="","",COUNT(A$6:A21)+1)</f>
        <v/>
      </c>
      <c r="B22" s="139"/>
      <c r="C22" s="140"/>
      <c r="D22" s="141"/>
      <c r="E22" s="142"/>
      <c r="F22" s="127" t="str">
        <f>IFERROR(VLOOKUP(E22,参数表!$H$2:$I$50,2,FALSE),"")</f>
        <v/>
      </c>
      <c r="G22" s="128" t="str">
        <f t="shared" si="3"/>
        <v/>
      </c>
      <c r="H22" s="143"/>
      <c r="I22" s="144"/>
      <c r="J22" s="129" t="str">
        <f t="shared" si="4"/>
        <v/>
      </c>
      <c r="K22" s="129" t="str">
        <f t="shared" si="0"/>
        <v/>
      </c>
      <c r="L22" s="145"/>
      <c r="BA22" s="78"/>
      <c r="BB22" s="132" t="s">
        <v>5562</v>
      </c>
      <c r="BC22" s="133"/>
      <c r="BD22" s="132" t="str">
        <f>IF(OR(B22="",BC22=""),"",COUNTIF(BC$7:BC22,"√"))</f>
        <v/>
      </c>
      <c r="BE22" s="134" t="str">
        <f t="shared" si="1"/>
        <v/>
      </c>
      <c r="BF22" s="135" t="str">
        <f t="shared" si="5"/>
        <v/>
      </c>
      <c r="BG22" s="135" t="str">
        <f t="shared" si="5"/>
        <v/>
      </c>
      <c r="BH22" s="136"/>
      <c r="BI22" s="137"/>
      <c r="BJ22" s="136"/>
      <c r="BK22" s="136"/>
      <c r="BL22" s="136"/>
      <c r="BM22" s="137"/>
      <c r="BO22" s="134" t="str">
        <f>IF(COUNTIF(BO$6:BO21,D22)&gt;0,"",D22)&amp;""</f>
        <v/>
      </c>
      <c r="BP22" s="138">
        <f t="shared" si="6"/>
        <v>0</v>
      </c>
      <c r="BQ22" s="132">
        <f t="shared" si="7"/>
        <v>1</v>
      </c>
      <c r="BR22" s="138">
        <f t="shared" si="8"/>
        <v>0</v>
      </c>
      <c r="BS22" s="132">
        <f t="shared" si="9"/>
        <v>1</v>
      </c>
      <c r="BT22" s="133"/>
      <c r="BU22" s="133"/>
    </row>
    <row r="23" ht="15" customHeight="1" spans="1:74">
      <c r="A23" s="123" t="str">
        <f>IF(B23="","",COUNT(A$6:A22)+1)</f>
        <v/>
      </c>
      <c r="B23" s="139"/>
      <c r="C23" s="140"/>
      <c r="D23" s="141"/>
      <c r="E23" s="142"/>
      <c r="F23" s="127" t="str">
        <f>IFERROR(VLOOKUP(E23,参数表!$H$2:$I$50,2,FALSE),"")</f>
        <v/>
      </c>
      <c r="G23" s="128" t="str">
        <f t="shared" si="3"/>
        <v/>
      </c>
      <c r="H23" s="143"/>
      <c r="I23" s="144"/>
      <c r="J23" s="129" t="str">
        <f t="shared" si="4"/>
        <v/>
      </c>
      <c r="K23" s="129" t="str">
        <f t="shared" si="0"/>
        <v/>
      </c>
      <c r="L23" s="145"/>
      <c r="BA23" s="78"/>
      <c r="BB23" s="132" t="s">
        <v>5563</v>
      </c>
      <c r="BC23" s="133"/>
      <c r="BD23" s="132" t="str">
        <f>IF(OR(B23="",BC23=""),"",COUNTIF(BC$7:BC23,"√"))</f>
        <v/>
      </c>
      <c r="BE23" s="134" t="str">
        <f t="shared" si="1"/>
        <v/>
      </c>
      <c r="BF23" s="135" t="str">
        <f t="shared" si="5"/>
        <v/>
      </c>
      <c r="BG23" s="135" t="str">
        <f t="shared" si="5"/>
        <v/>
      </c>
      <c r="BH23" s="136"/>
      <c r="BI23" s="137"/>
      <c r="BJ23" s="136"/>
      <c r="BK23" s="136"/>
      <c r="BL23" s="136"/>
      <c r="BM23" s="137"/>
      <c r="BO23" s="134" t="str">
        <f>IF(COUNTIF(BO$6:BO22,D23)&gt;0,"",D23)&amp;""</f>
        <v/>
      </c>
      <c r="BP23" s="138">
        <f t="shared" si="6"/>
        <v>0</v>
      </c>
      <c r="BQ23" s="132">
        <f t="shared" si="7"/>
        <v>1</v>
      </c>
      <c r="BR23" s="138">
        <f t="shared" si="8"/>
        <v>0</v>
      </c>
      <c r="BS23" s="132">
        <f t="shared" si="9"/>
        <v>1</v>
      </c>
      <c r="BT23" s="133"/>
      <c r="BU23" s="133"/>
    </row>
    <row r="24" ht="15" customHeight="1" spans="1:74">
      <c r="A24" s="123" t="str">
        <f>IF(B24="","",COUNT(A$6:A23)+1)</f>
        <v/>
      </c>
      <c r="B24" s="139"/>
      <c r="C24" s="140"/>
      <c r="D24" s="141"/>
      <c r="E24" s="142"/>
      <c r="F24" s="127" t="str">
        <f>IFERROR(VLOOKUP(E24,参数表!$H$2:$I$50,2,FALSE),"")</f>
        <v/>
      </c>
      <c r="G24" s="128" t="str">
        <f t="shared" si="3"/>
        <v/>
      </c>
      <c r="H24" s="143"/>
      <c r="I24" s="144"/>
      <c r="J24" s="129" t="str">
        <f t="shared" si="4"/>
        <v/>
      </c>
      <c r="K24" s="129" t="str">
        <f t="shared" si="0"/>
        <v/>
      </c>
      <c r="L24" s="145"/>
      <c r="BA24" s="78"/>
      <c r="BB24" s="132" t="s">
        <v>5564</v>
      </c>
      <c r="BC24" s="133"/>
      <c r="BD24" s="132" t="str">
        <f>IF(OR(B24="",BC24=""),"",COUNTIF(BC$7:BC24,"√"))</f>
        <v/>
      </c>
      <c r="BE24" s="134" t="str">
        <f t="shared" si="1"/>
        <v/>
      </c>
      <c r="BF24" s="135" t="str">
        <f t="shared" si="5"/>
        <v/>
      </c>
      <c r="BG24" s="135" t="str">
        <f t="shared" si="5"/>
        <v/>
      </c>
      <c r="BH24" s="136"/>
      <c r="BI24" s="137"/>
      <c r="BJ24" s="136"/>
      <c r="BK24" s="136"/>
      <c r="BL24" s="136"/>
      <c r="BM24" s="137"/>
      <c r="BO24" s="134" t="str">
        <f>IF(COUNTIF(BO$6:BO23,D24)&gt;0,"",D24)&amp;""</f>
        <v/>
      </c>
      <c r="BP24" s="138">
        <f t="shared" si="6"/>
        <v>0</v>
      </c>
      <c r="BQ24" s="132">
        <f t="shared" si="7"/>
        <v>1</v>
      </c>
      <c r="BR24" s="138">
        <f t="shared" si="8"/>
        <v>0</v>
      </c>
      <c r="BS24" s="132">
        <f t="shared" si="9"/>
        <v>1</v>
      </c>
      <c r="BT24" s="133"/>
      <c r="BU24" s="133"/>
    </row>
    <row r="25" ht="15" customHeight="1" spans="1:74">
      <c r="A25" s="123" t="str">
        <f>IF(B25="","",COUNT(A$6:A24)+1)</f>
        <v/>
      </c>
      <c r="B25" s="139"/>
      <c r="C25" s="140"/>
      <c r="D25" s="141"/>
      <c r="E25" s="142"/>
      <c r="F25" s="127" t="str">
        <f>IFERROR(VLOOKUP(E25,参数表!$H$2:$I$50,2,FALSE),"")</f>
        <v/>
      </c>
      <c r="G25" s="128" t="str">
        <f t="shared" si="3"/>
        <v/>
      </c>
      <c r="H25" s="143"/>
      <c r="I25" s="144"/>
      <c r="J25" s="129" t="str">
        <f t="shared" si="4"/>
        <v/>
      </c>
      <c r="K25" s="129" t="str">
        <f t="shared" si="0"/>
        <v/>
      </c>
      <c r="L25" s="145"/>
      <c r="BA25" s="78"/>
      <c r="BB25" s="132" t="s">
        <v>5565</v>
      </c>
      <c r="BC25" s="133"/>
      <c r="BD25" s="132" t="str">
        <f>IF(OR(B25="",BC25=""),"",COUNTIF(BC$7:BC25,"√"))</f>
        <v/>
      </c>
      <c r="BE25" s="134" t="str">
        <f t="shared" si="1"/>
        <v/>
      </c>
      <c r="BF25" s="135" t="str">
        <f t="shared" si="5"/>
        <v/>
      </c>
      <c r="BG25" s="135" t="str">
        <f t="shared" si="5"/>
        <v/>
      </c>
      <c r="BH25" s="136"/>
      <c r="BI25" s="137"/>
      <c r="BJ25" s="136"/>
      <c r="BK25" s="136"/>
      <c r="BL25" s="136"/>
      <c r="BM25" s="137"/>
      <c r="BO25" s="134" t="str">
        <f>IF(COUNTIF(BO$6:BO24,D25)&gt;0,"",D25)&amp;""</f>
        <v/>
      </c>
      <c r="BP25" s="138">
        <f t="shared" si="6"/>
        <v>0</v>
      </c>
      <c r="BQ25" s="132">
        <f t="shared" si="7"/>
        <v>1</v>
      </c>
      <c r="BR25" s="138">
        <f t="shared" si="8"/>
        <v>0</v>
      </c>
      <c r="BS25" s="132">
        <f t="shared" si="9"/>
        <v>1</v>
      </c>
      <c r="BT25" s="133"/>
      <c r="BU25" s="133"/>
    </row>
    <row r="26" ht="15" customHeight="1" spans="1:74">
      <c r="A26" s="123" t="str">
        <f>IF(B26="","",COUNT(A$6:A25)+1)</f>
        <v/>
      </c>
      <c r="B26" s="124"/>
      <c r="C26" s="125"/>
      <c r="D26" s="126"/>
      <c r="E26" s="127"/>
      <c r="F26" s="127" t="str">
        <f>IFERROR(VLOOKUP(E26,参数表!$H$2:$I$50,2,FALSE),"")</f>
        <v/>
      </c>
      <c r="G26" s="128" t="str">
        <f t="shared" si="3"/>
        <v/>
      </c>
      <c r="H26" s="129"/>
      <c r="I26" s="130"/>
      <c r="J26" s="129" t="str">
        <f t="shared" si="4"/>
        <v/>
      </c>
      <c r="K26" s="129" t="str">
        <f t="shared" si="0"/>
        <v/>
      </c>
      <c r="L26" s="131"/>
      <c r="BA26" s="78"/>
      <c r="BB26" s="132" t="s">
        <v>5566</v>
      </c>
      <c r="BC26" s="133"/>
      <c r="BD26" s="132" t="str">
        <f>IF(OR(B26="",BC26=""),"",COUNTIF(BC$7:BC26,"√"))</f>
        <v/>
      </c>
      <c r="BE26" s="134" t="str">
        <f t="shared" si="1"/>
        <v/>
      </c>
      <c r="BF26" s="135" t="str">
        <f t="shared" si="5"/>
        <v/>
      </c>
      <c r="BG26" s="135" t="str">
        <f t="shared" si="5"/>
        <v/>
      </c>
      <c r="BH26" s="136"/>
      <c r="BI26" s="137"/>
      <c r="BJ26" s="136"/>
      <c r="BK26" s="136"/>
      <c r="BL26" s="136"/>
      <c r="BM26" s="137"/>
      <c r="BO26" s="134" t="str">
        <f>IF(COUNTIF(BO$6:BO25,D26)&gt;0,"",D26)&amp;""</f>
        <v/>
      </c>
      <c r="BP26" s="138">
        <f t="shared" si="6"/>
        <v>0</v>
      </c>
      <c r="BQ26" s="132">
        <f t="shared" si="7"/>
        <v>1</v>
      </c>
      <c r="BR26" s="138">
        <f t="shared" si="8"/>
        <v>0</v>
      </c>
      <c r="BS26" s="132">
        <f t="shared" si="9"/>
        <v>1</v>
      </c>
      <c r="BT26" s="133"/>
      <c r="BU26" s="133"/>
    </row>
    <row r="27" s="73" customFormat="1" ht="15" customHeight="1" spans="1:74">
      <c r="A27" s="149" t="s">
        <v>5281</v>
      </c>
      <c r="B27" s="149"/>
      <c r="C27" s="150"/>
      <c r="D27" s="149"/>
      <c r="E27" s="151"/>
      <c r="F27" s="151"/>
      <c r="G27" s="151"/>
      <c r="H27" s="152">
        <f>SUM(H7:H26)</f>
        <v>0</v>
      </c>
      <c r="I27" s="153"/>
      <c r="J27" s="152">
        <f>SUM(J7:J26)</f>
        <v>0</v>
      </c>
      <c r="K27" s="152">
        <f>SUM(K7:K26)</f>
        <v>0</v>
      </c>
      <c r="L27" s="151"/>
      <c r="BF27" s="75"/>
      <c r="BG27" s="75"/>
      <c r="BH27" s="75"/>
      <c r="BI27" s="75"/>
      <c r="BJ27" s="75"/>
      <c r="BK27" s="75"/>
      <c r="BL27" s="75"/>
      <c r="BM27" s="75"/>
      <c r="BN27" s="111"/>
      <c r="BO27" s="119"/>
      <c r="BP27" s="77"/>
      <c r="BQ27" s="77"/>
      <c r="BR27" s="77"/>
      <c r="BS27" s="119"/>
      <c r="BT27" s="119"/>
      <c r="BU27" s="119"/>
      <c r="BV27" s="111"/>
    </row>
    <row r="28" customHeight="1" spans="1:74">
      <c r="A28" s="102" t="str">
        <f>参数表!F$6</f>
        <v>产权持有单位填表人：贾广东</v>
      </c>
      <c r="B28" s="154"/>
      <c r="C28" s="154"/>
      <c r="D28" s="154"/>
      <c r="E28" s="154"/>
      <c r="F28" s="154"/>
      <c r="G28" s="154"/>
      <c r="H28" s="154"/>
      <c r="I28" s="155"/>
      <c r="J28" s="103"/>
      <c r="K28" s="156" t="str">
        <f>"评估人员："&amp;封面!$G$38</f>
        <v>评估人员：</v>
      </c>
      <c r="L28" s="103"/>
    </row>
    <row r="29" customHeight="1" spans="1:74">
      <c r="A29" s="102" t="str">
        <f>参数表!F$7</f>
        <v>填表日期：2025年9月20日</v>
      </c>
      <c r="B29" s="154"/>
      <c r="C29" s="154"/>
      <c r="D29" s="154"/>
      <c r="E29" s="154"/>
      <c r="F29" s="154"/>
      <c r="G29" s="154"/>
      <c r="H29" s="154"/>
      <c r="I29" s="155"/>
      <c r="J29" s="103"/>
      <c r="K29" s="103"/>
      <c r="L29" s="103"/>
    </row>
    <row r="30" hidden="1" customHeight="1" outlineLevel="1" spans="1:74">
      <c r="A30" s="157"/>
      <c r="B30" s="154" t="s">
        <v>1673</v>
      </c>
      <c r="C30" s="158"/>
      <c r="D30" s="158"/>
      <c r="E30" s="158"/>
      <c r="F30" s="158"/>
      <c r="G30" s="158"/>
      <c r="H30" s="159">
        <f>SUMIF($BA7:$BA26,$BA30,H7:H26)</f>
        <v>0</v>
      </c>
      <c r="I30" s="160"/>
      <c r="J30" s="159">
        <f>SUMIF($BA7:$BA26,$BA30,J7:J26)</f>
        <v>0</v>
      </c>
      <c r="K30" s="159">
        <f>SUMIF($BA7:$BA26,$BA30,K7:K26)</f>
        <v>0</v>
      </c>
      <c r="BA30" s="161" t="s">
        <v>1674</v>
      </c>
      <c r="BH30" s="162" t="s">
        <v>1675</v>
      </c>
      <c r="BI30" s="163"/>
      <c r="BJ30" s="162" t="s">
        <v>1675</v>
      </c>
      <c r="BK30" s="162" t="s">
        <v>1675</v>
      </c>
      <c r="BL30" s="162" t="s">
        <v>1675</v>
      </c>
    </row>
    <row r="31" hidden="1" customHeight="1" outlineLevel="1" spans="1:74">
      <c r="A31" s="157"/>
      <c r="B31" s="154" t="s">
        <v>1676</v>
      </c>
      <c r="C31" s="158"/>
      <c r="D31" s="158"/>
      <c r="E31" s="158"/>
      <c r="F31" s="158"/>
      <c r="G31" s="158"/>
      <c r="H31" s="159">
        <f>H27-H30</f>
        <v>0</v>
      </c>
      <c r="I31" s="160"/>
      <c r="J31" s="159">
        <f>J27-J30</f>
        <v>0</v>
      </c>
      <c r="K31" s="159">
        <f>K27-K30</f>
        <v>0</v>
      </c>
      <c r="BA31" s="161" t="s">
        <v>1677</v>
      </c>
      <c r="BH31" s="162" t="s">
        <v>1678</v>
      </c>
      <c r="BI31" s="163"/>
      <c r="BJ31" s="162" t="s">
        <v>1678</v>
      </c>
      <c r="BK31" s="162" t="s">
        <v>1678</v>
      </c>
      <c r="BL31" s="162" t="s">
        <v>1678</v>
      </c>
    </row>
    <row r="32" customHeight="1" collapsed="1" spans="1:74">
      <c r="A32" s="157"/>
      <c r="B32" s="158"/>
      <c r="C32" s="158"/>
      <c r="D32" s="158"/>
      <c r="E32" s="158"/>
      <c r="F32" s="158"/>
      <c r="G32" s="158"/>
      <c r="H32" s="158"/>
      <c r="I32" s="164"/>
    </row>
    <row r="33" customHeight="1" spans="1:9">
      <c r="A33" s="157"/>
      <c r="B33" s="158"/>
      <c r="C33" s="158"/>
      <c r="D33" s="158"/>
      <c r="E33" s="158"/>
      <c r="F33" s="158"/>
      <c r="G33" s="158"/>
      <c r="H33" s="158"/>
      <c r="I33" s="164"/>
    </row>
    <row r="34" customHeight="1" spans="1:9">
      <c r="A34" s="157"/>
      <c r="B34" s="158"/>
      <c r="C34" s="158"/>
      <c r="D34" s="158"/>
      <c r="E34" s="158"/>
      <c r="F34" s="158"/>
      <c r="G34" s="158"/>
      <c r="H34" s="158"/>
      <c r="I34" s="164"/>
    </row>
    <row r="35" customHeight="1" spans="1:9">
      <c r="A35" s="157"/>
      <c r="B35" s="158"/>
      <c r="C35" s="158"/>
      <c r="D35" s="158"/>
      <c r="E35" s="158"/>
      <c r="F35" s="158"/>
      <c r="G35" s="158"/>
      <c r="H35" s="158"/>
      <c r="I35" s="164"/>
    </row>
    <row r="36" customHeight="1" spans="1:9">
      <c r="A36" s="157"/>
      <c r="B36" s="158"/>
      <c r="C36" s="158"/>
      <c r="D36" s="158"/>
      <c r="E36" s="158"/>
      <c r="F36" s="158"/>
      <c r="G36" s="158"/>
      <c r="H36" s="158"/>
      <c r="I36" s="164"/>
    </row>
    <row r="37" customHeight="1" spans="1:9">
      <c r="E37" s="158"/>
      <c r="F37" s="158"/>
      <c r="G37" s="158"/>
    </row>
  </sheetData>
  <sheetProtection autoFilter="0"/>
  <mergeCells count="6">
    <mergeCell ref="A2:L2"/>
    <mergeCell ref="A3:L3"/>
    <mergeCell ref="BT7:BV7"/>
    <mergeCell ref="BT8:BV8"/>
    <mergeCell ref="BU14:BV14"/>
    <mergeCell ref="A27:B27"/>
  </mergeCells>
  <conditionalFormatting sqref="BH7:BH26">
    <cfRule type="expression" dxfId="5" priority="6" stopIfTrue="1">
      <formula>AND($B7&lt;&gt;"",BH7="")</formula>
    </cfRule>
  </conditionalFormatting>
  <conditionalFormatting sqref="BI7:BI26">
    <cfRule type="expression" dxfId="5" priority="9" stopIfTrue="1">
      <formula>AND(BH7="有",BI7="")</formula>
    </cfRule>
  </conditionalFormatting>
  <conditionalFormatting sqref="BF7:BG26">
    <cfRule type="containsText" dxfId="6" priority="1" stopIfTrue="1" operator="between" text="出错">
      <formula>NOT(ISERROR(SEARCH("出错",BF7)))</formula>
    </cfRule>
  </conditionalFormatting>
  <conditionalFormatting sqref="BJ7:BL26">
    <cfRule type="expression" dxfId="5" priority="3" stopIfTrue="1">
      <formula>AND($B7&lt;&gt;"",BJ7="")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L26">
      <formula1>BH$30:BH$31</formula1>
    </dataValidation>
  </dataValidations>
  <hyperlinks>
    <hyperlink ref="A1" location="索引目录!I24" display="返回索引页"/>
    <hyperlink ref="B1" location="'非流动负债汇总 '!B10"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8"/>
  <dimension ref="A1:BZ37"/>
  <sheetViews>
    <sheetView showGridLines="0"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28.1" style="75" customWidth="1"/>
    <col min="3" max="3" width="22.2" style="75" customWidth="1"/>
    <col min="4" max="4" width="14.2" style="75" customWidth="1"/>
    <col min="5" max="6" width="4.6" style="75" customWidth="1" outlineLevel="1"/>
    <col min="7" max="7" width="6.1" style="75" customWidth="1" outlineLevel="1"/>
    <col min="8" max="8" width="16.6" style="75" customWidth="1" outlineLevel="1"/>
    <col min="9" max="9" width="16.6" style="76" customWidth="1" outlineLevel="1"/>
    <col min="10" max="12" width="16.6" style="75" customWidth="1"/>
    <col min="13"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75" customWidth="1"/>
    <col min="61" max="61" width="11.5" style="75" customWidth="1"/>
    <col min="62" max="64" width="4.7" style="75" customWidth="1"/>
    <col min="65" max="66" width="8.7" style="75" customWidth="1"/>
    <col min="67" max="67" width="10.7" style="75" customWidth="1"/>
    <col min="68" max="68" width="4.7" style="75" customWidth="1"/>
    <col min="69" max="69" width="6.7" style="75" customWidth="1"/>
    <col min="70" max="70" width="1.6" style="77" customWidth="1"/>
    <col min="71" max="71" width="10.6" style="78" customWidth="1"/>
    <col min="72" max="72" width="10.6" style="77" customWidth="1"/>
    <col min="73" max="73" width="4.6" style="78" customWidth="1"/>
    <col min="74" max="74" width="10.6" style="78" customWidth="1"/>
    <col min="75" max="76" width="4.6" style="78" customWidth="1"/>
    <col min="77" max="77" width="10.6" style="78" customWidth="1"/>
    <col min="78" max="78" width="5" style="77" customWidth="1"/>
    <col min="79" max="16384" width="9" style="75"/>
  </cols>
  <sheetData>
    <row r="1" s="70" customFormat="1" ht="12.45" customHeight="1" spans="1:78">
      <c r="A1" s="79" t="s">
        <v>1591</v>
      </c>
      <c r="B1" s="80" t="s">
        <v>1592</v>
      </c>
      <c r="C1" s="80"/>
      <c r="D1" s="81"/>
      <c r="E1" s="82"/>
      <c r="F1" s="82"/>
      <c r="G1" s="82"/>
      <c r="H1" s="81"/>
      <c r="I1" s="83"/>
      <c r="J1" s="81"/>
      <c r="K1" s="81"/>
      <c r="L1" s="81"/>
      <c r="BA1" s="84" t="str">
        <f>参数表!BA1</f>
        <v>注意：补充特殊事项、作价等均从BA列开始填写</v>
      </c>
      <c r="BB1" s="85"/>
      <c r="BE1" s="85"/>
      <c r="BF1" s="86"/>
      <c r="BG1" s="86"/>
      <c r="BH1" s="86"/>
      <c r="BI1" s="86"/>
      <c r="BJ1" s="86"/>
      <c r="BK1" s="86"/>
      <c r="BL1" s="86"/>
      <c r="BR1" s="87"/>
      <c r="BS1" s="88"/>
      <c r="BT1" s="87"/>
      <c r="BU1" s="88"/>
      <c r="BV1" s="88"/>
      <c r="BW1" s="88"/>
      <c r="BX1" s="88"/>
      <c r="BY1" s="88"/>
      <c r="BZ1" s="87"/>
    </row>
    <row r="2" s="71" customFormat="1" ht="30" customHeight="1" spans="1:78">
      <c r="A2" s="89" t="s">
        <v>5567</v>
      </c>
      <c r="B2" s="89"/>
      <c r="C2" s="89"/>
      <c r="D2" s="89"/>
      <c r="E2" s="89"/>
      <c r="F2" s="89"/>
      <c r="G2" s="89"/>
      <c r="H2" s="89"/>
      <c r="I2" s="89"/>
      <c r="J2" s="89"/>
      <c r="K2" s="89"/>
      <c r="L2" s="89"/>
      <c r="BA2" s="90" t="str">
        <f>参数表!BA2</f>
        <v>评估基准日：</v>
      </c>
      <c r="BB2" s="91" t="str">
        <f>参数表!BB2</f>
        <v>2025年7月31日</v>
      </c>
      <c r="BE2" s="182"/>
      <c r="BR2" s="92"/>
      <c r="BS2" s="93"/>
      <c r="BT2" s="92"/>
      <c r="BU2" s="93"/>
      <c r="BV2" s="93"/>
      <c r="BW2" s="93"/>
      <c r="BX2" s="93"/>
      <c r="BY2" s="93"/>
      <c r="BZ2" s="92"/>
    </row>
    <row r="3" ht="15" customHeight="1" spans="1:78">
      <c r="A3" s="94" t="str">
        <f>参数表!F5</f>
        <v>评估基准日：2025年7月31日</v>
      </c>
      <c r="B3" s="94"/>
      <c r="C3" s="94"/>
      <c r="D3" s="94"/>
      <c r="E3" s="94"/>
      <c r="F3" s="94"/>
      <c r="G3" s="94"/>
      <c r="H3" s="94"/>
      <c r="I3" s="94"/>
      <c r="J3" s="94"/>
      <c r="K3" s="94"/>
      <c r="L3" s="95"/>
      <c r="BA3" s="90" t="str">
        <f>参数表!BA3</f>
        <v>是否显示评估值：</v>
      </c>
      <c r="BB3" s="90" t="str">
        <f>参数表!BB3</f>
        <v>是</v>
      </c>
      <c r="BE3" s="85"/>
      <c r="BT3" s="78"/>
    </row>
    <row r="4" ht="15" customHeight="1" spans="1:78">
      <c r="A4" s="96"/>
      <c r="B4" s="94"/>
      <c r="C4" s="94"/>
      <c r="D4" s="94"/>
      <c r="E4" s="94"/>
      <c r="F4" s="94"/>
      <c r="G4" s="94"/>
      <c r="H4" s="94"/>
      <c r="I4" s="97"/>
      <c r="J4" s="94"/>
      <c r="K4" s="94"/>
      <c r="L4" s="98" t="str">
        <f>"表"&amp;$BA4</f>
        <v>表6-6</v>
      </c>
      <c r="BA4" s="99" t="str">
        <f>非流动负总!A12</f>
        <v>6-6</v>
      </c>
      <c r="BB4" s="100">
        <f>MAX(COUNTA(A7:A26),COUNTA(B7:B26),COUNTA(H7:H26),COUNTA(J7:J26))</f>
        <v>20</v>
      </c>
      <c r="BC4" s="101">
        <f>ROW(A6)+1</f>
        <v>7</v>
      </c>
      <c r="BD4" s="77"/>
      <c r="BE4" s="77"/>
      <c r="BT4" s="78"/>
    </row>
    <row r="5" ht="15" customHeight="1" spans="1:78">
      <c r="A5" s="102" t="str">
        <f>参数表!F3</f>
        <v>产权持有单位:中煤第五建设有限公司</v>
      </c>
      <c r="B5" s="103"/>
      <c r="C5" s="103"/>
      <c r="D5" s="103"/>
      <c r="E5" s="103"/>
      <c r="F5" s="103"/>
      <c r="G5" s="103"/>
      <c r="H5" s="103"/>
      <c r="I5" s="104"/>
      <c r="J5" s="103"/>
      <c r="K5" s="103"/>
      <c r="L5" s="98" t="s">
        <v>236</v>
      </c>
      <c r="BA5" s="103"/>
      <c r="BB5" s="105" t="str">
        <f ca="1">判断表!C123</f>
        <v>中煤第五建设有限公司第三工程处拟处置实物资产项目\[0000-3基础法明细表.xlsx]递延收益</v>
      </c>
      <c r="BC5" s="106">
        <f>IFERROR(SUMIF(BC7:BC26,"√",J7:J26)/J27,0)</f>
        <v>0</v>
      </c>
      <c r="BD5" s="107"/>
      <c r="BE5" s="107"/>
      <c r="BF5" s="108">
        <f>分类汇总!$I65</f>
        <v>0</v>
      </c>
      <c r="BG5" s="108">
        <f>分类汇总!$K65</f>
        <v>0</v>
      </c>
      <c r="BH5" s="109"/>
      <c r="BI5" s="109"/>
      <c r="BJ5" s="109"/>
      <c r="BK5" s="109"/>
      <c r="BL5" s="109"/>
      <c r="BM5" s="110"/>
      <c r="BN5" s="103"/>
      <c r="BO5" s="103"/>
      <c r="BP5" s="183">
        <f>利润表及费率!O5</f>
        <v>0.25</v>
      </c>
      <c r="BQ5" s="103"/>
      <c r="BR5" s="111"/>
      <c r="BT5" s="78"/>
      <c r="BZ5" s="111"/>
    </row>
    <row r="6" s="72" customFormat="1" ht="25.2" customHeight="1" spans="1:78">
      <c r="A6" s="112" t="s">
        <v>305</v>
      </c>
      <c r="B6" s="113" t="s">
        <v>5568</v>
      </c>
      <c r="C6" s="113" t="s">
        <v>5569</v>
      </c>
      <c r="D6" s="113" t="s">
        <v>1961</v>
      </c>
      <c r="E6" s="114" t="s">
        <v>1631</v>
      </c>
      <c r="F6" s="115" t="s">
        <v>1632</v>
      </c>
      <c r="G6" s="116" t="s">
        <v>3793</v>
      </c>
      <c r="H6" s="113" t="s">
        <v>1549</v>
      </c>
      <c r="I6" s="117" t="s">
        <v>1634</v>
      </c>
      <c r="J6" s="118" t="s">
        <v>1523</v>
      </c>
      <c r="K6" s="113" t="s">
        <v>1550</v>
      </c>
      <c r="L6" s="113" t="s">
        <v>5474</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1644</v>
      </c>
      <c r="BN6" s="184" t="s">
        <v>5570</v>
      </c>
      <c r="BO6" s="184" t="s">
        <v>5571</v>
      </c>
      <c r="BP6" s="184" t="s">
        <v>5572</v>
      </c>
      <c r="BQ6" s="185" t="s">
        <v>1524</v>
      </c>
      <c r="BR6" s="119"/>
      <c r="BS6" s="120" t="s">
        <v>1645</v>
      </c>
      <c r="BT6" s="121" t="s">
        <v>1646</v>
      </c>
      <c r="BU6" s="121" t="s">
        <v>1647</v>
      </c>
      <c r="BV6" s="121" t="s">
        <v>1648</v>
      </c>
      <c r="BW6" s="121" t="s">
        <v>1647</v>
      </c>
      <c r="BX6" s="121" t="s">
        <v>1647</v>
      </c>
      <c r="BY6" s="121" t="s">
        <v>1649</v>
      </c>
      <c r="BZ6" s="122" t="s">
        <v>1650</v>
      </c>
    </row>
    <row r="7" ht="15" customHeight="1" spans="1:78">
      <c r="A7" s="123" t="str">
        <f>IF(B7="","",COUNT(A$6:A6)+1)</f>
        <v/>
      </c>
      <c r="B7" s="124"/>
      <c r="C7" s="124"/>
      <c r="D7" s="125"/>
      <c r="E7" s="127"/>
      <c r="F7" s="127" t="str">
        <f>IFERROR(VLOOKUP(E7,参数表!$H$2:$I$50,2,FALSE),"")</f>
        <v/>
      </c>
      <c r="G7" s="128" t="str">
        <f>IFERROR(IF(OR(E7="人民币",E7=""),"",J7/F7),"")</f>
        <v/>
      </c>
      <c r="H7" s="129"/>
      <c r="I7" s="130"/>
      <c r="J7" s="129" t="str">
        <f>IF(B7="","",H7+I7)</f>
        <v/>
      </c>
      <c r="K7" s="129" t="str">
        <f t="shared" ref="K7:K26" si="0">IF(B7="","",IF($BB$3="是",BQ7,""))</f>
        <v/>
      </c>
      <c r="L7" s="131"/>
      <c r="BA7" s="78"/>
      <c r="BB7" s="132" t="s">
        <v>5573</v>
      </c>
      <c r="BC7" s="133"/>
      <c r="BD7" s="132" t="str">
        <f>IF(OR(B7="",BC7=""),"",COUNTIF(BC$7:BC7,"√"))</f>
        <v/>
      </c>
      <c r="BE7" s="134" t="str">
        <f t="shared" ref="BE7:BE26" si="1">IF(BC7="","",BB7&amp;"︱"&amp;B7&amp;"︱"&amp;TEXT(H7,"#,##0.00"))</f>
        <v/>
      </c>
      <c r="BF7" s="135" t="str">
        <f>IF($B7="","",IF(BF$5=0,"OK","出错"))</f>
        <v/>
      </c>
      <c r="BG7" s="135" t="str">
        <f>IF($B7="","",IF(BG$5=0,"OK","出错"))</f>
        <v/>
      </c>
      <c r="BH7" s="136"/>
      <c r="BI7" s="137"/>
      <c r="BJ7" s="136"/>
      <c r="BK7" s="136"/>
      <c r="BL7" s="136"/>
      <c r="BM7" s="137"/>
      <c r="BN7" s="165" t="s">
        <v>1674</v>
      </c>
      <c r="BO7" s="165" t="s">
        <v>1674</v>
      </c>
      <c r="BP7" s="186">
        <f t="shared" ref="BP7:BP26" si="2">BP$5</f>
        <v>0.25</v>
      </c>
      <c r="BQ7" s="156">
        <f>IFERROR(IF(BN7="是",IF(BO7="是",J7*BP7,0),K7),0)</f>
        <v>0</v>
      </c>
      <c r="BS7" s="134" t="str">
        <f>IF(COUNTIF(BS$6:BS6,C7)&gt;0,"",C7)&amp;""</f>
        <v/>
      </c>
      <c r="BT7" s="138">
        <f>SUMIF(C$7:C$26,BS7,J$7:J$26)</f>
        <v>0</v>
      </c>
      <c r="BU7" s="132">
        <f t="shared" ref="BU7" si="3">RANK(BT7,BT$7:BT$26)</f>
        <v>1</v>
      </c>
      <c r="BV7" s="138">
        <f>SUMIF(C$7:C$26,BS7,K$7:K$26)</f>
        <v>0</v>
      </c>
      <c r="BW7" s="132">
        <f>RANK(BV7,BV$7:BV$26)</f>
        <v>1</v>
      </c>
      <c r="BX7" s="138">
        <f>SUM(BT7:BT26)</f>
        <v>0</v>
      </c>
      <c r="BY7" s="138"/>
      <c r="BZ7" s="138"/>
    </row>
    <row r="8" ht="15" customHeight="1" spans="1:78">
      <c r="A8" s="123" t="str">
        <f>IF(B8="","",COUNT(A$6:A7)+1)</f>
        <v/>
      </c>
      <c r="B8" s="139"/>
      <c r="C8" s="139"/>
      <c r="D8" s="140"/>
      <c r="E8" s="142"/>
      <c r="F8" s="127" t="str">
        <f>IFERROR(VLOOKUP(E8,参数表!$H$2:$I$50,2,FALSE),"")</f>
        <v/>
      </c>
      <c r="G8" s="128" t="str">
        <f t="shared" ref="G8:G26" si="4">IFERROR(IF(OR(E8="人民币",E8=""),"",J8/F8),"")</f>
        <v/>
      </c>
      <c r="H8" s="143"/>
      <c r="I8" s="144"/>
      <c r="J8" s="129" t="str">
        <f t="shared" ref="J8:J26" si="5">IF(B8="","",H8+I8)</f>
        <v/>
      </c>
      <c r="K8" s="129" t="str">
        <f t="shared" si="0"/>
        <v/>
      </c>
      <c r="L8" s="145"/>
      <c r="BA8" s="78"/>
      <c r="BB8" s="132" t="s">
        <v>5574</v>
      </c>
      <c r="BC8" s="133"/>
      <c r="BD8" s="132" t="str">
        <f>IF(OR(B8="",BC8=""),"",COUNTIF(BC$7:BC8,"√"))</f>
        <v/>
      </c>
      <c r="BE8" s="134" t="str">
        <f t="shared" si="1"/>
        <v/>
      </c>
      <c r="BF8" s="135" t="str">
        <f t="shared" ref="BF8:BG26" si="6">IF($B8="","",IF(BF$5=0,"OK","出错"))</f>
        <v/>
      </c>
      <c r="BG8" s="135" t="str">
        <f t="shared" si="6"/>
        <v/>
      </c>
      <c r="BH8" s="136"/>
      <c r="BI8" s="137"/>
      <c r="BJ8" s="136"/>
      <c r="BK8" s="136"/>
      <c r="BL8" s="136"/>
      <c r="BM8" s="137"/>
      <c r="BN8" s="165" t="s">
        <v>1674</v>
      </c>
      <c r="BO8" s="165" t="s">
        <v>1674</v>
      </c>
      <c r="BP8" s="186">
        <f t="shared" si="2"/>
        <v>0.25</v>
      </c>
      <c r="BQ8" s="156">
        <f t="shared" ref="BQ8:BQ26" si="7">IFERROR(IF(BN8="是",IF(BO8="是",J8*BP8,0),K8),0)</f>
        <v>0</v>
      </c>
      <c r="BS8" s="134" t="str">
        <f>IF(COUNTIF(BS$6:BS7,C8)&gt;0,"",C8)&amp;""</f>
        <v/>
      </c>
      <c r="BT8" s="138">
        <f t="shared" ref="BT8:BT26" si="8">SUMIF(C$7:C$26,BS8,J$7:J$26)</f>
        <v>0</v>
      </c>
      <c r="BU8" s="132">
        <f t="shared" ref="BU8:BU26" si="9">RANK(BT8,BT$7:BT$26)</f>
        <v>1</v>
      </c>
      <c r="BV8" s="138">
        <f t="shared" ref="BV8:BV26" si="10">SUMIF(C$7:C$26,BS8,K$7:K$26)</f>
        <v>0</v>
      </c>
      <c r="BW8" s="132">
        <f t="shared" ref="BW8:BW26" si="11">RANK(BV8,BV$7:BV$26)</f>
        <v>1</v>
      </c>
      <c r="BX8" s="138">
        <f>SUM(BV7:BV26)</f>
        <v>0</v>
      </c>
      <c r="BY8" s="138"/>
      <c r="BZ8" s="138"/>
    </row>
    <row r="9" ht="15" customHeight="1" spans="1:78">
      <c r="A9" s="123" t="str">
        <f>IF(B9="","",COUNT(A$6:A8)+1)</f>
        <v/>
      </c>
      <c r="B9" s="139"/>
      <c r="C9" s="139"/>
      <c r="D9" s="140"/>
      <c r="E9" s="142"/>
      <c r="F9" s="127" t="str">
        <f>IFERROR(VLOOKUP(E9,参数表!$H$2:$I$50,2,FALSE),"")</f>
        <v/>
      </c>
      <c r="G9" s="128" t="str">
        <f t="shared" si="4"/>
        <v/>
      </c>
      <c r="H9" s="143"/>
      <c r="I9" s="144"/>
      <c r="J9" s="129" t="str">
        <f t="shared" si="5"/>
        <v/>
      </c>
      <c r="K9" s="129" t="str">
        <f t="shared" si="0"/>
        <v/>
      </c>
      <c r="L9" s="145"/>
      <c r="BA9" s="78"/>
      <c r="BB9" s="132" t="s">
        <v>5575</v>
      </c>
      <c r="BC9" s="133"/>
      <c r="BD9" s="132" t="str">
        <f>IF(OR(B9="",BC9=""),"",COUNTIF(BC$7:BC9,"√"))</f>
        <v/>
      </c>
      <c r="BE9" s="134" t="str">
        <f t="shared" si="1"/>
        <v/>
      </c>
      <c r="BF9" s="135" t="str">
        <f t="shared" si="6"/>
        <v/>
      </c>
      <c r="BG9" s="135" t="str">
        <f t="shared" si="6"/>
        <v/>
      </c>
      <c r="BH9" s="136"/>
      <c r="BI9" s="137"/>
      <c r="BJ9" s="136"/>
      <c r="BK9" s="136"/>
      <c r="BL9" s="136"/>
      <c r="BM9" s="137"/>
      <c r="BN9" s="165" t="s">
        <v>1674</v>
      </c>
      <c r="BO9" s="165" t="s">
        <v>1674</v>
      </c>
      <c r="BP9" s="186">
        <f t="shared" si="2"/>
        <v>0.25</v>
      </c>
      <c r="BQ9" s="156">
        <f t="shared" si="7"/>
        <v>0</v>
      </c>
      <c r="BS9" s="134" t="str">
        <f>IF(COUNTIF(BS$6:BS8,C9)&gt;0,"",C9)&amp;""</f>
        <v/>
      </c>
      <c r="BT9" s="138">
        <f t="shared" si="8"/>
        <v>0</v>
      </c>
      <c r="BU9" s="132">
        <f t="shared" si="9"/>
        <v>1</v>
      </c>
      <c r="BV9" s="138">
        <f t="shared" si="10"/>
        <v>0</v>
      </c>
      <c r="BW9" s="132">
        <f t="shared" si="11"/>
        <v>1</v>
      </c>
      <c r="BX9" s="132">
        <v>1</v>
      </c>
      <c r="BY9" s="134" t="str">
        <f>IFERROR(INDEX(BS$7:BS$26,MATCH(BX9,IF(BX$7=0,BW$7:BW$26,BU$7:BU$26),0))&amp;"","")</f>
        <v/>
      </c>
      <c r="BZ9" s="146" t="str">
        <f>IF(BY10="","",IF(BY11="","和","、"))</f>
        <v/>
      </c>
    </row>
    <row r="10" ht="15" customHeight="1" spans="1:78">
      <c r="A10" s="123" t="str">
        <f>IF(B10="","",COUNT(A$6:A9)+1)</f>
        <v/>
      </c>
      <c r="B10" s="139"/>
      <c r="C10" s="139"/>
      <c r="D10" s="140"/>
      <c r="E10" s="142"/>
      <c r="F10" s="127" t="str">
        <f>IFERROR(VLOOKUP(E10,参数表!$H$2:$I$50,2,FALSE),"")</f>
        <v/>
      </c>
      <c r="G10" s="128" t="str">
        <f t="shared" si="4"/>
        <v/>
      </c>
      <c r="H10" s="143"/>
      <c r="I10" s="144"/>
      <c r="J10" s="129" t="str">
        <f t="shared" si="5"/>
        <v/>
      </c>
      <c r="K10" s="129" t="str">
        <f t="shared" si="0"/>
        <v/>
      </c>
      <c r="L10" s="145"/>
      <c r="BA10" s="78"/>
      <c r="BB10" s="132" t="s">
        <v>5576</v>
      </c>
      <c r="BC10" s="133"/>
      <c r="BD10" s="132" t="str">
        <f>IF(OR(B10="",BC10=""),"",COUNTIF(BC$7:BC10,"√"))</f>
        <v/>
      </c>
      <c r="BE10" s="134" t="str">
        <f t="shared" si="1"/>
        <v/>
      </c>
      <c r="BF10" s="135" t="str">
        <f t="shared" si="6"/>
        <v/>
      </c>
      <c r="BG10" s="135" t="str">
        <f t="shared" si="6"/>
        <v/>
      </c>
      <c r="BH10" s="136"/>
      <c r="BI10" s="137"/>
      <c r="BJ10" s="136"/>
      <c r="BK10" s="136"/>
      <c r="BL10" s="136"/>
      <c r="BM10" s="137"/>
      <c r="BN10" s="165" t="s">
        <v>1674</v>
      </c>
      <c r="BO10" s="165" t="s">
        <v>1674</v>
      </c>
      <c r="BP10" s="186">
        <f t="shared" si="2"/>
        <v>0.25</v>
      </c>
      <c r="BQ10" s="156">
        <f t="shared" si="7"/>
        <v>0</v>
      </c>
      <c r="BS10" s="134" t="str">
        <f>IF(COUNTIF(BS$6:BS9,C10)&gt;0,"",C10)&amp;""</f>
        <v/>
      </c>
      <c r="BT10" s="138">
        <f t="shared" si="8"/>
        <v>0</v>
      </c>
      <c r="BU10" s="132">
        <f t="shared" si="9"/>
        <v>1</v>
      </c>
      <c r="BV10" s="138">
        <f t="shared" si="10"/>
        <v>0</v>
      </c>
      <c r="BW10" s="132">
        <f t="shared" si="11"/>
        <v>1</v>
      </c>
      <c r="BX10" s="132">
        <v>2</v>
      </c>
      <c r="BY10" s="134" t="str">
        <f t="shared" ref="BY10:BY13" si="12">IFERROR(INDEX(BS$7:BS$26,MATCH(BX10,IF(BX$7=0,BW$7:BW$26,BU$7:BU$26),0))&amp;"","")</f>
        <v/>
      </c>
      <c r="BZ10" s="146" t="str">
        <f t="shared" ref="BZ10:BZ11" si="13">IF(BY11="","",IF(BY12="","和","、"))</f>
        <v/>
      </c>
    </row>
    <row r="11" ht="15" customHeight="1" spans="1:78">
      <c r="A11" s="123" t="str">
        <f>IF(B11="","",COUNT(A$6:A10)+1)</f>
        <v/>
      </c>
      <c r="B11" s="139"/>
      <c r="C11" s="139"/>
      <c r="D11" s="140"/>
      <c r="E11" s="142"/>
      <c r="F11" s="127" t="str">
        <f>IFERROR(VLOOKUP(E11,参数表!$H$2:$I$50,2,FALSE),"")</f>
        <v/>
      </c>
      <c r="G11" s="128" t="str">
        <f t="shared" si="4"/>
        <v/>
      </c>
      <c r="H11" s="143"/>
      <c r="I11" s="144"/>
      <c r="J11" s="129" t="str">
        <f t="shared" si="5"/>
        <v/>
      </c>
      <c r="K11" s="129" t="str">
        <f t="shared" si="0"/>
        <v/>
      </c>
      <c r="L11" s="145"/>
      <c r="BA11" s="78"/>
      <c r="BB11" s="132" t="s">
        <v>5577</v>
      </c>
      <c r="BC11" s="133"/>
      <c r="BD11" s="132" t="str">
        <f>IF(OR(B11="",BC11=""),"",COUNTIF(BC$7:BC11,"√"))</f>
        <v/>
      </c>
      <c r="BE11" s="134" t="str">
        <f t="shared" si="1"/>
        <v/>
      </c>
      <c r="BF11" s="135" t="str">
        <f t="shared" si="6"/>
        <v/>
      </c>
      <c r="BG11" s="135" t="str">
        <f t="shared" si="6"/>
        <v/>
      </c>
      <c r="BH11" s="136"/>
      <c r="BI11" s="137"/>
      <c r="BJ11" s="136"/>
      <c r="BK11" s="136"/>
      <c r="BL11" s="136"/>
      <c r="BM11" s="137"/>
      <c r="BN11" s="165" t="s">
        <v>1674</v>
      </c>
      <c r="BO11" s="165" t="s">
        <v>1674</v>
      </c>
      <c r="BP11" s="186">
        <f t="shared" si="2"/>
        <v>0.25</v>
      </c>
      <c r="BQ11" s="156">
        <f t="shared" si="7"/>
        <v>0</v>
      </c>
      <c r="BS11" s="134" t="str">
        <f>IF(COUNTIF(BS$6:BS10,C11)&gt;0,"",C11)&amp;""</f>
        <v/>
      </c>
      <c r="BT11" s="138">
        <f t="shared" si="8"/>
        <v>0</v>
      </c>
      <c r="BU11" s="132">
        <f t="shared" si="9"/>
        <v>1</v>
      </c>
      <c r="BV11" s="138">
        <f t="shared" si="10"/>
        <v>0</v>
      </c>
      <c r="BW11" s="132">
        <f t="shared" si="11"/>
        <v>1</v>
      </c>
      <c r="BX11" s="132">
        <v>3</v>
      </c>
      <c r="BY11" s="134" t="str">
        <f t="shared" si="12"/>
        <v/>
      </c>
      <c r="BZ11" s="146" t="str">
        <f t="shared" si="13"/>
        <v/>
      </c>
    </row>
    <row r="12" ht="15" customHeight="1" spans="1:78">
      <c r="A12" s="123" t="str">
        <f>IF(B12="","",COUNT(A$6:A11)+1)</f>
        <v/>
      </c>
      <c r="B12" s="139"/>
      <c r="C12" s="139"/>
      <c r="D12" s="140"/>
      <c r="E12" s="142"/>
      <c r="F12" s="127" t="str">
        <f>IFERROR(VLOOKUP(E12,参数表!$H$2:$I$50,2,FALSE),"")</f>
        <v/>
      </c>
      <c r="G12" s="128" t="str">
        <f t="shared" si="4"/>
        <v/>
      </c>
      <c r="H12" s="143"/>
      <c r="I12" s="144"/>
      <c r="J12" s="129" t="str">
        <f t="shared" si="5"/>
        <v/>
      </c>
      <c r="K12" s="129" t="str">
        <f t="shared" si="0"/>
        <v/>
      </c>
      <c r="L12" s="145"/>
      <c r="BA12" s="78"/>
      <c r="BB12" s="132" t="s">
        <v>5578</v>
      </c>
      <c r="BC12" s="133"/>
      <c r="BD12" s="132" t="str">
        <f>IF(OR(B12="",BC12=""),"",COUNTIF(BC$7:BC12,"√"))</f>
        <v/>
      </c>
      <c r="BE12" s="134" t="str">
        <f t="shared" si="1"/>
        <v/>
      </c>
      <c r="BF12" s="135" t="str">
        <f t="shared" si="6"/>
        <v/>
      </c>
      <c r="BG12" s="135" t="str">
        <f t="shared" si="6"/>
        <v/>
      </c>
      <c r="BH12" s="136"/>
      <c r="BI12" s="137"/>
      <c r="BJ12" s="136"/>
      <c r="BK12" s="136"/>
      <c r="BL12" s="136"/>
      <c r="BM12" s="137"/>
      <c r="BN12" s="165" t="s">
        <v>1674</v>
      </c>
      <c r="BO12" s="165" t="s">
        <v>1674</v>
      </c>
      <c r="BP12" s="186">
        <f t="shared" si="2"/>
        <v>0.25</v>
      </c>
      <c r="BQ12" s="156">
        <f t="shared" si="7"/>
        <v>0</v>
      </c>
      <c r="BS12" s="134" t="str">
        <f>IF(COUNTIF(BS$6:BS11,C12)&gt;0,"",C12)&amp;""</f>
        <v/>
      </c>
      <c r="BT12" s="138">
        <f t="shared" si="8"/>
        <v>0</v>
      </c>
      <c r="BU12" s="132">
        <f t="shared" si="9"/>
        <v>1</v>
      </c>
      <c r="BV12" s="138">
        <f t="shared" si="10"/>
        <v>0</v>
      </c>
      <c r="BW12" s="132">
        <f t="shared" si="11"/>
        <v>1</v>
      </c>
      <c r="BX12" s="132">
        <v>4</v>
      </c>
      <c r="BY12" s="134" t="str">
        <f t="shared" si="12"/>
        <v/>
      </c>
      <c r="BZ12" s="146" t="str">
        <f>IF(BY13="","","和")</f>
        <v/>
      </c>
    </row>
    <row r="13" ht="15" customHeight="1" spans="1:78">
      <c r="A13" s="123" t="str">
        <f>IF(B13="","",COUNT(A$6:A12)+1)</f>
        <v/>
      </c>
      <c r="B13" s="139"/>
      <c r="C13" s="139"/>
      <c r="D13" s="140"/>
      <c r="E13" s="142"/>
      <c r="F13" s="127" t="str">
        <f>IFERROR(VLOOKUP(E13,参数表!$H$2:$I$50,2,FALSE),"")</f>
        <v/>
      </c>
      <c r="G13" s="128" t="str">
        <f t="shared" si="4"/>
        <v/>
      </c>
      <c r="H13" s="143"/>
      <c r="I13" s="144"/>
      <c r="J13" s="129" t="str">
        <f t="shared" si="5"/>
        <v/>
      </c>
      <c r="K13" s="129" t="str">
        <f t="shared" si="0"/>
        <v/>
      </c>
      <c r="L13" s="145"/>
      <c r="BA13" s="78"/>
      <c r="BB13" s="132" t="s">
        <v>5579</v>
      </c>
      <c r="BC13" s="133"/>
      <c r="BD13" s="132" t="str">
        <f>IF(OR(B13="",BC13=""),"",COUNTIF(BC$7:BC13,"√"))</f>
        <v/>
      </c>
      <c r="BE13" s="134" t="str">
        <f t="shared" si="1"/>
        <v/>
      </c>
      <c r="BF13" s="135" t="str">
        <f t="shared" si="6"/>
        <v/>
      </c>
      <c r="BG13" s="135" t="str">
        <f t="shared" si="6"/>
        <v/>
      </c>
      <c r="BH13" s="136"/>
      <c r="BI13" s="137"/>
      <c r="BJ13" s="136"/>
      <c r="BK13" s="136"/>
      <c r="BL13" s="136"/>
      <c r="BM13" s="137"/>
      <c r="BN13" s="165" t="s">
        <v>1674</v>
      </c>
      <c r="BO13" s="165" t="s">
        <v>1674</v>
      </c>
      <c r="BP13" s="186">
        <f t="shared" si="2"/>
        <v>0.25</v>
      </c>
      <c r="BQ13" s="156">
        <f t="shared" si="7"/>
        <v>0</v>
      </c>
      <c r="BS13" s="134" t="str">
        <f>IF(COUNTIF(BS$6:BS12,C13)&gt;0,"",C13)&amp;""</f>
        <v/>
      </c>
      <c r="BT13" s="138">
        <f t="shared" si="8"/>
        <v>0</v>
      </c>
      <c r="BU13" s="132">
        <f t="shared" si="9"/>
        <v>1</v>
      </c>
      <c r="BV13" s="138">
        <f t="shared" si="10"/>
        <v>0</v>
      </c>
      <c r="BW13" s="132">
        <f t="shared" si="11"/>
        <v>1</v>
      </c>
      <c r="BX13" s="132">
        <v>5</v>
      </c>
      <c r="BY13" s="134" t="str">
        <f t="shared" si="12"/>
        <v/>
      </c>
      <c r="BZ13" s="146"/>
    </row>
    <row r="14" ht="15" customHeight="1" spans="1:78">
      <c r="A14" s="123" t="str">
        <f>IF(B14="","",COUNT(A$6:A13)+1)</f>
        <v/>
      </c>
      <c r="B14" s="139"/>
      <c r="C14" s="139"/>
      <c r="D14" s="140"/>
      <c r="E14" s="142"/>
      <c r="F14" s="127" t="str">
        <f>IFERROR(VLOOKUP(E14,参数表!$H$2:$I$50,2,FALSE),"")</f>
        <v/>
      </c>
      <c r="G14" s="128" t="str">
        <f t="shared" si="4"/>
        <v/>
      </c>
      <c r="H14" s="143"/>
      <c r="I14" s="144"/>
      <c r="J14" s="129" t="str">
        <f t="shared" si="5"/>
        <v/>
      </c>
      <c r="K14" s="129" t="str">
        <f t="shared" si="0"/>
        <v/>
      </c>
      <c r="L14" s="145"/>
      <c r="BA14" s="78"/>
      <c r="BB14" s="132" t="s">
        <v>5580</v>
      </c>
      <c r="BC14" s="133"/>
      <c r="BD14" s="132" t="str">
        <f>IF(OR(B14="",BC14=""),"",COUNTIF(BC$7:BC14,"√"))</f>
        <v/>
      </c>
      <c r="BE14" s="134" t="str">
        <f t="shared" si="1"/>
        <v/>
      </c>
      <c r="BF14" s="135" t="str">
        <f t="shared" si="6"/>
        <v/>
      </c>
      <c r="BG14" s="135" t="str">
        <f t="shared" si="6"/>
        <v/>
      </c>
      <c r="BH14" s="136"/>
      <c r="BI14" s="137"/>
      <c r="BJ14" s="136"/>
      <c r="BK14" s="136"/>
      <c r="BL14" s="136"/>
      <c r="BM14" s="137"/>
      <c r="BN14" s="165" t="s">
        <v>1674</v>
      </c>
      <c r="BO14" s="165" t="s">
        <v>1674</v>
      </c>
      <c r="BP14" s="186">
        <f t="shared" si="2"/>
        <v>0.25</v>
      </c>
      <c r="BQ14" s="156">
        <f t="shared" si="7"/>
        <v>0</v>
      </c>
      <c r="BS14" s="134" t="str">
        <f>IF(COUNTIF(BS$6:BS13,C14)&gt;0,"",C14)&amp;""</f>
        <v/>
      </c>
      <c r="BT14" s="138">
        <f t="shared" si="8"/>
        <v>0</v>
      </c>
      <c r="BU14" s="132">
        <f t="shared" si="9"/>
        <v>1</v>
      </c>
      <c r="BV14" s="138">
        <f t="shared" si="10"/>
        <v>0</v>
      </c>
      <c r="BW14" s="132">
        <f t="shared" si="11"/>
        <v>1</v>
      </c>
      <c r="BX14" s="147" t="s">
        <v>1659</v>
      </c>
      <c r="BY14" s="132" t="str">
        <f>CONCATENATE(BY9,BZ9,BY10,BZ10,BY11,BZ11,BY12,BZ12,BY13)</f>
        <v/>
      </c>
      <c r="BZ14" s="132"/>
    </row>
    <row r="15" ht="15" customHeight="1" spans="1:78">
      <c r="A15" s="123" t="str">
        <f>IF(B15="","",COUNT(A$6:A14)+1)</f>
        <v/>
      </c>
      <c r="B15" s="139"/>
      <c r="C15" s="139"/>
      <c r="D15" s="140"/>
      <c r="E15" s="142"/>
      <c r="F15" s="127" t="str">
        <f>IFERROR(VLOOKUP(E15,参数表!$H$2:$I$50,2,FALSE),"")</f>
        <v/>
      </c>
      <c r="G15" s="128" t="str">
        <f t="shared" si="4"/>
        <v/>
      </c>
      <c r="H15" s="143"/>
      <c r="I15" s="144"/>
      <c r="J15" s="129" t="str">
        <f t="shared" si="5"/>
        <v/>
      </c>
      <c r="K15" s="129" t="str">
        <f t="shared" si="0"/>
        <v/>
      </c>
      <c r="L15" s="145"/>
      <c r="BA15" s="78"/>
      <c r="BB15" s="132" t="s">
        <v>5581</v>
      </c>
      <c r="BC15" s="133"/>
      <c r="BD15" s="132" t="str">
        <f>IF(OR(B15="",BC15=""),"",COUNTIF(BC$7:BC15,"√"))</f>
        <v/>
      </c>
      <c r="BE15" s="134" t="str">
        <f t="shared" si="1"/>
        <v/>
      </c>
      <c r="BF15" s="135" t="str">
        <f t="shared" si="6"/>
        <v/>
      </c>
      <c r="BG15" s="135" t="str">
        <f t="shared" si="6"/>
        <v/>
      </c>
      <c r="BH15" s="136"/>
      <c r="BI15" s="137"/>
      <c r="BJ15" s="136"/>
      <c r="BK15" s="136"/>
      <c r="BL15" s="136"/>
      <c r="BM15" s="137"/>
      <c r="BN15" s="165" t="s">
        <v>1674</v>
      </c>
      <c r="BO15" s="165" t="s">
        <v>1674</v>
      </c>
      <c r="BP15" s="186">
        <f t="shared" si="2"/>
        <v>0.25</v>
      </c>
      <c r="BQ15" s="156">
        <f t="shared" si="7"/>
        <v>0</v>
      </c>
      <c r="BS15" s="134" t="str">
        <f>IF(COUNTIF(BS$6:BS14,C15)&gt;0,"",C15)&amp;""</f>
        <v/>
      </c>
      <c r="BT15" s="138">
        <f t="shared" si="8"/>
        <v>0</v>
      </c>
      <c r="BU15" s="132">
        <f t="shared" si="9"/>
        <v>1</v>
      </c>
      <c r="BV15" s="138">
        <f t="shared" si="10"/>
        <v>0</v>
      </c>
      <c r="BW15" s="132">
        <f t="shared" si="11"/>
        <v>1</v>
      </c>
      <c r="BX15" s="133"/>
      <c r="BY15" s="133"/>
    </row>
    <row r="16" ht="15" customHeight="1" spans="1:78">
      <c r="A16" s="123" t="str">
        <f>IF(B16="","",COUNT(A$6:A15)+1)</f>
        <v/>
      </c>
      <c r="B16" s="139"/>
      <c r="C16" s="139"/>
      <c r="D16" s="140"/>
      <c r="E16" s="142"/>
      <c r="F16" s="127" t="str">
        <f>IFERROR(VLOOKUP(E16,参数表!$H$2:$I$50,2,FALSE),"")</f>
        <v/>
      </c>
      <c r="G16" s="128" t="str">
        <f t="shared" si="4"/>
        <v/>
      </c>
      <c r="H16" s="143"/>
      <c r="I16" s="144"/>
      <c r="J16" s="129" t="str">
        <f t="shared" si="5"/>
        <v/>
      </c>
      <c r="K16" s="129" t="str">
        <f t="shared" si="0"/>
        <v/>
      </c>
      <c r="L16" s="145"/>
      <c r="BA16" s="78"/>
      <c r="BB16" s="132" t="s">
        <v>5582</v>
      </c>
      <c r="BC16" s="133"/>
      <c r="BD16" s="132" t="str">
        <f>IF(OR(B16="",BC16=""),"",COUNTIF(BC$7:BC16,"√"))</f>
        <v/>
      </c>
      <c r="BE16" s="134" t="str">
        <f t="shared" si="1"/>
        <v/>
      </c>
      <c r="BF16" s="135" t="str">
        <f t="shared" si="6"/>
        <v/>
      </c>
      <c r="BG16" s="135" t="str">
        <f t="shared" si="6"/>
        <v/>
      </c>
      <c r="BH16" s="136"/>
      <c r="BI16" s="137"/>
      <c r="BJ16" s="136"/>
      <c r="BK16" s="136"/>
      <c r="BL16" s="136"/>
      <c r="BM16" s="137"/>
      <c r="BN16" s="165" t="s">
        <v>1674</v>
      </c>
      <c r="BO16" s="165" t="s">
        <v>1674</v>
      </c>
      <c r="BP16" s="186">
        <f t="shared" si="2"/>
        <v>0.25</v>
      </c>
      <c r="BQ16" s="156">
        <f t="shared" si="7"/>
        <v>0</v>
      </c>
      <c r="BS16" s="134" t="str">
        <f>IF(COUNTIF(BS$6:BS15,C16)&gt;0,"",C16)&amp;""</f>
        <v/>
      </c>
      <c r="BT16" s="138">
        <f t="shared" si="8"/>
        <v>0</v>
      </c>
      <c r="BU16" s="132">
        <f t="shared" si="9"/>
        <v>1</v>
      </c>
      <c r="BV16" s="138">
        <f t="shared" si="10"/>
        <v>0</v>
      </c>
      <c r="BW16" s="132">
        <f t="shared" si="11"/>
        <v>1</v>
      </c>
      <c r="BX16" s="133"/>
      <c r="BY16" s="148"/>
    </row>
    <row r="17" ht="15" customHeight="1" spans="1:78">
      <c r="A17" s="123" t="str">
        <f>IF(B17="","",COUNT(A$6:A16)+1)</f>
        <v/>
      </c>
      <c r="B17" s="139"/>
      <c r="C17" s="139"/>
      <c r="D17" s="140"/>
      <c r="E17" s="142"/>
      <c r="F17" s="127" t="str">
        <f>IFERROR(VLOOKUP(E17,参数表!$H$2:$I$50,2,FALSE),"")</f>
        <v/>
      </c>
      <c r="G17" s="128" t="str">
        <f t="shared" si="4"/>
        <v/>
      </c>
      <c r="H17" s="143"/>
      <c r="I17" s="144"/>
      <c r="J17" s="129" t="str">
        <f t="shared" si="5"/>
        <v/>
      </c>
      <c r="K17" s="129" t="str">
        <f t="shared" si="0"/>
        <v/>
      </c>
      <c r="L17" s="145"/>
      <c r="BA17" s="78"/>
      <c r="BB17" s="132" t="s">
        <v>5583</v>
      </c>
      <c r="BC17" s="133"/>
      <c r="BD17" s="132" t="str">
        <f>IF(OR(B17="",BC17=""),"",COUNTIF(BC$7:BC17,"√"))</f>
        <v/>
      </c>
      <c r="BE17" s="134" t="str">
        <f t="shared" si="1"/>
        <v/>
      </c>
      <c r="BF17" s="135" t="str">
        <f t="shared" si="6"/>
        <v/>
      </c>
      <c r="BG17" s="135" t="str">
        <f t="shared" si="6"/>
        <v/>
      </c>
      <c r="BH17" s="136"/>
      <c r="BI17" s="137"/>
      <c r="BJ17" s="136"/>
      <c r="BK17" s="136"/>
      <c r="BL17" s="136"/>
      <c r="BM17" s="137"/>
      <c r="BN17" s="165" t="s">
        <v>1674</v>
      </c>
      <c r="BO17" s="165" t="s">
        <v>1674</v>
      </c>
      <c r="BP17" s="186">
        <f t="shared" si="2"/>
        <v>0.25</v>
      </c>
      <c r="BQ17" s="156">
        <f t="shared" si="7"/>
        <v>0</v>
      </c>
      <c r="BS17" s="134" t="str">
        <f>IF(COUNTIF(BS$6:BS16,C17)&gt;0,"",C17)&amp;""</f>
        <v/>
      </c>
      <c r="BT17" s="138">
        <f t="shared" si="8"/>
        <v>0</v>
      </c>
      <c r="BU17" s="132">
        <f t="shared" si="9"/>
        <v>1</v>
      </c>
      <c r="BV17" s="138">
        <f t="shared" si="10"/>
        <v>0</v>
      </c>
      <c r="BW17" s="132">
        <f t="shared" si="11"/>
        <v>1</v>
      </c>
      <c r="BX17" s="133"/>
      <c r="BY17" s="133"/>
    </row>
    <row r="18" ht="15" customHeight="1" spans="1:78">
      <c r="A18" s="123" t="str">
        <f>IF(B18="","",COUNT(A$6:A17)+1)</f>
        <v/>
      </c>
      <c r="B18" s="139"/>
      <c r="C18" s="139"/>
      <c r="D18" s="140"/>
      <c r="E18" s="142"/>
      <c r="F18" s="127" t="str">
        <f>IFERROR(VLOOKUP(E18,参数表!$H$2:$I$50,2,FALSE),"")</f>
        <v/>
      </c>
      <c r="G18" s="128" t="str">
        <f t="shared" si="4"/>
        <v/>
      </c>
      <c r="H18" s="143"/>
      <c r="I18" s="144"/>
      <c r="J18" s="129" t="str">
        <f t="shared" si="5"/>
        <v/>
      </c>
      <c r="K18" s="129" t="str">
        <f t="shared" si="0"/>
        <v/>
      </c>
      <c r="L18" s="145"/>
      <c r="BA18" s="78"/>
      <c r="BB18" s="132" t="s">
        <v>5584</v>
      </c>
      <c r="BC18" s="133"/>
      <c r="BD18" s="132" t="str">
        <f>IF(OR(B18="",BC18=""),"",COUNTIF(BC$7:BC18,"√"))</f>
        <v/>
      </c>
      <c r="BE18" s="134" t="str">
        <f t="shared" si="1"/>
        <v/>
      </c>
      <c r="BF18" s="135" t="str">
        <f t="shared" si="6"/>
        <v/>
      </c>
      <c r="BG18" s="135" t="str">
        <f t="shared" si="6"/>
        <v/>
      </c>
      <c r="BH18" s="136"/>
      <c r="BI18" s="137"/>
      <c r="BJ18" s="136"/>
      <c r="BK18" s="136"/>
      <c r="BL18" s="136"/>
      <c r="BM18" s="137"/>
      <c r="BN18" s="165" t="s">
        <v>1674</v>
      </c>
      <c r="BO18" s="165" t="s">
        <v>1674</v>
      </c>
      <c r="BP18" s="186">
        <f t="shared" si="2"/>
        <v>0.25</v>
      </c>
      <c r="BQ18" s="156">
        <f t="shared" si="7"/>
        <v>0</v>
      </c>
      <c r="BS18" s="134" t="str">
        <f>IF(COUNTIF(BS$6:BS17,C18)&gt;0,"",C18)&amp;""</f>
        <v/>
      </c>
      <c r="BT18" s="138">
        <f t="shared" si="8"/>
        <v>0</v>
      </c>
      <c r="BU18" s="132">
        <f t="shared" si="9"/>
        <v>1</v>
      </c>
      <c r="BV18" s="138">
        <f t="shared" si="10"/>
        <v>0</v>
      </c>
      <c r="BW18" s="132">
        <f t="shared" si="11"/>
        <v>1</v>
      </c>
      <c r="BX18" s="133"/>
      <c r="BY18" s="133"/>
    </row>
    <row r="19" ht="15" customHeight="1" spans="1:78">
      <c r="A19" s="123" t="str">
        <f>IF(B19="","",COUNT(A$6:A18)+1)</f>
        <v/>
      </c>
      <c r="B19" s="139"/>
      <c r="C19" s="139"/>
      <c r="D19" s="140"/>
      <c r="E19" s="142"/>
      <c r="F19" s="127" t="str">
        <f>IFERROR(VLOOKUP(E19,参数表!$H$2:$I$50,2,FALSE),"")</f>
        <v/>
      </c>
      <c r="G19" s="128" t="str">
        <f t="shared" si="4"/>
        <v/>
      </c>
      <c r="H19" s="143"/>
      <c r="I19" s="144"/>
      <c r="J19" s="129" t="str">
        <f t="shared" si="5"/>
        <v/>
      </c>
      <c r="K19" s="129" t="str">
        <f t="shared" si="0"/>
        <v/>
      </c>
      <c r="L19" s="145"/>
      <c r="BA19" s="78"/>
      <c r="BB19" s="132" t="s">
        <v>5585</v>
      </c>
      <c r="BC19" s="133"/>
      <c r="BD19" s="132" t="str">
        <f>IF(OR(B19="",BC19=""),"",COUNTIF(BC$7:BC19,"√"))</f>
        <v/>
      </c>
      <c r="BE19" s="134" t="str">
        <f t="shared" si="1"/>
        <v/>
      </c>
      <c r="BF19" s="135" t="str">
        <f t="shared" si="6"/>
        <v/>
      </c>
      <c r="BG19" s="135" t="str">
        <f t="shared" si="6"/>
        <v/>
      </c>
      <c r="BH19" s="136"/>
      <c r="BI19" s="137"/>
      <c r="BJ19" s="136"/>
      <c r="BK19" s="136"/>
      <c r="BL19" s="136"/>
      <c r="BM19" s="137"/>
      <c r="BN19" s="165" t="s">
        <v>1674</v>
      </c>
      <c r="BO19" s="165" t="s">
        <v>1674</v>
      </c>
      <c r="BP19" s="186">
        <f t="shared" si="2"/>
        <v>0.25</v>
      </c>
      <c r="BQ19" s="156">
        <f t="shared" si="7"/>
        <v>0</v>
      </c>
      <c r="BS19" s="134" t="str">
        <f>IF(COUNTIF(BS$6:BS18,C19)&gt;0,"",C19)&amp;""</f>
        <v/>
      </c>
      <c r="BT19" s="138">
        <f t="shared" si="8"/>
        <v>0</v>
      </c>
      <c r="BU19" s="132">
        <f t="shared" si="9"/>
        <v>1</v>
      </c>
      <c r="BV19" s="138">
        <f t="shared" si="10"/>
        <v>0</v>
      </c>
      <c r="BW19" s="132">
        <f t="shared" si="11"/>
        <v>1</v>
      </c>
      <c r="BX19" s="133"/>
      <c r="BY19" s="133"/>
    </row>
    <row r="20" ht="15" customHeight="1" spans="1:78">
      <c r="A20" s="123" t="str">
        <f>IF(B20="","",COUNT(A$6:A19)+1)</f>
        <v/>
      </c>
      <c r="B20" s="139"/>
      <c r="C20" s="139"/>
      <c r="D20" s="140"/>
      <c r="E20" s="142"/>
      <c r="F20" s="127" t="str">
        <f>IFERROR(VLOOKUP(E20,参数表!$H$2:$I$50,2,FALSE),"")</f>
        <v/>
      </c>
      <c r="G20" s="128" t="str">
        <f t="shared" si="4"/>
        <v/>
      </c>
      <c r="H20" s="143"/>
      <c r="I20" s="144"/>
      <c r="J20" s="129" t="str">
        <f t="shared" si="5"/>
        <v/>
      </c>
      <c r="K20" s="129" t="str">
        <f t="shared" si="0"/>
        <v/>
      </c>
      <c r="L20" s="145"/>
      <c r="BA20" s="78"/>
      <c r="BB20" s="132" t="s">
        <v>5586</v>
      </c>
      <c r="BC20" s="133"/>
      <c r="BD20" s="132" t="str">
        <f>IF(OR(B20="",BC20=""),"",COUNTIF(BC$7:BC20,"√"))</f>
        <v/>
      </c>
      <c r="BE20" s="134" t="str">
        <f t="shared" si="1"/>
        <v/>
      </c>
      <c r="BF20" s="135" t="str">
        <f t="shared" si="6"/>
        <v/>
      </c>
      <c r="BG20" s="135" t="str">
        <f t="shared" si="6"/>
        <v/>
      </c>
      <c r="BH20" s="136"/>
      <c r="BI20" s="137"/>
      <c r="BJ20" s="136"/>
      <c r="BK20" s="136"/>
      <c r="BL20" s="136"/>
      <c r="BM20" s="137"/>
      <c r="BN20" s="165" t="s">
        <v>1674</v>
      </c>
      <c r="BO20" s="165" t="s">
        <v>1674</v>
      </c>
      <c r="BP20" s="186">
        <f t="shared" si="2"/>
        <v>0.25</v>
      </c>
      <c r="BQ20" s="156">
        <f t="shared" si="7"/>
        <v>0</v>
      </c>
      <c r="BS20" s="134" t="str">
        <f>IF(COUNTIF(BS$6:BS19,C20)&gt;0,"",C20)&amp;""</f>
        <v/>
      </c>
      <c r="BT20" s="138">
        <f t="shared" si="8"/>
        <v>0</v>
      </c>
      <c r="BU20" s="132">
        <f t="shared" si="9"/>
        <v>1</v>
      </c>
      <c r="BV20" s="138">
        <f t="shared" si="10"/>
        <v>0</v>
      </c>
      <c r="BW20" s="132">
        <f t="shared" si="11"/>
        <v>1</v>
      </c>
      <c r="BX20" s="133"/>
      <c r="BY20" s="133"/>
    </row>
    <row r="21" ht="15" customHeight="1" spans="1:78">
      <c r="A21" s="123" t="str">
        <f>IF(B21="","",COUNT(A$6:A20)+1)</f>
        <v/>
      </c>
      <c r="B21" s="139"/>
      <c r="C21" s="139"/>
      <c r="D21" s="140"/>
      <c r="E21" s="142"/>
      <c r="F21" s="127" t="str">
        <f>IFERROR(VLOOKUP(E21,参数表!$H$2:$I$50,2,FALSE),"")</f>
        <v/>
      </c>
      <c r="G21" s="128" t="str">
        <f t="shared" si="4"/>
        <v/>
      </c>
      <c r="H21" s="143"/>
      <c r="I21" s="144"/>
      <c r="J21" s="129" t="str">
        <f t="shared" si="5"/>
        <v/>
      </c>
      <c r="K21" s="129" t="str">
        <f t="shared" si="0"/>
        <v/>
      </c>
      <c r="L21" s="145"/>
      <c r="BA21" s="78"/>
      <c r="BB21" s="132" t="s">
        <v>5587</v>
      </c>
      <c r="BC21" s="133"/>
      <c r="BD21" s="132" t="str">
        <f>IF(OR(B21="",BC21=""),"",COUNTIF(BC$7:BC21,"√"))</f>
        <v/>
      </c>
      <c r="BE21" s="134" t="str">
        <f t="shared" si="1"/>
        <v/>
      </c>
      <c r="BF21" s="135" t="str">
        <f t="shared" si="6"/>
        <v/>
      </c>
      <c r="BG21" s="135" t="str">
        <f t="shared" si="6"/>
        <v/>
      </c>
      <c r="BH21" s="136"/>
      <c r="BI21" s="137"/>
      <c r="BJ21" s="136"/>
      <c r="BK21" s="136"/>
      <c r="BL21" s="136"/>
      <c r="BM21" s="137"/>
      <c r="BN21" s="165" t="s">
        <v>1674</v>
      </c>
      <c r="BO21" s="165" t="s">
        <v>1674</v>
      </c>
      <c r="BP21" s="186">
        <f t="shared" si="2"/>
        <v>0.25</v>
      </c>
      <c r="BQ21" s="156">
        <f t="shared" si="7"/>
        <v>0</v>
      </c>
      <c r="BS21" s="134" t="str">
        <f>IF(COUNTIF(BS$6:BS20,C21)&gt;0,"",C21)&amp;""</f>
        <v/>
      </c>
      <c r="BT21" s="138">
        <f t="shared" si="8"/>
        <v>0</v>
      </c>
      <c r="BU21" s="132">
        <f t="shared" si="9"/>
        <v>1</v>
      </c>
      <c r="BV21" s="138">
        <f t="shared" si="10"/>
        <v>0</v>
      </c>
      <c r="BW21" s="132">
        <f t="shared" si="11"/>
        <v>1</v>
      </c>
      <c r="BX21" s="133"/>
      <c r="BY21" s="133"/>
    </row>
    <row r="22" ht="15" customHeight="1" spans="1:78">
      <c r="A22" s="123" t="str">
        <f>IF(B22="","",COUNT(A$6:A21)+1)</f>
        <v/>
      </c>
      <c r="B22" s="139"/>
      <c r="C22" s="139"/>
      <c r="D22" s="140"/>
      <c r="E22" s="142"/>
      <c r="F22" s="127" t="str">
        <f>IFERROR(VLOOKUP(E22,参数表!$H$2:$I$50,2,FALSE),"")</f>
        <v/>
      </c>
      <c r="G22" s="128" t="str">
        <f t="shared" si="4"/>
        <v/>
      </c>
      <c r="H22" s="143"/>
      <c r="I22" s="144"/>
      <c r="J22" s="129" t="str">
        <f t="shared" si="5"/>
        <v/>
      </c>
      <c r="K22" s="129" t="str">
        <f t="shared" si="0"/>
        <v/>
      </c>
      <c r="L22" s="145"/>
      <c r="BA22" s="78"/>
      <c r="BB22" s="132" t="s">
        <v>5588</v>
      </c>
      <c r="BC22" s="133"/>
      <c r="BD22" s="132" t="str">
        <f>IF(OR(B22="",BC22=""),"",COUNTIF(BC$7:BC22,"√"))</f>
        <v/>
      </c>
      <c r="BE22" s="134" t="str">
        <f t="shared" si="1"/>
        <v/>
      </c>
      <c r="BF22" s="135" t="str">
        <f t="shared" si="6"/>
        <v/>
      </c>
      <c r="BG22" s="135" t="str">
        <f t="shared" si="6"/>
        <v/>
      </c>
      <c r="BH22" s="136"/>
      <c r="BI22" s="137"/>
      <c r="BJ22" s="136"/>
      <c r="BK22" s="136"/>
      <c r="BL22" s="136"/>
      <c r="BM22" s="137"/>
      <c r="BN22" s="165" t="s">
        <v>1674</v>
      </c>
      <c r="BO22" s="165" t="s">
        <v>1674</v>
      </c>
      <c r="BP22" s="186">
        <f t="shared" si="2"/>
        <v>0.25</v>
      </c>
      <c r="BQ22" s="156">
        <f t="shared" si="7"/>
        <v>0</v>
      </c>
      <c r="BS22" s="134" t="str">
        <f>IF(COUNTIF(BS$6:BS21,C22)&gt;0,"",C22)&amp;""</f>
        <v/>
      </c>
      <c r="BT22" s="138">
        <f t="shared" si="8"/>
        <v>0</v>
      </c>
      <c r="BU22" s="132">
        <f t="shared" si="9"/>
        <v>1</v>
      </c>
      <c r="BV22" s="138">
        <f t="shared" si="10"/>
        <v>0</v>
      </c>
      <c r="BW22" s="132">
        <f t="shared" si="11"/>
        <v>1</v>
      </c>
      <c r="BX22" s="133"/>
      <c r="BY22" s="133"/>
    </row>
    <row r="23" ht="15" customHeight="1" spans="1:78">
      <c r="A23" s="123" t="str">
        <f>IF(B23="","",COUNT(A$6:A22)+1)</f>
        <v/>
      </c>
      <c r="B23" s="139"/>
      <c r="C23" s="139"/>
      <c r="D23" s="140"/>
      <c r="E23" s="142"/>
      <c r="F23" s="127" t="str">
        <f>IFERROR(VLOOKUP(E23,参数表!$H$2:$I$50,2,FALSE),"")</f>
        <v/>
      </c>
      <c r="G23" s="128" t="str">
        <f t="shared" si="4"/>
        <v/>
      </c>
      <c r="H23" s="143"/>
      <c r="I23" s="144"/>
      <c r="J23" s="129" t="str">
        <f t="shared" si="5"/>
        <v/>
      </c>
      <c r="K23" s="129" t="str">
        <f t="shared" si="0"/>
        <v/>
      </c>
      <c r="L23" s="145"/>
      <c r="BA23" s="78"/>
      <c r="BB23" s="132" t="s">
        <v>5589</v>
      </c>
      <c r="BC23" s="133"/>
      <c r="BD23" s="132" t="str">
        <f>IF(OR(B23="",BC23=""),"",COUNTIF(BC$7:BC23,"√"))</f>
        <v/>
      </c>
      <c r="BE23" s="134" t="str">
        <f t="shared" si="1"/>
        <v/>
      </c>
      <c r="BF23" s="135" t="str">
        <f t="shared" si="6"/>
        <v/>
      </c>
      <c r="BG23" s="135" t="str">
        <f t="shared" si="6"/>
        <v/>
      </c>
      <c r="BH23" s="136"/>
      <c r="BI23" s="137"/>
      <c r="BJ23" s="136"/>
      <c r="BK23" s="136"/>
      <c r="BL23" s="136"/>
      <c r="BM23" s="137"/>
      <c r="BN23" s="165" t="s">
        <v>1674</v>
      </c>
      <c r="BO23" s="165" t="s">
        <v>1674</v>
      </c>
      <c r="BP23" s="186">
        <f t="shared" si="2"/>
        <v>0.25</v>
      </c>
      <c r="BQ23" s="156">
        <f t="shared" si="7"/>
        <v>0</v>
      </c>
      <c r="BS23" s="134" t="str">
        <f>IF(COUNTIF(BS$6:BS22,C23)&gt;0,"",C23)&amp;""</f>
        <v/>
      </c>
      <c r="BT23" s="138">
        <f t="shared" si="8"/>
        <v>0</v>
      </c>
      <c r="BU23" s="132">
        <f t="shared" si="9"/>
        <v>1</v>
      </c>
      <c r="BV23" s="138">
        <f t="shared" si="10"/>
        <v>0</v>
      </c>
      <c r="BW23" s="132">
        <f t="shared" si="11"/>
        <v>1</v>
      </c>
      <c r="BX23" s="133"/>
      <c r="BY23" s="133"/>
    </row>
    <row r="24" ht="15" customHeight="1" spans="1:78">
      <c r="A24" s="123" t="str">
        <f>IF(B24="","",COUNT(A$6:A23)+1)</f>
        <v/>
      </c>
      <c r="B24" s="139"/>
      <c r="C24" s="139"/>
      <c r="D24" s="140"/>
      <c r="E24" s="142"/>
      <c r="F24" s="127" t="str">
        <f>IFERROR(VLOOKUP(E24,参数表!$H$2:$I$50,2,FALSE),"")</f>
        <v/>
      </c>
      <c r="G24" s="128" t="str">
        <f t="shared" si="4"/>
        <v/>
      </c>
      <c r="H24" s="143"/>
      <c r="I24" s="144"/>
      <c r="J24" s="129" t="str">
        <f t="shared" si="5"/>
        <v/>
      </c>
      <c r="K24" s="129" t="str">
        <f t="shared" si="0"/>
        <v/>
      </c>
      <c r="L24" s="145"/>
      <c r="BA24" s="78"/>
      <c r="BB24" s="132" t="s">
        <v>5590</v>
      </c>
      <c r="BC24" s="133"/>
      <c r="BD24" s="132" t="str">
        <f>IF(OR(B24="",BC24=""),"",COUNTIF(BC$7:BC24,"√"))</f>
        <v/>
      </c>
      <c r="BE24" s="134" t="str">
        <f t="shared" si="1"/>
        <v/>
      </c>
      <c r="BF24" s="135" t="str">
        <f t="shared" si="6"/>
        <v/>
      </c>
      <c r="BG24" s="135" t="str">
        <f t="shared" si="6"/>
        <v/>
      </c>
      <c r="BH24" s="136"/>
      <c r="BI24" s="137"/>
      <c r="BJ24" s="136"/>
      <c r="BK24" s="136"/>
      <c r="BL24" s="136"/>
      <c r="BM24" s="137"/>
      <c r="BN24" s="165" t="s">
        <v>1674</v>
      </c>
      <c r="BO24" s="165" t="s">
        <v>1674</v>
      </c>
      <c r="BP24" s="186">
        <f t="shared" si="2"/>
        <v>0.25</v>
      </c>
      <c r="BQ24" s="156">
        <f t="shared" si="7"/>
        <v>0</v>
      </c>
      <c r="BS24" s="134" t="str">
        <f>IF(COUNTIF(BS$6:BS23,C24)&gt;0,"",C24)&amp;""</f>
        <v/>
      </c>
      <c r="BT24" s="138">
        <f t="shared" si="8"/>
        <v>0</v>
      </c>
      <c r="BU24" s="132">
        <f t="shared" si="9"/>
        <v>1</v>
      </c>
      <c r="BV24" s="138">
        <f t="shared" si="10"/>
        <v>0</v>
      </c>
      <c r="BW24" s="132">
        <f t="shared" si="11"/>
        <v>1</v>
      </c>
      <c r="BX24" s="133"/>
      <c r="BY24" s="133"/>
    </row>
    <row r="25" ht="15" customHeight="1" spans="1:78">
      <c r="A25" s="123" t="str">
        <f>IF(B25="","",COUNT(A$6:A24)+1)</f>
        <v/>
      </c>
      <c r="B25" s="139"/>
      <c r="C25" s="139"/>
      <c r="D25" s="140"/>
      <c r="E25" s="142"/>
      <c r="F25" s="127" t="str">
        <f>IFERROR(VLOOKUP(E25,参数表!$H$2:$I$50,2,FALSE),"")</f>
        <v/>
      </c>
      <c r="G25" s="128" t="str">
        <f t="shared" si="4"/>
        <v/>
      </c>
      <c r="H25" s="143"/>
      <c r="I25" s="144"/>
      <c r="J25" s="129" t="str">
        <f t="shared" si="5"/>
        <v/>
      </c>
      <c r="K25" s="129" t="str">
        <f t="shared" si="0"/>
        <v/>
      </c>
      <c r="L25" s="145"/>
      <c r="BA25" s="78"/>
      <c r="BB25" s="132" t="s">
        <v>5591</v>
      </c>
      <c r="BC25" s="133"/>
      <c r="BD25" s="132" t="str">
        <f>IF(OR(B25="",BC25=""),"",COUNTIF(BC$7:BC25,"√"))</f>
        <v/>
      </c>
      <c r="BE25" s="134" t="str">
        <f t="shared" si="1"/>
        <v/>
      </c>
      <c r="BF25" s="135" t="str">
        <f t="shared" si="6"/>
        <v/>
      </c>
      <c r="BG25" s="135" t="str">
        <f t="shared" si="6"/>
        <v/>
      </c>
      <c r="BH25" s="136"/>
      <c r="BI25" s="137"/>
      <c r="BJ25" s="136"/>
      <c r="BK25" s="136"/>
      <c r="BL25" s="136"/>
      <c r="BM25" s="137"/>
      <c r="BN25" s="165" t="s">
        <v>1674</v>
      </c>
      <c r="BO25" s="165" t="s">
        <v>1674</v>
      </c>
      <c r="BP25" s="186">
        <f t="shared" si="2"/>
        <v>0.25</v>
      </c>
      <c r="BQ25" s="156">
        <f t="shared" si="7"/>
        <v>0</v>
      </c>
      <c r="BS25" s="134" t="str">
        <f>IF(COUNTIF(BS$6:BS24,C25)&gt;0,"",C25)&amp;""</f>
        <v/>
      </c>
      <c r="BT25" s="138">
        <f t="shared" si="8"/>
        <v>0</v>
      </c>
      <c r="BU25" s="132">
        <f t="shared" si="9"/>
        <v>1</v>
      </c>
      <c r="BV25" s="138">
        <f t="shared" si="10"/>
        <v>0</v>
      </c>
      <c r="BW25" s="132">
        <f t="shared" si="11"/>
        <v>1</v>
      </c>
      <c r="BX25" s="133"/>
      <c r="BY25" s="133"/>
    </row>
    <row r="26" ht="15" customHeight="1" spans="1:78">
      <c r="A26" s="123" t="str">
        <f>IF(B26="","",COUNT(A$6:A25)+1)</f>
        <v/>
      </c>
      <c r="B26" s="124"/>
      <c r="C26" s="124"/>
      <c r="D26" s="125"/>
      <c r="E26" s="127"/>
      <c r="F26" s="127" t="str">
        <f>IFERROR(VLOOKUP(E26,参数表!$H$2:$I$50,2,FALSE),"")</f>
        <v/>
      </c>
      <c r="G26" s="128" t="str">
        <f t="shared" si="4"/>
        <v/>
      </c>
      <c r="H26" s="129"/>
      <c r="I26" s="130"/>
      <c r="J26" s="129" t="str">
        <f t="shared" si="5"/>
        <v/>
      </c>
      <c r="K26" s="129" t="str">
        <f t="shared" si="0"/>
        <v/>
      </c>
      <c r="L26" s="131"/>
      <c r="BA26" s="78"/>
      <c r="BB26" s="132" t="s">
        <v>5592</v>
      </c>
      <c r="BC26" s="133"/>
      <c r="BD26" s="132" t="str">
        <f>IF(OR(B26="",BC26=""),"",COUNTIF(BC$7:BC26,"√"))</f>
        <v/>
      </c>
      <c r="BE26" s="134" t="str">
        <f t="shared" si="1"/>
        <v/>
      </c>
      <c r="BF26" s="135" t="str">
        <f t="shared" si="6"/>
        <v/>
      </c>
      <c r="BG26" s="135" t="str">
        <f t="shared" si="6"/>
        <v/>
      </c>
      <c r="BH26" s="136"/>
      <c r="BI26" s="137"/>
      <c r="BJ26" s="136"/>
      <c r="BK26" s="136"/>
      <c r="BL26" s="136"/>
      <c r="BM26" s="137"/>
      <c r="BN26" s="165" t="s">
        <v>1674</v>
      </c>
      <c r="BO26" s="165" t="s">
        <v>1674</v>
      </c>
      <c r="BP26" s="186">
        <f t="shared" si="2"/>
        <v>0.25</v>
      </c>
      <c r="BQ26" s="156">
        <f t="shared" si="7"/>
        <v>0</v>
      </c>
      <c r="BS26" s="134" t="str">
        <f>IF(COUNTIF(BS$6:BS25,C26)&gt;0,"",C26)&amp;""</f>
        <v/>
      </c>
      <c r="BT26" s="138">
        <f t="shared" si="8"/>
        <v>0</v>
      </c>
      <c r="BU26" s="132">
        <f t="shared" si="9"/>
        <v>1</v>
      </c>
      <c r="BV26" s="138">
        <f t="shared" si="10"/>
        <v>0</v>
      </c>
      <c r="BW26" s="132">
        <f t="shared" si="11"/>
        <v>1</v>
      </c>
      <c r="BX26" s="133"/>
      <c r="BY26" s="133"/>
    </row>
    <row r="27" s="73" customFormat="1" ht="15" customHeight="1" spans="1:78">
      <c r="A27" s="149" t="s">
        <v>5281</v>
      </c>
      <c r="B27" s="149"/>
      <c r="C27" s="149"/>
      <c r="D27" s="150"/>
      <c r="E27" s="151"/>
      <c r="F27" s="151"/>
      <c r="G27" s="151"/>
      <c r="H27" s="152">
        <f>SUM(H7:H26)</f>
        <v>0</v>
      </c>
      <c r="I27" s="153"/>
      <c r="J27" s="152">
        <f>SUM(J7:J26)</f>
        <v>0</v>
      </c>
      <c r="K27" s="152">
        <f>SUM(K7:K26)</f>
        <v>0</v>
      </c>
      <c r="L27" s="151"/>
      <c r="BF27" s="75"/>
      <c r="BG27" s="75"/>
      <c r="BH27" s="75"/>
      <c r="BI27" s="75"/>
      <c r="BJ27" s="75"/>
      <c r="BK27" s="75"/>
      <c r="BL27" s="75"/>
      <c r="BM27" s="75"/>
      <c r="BR27" s="111"/>
      <c r="BS27" s="119"/>
      <c r="BT27" s="77"/>
      <c r="BU27" s="77"/>
      <c r="BV27" s="77"/>
      <c r="BW27" s="119"/>
      <c r="BX27" s="119"/>
      <c r="BY27" s="119"/>
      <c r="BZ27" s="111"/>
    </row>
    <row r="28" customHeight="1" spans="1:78">
      <c r="A28" s="102" t="str">
        <f>参数表!F$6</f>
        <v>产权持有单位填表人：贾广东</v>
      </c>
      <c r="B28" s="154"/>
      <c r="C28" s="154"/>
      <c r="D28" s="154"/>
      <c r="E28" s="154"/>
      <c r="F28" s="154"/>
      <c r="G28" s="154"/>
      <c r="H28" s="154"/>
      <c r="I28" s="155"/>
      <c r="J28" s="103"/>
      <c r="K28" s="156" t="str">
        <f>"评估人员："&amp;封面!$G$38</f>
        <v>评估人员：</v>
      </c>
      <c r="L28" s="103"/>
    </row>
    <row r="29" customHeight="1" spans="1:78">
      <c r="A29" s="102" t="str">
        <f>参数表!F$7</f>
        <v>填表日期：2025年9月20日</v>
      </c>
      <c r="B29" s="154"/>
      <c r="C29" s="154"/>
      <c r="D29" s="154"/>
      <c r="E29" s="154"/>
      <c r="F29" s="154"/>
      <c r="G29" s="154"/>
      <c r="H29" s="154"/>
      <c r="I29" s="155"/>
      <c r="J29" s="103"/>
      <c r="K29" s="103"/>
      <c r="L29" s="103"/>
    </row>
    <row r="30" hidden="1" customHeight="1" outlineLevel="1" spans="1:78">
      <c r="A30" s="157"/>
      <c r="B30" s="154" t="s">
        <v>1673</v>
      </c>
      <c r="C30" s="158"/>
      <c r="D30" s="158"/>
      <c r="E30" s="158"/>
      <c r="F30" s="158"/>
      <c r="G30" s="158"/>
      <c r="H30" s="159">
        <f>SUMIF($BA7:$BA26,$BA30,H7:H26)</f>
        <v>0</v>
      </c>
      <c r="I30" s="160"/>
      <c r="J30" s="159">
        <f>SUMIF($BA7:$BA26,$BA30,J7:J26)</f>
        <v>0</v>
      </c>
      <c r="K30" s="159">
        <f>SUMIF($BA7:$BA26,$BA30,K7:K26)</f>
        <v>0</v>
      </c>
      <c r="BA30" s="161" t="s">
        <v>1674</v>
      </c>
      <c r="BH30" s="162" t="s">
        <v>1675</v>
      </c>
      <c r="BI30" s="163"/>
      <c r="BJ30" s="162" t="s">
        <v>1675</v>
      </c>
      <c r="BK30" s="162" t="s">
        <v>1675</v>
      </c>
      <c r="BL30" s="162" t="s">
        <v>1675</v>
      </c>
    </row>
    <row r="31" hidden="1" customHeight="1" outlineLevel="1" spans="1:78">
      <c r="A31" s="157"/>
      <c r="B31" s="154" t="s">
        <v>1676</v>
      </c>
      <c r="C31" s="158"/>
      <c r="D31" s="158"/>
      <c r="E31" s="158"/>
      <c r="F31" s="158"/>
      <c r="G31" s="158"/>
      <c r="H31" s="159">
        <f>H27-H30</f>
        <v>0</v>
      </c>
      <c r="I31" s="160"/>
      <c r="J31" s="159">
        <f>J27-J30</f>
        <v>0</v>
      </c>
      <c r="K31" s="159">
        <f>K27-K30</f>
        <v>0</v>
      </c>
      <c r="BA31" s="161" t="s">
        <v>1677</v>
      </c>
      <c r="BH31" s="162" t="s">
        <v>1678</v>
      </c>
      <c r="BI31" s="163"/>
      <c r="BJ31" s="162" t="s">
        <v>1678</v>
      </c>
      <c r="BK31" s="162" t="s">
        <v>1678</v>
      </c>
      <c r="BL31" s="162" t="s">
        <v>1678</v>
      </c>
    </row>
    <row r="32" customHeight="1" collapsed="1" spans="1:78">
      <c r="A32" s="157"/>
      <c r="B32" s="158"/>
      <c r="C32" s="158"/>
      <c r="D32" s="158"/>
      <c r="E32" s="158"/>
      <c r="F32" s="158"/>
      <c r="G32" s="158"/>
      <c r="H32" s="158"/>
      <c r="I32" s="164"/>
    </row>
    <row r="33" customHeight="1" spans="1:9">
      <c r="A33" s="157"/>
      <c r="B33" s="158"/>
      <c r="C33" s="158"/>
      <c r="D33" s="158"/>
      <c r="E33" s="158"/>
      <c r="F33" s="158"/>
      <c r="G33" s="158"/>
      <c r="H33" s="158"/>
      <c r="I33" s="164"/>
    </row>
    <row r="34" customHeight="1" spans="1:9">
      <c r="A34" s="157"/>
      <c r="B34" s="158"/>
      <c r="C34" s="158"/>
      <c r="D34" s="158"/>
      <c r="E34" s="158"/>
      <c r="F34" s="158"/>
      <c r="G34" s="158"/>
      <c r="H34" s="158"/>
      <c r="I34" s="164"/>
    </row>
    <row r="35" customHeight="1" spans="1:9">
      <c r="A35" s="157"/>
      <c r="B35" s="158"/>
      <c r="C35" s="158"/>
      <c r="D35" s="158"/>
      <c r="E35" s="158"/>
      <c r="F35" s="158"/>
      <c r="G35" s="158"/>
      <c r="H35" s="158"/>
      <c r="I35" s="164"/>
    </row>
    <row r="36" customHeight="1" spans="1:9">
      <c r="A36" s="157"/>
      <c r="B36" s="158"/>
      <c r="C36" s="158"/>
      <c r="D36" s="158"/>
      <c r="E36" s="158"/>
      <c r="F36" s="158"/>
      <c r="G36" s="158"/>
      <c r="H36" s="158"/>
      <c r="I36" s="164"/>
    </row>
    <row r="37" customHeight="1" spans="1:9">
      <c r="E37" s="158"/>
      <c r="F37" s="158"/>
      <c r="G37" s="158"/>
    </row>
  </sheetData>
  <sheetProtection autoFilter="0"/>
  <mergeCells count="6">
    <mergeCell ref="A2:L2"/>
    <mergeCell ref="A3:L3"/>
    <mergeCell ref="BX7:BZ7"/>
    <mergeCell ref="BX8:BZ8"/>
    <mergeCell ref="BY14:BZ14"/>
    <mergeCell ref="A27:B27"/>
  </mergeCells>
  <conditionalFormatting sqref="BH7:BH26">
    <cfRule type="expression" dxfId="5" priority="6" stopIfTrue="1">
      <formula>AND($B7&lt;&gt;"",BH7="")</formula>
    </cfRule>
  </conditionalFormatting>
  <conditionalFormatting sqref="BI7:BI26">
    <cfRule type="expression" dxfId="5" priority="9" stopIfTrue="1">
      <formula>AND(BH7="有",BI7="")</formula>
    </cfRule>
  </conditionalFormatting>
  <conditionalFormatting sqref="BF7:BG26">
    <cfRule type="containsText" dxfId="6" priority="1" stopIfTrue="1" operator="between" text="出错">
      <formula>NOT(ISERROR(SEARCH("出错",BF7)))</formula>
    </cfRule>
  </conditionalFormatting>
  <conditionalFormatting sqref="BJ7:BL26">
    <cfRule type="expression" dxfId="5" priority="3" stopIfTrue="1">
      <formula>AND($B7&lt;&gt;"",BJ7="")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BN7:BO26">
      <formula1>"是,否"</formula1>
    </dataValidation>
    <dataValidation type="list" allowBlank="1" showInputMessage="1" showErrorMessage="1" sqref="BC7:BC26">
      <formula1>"  ,√"</formula1>
    </dataValidation>
    <dataValidation type="list" allowBlank="1" showInputMessage="1" showErrorMessage="1" sqref="BH7:BH26 BJ7:BL26">
      <formula1>BH$30:BH$31</formula1>
    </dataValidation>
  </dataValidations>
  <hyperlinks>
    <hyperlink ref="A1" location="索引目录!I23" display="返回索引页"/>
    <hyperlink ref="B1" location="'非流动负债汇总 '!B9" display="返回"/>
  </hyperlinks>
  <printOptions horizontalCentered="1"/>
  <pageMargins left="0.393700787401575" right="0.393700787401575" top="0.984251968503937" bottom="0.393700787401575" header="0.984251968503937" footer="0.393700787401575"/>
  <pageSetup paperSize="9" fitToHeight="0" orientation="landscape" blackAndWhite="1" horizontalDpi="300" verticalDpi="300"/>
  <headerFooter alignWithMargins="0">
    <oddHeader>&amp;R&amp;"宋体,常规"&amp;11共&amp;N页，第&amp;P页&amp;"Times New Roman,常规"</oddHeader>
  </headerFooter>
  <legacyDrawing r:id="rId2"/>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9"/>
  <dimension ref="A1:CA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6.6" style="75" customWidth="1"/>
    <col min="3" max="3" width="17" style="75" customWidth="1"/>
    <col min="4" max="5" width="4.6" style="75" customWidth="1" outlineLevel="1"/>
    <col min="6" max="6" width="6.1" style="75" customWidth="1" outlineLevel="1"/>
    <col min="7" max="7" width="18.6" style="75" customWidth="1" outlineLevel="1"/>
    <col min="8" max="8" width="20.6" style="76" customWidth="1" outlineLevel="1"/>
    <col min="9" max="10" width="18.6" style="75" customWidth="1"/>
    <col min="11" max="11" width="19.5" style="75" customWidth="1"/>
    <col min="12"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75" customWidth="1"/>
    <col min="61" max="61" width="11.5" style="75" customWidth="1"/>
    <col min="62" max="64" width="4.7" style="75" customWidth="1"/>
    <col min="65" max="65" width="8.7" style="75" customWidth="1"/>
    <col min="66" max="66" width="1.6" style="75" customWidth="1"/>
    <col min="67" max="68" width="10.6" style="75" customWidth="1"/>
    <col min="69" max="69" width="6.6" style="165" customWidth="1"/>
    <col min="70" max="70" width="10.6" style="75" customWidth="1"/>
    <col min="71" max="71" width="1.6" style="77" customWidth="1"/>
    <col min="72" max="72" width="10.6" style="78" customWidth="1"/>
    <col min="73" max="73" width="10.6" style="77" customWidth="1"/>
    <col min="74" max="74" width="4.6" style="78" customWidth="1"/>
    <col min="75" max="75" width="10.6" style="78" customWidth="1"/>
    <col min="76" max="77" width="4.6" style="78" customWidth="1"/>
    <col min="78" max="78" width="10.6" style="78" customWidth="1"/>
    <col min="79" max="79" width="5" style="77" customWidth="1"/>
    <col min="80" max="16384" width="9" style="75"/>
  </cols>
  <sheetData>
    <row r="1" s="70" customFormat="1" ht="12.45" customHeight="1" spans="1:79">
      <c r="A1" s="166" t="s">
        <v>1591</v>
      </c>
      <c r="B1" s="167" t="s">
        <v>1592</v>
      </c>
      <c r="C1" s="168"/>
      <c r="D1" s="82"/>
      <c r="E1" s="82"/>
      <c r="F1" s="82"/>
      <c r="G1" s="168"/>
      <c r="H1" s="169"/>
      <c r="I1" s="168"/>
      <c r="J1" s="168"/>
      <c r="K1" s="168"/>
      <c r="BA1" s="84" t="str">
        <f>参数表!BA1</f>
        <v>注意：补充特殊事项、作价等均从BA列开始填写</v>
      </c>
      <c r="BB1" s="85"/>
      <c r="BC1" s="86"/>
      <c r="BD1" s="86"/>
      <c r="BE1" s="86"/>
      <c r="BF1" s="86"/>
      <c r="BG1" s="86"/>
      <c r="BH1" s="86"/>
      <c r="BI1" s="86"/>
      <c r="BQ1" s="168"/>
      <c r="BS1" s="87"/>
      <c r="BT1" s="88"/>
      <c r="BU1" s="87"/>
      <c r="BV1" s="88"/>
      <c r="BW1" s="88"/>
      <c r="BX1" s="88"/>
      <c r="BY1" s="88"/>
      <c r="BZ1" s="88"/>
      <c r="CA1" s="87"/>
    </row>
    <row r="2" s="71" customFormat="1" ht="30" customHeight="1" spans="1:79">
      <c r="A2" s="89" t="s">
        <v>5593</v>
      </c>
      <c r="B2" s="170"/>
      <c r="C2" s="170"/>
      <c r="D2" s="170"/>
      <c r="E2" s="170"/>
      <c r="F2" s="170"/>
      <c r="G2" s="170"/>
      <c r="H2" s="170"/>
      <c r="I2" s="170"/>
      <c r="J2" s="170"/>
      <c r="K2" s="170"/>
      <c r="BA2" s="90" t="str">
        <f>参数表!BA2</f>
        <v>评估基准日：</v>
      </c>
      <c r="BB2" s="91" t="str">
        <f>参数表!$BB$2</f>
        <v>2025年7月31日</v>
      </c>
      <c r="BQ2" s="171"/>
      <c r="BS2" s="92"/>
      <c r="BT2" s="93"/>
      <c r="BU2" s="92"/>
      <c r="BV2" s="93"/>
      <c r="BW2" s="93"/>
      <c r="BX2" s="93"/>
      <c r="BY2" s="93"/>
      <c r="BZ2" s="93"/>
      <c r="CA2" s="92"/>
    </row>
    <row r="3" ht="15" customHeight="1" spans="1:79">
      <c r="A3" s="94" t="str">
        <f>参数表!F5</f>
        <v>评估基准日：2025年7月31日</v>
      </c>
      <c r="B3" s="94"/>
      <c r="C3" s="94"/>
      <c r="D3" s="94"/>
      <c r="E3" s="94"/>
      <c r="F3" s="94"/>
      <c r="G3" s="94"/>
      <c r="H3" s="94"/>
      <c r="I3" s="94"/>
      <c r="J3" s="94"/>
      <c r="K3" s="94"/>
      <c r="BA3" s="90" t="str">
        <f>参数表!BA3</f>
        <v>是否显示评估值：</v>
      </c>
      <c r="BB3" s="90" t="str">
        <f>参数表!$BB$3</f>
        <v>是</v>
      </c>
      <c r="BU3" s="78"/>
    </row>
    <row r="4" ht="15" customHeight="1" spans="1:79">
      <c r="A4" s="96"/>
      <c r="B4" s="94"/>
      <c r="C4" s="94"/>
      <c r="D4" s="94"/>
      <c r="E4" s="94"/>
      <c r="F4" s="94"/>
      <c r="G4" s="94"/>
      <c r="H4" s="97"/>
      <c r="I4" s="94"/>
      <c r="J4" s="94"/>
      <c r="K4" s="98" t="str">
        <f>"表"&amp;$BA4</f>
        <v>表6-7</v>
      </c>
      <c r="BA4" s="99" t="str">
        <f>非流动负总!A13</f>
        <v>6-7</v>
      </c>
      <c r="BB4" s="100">
        <f>MAX(COUNTA(A7:A26),COUNTA(B7:B26),COUNTA(G7:G26),COUNTA(I7:I26))</f>
        <v>20</v>
      </c>
      <c r="BC4" s="101">
        <f>ROW(A6)+1</f>
        <v>7</v>
      </c>
      <c r="BD4" s="77"/>
      <c r="BE4" s="77"/>
      <c r="BU4" s="78"/>
    </row>
    <row r="5" ht="15" customHeight="1" spans="1:79">
      <c r="A5" s="102" t="str">
        <f>参数表!F3</f>
        <v>产权持有单位:中煤第五建设有限公司</v>
      </c>
      <c r="B5" s="103"/>
      <c r="C5" s="103"/>
      <c r="D5" s="103"/>
      <c r="E5" s="103"/>
      <c r="F5" s="103"/>
      <c r="G5" s="103"/>
      <c r="H5" s="104"/>
      <c r="I5" s="103"/>
      <c r="J5" s="103"/>
      <c r="K5" s="98" t="s">
        <v>236</v>
      </c>
      <c r="BA5" s="103"/>
      <c r="BB5" s="105" t="str">
        <f ca="1">判断表!C124</f>
        <v>中煤第五建设有限公司第三工程处拟处置实物资产项目\[0000-3基础法明细表.xlsx]递延负</v>
      </c>
      <c r="BC5" s="106">
        <f>IFERROR(SUMIF(BC7:BC26,"√",I7:I26)/I27,0)</f>
        <v>0</v>
      </c>
      <c r="BD5" s="107"/>
      <c r="BE5" s="107"/>
      <c r="BF5" s="108">
        <f>分类汇总!$I66</f>
        <v>0</v>
      </c>
      <c r="BG5" s="108">
        <f>分类汇总!$K66</f>
        <v>0</v>
      </c>
      <c r="BH5" s="109"/>
      <c r="BI5" s="109"/>
      <c r="BJ5" s="109"/>
      <c r="BK5" s="109"/>
      <c r="BL5" s="109"/>
      <c r="BM5" s="110"/>
      <c r="BO5" s="103"/>
      <c r="BP5" s="103"/>
      <c r="BQ5" s="172">
        <f>递延收益!BP5</f>
        <v>0.25</v>
      </c>
      <c r="BR5" s="103"/>
      <c r="BS5" s="111"/>
      <c r="BU5" s="78"/>
      <c r="CA5" s="111"/>
    </row>
    <row r="6" s="72" customFormat="1" ht="25.2" customHeight="1" spans="1:79">
      <c r="A6" s="112" t="s">
        <v>305</v>
      </c>
      <c r="B6" s="113" t="s">
        <v>5594</v>
      </c>
      <c r="C6" s="113" t="s">
        <v>1961</v>
      </c>
      <c r="D6" s="114" t="s">
        <v>1631</v>
      </c>
      <c r="E6" s="115" t="s">
        <v>1632</v>
      </c>
      <c r="F6" s="116" t="s">
        <v>3793</v>
      </c>
      <c r="G6" s="113" t="s">
        <v>1549</v>
      </c>
      <c r="H6" s="117" t="s">
        <v>1634</v>
      </c>
      <c r="I6" s="118" t="s">
        <v>1523</v>
      </c>
      <c r="J6" s="113" t="s">
        <v>1550</v>
      </c>
      <c r="K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1644</v>
      </c>
      <c r="BO6" s="173" t="s">
        <v>5595</v>
      </c>
      <c r="BP6" s="173" t="s">
        <v>5596</v>
      </c>
      <c r="BQ6" s="173" t="s">
        <v>5597</v>
      </c>
      <c r="BR6" s="173" t="s">
        <v>4044</v>
      </c>
      <c r="BS6" s="119"/>
      <c r="BT6" s="120" t="s">
        <v>1645</v>
      </c>
      <c r="BU6" s="121" t="s">
        <v>1646</v>
      </c>
      <c r="BV6" s="121" t="s">
        <v>1647</v>
      </c>
      <c r="BW6" s="121" t="s">
        <v>1648</v>
      </c>
      <c r="BX6" s="121" t="s">
        <v>1647</v>
      </c>
      <c r="BY6" s="121" t="s">
        <v>1647</v>
      </c>
      <c r="BZ6" s="121" t="s">
        <v>1649</v>
      </c>
      <c r="CA6" s="122" t="s">
        <v>1650</v>
      </c>
    </row>
    <row r="7" ht="15" customHeight="1" spans="1:79">
      <c r="A7" s="123" t="str">
        <f>IF(B7="","",COUNT(A$6:A6)+1)</f>
        <v/>
      </c>
      <c r="B7" s="124"/>
      <c r="C7" s="125"/>
      <c r="D7" s="127"/>
      <c r="E7" s="127" t="str">
        <f>IFERROR(VLOOKUP(D7,参数表!$H$2:$I$50,2,FALSE),"")</f>
        <v/>
      </c>
      <c r="F7" s="128" t="str">
        <f>IFERROR(IF(OR(D7="人民币",D7=""),"",I7/E7),"")</f>
        <v/>
      </c>
      <c r="G7" s="174"/>
      <c r="H7" s="175"/>
      <c r="I7" s="174" t="str">
        <f>IF(B7="","",G7+H7)</f>
        <v/>
      </c>
      <c r="J7" s="129" t="str">
        <f>IF(B7="","",IF($BB$3="是",IF(BR7=0,I7,BR7),""))</f>
        <v/>
      </c>
      <c r="K7" s="131"/>
      <c r="BA7" s="78"/>
      <c r="BB7" s="132" t="s">
        <v>5598</v>
      </c>
      <c r="BC7" s="133"/>
      <c r="BD7" s="132" t="str">
        <f>IF(OR(B7="",BC7=""),"",COUNTIF(BC$7:BC7,"√"))</f>
        <v/>
      </c>
      <c r="BE7" s="134" t="str">
        <f t="shared" ref="BE7:BE26" si="0">IF(BC7="","",BB7&amp;"︱"&amp;B7&amp;"︱"&amp;TEXT(G7,"#,##0.00"))</f>
        <v/>
      </c>
      <c r="BF7" s="135" t="str">
        <f>IF($B7="","",IF(BF$5=0,"OK","出错"))</f>
        <v/>
      </c>
      <c r="BG7" s="135" t="str">
        <f>IF($B7="","",IF(BG$5=0,"OK","出错"))</f>
        <v/>
      </c>
      <c r="BH7" s="136"/>
      <c r="BI7" s="137"/>
      <c r="BJ7" s="136"/>
      <c r="BK7" s="136"/>
      <c r="BL7" s="136"/>
      <c r="BM7" s="137"/>
      <c r="BO7" s="176"/>
      <c r="BP7" s="176"/>
      <c r="BQ7" s="172">
        <f>BQ$5</f>
        <v>0.25</v>
      </c>
      <c r="BR7" s="177">
        <f>(BP7-BO7)*BQ7</f>
        <v>0</v>
      </c>
      <c r="BT7" s="134" t="str">
        <f>IF(COUNTIF(BT$6:BT6,B7)&gt;0,"",B7)&amp;""</f>
        <v/>
      </c>
      <c r="BU7" s="138">
        <f>SUMIF(B$7:B$26,BT7,I$7:I$26)</f>
        <v>0</v>
      </c>
      <c r="BV7" s="132">
        <f t="shared" ref="BV7" si="1">RANK(BU7,BU$7:BU$26)</f>
        <v>1</v>
      </c>
      <c r="BW7" s="138">
        <f>SUMIF(B$7:B$26,BT7,J$7:J$26)</f>
        <v>0</v>
      </c>
      <c r="BX7" s="132">
        <f>RANK(BW7,BW$7:BW$26)</f>
        <v>1</v>
      </c>
      <c r="BY7" s="138">
        <f>SUM(BU7:BU26)</f>
        <v>0</v>
      </c>
      <c r="BZ7" s="138"/>
      <c r="CA7" s="138"/>
    </row>
    <row r="8" ht="15" customHeight="1" spans="1:79">
      <c r="A8" s="123" t="str">
        <f>IF(B8="","",COUNT(A$6:A7)+1)</f>
        <v/>
      </c>
      <c r="B8" s="139"/>
      <c r="C8" s="140"/>
      <c r="D8" s="142"/>
      <c r="E8" s="127" t="str">
        <f>IFERROR(VLOOKUP(D8,参数表!$H$2:$I$50,2,FALSE),"")</f>
        <v/>
      </c>
      <c r="F8" s="128" t="str">
        <f t="shared" ref="F8:F26" si="2">IFERROR(IF(OR(D8="人民币",D8=""),"",I8/E8),"")</f>
        <v/>
      </c>
      <c r="G8" s="178"/>
      <c r="H8" s="179"/>
      <c r="I8" s="174" t="str">
        <f t="shared" ref="I8:I26" si="3">IF(B8="","",G8+H8)</f>
        <v/>
      </c>
      <c r="J8" s="129" t="str">
        <f t="shared" ref="J8:J26" si="4">IF(B8="","",IF($BB$3="是",IF(BR8=0,I8,BR8),""))</f>
        <v/>
      </c>
      <c r="K8" s="145"/>
      <c r="BA8" s="78"/>
      <c r="BB8" s="132" t="s">
        <v>5599</v>
      </c>
      <c r="BC8" s="133"/>
      <c r="BD8" s="132" t="str">
        <f>IF(OR(B8="",BC8=""),"",COUNTIF(BC$7:BC8,"√"))</f>
        <v/>
      </c>
      <c r="BE8" s="134" t="str">
        <f t="shared" si="0"/>
        <v/>
      </c>
      <c r="BF8" s="135" t="str">
        <f t="shared" ref="BF8:BG26" si="5">IF($B8="","",IF(BF$5=0,"OK","出错"))</f>
        <v/>
      </c>
      <c r="BG8" s="135" t="str">
        <f t="shared" si="5"/>
        <v/>
      </c>
      <c r="BH8" s="136"/>
      <c r="BI8" s="137"/>
      <c r="BJ8" s="136"/>
      <c r="BK8" s="136"/>
      <c r="BL8" s="136"/>
      <c r="BM8" s="137"/>
      <c r="BO8" s="176"/>
      <c r="BP8" s="176"/>
      <c r="BQ8" s="172">
        <f t="shared" ref="BQ8:BQ26" si="6">BQ$5</f>
        <v>0.25</v>
      </c>
      <c r="BR8" s="177">
        <f t="shared" ref="BR8:BR26" si="7">(BP8-BO8)*BQ8</f>
        <v>0</v>
      </c>
      <c r="BT8" s="134" t="str">
        <f>IF(COUNTIF(BT$6:BT7,B8)&gt;0,"",B8)&amp;""</f>
        <v/>
      </c>
      <c r="BU8" s="138">
        <f t="shared" ref="BU8:BU26" si="8">SUMIF(B$7:B$26,BT8,I$7:I$26)</f>
        <v>0</v>
      </c>
      <c r="BV8" s="132">
        <f t="shared" ref="BV8:BV26" si="9">RANK(BU8,BU$7:BU$26)</f>
        <v>1</v>
      </c>
      <c r="BW8" s="138">
        <f t="shared" ref="BW8:BW26" si="10">SUMIF(B$7:B$26,BT8,J$7:J$26)</f>
        <v>0</v>
      </c>
      <c r="BX8" s="132">
        <f t="shared" ref="BX8:BX26" si="11">RANK(BW8,BW$7:BW$26)</f>
        <v>1</v>
      </c>
      <c r="BY8" s="138">
        <f>SUM(BW7:BW26)</f>
        <v>0</v>
      </c>
      <c r="BZ8" s="138"/>
      <c r="CA8" s="138"/>
    </row>
    <row r="9" ht="15" customHeight="1" spans="1:79">
      <c r="A9" s="123" t="str">
        <f>IF(B9="","",COUNT(A$6:A8)+1)</f>
        <v/>
      </c>
      <c r="B9" s="139"/>
      <c r="C9" s="140"/>
      <c r="D9" s="142"/>
      <c r="E9" s="127" t="str">
        <f>IFERROR(VLOOKUP(D9,参数表!$H$2:$I$50,2,FALSE),"")</f>
        <v/>
      </c>
      <c r="F9" s="128" t="str">
        <f t="shared" si="2"/>
        <v/>
      </c>
      <c r="G9" s="178"/>
      <c r="H9" s="179"/>
      <c r="I9" s="174" t="str">
        <f t="shared" si="3"/>
        <v/>
      </c>
      <c r="J9" s="129" t="str">
        <f t="shared" si="4"/>
        <v/>
      </c>
      <c r="K9" s="145"/>
      <c r="BA9" s="78"/>
      <c r="BB9" s="132" t="s">
        <v>5600</v>
      </c>
      <c r="BC9" s="133"/>
      <c r="BD9" s="132" t="str">
        <f>IF(OR(B9="",BC9=""),"",COUNTIF(BC$7:BC9,"√"))</f>
        <v/>
      </c>
      <c r="BE9" s="134" t="str">
        <f t="shared" si="0"/>
        <v/>
      </c>
      <c r="BF9" s="135" t="str">
        <f t="shared" si="5"/>
        <v/>
      </c>
      <c r="BG9" s="135" t="str">
        <f t="shared" si="5"/>
        <v/>
      </c>
      <c r="BH9" s="136"/>
      <c r="BI9" s="137"/>
      <c r="BJ9" s="136"/>
      <c r="BK9" s="136"/>
      <c r="BL9" s="136"/>
      <c r="BM9" s="137"/>
      <c r="BO9" s="176"/>
      <c r="BP9" s="176"/>
      <c r="BQ9" s="172">
        <f t="shared" si="6"/>
        <v>0.25</v>
      </c>
      <c r="BR9" s="177">
        <f t="shared" si="7"/>
        <v>0</v>
      </c>
      <c r="BT9" s="134" t="str">
        <f>IF(COUNTIF(BT$6:BT8,B9)&gt;0,"",B9)&amp;""</f>
        <v/>
      </c>
      <c r="BU9" s="138">
        <f t="shared" si="8"/>
        <v>0</v>
      </c>
      <c r="BV9" s="132">
        <f t="shared" si="9"/>
        <v>1</v>
      </c>
      <c r="BW9" s="138">
        <f t="shared" si="10"/>
        <v>0</v>
      </c>
      <c r="BX9" s="132">
        <f t="shared" si="11"/>
        <v>1</v>
      </c>
      <c r="BY9" s="132">
        <v>1</v>
      </c>
      <c r="BZ9" s="134" t="str">
        <f>IFERROR(INDEX(BT$7:BT$26,MATCH(BY9,IF(BY$7=0,BX$7:BX$26,BV$7:BV$26),0))&amp;"","")</f>
        <v/>
      </c>
      <c r="CA9" s="146" t="str">
        <f>IF(BZ10="","",IF(BZ11="","和","、"))</f>
        <v/>
      </c>
    </row>
    <row r="10" ht="15" customHeight="1" spans="1:79">
      <c r="A10" s="123" t="str">
        <f>IF(B10="","",COUNT(A$6:A9)+1)</f>
        <v/>
      </c>
      <c r="B10" s="139"/>
      <c r="C10" s="140"/>
      <c r="D10" s="142"/>
      <c r="E10" s="127" t="str">
        <f>IFERROR(VLOOKUP(D10,参数表!$H$2:$I$50,2,FALSE),"")</f>
        <v/>
      </c>
      <c r="F10" s="128" t="str">
        <f t="shared" si="2"/>
        <v/>
      </c>
      <c r="G10" s="178"/>
      <c r="H10" s="179"/>
      <c r="I10" s="174" t="str">
        <f t="shared" si="3"/>
        <v/>
      </c>
      <c r="J10" s="129" t="str">
        <f t="shared" si="4"/>
        <v/>
      </c>
      <c r="K10" s="145"/>
      <c r="BA10" s="78"/>
      <c r="BB10" s="132" t="s">
        <v>5601</v>
      </c>
      <c r="BC10" s="133"/>
      <c r="BD10" s="132" t="str">
        <f>IF(OR(B10="",BC10=""),"",COUNTIF(BC$7:BC10,"√"))</f>
        <v/>
      </c>
      <c r="BE10" s="134" t="str">
        <f t="shared" si="0"/>
        <v/>
      </c>
      <c r="BF10" s="135" t="str">
        <f t="shared" si="5"/>
        <v/>
      </c>
      <c r="BG10" s="135" t="str">
        <f t="shared" si="5"/>
        <v/>
      </c>
      <c r="BH10" s="136"/>
      <c r="BI10" s="137"/>
      <c r="BJ10" s="136"/>
      <c r="BK10" s="136"/>
      <c r="BL10" s="136"/>
      <c r="BM10" s="137"/>
      <c r="BO10" s="176"/>
      <c r="BP10" s="176"/>
      <c r="BQ10" s="172">
        <f t="shared" si="6"/>
        <v>0.25</v>
      </c>
      <c r="BR10" s="177">
        <f t="shared" si="7"/>
        <v>0</v>
      </c>
      <c r="BT10" s="134" t="str">
        <f>IF(COUNTIF(BT$6:BT9,B10)&gt;0,"",B10)&amp;""</f>
        <v/>
      </c>
      <c r="BU10" s="138">
        <f t="shared" si="8"/>
        <v>0</v>
      </c>
      <c r="BV10" s="132">
        <f t="shared" si="9"/>
        <v>1</v>
      </c>
      <c r="BW10" s="138">
        <f t="shared" si="10"/>
        <v>0</v>
      </c>
      <c r="BX10" s="132">
        <f t="shared" si="11"/>
        <v>1</v>
      </c>
      <c r="BY10" s="132">
        <v>2</v>
      </c>
      <c r="BZ10" s="134" t="str">
        <f t="shared" ref="BZ10:BZ13" si="12">IFERROR(INDEX(BT$7:BT$26,MATCH(BY10,IF(BY$7=0,BX$7:BX$26,BV$7:BV$26),0))&amp;"","")</f>
        <v/>
      </c>
      <c r="CA10" s="146" t="str">
        <f t="shared" ref="CA10:CA11" si="13">IF(BZ11="","",IF(BZ12="","和","、"))</f>
        <v/>
      </c>
    </row>
    <row r="11" ht="15" customHeight="1" spans="1:79">
      <c r="A11" s="123" t="str">
        <f>IF(B11="","",COUNT(A$6:A10)+1)</f>
        <v/>
      </c>
      <c r="B11" s="139"/>
      <c r="C11" s="140"/>
      <c r="D11" s="142"/>
      <c r="E11" s="127" t="str">
        <f>IFERROR(VLOOKUP(D11,参数表!$H$2:$I$50,2,FALSE),"")</f>
        <v/>
      </c>
      <c r="F11" s="128" t="str">
        <f t="shared" si="2"/>
        <v/>
      </c>
      <c r="G11" s="178"/>
      <c r="H11" s="179"/>
      <c r="I11" s="174" t="str">
        <f t="shared" si="3"/>
        <v/>
      </c>
      <c r="J11" s="129" t="str">
        <f t="shared" si="4"/>
        <v/>
      </c>
      <c r="K11" s="145"/>
      <c r="BA11" s="78"/>
      <c r="BB11" s="132" t="s">
        <v>5602</v>
      </c>
      <c r="BC11" s="133"/>
      <c r="BD11" s="132" t="str">
        <f>IF(OR(B11="",BC11=""),"",COUNTIF(BC$7:BC11,"√"))</f>
        <v/>
      </c>
      <c r="BE11" s="134" t="str">
        <f t="shared" si="0"/>
        <v/>
      </c>
      <c r="BF11" s="135" t="str">
        <f t="shared" si="5"/>
        <v/>
      </c>
      <c r="BG11" s="135" t="str">
        <f t="shared" si="5"/>
        <v/>
      </c>
      <c r="BH11" s="136"/>
      <c r="BI11" s="137"/>
      <c r="BJ11" s="136"/>
      <c r="BK11" s="136"/>
      <c r="BL11" s="136"/>
      <c r="BM11" s="137"/>
      <c r="BO11" s="176"/>
      <c r="BP11" s="176"/>
      <c r="BQ11" s="172">
        <f t="shared" si="6"/>
        <v>0.25</v>
      </c>
      <c r="BR11" s="177">
        <f t="shared" si="7"/>
        <v>0</v>
      </c>
      <c r="BT11" s="134" t="str">
        <f>IF(COUNTIF(BT$6:BT10,B11)&gt;0,"",B11)&amp;""</f>
        <v/>
      </c>
      <c r="BU11" s="138">
        <f t="shared" si="8"/>
        <v>0</v>
      </c>
      <c r="BV11" s="132">
        <f t="shared" si="9"/>
        <v>1</v>
      </c>
      <c r="BW11" s="138">
        <f t="shared" si="10"/>
        <v>0</v>
      </c>
      <c r="BX11" s="132">
        <f t="shared" si="11"/>
        <v>1</v>
      </c>
      <c r="BY11" s="132">
        <v>3</v>
      </c>
      <c r="BZ11" s="134" t="str">
        <f t="shared" si="12"/>
        <v/>
      </c>
      <c r="CA11" s="146" t="str">
        <f t="shared" si="13"/>
        <v/>
      </c>
    </row>
    <row r="12" ht="15" customHeight="1" spans="1:79">
      <c r="A12" s="123" t="str">
        <f>IF(B12="","",COUNT(A$6:A11)+1)</f>
        <v/>
      </c>
      <c r="B12" s="139"/>
      <c r="C12" s="140"/>
      <c r="D12" s="142"/>
      <c r="E12" s="127" t="str">
        <f>IFERROR(VLOOKUP(D12,参数表!$H$2:$I$50,2,FALSE),"")</f>
        <v/>
      </c>
      <c r="F12" s="128" t="str">
        <f t="shared" si="2"/>
        <v/>
      </c>
      <c r="G12" s="178"/>
      <c r="H12" s="179"/>
      <c r="I12" s="174" t="str">
        <f t="shared" si="3"/>
        <v/>
      </c>
      <c r="J12" s="129" t="str">
        <f t="shared" si="4"/>
        <v/>
      </c>
      <c r="K12" s="145"/>
      <c r="BA12" s="78"/>
      <c r="BB12" s="132" t="s">
        <v>5603</v>
      </c>
      <c r="BC12" s="133"/>
      <c r="BD12" s="132" t="str">
        <f>IF(OR(B12="",BC12=""),"",COUNTIF(BC$7:BC12,"√"))</f>
        <v/>
      </c>
      <c r="BE12" s="134" t="str">
        <f t="shared" si="0"/>
        <v/>
      </c>
      <c r="BF12" s="135" t="str">
        <f t="shared" si="5"/>
        <v/>
      </c>
      <c r="BG12" s="135" t="str">
        <f t="shared" si="5"/>
        <v/>
      </c>
      <c r="BH12" s="136"/>
      <c r="BI12" s="137"/>
      <c r="BJ12" s="136"/>
      <c r="BK12" s="136"/>
      <c r="BL12" s="136"/>
      <c r="BM12" s="137"/>
      <c r="BO12" s="176"/>
      <c r="BP12" s="176"/>
      <c r="BQ12" s="172">
        <f t="shared" si="6"/>
        <v>0.25</v>
      </c>
      <c r="BR12" s="177">
        <f t="shared" si="7"/>
        <v>0</v>
      </c>
      <c r="BT12" s="134" t="str">
        <f>IF(COUNTIF(BT$6:BT11,B12)&gt;0,"",B12)&amp;""</f>
        <v/>
      </c>
      <c r="BU12" s="138">
        <f t="shared" si="8"/>
        <v>0</v>
      </c>
      <c r="BV12" s="132">
        <f t="shared" si="9"/>
        <v>1</v>
      </c>
      <c r="BW12" s="138">
        <f t="shared" si="10"/>
        <v>0</v>
      </c>
      <c r="BX12" s="132">
        <f t="shared" si="11"/>
        <v>1</v>
      </c>
      <c r="BY12" s="132">
        <v>4</v>
      </c>
      <c r="BZ12" s="134" t="str">
        <f t="shared" si="12"/>
        <v/>
      </c>
      <c r="CA12" s="146" t="str">
        <f>IF(BZ13="","","和")</f>
        <v/>
      </c>
    </row>
    <row r="13" ht="15" customHeight="1" spans="1:79">
      <c r="A13" s="123" t="str">
        <f>IF(B13="","",COUNT(A$6:A12)+1)</f>
        <v/>
      </c>
      <c r="B13" s="139"/>
      <c r="C13" s="140"/>
      <c r="D13" s="142"/>
      <c r="E13" s="127" t="str">
        <f>IFERROR(VLOOKUP(D13,参数表!$H$2:$I$50,2,FALSE),"")</f>
        <v/>
      </c>
      <c r="F13" s="128" t="str">
        <f t="shared" si="2"/>
        <v/>
      </c>
      <c r="G13" s="178"/>
      <c r="H13" s="179"/>
      <c r="I13" s="174" t="str">
        <f t="shared" si="3"/>
        <v/>
      </c>
      <c r="J13" s="129" t="str">
        <f t="shared" si="4"/>
        <v/>
      </c>
      <c r="K13" s="145"/>
      <c r="BA13" s="78"/>
      <c r="BB13" s="132" t="s">
        <v>5604</v>
      </c>
      <c r="BC13" s="133"/>
      <c r="BD13" s="132" t="str">
        <f>IF(OR(B13="",BC13=""),"",COUNTIF(BC$7:BC13,"√"))</f>
        <v/>
      </c>
      <c r="BE13" s="134" t="str">
        <f t="shared" si="0"/>
        <v/>
      </c>
      <c r="BF13" s="135" t="str">
        <f t="shared" si="5"/>
        <v/>
      </c>
      <c r="BG13" s="135" t="str">
        <f t="shared" si="5"/>
        <v/>
      </c>
      <c r="BH13" s="136"/>
      <c r="BI13" s="137"/>
      <c r="BJ13" s="136"/>
      <c r="BK13" s="136"/>
      <c r="BL13" s="136"/>
      <c r="BM13" s="137"/>
      <c r="BO13" s="176"/>
      <c r="BP13" s="176"/>
      <c r="BQ13" s="172">
        <f t="shared" si="6"/>
        <v>0.25</v>
      </c>
      <c r="BR13" s="177">
        <f t="shared" si="7"/>
        <v>0</v>
      </c>
      <c r="BT13" s="134" t="str">
        <f>IF(COUNTIF(BT$6:BT12,B13)&gt;0,"",B13)&amp;""</f>
        <v/>
      </c>
      <c r="BU13" s="138">
        <f t="shared" si="8"/>
        <v>0</v>
      </c>
      <c r="BV13" s="132">
        <f t="shared" si="9"/>
        <v>1</v>
      </c>
      <c r="BW13" s="138">
        <f t="shared" si="10"/>
        <v>0</v>
      </c>
      <c r="BX13" s="132">
        <f t="shared" si="11"/>
        <v>1</v>
      </c>
      <c r="BY13" s="132">
        <v>5</v>
      </c>
      <c r="BZ13" s="134" t="str">
        <f t="shared" si="12"/>
        <v/>
      </c>
      <c r="CA13" s="146"/>
    </row>
    <row r="14" ht="15" customHeight="1" spans="1:79">
      <c r="A14" s="123" t="str">
        <f>IF(B14="","",COUNT(A$6:A13)+1)</f>
        <v/>
      </c>
      <c r="B14" s="139"/>
      <c r="C14" s="140"/>
      <c r="D14" s="142"/>
      <c r="E14" s="127" t="str">
        <f>IFERROR(VLOOKUP(D14,参数表!$H$2:$I$50,2,FALSE),"")</f>
        <v/>
      </c>
      <c r="F14" s="128" t="str">
        <f t="shared" si="2"/>
        <v/>
      </c>
      <c r="G14" s="178"/>
      <c r="H14" s="179"/>
      <c r="I14" s="174" t="str">
        <f t="shared" si="3"/>
        <v/>
      </c>
      <c r="J14" s="129" t="str">
        <f t="shared" si="4"/>
        <v/>
      </c>
      <c r="K14" s="145"/>
      <c r="BA14" s="78"/>
      <c r="BB14" s="132" t="s">
        <v>5605</v>
      </c>
      <c r="BC14" s="133"/>
      <c r="BD14" s="132" t="str">
        <f>IF(OR(B14="",BC14=""),"",COUNTIF(BC$7:BC14,"√"))</f>
        <v/>
      </c>
      <c r="BE14" s="134" t="str">
        <f t="shared" si="0"/>
        <v/>
      </c>
      <c r="BF14" s="135" t="str">
        <f t="shared" si="5"/>
        <v/>
      </c>
      <c r="BG14" s="135" t="str">
        <f t="shared" si="5"/>
        <v/>
      </c>
      <c r="BH14" s="136"/>
      <c r="BI14" s="137"/>
      <c r="BJ14" s="136"/>
      <c r="BK14" s="136"/>
      <c r="BL14" s="136"/>
      <c r="BM14" s="137"/>
      <c r="BO14" s="176"/>
      <c r="BP14" s="176"/>
      <c r="BQ14" s="172">
        <f t="shared" si="6"/>
        <v>0.25</v>
      </c>
      <c r="BR14" s="177">
        <f t="shared" si="7"/>
        <v>0</v>
      </c>
      <c r="BT14" s="134" t="str">
        <f>IF(COUNTIF(BT$6:BT13,B14)&gt;0,"",B14)&amp;""</f>
        <v/>
      </c>
      <c r="BU14" s="138">
        <f t="shared" si="8"/>
        <v>0</v>
      </c>
      <c r="BV14" s="132">
        <f t="shared" si="9"/>
        <v>1</v>
      </c>
      <c r="BW14" s="138">
        <f t="shared" si="10"/>
        <v>0</v>
      </c>
      <c r="BX14" s="132">
        <f t="shared" si="11"/>
        <v>1</v>
      </c>
      <c r="BY14" s="147" t="s">
        <v>1659</v>
      </c>
      <c r="BZ14" s="132" t="str">
        <f>CONCATENATE(BZ9,CA9,BZ10,CA10,BZ11,CA11,BZ12,CA12,BZ13)</f>
        <v/>
      </c>
      <c r="CA14" s="132"/>
    </row>
    <row r="15" ht="15" customHeight="1" spans="1:79">
      <c r="A15" s="123" t="str">
        <f>IF(B15="","",COUNT(A$6:A14)+1)</f>
        <v/>
      </c>
      <c r="B15" s="139"/>
      <c r="C15" s="140"/>
      <c r="D15" s="142"/>
      <c r="E15" s="127" t="str">
        <f>IFERROR(VLOOKUP(D15,参数表!$H$2:$I$50,2,FALSE),"")</f>
        <v/>
      </c>
      <c r="F15" s="128" t="str">
        <f t="shared" si="2"/>
        <v/>
      </c>
      <c r="G15" s="178"/>
      <c r="H15" s="179"/>
      <c r="I15" s="174" t="str">
        <f t="shared" si="3"/>
        <v/>
      </c>
      <c r="J15" s="129" t="str">
        <f t="shared" si="4"/>
        <v/>
      </c>
      <c r="K15" s="145"/>
      <c r="BA15" s="78"/>
      <c r="BB15" s="132" t="s">
        <v>5606</v>
      </c>
      <c r="BC15" s="133"/>
      <c r="BD15" s="132" t="str">
        <f>IF(OR(B15="",BC15=""),"",COUNTIF(BC$7:BC15,"√"))</f>
        <v/>
      </c>
      <c r="BE15" s="134" t="str">
        <f t="shared" si="0"/>
        <v/>
      </c>
      <c r="BF15" s="135" t="str">
        <f t="shared" si="5"/>
        <v/>
      </c>
      <c r="BG15" s="135" t="str">
        <f t="shared" si="5"/>
        <v/>
      </c>
      <c r="BH15" s="136"/>
      <c r="BI15" s="137"/>
      <c r="BJ15" s="136"/>
      <c r="BK15" s="136"/>
      <c r="BL15" s="136"/>
      <c r="BM15" s="137"/>
      <c r="BO15" s="176"/>
      <c r="BP15" s="176"/>
      <c r="BQ15" s="172">
        <f t="shared" si="6"/>
        <v>0.25</v>
      </c>
      <c r="BR15" s="177">
        <f t="shared" si="7"/>
        <v>0</v>
      </c>
      <c r="BT15" s="134" t="str">
        <f>IF(COUNTIF(BT$6:BT14,B15)&gt;0,"",B15)&amp;""</f>
        <v/>
      </c>
      <c r="BU15" s="138">
        <f t="shared" si="8"/>
        <v>0</v>
      </c>
      <c r="BV15" s="132">
        <f t="shared" si="9"/>
        <v>1</v>
      </c>
      <c r="BW15" s="138">
        <f t="shared" si="10"/>
        <v>0</v>
      </c>
      <c r="BX15" s="132">
        <f t="shared" si="11"/>
        <v>1</v>
      </c>
      <c r="BY15" s="133"/>
      <c r="BZ15" s="133"/>
    </row>
    <row r="16" ht="15" customHeight="1" spans="1:79">
      <c r="A16" s="123" t="str">
        <f>IF(B16="","",COUNT(A$6:A15)+1)</f>
        <v/>
      </c>
      <c r="B16" s="139"/>
      <c r="C16" s="140"/>
      <c r="D16" s="142"/>
      <c r="E16" s="127" t="str">
        <f>IFERROR(VLOOKUP(D16,参数表!$H$2:$I$50,2,FALSE),"")</f>
        <v/>
      </c>
      <c r="F16" s="128" t="str">
        <f t="shared" si="2"/>
        <v/>
      </c>
      <c r="G16" s="178"/>
      <c r="H16" s="179"/>
      <c r="I16" s="174" t="str">
        <f t="shared" si="3"/>
        <v/>
      </c>
      <c r="J16" s="129" t="str">
        <f t="shared" si="4"/>
        <v/>
      </c>
      <c r="K16" s="145"/>
      <c r="BA16" s="78"/>
      <c r="BB16" s="132" t="s">
        <v>5607</v>
      </c>
      <c r="BC16" s="133"/>
      <c r="BD16" s="132" t="str">
        <f>IF(OR(B16="",BC16=""),"",COUNTIF(BC$7:BC16,"√"))</f>
        <v/>
      </c>
      <c r="BE16" s="134" t="str">
        <f t="shared" si="0"/>
        <v/>
      </c>
      <c r="BF16" s="135" t="str">
        <f t="shared" si="5"/>
        <v/>
      </c>
      <c r="BG16" s="135" t="str">
        <f t="shared" si="5"/>
        <v/>
      </c>
      <c r="BH16" s="136"/>
      <c r="BI16" s="137"/>
      <c r="BJ16" s="136"/>
      <c r="BK16" s="136"/>
      <c r="BL16" s="136"/>
      <c r="BM16" s="137"/>
      <c r="BO16" s="176"/>
      <c r="BP16" s="176"/>
      <c r="BQ16" s="172">
        <f t="shared" si="6"/>
        <v>0.25</v>
      </c>
      <c r="BR16" s="177">
        <f t="shared" si="7"/>
        <v>0</v>
      </c>
      <c r="BT16" s="134" t="str">
        <f>IF(COUNTIF(BT$6:BT15,B16)&gt;0,"",B16)&amp;""</f>
        <v/>
      </c>
      <c r="BU16" s="138">
        <f t="shared" si="8"/>
        <v>0</v>
      </c>
      <c r="BV16" s="132">
        <f t="shared" si="9"/>
        <v>1</v>
      </c>
      <c r="BW16" s="138">
        <f t="shared" si="10"/>
        <v>0</v>
      </c>
      <c r="BX16" s="132">
        <f t="shared" si="11"/>
        <v>1</v>
      </c>
      <c r="BY16" s="133"/>
      <c r="BZ16" s="148"/>
    </row>
    <row r="17" ht="15" customHeight="1" spans="1:79">
      <c r="A17" s="123" t="str">
        <f>IF(B17="","",COUNT(A$6:A16)+1)</f>
        <v/>
      </c>
      <c r="B17" s="139"/>
      <c r="C17" s="140"/>
      <c r="D17" s="142"/>
      <c r="E17" s="127" t="str">
        <f>IFERROR(VLOOKUP(D17,参数表!$H$2:$I$50,2,FALSE),"")</f>
        <v/>
      </c>
      <c r="F17" s="128" t="str">
        <f t="shared" si="2"/>
        <v/>
      </c>
      <c r="G17" s="178"/>
      <c r="H17" s="179"/>
      <c r="I17" s="174" t="str">
        <f t="shared" si="3"/>
        <v/>
      </c>
      <c r="J17" s="129" t="str">
        <f t="shared" si="4"/>
        <v/>
      </c>
      <c r="K17" s="145"/>
      <c r="BA17" s="78"/>
      <c r="BB17" s="132" t="s">
        <v>5608</v>
      </c>
      <c r="BC17" s="133"/>
      <c r="BD17" s="132" t="str">
        <f>IF(OR(B17="",BC17=""),"",COUNTIF(BC$7:BC17,"√"))</f>
        <v/>
      </c>
      <c r="BE17" s="134" t="str">
        <f t="shared" si="0"/>
        <v/>
      </c>
      <c r="BF17" s="135" t="str">
        <f t="shared" si="5"/>
        <v/>
      </c>
      <c r="BG17" s="135" t="str">
        <f t="shared" si="5"/>
        <v/>
      </c>
      <c r="BH17" s="136"/>
      <c r="BI17" s="137"/>
      <c r="BJ17" s="136"/>
      <c r="BK17" s="136"/>
      <c r="BL17" s="136"/>
      <c r="BM17" s="137"/>
      <c r="BO17" s="176"/>
      <c r="BP17" s="176"/>
      <c r="BQ17" s="172">
        <f t="shared" si="6"/>
        <v>0.25</v>
      </c>
      <c r="BR17" s="177">
        <f t="shared" si="7"/>
        <v>0</v>
      </c>
      <c r="BT17" s="134" t="str">
        <f>IF(COUNTIF(BT$6:BT16,B17)&gt;0,"",B17)&amp;""</f>
        <v/>
      </c>
      <c r="BU17" s="138">
        <f t="shared" si="8"/>
        <v>0</v>
      </c>
      <c r="BV17" s="132">
        <f t="shared" si="9"/>
        <v>1</v>
      </c>
      <c r="BW17" s="138">
        <f t="shared" si="10"/>
        <v>0</v>
      </c>
      <c r="BX17" s="132">
        <f t="shared" si="11"/>
        <v>1</v>
      </c>
      <c r="BY17" s="133"/>
      <c r="BZ17" s="133"/>
    </row>
    <row r="18" ht="15" customHeight="1" spans="1:79">
      <c r="A18" s="123" t="str">
        <f>IF(B18="","",COUNT(A$6:A17)+1)</f>
        <v/>
      </c>
      <c r="B18" s="139"/>
      <c r="C18" s="140"/>
      <c r="D18" s="142"/>
      <c r="E18" s="127" t="str">
        <f>IFERROR(VLOOKUP(D18,参数表!$H$2:$I$50,2,FALSE),"")</f>
        <v/>
      </c>
      <c r="F18" s="128" t="str">
        <f t="shared" si="2"/>
        <v/>
      </c>
      <c r="G18" s="178"/>
      <c r="H18" s="179"/>
      <c r="I18" s="174" t="str">
        <f t="shared" si="3"/>
        <v/>
      </c>
      <c r="J18" s="129" t="str">
        <f t="shared" si="4"/>
        <v/>
      </c>
      <c r="K18" s="145"/>
      <c r="BA18" s="78"/>
      <c r="BB18" s="132" t="s">
        <v>5609</v>
      </c>
      <c r="BC18" s="133"/>
      <c r="BD18" s="132" t="str">
        <f>IF(OR(B18="",BC18=""),"",COUNTIF(BC$7:BC18,"√"))</f>
        <v/>
      </c>
      <c r="BE18" s="134" t="str">
        <f t="shared" si="0"/>
        <v/>
      </c>
      <c r="BF18" s="135" t="str">
        <f t="shared" si="5"/>
        <v/>
      </c>
      <c r="BG18" s="135" t="str">
        <f t="shared" si="5"/>
        <v/>
      </c>
      <c r="BH18" s="136"/>
      <c r="BI18" s="137"/>
      <c r="BJ18" s="136"/>
      <c r="BK18" s="136"/>
      <c r="BL18" s="136"/>
      <c r="BM18" s="137"/>
      <c r="BO18" s="176"/>
      <c r="BP18" s="176"/>
      <c r="BQ18" s="172">
        <f t="shared" si="6"/>
        <v>0.25</v>
      </c>
      <c r="BR18" s="177">
        <f t="shared" si="7"/>
        <v>0</v>
      </c>
      <c r="BT18" s="134" t="str">
        <f>IF(COUNTIF(BT$6:BT17,B18)&gt;0,"",B18)&amp;""</f>
        <v/>
      </c>
      <c r="BU18" s="138">
        <f t="shared" si="8"/>
        <v>0</v>
      </c>
      <c r="BV18" s="132">
        <f t="shared" si="9"/>
        <v>1</v>
      </c>
      <c r="BW18" s="138">
        <f t="shared" si="10"/>
        <v>0</v>
      </c>
      <c r="BX18" s="132">
        <f t="shared" si="11"/>
        <v>1</v>
      </c>
      <c r="BY18" s="133"/>
      <c r="BZ18" s="133"/>
    </row>
    <row r="19" ht="15" customHeight="1" spans="1:79">
      <c r="A19" s="123" t="str">
        <f>IF(B19="","",COUNT(A$6:A18)+1)</f>
        <v/>
      </c>
      <c r="B19" s="139"/>
      <c r="C19" s="140"/>
      <c r="D19" s="142"/>
      <c r="E19" s="127" t="str">
        <f>IFERROR(VLOOKUP(D19,参数表!$H$2:$I$50,2,FALSE),"")</f>
        <v/>
      </c>
      <c r="F19" s="128" t="str">
        <f t="shared" si="2"/>
        <v/>
      </c>
      <c r="G19" s="178"/>
      <c r="H19" s="179"/>
      <c r="I19" s="174" t="str">
        <f t="shared" si="3"/>
        <v/>
      </c>
      <c r="J19" s="129" t="str">
        <f t="shared" si="4"/>
        <v/>
      </c>
      <c r="K19" s="145"/>
      <c r="BA19" s="78"/>
      <c r="BB19" s="132" t="s">
        <v>5610</v>
      </c>
      <c r="BC19" s="133"/>
      <c r="BD19" s="132" t="str">
        <f>IF(OR(B19="",BC19=""),"",COUNTIF(BC$7:BC19,"√"))</f>
        <v/>
      </c>
      <c r="BE19" s="134" t="str">
        <f t="shared" si="0"/>
        <v/>
      </c>
      <c r="BF19" s="135" t="str">
        <f t="shared" si="5"/>
        <v/>
      </c>
      <c r="BG19" s="135" t="str">
        <f t="shared" si="5"/>
        <v/>
      </c>
      <c r="BH19" s="136"/>
      <c r="BI19" s="137"/>
      <c r="BJ19" s="136"/>
      <c r="BK19" s="136"/>
      <c r="BL19" s="136"/>
      <c r="BM19" s="137"/>
      <c r="BO19" s="176"/>
      <c r="BP19" s="176"/>
      <c r="BQ19" s="172">
        <f t="shared" si="6"/>
        <v>0.25</v>
      </c>
      <c r="BR19" s="177">
        <f t="shared" si="7"/>
        <v>0</v>
      </c>
      <c r="BT19" s="134" t="str">
        <f>IF(COUNTIF(BT$6:BT18,B19)&gt;0,"",B19)&amp;""</f>
        <v/>
      </c>
      <c r="BU19" s="138">
        <f t="shared" si="8"/>
        <v>0</v>
      </c>
      <c r="BV19" s="132">
        <f t="shared" si="9"/>
        <v>1</v>
      </c>
      <c r="BW19" s="138">
        <f t="shared" si="10"/>
        <v>0</v>
      </c>
      <c r="BX19" s="132">
        <f t="shared" si="11"/>
        <v>1</v>
      </c>
      <c r="BY19" s="133"/>
      <c r="BZ19" s="133"/>
    </row>
    <row r="20" ht="15" customHeight="1" spans="1:79">
      <c r="A20" s="123" t="str">
        <f>IF(B20="","",COUNT(A$6:A19)+1)</f>
        <v/>
      </c>
      <c r="B20" s="139"/>
      <c r="C20" s="140"/>
      <c r="D20" s="142"/>
      <c r="E20" s="127" t="str">
        <f>IFERROR(VLOOKUP(D20,参数表!$H$2:$I$50,2,FALSE),"")</f>
        <v/>
      </c>
      <c r="F20" s="128" t="str">
        <f t="shared" si="2"/>
        <v/>
      </c>
      <c r="G20" s="178"/>
      <c r="H20" s="179"/>
      <c r="I20" s="174" t="str">
        <f t="shared" si="3"/>
        <v/>
      </c>
      <c r="J20" s="129" t="str">
        <f t="shared" si="4"/>
        <v/>
      </c>
      <c r="K20" s="145"/>
      <c r="BA20" s="78"/>
      <c r="BB20" s="132" t="s">
        <v>5611</v>
      </c>
      <c r="BC20" s="133"/>
      <c r="BD20" s="132" t="str">
        <f>IF(OR(B20="",BC20=""),"",COUNTIF(BC$7:BC20,"√"))</f>
        <v/>
      </c>
      <c r="BE20" s="134" t="str">
        <f t="shared" si="0"/>
        <v/>
      </c>
      <c r="BF20" s="135" t="str">
        <f t="shared" si="5"/>
        <v/>
      </c>
      <c r="BG20" s="135" t="str">
        <f t="shared" si="5"/>
        <v/>
      </c>
      <c r="BH20" s="136"/>
      <c r="BI20" s="137"/>
      <c r="BJ20" s="136"/>
      <c r="BK20" s="136"/>
      <c r="BL20" s="136"/>
      <c r="BM20" s="137"/>
      <c r="BO20" s="176"/>
      <c r="BP20" s="176"/>
      <c r="BQ20" s="172">
        <f t="shared" si="6"/>
        <v>0.25</v>
      </c>
      <c r="BR20" s="177">
        <f t="shared" si="7"/>
        <v>0</v>
      </c>
      <c r="BT20" s="134" t="str">
        <f>IF(COUNTIF(BT$6:BT19,B20)&gt;0,"",B20)&amp;""</f>
        <v/>
      </c>
      <c r="BU20" s="138">
        <f t="shared" si="8"/>
        <v>0</v>
      </c>
      <c r="BV20" s="132">
        <f t="shared" si="9"/>
        <v>1</v>
      </c>
      <c r="BW20" s="138">
        <f t="shared" si="10"/>
        <v>0</v>
      </c>
      <c r="BX20" s="132">
        <f t="shared" si="11"/>
        <v>1</v>
      </c>
      <c r="BY20" s="133"/>
      <c r="BZ20" s="133"/>
    </row>
    <row r="21" ht="15" customHeight="1" spans="1:79">
      <c r="A21" s="123" t="str">
        <f>IF(B21="","",COUNT(A$6:A20)+1)</f>
        <v/>
      </c>
      <c r="B21" s="139"/>
      <c r="C21" s="140"/>
      <c r="D21" s="142"/>
      <c r="E21" s="127" t="str">
        <f>IFERROR(VLOOKUP(D21,参数表!$H$2:$I$50,2,FALSE),"")</f>
        <v/>
      </c>
      <c r="F21" s="128" t="str">
        <f t="shared" si="2"/>
        <v/>
      </c>
      <c r="G21" s="178"/>
      <c r="H21" s="179"/>
      <c r="I21" s="174" t="str">
        <f t="shared" si="3"/>
        <v/>
      </c>
      <c r="J21" s="129" t="str">
        <f t="shared" si="4"/>
        <v/>
      </c>
      <c r="K21" s="145"/>
      <c r="BA21" s="78"/>
      <c r="BB21" s="132" t="s">
        <v>5612</v>
      </c>
      <c r="BC21" s="133"/>
      <c r="BD21" s="132" t="str">
        <f>IF(OR(B21="",BC21=""),"",COUNTIF(BC$7:BC21,"√"))</f>
        <v/>
      </c>
      <c r="BE21" s="134" t="str">
        <f t="shared" si="0"/>
        <v/>
      </c>
      <c r="BF21" s="135" t="str">
        <f t="shared" si="5"/>
        <v/>
      </c>
      <c r="BG21" s="135" t="str">
        <f t="shared" si="5"/>
        <v/>
      </c>
      <c r="BH21" s="136"/>
      <c r="BI21" s="137"/>
      <c r="BJ21" s="136"/>
      <c r="BK21" s="136"/>
      <c r="BL21" s="136"/>
      <c r="BM21" s="137"/>
      <c r="BO21" s="176"/>
      <c r="BP21" s="176"/>
      <c r="BQ21" s="172">
        <f t="shared" si="6"/>
        <v>0.25</v>
      </c>
      <c r="BR21" s="177">
        <f t="shared" si="7"/>
        <v>0</v>
      </c>
      <c r="BT21" s="134" t="str">
        <f>IF(COUNTIF(BT$6:BT20,B21)&gt;0,"",B21)&amp;""</f>
        <v/>
      </c>
      <c r="BU21" s="138">
        <f t="shared" si="8"/>
        <v>0</v>
      </c>
      <c r="BV21" s="132">
        <f t="shared" si="9"/>
        <v>1</v>
      </c>
      <c r="BW21" s="138">
        <f t="shared" si="10"/>
        <v>0</v>
      </c>
      <c r="BX21" s="132">
        <f t="shared" si="11"/>
        <v>1</v>
      </c>
      <c r="BY21" s="133"/>
      <c r="BZ21" s="133"/>
    </row>
    <row r="22" ht="15" customHeight="1" spans="1:79">
      <c r="A22" s="123" t="str">
        <f>IF(B22="","",COUNT(A$6:A21)+1)</f>
        <v/>
      </c>
      <c r="B22" s="139"/>
      <c r="C22" s="140"/>
      <c r="D22" s="142"/>
      <c r="E22" s="127" t="str">
        <f>IFERROR(VLOOKUP(D22,参数表!$H$2:$I$50,2,FALSE),"")</f>
        <v/>
      </c>
      <c r="F22" s="128" t="str">
        <f t="shared" si="2"/>
        <v/>
      </c>
      <c r="G22" s="178"/>
      <c r="H22" s="179"/>
      <c r="I22" s="174" t="str">
        <f t="shared" si="3"/>
        <v/>
      </c>
      <c r="J22" s="129" t="str">
        <f t="shared" si="4"/>
        <v/>
      </c>
      <c r="K22" s="145"/>
      <c r="BA22" s="78"/>
      <c r="BB22" s="132" t="s">
        <v>5613</v>
      </c>
      <c r="BC22" s="133"/>
      <c r="BD22" s="132" t="str">
        <f>IF(OR(B22="",BC22=""),"",COUNTIF(BC$7:BC22,"√"))</f>
        <v/>
      </c>
      <c r="BE22" s="134" t="str">
        <f t="shared" si="0"/>
        <v/>
      </c>
      <c r="BF22" s="135" t="str">
        <f t="shared" si="5"/>
        <v/>
      </c>
      <c r="BG22" s="135" t="str">
        <f t="shared" si="5"/>
        <v/>
      </c>
      <c r="BH22" s="136"/>
      <c r="BI22" s="137"/>
      <c r="BJ22" s="136"/>
      <c r="BK22" s="136"/>
      <c r="BL22" s="136"/>
      <c r="BM22" s="137"/>
      <c r="BO22" s="176"/>
      <c r="BP22" s="176"/>
      <c r="BQ22" s="172">
        <f t="shared" si="6"/>
        <v>0.25</v>
      </c>
      <c r="BR22" s="177">
        <f t="shared" si="7"/>
        <v>0</v>
      </c>
      <c r="BT22" s="134" t="str">
        <f>IF(COUNTIF(BT$6:BT21,B22)&gt;0,"",B22)&amp;""</f>
        <v/>
      </c>
      <c r="BU22" s="138">
        <f t="shared" si="8"/>
        <v>0</v>
      </c>
      <c r="BV22" s="132">
        <f t="shared" si="9"/>
        <v>1</v>
      </c>
      <c r="BW22" s="138">
        <f t="shared" si="10"/>
        <v>0</v>
      </c>
      <c r="BX22" s="132">
        <f t="shared" si="11"/>
        <v>1</v>
      </c>
      <c r="BY22" s="133"/>
      <c r="BZ22" s="133"/>
    </row>
    <row r="23" ht="15" customHeight="1" spans="1:79">
      <c r="A23" s="123" t="str">
        <f>IF(B23="","",COUNT(A$6:A22)+1)</f>
        <v/>
      </c>
      <c r="B23" s="139"/>
      <c r="C23" s="140"/>
      <c r="D23" s="142"/>
      <c r="E23" s="127" t="str">
        <f>IFERROR(VLOOKUP(D23,参数表!$H$2:$I$50,2,FALSE),"")</f>
        <v/>
      </c>
      <c r="F23" s="128" t="str">
        <f t="shared" si="2"/>
        <v/>
      </c>
      <c r="G23" s="178"/>
      <c r="H23" s="179"/>
      <c r="I23" s="174" t="str">
        <f t="shared" si="3"/>
        <v/>
      </c>
      <c r="J23" s="129" t="str">
        <f t="shared" si="4"/>
        <v/>
      </c>
      <c r="K23" s="145"/>
      <c r="BA23" s="78"/>
      <c r="BB23" s="132" t="s">
        <v>5614</v>
      </c>
      <c r="BC23" s="133"/>
      <c r="BD23" s="132" t="str">
        <f>IF(OR(B23="",BC23=""),"",COUNTIF(BC$7:BC23,"√"))</f>
        <v/>
      </c>
      <c r="BE23" s="134" t="str">
        <f t="shared" si="0"/>
        <v/>
      </c>
      <c r="BF23" s="135" t="str">
        <f t="shared" si="5"/>
        <v/>
      </c>
      <c r="BG23" s="135" t="str">
        <f t="shared" si="5"/>
        <v/>
      </c>
      <c r="BH23" s="136"/>
      <c r="BI23" s="137"/>
      <c r="BJ23" s="136"/>
      <c r="BK23" s="136"/>
      <c r="BL23" s="136"/>
      <c r="BM23" s="137"/>
      <c r="BO23" s="176"/>
      <c r="BP23" s="176"/>
      <c r="BQ23" s="172">
        <f t="shared" si="6"/>
        <v>0.25</v>
      </c>
      <c r="BR23" s="177">
        <f t="shared" si="7"/>
        <v>0</v>
      </c>
      <c r="BT23" s="134" t="str">
        <f>IF(COUNTIF(BT$6:BT22,B23)&gt;0,"",B23)&amp;""</f>
        <v/>
      </c>
      <c r="BU23" s="138">
        <f t="shared" si="8"/>
        <v>0</v>
      </c>
      <c r="BV23" s="132">
        <f t="shared" si="9"/>
        <v>1</v>
      </c>
      <c r="BW23" s="138">
        <f t="shared" si="10"/>
        <v>0</v>
      </c>
      <c r="BX23" s="132">
        <f t="shared" si="11"/>
        <v>1</v>
      </c>
      <c r="BY23" s="133"/>
      <c r="BZ23" s="133"/>
    </row>
    <row r="24" ht="15" customHeight="1" spans="1:79">
      <c r="A24" s="123" t="str">
        <f>IF(B24="","",COUNT(A$6:A23)+1)</f>
        <v/>
      </c>
      <c r="B24" s="139"/>
      <c r="C24" s="140"/>
      <c r="D24" s="142"/>
      <c r="E24" s="127" t="str">
        <f>IFERROR(VLOOKUP(D24,参数表!$H$2:$I$50,2,FALSE),"")</f>
        <v/>
      </c>
      <c r="F24" s="128" t="str">
        <f t="shared" si="2"/>
        <v/>
      </c>
      <c r="G24" s="178"/>
      <c r="H24" s="179"/>
      <c r="I24" s="174" t="str">
        <f t="shared" si="3"/>
        <v/>
      </c>
      <c r="J24" s="129" t="str">
        <f t="shared" si="4"/>
        <v/>
      </c>
      <c r="K24" s="145"/>
      <c r="BA24" s="78"/>
      <c r="BB24" s="132" t="s">
        <v>5615</v>
      </c>
      <c r="BC24" s="133"/>
      <c r="BD24" s="132" t="str">
        <f>IF(OR(B24="",BC24=""),"",COUNTIF(BC$7:BC24,"√"))</f>
        <v/>
      </c>
      <c r="BE24" s="134" t="str">
        <f t="shared" si="0"/>
        <v/>
      </c>
      <c r="BF24" s="135" t="str">
        <f t="shared" si="5"/>
        <v/>
      </c>
      <c r="BG24" s="135" t="str">
        <f t="shared" si="5"/>
        <v/>
      </c>
      <c r="BH24" s="136"/>
      <c r="BI24" s="137"/>
      <c r="BJ24" s="136"/>
      <c r="BK24" s="136"/>
      <c r="BL24" s="136"/>
      <c r="BM24" s="137"/>
      <c r="BO24" s="176"/>
      <c r="BP24" s="176"/>
      <c r="BQ24" s="172">
        <f t="shared" si="6"/>
        <v>0.25</v>
      </c>
      <c r="BR24" s="177">
        <f t="shared" si="7"/>
        <v>0</v>
      </c>
      <c r="BT24" s="134" t="str">
        <f>IF(COUNTIF(BT$6:BT23,B24)&gt;0,"",B24)&amp;""</f>
        <v/>
      </c>
      <c r="BU24" s="138">
        <f t="shared" si="8"/>
        <v>0</v>
      </c>
      <c r="BV24" s="132">
        <f t="shared" si="9"/>
        <v>1</v>
      </c>
      <c r="BW24" s="138">
        <f t="shared" si="10"/>
        <v>0</v>
      </c>
      <c r="BX24" s="132">
        <f t="shared" si="11"/>
        <v>1</v>
      </c>
      <c r="BY24" s="133"/>
      <c r="BZ24" s="133"/>
    </row>
    <row r="25" ht="15" customHeight="1" spans="1:79">
      <c r="A25" s="123" t="str">
        <f>IF(B25="","",COUNT(A$6:A24)+1)</f>
        <v/>
      </c>
      <c r="B25" s="139"/>
      <c r="C25" s="140"/>
      <c r="D25" s="142"/>
      <c r="E25" s="127" t="str">
        <f>IFERROR(VLOOKUP(D25,参数表!$H$2:$I$50,2,FALSE),"")</f>
        <v/>
      </c>
      <c r="F25" s="128" t="str">
        <f t="shared" si="2"/>
        <v/>
      </c>
      <c r="G25" s="178"/>
      <c r="H25" s="179"/>
      <c r="I25" s="174" t="str">
        <f t="shared" si="3"/>
        <v/>
      </c>
      <c r="J25" s="129" t="str">
        <f t="shared" si="4"/>
        <v/>
      </c>
      <c r="K25" s="145"/>
      <c r="BA25" s="78"/>
      <c r="BB25" s="132" t="s">
        <v>5616</v>
      </c>
      <c r="BC25" s="133"/>
      <c r="BD25" s="132" t="str">
        <f>IF(OR(B25="",BC25=""),"",COUNTIF(BC$7:BC25,"√"))</f>
        <v/>
      </c>
      <c r="BE25" s="134" t="str">
        <f t="shared" si="0"/>
        <v/>
      </c>
      <c r="BF25" s="135" t="str">
        <f t="shared" si="5"/>
        <v/>
      </c>
      <c r="BG25" s="135" t="str">
        <f t="shared" si="5"/>
        <v/>
      </c>
      <c r="BH25" s="136"/>
      <c r="BI25" s="137"/>
      <c r="BJ25" s="136"/>
      <c r="BK25" s="136"/>
      <c r="BL25" s="136"/>
      <c r="BM25" s="137"/>
      <c r="BO25" s="176"/>
      <c r="BP25" s="176"/>
      <c r="BQ25" s="172">
        <f t="shared" si="6"/>
        <v>0.25</v>
      </c>
      <c r="BR25" s="177">
        <f t="shared" si="7"/>
        <v>0</v>
      </c>
      <c r="BT25" s="134" t="str">
        <f>IF(COUNTIF(BT$6:BT24,B25)&gt;0,"",B25)&amp;""</f>
        <v/>
      </c>
      <c r="BU25" s="138">
        <f t="shared" si="8"/>
        <v>0</v>
      </c>
      <c r="BV25" s="132">
        <f t="shared" si="9"/>
        <v>1</v>
      </c>
      <c r="BW25" s="138">
        <f t="shared" si="10"/>
        <v>0</v>
      </c>
      <c r="BX25" s="132">
        <f t="shared" si="11"/>
        <v>1</v>
      </c>
      <c r="BY25" s="133"/>
      <c r="BZ25" s="133"/>
    </row>
    <row r="26" customHeight="1" spans="1:79">
      <c r="A26" s="123" t="str">
        <f>IF(B26="","",COUNT(A$6:A25)+1)</f>
        <v/>
      </c>
      <c r="B26" s="124"/>
      <c r="C26" s="125"/>
      <c r="D26" s="127"/>
      <c r="E26" s="127" t="str">
        <f>IFERROR(VLOOKUP(D26,参数表!$H$2:$I$50,2,FALSE),"")</f>
        <v/>
      </c>
      <c r="F26" s="128" t="str">
        <f t="shared" si="2"/>
        <v/>
      </c>
      <c r="G26" s="174"/>
      <c r="H26" s="175"/>
      <c r="I26" s="174" t="str">
        <f t="shared" si="3"/>
        <v/>
      </c>
      <c r="J26" s="129" t="str">
        <f t="shared" si="4"/>
        <v/>
      </c>
      <c r="K26" s="131"/>
      <c r="BA26" s="78"/>
      <c r="BB26" s="132" t="s">
        <v>5617</v>
      </c>
      <c r="BC26" s="133"/>
      <c r="BD26" s="132" t="str">
        <f>IF(OR(B26="",BC26=""),"",COUNTIF(BC$7:BC26,"√"))</f>
        <v/>
      </c>
      <c r="BE26" s="134" t="str">
        <f t="shared" si="0"/>
        <v/>
      </c>
      <c r="BF26" s="135" t="str">
        <f t="shared" si="5"/>
        <v/>
      </c>
      <c r="BG26" s="135" t="str">
        <f t="shared" si="5"/>
        <v/>
      </c>
      <c r="BH26" s="136"/>
      <c r="BI26" s="137"/>
      <c r="BJ26" s="136"/>
      <c r="BK26" s="136"/>
      <c r="BL26" s="136"/>
      <c r="BM26" s="137"/>
      <c r="BO26" s="176"/>
      <c r="BP26" s="176"/>
      <c r="BQ26" s="172">
        <f t="shared" si="6"/>
        <v>0.25</v>
      </c>
      <c r="BR26" s="177">
        <f t="shared" si="7"/>
        <v>0</v>
      </c>
      <c r="BT26" s="134" t="str">
        <f>IF(COUNTIF(BT$6:BT25,B26)&gt;0,"",B26)&amp;""</f>
        <v/>
      </c>
      <c r="BU26" s="138">
        <f t="shared" si="8"/>
        <v>0</v>
      </c>
      <c r="BV26" s="132">
        <f t="shared" si="9"/>
        <v>1</v>
      </c>
      <c r="BW26" s="138">
        <f t="shared" si="10"/>
        <v>0</v>
      </c>
      <c r="BX26" s="132">
        <f t="shared" si="11"/>
        <v>1</v>
      </c>
      <c r="BY26" s="133"/>
      <c r="BZ26" s="133"/>
    </row>
    <row r="27" s="73" customFormat="1" customHeight="1" spans="1:79">
      <c r="A27" s="149" t="s">
        <v>5281</v>
      </c>
      <c r="B27" s="149"/>
      <c r="C27" s="150"/>
      <c r="D27" s="151"/>
      <c r="E27" s="151"/>
      <c r="F27" s="151"/>
      <c r="G27" s="180">
        <f>SUM(G7:G26)</f>
        <v>0</v>
      </c>
      <c r="H27" s="181"/>
      <c r="I27" s="180">
        <f>SUM(I7:I26)</f>
        <v>0</v>
      </c>
      <c r="J27" s="180">
        <f>SUM(J7:J26)</f>
        <v>0</v>
      </c>
      <c r="K27" s="151"/>
      <c r="BF27" s="75"/>
      <c r="BG27" s="75"/>
      <c r="BH27" s="75"/>
      <c r="BI27" s="75"/>
      <c r="BJ27" s="75"/>
      <c r="BK27" s="75"/>
      <c r="BL27" s="75"/>
      <c r="BM27" s="75"/>
      <c r="BN27" s="75"/>
      <c r="BQ27" s="72"/>
      <c r="BS27" s="111"/>
      <c r="BT27" s="119"/>
      <c r="BU27" s="77"/>
      <c r="BV27" s="77"/>
      <c r="BW27" s="77"/>
      <c r="BX27" s="119"/>
      <c r="BY27" s="119"/>
      <c r="BZ27" s="119"/>
      <c r="CA27" s="111"/>
    </row>
    <row r="28" customHeight="1" spans="1:79">
      <c r="A28" s="102" t="str">
        <f>参数表!F$6</f>
        <v>产权持有单位填表人：贾广东</v>
      </c>
      <c r="B28" s="154"/>
      <c r="C28" s="154"/>
      <c r="D28" s="154"/>
      <c r="E28" s="154"/>
      <c r="F28" s="154"/>
      <c r="G28" s="154"/>
      <c r="H28" s="155"/>
      <c r="I28" s="154"/>
      <c r="J28" s="156" t="str">
        <f>"评估人员："&amp;封面!$G$38</f>
        <v>评估人员：</v>
      </c>
      <c r="K28" s="103"/>
    </row>
    <row r="29" customHeight="1" spans="1:79">
      <c r="A29" s="102" t="str">
        <f>参数表!F$7</f>
        <v>填表日期：2025年9月20日</v>
      </c>
      <c r="B29" s="154"/>
      <c r="C29" s="154"/>
      <c r="D29" s="154"/>
      <c r="E29" s="154"/>
      <c r="F29" s="154"/>
      <c r="G29" s="154"/>
      <c r="H29" s="155"/>
      <c r="I29" s="154"/>
      <c r="J29" s="103"/>
      <c r="K29" s="103"/>
    </row>
    <row r="30" hidden="1" customHeight="1" outlineLevel="1" spans="1:79">
      <c r="A30" s="157"/>
      <c r="B30" s="154" t="s">
        <v>1673</v>
      </c>
      <c r="C30" s="158"/>
      <c r="D30" s="158"/>
      <c r="E30" s="158"/>
      <c r="F30" s="158"/>
      <c r="G30" s="159">
        <f>SUMIF($BA7:$BA26,$BA30,G7:G26)</f>
        <v>0</v>
      </c>
      <c r="H30" s="160"/>
      <c r="I30" s="159">
        <f>SUMIF($BA7:$BA26,$BA30,I7:I26)</f>
        <v>0</v>
      </c>
      <c r="J30" s="159">
        <f>SUMIF($BA7:$BA26,$BA30,J7:J26)</f>
        <v>0</v>
      </c>
      <c r="BA30" s="161" t="s">
        <v>1674</v>
      </c>
      <c r="BH30" s="162" t="s">
        <v>1675</v>
      </c>
      <c r="BI30" s="163"/>
      <c r="BJ30" s="162" t="s">
        <v>1675</v>
      </c>
      <c r="BK30" s="162" t="s">
        <v>1675</v>
      </c>
      <c r="BL30" s="162" t="s">
        <v>1675</v>
      </c>
    </row>
    <row r="31" hidden="1" customHeight="1" outlineLevel="1" spans="1:79">
      <c r="A31" s="157"/>
      <c r="B31" s="154" t="s">
        <v>1676</v>
      </c>
      <c r="C31" s="158"/>
      <c r="D31" s="158"/>
      <c r="E31" s="158"/>
      <c r="F31" s="158"/>
      <c r="G31" s="159">
        <f>G27-G30</f>
        <v>0</v>
      </c>
      <c r="H31" s="160"/>
      <c r="I31" s="159">
        <f>I27-I30</f>
        <v>0</v>
      </c>
      <c r="J31" s="159">
        <f>J27-J30</f>
        <v>0</v>
      </c>
      <c r="BA31" s="161" t="s">
        <v>1677</v>
      </c>
      <c r="BH31" s="162" t="s">
        <v>1678</v>
      </c>
      <c r="BI31" s="163"/>
      <c r="BJ31" s="162" t="s">
        <v>1678</v>
      </c>
      <c r="BK31" s="162" t="s">
        <v>1678</v>
      </c>
      <c r="BL31" s="162" t="s">
        <v>1678</v>
      </c>
    </row>
    <row r="32" customHeight="1" collapsed="1" spans="1:79">
      <c r="A32" s="157"/>
      <c r="B32" s="158"/>
      <c r="C32" s="158"/>
      <c r="D32" s="158"/>
      <c r="E32" s="158"/>
      <c r="F32" s="158"/>
      <c r="G32" s="158"/>
      <c r="H32" s="164"/>
      <c r="I32" s="158"/>
    </row>
    <row r="33" customHeight="1" spans="1:9">
      <c r="A33" s="157"/>
      <c r="B33" s="158"/>
      <c r="C33" s="158"/>
      <c r="D33" s="158"/>
      <c r="E33" s="158"/>
      <c r="F33" s="158"/>
      <c r="G33" s="158"/>
      <c r="H33" s="164"/>
      <c r="I33" s="158"/>
    </row>
    <row r="34" customHeight="1" spans="1:9">
      <c r="A34" s="157"/>
      <c r="B34" s="158"/>
      <c r="C34" s="158"/>
      <c r="D34" s="158"/>
      <c r="E34" s="158"/>
      <c r="F34" s="158"/>
      <c r="G34" s="158"/>
      <c r="H34" s="164"/>
      <c r="I34" s="158"/>
    </row>
    <row r="35" customHeight="1" spans="1:9">
      <c r="A35" s="157"/>
      <c r="B35" s="158"/>
      <c r="C35" s="158"/>
      <c r="D35" s="158"/>
      <c r="E35" s="158"/>
      <c r="F35" s="158"/>
      <c r="G35" s="158"/>
      <c r="H35" s="164"/>
      <c r="I35" s="158"/>
    </row>
    <row r="36" customHeight="1" spans="1:9">
      <c r="A36" s="157"/>
      <c r="B36" s="158"/>
      <c r="C36" s="158"/>
      <c r="D36" s="158"/>
      <c r="E36" s="158"/>
      <c r="F36" s="158"/>
      <c r="G36" s="158"/>
      <c r="H36" s="164"/>
      <c r="I36" s="158"/>
    </row>
    <row r="37" customHeight="1" spans="1:9">
      <c r="D37" s="158"/>
      <c r="E37" s="158"/>
      <c r="F37" s="158"/>
    </row>
  </sheetData>
  <sheetProtection autoFilter="0"/>
  <mergeCells count="6">
    <mergeCell ref="A2:K2"/>
    <mergeCell ref="A3:K3"/>
    <mergeCell ref="BY7:CA7"/>
    <mergeCell ref="BY8:CA8"/>
    <mergeCell ref="BZ14:CA14"/>
    <mergeCell ref="A27:B27"/>
  </mergeCells>
  <conditionalFormatting sqref="BH7:BH26">
    <cfRule type="expression" dxfId="5" priority="6" stopIfTrue="1">
      <formula>AND($B7&lt;&gt;"",BH7="")</formula>
    </cfRule>
  </conditionalFormatting>
  <conditionalFormatting sqref="BI7:BI26">
    <cfRule type="expression" dxfId="5" priority="14" stopIfTrue="1">
      <formula>AND(BH7="有",BI7="")</formula>
    </cfRule>
  </conditionalFormatting>
  <conditionalFormatting sqref="BF7:BG26">
    <cfRule type="containsText" dxfId="6" priority="1" stopIfTrue="1" operator="between" text="出错">
      <formula>NOT(ISERROR(SEARCH("出错",BF7)))</formula>
    </cfRule>
  </conditionalFormatting>
  <conditionalFormatting sqref="BJ7:BL26">
    <cfRule type="expression" dxfId="5" priority="3" stopIfTrue="1">
      <formula>AND($B7&lt;&gt;"",BJ7="")</formula>
    </cfRule>
  </conditionalFormatting>
  <dataValidations count="4">
    <dataValidation type="list" allowBlank="1" showInputMessage="1" showErrorMessage="1" sqref="D7:D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L26">
      <formula1>BH$30:BH$31</formula1>
    </dataValidation>
  </dataValidations>
  <hyperlinks>
    <hyperlink ref="A1" location="索引目录!I25" display="返回索引页"/>
    <hyperlink ref="B1" location="'非流动负债汇总 '!B11"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0"/>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31.2" style="75" customWidth="1"/>
    <col min="3" max="3" width="12.2" style="75" customWidth="1"/>
    <col min="4" max="4" width="20" style="75" customWidth="1"/>
    <col min="5" max="6" width="4.6" style="75" customWidth="1" outlineLevel="1"/>
    <col min="7" max="7" width="6.1" style="75" customWidth="1" outlineLevel="1"/>
    <col min="8" max="8" width="18.6" style="75" customWidth="1" outlineLevel="1"/>
    <col min="9" max="9" width="18.6" style="76" customWidth="1" outlineLevel="1"/>
    <col min="10" max="12" width="18.6" style="75" customWidth="1"/>
    <col min="13"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0" width="4.7" style="75" customWidth="1"/>
    <col min="61" max="61" width="11.5" style="75" customWidth="1"/>
    <col min="62" max="65" width="4.7" style="75" customWidth="1"/>
    <col min="66" max="66" width="6.7" style="75" customWidth="1"/>
    <col min="67" max="67" width="10.3" style="75" customWidth="1"/>
    <col min="68" max="68" width="8.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70" customFormat="1" ht="12.45" customHeight="1" spans="1:77">
      <c r="A1" s="79" t="s">
        <v>1591</v>
      </c>
      <c r="B1" s="80" t="s">
        <v>1592</v>
      </c>
      <c r="C1" s="81"/>
      <c r="D1" s="81"/>
      <c r="E1" s="82"/>
      <c r="F1" s="82"/>
      <c r="G1" s="82"/>
      <c r="H1" s="81"/>
      <c r="I1" s="83"/>
      <c r="J1" s="81"/>
      <c r="K1" s="81"/>
      <c r="L1" s="81"/>
      <c r="BA1" s="84" t="str">
        <f>参数表!BA1</f>
        <v>注意：补充特殊事项、作价等均从BA列开始填写</v>
      </c>
      <c r="BB1" s="85"/>
      <c r="BC1" s="86"/>
      <c r="BD1" s="86"/>
      <c r="BE1" s="86"/>
      <c r="BF1" s="86"/>
      <c r="BG1" s="86"/>
      <c r="BH1" s="86"/>
      <c r="BI1" s="86"/>
      <c r="BJ1" s="86"/>
      <c r="BQ1" s="87"/>
      <c r="BR1" s="88"/>
      <c r="BS1" s="87"/>
      <c r="BT1" s="88"/>
      <c r="BU1" s="88"/>
      <c r="BV1" s="88"/>
      <c r="BW1" s="88"/>
      <c r="BX1" s="88"/>
      <c r="BY1" s="87"/>
    </row>
    <row r="2" s="71" customFormat="1" ht="30" customHeight="1" spans="1:77">
      <c r="A2" s="89" t="s">
        <v>5618</v>
      </c>
      <c r="B2" s="89"/>
      <c r="C2" s="89"/>
      <c r="D2" s="89"/>
      <c r="E2" s="89"/>
      <c r="F2" s="89"/>
      <c r="G2" s="89"/>
      <c r="H2" s="89"/>
      <c r="I2" s="89"/>
      <c r="J2" s="89"/>
      <c r="K2" s="89"/>
      <c r="L2" s="89"/>
      <c r="BA2" s="90" t="str">
        <f>参数表!BA2</f>
        <v>评估基准日：</v>
      </c>
      <c r="BB2" s="91" t="str">
        <f>参数表!$BB$2</f>
        <v>2025年7月31日</v>
      </c>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5"/>
      <c r="BA3" s="90" t="str">
        <f>参数表!BA3</f>
        <v>是否显示评估值：</v>
      </c>
      <c r="BB3" s="90" t="str">
        <f>参数表!$BB$3</f>
        <v>是</v>
      </c>
      <c r="BS3" s="78"/>
    </row>
    <row r="4" ht="15" customHeight="1" spans="1:77">
      <c r="A4" s="96"/>
      <c r="B4" s="94"/>
      <c r="C4" s="94"/>
      <c r="D4" s="94"/>
      <c r="E4" s="94"/>
      <c r="F4" s="94"/>
      <c r="G4" s="94"/>
      <c r="H4" s="94"/>
      <c r="I4" s="97"/>
      <c r="J4" s="94"/>
      <c r="K4" s="94"/>
      <c r="L4" s="98" t="str">
        <f>"表"&amp;$BA4</f>
        <v>表6-8</v>
      </c>
      <c r="BA4" s="99" t="str">
        <f>非流动负总!A14</f>
        <v>6-8</v>
      </c>
      <c r="BB4" s="100">
        <f>MAX(COUNTA(A7:A26),COUNTA(B7:B26),COUNTA(H7:H26),COUNTA(J7:J26))</f>
        <v>20</v>
      </c>
      <c r="BC4" s="101">
        <f>ROW(A6)+1</f>
        <v>7</v>
      </c>
      <c r="BD4" s="77"/>
      <c r="BE4" s="77"/>
      <c r="BS4" s="78"/>
    </row>
    <row r="5" ht="15" customHeight="1" spans="1:77">
      <c r="A5" s="102" t="str">
        <f>参数表!F3</f>
        <v>产权持有单位:中煤第五建设有限公司</v>
      </c>
      <c r="B5" s="103"/>
      <c r="C5" s="103"/>
      <c r="D5" s="103"/>
      <c r="E5" s="103"/>
      <c r="F5" s="103"/>
      <c r="G5" s="103"/>
      <c r="H5" s="103"/>
      <c r="I5" s="104"/>
      <c r="J5" s="103"/>
      <c r="K5" s="103"/>
      <c r="L5" s="98" t="s">
        <v>236</v>
      </c>
      <c r="BA5" s="103"/>
      <c r="BB5" s="105" t="str">
        <f ca="1">判断表!C125</f>
        <v>中煤第五建设有限公司第三工程处拟处置实物资产项目\[0000-3基础法明细表.xlsx]其他非负</v>
      </c>
      <c r="BC5" s="106">
        <f>IFERROR(SUMIF(BC7:BC26,"√",J7:J26)/J27,0)</f>
        <v>0</v>
      </c>
      <c r="BD5" s="107"/>
      <c r="BE5" s="107"/>
      <c r="BF5" s="108">
        <f>分类汇总!$I67</f>
        <v>0</v>
      </c>
      <c r="BG5" s="108">
        <f>分类汇总!$K67</f>
        <v>0</v>
      </c>
      <c r="BH5" s="109"/>
      <c r="BI5" s="109"/>
      <c r="BJ5" s="109"/>
      <c r="BK5" s="109"/>
      <c r="BL5" s="109"/>
      <c r="BM5" s="109"/>
      <c r="BN5" s="109"/>
      <c r="BO5" s="110"/>
      <c r="BP5" s="110"/>
      <c r="BQ5" s="111"/>
      <c r="BS5" s="78"/>
      <c r="BY5" s="111"/>
    </row>
    <row r="6" s="72" customFormat="1" ht="25.2" customHeight="1" spans="1:77">
      <c r="A6" s="112" t="s">
        <v>305</v>
      </c>
      <c r="B6" s="113" t="s">
        <v>1897</v>
      </c>
      <c r="C6" s="113" t="s">
        <v>1961</v>
      </c>
      <c r="D6" s="113" t="s">
        <v>3342</v>
      </c>
      <c r="E6" s="114" t="s">
        <v>1631</v>
      </c>
      <c r="F6" s="115" t="s">
        <v>1632</v>
      </c>
      <c r="G6" s="116" t="s">
        <v>3793</v>
      </c>
      <c r="H6" s="113" t="s">
        <v>1549</v>
      </c>
      <c r="I6" s="117" t="s">
        <v>1634</v>
      </c>
      <c r="J6" s="118" t="s">
        <v>1523</v>
      </c>
      <c r="K6" s="113" t="s">
        <v>1550</v>
      </c>
      <c r="L6" s="113" t="s">
        <v>308</v>
      </c>
      <c r="BA6" s="100" t="s">
        <v>1545</v>
      </c>
      <c r="BB6" s="100" t="s">
        <v>1635</v>
      </c>
      <c r="BC6" s="100" t="s">
        <v>1636</v>
      </c>
      <c r="BD6" s="100" t="s">
        <v>1637</v>
      </c>
      <c r="BE6" s="100" t="s">
        <v>1638</v>
      </c>
      <c r="BF6" s="115" t="s">
        <v>1639</v>
      </c>
      <c r="BG6" s="115" t="s">
        <v>1640</v>
      </c>
      <c r="BH6" s="118" t="s">
        <v>1748</v>
      </c>
      <c r="BI6" s="118" t="s">
        <v>4217</v>
      </c>
      <c r="BJ6" s="118" t="s">
        <v>1712</v>
      </c>
      <c r="BK6" s="118" t="s">
        <v>3696</v>
      </c>
      <c r="BL6" s="118" t="s">
        <v>4355</v>
      </c>
      <c r="BM6" s="118" t="s">
        <v>1686</v>
      </c>
      <c r="BN6" s="118" t="s">
        <v>1687</v>
      </c>
      <c r="BO6" s="118" t="s">
        <v>2063</v>
      </c>
      <c r="BP6" s="118" t="s">
        <v>1644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5"/>
      <c r="D7" s="126"/>
      <c r="E7" s="127"/>
      <c r="F7" s="127" t="str">
        <f>IFERROR(VLOOKUP(E7,参数表!$H$2:$I$50,2,FALSE),"")</f>
        <v/>
      </c>
      <c r="G7" s="128" t="str">
        <f>IFERROR(IF(OR(E7="人民币",E7=""),"",J7/F7),"")</f>
        <v/>
      </c>
      <c r="H7" s="129"/>
      <c r="I7" s="130"/>
      <c r="J7" s="129" t="str">
        <f>IF(B7="","",H7+I7)</f>
        <v/>
      </c>
      <c r="K7" s="129" t="str">
        <f t="shared" ref="K7:K26" si="0">IF(B7="","",IF($BB$3="是",J7,""))</f>
        <v/>
      </c>
      <c r="L7" s="131"/>
      <c r="BA7" s="78"/>
      <c r="BB7" s="132" t="s">
        <v>5619</v>
      </c>
      <c r="BC7" s="133"/>
      <c r="BD7" s="132" t="str">
        <f>IF(OR(B7="",BC7=""),"",COUNTIF(BC$7:BC7,"√"))</f>
        <v/>
      </c>
      <c r="BE7" s="134" t="str">
        <f t="shared" ref="BE7:BE26" si="1">IF(BC7="","",BB7&amp;"︱"&amp;B7&amp;"︱"&amp;TEXT(H7,"#,##0.00"))</f>
        <v/>
      </c>
      <c r="BF7" s="135" t="str">
        <f>IF($B7="","",IF(BF$5=0,"OK","出错"))</f>
        <v/>
      </c>
      <c r="BG7" s="135" t="str">
        <f>IF($B7="","",IF(BG$5=0,"OK","出错"))</f>
        <v/>
      </c>
      <c r="BH7" s="136"/>
      <c r="BI7" s="137"/>
      <c r="BJ7" s="136"/>
      <c r="BK7" s="136"/>
      <c r="BL7" s="136"/>
      <c r="BM7" s="136"/>
      <c r="BN7" s="136"/>
      <c r="BO7" s="137"/>
      <c r="BP7" s="137"/>
      <c r="BR7" s="134" t="str">
        <f>IF(COUNTIF(BR$6:BR6,D7)&gt;0,"",D7)&amp;""</f>
        <v/>
      </c>
      <c r="BS7" s="138">
        <f>SUMIF(D$7:D$26,BR7,J$7:J$26)</f>
        <v>0</v>
      </c>
      <c r="BT7" s="132">
        <f t="shared" ref="BT7" si="2">RANK(BS7,BS$7:BS$26)</f>
        <v>1</v>
      </c>
      <c r="BU7" s="138">
        <f>SUMIF(D$7:D$26,BR7,K$7:K$26)</f>
        <v>0</v>
      </c>
      <c r="BV7" s="132">
        <f>RANK(BU7,BU$7:BU$26)</f>
        <v>1</v>
      </c>
      <c r="BW7" s="138">
        <f>SUM(BS7:BS26)</f>
        <v>0</v>
      </c>
      <c r="BX7" s="138"/>
      <c r="BY7" s="138"/>
    </row>
    <row r="8" ht="15" customHeight="1" spans="1:77">
      <c r="A8" s="123" t="str">
        <f>IF(B8="","",COUNT(A$6:A7)+1)</f>
        <v/>
      </c>
      <c r="B8" s="139"/>
      <c r="C8" s="140"/>
      <c r="D8" s="141"/>
      <c r="E8" s="142"/>
      <c r="F8" s="127" t="str">
        <f>IFERROR(VLOOKUP(E8,参数表!$H$2:$I$50,2,FALSE),"")</f>
        <v/>
      </c>
      <c r="G8" s="128" t="str">
        <f t="shared" ref="G8:G26" si="3">IFERROR(IF(OR(E8="人民币",E8=""),"",J8/F8),"")</f>
        <v/>
      </c>
      <c r="H8" s="143"/>
      <c r="I8" s="144"/>
      <c r="J8" s="129" t="str">
        <f t="shared" ref="J8:J26" si="4">IF(B8="","",H8+I8)</f>
        <v/>
      </c>
      <c r="K8" s="129" t="str">
        <f t="shared" si="0"/>
        <v/>
      </c>
      <c r="L8" s="145"/>
      <c r="BA8" s="78"/>
      <c r="BB8" s="132" t="s">
        <v>5620</v>
      </c>
      <c r="BC8" s="133"/>
      <c r="BD8" s="132" t="str">
        <f>IF(OR(B8="",BC8=""),"",COUNTIF(BC$7:BC8,"√"))</f>
        <v/>
      </c>
      <c r="BE8" s="134" t="str">
        <f t="shared" si="1"/>
        <v/>
      </c>
      <c r="BF8" s="135" t="str">
        <f t="shared" ref="BF8:BG26" si="5">IF($B8="","",IF(BF$5=0,"OK","出错"))</f>
        <v/>
      </c>
      <c r="BG8" s="135" t="str">
        <f t="shared" si="5"/>
        <v/>
      </c>
      <c r="BH8" s="136"/>
      <c r="BI8" s="137"/>
      <c r="BJ8" s="136"/>
      <c r="BK8" s="136"/>
      <c r="BL8" s="136"/>
      <c r="BM8" s="136"/>
      <c r="BN8" s="136"/>
      <c r="BO8" s="137"/>
      <c r="BP8" s="137"/>
      <c r="BR8" s="134" t="str">
        <f>IF(COUNTIF(BR$6:BR7,D8)&gt;0,"",D8)&amp;""</f>
        <v/>
      </c>
      <c r="BS8" s="138">
        <f t="shared" ref="BS8:BS26" si="6">SUMIF(D$7:D$26,BR8,J$7:J$26)</f>
        <v>0</v>
      </c>
      <c r="BT8" s="132">
        <f t="shared" ref="BT8:BT26" si="7">RANK(BS8,BS$7:BS$26)</f>
        <v>1</v>
      </c>
      <c r="BU8" s="138">
        <f t="shared" ref="BU8:BU26" si="8">SUMIF(D$7:D$26,BR8,K$7:K$26)</f>
        <v>0</v>
      </c>
      <c r="BV8" s="132">
        <f t="shared" ref="BV8:BV26" si="9">RANK(BU8,BU$7:BU$26)</f>
        <v>1</v>
      </c>
      <c r="BW8" s="138">
        <f>SUM(BU7:BU26)</f>
        <v>0</v>
      </c>
      <c r="BX8" s="138"/>
      <c r="BY8" s="138"/>
    </row>
    <row r="9" ht="15" customHeight="1" spans="1:77">
      <c r="A9" s="123" t="str">
        <f>IF(B9="","",COUNT(A$6:A8)+1)</f>
        <v/>
      </c>
      <c r="B9" s="139"/>
      <c r="C9" s="140"/>
      <c r="D9" s="141"/>
      <c r="E9" s="142"/>
      <c r="F9" s="127" t="str">
        <f>IFERROR(VLOOKUP(E9,参数表!$H$2:$I$50,2,FALSE),"")</f>
        <v/>
      </c>
      <c r="G9" s="128" t="str">
        <f t="shared" si="3"/>
        <v/>
      </c>
      <c r="H9" s="143"/>
      <c r="I9" s="144"/>
      <c r="J9" s="129" t="str">
        <f t="shared" si="4"/>
        <v/>
      </c>
      <c r="K9" s="129" t="str">
        <f t="shared" si="0"/>
        <v/>
      </c>
      <c r="L9" s="145"/>
      <c r="BA9" s="78"/>
      <c r="BB9" s="132" t="s">
        <v>5621</v>
      </c>
      <c r="BC9" s="133"/>
      <c r="BD9" s="132" t="str">
        <f>IF(OR(B9="",BC9=""),"",COUNTIF(BC$7:BC9,"√"))</f>
        <v/>
      </c>
      <c r="BE9" s="134" t="str">
        <f t="shared" si="1"/>
        <v/>
      </c>
      <c r="BF9" s="135" t="str">
        <f t="shared" si="5"/>
        <v/>
      </c>
      <c r="BG9" s="135" t="str">
        <f t="shared" si="5"/>
        <v/>
      </c>
      <c r="BH9" s="136"/>
      <c r="BI9" s="137"/>
      <c r="BJ9" s="136"/>
      <c r="BK9" s="136"/>
      <c r="BL9" s="136"/>
      <c r="BM9" s="136"/>
      <c r="BN9" s="136"/>
      <c r="BO9" s="137"/>
      <c r="BP9" s="137"/>
      <c r="BR9" s="134" t="str">
        <f>IF(COUNTIF(BR$6:BR8,D9)&gt;0,"",D9)&amp;""</f>
        <v/>
      </c>
      <c r="BS9" s="138">
        <f t="shared" si="6"/>
        <v>0</v>
      </c>
      <c r="BT9" s="132">
        <f t="shared" si="7"/>
        <v>1</v>
      </c>
      <c r="BU9" s="138">
        <f t="shared" si="8"/>
        <v>0</v>
      </c>
      <c r="BV9" s="132">
        <f t="shared" si="9"/>
        <v>1</v>
      </c>
      <c r="BW9" s="132">
        <v>1</v>
      </c>
      <c r="BX9" s="134" t="str">
        <f>IFERROR(INDEX(BR$7:BR$26,MATCH(BW9,IF(BW$7=0,BV$7:BV$26,BT$7:BT$26),0))&amp;"","")</f>
        <v/>
      </c>
      <c r="BY9" s="146" t="str">
        <f>IF(BX10="","",IF(BX11="","和","、"))</f>
        <v/>
      </c>
    </row>
    <row r="10" ht="15" customHeight="1" spans="1:77">
      <c r="A10" s="123" t="str">
        <f>IF(B10="","",COUNT(A$6:A9)+1)</f>
        <v/>
      </c>
      <c r="B10" s="139"/>
      <c r="C10" s="140"/>
      <c r="D10" s="141"/>
      <c r="E10" s="142"/>
      <c r="F10" s="127" t="str">
        <f>IFERROR(VLOOKUP(E10,参数表!$H$2:$I$50,2,FALSE),"")</f>
        <v/>
      </c>
      <c r="G10" s="128" t="str">
        <f t="shared" si="3"/>
        <v/>
      </c>
      <c r="H10" s="143"/>
      <c r="I10" s="144"/>
      <c r="J10" s="129" t="str">
        <f t="shared" si="4"/>
        <v/>
      </c>
      <c r="K10" s="129" t="str">
        <f t="shared" si="0"/>
        <v/>
      </c>
      <c r="L10" s="145"/>
      <c r="BA10" s="78"/>
      <c r="BB10" s="132" t="s">
        <v>5622</v>
      </c>
      <c r="BC10" s="133"/>
      <c r="BD10" s="132" t="str">
        <f>IF(OR(B10="",BC10=""),"",COUNTIF(BC$7:BC10,"√"))</f>
        <v/>
      </c>
      <c r="BE10" s="134" t="str">
        <f t="shared" si="1"/>
        <v/>
      </c>
      <c r="BF10" s="135" t="str">
        <f t="shared" si="5"/>
        <v/>
      </c>
      <c r="BG10" s="135" t="str">
        <f t="shared" si="5"/>
        <v/>
      </c>
      <c r="BH10" s="136"/>
      <c r="BI10" s="137"/>
      <c r="BJ10" s="136"/>
      <c r="BK10" s="136"/>
      <c r="BL10" s="136"/>
      <c r="BM10" s="136"/>
      <c r="BN10" s="136"/>
      <c r="BO10" s="137"/>
      <c r="BP10" s="137"/>
      <c r="BR10" s="134" t="str">
        <f>IF(COUNTIF(BR$6:BR9,D10)&gt;0,"",D10)&amp;""</f>
        <v/>
      </c>
      <c r="BS10" s="138">
        <f t="shared" si="6"/>
        <v>0</v>
      </c>
      <c r="BT10" s="132">
        <f t="shared" si="7"/>
        <v>1</v>
      </c>
      <c r="BU10" s="138">
        <f t="shared" si="8"/>
        <v>0</v>
      </c>
      <c r="BV10" s="132">
        <f t="shared" si="9"/>
        <v>1</v>
      </c>
      <c r="BW10" s="132">
        <v>2</v>
      </c>
      <c r="BX10" s="134" t="str">
        <f t="shared" ref="BX10:BX13" si="10">IFERROR(INDEX(BR$7:BR$26,MATCH(BW10,IF(BW$7=0,BV$7:BV$26,BT$7:BT$26),0))&amp;"","")</f>
        <v/>
      </c>
      <c r="BY10" s="146" t="str">
        <f t="shared" ref="BY10:BY11" si="11">IF(BX11="","",IF(BX12="","和","、"))</f>
        <v/>
      </c>
    </row>
    <row r="11" ht="15" customHeight="1" spans="1:77">
      <c r="A11" s="123" t="str">
        <f>IF(B11="","",COUNT(A$6:A10)+1)</f>
        <v/>
      </c>
      <c r="B11" s="139"/>
      <c r="C11" s="140"/>
      <c r="D11" s="141"/>
      <c r="E11" s="142"/>
      <c r="F11" s="127" t="str">
        <f>IFERROR(VLOOKUP(E11,参数表!$H$2:$I$50,2,FALSE),"")</f>
        <v/>
      </c>
      <c r="G11" s="128" t="str">
        <f t="shared" si="3"/>
        <v/>
      </c>
      <c r="H11" s="143"/>
      <c r="I11" s="144"/>
      <c r="J11" s="129" t="str">
        <f t="shared" si="4"/>
        <v/>
      </c>
      <c r="K11" s="129" t="str">
        <f t="shared" si="0"/>
        <v/>
      </c>
      <c r="L11" s="145"/>
      <c r="BA11" s="78"/>
      <c r="BB11" s="132" t="s">
        <v>5623</v>
      </c>
      <c r="BC11" s="133"/>
      <c r="BD11" s="132" t="str">
        <f>IF(OR(B11="",BC11=""),"",COUNTIF(BC$7:BC11,"√"))</f>
        <v/>
      </c>
      <c r="BE11" s="134" t="str">
        <f t="shared" si="1"/>
        <v/>
      </c>
      <c r="BF11" s="135" t="str">
        <f t="shared" si="5"/>
        <v/>
      </c>
      <c r="BG11" s="135" t="str">
        <f t="shared" si="5"/>
        <v/>
      </c>
      <c r="BH11" s="136"/>
      <c r="BI11" s="137"/>
      <c r="BJ11" s="136"/>
      <c r="BK11" s="136"/>
      <c r="BL11" s="136"/>
      <c r="BM11" s="136"/>
      <c r="BN11" s="136"/>
      <c r="BO11" s="137"/>
      <c r="BP11" s="137"/>
      <c r="BR11" s="134" t="str">
        <f>IF(COUNTIF(BR$6:BR10,D11)&gt;0,"",D11)&amp;""</f>
        <v/>
      </c>
      <c r="BS11" s="138">
        <f t="shared" si="6"/>
        <v>0</v>
      </c>
      <c r="BT11" s="132">
        <f t="shared" si="7"/>
        <v>1</v>
      </c>
      <c r="BU11" s="138">
        <f t="shared" si="8"/>
        <v>0</v>
      </c>
      <c r="BV11" s="132">
        <f t="shared" si="9"/>
        <v>1</v>
      </c>
      <c r="BW11" s="132">
        <v>3</v>
      </c>
      <c r="BX11" s="134" t="str">
        <f t="shared" si="10"/>
        <v/>
      </c>
      <c r="BY11" s="146" t="str">
        <f t="shared" si="11"/>
        <v/>
      </c>
    </row>
    <row r="12" ht="15" customHeight="1" spans="1:77">
      <c r="A12" s="123" t="str">
        <f>IF(B12="","",COUNT(A$6:A11)+1)</f>
        <v/>
      </c>
      <c r="B12" s="139"/>
      <c r="C12" s="140"/>
      <c r="D12" s="141"/>
      <c r="E12" s="142"/>
      <c r="F12" s="127" t="str">
        <f>IFERROR(VLOOKUP(E12,参数表!$H$2:$I$50,2,FALSE),"")</f>
        <v/>
      </c>
      <c r="G12" s="128" t="str">
        <f t="shared" si="3"/>
        <v/>
      </c>
      <c r="H12" s="143"/>
      <c r="I12" s="144"/>
      <c r="J12" s="129" t="str">
        <f t="shared" si="4"/>
        <v/>
      </c>
      <c r="K12" s="129" t="str">
        <f t="shared" si="0"/>
        <v/>
      </c>
      <c r="L12" s="145"/>
      <c r="BA12" s="78"/>
      <c r="BB12" s="132" t="s">
        <v>5624</v>
      </c>
      <c r="BC12" s="133"/>
      <c r="BD12" s="132" t="str">
        <f>IF(OR(B12="",BC12=""),"",COUNTIF(BC$7:BC12,"√"))</f>
        <v/>
      </c>
      <c r="BE12" s="134" t="str">
        <f t="shared" si="1"/>
        <v/>
      </c>
      <c r="BF12" s="135" t="str">
        <f t="shared" si="5"/>
        <v/>
      </c>
      <c r="BG12" s="135" t="str">
        <f t="shared" si="5"/>
        <v/>
      </c>
      <c r="BH12" s="136"/>
      <c r="BI12" s="137"/>
      <c r="BJ12" s="136"/>
      <c r="BK12" s="136"/>
      <c r="BL12" s="136"/>
      <c r="BM12" s="136"/>
      <c r="BN12" s="136"/>
      <c r="BO12" s="137"/>
      <c r="BP12" s="137"/>
      <c r="BR12" s="134" t="str">
        <f>IF(COUNTIF(BR$6:BR11,D12)&gt;0,"",D12)&amp;""</f>
        <v/>
      </c>
      <c r="BS12" s="138">
        <f t="shared" si="6"/>
        <v>0</v>
      </c>
      <c r="BT12" s="132">
        <f t="shared" si="7"/>
        <v>1</v>
      </c>
      <c r="BU12" s="138">
        <f t="shared" si="8"/>
        <v>0</v>
      </c>
      <c r="BV12" s="132">
        <f t="shared" si="9"/>
        <v>1</v>
      </c>
      <c r="BW12" s="132">
        <v>4</v>
      </c>
      <c r="BX12" s="134" t="str">
        <f t="shared" si="10"/>
        <v/>
      </c>
      <c r="BY12" s="146" t="str">
        <f>IF(BX13="","","和")</f>
        <v/>
      </c>
    </row>
    <row r="13" ht="15" customHeight="1" spans="1:77">
      <c r="A13" s="123" t="str">
        <f>IF(B13="","",COUNT(A$6:A12)+1)</f>
        <v/>
      </c>
      <c r="B13" s="139"/>
      <c r="C13" s="140"/>
      <c r="D13" s="141"/>
      <c r="E13" s="142"/>
      <c r="F13" s="127" t="str">
        <f>IFERROR(VLOOKUP(E13,参数表!$H$2:$I$50,2,FALSE),"")</f>
        <v/>
      </c>
      <c r="G13" s="128" t="str">
        <f t="shared" si="3"/>
        <v/>
      </c>
      <c r="H13" s="143"/>
      <c r="I13" s="144"/>
      <c r="J13" s="129" t="str">
        <f t="shared" si="4"/>
        <v/>
      </c>
      <c r="K13" s="129" t="str">
        <f t="shared" si="0"/>
        <v/>
      </c>
      <c r="L13" s="145"/>
      <c r="BA13" s="78"/>
      <c r="BB13" s="132" t="s">
        <v>5625</v>
      </c>
      <c r="BC13" s="133"/>
      <c r="BD13" s="132" t="str">
        <f>IF(OR(B13="",BC13=""),"",COUNTIF(BC$7:BC13,"√"))</f>
        <v/>
      </c>
      <c r="BE13" s="134" t="str">
        <f t="shared" si="1"/>
        <v/>
      </c>
      <c r="BF13" s="135" t="str">
        <f t="shared" si="5"/>
        <v/>
      </c>
      <c r="BG13" s="135" t="str">
        <f t="shared" si="5"/>
        <v/>
      </c>
      <c r="BH13" s="136"/>
      <c r="BI13" s="137"/>
      <c r="BJ13" s="136"/>
      <c r="BK13" s="136"/>
      <c r="BL13" s="136"/>
      <c r="BM13" s="136"/>
      <c r="BN13" s="136"/>
      <c r="BO13" s="137"/>
      <c r="BP13" s="137"/>
      <c r="BR13" s="134" t="str">
        <f>IF(COUNTIF(BR$6:BR12,D13)&gt;0,"",D13)&amp;""</f>
        <v/>
      </c>
      <c r="BS13" s="138">
        <f t="shared" si="6"/>
        <v>0</v>
      </c>
      <c r="BT13" s="132">
        <f t="shared" si="7"/>
        <v>1</v>
      </c>
      <c r="BU13" s="138">
        <f t="shared" si="8"/>
        <v>0</v>
      </c>
      <c r="BV13" s="132">
        <f t="shared" si="9"/>
        <v>1</v>
      </c>
      <c r="BW13" s="132">
        <v>5</v>
      </c>
      <c r="BX13" s="134" t="str">
        <f t="shared" si="10"/>
        <v/>
      </c>
      <c r="BY13" s="146"/>
    </row>
    <row r="14" ht="15" customHeight="1" spans="1:77">
      <c r="A14" s="123" t="str">
        <f>IF(B14="","",COUNT(A$6:A13)+1)</f>
        <v/>
      </c>
      <c r="B14" s="139"/>
      <c r="C14" s="140"/>
      <c r="D14" s="141"/>
      <c r="E14" s="142"/>
      <c r="F14" s="127" t="str">
        <f>IFERROR(VLOOKUP(E14,参数表!$H$2:$I$50,2,FALSE),"")</f>
        <v/>
      </c>
      <c r="G14" s="128" t="str">
        <f t="shared" si="3"/>
        <v/>
      </c>
      <c r="H14" s="143"/>
      <c r="I14" s="144"/>
      <c r="J14" s="129" t="str">
        <f t="shared" si="4"/>
        <v/>
      </c>
      <c r="K14" s="129" t="str">
        <f t="shared" si="0"/>
        <v/>
      </c>
      <c r="L14" s="145"/>
      <c r="BA14" s="78"/>
      <c r="BB14" s="132" t="s">
        <v>5626</v>
      </c>
      <c r="BC14" s="133"/>
      <c r="BD14" s="132" t="str">
        <f>IF(OR(B14="",BC14=""),"",COUNTIF(BC$7:BC14,"√"))</f>
        <v/>
      </c>
      <c r="BE14" s="134" t="str">
        <f t="shared" si="1"/>
        <v/>
      </c>
      <c r="BF14" s="135" t="str">
        <f t="shared" si="5"/>
        <v/>
      </c>
      <c r="BG14" s="135" t="str">
        <f t="shared" si="5"/>
        <v/>
      </c>
      <c r="BH14" s="136"/>
      <c r="BI14" s="137"/>
      <c r="BJ14" s="136"/>
      <c r="BK14" s="136"/>
      <c r="BL14" s="136"/>
      <c r="BM14" s="136"/>
      <c r="BN14" s="136"/>
      <c r="BO14" s="137"/>
      <c r="BP14" s="137"/>
      <c r="BR14" s="134" t="str">
        <f>IF(COUNTIF(BR$6:BR13,D14)&gt;0,"",D14)&amp;""</f>
        <v/>
      </c>
      <c r="BS14" s="138">
        <f t="shared" si="6"/>
        <v>0</v>
      </c>
      <c r="BT14" s="132">
        <f t="shared" si="7"/>
        <v>1</v>
      </c>
      <c r="BU14" s="138">
        <f t="shared" si="8"/>
        <v>0</v>
      </c>
      <c r="BV14" s="132">
        <f t="shared" si="9"/>
        <v>1</v>
      </c>
      <c r="BW14" s="147" t="s">
        <v>1659</v>
      </c>
      <c r="BX14" s="132" t="str">
        <f>CONCATENATE(BX9,BY9,BX10,BY10,BX11,BY11,BX12,BY12,BX13)</f>
        <v/>
      </c>
      <c r="BY14" s="132"/>
    </row>
    <row r="15" ht="15" customHeight="1" spans="1:77">
      <c r="A15" s="123" t="str">
        <f>IF(B15="","",COUNT(A$6:A14)+1)</f>
        <v/>
      </c>
      <c r="B15" s="139"/>
      <c r="C15" s="140"/>
      <c r="D15" s="141"/>
      <c r="E15" s="142"/>
      <c r="F15" s="127" t="str">
        <f>IFERROR(VLOOKUP(E15,参数表!$H$2:$I$50,2,FALSE),"")</f>
        <v/>
      </c>
      <c r="G15" s="128" t="str">
        <f t="shared" si="3"/>
        <v/>
      </c>
      <c r="H15" s="143"/>
      <c r="I15" s="144"/>
      <c r="J15" s="129" t="str">
        <f t="shared" si="4"/>
        <v/>
      </c>
      <c r="K15" s="129" t="str">
        <f t="shared" si="0"/>
        <v/>
      </c>
      <c r="L15" s="145"/>
      <c r="BA15" s="78"/>
      <c r="BB15" s="132" t="s">
        <v>5627</v>
      </c>
      <c r="BC15" s="133"/>
      <c r="BD15" s="132" t="str">
        <f>IF(OR(B15="",BC15=""),"",COUNTIF(BC$7:BC15,"√"))</f>
        <v/>
      </c>
      <c r="BE15" s="134" t="str">
        <f t="shared" si="1"/>
        <v/>
      </c>
      <c r="BF15" s="135" t="str">
        <f t="shared" si="5"/>
        <v/>
      </c>
      <c r="BG15" s="135" t="str">
        <f t="shared" si="5"/>
        <v/>
      </c>
      <c r="BH15" s="136"/>
      <c r="BI15" s="137"/>
      <c r="BJ15" s="136"/>
      <c r="BK15" s="136"/>
      <c r="BL15" s="136"/>
      <c r="BM15" s="136"/>
      <c r="BN15" s="136"/>
      <c r="BO15" s="137"/>
      <c r="BP15" s="137"/>
      <c r="BR15" s="134" t="str">
        <f>IF(COUNTIF(BR$6:BR14,D15)&gt;0,"",D15)&amp;""</f>
        <v/>
      </c>
      <c r="BS15" s="138">
        <f t="shared" si="6"/>
        <v>0</v>
      </c>
      <c r="BT15" s="132">
        <f t="shared" si="7"/>
        <v>1</v>
      </c>
      <c r="BU15" s="138">
        <f t="shared" si="8"/>
        <v>0</v>
      </c>
      <c r="BV15" s="132">
        <f t="shared" si="9"/>
        <v>1</v>
      </c>
      <c r="BW15" s="133"/>
      <c r="BX15" s="133"/>
    </row>
    <row r="16" ht="15" customHeight="1" spans="1:77">
      <c r="A16" s="123" t="str">
        <f>IF(B16="","",COUNT(A$6:A15)+1)</f>
        <v/>
      </c>
      <c r="B16" s="139"/>
      <c r="C16" s="140"/>
      <c r="D16" s="141"/>
      <c r="E16" s="142"/>
      <c r="F16" s="127" t="str">
        <f>IFERROR(VLOOKUP(E16,参数表!$H$2:$I$50,2,FALSE),"")</f>
        <v/>
      </c>
      <c r="G16" s="128" t="str">
        <f t="shared" si="3"/>
        <v/>
      </c>
      <c r="H16" s="143"/>
      <c r="I16" s="144"/>
      <c r="J16" s="129" t="str">
        <f t="shared" si="4"/>
        <v/>
      </c>
      <c r="K16" s="129" t="str">
        <f t="shared" si="0"/>
        <v/>
      </c>
      <c r="L16" s="145"/>
      <c r="BA16" s="78"/>
      <c r="BB16" s="132" t="s">
        <v>5628</v>
      </c>
      <c r="BC16" s="133"/>
      <c r="BD16" s="132" t="str">
        <f>IF(OR(B16="",BC16=""),"",COUNTIF(BC$7:BC16,"√"))</f>
        <v/>
      </c>
      <c r="BE16" s="134" t="str">
        <f t="shared" si="1"/>
        <v/>
      </c>
      <c r="BF16" s="135" t="str">
        <f t="shared" si="5"/>
        <v/>
      </c>
      <c r="BG16" s="135" t="str">
        <f t="shared" si="5"/>
        <v/>
      </c>
      <c r="BH16" s="136"/>
      <c r="BI16" s="137"/>
      <c r="BJ16" s="136"/>
      <c r="BK16" s="136"/>
      <c r="BL16" s="136"/>
      <c r="BM16" s="136"/>
      <c r="BN16" s="136"/>
      <c r="BO16" s="137"/>
      <c r="BP16" s="137"/>
      <c r="BR16" s="134" t="str">
        <f>IF(COUNTIF(BR$6:BR15,D16)&gt;0,"",D16)&amp;""</f>
        <v/>
      </c>
      <c r="BS16" s="138">
        <f t="shared" si="6"/>
        <v>0</v>
      </c>
      <c r="BT16" s="132">
        <f t="shared" si="7"/>
        <v>1</v>
      </c>
      <c r="BU16" s="138">
        <f t="shared" si="8"/>
        <v>0</v>
      </c>
      <c r="BV16" s="132">
        <f t="shared" si="9"/>
        <v>1</v>
      </c>
      <c r="BW16" s="133"/>
      <c r="BX16" s="148"/>
    </row>
    <row r="17" ht="15" customHeight="1" spans="1:77">
      <c r="A17" s="123" t="str">
        <f>IF(B17="","",COUNT(A$6:A16)+1)</f>
        <v/>
      </c>
      <c r="B17" s="139"/>
      <c r="C17" s="140"/>
      <c r="D17" s="141"/>
      <c r="E17" s="142"/>
      <c r="F17" s="127" t="str">
        <f>IFERROR(VLOOKUP(E17,参数表!$H$2:$I$50,2,FALSE),"")</f>
        <v/>
      </c>
      <c r="G17" s="128" t="str">
        <f t="shared" si="3"/>
        <v/>
      </c>
      <c r="H17" s="143"/>
      <c r="I17" s="144"/>
      <c r="J17" s="129" t="str">
        <f t="shared" si="4"/>
        <v/>
      </c>
      <c r="K17" s="129" t="str">
        <f t="shared" si="0"/>
        <v/>
      </c>
      <c r="L17" s="145"/>
      <c r="BA17" s="78"/>
      <c r="BB17" s="132" t="s">
        <v>5629</v>
      </c>
      <c r="BC17" s="133"/>
      <c r="BD17" s="132" t="str">
        <f>IF(OR(B17="",BC17=""),"",COUNTIF(BC$7:BC17,"√"))</f>
        <v/>
      </c>
      <c r="BE17" s="134" t="str">
        <f t="shared" si="1"/>
        <v/>
      </c>
      <c r="BF17" s="135" t="str">
        <f t="shared" si="5"/>
        <v/>
      </c>
      <c r="BG17" s="135" t="str">
        <f t="shared" si="5"/>
        <v/>
      </c>
      <c r="BH17" s="136"/>
      <c r="BI17" s="137"/>
      <c r="BJ17" s="136"/>
      <c r="BK17" s="136"/>
      <c r="BL17" s="136"/>
      <c r="BM17" s="136"/>
      <c r="BN17" s="136"/>
      <c r="BO17" s="137"/>
      <c r="BP17" s="137"/>
      <c r="BR17" s="134" t="str">
        <f>IF(COUNTIF(BR$6:BR16,D17)&gt;0,"",D17)&amp;""</f>
        <v/>
      </c>
      <c r="BS17" s="138">
        <f t="shared" si="6"/>
        <v>0</v>
      </c>
      <c r="BT17" s="132">
        <f t="shared" si="7"/>
        <v>1</v>
      </c>
      <c r="BU17" s="138">
        <f t="shared" si="8"/>
        <v>0</v>
      </c>
      <c r="BV17" s="132">
        <f t="shared" si="9"/>
        <v>1</v>
      </c>
      <c r="BW17" s="133"/>
      <c r="BX17" s="133"/>
    </row>
    <row r="18" ht="15" customHeight="1" spans="1:77">
      <c r="A18" s="123" t="str">
        <f>IF(B18="","",COUNT(A$6:A17)+1)</f>
        <v/>
      </c>
      <c r="B18" s="139"/>
      <c r="C18" s="140"/>
      <c r="D18" s="141"/>
      <c r="E18" s="142"/>
      <c r="F18" s="127" t="str">
        <f>IFERROR(VLOOKUP(E18,参数表!$H$2:$I$50,2,FALSE),"")</f>
        <v/>
      </c>
      <c r="G18" s="128" t="str">
        <f t="shared" si="3"/>
        <v/>
      </c>
      <c r="H18" s="143"/>
      <c r="I18" s="144"/>
      <c r="J18" s="129" t="str">
        <f t="shared" si="4"/>
        <v/>
      </c>
      <c r="K18" s="129" t="str">
        <f t="shared" si="0"/>
        <v/>
      </c>
      <c r="L18" s="145"/>
      <c r="BA18" s="78"/>
      <c r="BB18" s="132" t="s">
        <v>5630</v>
      </c>
      <c r="BC18" s="133"/>
      <c r="BD18" s="132" t="str">
        <f>IF(OR(B18="",BC18=""),"",COUNTIF(BC$7:BC18,"√"))</f>
        <v/>
      </c>
      <c r="BE18" s="134" t="str">
        <f t="shared" si="1"/>
        <v/>
      </c>
      <c r="BF18" s="135" t="str">
        <f t="shared" si="5"/>
        <v/>
      </c>
      <c r="BG18" s="135" t="str">
        <f t="shared" si="5"/>
        <v/>
      </c>
      <c r="BH18" s="136"/>
      <c r="BI18" s="137"/>
      <c r="BJ18" s="136"/>
      <c r="BK18" s="136"/>
      <c r="BL18" s="136"/>
      <c r="BM18" s="136"/>
      <c r="BN18" s="136"/>
      <c r="BO18" s="137"/>
      <c r="BP18" s="137"/>
      <c r="BR18" s="134" t="str">
        <f>IF(COUNTIF(BR$6:BR17,D18)&gt;0,"",D18)&amp;""</f>
        <v/>
      </c>
      <c r="BS18" s="138">
        <f t="shared" si="6"/>
        <v>0</v>
      </c>
      <c r="BT18" s="132">
        <f t="shared" si="7"/>
        <v>1</v>
      </c>
      <c r="BU18" s="138">
        <f t="shared" si="8"/>
        <v>0</v>
      </c>
      <c r="BV18" s="132">
        <f t="shared" si="9"/>
        <v>1</v>
      </c>
      <c r="BW18" s="133"/>
      <c r="BX18" s="133"/>
    </row>
    <row r="19" ht="15" customHeight="1" spans="1:77">
      <c r="A19" s="123" t="str">
        <f>IF(B19="","",COUNT(A$6:A18)+1)</f>
        <v/>
      </c>
      <c r="B19" s="139"/>
      <c r="C19" s="140"/>
      <c r="D19" s="141"/>
      <c r="E19" s="142"/>
      <c r="F19" s="127" t="str">
        <f>IFERROR(VLOOKUP(E19,参数表!$H$2:$I$50,2,FALSE),"")</f>
        <v/>
      </c>
      <c r="G19" s="128" t="str">
        <f t="shared" si="3"/>
        <v/>
      </c>
      <c r="H19" s="143"/>
      <c r="I19" s="144"/>
      <c r="J19" s="129" t="str">
        <f t="shared" si="4"/>
        <v/>
      </c>
      <c r="K19" s="129" t="str">
        <f t="shared" si="0"/>
        <v/>
      </c>
      <c r="L19" s="145"/>
      <c r="BA19" s="78"/>
      <c r="BB19" s="132" t="s">
        <v>5631</v>
      </c>
      <c r="BC19" s="133"/>
      <c r="BD19" s="132" t="str">
        <f>IF(OR(B19="",BC19=""),"",COUNTIF(BC$7:BC19,"√"))</f>
        <v/>
      </c>
      <c r="BE19" s="134" t="str">
        <f t="shared" si="1"/>
        <v/>
      </c>
      <c r="BF19" s="135" t="str">
        <f t="shared" si="5"/>
        <v/>
      </c>
      <c r="BG19" s="135" t="str">
        <f t="shared" si="5"/>
        <v/>
      </c>
      <c r="BH19" s="136"/>
      <c r="BI19" s="137"/>
      <c r="BJ19" s="136"/>
      <c r="BK19" s="136"/>
      <c r="BL19" s="136"/>
      <c r="BM19" s="136"/>
      <c r="BN19" s="136"/>
      <c r="BO19" s="137"/>
      <c r="BP19" s="137"/>
      <c r="BR19" s="134" t="str">
        <f>IF(COUNTIF(BR$6:BR18,D19)&gt;0,"",D19)&amp;""</f>
        <v/>
      </c>
      <c r="BS19" s="138">
        <f t="shared" si="6"/>
        <v>0</v>
      </c>
      <c r="BT19" s="132">
        <f t="shared" si="7"/>
        <v>1</v>
      </c>
      <c r="BU19" s="138">
        <f t="shared" si="8"/>
        <v>0</v>
      </c>
      <c r="BV19" s="132">
        <f t="shared" si="9"/>
        <v>1</v>
      </c>
      <c r="BW19" s="133"/>
      <c r="BX19" s="133"/>
    </row>
    <row r="20" ht="15" customHeight="1" spans="1:77">
      <c r="A20" s="123" t="str">
        <f>IF(B20="","",COUNT(A$6:A19)+1)</f>
        <v/>
      </c>
      <c r="B20" s="139"/>
      <c r="C20" s="140"/>
      <c r="D20" s="141"/>
      <c r="E20" s="142"/>
      <c r="F20" s="127" t="str">
        <f>IFERROR(VLOOKUP(E20,参数表!$H$2:$I$50,2,FALSE),"")</f>
        <v/>
      </c>
      <c r="G20" s="128" t="str">
        <f t="shared" si="3"/>
        <v/>
      </c>
      <c r="H20" s="143"/>
      <c r="I20" s="144"/>
      <c r="J20" s="129" t="str">
        <f t="shared" si="4"/>
        <v/>
      </c>
      <c r="K20" s="129" t="str">
        <f t="shared" si="0"/>
        <v/>
      </c>
      <c r="L20" s="145"/>
      <c r="BA20" s="78"/>
      <c r="BB20" s="132" t="s">
        <v>5632</v>
      </c>
      <c r="BC20" s="133"/>
      <c r="BD20" s="132" t="str">
        <f>IF(OR(B20="",BC20=""),"",COUNTIF(BC$7:BC20,"√"))</f>
        <v/>
      </c>
      <c r="BE20" s="134" t="str">
        <f t="shared" si="1"/>
        <v/>
      </c>
      <c r="BF20" s="135" t="str">
        <f t="shared" si="5"/>
        <v/>
      </c>
      <c r="BG20" s="135" t="str">
        <f t="shared" si="5"/>
        <v/>
      </c>
      <c r="BH20" s="136"/>
      <c r="BI20" s="137"/>
      <c r="BJ20" s="136"/>
      <c r="BK20" s="136"/>
      <c r="BL20" s="136"/>
      <c r="BM20" s="136"/>
      <c r="BN20" s="136"/>
      <c r="BO20" s="137"/>
      <c r="BP20" s="137"/>
      <c r="BR20" s="134" t="str">
        <f>IF(COUNTIF(BR$6:BR19,D20)&gt;0,"",D20)&amp;""</f>
        <v/>
      </c>
      <c r="BS20" s="138">
        <f t="shared" si="6"/>
        <v>0</v>
      </c>
      <c r="BT20" s="132">
        <f t="shared" si="7"/>
        <v>1</v>
      </c>
      <c r="BU20" s="138">
        <f t="shared" si="8"/>
        <v>0</v>
      </c>
      <c r="BV20" s="132">
        <f t="shared" si="9"/>
        <v>1</v>
      </c>
      <c r="BW20" s="133"/>
      <c r="BX20" s="133"/>
    </row>
    <row r="21" ht="15" customHeight="1" spans="1:77">
      <c r="A21" s="123" t="str">
        <f>IF(B21="","",COUNT(A$6:A20)+1)</f>
        <v/>
      </c>
      <c r="B21" s="139"/>
      <c r="C21" s="140"/>
      <c r="D21" s="141"/>
      <c r="E21" s="142"/>
      <c r="F21" s="127" t="str">
        <f>IFERROR(VLOOKUP(E21,参数表!$H$2:$I$50,2,FALSE),"")</f>
        <v/>
      </c>
      <c r="G21" s="128" t="str">
        <f t="shared" si="3"/>
        <v/>
      </c>
      <c r="H21" s="143"/>
      <c r="I21" s="144"/>
      <c r="J21" s="129" t="str">
        <f t="shared" si="4"/>
        <v/>
      </c>
      <c r="K21" s="129" t="str">
        <f t="shared" si="0"/>
        <v/>
      </c>
      <c r="L21" s="145"/>
      <c r="BA21" s="78"/>
      <c r="BB21" s="132" t="s">
        <v>5633</v>
      </c>
      <c r="BC21" s="133"/>
      <c r="BD21" s="132" t="str">
        <f>IF(OR(B21="",BC21=""),"",COUNTIF(BC$7:BC21,"√"))</f>
        <v/>
      </c>
      <c r="BE21" s="134" t="str">
        <f t="shared" si="1"/>
        <v/>
      </c>
      <c r="BF21" s="135" t="str">
        <f t="shared" si="5"/>
        <v/>
      </c>
      <c r="BG21" s="135" t="str">
        <f t="shared" si="5"/>
        <v/>
      </c>
      <c r="BH21" s="136"/>
      <c r="BI21" s="137"/>
      <c r="BJ21" s="136"/>
      <c r="BK21" s="136"/>
      <c r="BL21" s="136"/>
      <c r="BM21" s="136"/>
      <c r="BN21" s="136"/>
      <c r="BO21" s="137"/>
      <c r="BP21" s="137"/>
      <c r="BR21" s="134" t="str">
        <f>IF(COUNTIF(BR$6:BR20,D21)&gt;0,"",D21)&amp;""</f>
        <v/>
      </c>
      <c r="BS21" s="138">
        <f t="shared" si="6"/>
        <v>0</v>
      </c>
      <c r="BT21" s="132">
        <f t="shared" si="7"/>
        <v>1</v>
      </c>
      <c r="BU21" s="138">
        <f t="shared" si="8"/>
        <v>0</v>
      </c>
      <c r="BV21" s="132">
        <f t="shared" si="9"/>
        <v>1</v>
      </c>
      <c r="BW21" s="133"/>
      <c r="BX21" s="133"/>
    </row>
    <row r="22" ht="15" customHeight="1" spans="1:77">
      <c r="A22" s="123" t="str">
        <f>IF(B22="","",COUNT(A$6:A21)+1)</f>
        <v/>
      </c>
      <c r="B22" s="139"/>
      <c r="C22" s="140"/>
      <c r="D22" s="141"/>
      <c r="E22" s="142"/>
      <c r="F22" s="127" t="str">
        <f>IFERROR(VLOOKUP(E22,参数表!$H$2:$I$50,2,FALSE),"")</f>
        <v/>
      </c>
      <c r="G22" s="128" t="str">
        <f t="shared" si="3"/>
        <v/>
      </c>
      <c r="H22" s="143"/>
      <c r="I22" s="144"/>
      <c r="J22" s="129" t="str">
        <f t="shared" si="4"/>
        <v/>
      </c>
      <c r="K22" s="129" t="str">
        <f t="shared" si="0"/>
        <v/>
      </c>
      <c r="L22" s="145"/>
      <c r="BA22" s="78"/>
      <c r="BB22" s="132" t="s">
        <v>5634</v>
      </c>
      <c r="BC22" s="133"/>
      <c r="BD22" s="132" t="str">
        <f>IF(OR(B22="",BC22=""),"",COUNTIF(BC$7:BC22,"√"))</f>
        <v/>
      </c>
      <c r="BE22" s="134" t="str">
        <f t="shared" si="1"/>
        <v/>
      </c>
      <c r="BF22" s="135" t="str">
        <f t="shared" si="5"/>
        <v/>
      </c>
      <c r="BG22" s="135" t="str">
        <f t="shared" si="5"/>
        <v/>
      </c>
      <c r="BH22" s="136"/>
      <c r="BI22" s="137"/>
      <c r="BJ22" s="136"/>
      <c r="BK22" s="136"/>
      <c r="BL22" s="136"/>
      <c r="BM22" s="136"/>
      <c r="BN22" s="136"/>
      <c r="BO22" s="137"/>
      <c r="BP22" s="137"/>
      <c r="BR22" s="134" t="str">
        <f>IF(COUNTIF(BR$6:BR21,D22)&gt;0,"",D22)&amp;""</f>
        <v/>
      </c>
      <c r="BS22" s="138">
        <f t="shared" si="6"/>
        <v>0</v>
      </c>
      <c r="BT22" s="132">
        <f t="shared" si="7"/>
        <v>1</v>
      </c>
      <c r="BU22" s="138">
        <f t="shared" si="8"/>
        <v>0</v>
      </c>
      <c r="BV22" s="132">
        <f t="shared" si="9"/>
        <v>1</v>
      </c>
      <c r="BW22" s="133"/>
      <c r="BX22" s="133"/>
    </row>
    <row r="23" ht="15" customHeight="1" spans="1:77">
      <c r="A23" s="123" t="str">
        <f>IF(B23="","",COUNT(A$6:A22)+1)</f>
        <v/>
      </c>
      <c r="B23" s="139"/>
      <c r="C23" s="140"/>
      <c r="D23" s="141"/>
      <c r="E23" s="142"/>
      <c r="F23" s="127" t="str">
        <f>IFERROR(VLOOKUP(E23,参数表!$H$2:$I$50,2,FALSE),"")</f>
        <v/>
      </c>
      <c r="G23" s="128" t="str">
        <f t="shared" si="3"/>
        <v/>
      </c>
      <c r="H23" s="143"/>
      <c r="I23" s="144"/>
      <c r="J23" s="129" t="str">
        <f t="shared" si="4"/>
        <v/>
      </c>
      <c r="K23" s="129" t="str">
        <f t="shared" si="0"/>
        <v/>
      </c>
      <c r="L23" s="145"/>
      <c r="BA23" s="78"/>
      <c r="BB23" s="132" t="s">
        <v>5635</v>
      </c>
      <c r="BC23" s="133"/>
      <c r="BD23" s="132" t="str">
        <f>IF(OR(B23="",BC23=""),"",COUNTIF(BC$7:BC23,"√"))</f>
        <v/>
      </c>
      <c r="BE23" s="134" t="str">
        <f t="shared" si="1"/>
        <v/>
      </c>
      <c r="BF23" s="135" t="str">
        <f t="shared" si="5"/>
        <v/>
      </c>
      <c r="BG23" s="135" t="str">
        <f t="shared" si="5"/>
        <v/>
      </c>
      <c r="BH23" s="136"/>
      <c r="BI23" s="137"/>
      <c r="BJ23" s="136"/>
      <c r="BK23" s="136"/>
      <c r="BL23" s="136"/>
      <c r="BM23" s="136"/>
      <c r="BN23" s="136"/>
      <c r="BO23" s="137"/>
      <c r="BP23" s="137"/>
      <c r="BR23" s="134" t="str">
        <f>IF(COUNTIF(BR$6:BR22,D23)&gt;0,"",D23)&amp;""</f>
        <v/>
      </c>
      <c r="BS23" s="138">
        <f t="shared" si="6"/>
        <v>0</v>
      </c>
      <c r="BT23" s="132">
        <f t="shared" si="7"/>
        <v>1</v>
      </c>
      <c r="BU23" s="138">
        <f t="shared" si="8"/>
        <v>0</v>
      </c>
      <c r="BV23" s="132">
        <f t="shared" si="9"/>
        <v>1</v>
      </c>
      <c r="BW23" s="133"/>
      <c r="BX23" s="133"/>
    </row>
    <row r="24" ht="15" customHeight="1" spans="1:77">
      <c r="A24" s="123" t="str">
        <f>IF(B24="","",COUNT(A$6:A23)+1)</f>
        <v/>
      </c>
      <c r="B24" s="139"/>
      <c r="C24" s="140"/>
      <c r="D24" s="141"/>
      <c r="E24" s="142"/>
      <c r="F24" s="127" t="str">
        <f>IFERROR(VLOOKUP(E24,参数表!$H$2:$I$50,2,FALSE),"")</f>
        <v/>
      </c>
      <c r="G24" s="128" t="str">
        <f t="shared" si="3"/>
        <v/>
      </c>
      <c r="H24" s="143"/>
      <c r="I24" s="144"/>
      <c r="J24" s="129" t="str">
        <f t="shared" si="4"/>
        <v/>
      </c>
      <c r="K24" s="129" t="str">
        <f t="shared" si="0"/>
        <v/>
      </c>
      <c r="L24" s="145"/>
      <c r="BA24" s="78"/>
      <c r="BB24" s="132" t="s">
        <v>5636</v>
      </c>
      <c r="BC24" s="133"/>
      <c r="BD24" s="132" t="str">
        <f>IF(OR(B24="",BC24=""),"",COUNTIF(BC$7:BC24,"√"))</f>
        <v/>
      </c>
      <c r="BE24" s="134" t="str">
        <f t="shared" si="1"/>
        <v/>
      </c>
      <c r="BF24" s="135" t="str">
        <f t="shared" si="5"/>
        <v/>
      </c>
      <c r="BG24" s="135" t="str">
        <f t="shared" si="5"/>
        <v/>
      </c>
      <c r="BH24" s="136"/>
      <c r="BI24" s="137"/>
      <c r="BJ24" s="136"/>
      <c r="BK24" s="136"/>
      <c r="BL24" s="136"/>
      <c r="BM24" s="136"/>
      <c r="BN24" s="136"/>
      <c r="BO24" s="137"/>
      <c r="BP24" s="137"/>
      <c r="BR24" s="134" t="str">
        <f>IF(COUNTIF(BR$6:BR23,D24)&gt;0,"",D24)&amp;""</f>
        <v/>
      </c>
      <c r="BS24" s="138">
        <f t="shared" si="6"/>
        <v>0</v>
      </c>
      <c r="BT24" s="132">
        <f t="shared" si="7"/>
        <v>1</v>
      </c>
      <c r="BU24" s="138">
        <f t="shared" si="8"/>
        <v>0</v>
      </c>
      <c r="BV24" s="132">
        <f t="shared" si="9"/>
        <v>1</v>
      </c>
      <c r="BW24" s="133"/>
      <c r="BX24" s="133"/>
    </row>
    <row r="25" ht="15" customHeight="1" spans="1:77">
      <c r="A25" s="123" t="str">
        <f>IF(B25="","",COUNT(A$6:A24)+1)</f>
        <v/>
      </c>
      <c r="B25" s="139"/>
      <c r="C25" s="140"/>
      <c r="D25" s="141"/>
      <c r="E25" s="142"/>
      <c r="F25" s="127" t="str">
        <f>IFERROR(VLOOKUP(E25,参数表!$H$2:$I$50,2,FALSE),"")</f>
        <v/>
      </c>
      <c r="G25" s="128" t="str">
        <f t="shared" si="3"/>
        <v/>
      </c>
      <c r="H25" s="143"/>
      <c r="I25" s="144"/>
      <c r="J25" s="129" t="str">
        <f t="shared" si="4"/>
        <v/>
      </c>
      <c r="K25" s="129" t="str">
        <f t="shared" si="0"/>
        <v/>
      </c>
      <c r="L25" s="145"/>
      <c r="BA25" s="78"/>
      <c r="BB25" s="132" t="s">
        <v>5637</v>
      </c>
      <c r="BC25" s="133"/>
      <c r="BD25" s="132" t="str">
        <f>IF(OR(B25="",BC25=""),"",COUNTIF(BC$7:BC25,"√"))</f>
        <v/>
      </c>
      <c r="BE25" s="134" t="str">
        <f t="shared" si="1"/>
        <v/>
      </c>
      <c r="BF25" s="135" t="str">
        <f t="shared" si="5"/>
        <v/>
      </c>
      <c r="BG25" s="135" t="str">
        <f t="shared" si="5"/>
        <v/>
      </c>
      <c r="BH25" s="136"/>
      <c r="BI25" s="137"/>
      <c r="BJ25" s="136"/>
      <c r="BK25" s="136"/>
      <c r="BL25" s="136"/>
      <c r="BM25" s="136"/>
      <c r="BN25" s="136"/>
      <c r="BO25" s="137"/>
      <c r="BP25" s="137"/>
      <c r="BR25" s="134" t="str">
        <f>IF(COUNTIF(BR$6:BR24,D25)&gt;0,"",D25)&amp;""</f>
        <v/>
      </c>
      <c r="BS25" s="138">
        <f t="shared" si="6"/>
        <v>0</v>
      </c>
      <c r="BT25" s="132">
        <f t="shared" si="7"/>
        <v>1</v>
      </c>
      <c r="BU25" s="138">
        <f t="shared" si="8"/>
        <v>0</v>
      </c>
      <c r="BV25" s="132">
        <f t="shared" si="9"/>
        <v>1</v>
      </c>
      <c r="BW25" s="133"/>
      <c r="BX25" s="133"/>
    </row>
    <row r="26" ht="15" customHeight="1" spans="1:77">
      <c r="A26" s="123" t="str">
        <f>IF(B26="","",COUNT(A$6:A25)+1)</f>
        <v/>
      </c>
      <c r="B26" s="124"/>
      <c r="C26" s="125"/>
      <c r="D26" s="126"/>
      <c r="E26" s="127"/>
      <c r="F26" s="127" t="str">
        <f>IFERROR(VLOOKUP(E26,参数表!$H$2:$I$50,2,FALSE),"")</f>
        <v/>
      </c>
      <c r="G26" s="128" t="str">
        <f t="shared" si="3"/>
        <v/>
      </c>
      <c r="H26" s="129"/>
      <c r="I26" s="130"/>
      <c r="J26" s="129" t="str">
        <f t="shared" si="4"/>
        <v/>
      </c>
      <c r="K26" s="129" t="str">
        <f t="shared" si="0"/>
        <v/>
      </c>
      <c r="L26" s="131"/>
      <c r="BA26" s="78"/>
      <c r="BB26" s="132" t="s">
        <v>5638</v>
      </c>
      <c r="BC26" s="133"/>
      <c r="BD26" s="132" t="str">
        <f>IF(OR(B26="",BC26=""),"",COUNTIF(BC$7:BC26,"√"))</f>
        <v/>
      </c>
      <c r="BE26" s="134" t="str">
        <f t="shared" si="1"/>
        <v/>
      </c>
      <c r="BF26" s="135" t="str">
        <f t="shared" si="5"/>
        <v/>
      </c>
      <c r="BG26" s="135" t="str">
        <f t="shared" si="5"/>
        <v/>
      </c>
      <c r="BH26" s="136"/>
      <c r="BI26" s="137"/>
      <c r="BJ26" s="136"/>
      <c r="BK26" s="136"/>
      <c r="BL26" s="136"/>
      <c r="BM26" s="136"/>
      <c r="BN26" s="136"/>
      <c r="BO26" s="137"/>
      <c r="BP26" s="137"/>
      <c r="BR26" s="134" t="str">
        <f>IF(COUNTIF(BR$6:BR25,D26)&gt;0,"",D26)&amp;""</f>
        <v/>
      </c>
      <c r="BS26" s="138">
        <f t="shared" si="6"/>
        <v>0</v>
      </c>
      <c r="BT26" s="132">
        <f t="shared" si="7"/>
        <v>1</v>
      </c>
      <c r="BU26" s="138">
        <f t="shared" si="8"/>
        <v>0</v>
      </c>
      <c r="BV26" s="132">
        <f t="shared" si="9"/>
        <v>1</v>
      </c>
      <c r="BW26" s="133"/>
      <c r="BX26" s="133"/>
    </row>
    <row r="27" s="73" customFormat="1" ht="15" customHeight="1" spans="1:77">
      <c r="A27" s="149" t="s">
        <v>5281</v>
      </c>
      <c r="B27" s="149"/>
      <c r="C27" s="150"/>
      <c r="D27" s="149"/>
      <c r="E27" s="151"/>
      <c r="F27" s="151"/>
      <c r="G27" s="151"/>
      <c r="H27" s="152">
        <f>SUM(H7:H26)</f>
        <v>0</v>
      </c>
      <c r="I27" s="153"/>
      <c r="J27" s="152">
        <f>SUM(J7:J26)</f>
        <v>0</v>
      </c>
      <c r="K27" s="152">
        <f>SUM(K7:K26)</f>
        <v>0</v>
      </c>
      <c r="L27" s="151"/>
      <c r="BF27" s="75"/>
      <c r="BG27" s="75"/>
      <c r="BH27" s="75"/>
      <c r="BI27" s="75"/>
      <c r="BJ27" s="75"/>
      <c r="BK27" s="75"/>
      <c r="BL27" s="75"/>
      <c r="BM27" s="75"/>
      <c r="BN27" s="75"/>
      <c r="BO27" s="75"/>
      <c r="BP27" s="75"/>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5"/>
      <c r="J28" s="103"/>
      <c r="K28" s="156" t="str">
        <f>"评估人员："&amp;封面!$G$38</f>
        <v>评估人员：</v>
      </c>
      <c r="L28" s="103"/>
    </row>
    <row r="29" customHeight="1" spans="1:77">
      <c r="A29" s="102" t="str">
        <f>参数表!F$7</f>
        <v>填表日期：2025年9月20日</v>
      </c>
      <c r="B29" s="154"/>
      <c r="C29" s="154"/>
      <c r="D29" s="154"/>
      <c r="E29" s="154"/>
      <c r="F29" s="154"/>
      <c r="G29" s="154"/>
      <c r="H29" s="154"/>
      <c r="I29" s="155"/>
      <c r="J29" s="103"/>
      <c r="K29" s="103"/>
      <c r="L29" s="103"/>
    </row>
    <row r="30" hidden="1" customHeight="1" outlineLevel="1" spans="1:77">
      <c r="A30" s="157"/>
      <c r="B30" s="154" t="s">
        <v>1673</v>
      </c>
      <c r="C30" s="158"/>
      <c r="D30" s="158"/>
      <c r="E30" s="158"/>
      <c r="F30" s="158"/>
      <c r="G30" s="158"/>
      <c r="H30" s="159">
        <f>SUMIF($BA7:$BA26,$BA30,H7:H26)</f>
        <v>0</v>
      </c>
      <c r="I30" s="160"/>
      <c r="J30" s="159">
        <f>SUMIF($BA7:$BA26,$BA30,J7:J26)</f>
        <v>0</v>
      </c>
      <c r="K30" s="159">
        <f>SUMIF($BA7:$BA26,$BA30,K7:K26)</f>
        <v>0</v>
      </c>
      <c r="BA30" s="161" t="s">
        <v>1674</v>
      </c>
      <c r="BH30" s="162" t="s">
        <v>1675</v>
      </c>
      <c r="BI30" s="163"/>
      <c r="BJ30" s="162" t="s">
        <v>1675</v>
      </c>
      <c r="BK30" s="162" t="s">
        <v>1675</v>
      </c>
      <c r="BL30" s="162" t="s">
        <v>1675</v>
      </c>
      <c r="BM30" s="162" t="s">
        <v>1674</v>
      </c>
      <c r="BN30" s="162" t="s">
        <v>1674</v>
      </c>
    </row>
    <row r="31" hidden="1" customHeight="1" outlineLevel="1" spans="1:77">
      <c r="A31" s="157"/>
      <c r="B31" s="154" t="s">
        <v>1676</v>
      </c>
      <c r="C31" s="158"/>
      <c r="D31" s="158"/>
      <c r="E31" s="158"/>
      <c r="F31" s="158"/>
      <c r="G31" s="158"/>
      <c r="H31" s="159">
        <f>H27-H30</f>
        <v>0</v>
      </c>
      <c r="I31" s="160"/>
      <c r="J31" s="159">
        <f>J27-J30</f>
        <v>0</v>
      </c>
      <c r="K31" s="159">
        <f>K27-K30</f>
        <v>0</v>
      </c>
      <c r="BA31" s="161" t="s">
        <v>1677</v>
      </c>
      <c r="BH31" s="162" t="s">
        <v>1678</v>
      </c>
      <c r="BI31" s="163"/>
      <c r="BJ31" s="162" t="s">
        <v>1678</v>
      </c>
      <c r="BK31" s="162" t="s">
        <v>1678</v>
      </c>
      <c r="BL31" s="162" t="s">
        <v>1678</v>
      </c>
      <c r="BM31" s="162" t="s">
        <v>1677</v>
      </c>
      <c r="BN31" s="162" t="s">
        <v>1677</v>
      </c>
    </row>
    <row r="32" customHeight="1" collapsed="1" spans="1:77">
      <c r="A32" s="157"/>
      <c r="B32" s="158"/>
      <c r="C32" s="158"/>
      <c r="D32" s="158"/>
      <c r="E32" s="158"/>
      <c r="F32" s="158"/>
      <c r="G32" s="158"/>
      <c r="H32" s="158"/>
      <c r="I32" s="164"/>
    </row>
    <row r="33" customHeight="1" spans="1:9">
      <c r="A33" s="157"/>
      <c r="B33" s="158"/>
      <c r="C33" s="158"/>
      <c r="D33" s="158"/>
      <c r="E33" s="158"/>
      <c r="F33" s="158"/>
      <c r="G33" s="158"/>
      <c r="H33" s="158"/>
      <c r="I33" s="164"/>
    </row>
    <row r="34" customHeight="1" spans="1:9">
      <c r="A34" s="157"/>
      <c r="B34" s="158"/>
      <c r="C34" s="158"/>
      <c r="D34" s="158"/>
      <c r="E34" s="158"/>
      <c r="F34" s="158"/>
      <c r="G34" s="158"/>
      <c r="H34" s="158"/>
      <c r="I34" s="164"/>
    </row>
    <row r="35" customHeight="1" spans="1:9">
      <c r="A35" s="157"/>
      <c r="B35" s="158"/>
      <c r="C35" s="158"/>
      <c r="D35" s="158"/>
      <c r="E35" s="158"/>
      <c r="F35" s="158"/>
      <c r="G35" s="158"/>
      <c r="H35" s="158"/>
      <c r="I35" s="164"/>
    </row>
    <row r="36" customHeight="1" spans="1:9">
      <c r="A36" s="157"/>
      <c r="B36" s="158"/>
      <c r="C36" s="158"/>
      <c r="D36" s="158"/>
      <c r="E36" s="158"/>
      <c r="F36" s="158"/>
      <c r="G36" s="158"/>
      <c r="H36" s="158"/>
      <c r="I36" s="164"/>
    </row>
    <row r="37" customHeight="1" spans="1:9">
      <c r="E37" s="158"/>
      <c r="F37" s="158"/>
      <c r="G37" s="158"/>
    </row>
  </sheetData>
  <sheetProtection autoFilter="0"/>
  <mergeCells count="6">
    <mergeCell ref="A2:L2"/>
    <mergeCell ref="A3:L3"/>
    <mergeCell ref="BW7:BY7"/>
    <mergeCell ref="BW8:BY8"/>
    <mergeCell ref="BX14:BY14"/>
    <mergeCell ref="A27:B27"/>
  </mergeCells>
  <conditionalFormatting sqref="BH7:BH26">
    <cfRule type="expression" dxfId="5" priority="6" stopIfTrue="1">
      <formula>AND($B7&lt;&gt;"",BH7="")</formula>
    </cfRule>
  </conditionalFormatting>
  <conditionalFormatting sqref="BI7:BI26">
    <cfRule type="expression" dxfId="5" priority="9" stopIfTrue="1">
      <formula>AND(BH7="有",BI7="")</formula>
    </cfRule>
  </conditionalFormatting>
  <conditionalFormatting sqref="BO7:BO26">
    <cfRule type="expression" dxfId="5" priority="11" stopIfTrue="1">
      <formula>AND(BM7="无",BO7="")</formula>
    </cfRule>
  </conditionalFormatting>
  <conditionalFormatting sqref="BF7:BG26">
    <cfRule type="containsText" dxfId="6" priority="1" stopIfTrue="1" operator="between" text="出错">
      <formula>NOT(ISERROR(SEARCH("出错",BF7)))</formula>
    </cfRule>
  </conditionalFormatting>
  <conditionalFormatting sqref="BJ7:BN26">
    <cfRule type="expression" dxfId="5" priority="3" stopIfTrue="1">
      <formula>AND($B7&lt;&gt;"",BJ7="")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J7:BN26">
      <formula1>BH$30:BH$31</formula1>
    </dataValidation>
  </dataValidations>
  <hyperlinks>
    <hyperlink ref="A1" location="索引目录!I26" display="返回索引页"/>
    <hyperlink ref="B1" location="'非流动负债汇总 '!B12"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B0F0"/>
  </sheetPr>
  <dimension ref="A1:AB70"/>
  <sheetViews>
    <sheetView zoomScale="90" zoomScaleNormal="90" workbookViewId="0">
      <pane xSplit="1" ySplit="7" topLeftCell="B8" activePane="bottomRight" state="frozen"/>
      <selection/>
      <selection pane="topRight"/>
      <selection pane="bottomLeft"/>
      <selection pane="bottomRight" activeCell="F18" sqref="F18"/>
    </sheetView>
  </sheetViews>
  <sheetFormatPr defaultColWidth="8.1" defaultRowHeight="15.6"/>
  <cols>
    <col min="1" max="1" width="34.3" style="15" customWidth="1"/>
    <col min="2" max="2" width="5.2" style="16" customWidth="1" outlineLevel="1"/>
    <col min="3" max="5" width="18.1" style="15" customWidth="1" outlineLevel="1"/>
    <col min="6" max="6" width="18.1" style="15" customWidth="1"/>
    <col min="7" max="9" width="18.1" style="15" customWidth="1" outlineLevel="1"/>
    <col min="10" max="10" width="18.1" style="15" customWidth="1"/>
    <col min="11" max="11" width="17.5" style="15" customWidth="1"/>
    <col min="12" max="12" width="18.1" style="15" customWidth="1"/>
    <col min="13" max="27" width="8.1" style="15" customWidth="1" outlineLevel="1"/>
    <col min="28" max="16384" width="8.1" style="15"/>
  </cols>
  <sheetData>
    <row r="1" ht="13.5" customHeight="1" spans="1:28">
      <c r="A1" s="17" t="s">
        <v>5639</v>
      </c>
      <c r="B1" s="18"/>
      <c r="AB1" s="19" t="s">
        <v>5640</v>
      </c>
    </row>
    <row r="2" s="11" customFormat="1" ht="22.2" customHeight="1" spans="1:28">
      <c r="A2" s="20" t="s">
        <v>5641</v>
      </c>
      <c r="B2" s="20"/>
      <c r="C2" s="20"/>
      <c r="D2" s="20"/>
      <c r="E2" s="20"/>
      <c r="F2" s="20"/>
      <c r="G2" s="20"/>
      <c r="H2" s="20"/>
      <c r="I2" s="20"/>
      <c r="J2" s="20"/>
      <c r="K2" s="20"/>
      <c r="L2" s="20"/>
    </row>
    <row r="3" s="12" customFormat="1" ht="15" customHeight="1" spans="1:28">
      <c r="A3" s="21" t="str">
        <f>参数表!$F$5</f>
        <v>评估基准日：2025年7月31日</v>
      </c>
      <c r="B3" s="21"/>
      <c r="C3" s="21"/>
      <c r="D3" s="21"/>
      <c r="E3" s="21"/>
      <c r="F3" s="21"/>
      <c r="G3" s="21"/>
      <c r="H3" s="21"/>
      <c r="I3" s="21"/>
      <c r="J3" s="21"/>
      <c r="K3" s="21"/>
      <c r="L3" s="21"/>
    </row>
    <row r="4" s="13" customFormat="1" ht="15" customHeight="1" spans="1:28">
      <c r="A4" s="22" t="str">
        <f>参数表!$F$3</f>
        <v>产权持有单位:中煤第五建设有限公司</v>
      </c>
      <c r="B4" s="23"/>
      <c r="J4" s="24"/>
      <c r="K4" s="25" t="s">
        <v>1521</v>
      </c>
      <c r="L4" s="26" t="s">
        <v>5642</v>
      </c>
    </row>
    <row r="5" s="12" customFormat="1" ht="15" customHeight="1" spans="1:28">
      <c r="A5" s="27" t="s">
        <v>5643</v>
      </c>
      <c r="B5" s="27" t="str">
        <f>分类汇总!L6</f>
        <v>新旧</v>
      </c>
      <c r="C5" s="28" t="s">
        <v>1523</v>
      </c>
      <c r="D5" s="29"/>
      <c r="E5" s="29"/>
      <c r="F5" s="30"/>
      <c r="G5" s="31" t="s">
        <v>5644</v>
      </c>
      <c r="H5" s="31"/>
      <c r="I5" s="31"/>
      <c r="J5" s="31"/>
      <c r="K5" s="32" t="s">
        <v>169</v>
      </c>
      <c r="L5" s="33" t="s">
        <v>308</v>
      </c>
    </row>
    <row r="6" s="12" customFormat="1" ht="15" customHeight="1" spans="1:28">
      <c r="A6" s="34"/>
      <c r="B6" s="34"/>
      <c r="C6" s="31" t="s">
        <v>5645</v>
      </c>
      <c r="D6" s="31" t="s">
        <v>5646</v>
      </c>
      <c r="E6" s="31" t="s">
        <v>5647</v>
      </c>
      <c r="F6" s="31" t="s">
        <v>5648</v>
      </c>
      <c r="G6" s="31" t="s">
        <v>5645</v>
      </c>
      <c r="H6" s="31" t="s">
        <v>5646</v>
      </c>
      <c r="I6" s="31" t="s">
        <v>5647</v>
      </c>
      <c r="J6" s="31" t="s">
        <v>5648</v>
      </c>
      <c r="K6" s="35"/>
      <c r="L6" s="36"/>
    </row>
    <row r="7" s="12" customFormat="1" ht="15" customHeight="1" spans="1:28">
      <c r="A7" s="37" t="s">
        <v>1623</v>
      </c>
      <c r="B7" s="38" t="str">
        <f>分类汇总!L7</f>
        <v>共</v>
      </c>
      <c r="C7" s="39">
        <f t="shared" ref="C7:J7" si="0">SUM(C8:C21)</f>
        <v>0</v>
      </c>
      <c r="D7" s="39">
        <f t="shared" si="0"/>
        <v>0</v>
      </c>
      <c r="E7" s="39">
        <f t="shared" si="0"/>
        <v>0</v>
      </c>
      <c r="F7" s="39">
        <f t="shared" si="0"/>
        <v>0</v>
      </c>
      <c r="G7" s="39">
        <f t="shared" si="0"/>
        <v>0</v>
      </c>
      <c r="H7" s="39">
        <f t="shared" si="0"/>
        <v>0</v>
      </c>
      <c r="I7" s="39">
        <f t="shared" si="0"/>
        <v>0</v>
      </c>
      <c r="J7" s="39">
        <f t="shared" si="0"/>
        <v>0</v>
      </c>
      <c r="K7" s="39"/>
      <c r="L7" s="40"/>
    </row>
    <row r="8" s="12" customFormat="1" ht="15" customHeight="1" spans="1:28">
      <c r="A8" s="41" t="str">
        <f>分类汇总!B8</f>
        <v>货币资金</v>
      </c>
      <c r="B8" s="42" t="str">
        <f>分类汇总!L8</f>
        <v>共</v>
      </c>
      <c r="C8" s="43">
        <v>0</v>
      </c>
      <c r="D8" s="44">
        <f>C8</f>
        <v>0</v>
      </c>
      <c r="E8" s="44">
        <v>0</v>
      </c>
      <c r="F8" s="39">
        <f>D8-E8</f>
        <v>0</v>
      </c>
      <c r="G8" s="44">
        <f>C8</f>
        <v>0</v>
      </c>
      <c r="H8" s="44">
        <f>D8</f>
        <v>0</v>
      </c>
      <c r="I8" s="44">
        <v>0</v>
      </c>
      <c r="J8" s="39">
        <f>H8-I8</f>
        <v>0</v>
      </c>
      <c r="K8" s="45" t="s">
        <v>5649</v>
      </c>
      <c r="L8" s="40" t="str">
        <f t="shared" ref="L8:L21" si="1">IF(SUM(C8:J8)&gt;0,M8,"")</f>
        <v/>
      </c>
      <c r="M8" s="46" t="s">
        <v>5650</v>
      </c>
    </row>
    <row r="9" s="12" customFormat="1" ht="15" customHeight="1" spans="1:28">
      <c r="A9" s="47" t="str">
        <f>分类汇总!B9</f>
        <v>以公允价值计量且其变动计入当期损益的金融资产</v>
      </c>
      <c r="B9" s="48" t="str">
        <f>分类汇总!L9</f>
        <v>旧</v>
      </c>
      <c r="C9" s="44">
        <f>SUMIF(分类汇总!$B:$B,$A9,分类汇总!BJ:BJ)</f>
        <v>0</v>
      </c>
      <c r="D9" s="44">
        <f>SUMIF(分类汇总!$B:$B,$A9,分类汇总!BK:BK)</f>
        <v>0</v>
      </c>
      <c r="E9" s="44">
        <f>SUMIF(分类汇总!$B:$B,$A9,分类汇总!BL:BL)</f>
        <v>0</v>
      </c>
      <c r="F9" s="39">
        <f t="shared" ref="F9:F21" si="2">(D9-E9)/10000</f>
        <v>0</v>
      </c>
      <c r="G9" s="44">
        <f>SUMIF(分类汇总!$B:$B,$A9,分类汇总!BN:BN)</f>
        <v>0</v>
      </c>
      <c r="H9" s="44">
        <f>SUMIF(分类汇总!$B:$B,$A9,分类汇总!BO:BO)</f>
        <v>0</v>
      </c>
      <c r="I9" s="44">
        <f>SUMIF(分类汇总!$B:$B,$A9,分类汇总!BP:BP)</f>
        <v>0</v>
      </c>
      <c r="J9" s="39">
        <f t="shared" ref="J9:J21" si="3">(H9-I9)/10000</f>
        <v>0</v>
      </c>
      <c r="K9" s="45" t="s">
        <v>5649</v>
      </c>
      <c r="L9" s="40" t="str">
        <f t="shared" si="1"/>
        <v/>
      </c>
      <c r="M9" s="46" t="s">
        <v>5651</v>
      </c>
    </row>
    <row r="10" s="12" customFormat="1" ht="15" customHeight="1" spans="1:28">
      <c r="A10" s="49" t="str">
        <f>分类汇总!B10</f>
        <v>交易性金融资产</v>
      </c>
      <c r="B10" s="50" t="str">
        <f>分类汇总!L10</f>
        <v>新</v>
      </c>
      <c r="C10" s="44">
        <f>SUMIF(分类汇总!$B:$B,$A10,分类汇总!BJ:BJ)</f>
        <v>0</v>
      </c>
      <c r="D10" s="44">
        <f>SUMIF(分类汇总!$B:$B,$A10,分类汇总!BK:BK)</f>
        <v>0</v>
      </c>
      <c r="E10" s="44">
        <f>SUMIF(分类汇总!$B:$B,$A10,分类汇总!BL:BL)</f>
        <v>0</v>
      </c>
      <c r="F10" s="39">
        <f t="shared" si="2"/>
        <v>0</v>
      </c>
      <c r="G10" s="44">
        <f>SUMIF(分类汇总!$B:$B,$A10,分类汇总!BN:BN)</f>
        <v>0</v>
      </c>
      <c r="H10" s="44">
        <f>SUMIF(分类汇总!$B:$B,$A10,分类汇总!BO:BO)</f>
        <v>0</v>
      </c>
      <c r="I10" s="44">
        <f>SUMIF(分类汇总!$B:$B,$A10,分类汇总!BP:BP)</f>
        <v>0</v>
      </c>
      <c r="J10" s="39">
        <f t="shared" si="3"/>
        <v>0</v>
      </c>
      <c r="K10" s="45" t="s">
        <v>5649</v>
      </c>
      <c r="L10" s="40" t="str">
        <f t="shared" si="1"/>
        <v/>
      </c>
      <c r="M10" s="46" t="s">
        <v>5651</v>
      </c>
    </row>
    <row r="11" s="12" customFormat="1" ht="15" customHeight="1" spans="1:28">
      <c r="A11" s="49" t="str">
        <f>分类汇总!B11</f>
        <v>衍生金融资产</v>
      </c>
      <c r="B11" s="50" t="str">
        <f>分类汇总!L11</f>
        <v>共</v>
      </c>
      <c r="C11" s="44">
        <f>SUMIF(分类汇总!$B:$B,$A11,分类汇总!BJ:BJ)</f>
        <v>0</v>
      </c>
      <c r="D11" s="44">
        <f>SUMIF(分类汇总!$B:$B,$A11,分类汇总!BK:BK)</f>
        <v>0</v>
      </c>
      <c r="E11" s="44">
        <f>SUMIF(分类汇总!$B:$B,$A11,分类汇总!BL:BL)</f>
        <v>0</v>
      </c>
      <c r="F11" s="39">
        <f t="shared" si="2"/>
        <v>0</v>
      </c>
      <c r="G11" s="44">
        <f>SUMIF(分类汇总!$B:$B,$A11,分类汇总!BN:BN)</f>
        <v>0</v>
      </c>
      <c r="H11" s="44">
        <f>SUMIF(分类汇总!$B:$B,$A11,分类汇总!BO:BO)</f>
        <v>0</v>
      </c>
      <c r="I11" s="44">
        <f>SUMIF(分类汇总!$B:$B,$A11,分类汇总!BP:BP)</f>
        <v>0</v>
      </c>
      <c r="J11" s="39">
        <f t="shared" si="3"/>
        <v>0</v>
      </c>
      <c r="K11" s="45" t="s">
        <v>5649</v>
      </c>
      <c r="L11" s="40" t="str">
        <f t="shared" si="1"/>
        <v/>
      </c>
      <c r="M11" s="46" t="s">
        <v>5651</v>
      </c>
    </row>
    <row r="12" s="12" customFormat="1" ht="15" customHeight="1" spans="1:28">
      <c r="A12" s="49" t="str">
        <f>分类汇总!B12</f>
        <v>应收票据</v>
      </c>
      <c r="B12" s="50" t="str">
        <f>分类汇总!L12</f>
        <v>共</v>
      </c>
      <c r="C12" s="44">
        <f>SUMIF(分类汇总!$B:$B,$A12,分类汇总!BJ:BJ)</f>
        <v>0</v>
      </c>
      <c r="D12" s="44">
        <f>SUMIF(分类汇总!$B:$B,$A12,分类汇总!BK:BK)</f>
        <v>0</v>
      </c>
      <c r="E12" s="44">
        <f>SUMIF(分类汇总!$B:$B,$A12,分类汇总!BL:BL)</f>
        <v>0</v>
      </c>
      <c r="F12" s="39">
        <f t="shared" si="2"/>
        <v>0</v>
      </c>
      <c r="G12" s="44">
        <f>SUMIF(分类汇总!$B:$B,$A12,分类汇总!BN:BN)</f>
        <v>0</v>
      </c>
      <c r="H12" s="44">
        <f>SUMIF(分类汇总!$B:$B,$A12,分类汇总!BO:BO)</f>
        <v>0</v>
      </c>
      <c r="I12" s="44">
        <f>SUMIF(分类汇总!$B:$B,$A12,分类汇总!BP:BP)</f>
        <v>0</v>
      </c>
      <c r="J12" s="39">
        <f t="shared" si="3"/>
        <v>0</v>
      </c>
      <c r="K12" s="45" t="s">
        <v>5649</v>
      </c>
      <c r="L12" s="40" t="str">
        <f t="shared" si="1"/>
        <v/>
      </c>
      <c r="M12" s="46" t="s">
        <v>5651</v>
      </c>
    </row>
    <row r="13" s="12" customFormat="1" ht="15" customHeight="1" spans="1:28">
      <c r="A13" s="49" t="str">
        <f>分类汇总!B13</f>
        <v>应收账款</v>
      </c>
      <c r="B13" s="50" t="str">
        <f>分类汇总!L13</f>
        <v>共</v>
      </c>
      <c r="C13" s="44">
        <f>SUMIF(分类汇总!$B:$B,$A13,分类汇总!BJ:BJ)</f>
        <v>0</v>
      </c>
      <c r="D13" s="44">
        <f>SUMIF(分类汇总!$B:$B,$A13,分类汇总!BK:BK)</f>
        <v>0</v>
      </c>
      <c r="E13" s="44">
        <f>SUMIF(分类汇总!$B:$B,$A13,分类汇总!BL:BL)</f>
        <v>0</v>
      </c>
      <c r="F13" s="39">
        <f t="shared" si="2"/>
        <v>0</v>
      </c>
      <c r="G13" s="44">
        <f>SUMIF(分类汇总!$B:$B,$A13,分类汇总!BN:BN)</f>
        <v>0</v>
      </c>
      <c r="H13" s="44">
        <f>SUMIF(分类汇总!$B:$B,$A13,分类汇总!BO:BO)</f>
        <v>0</v>
      </c>
      <c r="I13" s="44">
        <f>SUMIF(分类汇总!$B:$B,$A13,分类汇总!BP:BP)</f>
        <v>0</v>
      </c>
      <c r="J13" s="39">
        <f t="shared" si="3"/>
        <v>0</v>
      </c>
      <c r="K13" s="45" t="s">
        <v>5649</v>
      </c>
      <c r="L13" s="40" t="str">
        <f t="shared" si="1"/>
        <v/>
      </c>
      <c r="M13" s="46" t="s">
        <v>5651</v>
      </c>
    </row>
    <row r="14" s="12" customFormat="1" ht="15" customHeight="1" spans="1:28">
      <c r="A14" s="49" t="str">
        <f>分类汇总!B14</f>
        <v>应收款项融资</v>
      </c>
      <c r="B14" s="50" t="str">
        <f>分类汇总!L14</f>
        <v>新</v>
      </c>
      <c r="C14" s="44">
        <f>SUMIF(分类汇总!$B:$B,$A14,分类汇总!BJ:BJ)</f>
        <v>0</v>
      </c>
      <c r="D14" s="44">
        <f>SUMIF(分类汇总!$B:$B,$A14,分类汇总!BK:BK)</f>
        <v>0</v>
      </c>
      <c r="E14" s="44">
        <f>SUMIF(分类汇总!$B:$B,$A14,分类汇总!BL:BL)</f>
        <v>0</v>
      </c>
      <c r="F14" s="39">
        <f t="shared" si="2"/>
        <v>0</v>
      </c>
      <c r="G14" s="44">
        <f>SUMIF(分类汇总!$B:$B,$A14,分类汇总!BN:BN)</f>
        <v>0</v>
      </c>
      <c r="H14" s="44">
        <f>SUMIF(分类汇总!$B:$B,$A14,分类汇总!BO:BO)</f>
        <v>0</v>
      </c>
      <c r="I14" s="44">
        <f>SUMIF(分类汇总!$B:$B,$A14,分类汇总!BP:BP)</f>
        <v>0</v>
      </c>
      <c r="J14" s="39">
        <f t="shared" si="3"/>
        <v>0</v>
      </c>
      <c r="K14" s="45" t="s">
        <v>5649</v>
      </c>
      <c r="L14" s="40" t="str">
        <f t="shared" si="1"/>
        <v/>
      </c>
      <c r="M14" s="46" t="s">
        <v>5651</v>
      </c>
    </row>
    <row r="15" s="12" customFormat="1" ht="15" customHeight="1" spans="1:28">
      <c r="A15" s="49" t="str">
        <f>分类汇总!B15</f>
        <v>预付账款</v>
      </c>
      <c r="B15" s="50" t="str">
        <f>分类汇总!L15</f>
        <v>共</v>
      </c>
      <c r="C15" s="44">
        <f>SUMIF(分类汇总!$B:$B,$A15,分类汇总!BJ:BJ)</f>
        <v>0</v>
      </c>
      <c r="D15" s="44">
        <f>SUMIF(分类汇总!$B:$B,$A15,分类汇总!BK:BK)</f>
        <v>0</v>
      </c>
      <c r="E15" s="44">
        <f>SUMIF(分类汇总!$B:$B,$A15,分类汇总!BL:BL)</f>
        <v>0</v>
      </c>
      <c r="F15" s="39">
        <f t="shared" si="2"/>
        <v>0</v>
      </c>
      <c r="G15" s="44">
        <f>SUMIF(分类汇总!$B:$B,$A15,分类汇总!BN:BN)</f>
        <v>0</v>
      </c>
      <c r="H15" s="44">
        <f>SUMIF(分类汇总!$B:$B,$A15,分类汇总!BO:BO)</f>
        <v>0</v>
      </c>
      <c r="I15" s="44">
        <f>SUMIF(分类汇总!$B:$B,$A15,分类汇总!BP:BP)</f>
        <v>0</v>
      </c>
      <c r="J15" s="39">
        <f t="shared" si="3"/>
        <v>0</v>
      </c>
      <c r="K15" s="45" t="s">
        <v>5649</v>
      </c>
      <c r="L15" s="40" t="str">
        <f t="shared" si="1"/>
        <v/>
      </c>
      <c r="M15" s="46" t="s">
        <v>5651</v>
      </c>
    </row>
    <row r="16" s="12" customFormat="1" ht="15" customHeight="1" spans="1:28">
      <c r="A16" s="49" t="str">
        <f>分类汇总!B16</f>
        <v>其他应收款</v>
      </c>
      <c r="B16" s="50" t="str">
        <f>分类汇总!L16</f>
        <v>共</v>
      </c>
      <c r="C16" s="44">
        <f>SUMIF(分类汇总!$B:$B,$A16,分类汇总!BJ:BJ)</f>
        <v>0</v>
      </c>
      <c r="D16" s="44">
        <f>SUMIF(分类汇总!$B:$B,$A16,分类汇总!BK:BK)</f>
        <v>0</v>
      </c>
      <c r="E16" s="44">
        <f>SUMIF(分类汇总!$B:$B,$A16,分类汇总!BL:BL)</f>
        <v>0</v>
      </c>
      <c r="F16" s="39">
        <f t="shared" si="2"/>
        <v>0</v>
      </c>
      <c r="G16" s="44">
        <f>SUMIF(分类汇总!$B:$B,$A16,分类汇总!BN:BN)</f>
        <v>0</v>
      </c>
      <c r="H16" s="44">
        <f>SUMIF(分类汇总!$B:$B,$A16,分类汇总!BO:BO)</f>
        <v>0</v>
      </c>
      <c r="I16" s="44">
        <f>SUMIF(分类汇总!$B:$B,$A16,分类汇总!BP:BP)</f>
        <v>0</v>
      </c>
      <c r="J16" s="39">
        <f t="shared" si="3"/>
        <v>0</v>
      </c>
      <c r="K16" s="45" t="s">
        <v>5649</v>
      </c>
      <c r="L16" s="40" t="str">
        <f t="shared" si="1"/>
        <v/>
      </c>
      <c r="M16" s="46" t="s">
        <v>5651</v>
      </c>
    </row>
    <row r="17" s="12" customFormat="1" ht="15" customHeight="1" spans="1:13">
      <c r="A17" s="49" t="str">
        <f>分类汇总!B17</f>
        <v>存货</v>
      </c>
      <c r="B17" s="50" t="str">
        <f>分类汇总!L17</f>
        <v>共</v>
      </c>
      <c r="C17" s="44">
        <f>SUMIF(分类汇总!$B:$B,$A17,分类汇总!BJ:BJ)</f>
        <v>0</v>
      </c>
      <c r="D17" s="44">
        <f>SUMIF(分类汇总!$B:$B,$A17,分类汇总!BK:BK)</f>
        <v>0</v>
      </c>
      <c r="E17" s="44">
        <f>SUMIF(分类汇总!$B:$B,$A17,分类汇总!BL:BL)</f>
        <v>0</v>
      </c>
      <c r="F17" s="39">
        <f t="shared" si="2"/>
        <v>0</v>
      </c>
      <c r="G17" s="44">
        <f>SUMIF(分类汇总!$B:$B,$A17,分类汇总!BN:BN)</f>
        <v>0</v>
      </c>
      <c r="H17" s="44">
        <f>SUMIF(分类汇总!$B:$B,$A17,分类汇总!BO:BO)</f>
        <v>0</v>
      </c>
      <c r="I17" s="44">
        <f>SUMIF(分类汇总!$B:$B,$A17,分类汇总!BP:BP)</f>
        <v>0</v>
      </c>
      <c r="J17" s="39">
        <f t="shared" si="3"/>
        <v>0</v>
      </c>
      <c r="K17" s="45" t="s">
        <v>5649</v>
      </c>
      <c r="L17" s="40" t="str">
        <f t="shared" si="1"/>
        <v/>
      </c>
      <c r="M17" s="46" t="s">
        <v>5651</v>
      </c>
    </row>
    <row r="18" s="12" customFormat="1" ht="15" customHeight="1" spans="1:13">
      <c r="A18" s="49" t="str">
        <f>分类汇总!B18</f>
        <v>合同资产</v>
      </c>
      <c r="B18" s="50" t="str">
        <f>分类汇总!L18</f>
        <v>新</v>
      </c>
      <c r="C18" s="44">
        <f>SUMIF(分类汇总!$B:$B,$A18,分类汇总!BJ:BJ)</f>
        <v>0</v>
      </c>
      <c r="D18" s="44">
        <f>SUMIF(分类汇总!$B:$B,$A18,分类汇总!BK:BK)</f>
        <v>0</v>
      </c>
      <c r="E18" s="44">
        <f>SUMIF(分类汇总!$B:$B,$A18,分类汇总!BL:BL)</f>
        <v>0</v>
      </c>
      <c r="F18" s="39">
        <f t="shared" si="2"/>
        <v>0</v>
      </c>
      <c r="G18" s="44">
        <f>SUMIF(分类汇总!$B:$B,$A18,分类汇总!BN:BN)</f>
        <v>0</v>
      </c>
      <c r="H18" s="44">
        <f>SUMIF(分类汇总!$B:$B,$A18,分类汇总!BO:BO)</f>
        <v>0</v>
      </c>
      <c r="I18" s="44">
        <f>SUMIF(分类汇总!$B:$B,$A18,分类汇总!BP:BP)</f>
        <v>0</v>
      </c>
      <c r="J18" s="39">
        <f t="shared" si="3"/>
        <v>0</v>
      </c>
      <c r="K18" s="45" t="s">
        <v>5649</v>
      </c>
      <c r="L18" s="40" t="str">
        <f t="shared" si="1"/>
        <v/>
      </c>
      <c r="M18" s="46" t="s">
        <v>5651</v>
      </c>
    </row>
    <row r="19" s="12" customFormat="1" ht="15" customHeight="1" spans="1:13">
      <c r="A19" s="49" t="str">
        <f>分类汇总!B19</f>
        <v>持有待售资产</v>
      </c>
      <c r="B19" s="50" t="str">
        <f>分类汇总!L19</f>
        <v>共</v>
      </c>
      <c r="C19" s="44">
        <f>SUMIF(分类汇总!$B:$B,$A19,分类汇总!BJ:BJ)</f>
        <v>0</v>
      </c>
      <c r="D19" s="44">
        <f>SUMIF(分类汇总!$B:$B,$A19,分类汇总!BK:BK)</f>
        <v>0</v>
      </c>
      <c r="E19" s="44">
        <f>SUMIF(分类汇总!$B:$B,$A19,分类汇总!BL:BL)</f>
        <v>0</v>
      </c>
      <c r="F19" s="39">
        <f t="shared" si="2"/>
        <v>0</v>
      </c>
      <c r="G19" s="44">
        <f>SUMIF(分类汇总!$B:$B,$A19,分类汇总!BN:BN)</f>
        <v>0</v>
      </c>
      <c r="H19" s="44">
        <f>SUMIF(分类汇总!$B:$B,$A19,分类汇总!BO:BO)</f>
        <v>0</v>
      </c>
      <c r="I19" s="44">
        <f>SUMIF(分类汇总!$B:$B,$A19,分类汇总!BP:BP)</f>
        <v>0</v>
      </c>
      <c r="J19" s="39">
        <f t="shared" si="3"/>
        <v>0</v>
      </c>
      <c r="K19" s="45" t="s">
        <v>5649</v>
      </c>
      <c r="L19" s="40" t="str">
        <f t="shared" si="1"/>
        <v/>
      </c>
      <c r="M19" s="46" t="s">
        <v>5651</v>
      </c>
    </row>
    <row r="20" s="12" customFormat="1" ht="15" customHeight="1" spans="1:13">
      <c r="A20" s="49" t="str">
        <f>分类汇总!B20</f>
        <v>一年内到期的非流动资产</v>
      </c>
      <c r="B20" s="50" t="str">
        <f>分类汇总!L20</f>
        <v>共</v>
      </c>
      <c r="C20" s="44">
        <f>SUMIF(分类汇总!$B:$B,$A20,分类汇总!BJ:BJ)</f>
        <v>0</v>
      </c>
      <c r="D20" s="44">
        <f>SUMIF(分类汇总!$B:$B,$A20,分类汇总!BK:BK)</f>
        <v>0</v>
      </c>
      <c r="E20" s="44">
        <f>SUMIF(分类汇总!$B:$B,$A20,分类汇总!BL:BL)</f>
        <v>0</v>
      </c>
      <c r="F20" s="39">
        <f t="shared" si="2"/>
        <v>0</v>
      </c>
      <c r="G20" s="44">
        <f>SUMIF(分类汇总!$B:$B,$A20,分类汇总!BN:BN)</f>
        <v>0</v>
      </c>
      <c r="H20" s="44">
        <f>SUMIF(分类汇总!$B:$B,$A20,分类汇总!BO:BO)</f>
        <v>0</v>
      </c>
      <c r="I20" s="44">
        <f>SUMIF(分类汇总!$B:$B,$A20,分类汇总!BP:BP)</f>
        <v>0</v>
      </c>
      <c r="J20" s="39">
        <f t="shared" si="3"/>
        <v>0</v>
      </c>
      <c r="K20" s="45" t="s">
        <v>5649</v>
      </c>
      <c r="L20" s="40" t="str">
        <f t="shared" si="1"/>
        <v/>
      </c>
      <c r="M20" s="46" t="s">
        <v>5651</v>
      </c>
    </row>
    <row r="21" s="12" customFormat="1" ht="15" customHeight="1" spans="1:13">
      <c r="A21" s="49" t="str">
        <f>分类汇总!B21</f>
        <v>其他流动资产</v>
      </c>
      <c r="B21" s="50" t="str">
        <f>分类汇总!L21</f>
        <v>共</v>
      </c>
      <c r="C21" s="44">
        <f>SUMIF(分类汇总!$B:$B,$A21,分类汇总!BJ:BJ)</f>
        <v>0</v>
      </c>
      <c r="D21" s="44">
        <f>SUMIF(分类汇总!$B:$B,$A21,分类汇总!BK:BK)</f>
        <v>0</v>
      </c>
      <c r="E21" s="44">
        <f>SUMIF(分类汇总!$B:$B,$A21,分类汇总!BL:BL)</f>
        <v>0</v>
      </c>
      <c r="F21" s="39">
        <f t="shared" si="2"/>
        <v>0</v>
      </c>
      <c r="G21" s="44">
        <f>SUMIF(分类汇总!$B:$B,$A21,分类汇总!BN:BN)</f>
        <v>0</v>
      </c>
      <c r="H21" s="44">
        <f>SUMIF(分类汇总!$B:$B,$A21,分类汇总!BO:BO)</f>
        <v>0</v>
      </c>
      <c r="I21" s="44">
        <f>SUMIF(分类汇总!$B:$B,$A21,分类汇总!BP:BP)</f>
        <v>0</v>
      </c>
      <c r="J21" s="39">
        <f t="shared" si="3"/>
        <v>0</v>
      </c>
      <c r="K21" s="45" t="s">
        <v>5649</v>
      </c>
      <c r="L21" s="40" t="str">
        <f t="shared" si="1"/>
        <v/>
      </c>
      <c r="M21" s="46" t="s">
        <v>5651</v>
      </c>
    </row>
    <row r="22" s="14" customFormat="1" ht="15" customHeight="1" spans="1:13">
      <c r="A22" s="51" t="s">
        <v>3404</v>
      </c>
      <c r="B22" s="38" t="str">
        <f>分类汇总!L22</f>
        <v>共</v>
      </c>
      <c r="C22" s="52">
        <f t="shared" ref="C22:J22" si="4">SUM(C23:C42)</f>
        <v>0</v>
      </c>
      <c r="D22" s="52">
        <f t="shared" si="4"/>
        <v>0</v>
      </c>
      <c r="E22" s="52">
        <f t="shared" si="4"/>
        <v>0</v>
      </c>
      <c r="F22" s="39">
        <f t="shared" si="4"/>
        <v>0</v>
      </c>
      <c r="G22" s="52">
        <f t="shared" si="4"/>
        <v>0</v>
      </c>
      <c r="H22" s="52">
        <f t="shared" si="4"/>
        <v>0</v>
      </c>
      <c r="I22" s="52">
        <f t="shared" si="4"/>
        <v>0</v>
      </c>
      <c r="J22" s="39">
        <f t="shared" si="4"/>
        <v>0</v>
      </c>
      <c r="K22" s="39"/>
      <c r="L22" s="53"/>
    </row>
    <row r="23" s="12" customFormat="1" ht="15" customHeight="1" spans="1:13">
      <c r="A23" s="49" t="str">
        <f>分类汇总!B23</f>
        <v>可供出售金融资产</v>
      </c>
      <c r="B23" s="50" t="str">
        <f>分类汇总!L23</f>
        <v>旧</v>
      </c>
      <c r="C23" s="44">
        <f>SUMIF(分类汇总!$B:$B,$A23,分类汇总!BJ:BJ)</f>
        <v>0</v>
      </c>
      <c r="D23" s="44">
        <f>SUMIF(分类汇总!$B:$B,$A23,分类汇总!BK:BK)</f>
        <v>0</v>
      </c>
      <c r="E23" s="44">
        <f>SUMIF(分类汇总!$B:$B,$A23,分类汇总!BL:BL)</f>
        <v>0</v>
      </c>
      <c r="F23" s="39">
        <f t="shared" ref="F23:F42" si="5">(D23-E23)/10000</f>
        <v>0</v>
      </c>
      <c r="G23" s="44">
        <f>SUMIF(分类汇总!$B:$B,$A23,分类汇总!BN:BN)</f>
        <v>0</v>
      </c>
      <c r="H23" s="44">
        <f>SUMIF(分类汇总!$B:$B,$A23,分类汇总!BO:BO)</f>
        <v>0</v>
      </c>
      <c r="I23" s="44">
        <f>SUMIF(分类汇总!$B:$B,$A23,分类汇总!BP:BP)</f>
        <v>0</v>
      </c>
      <c r="J23" s="39">
        <f t="shared" ref="J23:J42" si="6">(H23-I23)/10000</f>
        <v>0</v>
      </c>
      <c r="K23" s="45" t="s">
        <v>5649</v>
      </c>
      <c r="L23" s="40" t="str">
        <f t="shared" ref="L23:L42" si="7">IF(SUM(C23:J23)&gt;0,M23,"")</f>
        <v/>
      </c>
      <c r="M23" s="46" t="s">
        <v>5651</v>
      </c>
    </row>
    <row r="24" s="12" customFormat="1" ht="15" customHeight="1" spans="1:13">
      <c r="A24" s="49" t="str">
        <f>分类汇总!B24</f>
        <v>持有至到期投资</v>
      </c>
      <c r="B24" s="50" t="str">
        <f>分类汇总!L24</f>
        <v>旧</v>
      </c>
      <c r="C24" s="44">
        <f>SUMIF(分类汇总!$B:$B,$A24,分类汇总!BJ:BJ)</f>
        <v>0</v>
      </c>
      <c r="D24" s="44">
        <f>SUMIF(分类汇总!$B:$B,$A24,分类汇总!BK:BK)</f>
        <v>0</v>
      </c>
      <c r="E24" s="44">
        <f>SUMIF(分类汇总!$B:$B,$A24,分类汇总!BL:BL)</f>
        <v>0</v>
      </c>
      <c r="F24" s="39">
        <f t="shared" si="5"/>
        <v>0</v>
      </c>
      <c r="G24" s="44">
        <f>SUMIF(分类汇总!$B:$B,$A24,分类汇总!BN:BN)</f>
        <v>0</v>
      </c>
      <c r="H24" s="44">
        <f>SUMIF(分类汇总!$B:$B,$A24,分类汇总!BO:BO)</f>
        <v>0</v>
      </c>
      <c r="I24" s="44">
        <f>SUMIF(分类汇总!$B:$B,$A24,分类汇总!BP:BP)</f>
        <v>0</v>
      </c>
      <c r="J24" s="39">
        <f t="shared" si="6"/>
        <v>0</v>
      </c>
      <c r="K24" s="45" t="s">
        <v>5649</v>
      </c>
      <c r="L24" s="40" t="str">
        <f t="shared" si="7"/>
        <v/>
      </c>
      <c r="M24" s="46" t="s">
        <v>5651</v>
      </c>
    </row>
    <row r="25" s="12" customFormat="1" ht="15" customHeight="1" spans="1:13">
      <c r="A25" s="49" t="str">
        <f>分类汇总!B25</f>
        <v>债权投资</v>
      </c>
      <c r="B25" s="50" t="str">
        <f>分类汇总!L25</f>
        <v>新</v>
      </c>
      <c r="C25" s="44">
        <f>SUMIF(分类汇总!$B:$B,$A25,分类汇总!BJ:BJ)</f>
        <v>0</v>
      </c>
      <c r="D25" s="44">
        <f>SUMIF(分类汇总!$B:$B,$A25,分类汇总!BK:BK)</f>
        <v>0</v>
      </c>
      <c r="E25" s="44">
        <f>SUMIF(分类汇总!$B:$B,$A25,分类汇总!BL:BL)</f>
        <v>0</v>
      </c>
      <c r="F25" s="39">
        <f t="shared" si="5"/>
        <v>0</v>
      </c>
      <c r="G25" s="44">
        <f>SUMIF(分类汇总!$B:$B,$A25,分类汇总!BN:BN)</f>
        <v>0</v>
      </c>
      <c r="H25" s="44">
        <f>SUMIF(分类汇总!$B:$B,$A25,分类汇总!BO:BO)</f>
        <v>0</v>
      </c>
      <c r="I25" s="44">
        <f>SUMIF(分类汇总!$B:$B,$A25,分类汇总!BP:BP)</f>
        <v>0</v>
      </c>
      <c r="J25" s="39">
        <f t="shared" si="6"/>
        <v>0</v>
      </c>
      <c r="K25" s="45" t="s">
        <v>5649</v>
      </c>
      <c r="L25" s="40" t="str">
        <f t="shared" si="7"/>
        <v/>
      </c>
      <c r="M25" s="46" t="s">
        <v>5651</v>
      </c>
    </row>
    <row r="26" s="12" customFormat="1" ht="15" customHeight="1" spans="1:13">
      <c r="A26" s="49" t="str">
        <f>分类汇总!B26</f>
        <v>其他债权投资</v>
      </c>
      <c r="B26" s="50" t="str">
        <f>分类汇总!L26</f>
        <v>新</v>
      </c>
      <c r="C26" s="44">
        <f>SUMIF(分类汇总!$B:$B,$A26,分类汇总!BJ:BJ)</f>
        <v>0</v>
      </c>
      <c r="D26" s="44">
        <f>SUMIF(分类汇总!$B:$B,$A26,分类汇总!BK:BK)</f>
        <v>0</v>
      </c>
      <c r="E26" s="44">
        <f>SUMIF(分类汇总!$B:$B,$A26,分类汇总!BL:BL)</f>
        <v>0</v>
      </c>
      <c r="F26" s="39">
        <f t="shared" si="5"/>
        <v>0</v>
      </c>
      <c r="G26" s="44">
        <f>SUMIF(分类汇总!$B:$B,$A26,分类汇总!BN:BN)</f>
        <v>0</v>
      </c>
      <c r="H26" s="44">
        <f>SUMIF(分类汇总!$B:$B,$A26,分类汇总!BO:BO)</f>
        <v>0</v>
      </c>
      <c r="I26" s="44">
        <f>SUMIF(分类汇总!$B:$B,$A26,分类汇总!BP:BP)</f>
        <v>0</v>
      </c>
      <c r="J26" s="39">
        <f t="shared" si="6"/>
        <v>0</v>
      </c>
      <c r="K26" s="45" t="s">
        <v>5649</v>
      </c>
      <c r="L26" s="40" t="str">
        <f t="shared" si="7"/>
        <v/>
      </c>
      <c r="M26" s="46" t="s">
        <v>5651</v>
      </c>
    </row>
    <row r="27" s="12" customFormat="1" ht="15" customHeight="1" spans="1:13">
      <c r="A27" s="49" t="str">
        <f>分类汇总!B27</f>
        <v>长期应收款</v>
      </c>
      <c r="B27" s="50" t="str">
        <f>分类汇总!L27</f>
        <v>共</v>
      </c>
      <c r="C27" s="44">
        <f>SUMIF(分类汇总!$B:$B,$A27,分类汇总!BJ:BJ)</f>
        <v>0</v>
      </c>
      <c r="D27" s="44">
        <f>SUMIF(分类汇总!$B:$B,$A27,分类汇总!BK:BK)</f>
        <v>0</v>
      </c>
      <c r="E27" s="44">
        <f>SUMIF(分类汇总!$B:$B,$A27,分类汇总!BL:BL)</f>
        <v>0</v>
      </c>
      <c r="F27" s="39">
        <f t="shared" si="5"/>
        <v>0</v>
      </c>
      <c r="G27" s="44">
        <f>SUMIF(分类汇总!$B:$B,$A27,分类汇总!BN:BN)</f>
        <v>0</v>
      </c>
      <c r="H27" s="44">
        <f>SUMIF(分类汇总!$B:$B,$A27,分类汇总!BO:BO)</f>
        <v>0</v>
      </c>
      <c r="I27" s="44">
        <f>SUMIF(分类汇总!$B:$B,$A27,分类汇总!BP:BP)</f>
        <v>0</v>
      </c>
      <c r="J27" s="39">
        <f t="shared" si="6"/>
        <v>0</v>
      </c>
      <c r="K27" s="45" t="s">
        <v>5649</v>
      </c>
      <c r="L27" s="40" t="str">
        <f t="shared" si="7"/>
        <v/>
      </c>
      <c r="M27" s="46" t="s">
        <v>5651</v>
      </c>
    </row>
    <row r="28" s="12" customFormat="1" ht="15" customHeight="1" spans="1:13">
      <c r="A28" s="49" t="str">
        <f>分类汇总!B28</f>
        <v>长期股权投资</v>
      </c>
      <c r="B28" s="50" t="str">
        <f>分类汇总!L28</f>
        <v>共</v>
      </c>
      <c r="C28" s="44">
        <f>SUMIF(分类汇总!$B:$B,$A28,分类汇总!BJ:BJ)</f>
        <v>0</v>
      </c>
      <c r="D28" s="44">
        <f>SUMIF(分类汇总!$B:$B,$A28,分类汇总!BK:BK)</f>
        <v>0</v>
      </c>
      <c r="E28" s="44">
        <f>SUMIF(分类汇总!$B:$B,$A28,分类汇总!BL:BL)</f>
        <v>0</v>
      </c>
      <c r="F28" s="39">
        <f t="shared" si="5"/>
        <v>0</v>
      </c>
      <c r="G28" s="44">
        <f>SUMIF(分类汇总!$B:$B,$A28,分类汇总!BN:BN)</f>
        <v>0</v>
      </c>
      <c r="H28" s="44">
        <f>SUMIF(分类汇总!$B:$B,$A28,分类汇总!BO:BO)</f>
        <v>0</v>
      </c>
      <c r="I28" s="44">
        <f>SUMIF(分类汇总!$B:$B,$A28,分类汇总!BP:BP)</f>
        <v>0</v>
      </c>
      <c r="J28" s="39">
        <f t="shared" si="6"/>
        <v>0</v>
      </c>
      <c r="K28" s="45" t="s">
        <v>5649</v>
      </c>
      <c r="L28" s="40" t="str">
        <f t="shared" si="7"/>
        <v/>
      </c>
      <c r="M28" s="46" t="s">
        <v>88</v>
      </c>
    </row>
    <row r="29" s="12" customFormat="1" ht="15" customHeight="1" spans="1:13">
      <c r="A29" s="49" t="str">
        <f>分类汇总!B29</f>
        <v>其他权益工具</v>
      </c>
      <c r="B29" s="50" t="str">
        <f>分类汇总!L29</f>
        <v>新</v>
      </c>
      <c r="C29" s="44">
        <f>SUMIF(分类汇总!$B:$B,$A29,分类汇总!BJ:BJ)</f>
        <v>0</v>
      </c>
      <c r="D29" s="44">
        <f>SUMIF(分类汇总!$B:$B,$A29,分类汇总!BK:BK)</f>
        <v>0</v>
      </c>
      <c r="E29" s="44">
        <f>SUMIF(分类汇总!$B:$B,$A29,分类汇总!BL:BL)</f>
        <v>0</v>
      </c>
      <c r="F29" s="39">
        <f t="shared" si="5"/>
        <v>0</v>
      </c>
      <c r="G29" s="44">
        <f>SUMIF(分类汇总!$B:$B,$A29,分类汇总!BN:BN)</f>
        <v>0</v>
      </c>
      <c r="H29" s="44">
        <f>SUMIF(分类汇总!$B:$B,$A29,分类汇总!BO:BO)</f>
        <v>0</v>
      </c>
      <c r="I29" s="44">
        <f>SUMIF(分类汇总!$B:$B,$A29,分类汇总!BP:BP)</f>
        <v>0</v>
      </c>
      <c r="J29" s="39">
        <f t="shared" si="6"/>
        <v>0</v>
      </c>
      <c r="K29" s="45" t="s">
        <v>5649</v>
      </c>
      <c r="L29" s="40" t="str">
        <f t="shared" si="7"/>
        <v/>
      </c>
      <c r="M29" s="46" t="s">
        <v>5651</v>
      </c>
    </row>
    <row r="30" s="12" customFormat="1" ht="15" customHeight="1" spans="1:13">
      <c r="A30" s="49" t="str">
        <f>分类汇总!B30</f>
        <v>其他非流动金融资产</v>
      </c>
      <c r="B30" s="50" t="str">
        <f>分类汇总!L30</f>
        <v>新</v>
      </c>
      <c r="C30" s="44">
        <f>SUMIF(分类汇总!$B:$B,$A30,分类汇总!BJ:BJ)</f>
        <v>0</v>
      </c>
      <c r="D30" s="44">
        <f>SUMIF(分类汇总!$B:$B,$A30,分类汇总!BK:BK)</f>
        <v>0</v>
      </c>
      <c r="E30" s="44">
        <f>SUMIF(分类汇总!$B:$B,$A30,分类汇总!BL:BL)</f>
        <v>0</v>
      </c>
      <c r="F30" s="39">
        <f t="shared" si="5"/>
        <v>0</v>
      </c>
      <c r="G30" s="44">
        <f>SUMIF(分类汇总!$B:$B,$A30,分类汇总!BN:BN)</f>
        <v>0</v>
      </c>
      <c r="H30" s="44">
        <f>SUMIF(分类汇总!$B:$B,$A30,分类汇总!BO:BO)</f>
        <v>0</v>
      </c>
      <c r="I30" s="44">
        <f>SUMIF(分类汇总!$B:$B,$A30,分类汇总!BP:BP)</f>
        <v>0</v>
      </c>
      <c r="J30" s="39">
        <f t="shared" si="6"/>
        <v>0</v>
      </c>
      <c r="K30" s="45" t="s">
        <v>5649</v>
      </c>
      <c r="L30" s="40" t="str">
        <f t="shared" si="7"/>
        <v/>
      </c>
      <c r="M30" s="46" t="s">
        <v>5651</v>
      </c>
    </row>
    <row r="31" s="12" customFormat="1" ht="15" customHeight="1" spans="1:13">
      <c r="A31" s="49" t="str">
        <f>分类汇总!B31</f>
        <v>投资性房地产</v>
      </c>
      <c r="B31" s="50" t="str">
        <f>分类汇总!L31</f>
        <v>共</v>
      </c>
      <c r="C31" s="44">
        <f>SUMIF(分类汇总!$B:$B,$A31,分类汇总!BJ:BJ)</f>
        <v>0</v>
      </c>
      <c r="D31" s="44">
        <f>SUMIF(分类汇总!$B:$B,$A31,分类汇总!BK:BK)</f>
        <v>0</v>
      </c>
      <c r="E31" s="44">
        <f>SUMIF(分类汇总!$B:$B,$A31,分类汇总!BL:BL)</f>
        <v>0</v>
      </c>
      <c r="F31" s="39">
        <f t="shared" si="5"/>
        <v>0</v>
      </c>
      <c r="G31" s="44">
        <f>SUMIF(分类汇总!$B:$B,$A31,分类汇总!BN:BN)</f>
        <v>0</v>
      </c>
      <c r="H31" s="44">
        <f>SUMIF(分类汇总!$B:$B,$A31,分类汇总!BO:BO)</f>
        <v>0</v>
      </c>
      <c r="I31" s="44">
        <f>SUMIF(分类汇总!$B:$B,$A31,分类汇总!BP:BP)</f>
        <v>0</v>
      </c>
      <c r="J31" s="39">
        <f t="shared" si="6"/>
        <v>0</v>
      </c>
      <c r="K31" s="45" t="s">
        <v>5649</v>
      </c>
      <c r="L31" s="40" t="str">
        <f t="shared" si="7"/>
        <v/>
      </c>
      <c r="M31" s="46" t="s">
        <v>5651</v>
      </c>
    </row>
    <row r="32" s="12" customFormat="1" ht="15" customHeight="1" spans="1:13">
      <c r="A32" s="49" t="str">
        <f>分类汇总!B32</f>
        <v>固定资产</v>
      </c>
      <c r="B32" s="50" t="str">
        <f>分类汇总!L32</f>
        <v>共</v>
      </c>
      <c r="C32" s="44">
        <f>SUMIF(分类汇总!$B:$B,$A32,分类汇总!BJ:BJ)</f>
        <v>0</v>
      </c>
      <c r="D32" s="44">
        <f>SUMIF(分类汇总!$B:$B,$A32,分类汇总!BK:BK)</f>
        <v>0</v>
      </c>
      <c r="E32" s="44">
        <f>SUMIF(分类汇总!$B:$B,$A32,分类汇总!BL:BL)</f>
        <v>0</v>
      </c>
      <c r="F32" s="39">
        <f t="shared" si="5"/>
        <v>0</v>
      </c>
      <c r="G32" s="44">
        <f>SUMIF(分类汇总!$B:$B,$A32,分类汇总!BN:BN)</f>
        <v>0</v>
      </c>
      <c r="H32" s="44">
        <f>SUMIF(分类汇总!$B:$B,$A32,分类汇总!BO:BO)</f>
        <v>0</v>
      </c>
      <c r="I32" s="44">
        <f>SUMIF(分类汇总!$B:$B,$A32,分类汇总!BP:BP)</f>
        <v>0</v>
      </c>
      <c r="J32" s="39">
        <f t="shared" si="6"/>
        <v>0</v>
      </c>
      <c r="K32" s="45" t="s">
        <v>5649</v>
      </c>
      <c r="L32" s="40" t="str">
        <f t="shared" si="7"/>
        <v/>
      </c>
      <c r="M32" s="46" t="s">
        <v>5651</v>
      </c>
    </row>
    <row r="33" s="12" customFormat="1" ht="15" customHeight="1" spans="1:13">
      <c r="A33" s="49" t="str">
        <f>分类汇总!B33</f>
        <v>在建工程</v>
      </c>
      <c r="B33" s="50" t="str">
        <f>分类汇总!L33</f>
        <v>共</v>
      </c>
      <c r="C33" s="44">
        <f>SUMIF(分类汇总!$B:$B,$A33,分类汇总!BJ:BJ)</f>
        <v>0</v>
      </c>
      <c r="D33" s="44">
        <f>SUMIF(分类汇总!$B:$B,$A33,分类汇总!BK:BK)</f>
        <v>0</v>
      </c>
      <c r="E33" s="44">
        <f>SUMIF(分类汇总!$B:$B,$A33,分类汇总!BL:BL)</f>
        <v>0</v>
      </c>
      <c r="F33" s="39">
        <f t="shared" si="5"/>
        <v>0</v>
      </c>
      <c r="G33" s="44">
        <f>SUMIF(分类汇总!$B:$B,$A33,分类汇总!BN:BN)</f>
        <v>0</v>
      </c>
      <c r="H33" s="44">
        <f>SUMIF(分类汇总!$B:$B,$A33,分类汇总!BO:BO)</f>
        <v>0</v>
      </c>
      <c r="I33" s="44">
        <f>SUMIF(分类汇总!$B:$B,$A33,分类汇总!BP:BP)</f>
        <v>0</v>
      </c>
      <c r="J33" s="39">
        <f t="shared" si="6"/>
        <v>0</v>
      </c>
      <c r="K33" s="45" t="s">
        <v>5649</v>
      </c>
      <c r="L33" s="40" t="str">
        <f t="shared" si="7"/>
        <v/>
      </c>
      <c r="M33" s="46" t="s">
        <v>5651</v>
      </c>
    </row>
    <row r="34" s="12" customFormat="1" ht="15" customHeight="1" spans="1:13">
      <c r="A34" s="49" t="str">
        <f>分类汇总!B34</f>
        <v>生产性生物资产</v>
      </c>
      <c r="B34" s="50" t="str">
        <f>分类汇总!L34</f>
        <v>共</v>
      </c>
      <c r="C34" s="44">
        <f>SUMIF(分类汇总!$B:$B,$A34,分类汇总!BJ:BJ)</f>
        <v>0</v>
      </c>
      <c r="D34" s="44">
        <f>SUMIF(分类汇总!$B:$B,$A34,分类汇总!BK:BK)</f>
        <v>0</v>
      </c>
      <c r="E34" s="44">
        <f>SUMIF(分类汇总!$B:$B,$A34,分类汇总!BL:BL)</f>
        <v>0</v>
      </c>
      <c r="F34" s="39">
        <f t="shared" si="5"/>
        <v>0</v>
      </c>
      <c r="G34" s="44">
        <f>SUMIF(分类汇总!$B:$B,$A34,分类汇总!BN:BN)</f>
        <v>0</v>
      </c>
      <c r="H34" s="44">
        <f>SUMIF(分类汇总!$B:$B,$A34,分类汇总!BO:BO)</f>
        <v>0</v>
      </c>
      <c r="I34" s="44">
        <f>SUMIF(分类汇总!$B:$B,$A34,分类汇总!BP:BP)</f>
        <v>0</v>
      </c>
      <c r="J34" s="39">
        <f t="shared" si="6"/>
        <v>0</v>
      </c>
      <c r="K34" s="45" t="s">
        <v>5649</v>
      </c>
      <c r="L34" s="40" t="str">
        <f t="shared" si="7"/>
        <v/>
      </c>
      <c r="M34" s="46" t="s">
        <v>5651</v>
      </c>
    </row>
    <row r="35" s="12" customFormat="1" ht="15" customHeight="1" spans="1:13">
      <c r="A35" s="49" t="str">
        <f>分类汇总!B35</f>
        <v>油气资产</v>
      </c>
      <c r="B35" s="50" t="str">
        <f>分类汇总!L35</f>
        <v>共</v>
      </c>
      <c r="C35" s="44">
        <f>SUMIF(分类汇总!$B:$B,$A35,分类汇总!BJ:BJ)</f>
        <v>0</v>
      </c>
      <c r="D35" s="44">
        <f>SUMIF(分类汇总!$B:$B,$A35,分类汇总!BK:BK)</f>
        <v>0</v>
      </c>
      <c r="E35" s="44">
        <f>SUMIF(分类汇总!$B:$B,$A35,分类汇总!BL:BL)</f>
        <v>0</v>
      </c>
      <c r="F35" s="39">
        <f t="shared" si="5"/>
        <v>0</v>
      </c>
      <c r="G35" s="44">
        <f>SUMIF(分类汇总!$B:$B,$A35,分类汇总!BN:BN)</f>
        <v>0</v>
      </c>
      <c r="H35" s="44">
        <f>SUMIF(分类汇总!$B:$B,$A35,分类汇总!BO:BO)</f>
        <v>0</v>
      </c>
      <c r="I35" s="44">
        <f>SUMIF(分类汇总!$B:$B,$A35,分类汇总!BP:BP)</f>
        <v>0</v>
      </c>
      <c r="J35" s="39">
        <f t="shared" si="6"/>
        <v>0</v>
      </c>
      <c r="K35" s="45" t="s">
        <v>5649</v>
      </c>
      <c r="L35" s="40" t="str">
        <f t="shared" si="7"/>
        <v/>
      </c>
      <c r="M35" s="46" t="s">
        <v>5651</v>
      </c>
    </row>
    <row r="36" s="12" customFormat="1" ht="15" customHeight="1" spans="1:13">
      <c r="A36" s="49" t="str">
        <f>分类汇总!B36</f>
        <v>使用权资产</v>
      </c>
      <c r="B36" s="50" t="str">
        <f>分类汇总!L36</f>
        <v>新</v>
      </c>
      <c r="C36" s="44">
        <f>SUMIF(分类汇总!$B:$B,$A36,分类汇总!BJ:BJ)</f>
        <v>0</v>
      </c>
      <c r="D36" s="44">
        <f>SUMIF(分类汇总!$B:$B,$A36,分类汇总!BK:BK)</f>
        <v>0</v>
      </c>
      <c r="E36" s="44">
        <f>SUMIF(分类汇总!$B:$B,$A36,分类汇总!BL:BL)</f>
        <v>0</v>
      </c>
      <c r="F36" s="39">
        <f t="shared" si="5"/>
        <v>0</v>
      </c>
      <c r="G36" s="44">
        <f>SUMIF(分类汇总!$B:$B,$A36,分类汇总!BN:BN)</f>
        <v>0</v>
      </c>
      <c r="H36" s="44">
        <f>SUMIF(分类汇总!$B:$B,$A36,分类汇总!BO:BO)</f>
        <v>0</v>
      </c>
      <c r="I36" s="44">
        <f>SUMIF(分类汇总!$B:$B,$A36,分类汇总!BP:BP)</f>
        <v>0</v>
      </c>
      <c r="J36" s="39">
        <f t="shared" si="6"/>
        <v>0</v>
      </c>
      <c r="K36" s="45" t="s">
        <v>5649</v>
      </c>
      <c r="L36" s="40" t="str">
        <f t="shared" si="7"/>
        <v/>
      </c>
      <c r="M36" s="46" t="s">
        <v>5651</v>
      </c>
    </row>
    <row r="37" s="12" customFormat="1" ht="15" customHeight="1" spans="1:13">
      <c r="A37" s="49" t="str">
        <f>分类汇总!B37</f>
        <v>无形资产</v>
      </c>
      <c r="B37" s="50" t="str">
        <f>分类汇总!L37</f>
        <v>共</v>
      </c>
      <c r="C37" s="44">
        <f>SUMIF(分类汇总!$B:$B,$A37,分类汇总!BJ:BJ)</f>
        <v>0</v>
      </c>
      <c r="D37" s="44">
        <f>SUMIF(分类汇总!$B:$B,$A37,分类汇总!BK:BK)</f>
        <v>0</v>
      </c>
      <c r="E37" s="44">
        <f>SUMIF(分类汇总!$B:$B,$A37,分类汇总!BL:BL)</f>
        <v>0</v>
      </c>
      <c r="F37" s="39">
        <f t="shared" si="5"/>
        <v>0</v>
      </c>
      <c r="G37" s="44">
        <f>SUMIF(分类汇总!$B:$B,$A37,分类汇总!BN:BN)</f>
        <v>0</v>
      </c>
      <c r="H37" s="44">
        <f>SUMIF(分类汇总!$B:$B,$A37,分类汇总!BO:BO)</f>
        <v>0</v>
      </c>
      <c r="I37" s="44">
        <f>SUMIF(分类汇总!$B:$B,$A37,分类汇总!BP:BP)</f>
        <v>0</v>
      </c>
      <c r="J37" s="39">
        <f t="shared" si="6"/>
        <v>0</v>
      </c>
      <c r="K37" s="45" t="s">
        <v>5649</v>
      </c>
      <c r="L37" s="40" t="str">
        <f t="shared" si="7"/>
        <v/>
      </c>
      <c r="M37" s="46" t="s">
        <v>5651</v>
      </c>
    </row>
    <row r="38" s="12" customFormat="1" ht="15" customHeight="1" spans="1:13">
      <c r="A38" s="49" t="str">
        <f>分类汇总!B38</f>
        <v>开发支出</v>
      </c>
      <c r="B38" s="50" t="str">
        <f>分类汇总!L38</f>
        <v>共</v>
      </c>
      <c r="C38" s="44">
        <f>SUMIF(分类汇总!$B:$B,$A38,分类汇总!BJ:BJ)</f>
        <v>0</v>
      </c>
      <c r="D38" s="44">
        <f>SUMIF(分类汇总!$B:$B,$A38,分类汇总!BK:BK)</f>
        <v>0</v>
      </c>
      <c r="E38" s="44">
        <f>SUMIF(分类汇总!$B:$B,$A38,分类汇总!BL:BL)</f>
        <v>0</v>
      </c>
      <c r="F38" s="39">
        <f t="shared" si="5"/>
        <v>0</v>
      </c>
      <c r="G38" s="44">
        <f>SUMIF(分类汇总!$B:$B,$A38,分类汇总!BN:BN)</f>
        <v>0</v>
      </c>
      <c r="H38" s="44">
        <f>SUMIF(分类汇总!$B:$B,$A38,分类汇总!BO:BO)</f>
        <v>0</v>
      </c>
      <c r="I38" s="44">
        <f>SUMIF(分类汇总!$B:$B,$A38,分类汇总!BP:BP)</f>
        <v>0</v>
      </c>
      <c r="J38" s="39">
        <f t="shared" si="6"/>
        <v>0</v>
      </c>
      <c r="K38" s="45" t="s">
        <v>5649</v>
      </c>
      <c r="L38" s="40" t="str">
        <f t="shared" si="7"/>
        <v/>
      </c>
      <c r="M38" s="46" t="s">
        <v>5651</v>
      </c>
    </row>
    <row r="39" s="12" customFormat="1" ht="15" customHeight="1" spans="1:13">
      <c r="A39" s="49" t="str">
        <f>分类汇总!B39</f>
        <v>商誉</v>
      </c>
      <c r="B39" s="50" t="str">
        <f>分类汇总!L39</f>
        <v>共</v>
      </c>
      <c r="C39" s="44">
        <f>SUMIF(分类汇总!$B:$B,$A39,分类汇总!BJ:BJ)</f>
        <v>0</v>
      </c>
      <c r="D39" s="44">
        <f>SUMIF(分类汇总!$B:$B,$A39,分类汇总!BK:BK)</f>
        <v>0</v>
      </c>
      <c r="E39" s="44">
        <f>SUMIF(分类汇总!$B:$B,$A39,分类汇总!BL:BL)</f>
        <v>0</v>
      </c>
      <c r="F39" s="39">
        <f t="shared" si="5"/>
        <v>0</v>
      </c>
      <c r="G39" s="44">
        <f>SUMIF(分类汇总!$B:$B,$A39,分类汇总!BN:BN)</f>
        <v>0</v>
      </c>
      <c r="H39" s="44">
        <f>SUMIF(分类汇总!$B:$B,$A39,分类汇总!BO:BO)</f>
        <v>0</v>
      </c>
      <c r="I39" s="44">
        <f>SUMIF(分类汇总!$B:$B,$A39,分类汇总!BP:BP)</f>
        <v>0</v>
      </c>
      <c r="J39" s="39">
        <f t="shared" si="6"/>
        <v>0</v>
      </c>
      <c r="K39" s="45" t="s">
        <v>5649</v>
      </c>
      <c r="L39" s="40" t="str">
        <f t="shared" si="7"/>
        <v/>
      </c>
      <c r="M39" s="46" t="s">
        <v>5651</v>
      </c>
    </row>
    <row r="40" s="12" customFormat="1" ht="15" customHeight="1" spans="1:13">
      <c r="A40" s="49" t="str">
        <f>分类汇总!B40</f>
        <v>长期待摊费用</v>
      </c>
      <c r="B40" s="50" t="str">
        <f>分类汇总!L40</f>
        <v>共</v>
      </c>
      <c r="C40" s="44">
        <f>SUMIF(分类汇总!$B:$B,$A40,分类汇总!BJ:BJ)</f>
        <v>0</v>
      </c>
      <c r="D40" s="44">
        <f>SUMIF(分类汇总!$B:$B,$A40,分类汇总!BK:BK)</f>
        <v>0</v>
      </c>
      <c r="E40" s="44">
        <f>SUMIF(分类汇总!$B:$B,$A40,分类汇总!BL:BL)</f>
        <v>0</v>
      </c>
      <c r="F40" s="39">
        <f t="shared" si="5"/>
        <v>0</v>
      </c>
      <c r="G40" s="44">
        <f>SUMIF(分类汇总!$B:$B,$A40,分类汇总!BN:BN)</f>
        <v>0</v>
      </c>
      <c r="H40" s="44">
        <f>SUMIF(分类汇总!$B:$B,$A40,分类汇总!BO:BO)</f>
        <v>0</v>
      </c>
      <c r="I40" s="44">
        <f>SUMIF(分类汇总!$B:$B,$A40,分类汇总!BP:BP)</f>
        <v>0</v>
      </c>
      <c r="J40" s="39">
        <f t="shared" si="6"/>
        <v>0</v>
      </c>
      <c r="K40" s="45" t="s">
        <v>5649</v>
      </c>
      <c r="L40" s="40" t="str">
        <f t="shared" si="7"/>
        <v/>
      </c>
      <c r="M40" s="46" t="s">
        <v>5651</v>
      </c>
    </row>
    <row r="41" s="12" customFormat="1" ht="15" customHeight="1" spans="1:13">
      <c r="A41" s="49" t="str">
        <f>分类汇总!B41</f>
        <v>递延所得税资产</v>
      </c>
      <c r="B41" s="50" t="str">
        <f>分类汇总!L41</f>
        <v>共</v>
      </c>
      <c r="C41" s="44">
        <f>SUMIF(分类汇总!$B:$B,$A41,分类汇总!BJ:BJ)</f>
        <v>0</v>
      </c>
      <c r="D41" s="44">
        <f>SUMIF(分类汇总!$B:$B,$A41,分类汇总!BK:BK)</f>
        <v>0</v>
      </c>
      <c r="E41" s="44">
        <f>SUMIF(分类汇总!$B:$B,$A41,分类汇总!BL:BL)</f>
        <v>0</v>
      </c>
      <c r="F41" s="39">
        <f t="shared" si="5"/>
        <v>0</v>
      </c>
      <c r="G41" s="44">
        <f>SUMIF(分类汇总!$B:$B,$A41,分类汇总!BN:BN)</f>
        <v>0</v>
      </c>
      <c r="H41" s="44">
        <f>SUMIF(分类汇总!$B:$B,$A41,分类汇总!BO:BO)</f>
        <v>0</v>
      </c>
      <c r="I41" s="44">
        <f>SUMIF(分类汇总!$B:$B,$A41,分类汇总!BP:BP)</f>
        <v>0</v>
      </c>
      <c r="J41" s="39">
        <f t="shared" si="6"/>
        <v>0</v>
      </c>
      <c r="K41" s="45" t="s">
        <v>5649</v>
      </c>
      <c r="L41" s="40" t="str">
        <f t="shared" si="7"/>
        <v/>
      </c>
      <c r="M41" s="46" t="s">
        <v>5651</v>
      </c>
    </row>
    <row r="42" s="12" customFormat="1" ht="15" customHeight="1" spans="1:13">
      <c r="A42" s="49" t="str">
        <f>分类汇总!B42</f>
        <v>其他非流动资产</v>
      </c>
      <c r="B42" s="50" t="str">
        <f>分类汇总!L42</f>
        <v>共</v>
      </c>
      <c r="C42" s="44">
        <f>SUMIF(分类汇总!$B:$B,$A42,分类汇总!BJ:BJ)</f>
        <v>0</v>
      </c>
      <c r="D42" s="44">
        <f>SUMIF(分类汇总!$B:$B,$A42,分类汇总!BK:BK)</f>
        <v>0</v>
      </c>
      <c r="E42" s="44">
        <f>SUMIF(分类汇总!$B:$B,$A42,分类汇总!BL:BL)</f>
        <v>0</v>
      </c>
      <c r="F42" s="39">
        <f t="shared" si="5"/>
        <v>0</v>
      </c>
      <c r="G42" s="44">
        <f>SUMIF(分类汇总!$B:$B,$A42,分类汇总!BN:BN)</f>
        <v>0</v>
      </c>
      <c r="H42" s="44">
        <f>SUMIF(分类汇总!$B:$B,$A42,分类汇总!BO:BO)</f>
        <v>0</v>
      </c>
      <c r="I42" s="44">
        <f>SUMIF(分类汇总!$B:$B,$A42,分类汇总!BP:BP)</f>
        <v>0</v>
      </c>
      <c r="J42" s="39">
        <f t="shared" si="6"/>
        <v>0</v>
      </c>
      <c r="K42" s="45" t="s">
        <v>5649</v>
      </c>
      <c r="L42" s="40" t="str">
        <f t="shared" si="7"/>
        <v/>
      </c>
      <c r="M42" s="46" t="s">
        <v>5651</v>
      </c>
    </row>
    <row r="43" s="12" customFormat="1" ht="15" customHeight="1" spans="1:13">
      <c r="A43" s="51" t="s">
        <v>5652</v>
      </c>
      <c r="B43" s="38" t="str">
        <f>分类汇总!L43</f>
        <v>共</v>
      </c>
      <c r="C43" s="52">
        <f t="shared" ref="C43:J43" si="8">SUM(C7,C22)</f>
        <v>0</v>
      </c>
      <c r="D43" s="52">
        <f t="shared" si="8"/>
        <v>0</v>
      </c>
      <c r="E43" s="52">
        <f t="shared" si="8"/>
        <v>0</v>
      </c>
      <c r="F43" s="52">
        <f t="shared" si="8"/>
        <v>0</v>
      </c>
      <c r="G43" s="52">
        <f t="shared" si="8"/>
        <v>0</v>
      </c>
      <c r="H43" s="52">
        <f t="shared" si="8"/>
        <v>0</v>
      </c>
      <c r="I43" s="52">
        <f t="shared" si="8"/>
        <v>0</v>
      </c>
      <c r="J43" s="52">
        <f t="shared" si="8"/>
        <v>0</v>
      </c>
      <c r="K43" s="52"/>
      <c r="L43" s="54"/>
    </row>
    <row r="44" s="12" customFormat="1" ht="15" customHeight="1" spans="1:13">
      <c r="A44" s="55" t="s">
        <v>5653</v>
      </c>
      <c r="B44" s="56" t="str">
        <f>分类汇总!L44</f>
        <v>共</v>
      </c>
      <c r="C44" s="52">
        <f t="shared" ref="C44:J44" si="9">SUM(C45:C58)</f>
        <v>0</v>
      </c>
      <c r="D44" s="52">
        <f t="shared" si="9"/>
        <v>0</v>
      </c>
      <c r="E44" s="52">
        <f t="shared" si="9"/>
        <v>0</v>
      </c>
      <c r="F44" s="39">
        <f t="shared" si="9"/>
        <v>0</v>
      </c>
      <c r="G44" s="39">
        <f t="shared" si="9"/>
        <v>0</v>
      </c>
      <c r="H44" s="39">
        <f t="shared" si="9"/>
        <v>0</v>
      </c>
      <c r="I44" s="39">
        <f t="shared" si="9"/>
        <v>0</v>
      </c>
      <c r="J44" s="39">
        <f t="shared" si="9"/>
        <v>0</v>
      </c>
      <c r="K44" s="39"/>
      <c r="L44" s="54"/>
    </row>
    <row r="45" s="12" customFormat="1" ht="15" customHeight="1" spans="1:13">
      <c r="A45" s="57" t="str">
        <f>分类汇总!B45</f>
        <v>短期借款</v>
      </c>
      <c r="B45" s="58" t="str">
        <f>分类汇总!L45</f>
        <v>共</v>
      </c>
      <c r="C45" s="44">
        <f>SUMIF(分类汇总!$B:$B,$A45,分类汇总!BJ:BJ)</f>
        <v>0</v>
      </c>
      <c r="D45" s="44">
        <f>SUMIF(分类汇总!$B:$B,$A45,分类汇总!BK:BK)</f>
        <v>0</v>
      </c>
      <c r="E45" s="44">
        <f>SUMIF(分类汇总!$B:$B,$A45,分类汇总!BL:BL)</f>
        <v>0</v>
      </c>
      <c r="F45" s="39">
        <f t="shared" ref="F45:F58" si="10">(D45-E45)/10000</f>
        <v>0</v>
      </c>
      <c r="G45" s="44">
        <f>SUMIF(分类汇总!$B:$B,$A45,分类汇总!BN:BN)</f>
        <v>0</v>
      </c>
      <c r="H45" s="44">
        <f>SUMIF(分类汇总!$B:$B,$A45,分类汇总!BO:BO)</f>
        <v>0</v>
      </c>
      <c r="I45" s="44">
        <f>SUMIF(分类汇总!$B:$B,$A45,分类汇总!BP:BP)</f>
        <v>0</v>
      </c>
      <c r="J45" s="39">
        <f t="shared" ref="J45:J58" si="11">(H45-I45)/10000</f>
        <v>0</v>
      </c>
      <c r="K45" s="45" t="s">
        <v>5649</v>
      </c>
      <c r="L45" s="40" t="str">
        <f t="shared" ref="L45:L58" si="12">IF(SUM(C45:J45)&gt;0,M45,"")</f>
        <v/>
      </c>
      <c r="M45" s="46" t="s">
        <v>5654</v>
      </c>
    </row>
    <row r="46" s="12" customFormat="1" ht="15" customHeight="1" spans="1:13">
      <c r="A46" s="59" t="str">
        <f>分类汇总!B46</f>
        <v>以公允价值计量其其变动计入当期损益的金融负债</v>
      </c>
      <c r="B46" s="42" t="str">
        <f>分类汇总!L46</f>
        <v>旧</v>
      </c>
      <c r="C46" s="44">
        <f>SUMIF(分类汇总!$B:$B,$A46,分类汇总!BJ:BJ)</f>
        <v>0</v>
      </c>
      <c r="D46" s="44">
        <f>SUMIF(分类汇总!$B:$B,$A46,分类汇总!BK:BK)</f>
        <v>0</v>
      </c>
      <c r="E46" s="44">
        <f>SUMIF(分类汇总!$B:$B,$A46,分类汇总!BL:BL)</f>
        <v>0</v>
      </c>
      <c r="F46" s="39">
        <f t="shared" si="10"/>
        <v>0</v>
      </c>
      <c r="G46" s="44">
        <f>SUMIF(分类汇总!$B:$B,$A46,分类汇总!BN:BN)</f>
        <v>0</v>
      </c>
      <c r="H46" s="44">
        <f>SUMIF(分类汇总!$B:$B,$A46,分类汇总!BO:BO)</f>
        <v>0</v>
      </c>
      <c r="I46" s="44">
        <f>SUMIF(分类汇总!$B:$B,$A46,分类汇总!BP:BP)</f>
        <v>0</v>
      </c>
      <c r="J46" s="39">
        <f t="shared" si="11"/>
        <v>0</v>
      </c>
      <c r="K46" s="45" t="s">
        <v>5649</v>
      </c>
      <c r="L46" s="40" t="str">
        <f t="shared" si="12"/>
        <v/>
      </c>
      <c r="M46" s="46" t="s">
        <v>5655</v>
      </c>
    </row>
    <row r="47" s="12" customFormat="1" ht="15" customHeight="1" spans="1:13">
      <c r="A47" s="59" t="str">
        <f>分类汇总!B47</f>
        <v>交易性金融负债</v>
      </c>
      <c r="B47" s="42" t="str">
        <f>分类汇总!L47</f>
        <v>新</v>
      </c>
      <c r="C47" s="44">
        <f>SUMIF(分类汇总!$B:$B,$A47,分类汇总!BJ:BJ)</f>
        <v>0</v>
      </c>
      <c r="D47" s="44">
        <f>SUMIF(分类汇总!$B:$B,$A47,分类汇总!BK:BK)</f>
        <v>0</v>
      </c>
      <c r="E47" s="44">
        <f>SUMIF(分类汇总!$B:$B,$A47,分类汇总!BL:BL)</f>
        <v>0</v>
      </c>
      <c r="F47" s="39">
        <f t="shared" si="10"/>
        <v>0</v>
      </c>
      <c r="G47" s="44">
        <f>SUMIF(分类汇总!$B:$B,$A47,分类汇总!BN:BN)</f>
        <v>0</v>
      </c>
      <c r="H47" s="44">
        <f>SUMIF(分类汇总!$B:$B,$A47,分类汇总!BO:BO)</f>
        <v>0</v>
      </c>
      <c r="I47" s="44">
        <f>SUMIF(分类汇总!$B:$B,$A47,分类汇总!BP:BP)</f>
        <v>0</v>
      </c>
      <c r="J47" s="39">
        <f t="shared" si="11"/>
        <v>0</v>
      </c>
      <c r="K47" s="45" t="s">
        <v>5649</v>
      </c>
      <c r="L47" s="40" t="str">
        <f t="shared" si="12"/>
        <v/>
      </c>
      <c r="M47" s="46" t="s">
        <v>5655</v>
      </c>
    </row>
    <row r="48" s="12" customFormat="1" ht="15" customHeight="1" spans="1:13">
      <c r="A48" s="59" t="str">
        <f>分类汇总!B48</f>
        <v>衍生金融负债</v>
      </c>
      <c r="B48" s="42" t="str">
        <f>分类汇总!L48</f>
        <v>共</v>
      </c>
      <c r="C48" s="44">
        <f>SUMIF(分类汇总!$B:$B,$A48,分类汇总!BJ:BJ)</f>
        <v>0</v>
      </c>
      <c r="D48" s="44">
        <f>SUMIF(分类汇总!$B:$B,$A48,分类汇总!BK:BK)</f>
        <v>0</v>
      </c>
      <c r="E48" s="44">
        <f>SUMIF(分类汇总!$B:$B,$A48,分类汇总!BL:BL)</f>
        <v>0</v>
      </c>
      <c r="F48" s="39">
        <f t="shared" si="10"/>
        <v>0</v>
      </c>
      <c r="G48" s="44">
        <f>SUMIF(分类汇总!$B:$B,$A48,分类汇总!BN:BN)</f>
        <v>0</v>
      </c>
      <c r="H48" s="44">
        <f>SUMIF(分类汇总!$B:$B,$A48,分类汇总!BO:BO)</f>
        <v>0</v>
      </c>
      <c r="I48" s="44">
        <f>SUMIF(分类汇总!$B:$B,$A48,分类汇总!BP:BP)</f>
        <v>0</v>
      </c>
      <c r="J48" s="39">
        <f t="shared" si="11"/>
        <v>0</v>
      </c>
      <c r="K48" s="45" t="s">
        <v>5649</v>
      </c>
      <c r="L48" s="40" t="str">
        <f t="shared" si="12"/>
        <v/>
      </c>
      <c r="M48" s="46" t="s">
        <v>5655</v>
      </c>
    </row>
    <row r="49" s="12" customFormat="1" ht="15" customHeight="1" spans="1:13">
      <c r="A49" s="59" t="str">
        <f>分类汇总!B49</f>
        <v>应付票据</v>
      </c>
      <c r="B49" s="42" t="str">
        <f>分类汇总!L49</f>
        <v>共</v>
      </c>
      <c r="C49" s="44">
        <f>SUMIF(分类汇总!$B:$B,$A49,分类汇总!BJ:BJ)</f>
        <v>0</v>
      </c>
      <c r="D49" s="44">
        <f>SUMIF(分类汇总!$B:$B,$A49,分类汇总!BK:BK)</f>
        <v>0</v>
      </c>
      <c r="E49" s="44">
        <f>SUMIF(分类汇总!$B:$B,$A49,分类汇总!BL:BL)</f>
        <v>0</v>
      </c>
      <c r="F49" s="39">
        <f t="shared" si="10"/>
        <v>0</v>
      </c>
      <c r="G49" s="44">
        <f>SUMIF(分类汇总!$B:$B,$A49,分类汇总!BN:BN)</f>
        <v>0</v>
      </c>
      <c r="H49" s="44">
        <f>SUMIF(分类汇总!$B:$B,$A49,分类汇总!BO:BO)</f>
        <v>0</v>
      </c>
      <c r="I49" s="44">
        <f>SUMIF(分类汇总!$B:$B,$A49,分类汇总!BP:BP)</f>
        <v>0</v>
      </c>
      <c r="J49" s="39">
        <f t="shared" si="11"/>
        <v>0</v>
      </c>
      <c r="K49" s="45" t="s">
        <v>5649</v>
      </c>
      <c r="L49" s="40" t="str">
        <f t="shared" si="12"/>
        <v/>
      </c>
      <c r="M49" s="46" t="s">
        <v>5655</v>
      </c>
    </row>
    <row r="50" s="12" customFormat="1" ht="15" customHeight="1" spans="1:13">
      <c r="A50" s="59" t="str">
        <f>分类汇总!B50</f>
        <v>应付账款</v>
      </c>
      <c r="B50" s="42" t="str">
        <f>分类汇总!L50</f>
        <v>共</v>
      </c>
      <c r="C50" s="44">
        <f>SUMIF(分类汇总!$B:$B,$A50,分类汇总!BJ:BJ)</f>
        <v>0</v>
      </c>
      <c r="D50" s="44">
        <f>SUMIF(分类汇总!$B:$B,$A50,分类汇总!BK:BK)</f>
        <v>0</v>
      </c>
      <c r="E50" s="44">
        <f>SUMIF(分类汇总!$B:$B,$A50,分类汇总!BL:BL)</f>
        <v>0</v>
      </c>
      <c r="F50" s="39">
        <f t="shared" si="10"/>
        <v>0</v>
      </c>
      <c r="G50" s="44">
        <f>SUMIF(分类汇总!$B:$B,$A50,分类汇总!BN:BN)</f>
        <v>0</v>
      </c>
      <c r="H50" s="44">
        <f>SUMIF(分类汇总!$B:$B,$A50,分类汇总!BO:BO)</f>
        <v>0</v>
      </c>
      <c r="I50" s="44">
        <f>SUMIF(分类汇总!$B:$B,$A50,分类汇总!BP:BP)</f>
        <v>0</v>
      </c>
      <c r="J50" s="39">
        <f t="shared" si="11"/>
        <v>0</v>
      </c>
      <c r="K50" s="45" t="s">
        <v>5649</v>
      </c>
      <c r="L50" s="40" t="str">
        <f t="shared" si="12"/>
        <v/>
      </c>
      <c r="M50" s="46" t="s">
        <v>5655</v>
      </c>
    </row>
    <row r="51" s="12" customFormat="1" ht="15" customHeight="1" spans="1:13">
      <c r="A51" s="59" t="str">
        <f>分类汇总!B51</f>
        <v>预收款项</v>
      </c>
      <c r="B51" s="42" t="str">
        <f>分类汇总!L51</f>
        <v>共</v>
      </c>
      <c r="C51" s="44">
        <f>SUMIF(分类汇总!$B:$B,$A51,分类汇总!BJ:BJ)</f>
        <v>0</v>
      </c>
      <c r="D51" s="44">
        <f>SUMIF(分类汇总!$B:$B,$A51,分类汇总!BK:BK)</f>
        <v>0</v>
      </c>
      <c r="E51" s="44">
        <f>SUMIF(分类汇总!$B:$B,$A51,分类汇总!BL:BL)</f>
        <v>0</v>
      </c>
      <c r="F51" s="39">
        <f t="shared" si="10"/>
        <v>0</v>
      </c>
      <c r="G51" s="44">
        <f>SUMIF(分类汇总!$B:$B,$A51,分类汇总!BN:BN)</f>
        <v>0</v>
      </c>
      <c r="H51" s="44">
        <f>SUMIF(分类汇总!$B:$B,$A51,分类汇总!BO:BO)</f>
        <v>0</v>
      </c>
      <c r="I51" s="44">
        <f>SUMIF(分类汇总!$B:$B,$A51,分类汇总!BP:BP)</f>
        <v>0</v>
      </c>
      <c r="J51" s="39">
        <f t="shared" si="11"/>
        <v>0</v>
      </c>
      <c r="K51" s="45" t="s">
        <v>5649</v>
      </c>
      <c r="L51" s="40" t="str">
        <f t="shared" si="12"/>
        <v/>
      </c>
      <c r="M51" s="46" t="s">
        <v>5655</v>
      </c>
    </row>
    <row r="52" s="12" customFormat="1" ht="15" customHeight="1" spans="1:13">
      <c r="A52" s="59" t="str">
        <f>分类汇总!B52</f>
        <v>合同负债</v>
      </c>
      <c r="B52" s="42" t="str">
        <f>分类汇总!L52</f>
        <v>新</v>
      </c>
      <c r="C52" s="44">
        <f>SUMIF(分类汇总!$B:$B,$A52,分类汇总!BJ:BJ)</f>
        <v>0</v>
      </c>
      <c r="D52" s="44">
        <f>SUMIF(分类汇总!$B:$B,$A52,分类汇总!BK:BK)</f>
        <v>0</v>
      </c>
      <c r="E52" s="44">
        <f>SUMIF(分类汇总!$B:$B,$A52,分类汇总!BL:BL)</f>
        <v>0</v>
      </c>
      <c r="F52" s="39">
        <f t="shared" si="10"/>
        <v>0</v>
      </c>
      <c r="G52" s="44">
        <f>SUMIF(分类汇总!$B:$B,$A52,分类汇总!BN:BN)</f>
        <v>0</v>
      </c>
      <c r="H52" s="44">
        <f>SUMIF(分类汇总!$B:$B,$A52,分类汇总!BO:BO)</f>
        <v>0</v>
      </c>
      <c r="I52" s="44">
        <f>SUMIF(分类汇总!$B:$B,$A52,分类汇总!BP:BP)</f>
        <v>0</v>
      </c>
      <c r="J52" s="39">
        <f t="shared" si="11"/>
        <v>0</v>
      </c>
      <c r="K52" s="45" t="s">
        <v>5649</v>
      </c>
      <c r="L52" s="40" t="str">
        <f t="shared" si="12"/>
        <v/>
      </c>
      <c r="M52" s="46" t="s">
        <v>5655</v>
      </c>
    </row>
    <row r="53" s="12" customFormat="1" ht="15" customHeight="1" spans="1:13">
      <c r="A53" s="59" t="str">
        <f>分类汇总!B53</f>
        <v>应付职工薪酬</v>
      </c>
      <c r="B53" s="42" t="str">
        <f>分类汇总!L53</f>
        <v>共</v>
      </c>
      <c r="C53" s="44">
        <f>SUMIF(分类汇总!$B:$B,$A53,分类汇总!BJ:BJ)</f>
        <v>0</v>
      </c>
      <c r="D53" s="44">
        <f>SUMIF(分类汇总!$B:$B,$A53,分类汇总!BK:BK)</f>
        <v>0</v>
      </c>
      <c r="E53" s="44">
        <f>SUMIF(分类汇总!$B:$B,$A53,分类汇总!BL:BL)</f>
        <v>0</v>
      </c>
      <c r="F53" s="39">
        <f t="shared" si="10"/>
        <v>0</v>
      </c>
      <c r="G53" s="44">
        <f>SUMIF(分类汇总!$B:$B,$A53,分类汇总!BN:BN)</f>
        <v>0</v>
      </c>
      <c r="H53" s="44">
        <f>SUMIF(分类汇总!$B:$B,$A53,分类汇总!BO:BO)</f>
        <v>0</v>
      </c>
      <c r="I53" s="44">
        <f>SUMIF(分类汇总!$B:$B,$A53,分类汇总!BP:BP)</f>
        <v>0</v>
      </c>
      <c r="J53" s="39">
        <f t="shared" si="11"/>
        <v>0</v>
      </c>
      <c r="K53" s="45" t="s">
        <v>5649</v>
      </c>
      <c r="L53" s="40" t="str">
        <f t="shared" si="12"/>
        <v/>
      </c>
      <c r="M53" s="46" t="s">
        <v>5655</v>
      </c>
    </row>
    <row r="54" s="12" customFormat="1" ht="15" customHeight="1" spans="1:13">
      <c r="A54" s="59" t="str">
        <f>分类汇总!B54</f>
        <v>应交税费</v>
      </c>
      <c r="B54" s="42" t="str">
        <f>分类汇总!L54</f>
        <v>共</v>
      </c>
      <c r="C54" s="44">
        <f>SUMIF(分类汇总!$B:$B,$A54,分类汇总!BJ:BJ)</f>
        <v>0</v>
      </c>
      <c r="D54" s="44">
        <f>SUMIF(分类汇总!$B:$B,$A54,分类汇总!BK:BK)</f>
        <v>0</v>
      </c>
      <c r="E54" s="44">
        <f>SUMIF(分类汇总!$B:$B,$A54,分类汇总!BL:BL)</f>
        <v>0</v>
      </c>
      <c r="F54" s="39">
        <f t="shared" si="10"/>
        <v>0</v>
      </c>
      <c r="G54" s="44">
        <f>SUMIF(分类汇总!$B:$B,$A54,分类汇总!BN:BN)</f>
        <v>0</v>
      </c>
      <c r="H54" s="44">
        <f>SUMIF(分类汇总!$B:$B,$A54,分类汇总!BO:BO)</f>
        <v>0</v>
      </c>
      <c r="I54" s="44">
        <f>SUMIF(分类汇总!$B:$B,$A54,分类汇总!BP:BP)</f>
        <v>0</v>
      </c>
      <c r="J54" s="39">
        <f t="shared" si="11"/>
        <v>0</v>
      </c>
      <c r="K54" s="45" t="s">
        <v>5649</v>
      </c>
      <c r="L54" s="40" t="str">
        <f t="shared" si="12"/>
        <v/>
      </c>
      <c r="M54" s="46" t="s">
        <v>5655</v>
      </c>
    </row>
    <row r="55" s="12" customFormat="1" ht="15" customHeight="1" spans="1:13">
      <c r="A55" s="59" t="str">
        <f>分类汇总!B55</f>
        <v>其他应付款</v>
      </c>
      <c r="B55" s="42" t="str">
        <f>分类汇总!L55</f>
        <v>共</v>
      </c>
      <c r="C55" s="44">
        <f>SUMIF(分类汇总!$B:$B,$A55,分类汇总!BJ:BJ)</f>
        <v>0</v>
      </c>
      <c r="D55" s="44">
        <f>SUMIF(分类汇总!$B:$B,$A55,分类汇总!BK:BK)</f>
        <v>0</v>
      </c>
      <c r="E55" s="44">
        <f>SUMIF(分类汇总!$B:$B,$A55,分类汇总!BL:BL)</f>
        <v>0</v>
      </c>
      <c r="F55" s="39">
        <f t="shared" si="10"/>
        <v>0</v>
      </c>
      <c r="G55" s="44">
        <f>SUMIF(分类汇总!$B:$B,$A55,分类汇总!BN:BN)</f>
        <v>0</v>
      </c>
      <c r="H55" s="44">
        <f>SUMIF(分类汇总!$B:$B,$A55,分类汇总!BO:BO)</f>
        <v>0</v>
      </c>
      <c r="I55" s="44">
        <f>SUMIF(分类汇总!$B:$B,$A55,分类汇总!BP:BP)</f>
        <v>0</v>
      </c>
      <c r="J55" s="39">
        <f t="shared" si="11"/>
        <v>0</v>
      </c>
      <c r="K55" s="45" t="s">
        <v>5649</v>
      </c>
      <c r="L55" s="40" t="str">
        <f t="shared" si="12"/>
        <v/>
      </c>
      <c r="M55" s="46" t="s">
        <v>5655</v>
      </c>
    </row>
    <row r="56" s="12" customFormat="1" ht="15" customHeight="1" spans="1:13">
      <c r="A56" s="59" t="str">
        <f>分类汇总!B56</f>
        <v>持有待售负债</v>
      </c>
      <c r="B56" s="42" t="str">
        <f>分类汇总!L56</f>
        <v>共</v>
      </c>
      <c r="C56" s="44">
        <f>SUMIF(分类汇总!$B:$B,$A56,分类汇总!BJ:BJ)</f>
        <v>0</v>
      </c>
      <c r="D56" s="44">
        <f>SUMIF(分类汇总!$B:$B,$A56,分类汇总!BK:BK)</f>
        <v>0</v>
      </c>
      <c r="E56" s="44">
        <f>SUMIF(分类汇总!$B:$B,$A56,分类汇总!BL:BL)</f>
        <v>0</v>
      </c>
      <c r="F56" s="39">
        <f t="shared" si="10"/>
        <v>0</v>
      </c>
      <c r="G56" s="44">
        <f>SUMIF(分类汇总!$B:$B,$A56,分类汇总!BN:BN)</f>
        <v>0</v>
      </c>
      <c r="H56" s="44">
        <f>SUMIF(分类汇总!$B:$B,$A56,分类汇总!BO:BO)</f>
        <v>0</v>
      </c>
      <c r="I56" s="44">
        <f>SUMIF(分类汇总!$B:$B,$A56,分类汇总!BP:BP)</f>
        <v>0</v>
      </c>
      <c r="J56" s="39">
        <f t="shared" si="11"/>
        <v>0</v>
      </c>
      <c r="K56" s="45" t="s">
        <v>5649</v>
      </c>
      <c r="L56" s="40" t="str">
        <f t="shared" si="12"/>
        <v/>
      </c>
      <c r="M56" s="46" t="s">
        <v>5655</v>
      </c>
    </row>
    <row r="57" s="12" customFormat="1" ht="15" customHeight="1" spans="1:13">
      <c r="A57" s="59" t="str">
        <f>分类汇总!B57</f>
        <v>一年内到期的非流动负债</v>
      </c>
      <c r="B57" s="42" t="str">
        <f>分类汇总!L57</f>
        <v>共</v>
      </c>
      <c r="C57" s="44">
        <f>SUMIF(分类汇总!$B:$B,$A57,分类汇总!BJ:BJ)</f>
        <v>0</v>
      </c>
      <c r="D57" s="44">
        <f>SUMIF(分类汇总!$B:$B,$A57,分类汇总!BK:BK)</f>
        <v>0</v>
      </c>
      <c r="E57" s="44">
        <f>SUMIF(分类汇总!$B:$B,$A57,分类汇总!BL:BL)</f>
        <v>0</v>
      </c>
      <c r="F57" s="39">
        <f t="shared" si="10"/>
        <v>0</v>
      </c>
      <c r="G57" s="44">
        <f>SUMIF(分类汇总!$B:$B,$A57,分类汇总!BN:BN)</f>
        <v>0</v>
      </c>
      <c r="H57" s="44">
        <f>SUMIF(分类汇总!$B:$B,$A57,分类汇总!BO:BO)</f>
        <v>0</v>
      </c>
      <c r="I57" s="44">
        <f>SUMIF(分类汇总!$B:$B,$A57,分类汇总!BP:BP)</f>
        <v>0</v>
      </c>
      <c r="J57" s="39">
        <f t="shared" si="11"/>
        <v>0</v>
      </c>
      <c r="K57" s="45" t="s">
        <v>5649</v>
      </c>
      <c r="L57" s="40" t="str">
        <f t="shared" si="12"/>
        <v/>
      </c>
      <c r="M57" s="46" t="s">
        <v>5654</v>
      </c>
    </row>
    <row r="58" s="12" customFormat="1" ht="15" customHeight="1" spans="1:13">
      <c r="A58" s="59" t="str">
        <f>分类汇总!B58</f>
        <v>其他流动负债</v>
      </c>
      <c r="B58" s="42" t="str">
        <f>分类汇总!L58</f>
        <v>共</v>
      </c>
      <c r="C58" s="44">
        <f>SUMIF(分类汇总!$B:$B,$A58,分类汇总!BJ:BJ)</f>
        <v>0</v>
      </c>
      <c r="D58" s="44">
        <f>SUMIF(分类汇总!$B:$B,$A58,分类汇总!BK:BK)</f>
        <v>0</v>
      </c>
      <c r="E58" s="44">
        <f>SUMIF(分类汇总!$B:$B,$A58,分类汇总!BL:BL)</f>
        <v>0</v>
      </c>
      <c r="F58" s="39">
        <f t="shared" si="10"/>
        <v>0</v>
      </c>
      <c r="G58" s="44">
        <f>SUMIF(分类汇总!$B:$B,$A58,分类汇总!BN:BN)</f>
        <v>0</v>
      </c>
      <c r="H58" s="44">
        <f>SUMIF(分类汇总!$B:$B,$A58,分类汇总!BO:BO)</f>
        <v>0</v>
      </c>
      <c r="I58" s="44">
        <f>SUMIF(分类汇总!$B:$B,$A58,分类汇总!BP:BP)</f>
        <v>0</v>
      </c>
      <c r="J58" s="39">
        <f t="shared" si="11"/>
        <v>0</v>
      </c>
      <c r="K58" s="45" t="s">
        <v>5649</v>
      </c>
      <c r="L58" s="40" t="str">
        <f t="shared" si="12"/>
        <v/>
      </c>
      <c r="M58" s="46" t="s">
        <v>5655</v>
      </c>
    </row>
    <row r="59" s="14" customFormat="1" ht="15" customHeight="1" spans="1:13">
      <c r="A59" s="60" t="s">
        <v>5656</v>
      </c>
      <c r="B59" s="61" t="str">
        <f>分类汇总!L59</f>
        <v>共</v>
      </c>
      <c r="C59" s="52">
        <f t="shared" ref="C59:J59" si="13">SUM(C60:C67)</f>
        <v>0</v>
      </c>
      <c r="D59" s="52">
        <f t="shared" si="13"/>
        <v>0</v>
      </c>
      <c r="E59" s="52">
        <f t="shared" si="13"/>
        <v>0</v>
      </c>
      <c r="F59" s="39">
        <f t="shared" si="13"/>
        <v>0</v>
      </c>
      <c r="G59" s="52">
        <f t="shared" si="13"/>
        <v>0</v>
      </c>
      <c r="H59" s="52">
        <f t="shared" si="13"/>
        <v>0</v>
      </c>
      <c r="I59" s="52">
        <f t="shared" si="13"/>
        <v>0</v>
      </c>
      <c r="J59" s="39">
        <f t="shared" si="13"/>
        <v>0</v>
      </c>
      <c r="K59" s="39"/>
      <c r="L59" s="62"/>
    </row>
    <row r="60" s="12" customFormat="1" ht="15" customHeight="1" spans="1:13">
      <c r="A60" s="59" t="str">
        <f>分类汇总!B60</f>
        <v>长期借款</v>
      </c>
      <c r="B60" s="42" t="str">
        <f>分类汇总!L60</f>
        <v>共</v>
      </c>
      <c r="C60" s="44">
        <f>SUMIF(分类汇总!$B:$B,$A60,分类汇总!BJ:BJ)</f>
        <v>0</v>
      </c>
      <c r="D60" s="44">
        <f>SUMIF(分类汇总!$B:$B,$A60,分类汇总!BK:BK)</f>
        <v>0</v>
      </c>
      <c r="E60" s="44">
        <f>SUMIF(分类汇总!$B:$B,$A60,分类汇总!BL:BL)</f>
        <v>0</v>
      </c>
      <c r="F60" s="39">
        <f t="shared" ref="F60:F67" si="14">(D60-E60)/10000</f>
        <v>0</v>
      </c>
      <c r="G60" s="44">
        <f>SUMIF(分类汇总!$B:$B,$A60,分类汇总!BN:BN)</f>
        <v>0</v>
      </c>
      <c r="H60" s="44">
        <f>SUMIF(分类汇总!$B:$B,$A60,分类汇总!BO:BO)</f>
        <v>0</v>
      </c>
      <c r="I60" s="44">
        <f>SUMIF(分类汇总!$B:$B,$A60,分类汇总!BP:BP)</f>
        <v>0</v>
      </c>
      <c r="J60" s="39">
        <f t="shared" ref="J60:J67" si="15">(H60-I60)/10000</f>
        <v>0</v>
      </c>
      <c r="K60" s="45" t="s">
        <v>5649</v>
      </c>
      <c r="L60" s="40" t="str">
        <f t="shared" ref="L60:L67" si="16">IF(SUM(C60:J60)&gt;0,M60,"")</f>
        <v/>
      </c>
      <c r="M60" s="46" t="s">
        <v>5654</v>
      </c>
    </row>
    <row r="61" s="12" customFormat="1" ht="15" customHeight="1" spans="1:13">
      <c r="A61" s="59" t="str">
        <f>分类汇总!B61</f>
        <v>应付债券</v>
      </c>
      <c r="B61" s="42" t="str">
        <f>分类汇总!L61</f>
        <v>共</v>
      </c>
      <c r="C61" s="44">
        <f>SUMIF(分类汇总!$B:$B,$A61,分类汇总!BJ:BJ)</f>
        <v>0</v>
      </c>
      <c r="D61" s="44">
        <f>SUMIF(分类汇总!$B:$B,$A61,分类汇总!BK:BK)</f>
        <v>0</v>
      </c>
      <c r="E61" s="44">
        <f>SUMIF(分类汇总!$B:$B,$A61,分类汇总!BL:BL)</f>
        <v>0</v>
      </c>
      <c r="F61" s="39">
        <f t="shared" si="14"/>
        <v>0</v>
      </c>
      <c r="G61" s="44">
        <f>SUMIF(分类汇总!$B:$B,$A61,分类汇总!BN:BN)</f>
        <v>0</v>
      </c>
      <c r="H61" s="44">
        <f>SUMIF(分类汇总!$B:$B,$A61,分类汇总!BO:BO)</f>
        <v>0</v>
      </c>
      <c r="I61" s="44">
        <f>SUMIF(分类汇总!$B:$B,$A61,分类汇总!BP:BP)</f>
        <v>0</v>
      </c>
      <c r="J61" s="39">
        <f t="shared" si="15"/>
        <v>0</v>
      </c>
      <c r="K61" s="45" t="s">
        <v>5649</v>
      </c>
      <c r="L61" s="40" t="str">
        <f t="shared" si="16"/>
        <v/>
      </c>
      <c r="M61" s="46" t="s">
        <v>5654</v>
      </c>
    </row>
    <row r="62" s="12" customFormat="1" ht="15" customHeight="1" spans="1:13">
      <c r="A62" s="59" t="str">
        <f>分类汇总!B62</f>
        <v>租赁负债</v>
      </c>
      <c r="B62" s="42" t="str">
        <f>分类汇总!L62</f>
        <v>新</v>
      </c>
      <c r="C62" s="44">
        <f>SUMIF(分类汇总!$B:$B,$A62,分类汇总!BJ:BJ)</f>
        <v>0</v>
      </c>
      <c r="D62" s="44">
        <f>SUMIF(分类汇总!$B:$B,$A62,分类汇总!BK:BK)</f>
        <v>0</v>
      </c>
      <c r="E62" s="44">
        <f>SUMIF(分类汇总!$B:$B,$A62,分类汇总!BL:BL)</f>
        <v>0</v>
      </c>
      <c r="F62" s="39">
        <f t="shared" si="14"/>
        <v>0</v>
      </c>
      <c r="G62" s="44">
        <f>SUMIF(分类汇总!$B:$B,$A62,分类汇总!BN:BN)</f>
        <v>0</v>
      </c>
      <c r="H62" s="44">
        <f>SUMIF(分类汇总!$B:$B,$A62,分类汇总!BO:BO)</f>
        <v>0</v>
      </c>
      <c r="I62" s="44">
        <f>SUMIF(分类汇总!$B:$B,$A62,分类汇总!BP:BP)</f>
        <v>0</v>
      </c>
      <c r="J62" s="39">
        <f t="shared" si="15"/>
        <v>0</v>
      </c>
      <c r="K62" s="45" t="s">
        <v>5649</v>
      </c>
      <c r="L62" s="40" t="str">
        <f t="shared" si="16"/>
        <v/>
      </c>
      <c r="M62" s="46" t="s">
        <v>5655</v>
      </c>
    </row>
    <row r="63" s="12" customFormat="1" ht="15" customHeight="1" spans="1:13">
      <c r="A63" s="59" t="str">
        <f>分类汇总!B63</f>
        <v>长期应付款</v>
      </c>
      <c r="B63" s="42" t="str">
        <f>分类汇总!L63</f>
        <v>共</v>
      </c>
      <c r="C63" s="44">
        <f>SUMIF(分类汇总!$B:$B,$A63,分类汇总!BJ:BJ)</f>
        <v>0</v>
      </c>
      <c r="D63" s="44">
        <f>SUMIF(分类汇总!$B:$B,$A63,分类汇总!BK:BK)</f>
        <v>0</v>
      </c>
      <c r="E63" s="44">
        <f>SUMIF(分类汇总!$B:$B,$A63,分类汇总!BL:BL)</f>
        <v>0</v>
      </c>
      <c r="F63" s="39">
        <f t="shared" si="14"/>
        <v>0</v>
      </c>
      <c r="G63" s="44">
        <f>SUMIF(分类汇总!$B:$B,$A63,分类汇总!BN:BN)</f>
        <v>0</v>
      </c>
      <c r="H63" s="44">
        <f>SUMIF(分类汇总!$B:$B,$A63,分类汇总!BO:BO)</f>
        <v>0</v>
      </c>
      <c r="I63" s="44">
        <f>SUMIF(分类汇总!$B:$B,$A63,分类汇总!BP:BP)</f>
        <v>0</v>
      </c>
      <c r="J63" s="39">
        <f t="shared" si="15"/>
        <v>0</v>
      </c>
      <c r="K63" s="45" t="s">
        <v>5649</v>
      </c>
      <c r="L63" s="40" t="str">
        <f t="shared" si="16"/>
        <v/>
      </c>
      <c r="M63" s="46" t="s">
        <v>5655</v>
      </c>
    </row>
    <row r="64" s="12" customFormat="1" ht="15" customHeight="1" spans="1:13">
      <c r="A64" s="59" t="str">
        <f>分类汇总!B64</f>
        <v>预计负债</v>
      </c>
      <c r="B64" s="42" t="str">
        <f>分类汇总!L64</f>
        <v>共</v>
      </c>
      <c r="C64" s="44">
        <f>SUMIF(分类汇总!$B:$B,$A64,分类汇总!BJ:BJ)</f>
        <v>0</v>
      </c>
      <c r="D64" s="44">
        <f>SUMIF(分类汇总!$B:$B,$A64,分类汇总!BK:BK)</f>
        <v>0</v>
      </c>
      <c r="E64" s="44">
        <f>SUMIF(分类汇总!$B:$B,$A64,分类汇总!BL:BL)</f>
        <v>0</v>
      </c>
      <c r="F64" s="39">
        <f t="shared" si="14"/>
        <v>0</v>
      </c>
      <c r="G64" s="44">
        <f>SUMIF(分类汇总!$B:$B,$A64,分类汇总!BN:BN)</f>
        <v>0</v>
      </c>
      <c r="H64" s="44">
        <f>SUMIF(分类汇总!$B:$B,$A64,分类汇总!BO:BO)</f>
        <v>0</v>
      </c>
      <c r="I64" s="44">
        <f>SUMIF(分类汇总!$B:$B,$A64,分类汇总!BP:BP)</f>
        <v>0</v>
      </c>
      <c r="J64" s="39">
        <f t="shared" si="15"/>
        <v>0</v>
      </c>
      <c r="K64" s="45" t="s">
        <v>5649</v>
      </c>
      <c r="L64" s="40" t="str">
        <f t="shared" si="16"/>
        <v/>
      </c>
      <c r="M64" s="46" t="s">
        <v>5655</v>
      </c>
    </row>
    <row r="65" s="12" customFormat="1" ht="15" customHeight="1" spans="1:28">
      <c r="A65" s="59" t="str">
        <f>分类汇总!B65</f>
        <v>递延收益</v>
      </c>
      <c r="B65" s="42" t="str">
        <f>分类汇总!L65</f>
        <v>共</v>
      </c>
      <c r="C65" s="44">
        <f>SUMIF(分类汇总!$B:$B,$A65,分类汇总!BJ:BJ)</f>
        <v>0</v>
      </c>
      <c r="D65" s="44">
        <f>SUMIF(分类汇总!$B:$B,$A65,分类汇总!BK:BK)</f>
        <v>0</v>
      </c>
      <c r="E65" s="44">
        <f>SUMIF(分类汇总!$B:$B,$A65,分类汇总!BL:BL)</f>
        <v>0</v>
      </c>
      <c r="F65" s="39">
        <f t="shared" si="14"/>
        <v>0</v>
      </c>
      <c r="G65" s="44">
        <f>SUMIF(分类汇总!$B:$B,$A65,分类汇总!BN:BN)</f>
        <v>0</v>
      </c>
      <c r="H65" s="44">
        <f>SUMIF(分类汇总!$B:$B,$A65,分类汇总!BO:BO)</f>
        <v>0</v>
      </c>
      <c r="I65" s="44">
        <f>SUMIF(分类汇总!$B:$B,$A65,分类汇总!BP:BP)</f>
        <v>0</v>
      </c>
      <c r="J65" s="39">
        <f t="shared" si="15"/>
        <v>0</v>
      </c>
      <c r="K65" s="45" t="s">
        <v>5649</v>
      </c>
      <c r="L65" s="40" t="str">
        <f t="shared" si="16"/>
        <v/>
      </c>
      <c r="M65" s="46" t="s">
        <v>5655</v>
      </c>
    </row>
    <row r="66" s="12" customFormat="1" ht="15" customHeight="1" spans="1:28">
      <c r="A66" s="59" t="str">
        <f>分类汇总!B66</f>
        <v>递延所得税负债</v>
      </c>
      <c r="B66" s="42" t="str">
        <f>分类汇总!L66</f>
        <v>共</v>
      </c>
      <c r="C66" s="44">
        <f>SUMIF(分类汇总!$B:$B,$A66,分类汇总!BJ:BJ)</f>
        <v>0</v>
      </c>
      <c r="D66" s="44">
        <f>SUMIF(分类汇总!$B:$B,$A66,分类汇总!BK:BK)</f>
        <v>0</v>
      </c>
      <c r="E66" s="44">
        <f>SUMIF(分类汇总!$B:$B,$A66,分类汇总!BL:BL)</f>
        <v>0</v>
      </c>
      <c r="F66" s="39">
        <f t="shared" si="14"/>
        <v>0</v>
      </c>
      <c r="G66" s="44">
        <f>SUMIF(分类汇总!$B:$B,$A66,分类汇总!BN:BN)</f>
        <v>0</v>
      </c>
      <c r="H66" s="44">
        <f>SUMIF(分类汇总!$B:$B,$A66,分类汇总!BO:BO)</f>
        <v>0</v>
      </c>
      <c r="I66" s="44">
        <f>SUMIF(分类汇总!$B:$B,$A66,分类汇总!BP:BP)</f>
        <v>0</v>
      </c>
      <c r="J66" s="39">
        <f t="shared" si="15"/>
        <v>0</v>
      </c>
      <c r="K66" s="45" t="s">
        <v>5649</v>
      </c>
      <c r="L66" s="40" t="str">
        <f t="shared" si="16"/>
        <v/>
      </c>
      <c r="M66" s="46" t="s">
        <v>5655</v>
      </c>
    </row>
    <row r="67" s="12" customFormat="1" ht="15" customHeight="1" spans="1:28">
      <c r="A67" s="59" t="str">
        <f>分类汇总!B67</f>
        <v>其他非流动负债</v>
      </c>
      <c r="B67" s="42" t="str">
        <f>分类汇总!L67</f>
        <v>共</v>
      </c>
      <c r="C67" s="44">
        <f>SUMIF(分类汇总!$B:$B,$A67,分类汇总!BJ:BJ)</f>
        <v>0</v>
      </c>
      <c r="D67" s="44">
        <f>SUMIF(分类汇总!$B:$B,$A67,分类汇总!BK:BK)</f>
        <v>0</v>
      </c>
      <c r="E67" s="44">
        <f>SUMIF(分类汇总!$B:$B,$A67,分类汇总!BL:BL)</f>
        <v>0</v>
      </c>
      <c r="F67" s="39">
        <f t="shared" si="14"/>
        <v>0</v>
      </c>
      <c r="G67" s="44">
        <f>SUMIF(分类汇总!$B:$B,$A67,分类汇总!BN:BN)</f>
        <v>0</v>
      </c>
      <c r="H67" s="44">
        <f>SUMIF(分类汇总!$B:$B,$A67,分类汇总!BO:BO)</f>
        <v>0</v>
      </c>
      <c r="I67" s="44">
        <f>SUMIF(分类汇总!$B:$B,$A67,分类汇总!BP:BP)</f>
        <v>0</v>
      </c>
      <c r="J67" s="39">
        <f t="shared" si="15"/>
        <v>0</v>
      </c>
      <c r="K67" s="45" t="s">
        <v>5649</v>
      </c>
      <c r="L67" s="40" t="str">
        <f t="shared" si="16"/>
        <v/>
      </c>
      <c r="M67" s="46" t="s">
        <v>5655</v>
      </c>
    </row>
    <row r="68" s="14" customFormat="1" ht="15" customHeight="1" spans="1:28">
      <c r="A68" s="63" t="s">
        <v>5657</v>
      </c>
      <c r="B68" s="64" t="str">
        <f>分类汇总!L68</f>
        <v>共</v>
      </c>
      <c r="C68" s="52">
        <f t="shared" ref="C68:J68" si="17">SUM(C44,C59)</f>
        <v>0</v>
      </c>
      <c r="D68" s="52">
        <f t="shared" si="17"/>
        <v>0</v>
      </c>
      <c r="E68" s="52">
        <f t="shared" si="17"/>
        <v>0</v>
      </c>
      <c r="F68" s="52">
        <f t="shared" si="17"/>
        <v>0</v>
      </c>
      <c r="G68" s="52">
        <f t="shared" si="17"/>
        <v>0</v>
      </c>
      <c r="H68" s="52">
        <f t="shared" si="17"/>
        <v>0</v>
      </c>
      <c r="I68" s="52">
        <f t="shared" si="17"/>
        <v>0</v>
      </c>
      <c r="J68" s="52">
        <f t="shared" si="17"/>
        <v>0</v>
      </c>
      <c r="K68" s="52"/>
      <c r="L68" s="62"/>
      <c r="AB68" s="12"/>
    </row>
    <row r="69" s="12" customFormat="1" ht="15" customHeight="1" spans="1:28">
      <c r="A69" s="65" t="s">
        <v>5658</v>
      </c>
      <c r="B69" s="66" t="str">
        <f>分类汇总!L69</f>
        <v>共</v>
      </c>
      <c r="C69" s="52">
        <f t="shared" ref="C69:J69" si="18">C43-C68</f>
        <v>0</v>
      </c>
      <c r="D69" s="52">
        <f t="shared" si="18"/>
        <v>0</v>
      </c>
      <c r="E69" s="52">
        <f t="shared" si="18"/>
        <v>0</v>
      </c>
      <c r="F69" s="52">
        <f t="shared" si="18"/>
        <v>0</v>
      </c>
      <c r="G69" s="52">
        <f t="shared" si="18"/>
        <v>0</v>
      </c>
      <c r="H69" s="52">
        <f t="shared" si="18"/>
        <v>0</v>
      </c>
      <c r="I69" s="52">
        <f t="shared" si="18"/>
        <v>0</v>
      </c>
      <c r="J69" s="52">
        <f t="shared" si="18"/>
        <v>0</v>
      </c>
      <c r="K69" s="52"/>
      <c r="L69" s="62"/>
    </row>
    <row r="70" spans="1:28">
      <c r="A70" s="67"/>
      <c r="B70" s="68"/>
      <c r="C70" s="69"/>
      <c r="D70" s="69"/>
      <c r="E70" s="69"/>
      <c r="F70" s="69"/>
      <c r="G70" s="69"/>
      <c r="H70" s="69"/>
      <c r="I70" s="69"/>
      <c r="J70" s="69"/>
      <c r="K70" s="69"/>
      <c r="L70" s="19"/>
    </row>
  </sheetData>
  <sheetProtection autoFilter="0"/>
  <mergeCells count="8">
    <mergeCell ref="A2:L2"/>
    <mergeCell ref="A3:L3"/>
    <mergeCell ref="C5:F5"/>
    <mergeCell ref="G5:J5"/>
    <mergeCell ref="A5:A6"/>
    <mergeCell ref="B5:B6"/>
    <mergeCell ref="K5:K6"/>
    <mergeCell ref="L5:L6"/>
  </mergeCells>
  <hyperlinks>
    <hyperlink ref="A1" location="股权价值测算表!A1" display="索引"/>
  </hyperlinks>
  <printOptions horizontalCentered="1"/>
  <pageMargins left="0.196850393700787" right="0.196850393700787" top="0.984251968503937" bottom="0.590551181102362" header="0.826771653543307" footer="0.47244094488189"/>
  <pageSetup paperSize="9" scale="86" orientation="portrait" blackAndWhite="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B0F0"/>
  </sheetPr>
  <dimension ref="B2:AE514"/>
  <sheetViews>
    <sheetView workbookViewId="0">
      <pane ySplit="4" topLeftCell="A5" activePane="bottomLeft" state="frozen"/>
      <selection/>
      <selection pane="bottomLeft" activeCell="E45" sqref="E45"/>
    </sheetView>
  </sheetViews>
  <sheetFormatPr defaultColWidth="9" defaultRowHeight="12"/>
  <cols>
    <col min="1" max="1" width="2.6" style="1456" customWidth="1"/>
    <col min="2" max="2" width="4.6" style="1457" customWidth="1"/>
    <col min="3" max="3" width="20.6" style="1458" customWidth="1"/>
    <col min="4" max="4" width="4.6" style="1457" customWidth="1"/>
    <col min="5" max="5" width="20.6" style="1458" customWidth="1"/>
    <col min="6" max="6" width="8.6" style="1459" customWidth="1"/>
    <col min="7" max="7" width="12.6" style="1458" customWidth="1"/>
    <col min="8" max="11" width="4.6" style="1457" customWidth="1"/>
    <col min="12" max="12" width="6.6" style="1460" customWidth="1"/>
    <col min="13" max="13" width="2.6" style="1456" customWidth="1"/>
    <col min="14" max="14" width="5.2" style="1456" customWidth="1"/>
    <col min="15" max="15" width="20.5" style="1456" customWidth="1"/>
    <col min="16" max="23" width="10.6" style="1456" customWidth="1"/>
    <col min="24" max="16384" width="9" style="1456"/>
  </cols>
  <sheetData>
    <row r="2" ht="12.75" spans="2:19">
      <c r="B2" s="1461" t="s">
        <v>521</v>
      </c>
      <c r="C2" s="1462" t="s">
        <v>827</v>
      </c>
      <c r="D2" s="1463" t="s">
        <v>828</v>
      </c>
      <c r="E2" s="1462" t="s">
        <v>829</v>
      </c>
      <c r="F2" s="1462" t="s">
        <v>523</v>
      </c>
      <c r="G2" s="1464" t="s">
        <v>830</v>
      </c>
      <c r="H2" s="1461" t="s">
        <v>831</v>
      </c>
      <c r="I2" s="1461"/>
      <c r="J2" s="1461" t="s">
        <v>832</v>
      </c>
      <c r="K2" s="1461"/>
      <c r="L2" s="1462" t="s">
        <v>833</v>
      </c>
      <c r="N2" s="1456" t="str">
        <f>C16</f>
        <v>评估结果汇总表</v>
      </c>
    </row>
    <row r="3" ht="12.75" spans="2:19">
      <c r="B3" s="1461"/>
      <c r="C3" s="1462"/>
      <c r="D3" s="1463"/>
      <c r="E3" s="1462"/>
      <c r="F3" s="1462"/>
      <c r="G3" s="1465"/>
      <c r="H3" s="1461" t="s">
        <v>834</v>
      </c>
      <c r="I3" s="1461" t="s">
        <v>835</v>
      </c>
      <c r="J3" s="1461" t="s">
        <v>834</v>
      </c>
      <c r="K3" s="1461" t="s">
        <v>835</v>
      </c>
      <c r="L3" s="1462"/>
      <c r="O3" s="1466" t="s">
        <v>836</v>
      </c>
      <c r="P3" s="1467" t="s">
        <v>837</v>
      </c>
      <c r="Q3" s="1467" t="s">
        <v>526</v>
      </c>
      <c r="R3" s="1467" t="s">
        <v>838</v>
      </c>
      <c r="S3" s="1468" t="s">
        <v>839</v>
      </c>
    </row>
    <row r="4" spans="2:19">
      <c r="B4" s="1469">
        <v>1</v>
      </c>
      <c r="C4" s="1470" t="s">
        <v>840</v>
      </c>
      <c r="D4" s="1469" t="s">
        <v>841</v>
      </c>
      <c r="E4" s="1470" t="str">
        <f>参数表!B3</f>
        <v>ACB公司拟收购BBA公司股权</v>
      </c>
      <c r="F4" s="1471"/>
      <c r="G4" s="1471"/>
      <c r="H4" s="1469"/>
      <c r="I4" s="1469"/>
      <c r="J4" s="1469"/>
      <c r="K4" s="1469"/>
      <c r="L4" s="1472"/>
      <c r="O4" s="1473"/>
      <c r="P4" s="1474" t="s">
        <v>842</v>
      </c>
      <c r="Q4" s="1474" t="s">
        <v>580</v>
      </c>
      <c r="R4" s="1474" t="s">
        <v>843</v>
      </c>
      <c r="S4" s="1475" t="s">
        <v>844</v>
      </c>
    </row>
    <row r="5" spans="2:19">
      <c r="B5" s="1469">
        <f>B4+1</f>
        <v>2</v>
      </c>
      <c r="C5" s="1470" t="s">
        <v>845</v>
      </c>
      <c r="D5" s="1469" t="s">
        <v>841</v>
      </c>
      <c r="E5" s="1476" t="str">
        <f>参数表!D3</f>
        <v>中煤第五建设有限公司</v>
      </c>
      <c r="F5" s="1477"/>
      <c r="G5" s="1471"/>
      <c r="H5" s="1469"/>
      <c r="I5" s="1469"/>
      <c r="J5" s="1469"/>
      <c r="K5" s="1469"/>
      <c r="L5" s="1472"/>
      <c r="O5" s="1478" t="s">
        <v>846</v>
      </c>
      <c r="P5" s="1479">
        <f>'汇总-基础'!C7</f>
        <v>3.56</v>
      </c>
      <c r="Q5" s="1479" t="str">
        <f>IF(E$12="资产基础法",'汇总-基础'!D7,"")</f>
        <v/>
      </c>
      <c r="R5" s="1479" t="str">
        <f>IFERROR(Q5-P5,"")</f>
        <v/>
      </c>
      <c r="S5" s="1480" t="str">
        <f>IFERROR(R5/ABS(P5)*100,"")</f>
        <v/>
      </c>
    </row>
    <row r="6" spans="2:19">
      <c r="B6" s="1469">
        <f t="shared" ref="B6:B71" si="0">B5+1</f>
        <v>3</v>
      </c>
      <c r="C6" s="1470" t="s">
        <v>847</v>
      </c>
      <c r="D6" s="1469" t="s">
        <v>841</v>
      </c>
      <c r="E6" s="1470" t="str">
        <f>参数表!D6</f>
        <v>股东全部权益价值</v>
      </c>
      <c r="F6" s="1471"/>
      <c r="G6" s="1471"/>
      <c r="H6" s="1469"/>
      <c r="I6" s="1469"/>
      <c r="J6" s="1469"/>
      <c r="K6" s="1469"/>
      <c r="L6" s="1472"/>
      <c r="O6" s="1478" t="s">
        <v>848</v>
      </c>
      <c r="P6" s="1479">
        <f>'汇总-基础'!C8</f>
        <v>0</v>
      </c>
      <c r="Q6" s="1479" t="str">
        <f>IF(E$12="资产基础法",'汇总-基础'!D8,"")</f>
        <v/>
      </c>
      <c r="R6" s="1479" t="str">
        <f t="shared" ref="R6:R18" si="1">IFERROR(Q6-P6,"")</f>
        <v/>
      </c>
      <c r="S6" s="1480" t="str">
        <f t="shared" ref="S6:S18" si="2">IFERROR(R6/ABS(P6)*100,"")</f>
        <v/>
      </c>
    </row>
    <row r="7" spans="2:19">
      <c r="B7" s="1469">
        <f t="shared" si="0"/>
        <v>4</v>
      </c>
      <c r="C7" s="1470" t="s">
        <v>849</v>
      </c>
      <c r="D7" s="1469" t="s">
        <v>841</v>
      </c>
      <c r="E7" s="1470" t="str">
        <f>参数表!B11</f>
        <v>中致成评报字[2020]第0202号</v>
      </c>
      <c r="F7" s="1471"/>
      <c r="G7" s="1471"/>
      <c r="H7" s="1469"/>
      <c r="I7" s="1469"/>
      <c r="J7" s="1469"/>
      <c r="K7" s="1469"/>
      <c r="L7" s="1472"/>
      <c r="O7" s="1481" t="str">
        <f>'汇总-基础'!A9</f>
        <v>长期股权投资</v>
      </c>
      <c r="P7" s="1479">
        <f>'汇总-基础'!C9</f>
        <v>0</v>
      </c>
      <c r="Q7" s="1479" t="str">
        <f>IF(E$12="资产基础法",'汇总-基础'!D9,"")</f>
        <v/>
      </c>
      <c r="R7" s="1479" t="str">
        <f t="shared" si="1"/>
        <v/>
      </c>
      <c r="S7" s="1480" t="str">
        <f t="shared" si="2"/>
        <v/>
      </c>
    </row>
    <row r="8" spans="2:19">
      <c r="B8" s="1469">
        <f t="shared" si="0"/>
        <v>5</v>
      </c>
      <c r="C8" s="1470" t="s">
        <v>850</v>
      </c>
      <c r="D8" s="1469" t="s">
        <v>841</v>
      </c>
      <c r="E8" s="1470" t="str">
        <f>TEXT(参数表!E5,"yyyy年m月d日")</f>
        <v>2020年3月31日</v>
      </c>
      <c r="F8" s="1471"/>
      <c r="G8" s="1471"/>
      <c r="H8" s="1469"/>
      <c r="I8" s="1469"/>
      <c r="J8" s="1469"/>
      <c r="K8" s="1469"/>
      <c r="L8" s="1472"/>
      <c r="O8" s="1481" t="str">
        <f>'汇总-基础'!A10</f>
        <v>投资性房地产</v>
      </c>
      <c r="P8" s="1479">
        <f>'汇总-基础'!C10</f>
        <v>0</v>
      </c>
      <c r="Q8" s="1479" t="str">
        <f>IF(E$12="资产基础法",'汇总-基础'!D10,"")</f>
        <v/>
      </c>
      <c r="R8" s="1479" t="str">
        <f t="shared" si="1"/>
        <v/>
      </c>
      <c r="S8" s="1480" t="str">
        <f t="shared" si="2"/>
        <v/>
      </c>
    </row>
    <row r="9" spans="2:19">
      <c r="B9" s="1469">
        <f t="shared" si="0"/>
        <v>6</v>
      </c>
      <c r="C9" s="1470" t="s">
        <v>851</v>
      </c>
      <c r="D9" s="1469" t="s">
        <v>841</v>
      </c>
      <c r="E9" s="1470" t="str">
        <f>参数表!D2</f>
        <v>DEF公司</v>
      </c>
      <c r="F9" s="1471"/>
      <c r="G9" s="1471"/>
      <c r="H9" s="1469"/>
      <c r="I9" s="1469"/>
      <c r="J9" s="1469"/>
      <c r="K9" s="1469"/>
      <c r="L9" s="1472"/>
      <c r="O9" s="1481" t="str">
        <f>'汇总-基础'!A11</f>
        <v>固定资产</v>
      </c>
      <c r="P9" s="1479">
        <f>'汇总-基础'!C11</f>
        <v>0</v>
      </c>
      <c r="Q9" s="1479" t="str">
        <f>IF(E$12="资产基础法",'汇总-基础'!D11,"")</f>
        <v/>
      </c>
      <c r="R9" s="1479" t="str">
        <f t="shared" si="1"/>
        <v/>
      </c>
      <c r="S9" s="1480" t="str">
        <f t="shared" si="2"/>
        <v/>
      </c>
    </row>
    <row r="10" spans="2:19">
      <c r="B10" s="1469">
        <f t="shared" si="0"/>
        <v>7</v>
      </c>
      <c r="C10" s="1470" t="s">
        <v>852</v>
      </c>
      <c r="D10" s="1469" t="s">
        <v>841</v>
      </c>
      <c r="E10" s="1476" t="str">
        <f>参数表!B5</f>
        <v>2025年7月31日</v>
      </c>
      <c r="F10" s="1477"/>
      <c r="G10" s="1471"/>
      <c r="H10" s="1469"/>
      <c r="I10" s="1469"/>
      <c r="J10" s="1469"/>
      <c r="K10" s="1469"/>
      <c r="L10" s="1472"/>
      <c r="O10" s="1481" t="str">
        <f>'汇总-基础'!A12</f>
        <v>在建工程</v>
      </c>
      <c r="P10" s="1479">
        <f>'汇总-基础'!C12</f>
        <v>0</v>
      </c>
      <c r="Q10" s="1479" t="str">
        <f>IF(E$12="资产基础法",'汇总-基础'!D12,"")</f>
        <v/>
      </c>
      <c r="R10" s="1479" t="str">
        <f t="shared" si="1"/>
        <v/>
      </c>
      <c r="S10" s="1480" t="str">
        <f t="shared" si="2"/>
        <v/>
      </c>
    </row>
    <row r="11" spans="2:19">
      <c r="B11" s="1469">
        <f t="shared" si="0"/>
        <v>8</v>
      </c>
      <c r="C11" s="1470" t="s">
        <v>853</v>
      </c>
      <c r="D11" s="1469" t="s">
        <v>841</v>
      </c>
      <c r="E11" s="1470" t="str">
        <f>参数表!D10</f>
        <v>资产基础法、收益法</v>
      </c>
      <c r="F11" s="1471"/>
      <c r="G11" s="1471"/>
      <c r="H11" s="1469"/>
      <c r="I11" s="1469"/>
      <c r="J11" s="1469"/>
      <c r="K11" s="1469"/>
      <c r="L11" s="1472"/>
      <c r="O11" s="1481" t="str">
        <f>'汇总-基础'!A13</f>
        <v>无形资产</v>
      </c>
      <c r="P11" s="1479">
        <f>'汇总-基础'!C13</f>
        <v>0</v>
      </c>
      <c r="Q11" s="1479" t="str">
        <f>IF(E$12="资产基础法",'汇总-基础'!D13,"")</f>
        <v/>
      </c>
      <c r="R11" s="1479" t="str">
        <f t="shared" si="1"/>
        <v/>
      </c>
      <c r="S11" s="1480" t="str">
        <f t="shared" si="2"/>
        <v/>
      </c>
    </row>
    <row r="12" spans="2:19">
      <c r="B12" s="1469">
        <f t="shared" si="0"/>
        <v>9</v>
      </c>
      <c r="C12" s="1470" t="s">
        <v>854</v>
      </c>
      <c r="D12" s="1469" t="s">
        <v>841</v>
      </c>
      <c r="E12" s="1470" t="str">
        <f>参数表!F10</f>
        <v>收益法</v>
      </c>
      <c r="F12" s="1471"/>
      <c r="G12" s="1471"/>
      <c r="H12" s="1469"/>
      <c r="I12" s="1469"/>
      <c r="J12" s="1469"/>
      <c r="K12" s="1469"/>
      <c r="L12" s="1472"/>
      <c r="O12" s="1481" t="s">
        <v>855</v>
      </c>
      <c r="P12" s="1479">
        <f>'汇总-基础'!C14</f>
        <v>0</v>
      </c>
      <c r="Q12" s="1479" t="str">
        <f>IF(E$12="资产基础法",'汇总-基础'!D14,"")</f>
        <v/>
      </c>
      <c r="R12" s="1479" t="str">
        <f t="shared" si="1"/>
        <v/>
      </c>
      <c r="S12" s="1480" t="str">
        <f t="shared" si="2"/>
        <v/>
      </c>
    </row>
    <row r="13" spans="2:19">
      <c r="B13" s="1469">
        <f t="shared" si="0"/>
        <v>10</v>
      </c>
      <c r="C13" s="1470" t="s">
        <v>856</v>
      </c>
      <c r="D13" s="1469" t="s">
        <v>841</v>
      </c>
      <c r="E13" s="1482" t="str">
        <f>TEXT(Q18,"#,##0.00")</f>
        <v>0.00</v>
      </c>
      <c r="F13" s="1483"/>
      <c r="G13" s="1471"/>
      <c r="H13" s="1469"/>
      <c r="I13" s="1469"/>
      <c r="J13" s="1469"/>
      <c r="K13" s="1469"/>
      <c r="L13" s="1472"/>
      <c r="O13" s="1481" t="s">
        <v>857</v>
      </c>
      <c r="P13" s="1479">
        <f>'汇总-基础'!C15</f>
        <v>0</v>
      </c>
      <c r="Q13" s="1479" t="str">
        <f>IF(E$12="资产基础法",'汇总-基础'!D15,"")</f>
        <v/>
      </c>
      <c r="R13" s="1479" t="str">
        <f t="shared" si="1"/>
        <v/>
      </c>
      <c r="S13" s="1480" t="str">
        <f t="shared" si="2"/>
        <v/>
      </c>
    </row>
    <row r="14" spans="2:19">
      <c r="B14" s="1469">
        <f t="shared" si="0"/>
        <v>11</v>
      </c>
      <c r="C14" s="1470" t="s">
        <v>858</v>
      </c>
      <c r="D14" s="1469" t="s">
        <v>841</v>
      </c>
      <c r="E14" s="1482" t="str">
        <f>TEXT(P18,"#,##0.00")</f>
        <v>3.56</v>
      </c>
      <c r="F14" s="1483"/>
      <c r="G14" s="1471"/>
      <c r="H14" s="1469"/>
      <c r="I14" s="1469"/>
      <c r="J14" s="1469"/>
      <c r="K14" s="1469"/>
      <c r="L14" s="1472"/>
      <c r="O14" s="1484" t="s">
        <v>859</v>
      </c>
      <c r="P14" s="1485">
        <f>SUM(P5:P6)</f>
        <v>3.56</v>
      </c>
      <c r="Q14" s="1485" t="str">
        <f>IF(E$12="资产基础法",'汇总-基础'!D16,"")</f>
        <v/>
      </c>
      <c r="R14" s="1485" t="str">
        <f t="shared" si="1"/>
        <v/>
      </c>
      <c r="S14" s="1486" t="str">
        <f t="shared" si="2"/>
        <v/>
      </c>
    </row>
    <row r="15" spans="2:19">
      <c r="B15" s="1469">
        <f t="shared" si="0"/>
        <v>12</v>
      </c>
      <c r="C15" s="1470" t="s">
        <v>860</v>
      </c>
      <c r="D15" s="1469" t="s">
        <v>841</v>
      </c>
      <c r="E15" s="1470" t="str">
        <f>W18</f>
        <v>减值3.56万元，减值率100.00%</v>
      </c>
      <c r="F15" s="1471"/>
      <c r="G15" s="1471"/>
      <c r="H15" s="1469"/>
      <c r="I15" s="1469"/>
      <c r="J15" s="1469"/>
      <c r="K15" s="1469"/>
      <c r="L15" s="1472"/>
      <c r="O15" s="1478" t="s">
        <v>861</v>
      </c>
      <c r="P15" s="1479">
        <f>'汇总-基础'!C17</f>
        <v>0</v>
      </c>
      <c r="Q15" s="1479" t="str">
        <f>IF(E$12="资产基础法",'汇总-基础'!D17,"")</f>
        <v/>
      </c>
      <c r="R15" s="1479" t="str">
        <f t="shared" si="1"/>
        <v/>
      </c>
      <c r="S15" s="1480" t="str">
        <f t="shared" si="2"/>
        <v/>
      </c>
    </row>
    <row r="16" spans="2:19">
      <c r="B16" s="1487">
        <f t="shared" si="0"/>
        <v>13</v>
      </c>
      <c r="C16" s="1488" t="s">
        <v>862</v>
      </c>
      <c r="D16" s="1487" t="s">
        <v>841</v>
      </c>
      <c r="E16" s="1488"/>
      <c r="F16" s="1489" t="s">
        <v>863</v>
      </c>
      <c r="G16" s="1489" t="str">
        <f t="shared" ref="G16:G64" si="3">IF(H16="","",ADDRESS(H16,I16,4)&amp;":"&amp;ADDRESS(J16,K16,4))</f>
        <v>P5:S18</v>
      </c>
      <c r="H16" s="1487">
        <f>ROW(P5)</f>
        <v>5</v>
      </c>
      <c r="I16" s="1487">
        <f>COLUMN(P5)</f>
        <v>16</v>
      </c>
      <c r="J16" s="1487">
        <f>ROW(S18)</f>
        <v>18</v>
      </c>
      <c r="K16" s="1487">
        <f>COLUMN(S18)</f>
        <v>19</v>
      </c>
      <c r="L16" s="1490"/>
      <c r="O16" s="1478" t="s">
        <v>864</v>
      </c>
      <c r="P16" s="1479">
        <f>'汇总-基础'!C18</f>
        <v>0</v>
      </c>
      <c r="Q16" s="1479" t="str">
        <f>IF(E$12="资产基础法",'汇总-基础'!D18,"")</f>
        <v/>
      </c>
      <c r="R16" s="1479" t="str">
        <f t="shared" si="1"/>
        <v/>
      </c>
      <c r="S16" s="1480" t="str">
        <f t="shared" si="2"/>
        <v/>
      </c>
    </row>
    <row r="17" spans="2:23">
      <c r="B17" s="1469">
        <f t="shared" si="0"/>
        <v>14</v>
      </c>
      <c r="C17" s="1470" t="s">
        <v>865</v>
      </c>
      <c r="D17" s="1469" t="s">
        <v>841</v>
      </c>
      <c r="E17" s="1470" t="str">
        <f>TEXT(参数表!D7,"yyyy年m月d日")</f>
        <v>2026年7月30日</v>
      </c>
      <c r="F17" s="1471"/>
      <c r="G17" s="1471"/>
      <c r="H17" s="1469"/>
      <c r="I17" s="1469"/>
      <c r="J17" s="1469"/>
      <c r="K17" s="1469"/>
      <c r="L17" s="1472"/>
      <c r="O17" s="1484" t="s">
        <v>866</v>
      </c>
      <c r="P17" s="1485">
        <f>SUM(P15:P16)</f>
        <v>0</v>
      </c>
      <c r="Q17" s="1485" t="str">
        <f>IF(E$12="资产基础法",'汇总-基础'!D19,"")</f>
        <v/>
      </c>
      <c r="R17" s="1485" t="str">
        <f t="shared" si="1"/>
        <v/>
      </c>
      <c r="S17" s="1486" t="str">
        <f t="shared" si="2"/>
        <v/>
      </c>
    </row>
    <row r="18" ht="12.75" spans="2:23">
      <c r="B18" s="1469">
        <f t="shared" si="0"/>
        <v>15</v>
      </c>
      <c r="C18" s="1470" t="s">
        <v>867</v>
      </c>
      <c r="D18" s="1469" t="s">
        <v>841</v>
      </c>
      <c r="E18" s="1470" t="str">
        <f>REPLACE(E11,FIND("、",E11),1,"和")</f>
        <v>资产基础法和收益法</v>
      </c>
      <c r="F18" s="1471"/>
      <c r="G18" s="1471"/>
      <c r="H18" s="1469"/>
      <c r="I18" s="1469"/>
      <c r="J18" s="1469"/>
      <c r="K18" s="1469"/>
      <c r="L18" s="1472"/>
      <c r="O18" s="1491" t="s">
        <v>868</v>
      </c>
      <c r="P18" s="1492">
        <f>P14-P17</f>
        <v>3.56</v>
      </c>
      <c r="Q18" s="1492">
        <v>0</v>
      </c>
      <c r="R18" s="1492">
        <f t="shared" si="1"/>
        <v>-3.56</v>
      </c>
      <c r="S18" s="1493">
        <f t="shared" si="2"/>
        <v>-100</v>
      </c>
      <c r="T18" s="1457" t="str">
        <f>IF(R18&gt;0,"增值",IF(R18=0,"无增减值","减值"))</f>
        <v>减值</v>
      </c>
      <c r="U18" s="1494">
        <f>IFERROR(ABS(R18),0)</f>
        <v>3.56</v>
      </c>
      <c r="V18" s="1494">
        <f>IFERROR(ABS(S18),0)</f>
        <v>100</v>
      </c>
      <c r="W18" s="1456" t="str">
        <f>IF(T18="无增减值",T18,T18&amp;TEXT(U18,"#,##0.00")&amp;"万元，"&amp;T18&amp;"率"&amp;TEXT(V18/100,"0.00%"))</f>
        <v>减值3.56万元，减值率100.00%</v>
      </c>
    </row>
    <row r="19" ht="12.75" spans="2:23">
      <c r="B19" s="1487">
        <f t="shared" si="0"/>
        <v>16</v>
      </c>
      <c r="C19" s="1488" t="s">
        <v>869</v>
      </c>
      <c r="D19" s="1487" t="s">
        <v>841</v>
      </c>
      <c r="E19" s="1488"/>
      <c r="F19" s="1489" t="s">
        <v>863</v>
      </c>
      <c r="G19" s="1489" t="str">
        <f t="shared" si="3"/>
        <v>P21:T34</v>
      </c>
      <c r="H19" s="1487">
        <f>ROW(P21)</f>
        <v>21</v>
      </c>
      <c r="I19" s="1487">
        <f>COLUMN(P21)</f>
        <v>16</v>
      </c>
      <c r="J19" s="1487">
        <f>ROW(T34)</f>
        <v>34</v>
      </c>
      <c r="K19" s="1487">
        <f>COLUMN(T34)</f>
        <v>20</v>
      </c>
      <c r="L19" s="1490"/>
      <c r="O19" s="1495"/>
      <c r="P19" s="1496"/>
      <c r="Q19" s="1496"/>
      <c r="R19" s="1496"/>
      <c r="S19" s="1496"/>
      <c r="T19" s="1457"/>
      <c r="U19" s="1494"/>
    </row>
    <row r="20" ht="12.75" spans="2:23">
      <c r="B20" s="1487">
        <f t="shared" si="0"/>
        <v>17</v>
      </c>
      <c r="C20" s="1488" t="s">
        <v>870</v>
      </c>
      <c r="D20" s="1487" t="s">
        <v>841</v>
      </c>
      <c r="E20" s="1488"/>
      <c r="F20" s="1489" t="s">
        <v>863</v>
      </c>
      <c r="G20" s="1489" t="str">
        <f t="shared" si="3"/>
        <v>P37:T57</v>
      </c>
      <c r="H20" s="1487">
        <f>ROW(P37)</f>
        <v>37</v>
      </c>
      <c r="I20" s="1487">
        <f>COLUMN(P37)</f>
        <v>16</v>
      </c>
      <c r="J20" s="1487">
        <f>ROW(T57)</f>
        <v>57</v>
      </c>
      <c r="K20" s="1487">
        <f>COLUMN(T57)</f>
        <v>20</v>
      </c>
      <c r="L20" s="1490"/>
      <c r="N20" s="1456" t="str">
        <f>C19</f>
        <v>财务状况表</v>
      </c>
    </row>
    <row r="21" ht="12.75" spans="2:23">
      <c r="B21" s="1487">
        <f t="shared" si="0"/>
        <v>18</v>
      </c>
      <c r="C21" s="1488" t="s">
        <v>871</v>
      </c>
      <c r="D21" s="1487" t="s">
        <v>841</v>
      </c>
      <c r="E21" s="1488"/>
      <c r="F21" s="1489" t="s">
        <v>863</v>
      </c>
      <c r="G21" s="1489" t="str">
        <f t="shared" si="3"/>
        <v>P60:U63</v>
      </c>
      <c r="H21" s="1487">
        <f>ROW(P60)</f>
        <v>60</v>
      </c>
      <c r="I21" s="1487">
        <f>COLUMN(P60)</f>
        <v>16</v>
      </c>
      <c r="J21" s="1487">
        <f>ROW(U63)</f>
        <v>63</v>
      </c>
      <c r="K21" s="1487">
        <f>COLUMN(U63)</f>
        <v>21</v>
      </c>
      <c r="L21" s="1490"/>
      <c r="O21" s="1497" t="s">
        <v>872</v>
      </c>
      <c r="P21" s="1498" t="str">
        <f>参数表!B31</f>
        <v>2021年12月31日</v>
      </c>
      <c r="Q21" s="1498" t="str">
        <f>参数表!C31</f>
        <v>2022年12月31日</v>
      </c>
      <c r="R21" s="1498" t="str">
        <f>参数表!D31</f>
        <v>2023年12月31日</v>
      </c>
      <c r="S21" s="1498" t="str">
        <f>参数表!E31</f>
        <v>2024年12月31日</v>
      </c>
      <c r="T21" s="1499" t="str">
        <f>参数表!F31</f>
        <v>2025年7月31日</v>
      </c>
    </row>
    <row r="22" spans="2:23">
      <c r="B22" s="1469">
        <f t="shared" si="0"/>
        <v>19</v>
      </c>
      <c r="C22" s="1470" t="s">
        <v>873</v>
      </c>
      <c r="D22" s="1469" t="s">
        <v>841</v>
      </c>
      <c r="E22" s="1482" t="str">
        <f>TEXT(P14,"#,##0.00")</f>
        <v>3.56</v>
      </c>
      <c r="F22" s="1483"/>
      <c r="G22" s="1471"/>
      <c r="H22" s="1469"/>
      <c r="I22" s="1469"/>
      <c r="J22" s="1469"/>
      <c r="K22" s="1469"/>
      <c r="L22" s="1472"/>
      <c r="O22" s="1500" t="s">
        <v>36</v>
      </c>
      <c r="P22" s="1482">
        <f>资负表!D6</f>
        <v>0</v>
      </c>
      <c r="Q22" s="1482">
        <f>资负表!E6</f>
        <v>0</v>
      </c>
      <c r="R22" s="1482">
        <f>资负表!F6</f>
        <v>0</v>
      </c>
      <c r="S22" s="1482">
        <f>资负表!G6</f>
        <v>0</v>
      </c>
      <c r="T22" s="1501">
        <f>'汇总-基础'!C7</f>
        <v>3.56</v>
      </c>
    </row>
    <row r="23" spans="2:23">
      <c r="B23" s="1469">
        <f t="shared" si="0"/>
        <v>20</v>
      </c>
      <c r="C23" s="1470" t="s">
        <v>874</v>
      </c>
      <c r="D23" s="1469" t="s">
        <v>841</v>
      </c>
      <c r="E23" s="1482" t="str">
        <f>TEXT(P17,"#,##0.00")</f>
        <v>0.00</v>
      </c>
      <c r="F23" s="1483"/>
      <c r="G23" s="1471"/>
      <c r="H23" s="1469"/>
      <c r="I23" s="1469"/>
      <c r="J23" s="1469"/>
      <c r="K23" s="1469"/>
      <c r="L23" s="1472"/>
      <c r="O23" s="1500" t="s">
        <v>875</v>
      </c>
      <c r="P23" s="1482">
        <f>资负表!D40</f>
        <v>0</v>
      </c>
      <c r="Q23" s="1482">
        <f>资负表!E40</f>
        <v>0</v>
      </c>
      <c r="R23" s="1482">
        <f>资负表!F40</f>
        <v>0</v>
      </c>
      <c r="S23" s="1482">
        <f>资负表!G40</f>
        <v>0</v>
      </c>
      <c r="T23" s="1501">
        <f>'汇总-基础'!C8</f>
        <v>0</v>
      </c>
    </row>
    <row r="24" spans="2:23">
      <c r="B24" s="1487">
        <f t="shared" si="0"/>
        <v>21</v>
      </c>
      <c r="C24" s="1488" t="s">
        <v>876</v>
      </c>
      <c r="D24" s="1487" t="s">
        <v>841</v>
      </c>
      <c r="E24" s="1488"/>
      <c r="F24" s="1489" t="s">
        <v>863</v>
      </c>
      <c r="G24" s="1489" t="str">
        <f t="shared" si="3"/>
        <v>P67:P80</v>
      </c>
      <c r="H24" s="1487">
        <f>ROW(P67)</f>
        <v>67</v>
      </c>
      <c r="I24" s="1487">
        <f>COLUMN(P67)</f>
        <v>16</v>
      </c>
      <c r="J24" s="1487">
        <f>ROW(P80)</f>
        <v>80</v>
      </c>
      <c r="K24" s="1487">
        <f>COLUMN(P80)</f>
        <v>16</v>
      </c>
      <c r="L24" s="1490"/>
      <c r="O24" s="1502" t="s">
        <v>88</v>
      </c>
      <c r="P24" s="1482">
        <f>资负表!D48</f>
        <v>0</v>
      </c>
      <c r="Q24" s="1482">
        <f>资负表!E48</f>
        <v>0</v>
      </c>
      <c r="R24" s="1482">
        <f>资负表!F48</f>
        <v>0</v>
      </c>
      <c r="S24" s="1482">
        <f>资负表!G48</f>
        <v>0</v>
      </c>
      <c r="T24" s="1501">
        <f>'汇总-基础'!C9</f>
        <v>0</v>
      </c>
    </row>
    <row r="25" spans="2:23">
      <c r="B25" s="1469">
        <f t="shared" si="0"/>
        <v>22</v>
      </c>
      <c r="C25" s="1470" t="s">
        <v>877</v>
      </c>
      <c r="D25" s="1469" t="s">
        <v>841</v>
      </c>
      <c r="E25" s="1470" t="str">
        <f>U61</f>
        <v>XXX会计师事务所</v>
      </c>
      <c r="F25" s="1471"/>
      <c r="G25" s="1471"/>
      <c r="H25" s="1469"/>
      <c r="I25" s="1469"/>
      <c r="J25" s="1469"/>
      <c r="K25" s="1469"/>
      <c r="L25" s="1472"/>
      <c r="O25" s="1502" t="s">
        <v>89</v>
      </c>
      <c r="P25" s="1482">
        <f>资负表!D51</f>
        <v>0</v>
      </c>
      <c r="Q25" s="1482">
        <f>资负表!E51</f>
        <v>0</v>
      </c>
      <c r="R25" s="1482">
        <f>资负表!F51</f>
        <v>0</v>
      </c>
      <c r="S25" s="1482">
        <f>资负表!G51</f>
        <v>0</v>
      </c>
      <c r="T25" s="1501">
        <f>'汇总-基础'!C10</f>
        <v>0</v>
      </c>
    </row>
    <row r="26" spans="2:23">
      <c r="B26" s="1469">
        <f t="shared" si="0"/>
        <v>23</v>
      </c>
      <c r="C26" s="1470" t="s">
        <v>878</v>
      </c>
      <c r="D26" s="1469" t="s">
        <v>841</v>
      </c>
      <c r="E26" s="1470" t="str">
        <f>U62</f>
        <v>XXXX[2018]XXX号</v>
      </c>
      <c r="F26" s="1471"/>
      <c r="G26" s="1471"/>
      <c r="H26" s="1469"/>
      <c r="I26" s="1469"/>
      <c r="J26" s="1469"/>
      <c r="K26" s="1469"/>
      <c r="L26" s="1472"/>
      <c r="O26" s="1502" t="s">
        <v>90</v>
      </c>
      <c r="P26" s="1482">
        <f>资负表!D56</f>
        <v>0</v>
      </c>
      <c r="Q26" s="1482">
        <f>资负表!E56</f>
        <v>0</v>
      </c>
      <c r="R26" s="1482">
        <f>资负表!F56</f>
        <v>0</v>
      </c>
      <c r="S26" s="1482">
        <f>资负表!G56</f>
        <v>0</v>
      </c>
      <c r="T26" s="1501">
        <f>'汇总-基础'!C11</f>
        <v>0</v>
      </c>
    </row>
    <row r="27" spans="2:23">
      <c r="B27" s="1469">
        <f t="shared" si="0"/>
        <v>24</v>
      </c>
      <c r="C27" s="1470" t="s">
        <v>879</v>
      </c>
      <c r="D27" s="1469" t="s">
        <v>841</v>
      </c>
      <c r="E27" s="1470" t="str">
        <f>U63</f>
        <v>标准无保留意见</v>
      </c>
      <c r="F27" s="1471"/>
      <c r="G27" s="1471"/>
      <c r="H27" s="1469"/>
      <c r="I27" s="1469"/>
      <c r="J27" s="1469"/>
      <c r="K27" s="1469"/>
      <c r="L27" s="1472"/>
      <c r="O27" s="1502" t="s">
        <v>98</v>
      </c>
      <c r="P27" s="1482">
        <f>资负表!D57</f>
        <v>0</v>
      </c>
      <c r="Q27" s="1482">
        <f>资负表!E57</f>
        <v>0</v>
      </c>
      <c r="R27" s="1482">
        <f>资负表!F57</f>
        <v>0</v>
      </c>
      <c r="S27" s="1482">
        <f>资负表!G57</f>
        <v>0</v>
      </c>
      <c r="T27" s="1501">
        <f>'汇总-基础'!C12</f>
        <v>0</v>
      </c>
    </row>
    <row r="28" spans="2:23">
      <c r="B28" s="1469">
        <f t="shared" si="0"/>
        <v>25</v>
      </c>
      <c r="C28" s="1503" t="s">
        <v>880</v>
      </c>
      <c r="D28" s="1469" t="s">
        <v>841</v>
      </c>
      <c r="E28" s="1470" t="str">
        <f>分类汇总!CH4</f>
        <v>存货</v>
      </c>
      <c r="F28" s="1471"/>
      <c r="G28" s="1471"/>
      <c r="H28" s="1469"/>
      <c r="I28" s="1469"/>
      <c r="J28" s="1469"/>
      <c r="K28" s="1469"/>
      <c r="L28" s="1472"/>
      <c r="O28" s="1502" t="s">
        <v>105</v>
      </c>
      <c r="P28" s="1482">
        <f>资负表!D61</f>
        <v>0</v>
      </c>
      <c r="Q28" s="1482">
        <f>资负表!E61</f>
        <v>0</v>
      </c>
      <c r="R28" s="1482">
        <f>资负表!F61</f>
        <v>0</v>
      </c>
      <c r="S28" s="1482">
        <f>资负表!G61</f>
        <v>0</v>
      </c>
      <c r="T28" s="1501">
        <f>'汇总-基础'!C13</f>
        <v>0</v>
      </c>
    </row>
    <row r="29" spans="2:23">
      <c r="B29" s="1469">
        <f t="shared" si="0"/>
        <v>26</v>
      </c>
      <c r="C29" s="1503" t="s">
        <v>881</v>
      </c>
      <c r="D29" s="1469" t="s">
        <v>841</v>
      </c>
      <c r="E29" s="1470" t="str">
        <f>分类汇总!CI4</f>
        <v>(1)存货账面价值3.56万元，主要为在用周转材料。</v>
      </c>
      <c r="F29" s="1471"/>
      <c r="G29" s="1471"/>
      <c r="H29" s="1469"/>
      <c r="I29" s="1469"/>
      <c r="J29" s="1469"/>
      <c r="K29" s="1469"/>
      <c r="L29" s="1472"/>
      <c r="O29" s="1502" t="s">
        <v>113</v>
      </c>
      <c r="P29" s="1482">
        <f>P23-SUM(P24:P28)</f>
        <v>0</v>
      </c>
      <c r="Q29" s="1482">
        <f>Q23-SUM(Q24:Q28)</f>
        <v>0</v>
      </c>
      <c r="R29" s="1482">
        <f>R23-SUM(R24:R28)</f>
        <v>0</v>
      </c>
      <c r="S29" s="1482">
        <f>S23-SUM(S24:S28)</f>
        <v>0</v>
      </c>
      <c r="T29" s="1501">
        <f>'汇总-基础'!C15</f>
        <v>0</v>
      </c>
    </row>
    <row r="30" spans="2:23">
      <c r="B30" s="1504">
        <f t="shared" si="0"/>
        <v>27</v>
      </c>
      <c r="C30" s="1505" t="s">
        <v>882</v>
      </c>
      <c r="D30" s="1504" t="str">
        <f>VLOOKUP(L30,参数表!A$35:C$41,3,FALSE)</f>
        <v>否</v>
      </c>
      <c r="E30" s="1505"/>
      <c r="F30" s="1506"/>
      <c r="G30" s="1506"/>
      <c r="H30" s="1504"/>
      <c r="I30" s="1504"/>
      <c r="J30" s="1504"/>
      <c r="K30" s="1504"/>
      <c r="L30" s="1507" t="str">
        <f>E11</f>
        <v>资产基础法、收益法</v>
      </c>
      <c r="O30" s="1508" t="s">
        <v>883</v>
      </c>
      <c r="P30" s="1509">
        <f>SUM(P22:P23)</f>
        <v>0</v>
      </c>
      <c r="Q30" s="1509">
        <f>SUM(Q22:Q23)</f>
        <v>0</v>
      </c>
      <c r="R30" s="1509">
        <f>SUM(R22:R23)</f>
        <v>0</v>
      </c>
      <c r="S30" s="1509">
        <f>SUM(S22:S23)</f>
        <v>0</v>
      </c>
      <c r="T30" s="1510">
        <f>SUM(T22:T23)</f>
        <v>3.56</v>
      </c>
    </row>
    <row r="31" spans="2:23">
      <c r="B31" s="1469">
        <f t="shared" si="0"/>
        <v>28</v>
      </c>
      <c r="C31" s="1470" t="s">
        <v>884</v>
      </c>
      <c r="D31" s="1469" t="s">
        <v>841</v>
      </c>
      <c r="E31" s="1470" t="str">
        <f>流动资总!BS5&amp;流动资总!BT5</f>
        <v>流动资产为：存货</v>
      </c>
      <c r="F31" s="1471"/>
      <c r="G31" s="1471"/>
      <c r="H31" s="1469"/>
      <c r="I31" s="1469"/>
      <c r="J31" s="1469"/>
      <c r="K31" s="1469"/>
      <c r="L31" s="1472"/>
      <c r="O31" s="1500" t="s">
        <v>39</v>
      </c>
      <c r="P31" s="1482">
        <f>资负表!D68</f>
        <v>0</v>
      </c>
      <c r="Q31" s="1482">
        <f>资负表!E68</f>
        <v>0</v>
      </c>
      <c r="R31" s="1482">
        <f>资负表!F68</f>
        <v>0</v>
      </c>
      <c r="S31" s="1482">
        <f>资负表!G68</f>
        <v>0</v>
      </c>
      <c r="T31" s="1501">
        <f>'汇总-基础'!C17</f>
        <v>0</v>
      </c>
    </row>
    <row r="32" spans="2:23">
      <c r="B32" s="1469">
        <f t="shared" si="0"/>
        <v>29</v>
      </c>
      <c r="C32" s="1470" t="s">
        <v>885</v>
      </c>
      <c r="D32" s="1469" t="s">
        <v>841</v>
      </c>
      <c r="E32" s="1470" t="str">
        <f>流动负总!BS5&amp;流动负总!BT5</f>
        <v>流动负债为：</v>
      </c>
      <c r="F32" s="1471"/>
      <c r="G32" s="1471"/>
      <c r="H32" s="1469"/>
      <c r="I32" s="1469"/>
      <c r="J32" s="1469"/>
      <c r="K32" s="1469"/>
      <c r="L32" s="1472"/>
      <c r="O32" s="1500" t="s">
        <v>68</v>
      </c>
      <c r="P32" s="1482">
        <f>资负表!D86</f>
        <v>0</v>
      </c>
      <c r="Q32" s="1482">
        <f>资负表!E86</f>
        <v>0</v>
      </c>
      <c r="R32" s="1482">
        <f>资负表!F86</f>
        <v>0</v>
      </c>
      <c r="S32" s="1482">
        <f>资负表!G86</f>
        <v>0</v>
      </c>
      <c r="T32" s="1501">
        <f>'汇总-基础'!C18</f>
        <v>0</v>
      </c>
    </row>
    <row r="33" spans="2:20">
      <c r="B33" s="1469">
        <f t="shared" si="0"/>
        <v>30</v>
      </c>
      <c r="C33" s="1470" t="s">
        <v>886</v>
      </c>
      <c r="D33" s="1469" t="s">
        <v>841</v>
      </c>
      <c r="E33" s="1470" t="str">
        <f>非流动负总!BS5&amp;非流动负总!BT5</f>
        <v>非流动负债为：</v>
      </c>
      <c r="F33" s="1471"/>
      <c r="G33" s="1471"/>
      <c r="H33" s="1469"/>
      <c r="I33" s="1469"/>
      <c r="J33" s="1469"/>
      <c r="K33" s="1469"/>
      <c r="L33" s="1472"/>
      <c r="O33" s="1508" t="s">
        <v>887</v>
      </c>
      <c r="P33" s="1509">
        <f>SUM(P31:P32)</f>
        <v>0</v>
      </c>
      <c r="Q33" s="1509">
        <f>SUM(Q31:Q32)</f>
        <v>0</v>
      </c>
      <c r="R33" s="1509">
        <f>SUM(R31:R32)</f>
        <v>0</v>
      </c>
      <c r="S33" s="1509">
        <f>SUM(S31:S32)</f>
        <v>0</v>
      </c>
      <c r="T33" s="1510">
        <f>SUM(T31:T32)</f>
        <v>0</v>
      </c>
    </row>
    <row r="34" ht="12.75" spans="2:20">
      <c r="B34" s="1504">
        <f t="shared" si="0"/>
        <v>31</v>
      </c>
      <c r="C34" s="1505" t="s">
        <v>888</v>
      </c>
      <c r="D34" s="1504" t="str">
        <f>VLOOKUP(L34,参数表!A$35:D$41,4,FALSE)</f>
        <v>否</v>
      </c>
      <c r="E34" s="1505"/>
      <c r="F34" s="1506"/>
      <c r="G34" s="1506"/>
      <c r="H34" s="1504"/>
      <c r="I34" s="1504"/>
      <c r="J34" s="1504"/>
      <c r="K34" s="1504"/>
      <c r="L34" s="1507" t="str">
        <f>L30</f>
        <v>资产基础法、收益法</v>
      </c>
      <c r="O34" s="1511" t="s">
        <v>889</v>
      </c>
      <c r="P34" s="1512">
        <f>P30-P33</f>
        <v>0</v>
      </c>
      <c r="Q34" s="1512">
        <f>Q30-Q33</f>
        <v>0</v>
      </c>
      <c r="R34" s="1512">
        <f>R30-R33</f>
        <v>0</v>
      </c>
      <c r="S34" s="1512">
        <f>S30-S33</f>
        <v>0</v>
      </c>
      <c r="T34" s="1513">
        <f>T30-T33</f>
        <v>3.56</v>
      </c>
    </row>
    <row r="35" ht="12.75" spans="2:20">
      <c r="B35" s="1504">
        <f t="shared" si="0"/>
        <v>32</v>
      </c>
      <c r="C35" s="1505" t="s">
        <v>890</v>
      </c>
      <c r="D35" s="1504" t="str">
        <f>VLOOKUP(L35,参数表!A$35:F$41,5,FALSE)</f>
        <v>是</v>
      </c>
      <c r="E35" s="1505"/>
      <c r="F35" s="1506"/>
      <c r="G35" s="1506"/>
      <c r="H35" s="1504"/>
      <c r="I35" s="1504"/>
      <c r="J35" s="1504"/>
      <c r="K35" s="1504"/>
      <c r="L35" s="1507" t="str">
        <f>L34</f>
        <v>资产基础法、收益法</v>
      </c>
    </row>
    <row r="36" ht="12.75" spans="2:20">
      <c r="B36" s="1504">
        <f t="shared" si="0"/>
        <v>33</v>
      </c>
      <c r="C36" s="1505" t="s">
        <v>891</v>
      </c>
      <c r="D36" s="1504" t="str">
        <f>D30</f>
        <v>否</v>
      </c>
      <c r="E36" s="1505"/>
      <c r="F36" s="1506"/>
      <c r="G36" s="1506"/>
      <c r="H36" s="1504"/>
      <c r="I36" s="1504"/>
      <c r="J36" s="1504"/>
      <c r="K36" s="1504"/>
      <c r="L36" s="1507"/>
      <c r="N36" s="1456" t="str">
        <f>C20</f>
        <v>经营成果表</v>
      </c>
    </row>
    <row r="37" ht="12.75" spans="2:20">
      <c r="B37" s="1469">
        <f t="shared" si="0"/>
        <v>34</v>
      </c>
      <c r="C37" s="1470" t="s">
        <v>892</v>
      </c>
      <c r="D37" s="1469" t="str">
        <f t="shared" ref="D37:D43" si="4">D$36</f>
        <v>否</v>
      </c>
      <c r="E37" s="1482" t="str">
        <f>TEXT('汇总-基础'!D16,"#,##0.00")</f>
        <v>283.71</v>
      </c>
      <c r="F37" s="1483"/>
      <c r="G37" s="1471"/>
      <c r="H37" s="1469"/>
      <c r="I37" s="1469"/>
      <c r="J37" s="1469"/>
      <c r="K37" s="1469"/>
      <c r="L37" s="1472"/>
      <c r="O37" s="1514" t="s">
        <v>893</v>
      </c>
      <c r="P37" s="1498" t="str">
        <f>参数表!B32</f>
        <v>2021年度</v>
      </c>
      <c r="Q37" s="1498" t="str">
        <f>参数表!C32</f>
        <v>2022年度</v>
      </c>
      <c r="R37" s="1498" t="str">
        <f>参数表!D32</f>
        <v>2023年度</v>
      </c>
      <c r="S37" s="1498" t="str">
        <f>参数表!E32</f>
        <v>2024年度</v>
      </c>
      <c r="T37" s="1499" t="str">
        <f>参数表!F32</f>
        <v>2025年1-7月</v>
      </c>
    </row>
    <row r="38" spans="2:20">
      <c r="B38" s="1469">
        <f t="shared" si="0"/>
        <v>35</v>
      </c>
      <c r="C38" s="1470" t="s">
        <v>894</v>
      </c>
      <c r="D38" s="1469" t="str">
        <f t="shared" si="4"/>
        <v>否</v>
      </c>
      <c r="E38" s="1470" t="str">
        <f>'汇总-基础'!BD16</f>
        <v>增值280.15万元，增值率7878.80%</v>
      </c>
      <c r="F38" s="1471"/>
      <c r="G38" s="1471"/>
      <c r="H38" s="1469"/>
      <c r="I38" s="1469"/>
      <c r="J38" s="1469"/>
      <c r="K38" s="1469"/>
      <c r="L38" s="1472"/>
      <c r="O38" s="1515" t="s">
        <v>424</v>
      </c>
      <c r="P38" s="1509">
        <f>利润表及费率!C6</f>
        <v>0</v>
      </c>
      <c r="Q38" s="1509">
        <f>利润表及费率!D6</f>
        <v>0</v>
      </c>
      <c r="R38" s="1509">
        <f>利润表及费率!E6</f>
        <v>0</v>
      </c>
      <c r="S38" s="1509">
        <f>利润表及费率!F6</f>
        <v>0</v>
      </c>
      <c r="T38" s="1510">
        <f>利润表及费率!G6</f>
        <v>0</v>
      </c>
    </row>
    <row r="39" spans="2:20">
      <c r="B39" s="1469">
        <f t="shared" si="0"/>
        <v>36</v>
      </c>
      <c r="C39" s="1470" t="s">
        <v>895</v>
      </c>
      <c r="D39" s="1469" t="str">
        <f t="shared" si="4"/>
        <v>否</v>
      </c>
      <c r="E39" s="1482" t="str">
        <f>TEXT('汇总-基础'!D19,"#,##0.00")</f>
        <v>0.00</v>
      </c>
      <c r="F39" s="1483"/>
      <c r="G39" s="1471"/>
      <c r="H39" s="1469"/>
      <c r="I39" s="1469"/>
      <c r="J39" s="1469"/>
      <c r="K39" s="1469"/>
      <c r="L39" s="1472"/>
      <c r="O39" s="1516" t="s">
        <v>426</v>
      </c>
      <c r="P39" s="1482">
        <f>利润表及费率!C7</f>
        <v>0</v>
      </c>
      <c r="Q39" s="1482">
        <f>利润表及费率!D7</f>
        <v>0</v>
      </c>
      <c r="R39" s="1482">
        <f>利润表及费率!E7</f>
        <v>0</v>
      </c>
      <c r="S39" s="1482">
        <f>利润表及费率!F7</f>
        <v>0</v>
      </c>
      <c r="T39" s="1501">
        <f>利润表及费率!G7</f>
        <v>0</v>
      </c>
    </row>
    <row r="40" spans="2:20">
      <c r="B40" s="1469">
        <f t="shared" si="0"/>
        <v>37</v>
      </c>
      <c r="C40" s="1470" t="s">
        <v>896</v>
      </c>
      <c r="D40" s="1469" t="str">
        <f t="shared" si="4"/>
        <v>否</v>
      </c>
      <c r="E40" s="1470" t="str">
        <f>'汇总-基础'!BD19</f>
        <v>无增减值</v>
      </c>
      <c r="F40" s="1471"/>
      <c r="G40" s="1471"/>
      <c r="H40" s="1469"/>
      <c r="I40" s="1469"/>
      <c r="J40" s="1469"/>
      <c r="K40" s="1469"/>
      <c r="L40" s="1472"/>
      <c r="O40" s="1517" t="s">
        <v>897</v>
      </c>
      <c r="P40" s="1482">
        <f>利润表及费率!C8</f>
        <v>0</v>
      </c>
      <c r="Q40" s="1482">
        <f>利润表及费率!D8</f>
        <v>0</v>
      </c>
      <c r="R40" s="1482">
        <f>利润表及费率!E8</f>
        <v>0</v>
      </c>
      <c r="S40" s="1482">
        <f>利润表及费率!F8</f>
        <v>0</v>
      </c>
      <c r="T40" s="1501">
        <f>利润表及费率!G8</f>
        <v>0</v>
      </c>
    </row>
    <row r="41" spans="2:20">
      <c r="B41" s="1469">
        <f t="shared" si="0"/>
        <v>38</v>
      </c>
      <c r="C41" s="1470" t="s">
        <v>898</v>
      </c>
      <c r="D41" s="1469" t="str">
        <f t="shared" si="4"/>
        <v>否</v>
      </c>
      <c r="E41" s="1482" t="str">
        <f>TEXT('汇总-基础'!D20,"#,##0.00")</f>
        <v>283.71</v>
      </c>
      <c r="F41" s="1483"/>
      <c r="G41" s="1471"/>
      <c r="H41" s="1469"/>
      <c r="I41" s="1469"/>
      <c r="J41" s="1469"/>
      <c r="K41" s="1469"/>
      <c r="L41" s="1472"/>
      <c r="O41" s="1517" t="s">
        <v>432</v>
      </c>
      <c r="P41" s="1482">
        <f>利润表及费率!C10</f>
        <v>0</v>
      </c>
      <c r="Q41" s="1482">
        <f>利润表及费率!D10</f>
        <v>0</v>
      </c>
      <c r="R41" s="1482">
        <f>利润表及费率!E10</f>
        <v>0</v>
      </c>
      <c r="S41" s="1482">
        <f>利润表及费率!F10</f>
        <v>0</v>
      </c>
      <c r="T41" s="1501">
        <f>利润表及费率!G10</f>
        <v>0</v>
      </c>
    </row>
    <row r="42" spans="2:20">
      <c r="B42" s="1469">
        <f t="shared" si="0"/>
        <v>39</v>
      </c>
      <c r="C42" s="1470" t="s">
        <v>899</v>
      </c>
      <c r="D42" s="1469" t="str">
        <f t="shared" si="4"/>
        <v>否</v>
      </c>
      <c r="E42" s="1470" t="str">
        <f>'汇总-基础'!BD20</f>
        <v>增值280.15万元，增值率7878.80%</v>
      </c>
      <c r="F42" s="1471"/>
      <c r="G42" s="1471"/>
      <c r="H42" s="1469"/>
      <c r="I42" s="1469"/>
      <c r="J42" s="1469"/>
      <c r="K42" s="1469"/>
      <c r="L42" s="1472"/>
      <c r="O42" s="1517" t="s">
        <v>434</v>
      </c>
      <c r="P42" s="1482">
        <f>利润表及费率!C11</f>
        <v>0</v>
      </c>
      <c r="Q42" s="1482">
        <f>利润表及费率!D11</f>
        <v>0</v>
      </c>
      <c r="R42" s="1482">
        <f>利润表及费率!E11</f>
        <v>0</v>
      </c>
      <c r="S42" s="1482">
        <f>利润表及费率!F11</f>
        <v>0</v>
      </c>
      <c r="T42" s="1501">
        <f>利润表及费率!G11</f>
        <v>0</v>
      </c>
    </row>
    <row r="43" spans="2:20">
      <c r="B43" s="1487">
        <f t="shared" si="0"/>
        <v>40</v>
      </c>
      <c r="C43" s="1488" t="s">
        <v>900</v>
      </c>
      <c r="D43" s="1487" t="str">
        <f t="shared" si="4"/>
        <v>否</v>
      </c>
      <c r="E43" s="1488"/>
      <c r="F43" s="1489" t="s">
        <v>863</v>
      </c>
      <c r="G43" s="1489" t="str">
        <f t="shared" si="3"/>
        <v>P85:S98</v>
      </c>
      <c r="H43" s="1487">
        <f>ROW(P85)</f>
        <v>85</v>
      </c>
      <c r="I43" s="1487">
        <f>COLUMN(P85)</f>
        <v>16</v>
      </c>
      <c r="J43" s="1487">
        <f>ROW(S98)</f>
        <v>98</v>
      </c>
      <c r="K43" s="1487">
        <f>COLUMN(S98)</f>
        <v>19</v>
      </c>
      <c r="L43" s="1490"/>
      <c r="O43" s="1517" t="s">
        <v>436</v>
      </c>
      <c r="P43" s="1482">
        <f>利润表及费率!C12</f>
        <v>0</v>
      </c>
      <c r="Q43" s="1482">
        <f>利润表及费率!D12</f>
        <v>0</v>
      </c>
      <c r="R43" s="1482">
        <f>利润表及费率!E12</f>
        <v>0</v>
      </c>
      <c r="S43" s="1482">
        <f>利润表及费率!F12</f>
        <v>0</v>
      </c>
      <c r="T43" s="1501">
        <f>利润表及费率!G12</f>
        <v>0</v>
      </c>
    </row>
    <row r="44" spans="2:20">
      <c r="B44" s="1504">
        <f t="shared" si="0"/>
        <v>41</v>
      </c>
      <c r="C44" s="1505" t="s">
        <v>901</v>
      </c>
      <c r="D44" s="1504" t="str">
        <f>D34</f>
        <v>否</v>
      </c>
      <c r="E44" s="1505"/>
      <c r="F44" s="1506"/>
      <c r="G44" s="1506"/>
      <c r="H44" s="1504"/>
      <c r="I44" s="1504"/>
      <c r="J44" s="1504"/>
      <c r="K44" s="1504"/>
      <c r="L44" s="1507"/>
      <c r="O44" s="1517" t="s">
        <v>438</v>
      </c>
      <c r="P44" s="1482">
        <f>利润表及费率!C13</f>
        <v>0</v>
      </c>
      <c r="Q44" s="1482">
        <f>利润表及费率!D13</f>
        <v>0</v>
      </c>
      <c r="R44" s="1482">
        <f>利润表及费率!E13</f>
        <v>0</v>
      </c>
      <c r="S44" s="1482">
        <f>利润表及费率!F13</f>
        <v>0</v>
      </c>
      <c r="T44" s="1501">
        <f>利润表及费率!G13</f>
        <v>0</v>
      </c>
    </row>
    <row r="45" spans="2:20">
      <c r="B45" s="1469">
        <f t="shared" si="0"/>
        <v>42</v>
      </c>
      <c r="C45" s="1470" t="s">
        <v>902</v>
      </c>
      <c r="D45" s="1469" t="str">
        <f>D$44</f>
        <v>否</v>
      </c>
      <c r="E45" s="1518" t="s">
        <v>903</v>
      </c>
      <c r="F45" s="1483"/>
      <c r="G45" s="1471"/>
      <c r="H45" s="1469"/>
      <c r="I45" s="1469"/>
      <c r="J45" s="1469"/>
      <c r="K45" s="1469"/>
      <c r="L45" s="1472"/>
      <c r="O45" s="1516" t="s">
        <v>440</v>
      </c>
      <c r="P45" s="1482">
        <f>利润表及费率!C14</f>
        <v>0</v>
      </c>
      <c r="Q45" s="1482">
        <f>利润表及费率!D14</f>
        <v>0</v>
      </c>
      <c r="R45" s="1482">
        <f>利润表及费率!E14</f>
        <v>0</v>
      </c>
      <c r="S45" s="1482">
        <f>利润表及费率!F14</f>
        <v>0</v>
      </c>
      <c r="T45" s="1501">
        <f>利润表及费率!G14</f>
        <v>0</v>
      </c>
    </row>
    <row r="46" spans="2:20">
      <c r="B46" s="1469">
        <f t="shared" si="0"/>
        <v>43</v>
      </c>
      <c r="C46" s="1470" t="s">
        <v>904</v>
      </c>
      <c r="D46" s="1469" t="str">
        <f>D$44</f>
        <v>否</v>
      </c>
      <c r="E46" s="1519" t="s">
        <v>905</v>
      </c>
      <c r="F46" s="1471"/>
      <c r="G46" s="1471"/>
      <c r="H46" s="1469"/>
      <c r="I46" s="1469"/>
      <c r="J46" s="1469"/>
      <c r="K46" s="1469"/>
      <c r="L46" s="1472"/>
      <c r="O46" s="1517" t="s">
        <v>906</v>
      </c>
      <c r="P46" s="1482">
        <f>利润表及费率!C15</f>
        <v>0</v>
      </c>
      <c r="Q46" s="1482">
        <f>利润表及费率!D15</f>
        <v>0</v>
      </c>
      <c r="R46" s="1482">
        <f>利润表及费率!E15</f>
        <v>0</v>
      </c>
      <c r="S46" s="1482">
        <f>利润表及费率!F15</f>
        <v>0</v>
      </c>
      <c r="T46" s="1501">
        <f>利润表及费率!G15</f>
        <v>0</v>
      </c>
    </row>
    <row r="47" spans="2:20">
      <c r="B47" s="1504">
        <f t="shared" si="0"/>
        <v>44</v>
      </c>
      <c r="C47" s="1505" t="s">
        <v>907</v>
      </c>
      <c r="D47" s="1504" t="str">
        <f>D35</f>
        <v>是</v>
      </c>
      <c r="E47" s="1505"/>
      <c r="F47" s="1506"/>
      <c r="G47" s="1506"/>
      <c r="H47" s="1504"/>
      <c r="I47" s="1504"/>
      <c r="J47" s="1504"/>
      <c r="K47" s="1504"/>
      <c r="L47" s="1507"/>
      <c r="O47" s="1517" t="s">
        <v>908</v>
      </c>
      <c r="P47" s="1482">
        <f>利润表及费率!C16</f>
        <v>0</v>
      </c>
      <c r="Q47" s="1482">
        <f>利润表及费率!D16</f>
        <v>0</v>
      </c>
      <c r="R47" s="1482">
        <f>利润表及费率!E16</f>
        <v>0</v>
      </c>
      <c r="S47" s="1482">
        <f>利润表及费率!F16</f>
        <v>0</v>
      </c>
      <c r="T47" s="1501">
        <f>利润表及费率!G16</f>
        <v>0</v>
      </c>
    </row>
    <row r="48" spans="2:20">
      <c r="B48" s="1469">
        <f t="shared" si="0"/>
        <v>45</v>
      </c>
      <c r="C48" s="1470" t="s">
        <v>909</v>
      </c>
      <c r="D48" s="1469" t="str">
        <f>D$47</f>
        <v>是</v>
      </c>
      <c r="E48" s="1482" t="str">
        <f>TEXT(参数表!D8,"#,##0.00")</f>
        <v>0.00</v>
      </c>
      <c r="F48" s="1483"/>
      <c r="G48" s="1471"/>
      <c r="H48" s="1469"/>
      <c r="I48" s="1469"/>
      <c r="J48" s="1469"/>
      <c r="K48" s="1469"/>
      <c r="L48" s="1472"/>
      <c r="O48" s="1517" t="s">
        <v>910</v>
      </c>
      <c r="P48" s="1482">
        <f>利润表及费率!C17</f>
        <v>0</v>
      </c>
      <c r="Q48" s="1482">
        <f>利润表及费率!D17</f>
        <v>0</v>
      </c>
      <c r="R48" s="1482">
        <f>利润表及费率!E17</f>
        <v>0</v>
      </c>
      <c r="S48" s="1482">
        <f>利润表及费率!F17</f>
        <v>0</v>
      </c>
      <c r="T48" s="1501">
        <f>利润表及费率!G17</f>
        <v>0</v>
      </c>
    </row>
    <row r="49" spans="2:21">
      <c r="B49" s="1469">
        <f t="shared" si="0"/>
        <v>46</v>
      </c>
      <c r="C49" s="1470" t="s">
        <v>911</v>
      </c>
      <c r="D49" s="1469" t="str">
        <f>D$47</f>
        <v>是</v>
      </c>
      <c r="E49" s="1470" t="str">
        <f>W102</f>
        <v>减值3.56万元，减值率100.00%</v>
      </c>
      <c r="F49" s="1471"/>
      <c r="G49" s="1471"/>
      <c r="H49" s="1469"/>
      <c r="I49" s="1469"/>
      <c r="J49" s="1469"/>
      <c r="K49" s="1469"/>
      <c r="L49" s="1472"/>
      <c r="O49" s="1517" t="s">
        <v>912</v>
      </c>
      <c r="P49" s="1482">
        <f>利润表及费率!C18</f>
        <v>0</v>
      </c>
      <c r="Q49" s="1482">
        <f>利润表及费率!D18</f>
        <v>0</v>
      </c>
      <c r="R49" s="1482">
        <f>利润表及费率!E18</f>
        <v>0</v>
      </c>
      <c r="S49" s="1482">
        <f>利润表及费率!F18</f>
        <v>0</v>
      </c>
      <c r="T49" s="1501">
        <f>利润表及费率!G18</f>
        <v>0</v>
      </c>
    </row>
    <row r="50" spans="2:21">
      <c r="B50" s="1469">
        <f t="shared" si="0"/>
        <v>47</v>
      </c>
      <c r="C50" s="1470" t="s">
        <v>913</v>
      </c>
      <c r="D50" s="1469" t="s">
        <v>841</v>
      </c>
      <c r="E50" s="1520" t="str">
        <f>P110</f>
        <v>资产基础法评估结果为283.71万元，收益法评估结果为0.00万元。差异额为283.71万元</v>
      </c>
      <c r="F50" s="1471"/>
      <c r="G50" s="1471"/>
      <c r="H50" s="1469"/>
      <c r="I50" s="1469"/>
      <c r="J50" s="1469"/>
      <c r="K50" s="1469"/>
      <c r="L50" s="1472"/>
      <c r="O50" s="1517" t="s">
        <v>914</v>
      </c>
      <c r="P50" s="1482">
        <f>利润表及费率!C19</f>
        <v>0</v>
      </c>
      <c r="Q50" s="1482">
        <f>利润表及费率!D19</f>
        <v>0</v>
      </c>
      <c r="R50" s="1482">
        <f>利润表及费率!E19</f>
        <v>0</v>
      </c>
      <c r="S50" s="1482">
        <f>利润表及费率!F19</f>
        <v>0</v>
      </c>
      <c r="T50" s="1501">
        <f>利润表及费率!G19</f>
        <v>0</v>
      </c>
    </row>
    <row r="51" spans="2:21">
      <c r="B51" s="1469">
        <f t="shared" si="0"/>
        <v>48</v>
      </c>
      <c r="C51" s="1470" t="s">
        <v>915</v>
      </c>
      <c r="D51" s="1469" t="str">
        <f>IF(L51="隐藏","是","否")</f>
        <v>否</v>
      </c>
      <c r="E51" s="1470" t="str">
        <f>存货总!BS5&amp;存货总!BT5</f>
        <v>存货为：在用周转材料</v>
      </c>
      <c r="F51" s="1471"/>
      <c r="G51" s="1471"/>
      <c r="H51" s="1469"/>
      <c r="I51" s="1469"/>
      <c r="J51" s="1469"/>
      <c r="K51" s="1469"/>
      <c r="L51" s="1472" t="str">
        <f>判断表!L29</f>
        <v>显示</v>
      </c>
      <c r="O51" s="1517" t="s">
        <v>916</v>
      </c>
      <c r="P51" s="1482">
        <f>利润表及费率!C20</f>
        <v>0</v>
      </c>
      <c r="Q51" s="1482">
        <f>利润表及费率!D20</f>
        <v>0</v>
      </c>
      <c r="R51" s="1482">
        <f>利润表及费率!E20</f>
        <v>0</v>
      </c>
      <c r="S51" s="1482">
        <f>利润表及费率!F20</f>
        <v>0</v>
      </c>
      <c r="T51" s="1501">
        <f>利润表及费率!G20</f>
        <v>0</v>
      </c>
    </row>
    <row r="52" spans="2:21">
      <c r="B52" s="1469">
        <f t="shared" si="0"/>
        <v>49</v>
      </c>
      <c r="C52" s="1470" t="s">
        <v>917</v>
      </c>
      <c r="D52" s="1469" t="str">
        <f t="shared" ref="D52:D60" si="5">IF(L52="隐藏","是","否")</f>
        <v>是</v>
      </c>
      <c r="E52" s="1470" t="str">
        <f>房屋!CP15</f>
        <v/>
      </c>
      <c r="F52" s="1471"/>
      <c r="G52" s="1471"/>
      <c r="H52" s="1469"/>
      <c r="I52" s="1469"/>
      <c r="J52" s="1469"/>
      <c r="K52" s="1469"/>
      <c r="L52" s="1472" t="str">
        <f>判断表!L66</f>
        <v>隐藏</v>
      </c>
      <c r="O52" s="1515" t="s">
        <v>918</v>
      </c>
      <c r="P52" s="1509">
        <f>SUM(P38,P45:P51)-SUM(P39:P44)</f>
        <v>0</v>
      </c>
      <c r="Q52" s="1509">
        <f>SUM(Q38,Q45:Q51)-SUM(Q39:Q44)</f>
        <v>0</v>
      </c>
      <c r="R52" s="1509">
        <f>SUM(R38,R45:R51)-SUM(R39:R44)</f>
        <v>0</v>
      </c>
      <c r="S52" s="1509">
        <f>SUM(S38,S45:S51)-SUM(S39:S44)</f>
        <v>0</v>
      </c>
      <c r="T52" s="1510">
        <f>SUM(T38,T45:T51)-SUM(T39:T44)</f>
        <v>0</v>
      </c>
    </row>
    <row r="53" spans="2:21">
      <c r="B53" s="1469">
        <f t="shared" si="0"/>
        <v>50</v>
      </c>
      <c r="C53" s="1470" t="s">
        <v>919</v>
      </c>
      <c r="D53" s="1469" t="str">
        <f t="shared" si="5"/>
        <v>是</v>
      </c>
      <c r="E53" s="1470" t="str">
        <f>构筑物!CO15</f>
        <v/>
      </c>
      <c r="F53" s="1471"/>
      <c r="G53" s="1471"/>
      <c r="H53" s="1469"/>
      <c r="I53" s="1469"/>
      <c r="J53" s="1469"/>
      <c r="K53" s="1469"/>
      <c r="L53" s="1472" t="str">
        <f>判断表!L67</f>
        <v>隐藏</v>
      </c>
      <c r="O53" s="1516" t="s">
        <v>455</v>
      </c>
      <c r="P53" s="1482">
        <f>利润表及费率!C22</f>
        <v>0</v>
      </c>
      <c r="Q53" s="1482">
        <f>利润表及费率!D22</f>
        <v>0</v>
      </c>
      <c r="R53" s="1482">
        <f>利润表及费率!E22</f>
        <v>0</v>
      </c>
      <c r="S53" s="1482">
        <f>利润表及费率!F22</f>
        <v>0</v>
      </c>
      <c r="T53" s="1501">
        <f>利润表及费率!G22</f>
        <v>0</v>
      </c>
    </row>
    <row r="54" spans="2:21">
      <c r="B54" s="1469">
        <f t="shared" si="0"/>
        <v>51</v>
      </c>
      <c r="C54" s="1470" t="s">
        <v>920</v>
      </c>
      <c r="D54" s="1469" t="str">
        <f t="shared" si="5"/>
        <v>是</v>
      </c>
      <c r="E54" s="1470" t="str">
        <f>沟槽!CO15</f>
        <v/>
      </c>
      <c r="F54" s="1471"/>
      <c r="G54" s="1471"/>
      <c r="H54" s="1469"/>
      <c r="I54" s="1469"/>
      <c r="J54" s="1469"/>
      <c r="K54" s="1469"/>
      <c r="L54" s="1472" t="str">
        <f>判断表!L68</f>
        <v>隐藏</v>
      </c>
      <c r="O54" s="1516" t="s">
        <v>456</v>
      </c>
      <c r="P54" s="1482">
        <f>利润表及费率!C23</f>
        <v>0</v>
      </c>
      <c r="Q54" s="1482">
        <f>利润表及费率!D23</f>
        <v>0</v>
      </c>
      <c r="R54" s="1482">
        <f>利润表及费率!E23</f>
        <v>0</v>
      </c>
      <c r="S54" s="1482">
        <f>利润表及费率!F23</f>
        <v>0</v>
      </c>
      <c r="T54" s="1501">
        <f>利润表及费率!G23</f>
        <v>0</v>
      </c>
    </row>
    <row r="55" spans="2:21">
      <c r="B55" s="1469">
        <f t="shared" si="0"/>
        <v>52</v>
      </c>
      <c r="C55" s="1470" t="s">
        <v>921</v>
      </c>
      <c r="D55" s="1469" t="str">
        <f t="shared" si="5"/>
        <v>是</v>
      </c>
      <c r="E55" s="1470" t="str">
        <f>机器!DK15</f>
        <v/>
      </c>
      <c r="F55" s="1471"/>
      <c r="G55" s="1471"/>
      <c r="H55" s="1469"/>
      <c r="I55" s="1469"/>
      <c r="J55" s="1469"/>
      <c r="K55" s="1469"/>
      <c r="L55" s="1472" t="str">
        <f>判断表!L71</f>
        <v>隐藏</v>
      </c>
      <c r="O55" s="1515" t="s">
        <v>922</v>
      </c>
      <c r="P55" s="1509">
        <f>SUM(P52:P53,-P54)</f>
        <v>0</v>
      </c>
      <c r="Q55" s="1509">
        <f>SUM(Q52:Q53,-Q54)</f>
        <v>0</v>
      </c>
      <c r="R55" s="1509">
        <f>SUM(R52:R53,-R54)</f>
        <v>0</v>
      </c>
      <c r="S55" s="1509">
        <f>SUM(S52:S53,-S54)</f>
        <v>0</v>
      </c>
      <c r="T55" s="1510">
        <f>SUM(T52:T53,-T54)</f>
        <v>0</v>
      </c>
    </row>
    <row r="56" spans="2:21">
      <c r="B56" s="1469">
        <f t="shared" si="0"/>
        <v>53</v>
      </c>
      <c r="C56" s="1470" t="s">
        <v>923</v>
      </c>
      <c r="D56" s="1469" t="str">
        <f t="shared" si="5"/>
        <v>是</v>
      </c>
      <c r="E56" s="1470" t="e">
        <f>车辆!#REF!</f>
        <v>#REF!</v>
      </c>
      <c r="F56" s="1471"/>
      <c r="G56" s="1471"/>
      <c r="H56" s="1469"/>
      <c r="I56" s="1469"/>
      <c r="J56" s="1469"/>
      <c r="K56" s="1469"/>
      <c r="L56" s="1472" t="str">
        <f>判断表!L72</f>
        <v>隐藏</v>
      </c>
      <c r="O56" s="1516" t="s">
        <v>458</v>
      </c>
      <c r="P56" s="1482">
        <f>利润表及费率!C25</f>
        <v>0</v>
      </c>
      <c r="Q56" s="1482">
        <f>利润表及费率!D25</f>
        <v>0</v>
      </c>
      <c r="R56" s="1482">
        <f>利润表及费率!E25</f>
        <v>0</v>
      </c>
      <c r="S56" s="1482">
        <f>利润表及费率!F25</f>
        <v>0</v>
      </c>
      <c r="T56" s="1501">
        <f>利润表及费率!G25</f>
        <v>0</v>
      </c>
    </row>
    <row r="57" ht="12.75" spans="2:21">
      <c r="B57" s="1469">
        <f t="shared" si="0"/>
        <v>54</v>
      </c>
      <c r="C57" s="1470" t="s">
        <v>924</v>
      </c>
      <c r="D57" s="1469" t="str">
        <f t="shared" si="5"/>
        <v>是</v>
      </c>
      <c r="E57" s="1470" t="str">
        <f>电子!CG15</f>
        <v/>
      </c>
      <c r="F57" s="1471"/>
      <c r="G57" s="1471"/>
      <c r="H57" s="1469"/>
      <c r="I57" s="1469"/>
      <c r="J57" s="1469"/>
      <c r="K57" s="1469"/>
      <c r="L57" s="1472" t="str">
        <f>判断表!L73</f>
        <v>隐藏</v>
      </c>
      <c r="O57" s="1521" t="s">
        <v>925</v>
      </c>
      <c r="P57" s="1512">
        <f>SUM(P55,-P56)</f>
        <v>0</v>
      </c>
      <c r="Q57" s="1512">
        <f>SUM(Q55,-Q56)</f>
        <v>0</v>
      </c>
      <c r="R57" s="1512">
        <f>SUM(R55,-R56)</f>
        <v>0</v>
      </c>
      <c r="S57" s="1512">
        <f>SUM(S55,-S56)</f>
        <v>0</v>
      </c>
      <c r="T57" s="1513">
        <f>SUM(T55,-T56)</f>
        <v>0</v>
      </c>
    </row>
    <row r="58" ht="12.75" spans="2:21">
      <c r="B58" s="1469">
        <f t="shared" si="0"/>
        <v>55</v>
      </c>
      <c r="C58" s="1470" t="s">
        <v>926</v>
      </c>
      <c r="D58" s="1469" t="str">
        <f t="shared" si="5"/>
        <v>是</v>
      </c>
      <c r="E58" s="1470" t="str">
        <f>在建总!BS5&amp;在建总!BT5</f>
        <v>在建工程为：</v>
      </c>
      <c r="F58" s="1471"/>
      <c r="G58" s="1471"/>
      <c r="H58" s="1469"/>
      <c r="I58" s="1469"/>
      <c r="J58" s="1469"/>
      <c r="K58" s="1469"/>
      <c r="L58" s="1472" t="str">
        <f>判断表!L76</f>
        <v>隐藏</v>
      </c>
      <c r="O58" s="1522"/>
      <c r="P58" s="1523"/>
      <c r="Q58" s="1523"/>
      <c r="R58" s="1523"/>
      <c r="S58" s="1523"/>
      <c r="T58" s="1523"/>
      <c r="U58" s="1523"/>
    </row>
    <row r="59" ht="12.75" spans="2:21">
      <c r="B59" s="1469">
        <f t="shared" si="0"/>
        <v>56</v>
      </c>
      <c r="C59" s="1470" t="s">
        <v>927</v>
      </c>
      <c r="D59" s="1469" t="str">
        <f t="shared" si="5"/>
        <v>是</v>
      </c>
      <c r="E59" s="1470" t="str">
        <f>无形资总!BS5&amp;无形资总!BT5</f>
        <v>无形资产为：</v>
      </c>
      <c r="F59" s="1471"/>
      <c r="G59" s="1471"/>
      <c r="H59" s="1469"/>
      <c r="I59" s="1469"/>
      <c r="J59" s="1469"/>
      <c r="K59" s="1469"/>
      <c r="L59" s="1472" t="str">
        <f>判断表!L86</f>
        <v>隐藏</v>
      </c>
      <c r="N59" s="1456" t="str">
        <f>C21</f>
        <v>审计信息统计表</v>
      </c>
    </row>
    <row r="60" ht="12.75" spans="2:21">
      <c r="B60" s="1469">
        <f t="shared" si="0"/>
        <v>57</v>
      </c>
      <c r="C60" s="1470" t="s">
        <v>928</v>
      </c>
      <c r="D60" s="1469" t="str">
        <f t="shared" si="5"/>
        <v>是</v>
      </c>
      <c r="E60" s="1524" t="e">
        <f ca="1">判断表!P87</f>
        <v>#REF!</v>
      </c>
      <c r="F60" s="1525"/>
      <c r="G60" s="1471"/>
      <c r="H60" s="1469"/>
      <c r="I60" s="1469"/>
      <c r="J60" s="1469"/>
      <c r="K60" s="1469"/>
      <c r="L60" s="1472" t="str">
        <f>判断表!L87</f>
        <v>隐藏</v>
      </c>
      <c r="O60" s="1526" t="s">
        <v>463</v>
      </c>
      <c r="P60" s="1527" t="str">
        <f>利润表及费率!B32&amp;""</f>
        <v>2020年度</v>
      </c>
      <c r="Q60" s="1527" t="str">
        <f>利润表及费率!C32&amp;""</f>
        <v>2021年度</v>
      </c>
      <c r="R60" s="1527" t="str">
        <f>利润表及费率!D32&amp;""</f>
        <v>2022年度</v>
      </c>
      <c r="S60" s="1527" t="str">
        <f>利润表及费率!E32&amp;""</f>
        <v>2023年度</v>
      </c>
      <c r="T60" s="1527" t="str">
        <f>利润表及费率!F32&amp;""</f>
        <v>2024年度</v>
      </c>
      <c r="U60" s="1528" t="str">
        <f>利润表及费率!G32&amp;""</f>
        <v>2025年1-7月</v>
      </c>
    </row>
    <row r="61" spans="2:21">
      <c r="B61" s="1469">
        <f t="shared" si="0"/>
        <v>58</v>
      </c>
      <c r="C61" s="1470" t="s">
        <v>929</v>
      </c>
      <c r="D61" s="1469" t="str">
        <f t="shared" ref="D61:D126" si="6">IF(L61="隐藏","是","否")</f>
        <v>否</v>
      </c>
      <c r="E61" s="1482" t="str">
        <f>TEXT('无形-土地'!L27,"#,##0.00")</f>
        <v>0.00</v>
      </c>
      <c r="F61" s="1483"/>
      <c r="G61" s="1471"/>
      <c r="H61" s="1469"/>
      <c r="I61" s="1469"/>
      <c r="J61" s="1469"/>
      <c r="K61" s="1469"/>
      <c r="L61" s="1472"/>
      <c r="O61" s="1529" t="s">
        <v>464</v>
      </c>
      <c r="P61" s="1530" t="str">
        <f>利润表及费率!B33&amp;""</f>
        <v/>
      </c>
      <c r="Q61" s="1530" t="str">
        <f>利润表及费率!C33&amp;""</f>
        <v/>
      </c>
      <c r="R61" s="1530" t="str">
        <f>利润表及费率!D33&amp;""</f>
        <v/>
      </c>
      <c r="S61" s="1530" t="str">
        <f>利润表及费率!E33&amp;""</f>
        <v/>
      </c>
      <c r="T61" s="1530" t="str">
        <f>利润表及费率!F33&amp;""</f>
        <v/>
      </c>
      <c r="U61" s="1531" t="str">
        <f>利润表及费率!G33&amp;""</f>
        <v>XXX会计师事务所</v>
      </c>
    </row>
    <row r="62" spans="2:21">
      <c r="B62" s="1469">
        <f t="shared" si="0"/>
        <v>59</v>
      </c>
      <c r="C62" s="1470" t="s">
        <v>930</v>
      </c>
      <c r="D62" s="1469" t="str">
        <f t="shared" si="6"/>
        <v>是</v>
      </c>
      <c r="E62" s="1524" t="e">
        <f ca="1">判断表!P88</f>
        <v>#REF!</v>
      </c>
      <c r="F62" s="1471"/>
      <c r="G62" s="1471"/>
      <c r="H62" s="1469"/>
      <c r="I62" s="1469"/>
      <c r="J62" s="1469"/>
      <c r="K62" s="1469"/>
      <c r="L62" s="1472" t="str">
        <f>判断表!L88</f>
        <v>隐藏</v>
      </c>
      <c r="O62" s="1529" t="s">
        <v>465</v>
      </c>
      <c r="P62" s="1530" t="str">
        <f>利润表及费率!B34&amp;""</f>
        <v/>
      </c>
      <c r="Q62" s="1530" t="str">
        <f>利润表及费率!C34&amp;""</f>
        <v/>
      </c>
      <c r="R62" s="1530" t="str">
        <f>利润表及费率!D34&amp;""</f>
        <v/>
      </c>
      <c r="S62" s="1530" t="str">
        <f>利润表及费率!E34&amp;""</f>
        <v/>
      </c>
      <c r="T62" s="1530" t="str">
        <f>利润表及费率!F34&amp;""</f>
        <v/>
      </c>
      <c r="U62" s="1531" t="str">
        <f>利润表及费率!G34&amp;""</f>
        <v>XXXX[2018]XXX号</v>
      </c>
    </row>
    <row r="63" ht="12.75" spans="2:21">
      <c r="B63" s="1532">
        <f t="shared" si="0"/>
        <v>60</v>
      </c>
      <c r="C63" s="1533" t="s">
        <v>931</v>
      </c>
      <c r="D63" s="1532" t="str">
        <f>D30</f>
        <v>否</v>
      </c>
      <c r="E63" s="1533"/>
      <c r="F63" s="1534"/>
      <c r="G63" s="1534"/>
      <c r="H63" s="1532"/>
      <c r="I63" s="1532"/>
      <c r="J63" s="1532"/>
      <c r="K63" s="1532"/>
      <c r="L63" s="1535"/>
      <c r="O63" s="1536" t="s">
        <v>466</v>
      </c>
      <c r="P63" s="1537" t="str">
        <f>利润表及费率!B35&amp;""</f>
        <v>标准无保留意见</v>
      </c>
      <c r="Q63" s="1537" t="str">
        <f>利润表及费率!C35&amp;""</f>
        <v>标准无保留意见</v>
      </c>
      <c r="R63" s="1537" t="str">
        <f>利润表及费率!D35&amp;""</f>
        <v>标准无保留意见</v>
      </c>
      <c r="S63" s="1537" t="str">
        <f>利润表及费率!E35&amp;""</f>
        <v>标准无保留意见</v>
      </c>
      <c r="T63" s="1537" t="str">
        <f>利润表及费率!F35&amp;""</f>
        <v>标准无保留意见</v>
      </c>
      <c r="U63" s="1538" t="str">
        <f>利润表及费率!G35&amp;""</f>
        <v>标准无保留意见</v>
      </c>
    </row>
    <row r="64" ht="12.75" spans="2:21">
      <c r="B64" s="1487">
        <f t="shared" si="0"/>
        <v>61</v>
      </c>
      <c r="C64" s="1488" t="s">
        <v>932</v>
      </c>
      <c r="D64" s="1487" t="str">
        <f t="shared" si="6"/>
        <v>否</v>
      </c>
      <c r="E64" s="1488"/>
      <c r="F64" s="1489" t="s">
        <v>863</v>
      </c>
      <c r="G64" s="1489" t="str">
        <f t="shared" si="3"/>
        <v>P114:P128</v>
      </c>
      <c r="H64" s="1489">
        <f>ROW(P114)</f>
        <v>114</v>
      </c>
      <c r="I64" s="1489">
        <f>COLUMN(P114)</f>
        <v>16</v>
      </c>
      <c r="J64" s="1489">
        <f>ROW(P128)</f>
        <v>128</v>
      </c>
      <c r="K64" s="1489">
        <f>COLUMN(P128)</f>
        <v>16</v>
      </c>
      <c r="L64" s="1490" t="str">
        <f>判断表!L5</f>
        <v>显示</v>
      </c>
    </row>
    <row r="65" ht="12.75" spans="2:16">
      <c r="B65" s="1504">
        <f t="shared" si="0"/>
        <v>62</v>
      </c>
      <c r="C65" s="1505" t="s">
        <v>933</v>
      </c>
      <c r="D65" s="1504" t="str">
        <f t="shared" si="6"/>
        <v>是</v>
      </c>
      <c r="E65" s="1505"/>
      <c r="F65" s="1506"/>
      <c r="G65" s="1506"/>
      <c r="H65" s="1504"/>
      <c r="I65" s="1504"/>
      <c r="J65" s="1504"/>
      <c r="K65" s="1504"/>
      <c r="L65" s="1507" t="str">
        <f>判断表!L6</f>
        <v>隐藏</v>
      </c>
      <c r="N65" s="1456" t="str">
        <f>C24</f>
        <v>资产评估申报汇总表</v>
      </c>
    </row>
    <row r="66" ht="12.75" spans="2:16">
      <c r="B66" s="1469">
        <f t="shared" si="0"/>
        <v>63</v>
      </c>
      <c r="C66" s="1470" t="s">
        <v>934</v>
      </c>
      <c r="D66" s="1469" t="str">
        <f>D$65</f>
        <v>是</v>
      </c>
      <c r="E66" s="1482" t="str">
        <f>TEXT(货币资金总!D28,"#,##0.00")</f>
        <v>0.00</v>
      </c>
      <c r="F66" s="1471"/>
      <c r="G66" s="1471"/>
      <c r="H66" s="1469"/>
      <c r="I66" s="1469"/>
      <c r="J66" s="1469"/>
      <c r="K66" s="1469"/>
      <c r="L66" s="1472"/>
      <c r="N66" s="1514" t="s">
        <v>521</v>
      </c>
      <c r="O66" s="1467" t="s">
        <v>836</v>
      </c>
      <c r="P66" s="1468" t="s">
        <v>837</v>
      </c>
    </row>
    <row r="67" spans="2:16">
      <c r="B67" s="1469">
        <f t="shared" si="0"/>
        <v>64</v>
      </c>
      <c r="C67" s="1470" t="s">
        <v>935</v>
      </c>
      <c r="D67" s="1469" t="str">
        <f>D$65</f>
        <v>是</v>
      </c>
      <c r="E67" s="1520" t="str">
        <f>货币资金总!BS5&amp;货币资金总!BT5</f>
        <v>货币资金为：</v>
      </c>
      <c r="F67" s="1471"/>
      <c r="G67" s="1471"/>
      <c r="H67" s="1469"/>
      <c r="I67" s="1469"/>
      <c r="J67" s="1469"/>
      <c r="K67" s="1469"/>
      <c r="L67" s="1472"/>
      <c r="N67" s="1539" t="s">
        <v>936</v>
      </c>
      <c r="O67" s="1540" t="s">
        <v>846</v>
      </c>
      <c r="P67" s="1480">
        <f t="shared" ref="P67:P75" si="7">P5</f>
        <v>3.56</v>
      </c>
    </row>
    <row r="68" spans="2:16">
      <c r="B68" s="1504">
        <f t="shared" si="0"/>
        <v>65</v>
      </c>
      <c r="C68" s="1505" t="s">
        <v>937</v>
      </c>
      <c r="D68" s="1504" t="str">
        <f t="shared" si="6"/>
        <v>是</v>
      </c>
      <c r="E68" s="1505"/>
      <c r="F68" s="1506"/>
      <c r="G68" s="1506"/>
      <c r="H68" s="1504"/>
      <c r="I68" s="1504"/>
      <c r="J68" s="1504"/>
      <c r="K68" s="1504"/>
      <c r="L68" s="1507" t="str">
        <f>判断表!L7</f>
        <v>隐藏</v>
      </c>
      <c r="N68" s="1539" t="s">
        <v>938</v>
      </c>
      <c r="O68" s="1540" t="s">
        <v>848</v>
      </c>
      <c r="P68" s="1480">
        <f t="shared" si="7"/>
        <v>0</v>
      </c>
    </row>
    <row r="69" spans="2:16">
      <c r="B69" s="1469">
        <f t="shared" si="0"/>
        <v>66</v>
      </c>
      <c r="C69" s="1470" t="s">
        <v>939</v>
      </c>
      <c r="D69" s="1469" t="str">
        <f>D$68</f>
        <v>是</v>
      </c>
      <c r="E69" s="1482" t="str">
        <f>TEXT(货币资金总!D7,"#,##0.00")</f>
        <v>0.00</v>
      </c>
      <c r="F69" s="1471"/>
      <c r="G69" s="1471"/>
      <c r="H69" s="1469"/>
      <c r="I69" s="1469"/>
      <c r="J69" s="1469"/>
      <c r="K69" s="1469"/>
      <c r="L69" s="1472"/>
      <c r="N69" s="1539">
        <v>1</v>
      </c>
      <c r="O69" s="1541" t="str">
        <f>O7</f>
        <v>长期股权投资</v>
      </c>
      <c r="P69" s="1480">
        <f t="shared" si="7"/>
        <v>0</v>
      </c>
    </row>
    <row r="70" spans="2:16">
      <c r="B70" s="1469">
        <f t="shared" si="0"/>
        <v>67</v>
      </c>
      <c r="C70" s="1470" t="s">
        <v>940</v>
      </c>
      <c r="D70" s="1469" t="str">
        <f>D$68</f>
        <v>是</v>
      </c>
      <c r="E70" s="1470" t="str">
        <f>现金!BS14</f>
        <v/>
      </c>
      <c r="F70" s="1471"/>
      <c r="G70" s="1471"/>
      <c r="H70" s="1469"/>
      <c r="I70" s="1469"/>
      <c r="J70" s="1469"/>
      <c r="K70" s="1469"/>
      <c r="L70" s="1472"/>
      <c r="N70" s="1539">
        <v>2</v>
      </c>
      <c r="O70" s="1541" t="str">
        <f t="shared" ref="O70:O75" si="8">O8</f>
        <v>投资性房地产</v>
      </c>
      <c r="P70" s="1480">
        <f t="shared" si="7"/>
        <v>0</v>
      </c>
    </row>
    <row r="71" spans="2:16">
      <c r="B71" s="1469">
        <f t="shared" si="0"/>
        <v>68</v>
      </c>
      <c r="C71" s="1470" t="s">
        <v>941</v>
      </c>
      <c r="D71" s="1469" t="str">
        <f>D$68</f>
        <v>是</v>
      </c>
      <c r="E71" s="1482" t="str">
        <f>TEXT(货币资金总!E7,"#,##0.00")</f>
        <v>0.00</v>
      </c>
      <c r="F71" s="1471"/>
      <c r="G71" s="1471"/>
      <c r="H71" s="1469"/>
      <c r="I71" s="1469"/>
      <c r="J71" s="1469"/>
      <c r="K71" s="1469"/>
      <c r="L71" s="1472"/>
      <c r="N71" s="1539">
        <v>3</v>
      </c>
      <c r="O71" s="1541" t="str">
        <f t="shared" si="8"/>
        <v>固定资产</v>
      </c>
      <c r="P71" s="1480">
        <f t="shared" si="7"/>
        <v>0</v>
      </c>
    </row>
    <row r="72" spans="2:16">
      <c r="B72" s="1504">
        <f t="shared" ref="B72:B133" si="9">B71+1</f>
        <v>69</v>
      </c>
      <c r="C72" s="1505" t="s">
        <v>942</v>
      </c>
      <c r="D72" s="1504" t="str">
        <f t="shared" si="6"/>
        <v>是</v>
      </c>
      <c r="E72" s="1505"/>
      <c r="F72" s="1506"/>
      <c r="G72" s="1506"/>
      <c r="H72" s="1504"/>
      <c r="I72" s="1504"/>
      <c r="J72" s="1504"/>
      <c r="K72" s="1504"/>
      <c r="L72" s="1507" t="str">
        <f>判断表!L8</f>
        <v>隐藏</v>
      </c>
      <c r="N72" s="1539">
        <v>4</v>
      </c>
      <c r="O72" s="1541" t="str">
        <f t="shared" si="8"/>
        <v>在建工程</v>
      </c>
      <c r="P72" s="1480">
        <f t="shared" si="7"/>
        <v>0</v>
      </c>
    </row>
    <row r="73" spans="2:16">
      <c r="B73" s="1469">
        <f t="shared" si="9"/>
        <v>70</v>
      </c>
      <c r="C73" s="1470" t="s">
        <v>943</v>
      </c>
      <c r="D73" s="1469" t="str">
        <f>D$72</f>
        <v>是</v>
      </c>
      <c r="E73" s="1482" t="str">
        <f>TEXT(货币资金总!D8,"#,##0.00")</f>
        <v>0.00</v>
      </c>
      <c r="F73" s="1471"/>
      <c r="G73" s="1471"/>
      <c r="H73" s="1469"/>
      <c r="I73" s="1469"/>
      <c r="J73" s="1469"/>
      <c r="K73" s="1469"/>
      <c r="L73" s="1472"/>
      <c r="N73" s="1539">
        <v>5</v>
      </c>
      <c r="O73" s="1541" t="str">
        <f t="shared" si="8"/>
        <v>无形资产</v>
      </c>
      <c r="P73" s="1480">
        <f t="shared" si="7"/>
        <v>0</v>
      </c>
    </row>
    <row r="74" spans="2:16">
      <c r="B74" s="1469">
        <f t="shared" si="9"/>
        <v>71</v>
      </c>
      <c r="C74" s="1470" t="s">
        <v>944</v>
      </c>
      <c r="D74" s="1469" t="str">
        <f>D$72</f>
        <v>是</v>
      </c>
      <c r="E74" s="1470" t="str">
        <f>银行存款!BW14</f>
        <v/>
      </c>
      <c r="F74" s="1471"/>
      <c r="G74" s="1471"/>
      <c r="H74" s="1469"/>
      <c r="I74" s="1469"/>
      <c r="J74" s="1469"/>
      <c r="K74" s="1469"/>
      <c r="L74" s="1472"/>
      <c r="N74" s="1539">
        <v>6</v>
      </c>
      <c r="O74" s="1541" t="str">
        <f t="shared" si="8"/>
        <v>其中：土地使用权</v>
      </c>
      <c r="P74" s="1480">
        <f t="shared" si="7"/>
        <v>0</v>
      </c>
    </row>
    <row r="75" spans="2:16">
      <c r="B75" s="1469">
        <f t="shared" si="9"/>
        <v>72</v>
      </c>
      <c r="C75" s="1470" t="s">
        <v>945</v>
      </c>
      <c r="D75" s="1469" t="str">
        <f>D$72</f>
        <v>是</v>
      </c>
      <c r="E75" s="1482" t="str">
        <f>TEXT(货币资金总!E8,"#,##0.00")</f>
        <v>0.00</v>
      </c>
      <c r="F75" s="1471"/>
      <c r="G75" s="1471"/>
      <c r="H75" s="1469"/>
      <c r="I75" s="1469"/>
      <c r="J75" s="1469"/>
      <c r="K75" s="1469"/>
      <c r="L75" s="1472"/>
      <c r="N75" s="1539">
        <v>7</v>
      </c>
      <c r="O75" s="1541" t="str">
        <f t="shared" si="8"/>
        <v>其他非流动资产</v>
      </c>
      <c r="P75" s="1480">
        <f t="shared" si="7"/>
        <v>0</v>
      </c>
    </row>
    <row r="76" spans="2:16">
      <c r="B76" s="1504">
        <f t="shared" si="9"/>
        <v>73</v>
      </c>
      <c r="C76" s="1505" t="s">
        <v>946</v>
      </c>
      <c r="D76" s="1504" t="str">
        <f t="shared" si="6"/>
        <v>是</v>
      </c>
      <c r="E76" s="1505"/>
      <c r="F76" s="1506"/>
      <c r="G76" s="1506"/>
      <c r="H76" s="1504"/>
      <c r="I76" s="1504"/>
      <c r="J76" s="1504"/>
      <c r="K76" s="1504"/>
      <c r="L76" s="1507" t="str">
        <f>判断表!L9</f>
        <v>隐藏</v>
      </c>
      <c r="N76" s="1542" t="s">
        <v>947</v>
      </c>
      <c r="O76" s="1543" t="s">
        <v>859</v>
      </c>
      <c r="P76" s="1486">
        <f>SUM(P67:P68)</f>
        <v>3.56</v>
      </c>
    </row>
    <row r="77" spans="2:16">
      <c r="B77" s="1469">
        <f t="shared" si="9"/>
        <v>74</v>
      </c>
      <c r="C77" s="1470" t="s">
        <v>948</v>
      </c>
      <c r="D77" s="1469" t="str">
        <f>D$76</f>
        <v>是</v>
      </c>
      <c r="E77" s="1482" t="str">
        <f>TEXT(货币资金总!D9,"#,##0.00")</f>
        <v>0.00</v>
      </c>
      <c r="F77" s="1471"/>
      <c r="G77" s="1471"/>
      <c r="H77" s="1469"/>
      <c r="I77" s="1469"/>
      <c r="J77" s="1469"/>
      <c r="K77" s="1469"/>
      <c r="L77" s="1472"/>
      <c r="N77" s="1539" t="s">
        <v>949</v>
      </c>
      <c r="O77" s="1540" t="s">
        <v>861</v>
      </c>
      <c r="P77" s="1480">
        <f t="shared" ref="P77:P78" si="10">P15</f>
        <v>0</v>
      </c>
    </row>
    <row r="78" spans="2:16">
      <c r="B78" s="1469">
        <f t="shared" si="9"/>
        <v>75</v>
      </c>
      <c r="C78" s="1470" t="s">
        <v>950</v>
      </c>
      <c r="D78" s="1469" t="str">
        <f>D$76</f>
        <v>是</v>
      </c>
      <c r="E78" s="1470" t="str">
        <f>其他货币!BX14</f>
        <v/>
      </c>
      <c r="F78" s="1471"/>
      <c r="G78" s="1471"/>
      <c r="H78" s="1469"/>
      <c r="I78" s="1469"/>
      <c r="J78" s="1469"/>
      <c r="K78" s="1469"/>
      <c r="L78" s="1472"/>
      <c r="N78" s="1539" t="s">
        <v>951</v>
      </c>
      <c r="O78" s="1540" t="s">
        <v>864</v>
      </c>
      <c r="P78" s="1480">
        <f t="shared" si="10"/>
        <v>0</v>
      </c>
    </row>
    <row r="79" spans="2:16">
      <c r="B79" s="1469">
        <f t="shared" si="9"/>
        <v>76</v>
      </c>
      <c r="C79" s="1470" t="s">
        <v>952</v>
      </c>
      <c r="D79" s="1469" t="str">
        <f>D$76</f>
        <v>是</v>
      </c>
      <c r="E79" s="1482" t="str">
        <f>TEXT(货币资金总!E9,"#,##0.00")</f>
        <v>0.00</v>
      </c>
      <c r="F79" s="1471"/>
      <c r="G79" s="1471"/>
      <c r="H79" s="1469"/>
      <c r="I79" s="1469"/>
      <c r="J79" s="1469"/>
      <c r="K79" s="1469"/>
      <c r="L79" s="1472"/>
      <c r="N79" s="1542" t="s">
        <v>953</v>
      </c>
      <c r="O79" s="1543" t="s">
        <v>866</v>
      </c>
      <c r="P79" s="1486">
        <f>SUM(P77:P78)</f>
        <v>0</v>
      </c>
    </row>
    <row r="80" ht="12.75" spans="2:16">
      <c r="B80" s="1469">
        <f t="shared" si="9"/>
        <v>77</v>
      </c>
      <c r="C80" s="1470" t="s">
        <v>954</v>
      </c>
      <c r="D80" s="1469" t="str">
        <f>D$65</f>
        <v>是</v>
      </c>
      <c r="E80" s="1482" t="str">
        <f>TEXT(货币资金总!E28,"#,##0.00")</f>
        <v>0.00</v>
      </c>
      <c r="F80" s="1471"/>
      <c r="G80" s="1471"/>
      <c r="H80" s="1469"/>
      <c r="I80" s="1469"/>
      <c r="J80" s="1469"/>
      <c r="K80" s="1469"/>
      <c r="L80" s="1472"/>
      <c r="N80" s="1544" t="s">
        <v>955</v>
      </c>
      <c r="O80" s="1545" t="s">
        <v>868</v>
      </c>
      <c r="P80" s="1493">
        <f>P76-P79</f>
        <v>3.56</v>
      </c>
    </row>
    <row r="81" ht="12.75" spans="2:19">
      <c r="B81" s="1469">
        <f t="shared" si="9"/>
        <v>78</v>
      </c>
      <c r="C81" s="1470" t="s">
        <v>956</v>
      </c>
      <c r="D81" s="1469" t="str">
        <f>D$65</f>
        <v>是</v>
      </c>
      <c r="E81" s="1470" t="str">
        <f>分类汇总!BV8</f>
        <v>无增减值</v>
      </c>
      <c r="F81" s="1471"/>
      <c r="G81" s="1471"/>
      <c r="H81" s="1469"/>
      <c r="I81" s="1469"/>
      <c r="J81" s="1469"/>
      <c r="K81" s="1469"/>
      <c r="L81" s="1472"/>
    </row>
    <row r="82" ht="12.75" spans="2:19">
      <c r="B82" s="1469">
        <f t="shared" si="9"/>
        <v>79</v>
      </c>
      <c r="C82" s="1470" t="s">
        <v>957</v>
      </c>
      <c r="D82" s="1469" t="str">
        <f>IF(L82="隐藏隐藏","是","否")</f>
        <v>是</v>
      </c>
      <c r="E82" s="1470" t="str">
        <f>IF(判断表!L10="隐藏","交易性金融资产","以公允价值计量且其变动计入当期损益的金融资产")</f>
        <v>交易性金融资产</v>
      </c>
      <c r="F82" s="1471"/>
      <c r="G82" s="1471"/>
      <c r="H82" s="1469"/>
      <c r="I82" s="1469"/>
      <c r="J82" s="1469"/>
      <c r="K82" s="1469"/>
      <c r="L82" s="1472" t="str">
        <f>判断表!L10&amp;判断表!L14</f>
        <v>隐藏隐藏</v>
      </c>
      <c r="N82" s="1456" t="str">
        <f>C43</f>
        <v>基础法评估结果表</v>
      </c>
    </row>
    <row r="83" ht="12.75" spans="2:19">
      <c r="B83" s="1504">
        <f t="shared" si="9"/>
        <v>80</v>
      </c>
      <c r="C83" s="1505" t="s">
        <v>958</v>
      </c>
      <c r="D83" s="1504" t="str">
        <f>D$82</f>
        <v>是</v>
      </c>
      <c r="E83" s="1505"/>
      <c r="F83" s="1506"/>
      <c r="G83" s="1506"/>
      <c r="H83" s="1504"/>
      <c r="I83" s="1504"/>
      <c r="J83" s="1504"/>
      <c r="K83" s="1504"/>
      <c r="L83" s="1507"/>
      <c r="O83" s="1466" t="s">
        <v>836</v>
      </c>
      <c r="P83" s="1467" t="s">
        <v>837</v>
      </c>
      <c r="Q83" s="1467" t="s">
        <v>526</v>
      </c>
      <c r="R83" s="1467" t="s">
        <v>838</v>
      </c>
      <c r="S83" s="1468" t="s">
        <v>839</v>
      </c>
    </row>
    <row r="84" spans="2:19">
      <c r="B84" s="1469">
        <f t="shared" si="9"/>
        <v>81</v>
      </c>
      <c r="C84" s="1470" t="s">
        <v>959</v>
      </c>
      <c r="D84" s="1469" t="str">
        <f>D$82</f>
        <v>是</v>
      </c>
      <c r="E84" s="1482" t="str">
        <f>TEXT(SUM(流动资总!D8:D9),"#,##0.00")</f>
        <v>0.00</v>
      </c>
      <c r="F84" s="1471"/>
      <c r="G84" s="1471"/>
      <c r="H84" s="1469"/>
      <c r="I84" s="1469"/>
      <c r="J84" s="1469"/>
      <c r="K84" s="1469"/>
      <c r="L84" s="1472"/>
      <c r="O84" s="1473"/>
      <c r="P84" s="1474" t="s">
        <v>842</v>
      </c>
      <c r="Q84" s="1474" t="s">
        <v>580</v>
      </c>
      <c r="R84" s="1474" t="s">
        <v>843</v>
      </c>
      <c r="S84" s="1475" t="s">
        <v>844</v>
      </c>
    </row>
    <row r="85" spans="2:19">
      <c r="B85" s="1469">
        <f t="shared" si="9"/>
        <v>82</v>
      </c>
      <c r="C85" s="1470" t="s">
        <v>960</v>
      </c>
      <c r="D85" s="1469" t="str">
        <f>D$82</f>
        <v>是</v>
      </c>
      <c r="E85" s="1470" t="str">
        <f>IF(判断表!L10="隐藏",交易性金资总!BS5&amp;交易性金资总!BT5,公允计量金资总!BS5&amp;公允计量金资总!BT5)</f>
        <v>交易性金融资产为：</v>
      </c>
      <c r="F85" s="1471"/>
      <c r="G85" s="1471"/>
      <c r="H85" s="1469"/>
      <c r="I85" s="1469"/>
      <c r="J85" s="1469"/>
      <c r="K85" s="1469"/>
      <c r="L85" s="1472"/>
      <c r="O85" s="1478" t="str">
        <f>O5</f>
        <v>流动资产</v>
      </c>
      <c r="P85" s="1479">
        <f>'汇总-基础'!C7</f>
        <v>3.56</v>
      </c>
      <c r="Q85" s="1479">
        <f>'汇总-基础'!D7</f>
        <v>283.71</v>
      </c>
      <c r="R85" s="1479">
        <f>IFERROR(Q85-P85,"")</f>
        <v>280.15</v>
      </c>
      <c r="S85" s="1480">
        <f>IFERROR(R85/ABS(P85)*100,"")</f>
        <v>7869.38202247191</v>
      </c>
    </row>
    <row r="86" spans="2:19">
      <c r="B86" s="1469">
        <f t="shared" si="9"/>
        <v>83</v>
      </c>
      <c r="C86" s="1470" t="s">
        <v>961</v>
      </c>
      <c r="D86" s="1469" t="str">
        <f>D$82</f>
        <v>是</v>
      </c>
      <c r="E86" s="1482" t="str">
        <f>TEXT(SUM(流动资总!E8:E9),"#,##0.00")</f>
        <v>0.00</v>
      </c>
      <c r="F86" s="1471"/>
      <c r="G86" s="1471"/>
      <c r="H86" s="1469"/>
      <c r="I86" s="1469"/>
      <c r="J86" s="1469"/>
      <c r="K86" s="1469"/>
      <c r="L86" s="1472"/>
      <c r="O86" s="1478" t="str">
        <f t="shared" ref="O86:O98" si="11">O6</f>
        <v>非流动资产</v>
      </c>
      <c r="P86" s="1479">
        <f>'汇总-基础'!C8</f>
        <v>0</v>
      </c>
      <c r="Q86" s="1479">
        <f>'汇总-基础'!D8</f>
        <v>0</v>
      </c>
      <c r="R86" s="1479">
        <f t="shared" ref="R86:R98" si="12">IFERROR(Q86-P86,"")</f>
        <v>0</v>
      </c>
      <c r="S86" s="1480" t="str">
        <f t="shared" ref="S86:S98" si="13">IFERROR(R86/ABS(P86)*100,"")</f>
        <v/>
      </c>
    </row>
    <row r="87" spans="2:19">
      <c r="B87" s="1469">
        <f t="shared" si="9"/>
        <v>84</v>
      </c>
      <c r="C87" s="1470" t="s">
        <v>962</v>
      </c>
      <c r="D87" s="1469" t="str">
        <f>D$82</f>
        <v>是</v>
      </c>
      <c r="E87" s="1520" t="str">
        <f>IF(判断表!L10="隐藏",分类汇总!BV10,分类汇总!BV9)</f>
        <v>无增减值</v>
      </c>
      <c r="F87" s="1471"/>
      <c r="G87" s="1471"/>
      <c r="H87" s="1469"/>
      <c r="I87" s="1469"/>
      <c r="J87" s="1469"/>
      <c r="K87" s="1469"/>
      <c r="L87" s="1472"/>
      <c r="O87" s="1481" t="str">
        <f t="shared" si="11"/>
        <v>长期股权投资</v>
      </c>
      <c r="P87" s="1479">
        <f>'汇总-基础'!C9</f>
        <v>0</v>
      </c>
      <c r="Q87" s="1479">
        <f>'汇总-基础'!D9</f>
        <v>0</v>
      </c>
      <c r="R87" s="1479">
        <f t="shared" si="12"/>
        <v>0</v>
      </c>
      <c r="S87" s="1480" t="str">
        <f t="shared" si="13"/>
        <v/>
      </c>
    </row>
    <row r="88" spans="2:19">
      <c r="B88" s="1504">
        <f t="shared" si="9"/>
        <v>85</v>
      </c>
      <c r="C88" s="1505" t="s">
        <v>963</v>
      </c>
      <c r="D88" s="1504" t="str">
        <f t="shared" si="6"/>
        <v>是</v>
      </c>
      <c r="E88" s="1505"/>
      <c r="F88" s="1506"/>
      <c r="G88" s="1506"/>
      <c r="H88" s="1504"/>
      <c r="I88" s="1504"/>
      <c r="J88" s="1504"/>
      <c r="K88" s="1504"/>
      <c r="L88" s="1507" t="str">
        <f>判断表!L18</f>
        <v>隐藏</v>
      </c>
      <c r="O88" s="1481" t="str">
        <f t="shared" si="11"/>
        <v>投资性房地产</v>
      </c>
      <c r="P88" s="1479">
        <f>'汇总-基础'!C10</f>
        <v>0</v>
      </c>
      <c r="Q88" s="1479">
        <f>'汇总-基础'!D10</f>
        <v>0</v>
      </c>
      <c r="R88" s="1479">
        <f t="shared" si="12"/>
        <v>0</v>
      </c>
      <c r="S88" s="1480" t="str">
        <f t="shared" si="13"/>
        <v/>
      </c>
    </row>
    <row r="89" spans="2:19">
      <c r="B89" s="1469">
        <f t="shared" si="9"/>
        <v>86</v>
      </c>
      <c r="C89" s="1470" t="s">
        <v>964</v>
      </c>
      <c r="D89" s="1469" t="str">
        <f>D$88</f>
        <v>是</v>
      </c>
      <c r="E89" s="1482" t="str">
        <f>TEXT(流动资总!D10,"#,##0.00")</f>
        <v>0.00</v>
      </c>
      <c r="F89" s="1471"/>
      <c r="G89" s="1471"/>
      <c r="H89" s="1469"/>
      <c r="I89" s="1469"/>
      <c r="J89" s="1469"/>
      <c r="K89" s="1469"/>
      <c r="L89" s="1472"/>
      <c r="O89" s="1481" t="str">
        <f t="shared" si="11"/>
        <v>固定资产</v>
      </c>
      <c r="P89" s="1479">
        <f>'汇总-基础'!C11</f>
        <v>0</v>
      </c>
      <c r="Q89" s="1479">
        <f>'汇总-基础'!D11</f>
        <v>0</v>
      </c>
      <c r="R89" s="1479">
        <f t="shared" si="12"/>
        <v>0</v>
      </c>
      <c r="S89" s="1480" t="str">
        <f t="shared" si="13"/>
        <v/>
      </c>
    </row>
    <row r="90" spans="2:19">
      <c r="B90" s="1469">
        <f t="shared" si="9"/>
        <v>87</v>
      </c>
      <c r="C90" s="1470" t="s">
        <v>965</v>
      </c>
      <c r="D90" s="1469" t="str">
        <f>D$88</f>
        <v>是</v>
      </c>
      <c r="E90" s="1520" t="str">
        <f>衍生金资!BX14</f>
        <v/>
      </c>
      <c r="F90" s="1471"/>
      <c r="G90" s="1471"/>
      <c r="H90" s="1469"/>
      <c r="I90" s="1469"/>
      <c r="J90" s="1469"/>
      <c r="K90" s="1469"/>
      <c r="L90" s="1472"/>
      <c r="O90" s="1481" t="str">
        <f t="shared" si="11"/>
        <v>在建工程</v>
      </c>
      <c r="P90" s="1479">
        <f>'汇总-基础'!C12</f>
        <v>0</v>
      </c>
      <c r="Q90" s="1479">
        <f>'汇总-基础'!D12</f>
        <v>0</v>
      </c>
      <c r="R90" s="1479">
        <f t="shared" si="12"/>
        <v>0</v>
      </c>
      <c r="S90" s="1480" t="str">
        <f t="shared" si="13"/>
        <v/>
      </c>
    </row>
    <row r="91" customHeight="1" spans="2:19">
      <c r="B91" s="1469">
        <f t="shared" si="9"/>
        <v>88</v>
      </c>
      <c r="C91" s="1470" t="s">
        <v>966</v>
      </c>
      <c r="D91" s="1469" t="str">
        <f>D$88</f>
        <v>是</v>
      </c>
      <c r="E91" s="1482" t="str">
        <f>TEXT(流动资总!E10,"#,##0.00")</f>
        <v>0.00</v>
      </c>
      <c r="F91" s="1471"/>
      <c r="G91" s="1471"/>
      <c r="H91" s="1469"/>
      <c r="I91" s="1469"/>
      <c r="J91" s="1469"/>
      <c r="K91" s="1469"/>
      <c r="L91" s="1472"/>
      <c r="O91" s="1481" t="str">
        <f t="shared" si="11"/>
        <v>无形资产</v>
      </c>
      <c r="P91" s="1479">
        <f>'汇总-基础'!C13</f>
        <v>0</v>
      </c>
      <c r="Q91" s="1479">
        <f>'汇总-基础'!D13</f>
        <v>0</v>
      </c>
      <c r="R91" s="1479">
        <f t="shared" si="12"/>
        <v>0</v>
      </c>
      <c r="S91" s="1480" t="str">
        <f t="shared" si="13"/>
        <v/>
      </c>
    </row>
    <row r="92" customHeight="1" spans="2:19">
      <c r="B92" s="1469">
        <f t="shared" si="9"/>
        <v>89</v>
      </c>
      <c r="C92" s="1470" t="s">
        <v>967</v>
      </c>
      <c r="D92" s="1469" t="str">
        <f>D$88</f>
        <v>是</v>
      </c>
      <c r="E92" s="1520" t="str">
        <f>分类汇总!BV11</f>
        <v>无增减值</v>
      </c>
      <c r="F92" s="1471"/>
      <c r="G92" s="1471"/>
      <c r="H92" s="1469"/>
      <c r="I92" s="1469"/>
      <c r="J92" s="1469"/>
      <c r="K92" s="1469"/>
      <c r="L92" s="1472"/>
      <c r="O92" s="1481" t="str">
        <f t="shared" si="11"/>
        <v>其中：土地使用权</v>
      </c>
      <c r="P92" s="1479">
        <f>'汇总-基础'!C14</f>
        <v>0</v>
      </c>
      <c r="Q92" s="1479">
        <f>'汇总-基础'!D14</f>
        <v>0</v>
      </c>
      <c r="R92" s="1479">
        <f t="shared" si="12"/>
        <v>0</v>
      </c>
      <c r="S92" s="1480" t="str">
        <f t="shared" si="13"/>
        <v/>
      </c>
    </row>
    <row r="93" customHeight="1" spans="2:19">
      <c r="B93" s="1504">
        <f t="shared" si="9"/>
        <v>90</v>
      </c>
      <c r="C93" s="1505" t="s">
        <v>968</v>
      </c>
      <c r="D93" s="1504" t="str">
        <f t="shared" si="6"/>
        <v>是</v>
      </c>
      <c r="E93" s="1505"/>
      <c r="F93" s="1506"/>
      <c r="G93" s="1506"/>
      <c r="H93" s="1504"/>
      <c r="I93" s="1504"/>
      <c r="J93" s="1504"/>
      <c r="K93" s="1504"/>
      <c r="L93" s="1507" t="str">
        <f>判断表!L19</f>
        <v>隐藏</v>
      </c>
      <c r="O93" s="1481" t="str">
        <f t="shared" si="11"/>
        <v>其他非流动资产</v>
      </c>
      <c r="P93" s="1479">
        <f>'汇总-基础'!C15</f>
        <v>0</v>
      </c>
      <c r="Q93" s="1479">
        <f>'汇总-基础'!D15</f>
        <v>0</v>
      </c>
      <c r="R93" s="1479">
        <f t="shared" si="12"/>
        <v>0</v>
      </c>
      <c r="S93" s="1480" t="str">
        <f t="shared" si="13"/>
        <v/>
      </c>
    </row>
    <row r="94" spans="2:19">
      <c r="B94" s="1469">
        <f t="shared" si="9"/>
        <v>91</v>
      </c>
      <c r="C94" s="1470" t="s">
        <v>969</v>
      </c>
      <c r="D94" s="1469" t="str">
        <f t="shared" ref="D94:D99" si="14">D$93</f>
        <v>是</v>
      </c>
      <c r="E94" s="1482" t="str">
        <f>TEXT(流动资总!BA11,"#,##0.00")</f>
        <v>0.00</v>
      </c>
      <c r="F94" s="1471"/>
      <c r="G94" s="1471"/>
      <c r="H94" s="1469"/>
      <c r="I94" s="1469"/>
      <c r="J94" s="1469"/>
      <c r="K94" s="1469"/>
      <c r="L94" s="1472"/>
      <c r="O94" s="1484" t="str">
        <f t="shared" si="11"/>
        <v>资产总计</v>
      </c>
      <c r="P94" s="1485">
        <f>SUM(P85:P86)</f>
        <v>3.56</v>
      </c>
      <c r="Q94" s="1485">
        <f>SUM(Q85:Q86)</f>
        <v>283.71</v>
      </c>
      <c r="R94" s="1485">
        <f t="shared" si="12"/>
        <v>280.15</v>
      </c>
      <c r="S94" s="1486">
        <f t="shared" si="13"/>
        <v>7869.38202247191</v>
      </c>
    </row>
    <row r="95" spans="2:19">
      <c r="B95" s="1469">
        <f t="shared" si="9"/>
        <v>92</v>
      </c>
      <c r="C95" s="1470" t="s">
        <v>970</v>
      </c>
      <c r="D95" s="1469" t="str">
        <f t="shared" si="14"/>
        <v>是</v>
      </c>
      <c r="E95" s="1520" t="str">
        <f>IF(E94-E96=0,"未计提坏账准备","计提坏账准备"&amp;TEXT(E94-E96,"#,##0.00")&amp;"万元")</f>
        <v>未计提坏账准备</v>
      </c>
      <c r="F95" s="1471"/>
      <c r="G95" s="1471"/>
      <c r="H95" s="1469"/>
      <c r="I95" s="1469"/>
      <c r="J95" s="1469"/>
      <c r="K95" s="1469"/>
      <c r="L95" s="1472"/>
      <c r="O95" s="1478" t="str">
        <f t="shared" si="11"/>
        <v>流动负债</v>
      </c>
      <c r="P95" s="1479">
        <f>'汇总-基础'!C17</f>
        <v>0</v>
      </c>
      <c r="Q95" s="1479">
        <f>'汇总-基础'!D17</f>
        <v>0</v>
      </c>
      <c r="R95" s="1479">
        <f t="shared" si="12"/>
        <v>0</v>
      </c>
      <c r="S95" s="1480" t="str">
        <f t="shared" si="13"/>
        <v/>
      </c>
    </row>
    <row r="96" spans="2:19">
      <c r="B96" s="1469">
        <f t="shared" si="9"/>
        <v>93</v>
      </c>
      <c r="C96" s="1470" t="s">
        <v>971</v>
      </c>
      <c r="D96" s="1469" t="str">
        <f t="shared" si="14"/>
        <v>是</v>
      </c>
      <c r="E96" s="1482" t="str">
        <f>TEXT(流动资总!D11,"#,##0.00")</f>
        <v>0.00</v>
      </c>
      <c r="F96" s="1471"/>
      <c r="G96" s="1471"/>
      <c r="H96" s="1469"/>
      <c r="I96" s="1469"/>
      <c r="J96" s="1469"/>
      <c r="K96" s="1469"/>
      <c r="L96" s="1472"/>
      <c r="O96" s="1478" t="str">
        <f t="shared" si="11"/>
        <v>非流动负债</v>
      </c>
      <c r="P96" s="1479">
        <f>'汇总-基础'!C18</f>
        <v>0</v>
      </c>
      <c r="Q96" s="1479">
        <f>'汇总-基础'!D18</f>
        <v>0</v>
      </c>
      <c r="R96" s="1479">
        <f t="shared" si="12"/>
        <v>0</v>
      </c>
      <c r="S96" s="1480" t="str">
        <f t="shared" si="13"/>
        <v/>
      </c>
    </row>
    <row r="97" spans="2:23">
      <c r="B97" s="1469">
        <f t="shared" si="9"/>
        <v>94</v>
      </c>
      <c r="C97" s="1470" t="s">
        <v>972</v>
      </c>
      <c r="D97" s="1469" t="str">
        <f t="shared" si="14"/>
        <v>是</v>
      </c>
      <c r="E97" s="1520" t="str">
        <f>应收票据!BV14</f>
        <v>无息</v>
      </c>
      <c r="F97" s="1471"/>
      <c r="G97" s="1471"/>
      <c r="H97" s="1469"/>
      <c r="I97" s="1469"/>
      <c r="J97" s="1469"/>
      <c r="K97" s="1469"/>
      <c r="L97" s="1472"/>
      <c r="O97" s="1484" t="str">
        <f t="shared" si="11"/>
        <v>负债总计</v>
      </c>
      <c r="P97" s="1485">
        <f>SUM(P95:P96)</f>
        <v>0</v>
      </c>
      <c r="Q97" s="1485">
        <f>SUM(Q95:Q96)</f>
        <v>0</v>
      </c>
      <c r="R97" s="1485">
        <f t="shared" si="12"/>
        <v>0</v>
      </c>
      <c r="S97" s="1486" t="str">
        <f t="shared" si="13"/>
        <v/>
      </c>
    </row>
    <row r="98" ht="12.75" spans="2:23">
      <c r="B98" s="1469">
        <f t="shared" si="9"/>
        <v>95</v>
      </c>
      <c r="C98" s="1470" t="s">
        <v>973</v>
      </c>
      <c r="D98" s="1469" t="str">
        <f t="shared" si="14"/>
        <v>是</v>
      </c>
      <c r="E98" s="1482" t="str">
        <f>TEXT(流动资总!E11,"#,##0.00")</f>
        <v>0.00</v>
      </c>
      <c r="F98" s="1471"/>
      <c r="G98" s="1471"/>
      <c r="H98" s="1469"/>
      <c r="I98" s="1469"/>
      <c r="J98" s="1469"/>
      <c r="K98" s="1469"/>
      <c r="L98" s="1472"/>
      <c r="O98" s="1491" t="str">
        <f t="shared" si="11"/>
        <v>净资产(所有者权益)</v>
      </c>
      <c r="P98" s="1492">
        <f>P94-P97</f>
        <v>3.56</v>
      </c>
      <c r="Q98" s="1492">
        <f>Q94-Q97</f>
        <v>283.71</v>
      </c>
      <c r="R98" s="1492">
        <f t="shared" si="12"/>
        <v>280.15</v>
      </c>
      <c r="S98" s="1493">
        <f t="shared" si="13"/>
        <v>7869.38202247191</v>
      </c>
    </row>
    <row r="99" ht="12.75" spans="2:23">
      <c r="B99" s="1469">
        <f t="shared" si="9"/>
        <v>96</v>
      </c>
      <c r="C99" s="1470" t="s">
        <v>974</v>
      </c>
      <c r="D99" s="1469" t="str">
        <f t="shared" si="14"/>
        <v>是</v>
      </c>
      <c r="E99" s="1520" t="str">
        <f>分类汇总!BV12</f>
        <v>无增减值</v>
      </c>
      <c r="F99" s="1471"/>
      <c r="G99" s="1471"/>
      <c r="H99" s="1469"/>
      <c r="I99" s="1469"/>
      <c r="J99" s="1469"/>
      <c r="K99" s="1469"/>
      <c r="L99" s="1472"/>
    </row>
    <row r="100" ht="12.75" spans="2:23">
      <c r="B100" s="1504">
        <f t="shared" si="9"/>
        <v>97</v>
      </c>
      <c r="C100" s="1505" t="s">
        <v>975</v>
      </c>
      <c r="D100" s="1504" t="str">
        <f>IF(L100="隐藏隐藏隐藏","是","否")</f>
        <v>是</v>
      </c>
      <c r="E100" s="1505"/>
      <c r="F100" s="1506"/>
      <c r="G100" s="1506"/>
      <c r="H100" s="1504"/>
      <c r="I100" s="1504"/>
      <c r="J100" s="1504"/>
      <c r="K100" s="1504"/>
      <c r="L100" s="1507" t="str">
        <f>判断表!L20&amp;判断表!L24&amp;判断表!L25</f>
        <v>隐藏隐藏隐藏</v>
      </c>
      <c r="N100" s="1456" t="str">
        <f>C49</f>
        <v>市场法增减值</v>
      </c>
    </row>
    <row r="101" ht="12.75" spans="2:23">
      <c r="B101" s="1487">
        <f t="shared" si="9"/>
        <v>98</v>
      </c>
      <c r="C101" s="1488" t="s">
        <v>976</v>
      </c>
      <c r="D101" s="1487" t="str">
        <f>D100</f>
        <v>是</v>
      </c>
      <c r="E101" s="1546"/>
      <c r="F101" s="1489" t="s">
        <v>863</v>
      </c>
      <c r="G101" s="1489" t="str">
        <f t="shared" ref="G101:G135" si="15">IF(H101="","",ADDRESS(H101,I101,4)&amp;":"&amp;ADDRESS(J101,K101,4))</f>
        <v>P132:P143</v>
      </c>
      <c r="H101" s="1487">
        <f>ROW(P132)</f>
        <v>132</v>
      </c>
      <c r="I101" s="1487">
        <f>COLUMN(P132)</f>
        <v>16</v>
      </c>
      <c r="J101" s="1487">
        <f>ROW(P143)</f>
        <v>143</v>
      </c>
      <c r="K101" s="1487">
        <f>COLUMN(P143)</f>
        <v>16</v>
      </c>
      <c r="L101" s="1490"/>
      <c r="O101" s="1514" t="s">
        <v>334</v>
      </c>
      <c r="P101" s="1547" t="s">
        <v>525</v>
      </c>
      <c r="Q101" s="1547" t="s">
        <v>526</v>
      </c>
      <c r="R101" s="1547" t="s">
        <v>838</v>
      </c>
      <c r="S101" s="1548" t="s">
        <v>977</v>
      </c>
    </row>
    <row r="102" ht="12.75" spans="2:23">
      <c r="B102" s="1469">
        <f t="shared" si="9"/>
        <v>99</v>
      </c>
      <c r="C102" s="1470" t="s">
        <v>978</v>
      </c>
      <c r="D102" s="1469" t="str">
        <f t="shared" si="6"/>
        <v>是</v>
      </c>
      <c r="E102" s="1520" t="str">
        <f>其他应收总!BS5&amp;其他应收总!BT5</f>
        <v>其他应收款为：</v>
      </c>
      <c r="F102" s="1471"/>
      <c r="G102" s="1471"/>
      <c r="H102" s="1469"/>
      <c r="I102" s="1469"/>
      <c r="J102" s="1469"/>
      <c r="K102" s="1469"/>
      <c r="L102" s="1472" t="str">
        <f>判断表!L25</f>
        <v>隐藏</v>
      </c>
      <c r="O102" s="1549" t="s">
        <v>979</v>
      </c>
      <c r="P102" s="1492">
        <f>P18</f>
        <v>3.56</v>
      </c>
      <c r="Q102" s="1492" t="str">
        <f>E48</f>
        <v>0.00</v>
      </c>
      <c r="R102" s="1492">
        <f>IFERROR(Q102-P102,"")</f>
        <v>-3.56</v>
      </c>
      <c r="S102" s="1493">
        <f t="shared" ref="S102" si="16">IFERROR(R102/ABS(P102)*100,"")</f>
        <v>-100</v>
      </c>
      <c r="T102" s="1457" t="str">
        <f>IF(R102&gt;0,"增值",IF(R102=0,"无增减值","减值"))</f>
        <v>减值</v>
      </c>
      <c r="U102" s="1494">
        <f>IFERROR(ABS(R102),0)</f>
        <v>3.56</v>
      </c>
      <c r="V102" s="1494">
        <f>IFERROR(ABS(S102),0)</f>
        <v>100</v>
      </c>
      <c r="W102" s="1456" t="str">
        <f>IF(T102="无增减值",T102,T102&amp;TEXT(U102,"#,##0.00")&amp;"万元，"&amp;T102&amp;"率"&amp;TEXT(V102/100,"0.00%"))</f>
        <v>减值3.56万元，减值率100.00%</v>
      </c>
    </row>
    <row r="103" ht="12.75" spans="2:23">
      <c r="B103" s="1469">
        <f t="shared" si="9"/>
        <v>100</v>
      </c>
      <c r="C103" s="1470" t="s">
        <v>980</v>
      </c>
      <c r="D103" s="1469" t="str">
        <f t="shared" si="6"/>
        <v>是</v>
      </c>
      <c r="E103" s="1520" t="str">
        <f>应收账款!BW15</f>
        <v/>
      </c>
      <c r="F103" s="1471"/>
      <c r="G103" s="1471"/>
      <c r="H103" s="1469"/>
      <c r="I103" s="1469"/>
      <c r="J103" s="1469"/>
      <c r="K103" s="1469"/>
      <c r="L103" s="1472" t="str">
        <f>判断表!L20</f>
        <v>隐藏</v>
      </c>
      <c r="O103" s="1457"/>
      <c r="P103" s="1496"/>
      <c r="Q103" s="1496"/>
      <c r="R103" s="1496"/>
      <c r="S103" s="1496"/>
      <c r="T103" s="1457"/>
      <c r="U103" s="1494"/>
      <c r="V103" s="1494"/>
    </row>
    <row r="104" spans="2:23">
      <c r="B104" s="1469">
        <f t="shared" si="9"/>
        <v>101</v>
      </c>
      <c r="C104" s="1470" t="s">
        <v>981</v>
      </c>
      <c r="D104" s="1469" t="str">
        <f t="shared" si="6"/>
        <v>是</v>
      </c>
      <c r="E104" s="1520" t="str">
        <f>预付账款!BW14</f>
        <v/>
      </c>
      <c r="F104" s="1471"/>
      <c r="G104" s="1471"/>
      <c r="H104" s="1469"/>
      <c r="I104" s="1469"/>
      <c r="J104" s="1469"/>
      <c r="K104" s="1469"/>
      <c r="L104" s="1472" t="str">
        <f>判断表!L24</f>
        <v>隐藏</v>
      </c>
      <c r="N104" s="1456" t="str">
        <f>C50</f>
        <v>不同方法差异</v>
      </c>
      <c r="R104" s="1496"/>
      <c r="S104" s="1496"/>
      <c r="T104" s="1457"/>
      <c r="U104" s="1494"/>
      <c r="V104" s="1494"/>
    </row>
    <row r="105" spans="2:23">
      <c r="B105" s="1469">
        <f t="shared" si="9"/>
        <v>102</v>
      </c>
      <c r="C105" s="1470" t="s">
        <v>982</v>
      </c>
      <c r="D105" s="1469" t="str">
        <f t="shared" si="6"/>
        <v>是</v>
      </c>
      <c r="E105" s="1520" t="str">
        <f>'其他应收-利息'!BV14</f>
        <v/>
      </c>
      <c r="F105" s="1471"/>
      <c r="G105" s="1471"/>
      <c r="H105" s="1469"/>
      <c r="I105" s="1469"/>
      <c r="J105" s="1469"/>
      <c r="K105" s="1469"/>
      <c r="L105" s="1472" t="str">
        <f>判断表!L26</f>
        <v>隐藏</v>
      </c>
      <c r="N105" s="1461" t="s">
        <v>521</v>
      </c>
      <c r="O105" s="1461" t="s">
        <v>983</v>
      </c>
      <c r="P105" s="1550" t="s">
        <v>984</v>
      </c>
      <c r="Q105" s="1550" t="s">
        <v>828</v>
      </c>
      <c r="R105" s="1550" t="s">
        <v>985</v>
      </c>
      <c r="S105" s="1550" t="s">
        <v>986</v>
      </c>
      <c r="T105" s="1457"/>
      <c r="U105" s="1494"/>
      <c r="V105" s="1494"/>
    </row>
    <row r="106" spans="2:23">
      <c r="B106" s="1469">
        <f t="shared" si="9"/>
        <v>103</v>
      </c>
      <c r="C106" s="1470" t="s">
        <v>987</v>
      </c>
      <c r="D106" s="1469" t="str">
        <f t="shared" si="6"/>
        <v>是</v>
      </c>
      <c r="E106" s="1520" t="str">
        <f>'其他应收-股利'!BV14</f>
        <v/>
      </c>
      <c r="F106" s="1471"/>
      <c r="G106" s="1471"/>
      <c r="H106" s="1469"/>
      <c r="I106" s="1469"/>
      <c r="J106" s="1469"/>
      <c r="K106" s="1469"/>
      <c r="L106" s="1472" t="str">
        <f>判断表!L27</f>
        <v>隐藏</v>
      </c>
      <c r="N106" s="1469">
        <v>1</v>
      </c>
      <c r="O106" s="1469" t="s">
        <v>988</v>
      </c>
      <c r="P106" s="1479">
        <f>E41+0</f>
        <v>283.71</v>
      </c>
      <c r="Q106" s="1551" t="str">
        <f>D30</f>
        <v>否</v>
      </c>
      <c r="R106" s="1552" t="str">
        <f>IF(Q106="否",O106&amp;"评估结果为"&amp;TEXT(P106,"#,##0.00")&amp;"万元","")</f>
        <v>资产基础法评估结果为283.71万元</v>
      </c>
      <c r="S106" s="1551" t="str">
        <f>IF(AND(Q106="否",OR(Q107="否",Q108="否")),"，",IF(Q106="否","。",""))</f>
        <v>，</v>
      </c>
      <c r="T106" s="1457"/>
      <c r="U106" s="1494"/>
      <c r="V106" s="1494"/>
    </row>
    <row r="107" spans="2:23">
      <c r="B107" s="1469">
        <f t="shared" si="9"/>
        <v>104</v>
      </c>
      <c r="C107" s="1470" t="s">
        <v>989</v>
      </c>
      <c r="D107" s="1469" t="str">
        <f t="shared" si="6"/>
        <v>是</v>
      </c>
      <c r="E107" s="1520" t="str">
        <f>'其他应收-其他'!BW15</f>
        <v/>
      </c>
      <c r="F107" s="1471"/>
      <c r="G107" s="1471"/>
      <c r="H107" s="1469"/>
      <c r="I107" s="1469"/>
      <c r="J107" s="1469"/>
      <c r="K107" s="1469"/>
      <c r="L107" s="1472" t="str">
        <f>判断表!L28</f>
        <v>隐藏</v>
      </c>
      <c r="N107" s="1469">
        <v>2</v>
      </c>
      <c r="O107" s="1469" t="s">
        <v>990</v>
      </c>
      <c r="P107" s="1479">
        <f>E45+0</f>
        <v>0</v>
      </c>
      <c r="Q107" s="1551" t="str">
        <f>D34</f>
        <v>否</v>
      </c>
      <c r="R107" s="1552" t="str">
        <f t="shared" ref="R107:R108" si="17">IF(Q107="否",O107&amp;"评估结果为"&amp;TEXT(P107,"#,##0.00")&amp;"万元","")</f>
        <v>收益法评估结果为0.00万元</v>
      </c>
      <c r="S107" s="1551" t="str">
        <f>IF(AND(Q107="否",Q108="否"),"",IF(Q107="否","。",""))</f>
        <v>。</v>
      </c>
      <c r="T107" s="1457"/>
      <c r="U107" s="1494"/>
      <c r="V107" s="1494"/>
    </row>
    <row r="108" spans="2:23">
      <c r="B108" s="1504">
        <f t="shared" si="9"/>
        <v>105</v>
      </c>
      <c r="C108" s="1505" t="s">
        <v>991</v>
      </c>
      <c r="D108" s="1504" t="str">
        <f>IF(L108="隐藏隐藏隐藏","是","否")</f>
        <v>是</v>
      </c>
      <c r="E108" s="1505"/>
      <c r="F108" s="1506"/>
      <c r="G108" s="1506"/>
      <c r="H108" s="1504"/>
      <c r="I108" s="1504"/>
      <c r="J108" s="1504"/>
      <c r="K108" s="1504"/>
      <c r="L108" s="1507" t="str">
        <f>判断表!L20&amp;判断表!L24&amp;判断表!L28</f>
        <v>隐藏隐藏隐藏</v>
      </c>
      <c r="N108" s="1469">
        <v>3</v>
      </c>
      <c r="O108" s="1469" t="s">
        <v>992</v>
      </c>
      <c r="P108" s="1479">
        <f>E48+0</f>
        <v>0</v>
      </c>
      <c r="Q108" s="1551" t="str">
        <f>D35</f>
        <v>是</v>
      </c>
      <c r="R108" s="1552" t="str">
        <f t="shared" si="17"/>
        <v/>
      </c>
      <c r="S108" s="1551" t="str">
        <f>IF(Q108="否","。","")</f>
        <v/>
      </c>
      <c r="T108" s="1457"/>
      <c r="U108" s="1494"/>
      <c r="V108" s="1494"/>
    </row>
    <row r="109" spans="2:23">
      <c r="B109" s="1504">
        <f t="shared" si="9"/>
        <v>106</v>
      </c>
      <c r="C109" s="1505" t="s">
        <v>993</v>
      </c>
      <c r="D109" s="1504" t="str">
        <f>D105</f>
        <v>是</v>
      </c>
      <c r="E109" s="1505"/>
      <c r="F109" s="1506"/>
      <c r="G109" s="1506"/>
      <c r="H109" s="1504"/>
      <c r="I109" s="1504"/>
      <c r="J109" s="1504"/>
      <c r="K109" s="1504"/>
      <c r="L109" s="1507"/>
      <c r="N109" s="1469">
        <v>4</v>
      </c>
      <c r="O109" s="1469" t="s">
        <v>994</v>
      </c>
      <c r="P109" s="1479">
        <f>ABS(SUMIF(Q106:Q108,"否",P106:P108)-IF(Q106="否",P106*2,P107*2))</f>
        <v>283.71</v>
      </c>
      <c r="Q109" s="1553">
        <f>COUNTIF(Q106:Q108,"否")</f>
        <v>2</v>
      </c>
      <c r="R109" s="1552" t="str">
        <f>O109&amp;"为"&amp;TEXT(P109,"#,##0.00")&amp;"万元"</f>
        <v>差异额为283.71万元</v>
      </c>
      <c r="S109" s="1551"/>
      <c r="T109" s="1457"/>
      <c r="U109" s="1494"/>
      <c r="V109" s="1494"/>
    </row>
    <row r="110" spans="2:23">
      <c r="B110" s="1504">
        <f t="shared" si="9"/>
        <v>107</v>
      </c>
      <c r="C110" s="1505" t="s">
        <v>995</v>
      </c>
      <c r="D110" s="1504" t="str">
        <f>D106</f>
        <v>是</v>
      </c>
      <c r="E110" s="1505"/>
      <c r="F110" s="1506"/>
      <c r="G110" s="1506"/>
      <c r="H110" s="1504"/>
      <c r="I110" s="1504"/>
      <c r="J110" s="1504"/>
      <c r="K110" s="1504"/>
      <c r="L110" s="1507"/>
      <c r="N110" s="1461">
        <v>5</v>
      </c>
      <c r="O110" s="1461" t="s">
        <v>996</v>
      </c>
      <c r="P110" s="1554" t="str">
        <f>R106&amp;S106&amp;R107&amp;S107&amp;R108&amp;S108&amp;R109</f>
        <v>资产基础法评估结果为283.71万元，收益法评估结果为0.00万元。差异额为283.71万元</v>
      </c>
      <c r="Q110" s="1554"/>
      <c r="R110" s="1554"/>
      <c r="S110" s="1479"/>
      <c r="T110" s="1457"/>
      <c r="U110" s="1494"/>
      <c r="V110" s="1494"/>
    </row>
    <row r="111" spans="2:23">
      <c r="B111" s="1487">
        <f t="shared" si="9"/>
        <v>108</v>
      </c>
      <c r="C111" s="1488" t="s">
        <v>997</v>
      </c>
      <c r="D111" s="1487" t="str">
        <f>D101</f>
        <v>是</v>
      </c>
      <c r="E111" s="1546"/>
      <c r="F111" s="1489" t="s">
        <v>863</v>
      </c>
      <c r="G111" s="1489" t="str">
        <f t="shared" si="15"/>
        <v>P147:S161</v>
      </c>
      <c r="H111" s="1487">
        <f>ROW(P147)</f>
        <v>147</v>
      </c>
      <c r="I111" s="1487">
        <f>COLUMN(P147)</f>
        <v>16</v>
      </c>
      <c r="J111" s="1487">
        <f>ROW(S161)</f>
        <v>161</v>
      </c>
      <c r="K111" s="1487">
        <f>COLUMN(S161)</f>
        <v>19</v>
      </c>
      <c r="L111" s="1490"/>
      <c r="O111" s="1457"/>
      <c r="P111" s="1496"/>
      <c r="Q111" s="1496"/>
      <c r="R111" s="1496"/>
      <c r="S111" s="1496"/>
      <c r="T111" s="1457"/>
      <c r="U111" s="1494"/>
      <c r="V111" s="1494"/>
    </row>
    <row r="112" ht="12.75" spans="2:23">
      <c r="B112" s="1504">
        <f t="shared" si="9"/>
        <v>109</v>
      </c>
      <c r="C112" s="1505" t="s">
        <v>998</v>
      </c>
      <c r="D112" s="1504" t="str">
        <f t="shared" si="6"/>
        <v>是</v>
      </c>
      <c r="E112" s="1505"/>
      <c r="F112" s="1506"/>
      <c r="G112" s="1506"/>
      <c r="H112" s="1504"/>
      <c r="I112" s="1504"/>
      <c r="J112" s="1504"/>
      <c r="K112" s="1504"/>
      <c r="L112" s="1507" t="str">
        <f>判断表!L21</f>
        <v>隐藏</v>
      </c>
      <c r="N112" s="1456" t="str">
        <f>C64</f>
        <v>流动资产申报汇总表</v>
      </c>
    </row>
    <row r="113" ht="12.75" spans="2:16">
      <c r="B113" s="1487">
        <f t="shared" si="9"/>
        <v>110</v>
      </c>
      <c r="C113" s="1488" t="s">
        <v>999</v>
      </c>
      <c r="D113" s="1487" t="str">
        <f>D112</f>
        <v>是</v>
      </c>
      <c r="E113" s="1546"/>
      <c r="F113" s="1489" t="s">
        <v>863</v>
      </c>
      <c r="G113" s="1489" t="str">
        <f t="shared" si="15"/>
        <v>P165:P171</v>
      </c>
      <c r="H113" s="1487">
        <f>ROW(P165)</f>
        <v>165</v>
      </c>
      <c r="I113" s="1487">
        <f>COLUMN(P165)</f>
        <v>16</v>
      </c>
      <c r="J113" s="1487">
        <f>ROW(P171)</f>
        <v>171</v>
      </c>
      <c r="K113" s="1487">
        <f>COLUMN(P171)</f>
        <v>16</v>
      </c>
      <c r="L113" s="1490"/>
      <c r="N113" s="1514" t="s">
        <v>1000</v>
      </c>
      <c r="O113" s="1547" t="s">
        <v>1001</v>
      </c>
      <c r="P113" s="1548" t="s">
        <v>1002</v>
      </c>
    </row>
    <row r="114" spans="2:16">
      <c r="B114" s="1469">
        <f t="shared" si="9"/>
        <v>111</v>
      </c>
      <c r="C114" s="1470" t="s">
        <v>1003</v>
      </c>
      <c r="D114" s="1469" t="str">
        <f>D113</f>
        <v>是</v>
      </c>
      <c r="E114" s="1520" t="str">
        <f>应收款融资总!BS5&amp;应收款融资总!BT5</f>
        <v>应收款项融资为：</v>
      </c>
      <c r="F114" s="1471"/>
      <c r="G114" s="1471"/>
      <c r="H114" s="1469"/>
      <c r="I114" s="1469"/>
      <c r="J114" s="1469"/>
      <c r="K114" s="1469"/>
      <c r="L114" s="1472"/>
      <c r="N114" s="1539">
        <v>1</v>
      </c>
      <c r="O114" s="1470" t="s">
        <v>37</v>
      </c>
      <c r="P114" s="1501">
        <f>流动资总!D7/10000</f>
        <v>0</v>
      </c>
    </row>
    <row r="115" spans="2:16">
      <c r="B115" s="1469">
        <f t="shared" si="9"/>
        <v>112</v>
      </c>
      <c r="C115" s="1470" t="s">
        <v>1004</v>
      </c>
      <c r="D115" s="1469" t="str">
        <f t="shared" si="6"/>
        <v>是</v>
      </c>
      <c r="E115" s="1520" t="str">
        <f>'融资-应收票据'!BV14</f>
        <v>无息</v>
      </c>
      <c r="F115" s="1471"/>
      <c r="G115" s="1471"/>
      <c r="H115" s="1469"/>
      <c r="I115" s="1469"/>
      <c r="J115" s="1469"/>
      <c r="K115" s="1469"/>
      <c r="L115" s="1472" t="str">
        <f>判断表!L22</f>
        <v>隐藏</v>
      </c>
      <c r="N115" s="1539">
        <v>2</v>
      </c>
      <c r="O115" s="1470" t="s">
        <v>1005</v>
      </c>
      <c r="P115" s="1501">
        <f>流动资总!D8/10000</f>
        <v>0</v>
      </c>
    </row>
    <row r="116" spans="2:16">
      <c r="B116" s="1469">
        <f t="shared" si="9"/>
        <v>113</v>
      </c>
      <c r="C116" s="1470" t="s">
        <v>1006</v>
      </c>
      <c r="D116" s="1469" t="str">
        <f t="shared" si="6"/>
        <v>是</v>
      </c>
      <c r="E116" s="1520" t="str">
        <f>'融资-应收账款'!BW15</f>
        <v/>
      </c>
      <c r="F116" s="1471"/>
      <c r="G116" s="1471"/>
      <c r="H116" s="1469"/>
      <c r="I116" s="1469"/>
      <c r="J116" s="1469"/>
      <c r="K116" s="1469"/>
      <c r="L116" s="1472" t="str">
        <f>判断表!L23</f>
        <v>隐藏</v>
      </c>
      <c r="N116" s="1539">
        <v>3</v>
      </c>
      <c r="O116" s="1470" t="s">
        <v>45</v>
      </c>
      <c r="P116" s="1501">
        <f>流动资总!D9/10000</f>
        <v>0</v>
      </c>
    </row>
    <row r="117" spans="2:16">
      <c r="B117" s="1504">
        <f t="shared" si="9"/>
        <v>114</v>
      </c>
      <c r="C117" s="1505" t="s">
        <v>1007</v>
      </c>
      <c r="D117" s="1504" t="str">
        <f>D115</f>
        <v>是</v>
      </c>
      <c r="E117" s="1505"/>
      <c r="F117" s="1506"/>
      <c r="G117" s="1506"/>
      <c r="H117" s="1504"/>
      <c r="I117" s="1504"/>
      <c r="J117" s="1504"/>
      <c r="K117" s="1504"/>
      <c r="L117" s="1507"/>
      <c r="N117" s="1539">
        <v>4</v>
      </c>
      <c r="O117" s="1470" t="s">
        <v>1008</v>
      </c>
      <c r="P117" s="1501">
        <f>流动资总!D10/10000</f>
        <v>0</v>
      </c>
    </row>
    <row r="118" spans="2:16">
      <c r="B118" s="1504">
        <f t="shared" si="9"/>
        <v>115</v>
      </c>
      <c r="C118" s="1505" t="s">
        <v>1009</v>
      </c>
      <c r="D118" s="1504" t="str">
        <f>D116</f>
        <v>是</v>
      </c>
      <c r="E118" s="1505"/>
      <c r="F118" s="1506"/>
      <c r="G118" s="1506"/>
      <c r="H118" s="1504"/>
      <c r="I118" s="1504"/>
      <c r="J118" s="1504"/>
      <c r="K118" s="1504"/>
      <c r="L118" s="1507"/>
      <c r="N118" s="1539">
        <v>5</v>
      </c>
      <c r="O118" s="1470" t="s">
        <v>52</v>
      </c>
      <c r="P118" s="1501">
        <f>流动资总!D11/10000</f>
        <v>0</v>
      </c>
    </row>
    <row r="119" spans="2:16">
      <c r="B119" s="1487">
        <f t="shared" si="9"/>
        <v>116</v>
      </c>
      <c r="C119" s="1488" t="s">
        <v>1010</v>
      </c>
      <c r="D119" s="1487" t="str">
        <f>D113</f>
        <v>是</v>
      </c>
      <c r="E119" s="1546"/>
      <c r="F119" s="1489" t="s">
        <v>863</v>
      </c>
      <c r="G119" s="1489" t="str">
        <f t="shared" si="15"/>
        <v>P175:S183</v>
      </c>
      <c r="H119" s="1487">
        <f>ROW(P175)</f>
        <v>175</v>
      </c>
      <c r="I119" s="1487">
        <f>COLUMN(P175)</f>
        <v>16</v>
      </c>
      <c r="J119" s="1487">
        <f>ROW(S183)</f>
        <v>183</v>
      </c>
      <c r="K119" s="1487">
        <f>COLUMN(S183)</f>
        <v>19</v>
      </c>
      <c r="L119" s="1490"/>
      <c r="N119" s="1539">
        <v>6</v>
      </c>
      <c r="O119" s="1470" t="s">
        <v>54</v>
      </c>
      <c r="P119" s="1501">
        <f>流动资总!D12/10000</f>
        <v>0</v>
      </c>
    </row>
    <row r="120" spans="2:16">
      <c r="B120" s="1504">
        <f t="shared" si="9"/>
        <v>117</v>
      </c>
      <c r="C120" s="1505" t="s">
        <v>1011</v>
      </c>
      <c r="D120" s="1504" t="str">
        <f t="shared" si="6"/>
        <v>否</v>
      </c>
      <c r="E120" s="1505"/>
      <c r="F120" s="1506"/>
      <c r="G120" s="1506"/>
      <c r="H120" s="1504"/>
      <c r="I120" s="1504"/>
      <c r="J120" s="1504"/>
      <c r="K120" s="1504"/>
      <c r="L120" s="1507" t="str">
        <f>判断表!L29</f>
        <v>显示</v>
      </c>
      <c r="N120" s="1539">
        <v>7</v>
      </c>
      <c r="O120" s="1470" t="s">
        <v>1012</v>
      </c>
      <c r="P120" s="1501">
        <f>流动资总!D13/10000</f>
        <v>0</v>
      </c>
    </row>
    <row r="121" spans="2:16">
      <c r="B121" s="1487">
        <f t="shared" si="9"/>
        <v>118</v>
      </c>
      <c r="C121" s="1488" t="s">
        <v>1013</v>
      </c>
      <c r="D121" s="1487" t="str">
        <f>D120</f>
        <v>否</v>
      </c>
      <c r="E121" s="1546"/>
      <c r="F121" s="1489" t="s">
        <v>863</v>
      </c>
      <c r="G121" s="1489" t="str">
        <f t="shared" si="15"/>
        <v>P187:P214</v>
      </c>
      <c r="H121" s="1487">
        <f>ROW(P187)</f>
        <v>187</v>
      </c>
      <c r="I121" s="1487">
        <f>COLUMN(P187)</f>
        <v>16</v>
      </c>
      <c r="J121" s="1487">
        <f>ROW(P214)</f>
        <v>214</v>
      </c>
      <c r="K121" s="1487">
        <f>COLUMN(P214)</f>
        <v>16</v>
      </c>
      <c r="L121" s="1490"/>
      <c r="N121" s="1539">
        <v>8</v>
      </c>
      <c r="O121" s="1470" t="s">
        <v>56</v>
      </c>
      <c r="P121" s="1501">
        <f>流动资总!D14/10000</f>
        <v>0</v>
      </c>
    </row>
    <row r="122" spans="2:16">
      <c r="B122" s="1504">
        <f t="shared" si="9"/>
        <v>119</v>
      </c>
      <c r="C122" s="1505" t="s">
        <v>1014</v>
      </c>
      <c r="D122" s="1504" t="str">
        <f t="shared" si="6"/>
        <v>否</v>
      </c>
      <c r="E122" s="1505"/>
      <c r="F122" s="1506"/>
      <c r="G122" s="1506"/>
      <c r="H122" s="1504"/>
      <c r="I122" s="1504"/>
      <c r="J122" s="1504"/>
      <c r="K122" s="1504"/>
      <c r="L122" s="1507" t="str">
        <f>判断表!L30</f>
        <v>显示</v>
      </c>
      <c r="N122" s="1539">
        <v>9</v>
      </c>
      <c r="O122" s="1470" t="s">
        <v>62</v>
      </c>
      <c r="P122" s="1501">
        <f>流动资总!D15/10000</f>
        <v>0</v>
      </c>
    </row>
    <row r="123" spans="2:16">
      <c r="B123" s="1469">
        <f t="shared" si="9"/>
        <v>120</v>
      </c>
      <c r="C123" s="1470" t="s">
        <v>1015</v>
      </c>
      <c r="D123" s="1469" t="str">
        <f>D122</f>
        <v>否</v>
      </c>
      <c r="E123" s="1520" t="str">
        <f>'采购（在途）'!BV15</f>
        <v/>
      </c>
      <c r="F123" s="1471"/>
      <c r="G123" s="1471"/>
      <c r="H123" s="1469"/>
      <c r="I123" s="1469"/>
      <c r="J123" s="1469"/>
      <c r="K123" s="1469"/>
      <c r="L123" s="1472"/>
      <c r="N123" s="1539">
        <v>10</v>
      </c>
      <c r="O123" s="1470" t="s">
        <v>64</v>
      </c>
      <c r="P123" s="1501">
        <f>流动资总!D16/10000</f>
        <v>3.555752</v>
      </c>
    </row>
    <row r="124" spans="2:16">
      <c r="B124" s="1504">
        <f t="shared" si="9"/>
        <v>121</v>
      </c>
      <c r="C124" s="1505" t="s">
        <v>1016</v>
      </c>
      <c r="D124" s="1504" t="str">
        <f>IF(L124="隐藏隐藏","是","否")</f>
        <v>否</v>
      </c>
      <c r="E124" s="1505"/>
      <c r="F124" s="1506"/>
      <c r="G124" s="1506"/>
      <c r="H124" s="1504"/>
      <c r="I124" s="1504"/>
      <c r="J124" s="1504"/>
      <c r="K124" s="1504"/>
      <c r="L124" s="1507" t="str">
        <f>判断表!L31&amp;判断表!L32</f>
        <v>显示显示</v>
      </c>
      <c r="N124" s="1539">
        <v>11</v>
      </c>
      <c r="O124" s="1470" t="s">
        <v>1017</v>
      </c>
      <c r="P124" s="1501">
        <f>流动资总!D17/10000</f>
        <v>0</v>
      </c>
    </row>
    <row r="125" spans="2:16">
      <c r="B125" s="1469">
        <f t="shared" si="9"/>
        <v>122</v>
      </c>
      <c r="C125" s="1470" t="s">
        <v>1018</v>
      </c>
      <c r="D125" s="1469" t="str">
        <f t="shared" si="6"/>
        <v>否</v>
      </c>
      <c r="E125" s="1520" t="str">
        <f>原材料!BV15</f>
        <v/>
      </c>
      <c r="F125" s="1471"/>
      <c r="G125" s="1471"/>
      <c r="H125" s="1469"/>
      <c r="I125" s="1469"/>
      <c r="J125" s="1469"/>
      <c r="K125" s="1469"/>
      <c r="L125" s="1472" t="str">
        <f>判断表!L31</f>
        <v>显示</v>
      </c>
      <c r="N125" s="1539">
        <v>12</v>
      </c>
      <c r="O125" s="1470" t="s">
        <v>1019</v>
      </c>
      <c r="P125" s="1501">
        <f>流动资总!D18/10000</f>
        <v>0</v>
      </c>
    </row>
    <row r="126" spans="2:16">
      <c r="B126" s="1469">
        <f t="shared" si="9"/>
        <v>123</v>
      </c>
      <c r="C126" s="1470" t="s">
        <v>1020</v>
      </c>
      <c r="D126" s="1469" t="str">
        <f t="shared" si="6"/>
        <v>否</v>
      </c>
      <c r="E126" s="1520" t="e">
        <f>在库周转!#REF!</f>
        <v>#REF!</v>
      </c>
      <c r="F126" s="1471"/>
      <c r="G126" s="1471"/>
      <c r="H126" s="1469"/>
      <c r="I126" s="1469"/>
      <c r="J126" s="1469"/>
      <c r="K126" s="1469"/>
      <c r="L126" s="1472" t="str">
        <f>判断表!L32</f>
        <v>显示</v>
      </c>
      <c r="N126" s="1539">
        <v>13</v>
      </c>
      <c r="O126" s="1470" t="s">
        <v>1021</v>
      </c>
      <c r="P126" s="1501">
        <f>流动资总!D19/10000</f>
        <v>0</v>
      </c>
    </row>
    <row r="127" spans="2:16">
      <c r="B127" s="1504">
        <f t="shared" si="9"/>
        <v>124</v>
      </c>
      <c r="C127" s="1505" t="s">
        <v>1022</v>
      </c>
      <c r="D127" s="1504" t="str">
        <f t="shared" ref="D127:D188" si="18">IF(L127="隐藏","是","否")</f>
        <v>否</v>
      </c>
      <c r="E127" s="1505"/>
      <c r="F127" s="1506"/>
      <c r="G127" s="1506"/>
      <c r="H127" s="1504"/>
      <c r="I127" s="1504"/>
      <c r="J127" s="1504"/>
      <c r="K127" s="1504"/>
      <c r="L127" s="1507" t="str">
        <f>判断表!L33</f>
        <v>显示</v>
      </c>
      <c r="N127" s="1539">
        <v>14</v>
      </c>
      <c r="O127" s="1470" t="s">
        <v>82</v>
      </c>
      <c r="P127" s="1501">
        <f>流动资总!D20/10000</f>
        <v>0</v>
      </c>
    </row>
    <row r="128" ht="12.75" spans="2:16">
      <c r="B128" s="1469">
        <f t="shared" si="9"/>
        <v>125</v>
      </c>
      <c r="C128" s="1470" t="s">
        <v>1023</v>
      </c>
      <c r="D128" s="1469" t="str">
        <f>D127</f>
        <v>否</v>
      </c>
      <c r="E128" s="1520" t="str">
        <f>委托加工!BV15</f>
        <v/>
      </c>
      <c r="F128" s="1471"/>
      <c r="G128" s="1471"/>
      <c r="H128" s="1469"/>
      <c r="I128" s="1469"/>
      <c r="J128" s="1469"/>
      <c r="K128" s="1469"/>
      <c r="L128" s="1472"/>
      <c r="N128" s="1544">
        <v>15</v>
      </c>
      <c r="O128" s="1555" t="s">
        <v>1024</v>
      </c>
      <c r="P128" s="1513">
        <f>SUM(P114:P127)</f>
        <v>3.555752</v>
      </c>
    </row>
    <row r="129" ht="12.75" spans="2:16">
      <c r="B129" s="1504">
        <f t="shared" si="9"/>
        <v>126</v>
      </c>
      <c r="C129" s="1505" t="s">
        <v>1025</v>
      </c>
      <c r="D129" s="1504" t="str">
        <f t="shared" si="18"/>
        <v>否</v>
      </c>
      <c r="E129" s="1505"/>
      <c r="F129" s="1506"/>
      <c r="G129" s="1506"/>
      <c r="H129" s="1504"/>
      <c r="I129" s="1504"/>
      <c r="J129" s="1504"/>
      <c r="K129" s="1504"/>
      <c r="L129" s="1507" t="str">
        <f>判断表!L34</f>
        <v>显示</v>
      </c>
    </row>
    <row r="130" ht="12.75" spans="2:16">
      <c r="B130" s="1469">
        <f t="shared" si="9"/>
        <v>127</v>
      </c>
      <c r="C130" s="1470" t="s">
        <v>1026</v>
      </c>
      <c r="D130" s="1469" t="str">
        <f t="shared" ref="D130:D135" si="19">D$129</f>
        <v>否</v>
      </c>
      <c r="E130" s="1520" t="str">
        <f>'产成品（商品）'!CI15</f>
        <v/>
      </c>
      <c r="F130" s="1471"/>
      <c r="G130" s="1471"/>
      <c r="H130" s="1469"/>
      <c r="I130" s="1469"/>
      <c r="J130" s="1469"/>
      <c r="K130" s="1469"/>
      <c r="L130" s="1472"/>
      <c r="N130" s="1456" t="str">
        <f>C101</f>
        <v>应收、预付、其他应收账面值表</v>
      </c>
    </row>
    <row r="131" ht="12.75" spans="2:16">
      <c r="B131" s="1469">
        <f t="shared" si="9"/>
        <v>128</v>
      </c>
      <c r="C131" s="1470" t="s">
        <v>1027</v>
      </c>
      <c r="D131" s="1469" t="str">
        <f t="shared" si="19"/>
        <v>否</v>
      </c>
      <c r="E131" s="1520" t="str">
        <f>S228&amp;""</f>
        <v/>
      </c>
      <c r="F131" s="1471"/>
      <c r="G131" s="1471"/>
      <c r="H131" s="1469"/>
      <c r="I131" s="1469"/>
      <c r="J131" s="1469"/>
      <c r="K131" s="1469"/>
      <c r="L131" s="1472"/>
      <c r="N131" s="1514" t="s">
        <v>521</v>
      </c>
      <c r="O131" s="1547" t="s">
        <v>1028</v>
      </c>
      <c r="P131" s="1548" t="s">
        <v>837</v>
      </c>
    </row>
    <row r="132" spans="2:16">
      <c r="B132" s="1469">
        <f t="shared" si="9"/>
        <v>129</v>
      </c>
      <c r="C132" s="1470" t="s">
        <v>1029</v>
      </c>
      <c r="D132" s="1469" t="str">
        <f t="shared" si="19"/>
        <v>否</v>
      </c>
      <c r="E132" s="1520" t="str">
        <f>S229&amp;""</f>
        <v/>
      </c>
      <c r="F132" s="1471"/>
      <c r="G132" s="1471"/>
      <c r="H132" s="1469"/>
      <c r="I132" s="1469"/>
      <c r="J132" s="1469"/>
      <c r="K132" s="1469"/>
      <c r="L132" s="1472"/>
      <c r="N132" s="1556" t="s">
        <v>1030</v>
      </c>
      <c r="O132" s="1557" t="s">
        <v>1031</v>
      </c>
      <c r="P132" s="1501">
        <f>分类汇总!BA13</f>
        <v>0</v>
      </c>
    </row>
    <row r="133" spans="2:16">
      <c r="B133" s="1469">
        <f t="shared" si="9"/>
        <v>130</v>
      </c>
      <c r="C133" s="1470" t="s">
        <v>1032</v>
      </c>
      <c r="D133" s="1469" t="str">
        <f t="shared" si="19"/>
        <v>否</v>
      </c>
      <c r="E133" s="1520" t="str">
        <f>IF(参数表!B10=12,'产成品（商品）'!BP5&amp;"年",'产成品（商品）'!BP5-1&amp;"年1期")</f>
        <v>2年1期</v>
      </c>
      <c r="F133" s="1471"/>
      <c r="G133" s="1471"/>
      <c r="H133" s="1469"/>
      <c r="I133" s="1469"/>
      <c r="J133" s="1469"/>
      <c r="K133" s="1469"/>
      <c r="L133" s="1472"/>
      <c r="N133" s="1556"/>
      <c r="O133" s="1557" t="s">
        <v>348</v>
      </c>
      <c r="P133" s="1501">
        <f>P132-P134</f>
        <v>0</v>
      </c>
    </row>
    <row r="134" spans="2:16">
      <c r="B134" s="1487">
        <f t="shared" ref="B134:B197" si="20">B133+1</f>
        <v>131</v>
      </c>
      <c r="C134" s="1488" t="s">
        <v>1033</v>
      </c>
      <c r="D134" s="1487" t="str">
        <f t="shared" si="19"/>
        <v>否</v>
      </c>
      <c r="E134" s="1546"/>
      <c r="F134" s="1489" t="s">
        <v>863</v>
      </c>
      <c r="G134" s="1489" t="str">
        <f t="shared" si="15"/>
        <v>P217:Q224</v>
      </c>
      <c r="H134" s="1487">
        <f>ROW(P217)</f>
        <v>217</v>
      </c>
      <c r="I134" s="1487">
        <f>COLUMN(P217)</f>
        <v>16</v>
      </c>
      <c r="J134" s="1487">
        <f>ROW(Q224)</f>
        <v>224</v>
      </c>
      <c r="K134" s="1487">
        <f>COLUMN(Q224)</f>
        <v>17</v>
      </c>
      <c r="L134" s="1490"/>
      <c r="N134" s="1556" t="s">
        <v>1030</v>
      </c>
      <c r="O134" s="1557" t="s">
        <v>1034</v>
      </c>
      <c r="P134" s="1501">
        <f>分类汇总!BD13</f>
        <v>0</v>
      </c>
    </row>
    <row r="135" spans="2:16">
      <c r="B135" s="1487">
        <f t="shared" si="20"/>
        <v>132</v>
      </c>
      <c r="C135" s="1488" t="s">
        <v>1035</v>
      </c>
      <c r="D135" s="1487" t="str">
        <f t="shared" si="19"/>
        <v>否</v>
      </c>
      <c r="E135" s="1546"/>
      <c r="F135" s="1489" t="s">
        <v>863</v>
      </c>
      <c r="G135" s="1489" t="str">
        <f t="shared" si="15"/>
        <v>P228:S248</v>
      </c>
      <c r="H135" s="1487">
        <f>ROW(P228)</f>
        <v>228</v>
      </c>
      <c r="I135" s="1487">
        <f>COLUMN(P228)</f>
        <v>16</v>
      </c>
      <c r="J135" s="1487">
        <f>ROW(S248)</f>
        <v>248</v>
      </c>
      <c r="K135" s="1487">
        <f>COLUMN(S238)</f>
        <v>19</v>
      </c>
      <c r="L135" s="1490"/>
      <c r="N135" s="1556" t="s">
        <v>1036</v>
      </c>
      <c r="O135" s="1557" t="s">
        <v>1037</v>
      </c>
      <c r="P135" s="1501">
        <f>分类汇总!BA15</f>
        <v>0</v>
      </c>
    </row>
    <row r="136" spans="2:16">
      <c r="B136" s="1504">
        <f t="shared" si="20"/>
        <v>133</v>
      </c>
      <c r="C136" s="1505" t="s">
        <v>1038</v>
      </c>
      <c r="D136" s="1504" t="str">
        <f t="shared" si="18"/>
        <v>否</v>
      </c>
      <c r="E136" s="1505"/>
      <c r="F136" s="1506"/>
      <c r="G136" s="1506"/>
      <c r="H136" s="1504"/>
      <c r="I136" s="1504"/>
      <c r="J136" s="1504"/>
      <c r="K136" s="1504"/>
      <c r="L136" s="1507" t="str">
        <f>判断表!L35</f>
        <v>显示</v>
      </c>
      <c r="N136" s="1556"/>
      <c r="O136" s="1557" t="s">
        <v>348</v>
      </c>
      <c r="P136" s="1501">
        <f>P135-P137</f>
        <v>0</v>
      </c>
    </row>
    <row r="137" spans="2:16">
      <c r="B137" s="1469">
        <f t="shared" si="20"/>
        <v>134</v>
      </c>
      <c r="C137" s="1470" t="s">
        <v>1039</v>
      </c>
      <c r="D137" s="1469" t="str">
        <f>D136</f>
        <v>否</v>
      </c>
      <c r="E137" s="1520" t="str">
        <f>'在产品（半成品）'!CI15</f>
        <v/>
      </c>
      <c r="F137" s="1471"/>
      <c r="G137" s="1471"/>
      <c r="H137" s="1469"/>
      <c r="I137" s="1469"/>
      <c r="J137" s="1469"/>
      <c r="K137" s="1469"/>
      <c r="L137" s="1472"/>
      <c r="N137" s="1556" t="s">
        <v>1036</v>
      </c>
      <c r="O137" s="1557" t="s">
        <v>1040</v>
      </c>
      <c r="P137" s="1501">
        <f>分类汇总!BD15</f>
        <v>0</v>
      </c>
    </row>
    <row r="138" spans="2:16">
      <c r="B138" s="1504">
        <f t="shared" si="20"/>
        <v>135</v>
      </c>
      <c r="C138" s="1505" t="s">
        <v>1041</v>
      </c>
      <c r="D138" s="1504" t="str">
        <f t="shared" si="18"/>
        <v>否</v>
      </c>
      <c r="E138" s="1505"/>
      <c r="F138" s="1506"/>
      <c r="G138" s="1506"/>
      <c r="H138" s="1504"/>
      <c r="I138" s="1504"/>
      <c r="J138" s="1504"/>
      <c r="K138" s="1504"/>
      <c r="L138" s="1507" t="str">
        <f>判断表!L36</f>
        <v>显示</v>
      </c>
      <c r="N138" s="1556" t="s">
        <v>1042</v>
      </c>
      <c r="O138" s="1557" t="s">
        <v>1043</v>
      </c>
      <c r="P138" s="1501">
        <f>SUM(P139:P140,P143)</f>
        <v>0</v>
      </c>
    </row>
    <row r="139" spans="2:16">
      <c r="B139" s="1469">
        <f t="shared" si="20"/>
        <v>136</v>
      </c>
      <c r="C139" s="1470" t="s">
        <v>1044</v>
      </c>
      <c r="D139" s="1469" t="str">
        <f>D138</f>
        <v>否</v>
      </c>
      <c r="E139" s="1520" t="str">
        <f>发出商品!CG15</f>
        <v/>
      </c>
      <c r="F139" s="1471"/>
      <c r="G139" s="1471"/>
      <c r="H139" s="1469"/>
      <c r="I139" s="1469"/>
      <c r="J139" s="1469"/>
      <c r="K139" s="1469"/>
      <c r="L139" s="1472"/>
      <c r="N139" s="1556" t="s">
        <v>1045</v>
      </c>
      <c r="O139" s="1557" t="s">
        <v>1046</v>
      </c>
      <c r="P139" s="1501">
        <f>其他应收总!BA7</f>
        <v>0</v>
      </c>
    </row>
    <row r="140" spans="2:16">
      <c r="B140" s="1504">
        <f t="shared" si="20"/>
        <v>137</v>
      </c>
      <c r="C140" s="1505" t="s">
        <v>1047</v>
      </c>
      <c r="D140" s="1504" t="str">
        <f t="shared" si="18"/>
        <v>否</v>
      </c>
      <c r="E140" s="1505"/>
      <c r="F140" s="1506"/>
      <c r="G140" s="1506"/>
      <c r="H140" s="1504"/>
      <c r="I140" s="1504"/>
      <c r="J140" s="1504"/>
      <c r="K140" s="1504"/>
      <c r="L140" s="1507" t="str">
        <f>判断表!L37</f>
        <v>显示</v>
      </c>
      <c r="N140" s="1556" t="s">
        <v>1048</v>
      </c>
      <c r="O140" s="1557" t="s">
        <v>353</v>
      </c>
      <c r="P140" s="1501">
        <f>其他应收总!BA8</f>
        <v>0</v>
      </c>
    </row>
    <row r="141" spans="2:16">
      <c r="B141" s="1469">
        <f t="shared" si="20"/>
        <v>138</v>
      </c>
      <c r="C141" s="1470" t="s">
        <v>1049</v>
      </c>
      <c r="D141" s="1469" t="str">
        <f>D140</f>
        <v>否</v>
      </c>
      <c r="E141" s="1520" t="str">
        <f>在用周转!CL378</f>
        <v>主提升钢丝绳、副提升钢丝绳、电缆和1#吊盘悬吊绳</v>
      </c>
      <c r="F141" s="1471"/>
      <c r="G141" s="1471"/>
      <c r="H141" s="1469"/>
      <c r="I141" s="1469"/>
      <c r="J141" s="1469"/>
      <c r="K141" s="1469"/>
      <c r="L141" s="1472"/>
      <c r="N141" s="1556" t="s">
        <v>1050</v>
      </c>
      <c r="O141" s="1557" t="s">
        <v>1051</v>
      </c>
      <c r="P141" s="1501">
        <f>其他应收总!BA9</f>
        <v>0</v>
      </c>
    </row>
    <row r="142" spans="2:16">
      <c r="B142" s="1504">
        <f t="shared" si="20"/>
        <v>139</v>
      </c>
      <c r="C142" s="1505" t="s">
        <v>1052</v>
      </c>
      <c r="D142" s="1504" t="str">
        <f t="shared" si="18"/>
        <v>否</v>
      </c>
      <c r="E142" s="1505"/>
      <c r="F142" s="1506"/>
      <c r="G142" s="1506"/>
      <c r="H142" s="1504"/>
      <c r="I142" s="1504"/>
      <c r="J142" s="1504"/>
      <c r="K142" s="1504"/>
      <c r="L142" s="1507" t="str">
        <f>判断表!L41</f>
        <v>显示</v>
      </c>
      <c r="N142" s="1556"/>
      <c r="O142" s="1557" t="s">
        <v>348</v>
      </c>
      <c r="P142" s="1501">
        <f>P141-P143</f>
        <v>0</v>
      </c>
    </row>
    <row r="143" ht="12.75" spans="2:16">
      <c r="B143" s="1469">
        <f t="shared" si="20"/>
        <v>140</v>
      </c>
      <c r="C143" s="1470" t="s">
        <v>1053</v>
      </c>
      <c r="D143" s="1469" t="str">
        <f>D142</f>
        <v>否</v>
      </c>
      <c r="E143" s="1520" t="str">
        <f>未完施工!BY15</f>
        <v/>
      </c>
      <c r="F143" s="1471"/>
      <c r="G143" s="1471"/>
      <c r="H143" s="1469"/>
      <c r="I143" s="1469"/>
      <c r="J143" s="1469"/>
      <c r="K143" s="1469"/>
      <c r="L143" s="1472"/>
      <c r="N143" s="1558" t="s">
        <v>1050</v>
      </c>
      <c r="O143" s="1559" t="s">
        <v>1054</v>
      </c>
      <c r="P143" s="1560">
        <f>其他应收总!BD9</f>
        <v>0</v>
      </c>
    </row>
    <row r="144" ht="12.75" spans="2:16">
      <c r="B144" s="1487">
        <f t="shared" si="20"/>
        <v>141</v>
      </c>
      <c r="C144" s="1488" t="s">
        <v>1055</v>
      </c>
      <c r="D144" s="1487" t="str">
        <f>D120</f>
        <v>否</v>
      </c>
      <c r="E144" s="1546"/>
      <c r="F144" s="1489" t="s">
        <v>863</v>
      </c>
      <c r="G144" s="1489" t="str">
        <f t="shared" ref="G144:G179" si="21">IF(H144="","",ADDRESS(H144,I144,4)&amp;":"&amp;ADDRESS(J144,K144,4))</f>
        <v>P252:S280</v>
      </c>
      <c r="H144" s="1487">
        <f>ROW(P252)</f>
        <v>252</v>
      </c>
      <c r="I144" s="1487">
        <f>COLUMN(P252)</f>
        <v>16</v>
      </c>
      <c r="J144" s="1487">
        <f>ROW(S280)</f>
        <v>280</v>
      </c>
      <c r="K144" s="1487">
        <f>COLUMN(S280)</f>
        <v>19</v>
      </c>
      <c r="L144" s="1490"/>
    </row>
    <row r="145" ht="12.75" spans="2:19">
      <c r="B145" s="1504">
        <f t="shared" si="20"/>
        <v>142</v>
      </c>
      <c r="C145" s="1505" t="s">
        <v>1056</v>
      </c>
      <c r="D145" s="1504" t="str">
        <f t="shared" si="18"/>
        <v>是</v>
      </c>
      <c r="E145" s="1505"/>
      <c r="F145" s="1506"/>
      <c r="G145" s="1506"/>
      <c r="H145" s="1504"/>
      <c r="I145" s="1504"/>
      <c r="J145" s="1504"/>
      <c r="K145" s="1504"/>
      <c r="L145" s="1507" t="str">
        <f>判断表!L42</f>
        <v>隐藏</v>
      </c>
      <c r="N145" s="1456" t="str">
        <f>C111</f>
        <v>应收、预付、其他应收评估结论表</v>
      </c>
    </row>
    <row r="146" ht="12.75" spans="2:19">
      <c r="B146" s="1469">
        <f t="shared" si="20"/>
        <v>143</v>
      </c>
      <c r="C146" s="1470" t="s">
        <v>1057</v>
      </c>
      <c r="D146" s="1469" t="str">
        <f>D$145</f>
        <v>是</v>
      </c>
      <c r="E146" s="1520" t="str">
        <f>合同资总!BS5&amp;合同资总!BT5</f>
        <v>合同资产为：</v>
      </c>
      <c r="F146" s="1471"/>
      <c r="G146" s="1471"/>
      <c r="H146" s="1469"/>
      <c r="I146" s="1469"/>
      <c r="J146" s="1469"/>
      <c r="K146" s="1469"/>
      <c r="L146" s="1472"/>
      <c r="N146" s="1514" t="s">
        <v>521</v>
      </c>
      <c r="O146" s="1547" t="s">
        <v>1028</v>
      </c>
      <c r="P146" s="1547" t="s">
        <v>837</v>
      </c>
      <c r="Q146" s="1547" t="s">
        <v>526</v>
      </c>
      <c r="R146" s="1547" t="s">
        <v>838</v>
      </c>
      <c r="S146" s="1548" t="s">
        <v>1058</v>
      </c>
    </row>
    <row r="147" spans="2:19">
      <c r="B147" s="1487">
        <f t="shared" si="20"/>
        <v>144</v>
      </c>
      <c r="C147" s="1488" t="s">
        <v>1059</v>
      </c>
      <c r="D147" s="1487" t="str">
        <f>D$145</f>
        <v>是</v>
      </c>
      <c r="E147" s="1546"/>
      <c r="F147" s="1489" t="s">
        <v>863</v>
      </c>
      <c r="G147" s="1489" t="str">
        <f t="shared" si="21"/>
        <v>P284:P290</v>
      </c>
      <c r="H147" s="1487">
        <f>ROW(P284)</f>
        <v>284</v>
      </c>
      <c r="I147" s="1487">
        <f>COLUMN(P284)</f>
        <v>16</v>
      </c>
      <c r="J147" s="1487">
        <f>ROW(P290)</f>
        <v>290</v>
      </c>
      <c r="K147" s="1487">
        <f>COLUMN(P290)</f>
        <v>16</v>
      </c>
      <c r="L147" s="1490"/>
      <c r="N147" s="1556" t="s">
        <v>1030</v>
      </c>
      <c r="O147" s="1557" t="s">
        <v>1031</v>
      </c>
      <c r="P147" s="1482">
        <f>P132</f>
        <v>0</v>
      </c>
      <c r="Q147" s="1482">
        <f>分类汇总!BE13</f>
        <v>0</v>
      </c>
      <c r="R147" s="1482">
        <f>Q147-P147</f>
        <v>0</v>
      </c>
      <c r="S147" s="1501" t="str">
        <f>IFERROR(R147/P147*100,"")</f>
        <v/>
      </c>
    </row>
    <row r="148" spans="2:19">
      <c r="B148" s="1469">
        <f t="shared" si="20"/>
        <v>145</v>
      </c>
      <c r="C148" s="1470" t="s">
        <v>1060</v>
      </c>
      <c r="D148" s="1469" t="str">
        <f t="shared" si="18"/>
        <v>是</v>
      </c>
      <c r="E148" s="1520" t="str">
        <f>'合同资-未完施工'!BY15</f>
        <v/>
      </c>
      <c r="F148" s="1471"/>
      <c r="G148" s="1471"/>
      <c r="H148" s="1469"/>
      <c r="I148" s="1469"/>
      <c r="J148" s="1469"/>
      <c r="K148" s="1469"/>
      <c r="L148" s="1472" t="str">
        <f>判断表!L43</f>
        <v>隐藏</v>
      </c>
      <c r="N148" s="1556"/>
      <c r="O148" s="1557" t="s">
        <v>348</v>
      </c>
      <c r="P148" s="1482">
        <f>P147-P150</f>
        <v>0</v>
      </c>
      <c r="Q148" s="1482">
        <f>0</f>
        <v>0</v>
      </c>
      <c r="R148" s="1482">
        <f t="shared" ref="R148" si="22">Q148-P148</f>
        <v>0</v>
      </c>
      <c r="S148" s="1501" t="str">
        <f t="shared" ref="S148" si="23">IFERROR(R148/P148*100,"")</f>
        <v/>
      </c>
    </row>
    <row r="149" spans="2:19">
      <c r="B149" s="1469">
        <f t="shared" si="20"/>
        <v>146</v>
      </c>
      <c r="C149" s="1470" t="s">
        <v>1061</v>
      </c>
      <c r="D149" s="1469" t="str">
        <f t="shared" si="18"/>
        <v>是</v>
      </c>
      <c r="E149" s="1520" t="str">
        <f>'合同资-其他'!BW14</f>
        <v/>
      </c>
      <c r="F149" s="1471"/>
      <c r="G149" s="1471"/>
      <c r="H149" s="1469"/>
      <c r="I149" s="1469"/>
      <c r="J149" s="1469"/>
      <c r="K149" s="1469"/>
      <c r="L149" s="1472" t="str">
        <f>判断表!L44</f>
        <v>隐藏</v>
      </c>
      <c r="N149" s="1556"/>
      <c r="O149" s="1557" t="s">
        <v>1062</v>
      </c>
      <c r="P149" s="1482"/>
      <c r="Q149" s="1482">
        <f>Q147-Q150</f>
        <v>0</v>
      </c>
      <c r="R149" s="1482">
        <f t="shared" ref="R149:R161" si="24">Q149-P149</f>
        <v>0</v>
      </c>
      <c r="S149" s="1501" t="str">
        <f t="shared" ref="S149:S161" si="25">IFERROR(R149/P149*100,"")</f>
        <v/>
      </c>
    </row>
    <row r="150" spans="2:19">
      <c r="B150" s="1504">
        <f t="shared" si="20"/>
        <v>147</v>
      </c>
      <c r="C150" s="1505" t="s">
        <v>1063</v>
      </c>
      <c r="D150" s="1504" t="str">
        <f>D148</f>
        <v>是</v>
      </c>
      <c r="E150" s="1505"/>
      <c r="F150" s="1506"/>
      <c r="G150" s="1506"/>
      <c r="H150" s="1504"/>
      <c r="I150" s="1504"/>
      <c r="J150" s="1504"/>
      <c r="K150" s="1504"/>
      <c r="L150" s="1507"/>
      <c r="N150" s="1556" t="s">
        <v>1030</v>
      </c>
      <c r="O150" s="1557" t="s">
        <v>1034</v>
      </c>
      <c r="P150" s="1482">
        <f>P134</f>
        <v>0</v>
      </c>
      <c r="Q150" s="1482">
        <f>分类汇总!BH13</f>
        <v>0</v>
      </c>
      <c r="R150" s="1482">
        <f t="shared" si="24"/>
        <v>0</v>
      </c>
      <c r="S150" s="1501" t="str">
        <f t="shared" si="25"/>
        <v/>
      </c>
    </row>
    <row r="151" spans="2:19">
      <c r="B151" s="1504">
        <f t="shared" si="20"/>
        <v>148</v>
      </c>
      <c r="C151" s="1505" t="s">
        <v>1064</v>
      </c>
      <c r="D151" s="1504" t="str">
        <f>D149</f>
        <v>是</v>
      </c>
      <c r="E151" s="1505"/>
      <c r="F151" s="1506"/>
      <c r="G151" s="1506"/>
      <c r="H151" s="1504"/>
      <c r="I151" s="1504"/>
      <c r="J151" s="1504"/>
      <c r="K151" s="1504"/>
      <c r="L151" s="1507"/>
      <c r="N151" s="1556" t="s">
        <v>1036</v>
      </c>
      <c r="O151" s="1557" t="s">
        <v>1037</v>
      </c>
      <c r="P151" s="1482">
        <f>P135</f>
        <v>0</v>
      </c>
      <c r="Q151" s="1482">
        <f>分类汇总!BE15</f>
        <v>0</v>
      </c>
      <c r="R151" s="1482">
        <f t="shared" si="24"/>
        <v>0</v>
      </c>
      <c r="S151" s="1501" t="str">
        <f t="shared" si="25"/>
        <v/>
      </c>
    </row>
    <row r="152" spans="2:19">
      <c r="B152" s="1487">
        <f t="shared" si="20"/>
        <v>149</v>
      </c>
      <c r="C152" s="1488" t="s">
        <v>1065</v>
      </c>
      <c r="D152" s="1487" t="str">
        <f>D$145</f>
        <v>是</v>
      </c>
      <c r="E152" s="1546"/>
      <c r="F152" s="1489" t="s">
        <v>863</v>
      </c>
      <c r="G152" s="1489" t="str">
        <f t="shared" si="21"/>
        <v>P294:S302</v>
      </c>
      <c r="H152" s="1487">
        <f>ROW(P294)</f>
        <v>294</v>
      </c>
      <c r="I152" s="1487">
        <f>COLUMN(P294)</f>
        <v>16</v>
      </c>
      <c r="J152" s="1487">
        <f>ROW(S302)</f>
        <v>302</v>
      </c>
      <c r="K152" s="1487">
        <f>COLUMN(S302)</f>
        <v>19</v>
      </c>
      <c r="L152" s="1490"/>
      <c r="N152" s="1556"/>
      <c r="O152" s="1557" t="s">
        <v>348</v>
      </c>
      <c r="P152" s="1482">
        <f>P151-P154</f>
        <v>0</v>
      </c>
      <c r="Q152" s="1482">
        <f>0</f>
        <v>0</v>
      </c>
      <c r="R152" s="1482">
        <f t="shared" si="24"/>
        <v>0</v>
      </c>
      <c r="S152" s="1501" t="str">
        <f t="shared" si="25"/>
        <v/>
      </c>
    </row>
    <row r="153" spans="2:19">
      <c r="B153" s="1504">
        <f t="shared" si="20"/>
        <v>150</v>
      </c>
      <c r="C153" s="1505" t="s">
        <v>1066</v>
      </c>
      <c r="D153" s="1504" t="str">
        <f t="shared" si="18"/>
        <v>是</v>
      </c>
      <c r="E153" s="1505"/>
      <c r="F153" s="1506"/>
      <c r="G153" s="1506"/>
      <c r="H153" s="1504"/>
      <c r="I153" s="1504"/>
      <c r="J153" s="1504"/>
      <c r="K153" s="1504"/>
      <c r="L153" s="1507" t="str">
        <f>判断表!L45</f>
        <v>隐藏</v>
      </c>
      <c r="N153" s="1556"/>
      <c r="O153" s="1557" t="s">
        <v>1062</v>
      </c>
      <c r="P153" s="1482"/>
      <c r="Q153" s="1482">
        <f>Q151-Q154</f>
        <v>0</v>
      </c>
      <c r="R153" s="1482">
        <f t="shared" si="24"/>
        <v>0</v>
      </c>
      <c r="S153" s="1501" t="str">
        <f t="shared" si="25"/>
        <v/>
      </c>
    </row>
    <row r="154" spans="2:19">
      <c r="B154" s="1469">
        <f t="shared" si="20"/>
        <v>151</v>
      </c>
      <c r="C154" s="1470" t="s">
        <v>1067</v>
      </c>
      <c r="D154" s="1469" t="str">
        <f>D$153</f>
        <v>是</v>
      </c>
      <c r="E154" s="1482" t="str">
        <f>TEXT(流动资总!D18,"#,##0.00")</f>
        <v>0.00</v>
      </c>
      <c r="F154" s="1471"/>
      <c r="G154" s="1471"/>
      <c r="H154" s="1469"/>
      <c r="I154" s="1469"/>
      <c r="J154" s="1469"/>
      <c r="K154" s="1469"/>
      <c r="L154" s="1472"/>
      <c r="N154" s="1556" t="s">
        <v>1036</v>
      </c>
      <c r="O154" s="1557" t="s">
        <v>1040</v>
      </c>
      <c r="P154" s="1482">
        <f>P137</f>
        <v>0</v>
      </c>
      <c r="Q154" s="1482">
        <f>分类汇总!BH15</f>
        <v>0</v>
      </c>
      <c r="R154" s="1482">
        <f t="shared" si="24"/>
        <v>0</v>
      </c>
      <c r="S154" s="1501" t="str">
        <f t="shared" si="25"/>
        <v/>
      </c>
    </row>
    <row r="155" spans="2:19">
      <c r="B155" s="1469">
        <f t="shared" si="20"/>
        <v>152</v>
      </c>
      <c r="C155" s="1470" t="s">
        <v>1068</v>
      </c>
      <c r="D155" s="1469" t="str">
        <f>D$153</f>
        <v>是</v>
      </c>
      <c r="E155" s="1520" t="str">
        <f>持有待售资!BV14</f>
        <v/>
      </c>
      <c r="F155" s="1471"/>
      <c r="G155" s="1471"/>
      <c r="H155" s="1469"/>
      <c r="I155" s="1469"/>
      <c r="J155" s="1469"/>
      <c r="K155" s="1469"/>
      <c r="L155" s="1472"/>
      <c r="N155" s="1556" t="s">
        <v>1042</v>
      </c>
      <c r="O155" s="1557" t="s">
        <v>1043</v>
      </c>
      <c r="P155" s="1482">
        <f>SUM(P156:P157,P161)</f>
        <v>0</v>
      </c>
      <c r="Q155" s="1482">
        <f>SUM(Q156:Q157,Q161)</f>
        <v>0</v>
      </c>
      <c r="R155" s="1482">
        <f t="shared" si="24"/>
        <v>0</v>
      </c>
      <c r="S155" s="1501" t="str">
        <f t="shared" si="25"/>
        <v/>
      </c>
    </row>
    <row r="156" spans="2:19">
      <c r="B156" s="1469">
        <f t="shared" si="20"/>
        <v>153</v>
      </c>
      <c r="C156" s="1470" t="s">
        <v>1069</v>
      </c>
      <c r="D156" s="1469" t="str">
        <f>D$153</f>
        <v>是</v>
      </c>
      <c r="E156" s="1482" t="str">
        <f>TEXT(流动资总!E18,"#,##0.00")</f>
        <v>0.00</v>
      </c>
      <c r="F156" s="1471"/>
      <c r="G156" s="1471"/>
      <c r="H156" s="1469"/>
      <c r="I156" s="1469"/>
      <c r="J156" s="1469"/>
      <c r="K156" s="1469"/>
      <c r="L156" s="1472"/>
      <c r="N156" s="1556" t="s">
        <v>1045</v>
      </c>
      <c r="O156" s="1557" t="s">
        <v>1046</v>
      </c>
      <c r="P156" s="1482">
        <f>P139</f>
        <v>0</v>
      </c>
      <c r="Q156" s="1482">
        <f>其他应收总!BE7</f>
        <v>0</v>
      </c>
      <c r="R156" s="1482">
        <f t="shared" si="24"/>
        <v>0</v>
      </c>
      <c r="S156" s="1501" t="str">
        <f t="shared" si="25"/>
        <v/>
      </c>
    </row>
    <row r="157" spans="2:19">
      <c r="B157" s="1469">
        <f t="shared" si="20"/>
        <v>154</v>
      </c>
      <c r="C157" s="1470" t="s">
        <v>1070</v>
      </c>
      <c r="D157" s="1469" t="str">
        <f>D$153</f>
        <v>是</v>
      </c>
      <c r="E157" s="1520" t="str">
        <f>分类汇总!BV19</f>
        <v>无增减值</v>
      </c>
      <c r="F157" s="1471"/>
      <c r="G157" s="1471"/>
      <c r="H157" s="1469"/>
      <c r="I157" s="1469"/>
      <c r="J157" s="1469"/>
      <c r="K157" s="1469"/>
      <c r="L157" s="1472"/>
      <c r="N157" s="1556" t="s">
        <v>1048</v>
      </c>
      <c r="O157" s="1557" t="s">
        <v>353</v>
      </c>
      <c r="P157" s="1482">
        <f>P140</f>
        <v>0</v>
      </c>
      <c r="Q157" s="1482">
        <f>其他应收总!BE8</f>
        <v>0</v>
      </c>
      <c r="R157" s="1482">
        <f t="shared" si="24"/>
        <v>0</v>
      </c>
      <c r="S157" s="1501" t="str">
        <f t="shared" si="25"/>
        <v/>
      </c>
    </row>
    <row r="158" spans="2:19">
      <c r="B158" s="1504">
        <f t="shared" si="20"/>
        <v>155</v>
      </c>
      <c r="C158" s="1505" t="s">
        <v>1071</v>
      </c>
      <c r="D158" s="1504" t="str">
        <f t="shared" si="18"/>
        <v>是</v>
      </c>
      <c r="E158" s="1505"/>
      <c r="F158" s="1506"/>
      <c r="G158" s="1506"/>
      <c r="H158" s="1504"/>
      <c r="I158" s="1504"/>
      <c r="J158" s="1504"/>
      <c r="K158" s="1504"/>
      <c r="L158" s="1507" t="str">
        <f>判断表!L46</f>
        <v>隐藏</v>
      </c>
      <c r="N158" s="1556" t="s">
        <v>1050</v>
      </c>
      <c r="O158" s="1557" t="s">
        <v>1051</v>
      </c>
      <c r="P158" s="1482">
        <f>P141</f>
        <v>0</v>
      </c>
      <c r="Q158" s="1482">
        <f>其他应收总!BE9</f>
        <v>0</v>
      </c>
      <c r="R158" s="1482">
        <f t="shared" si="24"/>
        <v>0</v>
      </c>
      <c r="S158" s="1501" t="str">
        <f t="shared" si="25"/>
        <v/>
      </c>
    </row>
    <row r="159" spans="2:19">
      <c r="B159" s="1469">
        <f t="shared" si="20"/>
        <v>156</v>
      </c>
      <c r="C159" s="1470" t="s">
        <v>1072</v>
      </c>
      <c r="D159" s="1469" t="str">
        <f>D$158</f>
        <v>是</v>
      </c>
      <c r="E159" s="1482" t="str">
        <f>TEXT(流动资总!D19,"#,##0.00")</f>
        <v>0.00</v>
      </c>
      <c r="F159" s="1471"/>
      <c r="G159" s="1471"/>
      <c r="H159" s="1469"/>
      <c r="I159" s="1469"/>
      <c r="J159" s="1469"/>
      <c r="K159" s="1469"/>
      <c r="L159" s="1472"/>
      <c r="N159" s="1556"/>
      <c r="O159" s="1557" t="s">
        <v>348</v>
      </c>
      <c r="P159" s="1482">
        <f>P158-P161</f>
        <v>0</v>
      </c>
      <c r="Q159" s="1482">
        <f>0</f>
        <v>0</v>
      </c>
      <c r="R159" s="1482">
        <f t="shared" si="24"/>
        <v>0</v>
      </c>
      <c r="S159" s="1501" t="str">
        <f t="shared" si="25"/>
        <v/>
      </c>
    </row>
    <row r="160" spans="2:19">
      <c r="B160" s="1469">
        <f t="shared" si="20"/>
        <v>157</v>
      </c>
      <c r="C160" s="1470" t="s">
        <v>1073</v>
      </c>
      <c r="D160" s="1469" t="str">
        <f>D$158</f>
        <v>是</v>
      </c>
      <c r="E160" s="1520" t="str">
        <f>一年到期资!BV14</f>
        <v/>
      </c>
      <c r="F160" s="1471"/>
      <c r="G160" s="1471"/>
      <c r="H160" s="1469"/>
      <c r="I160" s="1469"/>
      <c r="J160" s="1469"/>
      <c r="K160" s="1469"/>
      <c r="L160" s="1472"/>
      <c r="N160" s="1556"/>
      <c r="O160" s="1557" t="s">
        <v>1062</v>
      </c>
      <c r="P160" s="1482"/>
      <c r="Q160" s="1482">
        <f>Q158-Q161</f>
        <v>0</v>
      </c>
      <c r="R160" s="1482">
        <f t="shared" si="24"/>
        <v>0</v>
      </c>
      <c r="S160" s="1501" t="str">
        <f t="shared" si="25"/>
        <v/>
      </c>
    </row>
    <row r="161" ht="12.75" spans="2:19">
      <c r="B161" s="1469">
        <f t="shared" si="20"/>
        <v>158</v>
      </c>
      <c r="C161" s="1470" t="s">
        <v>1074</v>
      </c>
      <c r="D161" s="1469" t="str">
        <f>D$158</f>
        <v>是</v>
      </c>
      <c r="E161" s="1482" t="str">
        <f>TEXT(流动资总!E19,"#,##0.00")</f>
        <v>0.00</v>
      </c>
      <c r="F161" s="1471"/>
      <c r="G161" s="1471"/>
      <c r="H161" s="1469"/>
      <c r="I161" s="1469"/>
      <c r="J161" s="1469"/>
      <c r="K161" s="1469"/>
      <c r="L161" s="1472"/>
      <c r="N161" s="1558" t="s">
        <v>1050</v>
      </c>
      <c r="O161" s="1559" t="s">
        <v>1054</v>
      </c>
      <c r="P161" s="1561">
        <f>P143</f>
        <v>0</v>
      </c>
      <c r="Q161" s="1561">
        <f>其他应收总!BH9</f>
        <v>0</v>
      </c>
      <c r="R161" s="1561">
        <f t="shared" si="24"/>
        <v>0</v>
      </c>
      <c r="S161" s="1560" t="str">
        <f t="shared" si="25"/>
        <v/>
      </c>
    </row>
    <row r="162" ht="12.75" spans="2:19">
      <c r="B162" s="1469">
        <f t="shared" si="20"/>
        <v>159</v>
      </c>
      <c r="C162" s="1470" t="s">
        <v>1075</v>
      </c>
      <c r="D162" s="1469" t="str">
        <f>D$158</f>
        <v>是</v>
      </c>
      <c r="E162" s="1520" t="str">
        <f>分类汇总!BV20</f>
        <v>无增减值</v>
      </c>
      <c r="F162" s="1471"/>
      <c r="G162" s="1471"/>
      <c r="H162" s="1469"/>
      <c r="I162" s="1469"/>
      <c r="J162" s="1469"/>
      <c r="K162" s="1469"/>
      <c r="L162" s="1472"/>
    </row>
    <row r="163" ht="12.75" spans="2:19">
      <c r="B163" s="1504">
        <f t="shared" si="20"/>
        <v>160</v>
      </c>
      <c r="C163" s="1505" t="s">
        <v>1076</v>
      </c>
      <c r="D163" s="1504" t="str">
        <f t="shared" si="18"/>
        <v>是</v>
      </c>
      <c r="E163" s="1505"/>
      <c r="F163" s="1506"/>
      <c r="G163" s="1506"/>
      <c r="H163" s="1504"/>
      <c r="I163" s="1504"/>
      <c r="J163" s="1504"/>
      <c r="K163" s="1504"/>
      <c r="L163" s="1507" t="str">
        <f>判断表!L47</f>
        <v>隐藏</v>
      </c>
      <c r="N163" s="1456" t="str">
        <f>C113</f>
        <v>应收款项融资账面值表</v>
      </c>
    </row>
    <row r="164" ht="12.75" spans="2:19">
      <c r="B164" s="1469">
        <f t="shared" si="20"/>
        <v>161</v>
      </c>
      <c r="C164" s="1470" t="s">
        <v>1077</v>
      </c>
      <c r="D164" s="1469" t="str">
        <f>D$163</f>
        <v>是</v>
      </c>
      <c r="E164" s="1482" t="str">
        <f>TEXT(流动资总!D20,"#,##0.00")</f>
        <v>0.00</v>
      </c>
      <c r="F164" s="1471"/>
      <c r="G164" s="1471"/>
      <c r="H164" s="1469"/>
      <c r="I164" s="1469"/>
      <c r="J164" s="1469"/>
      <c r="K164" s="1469"/>
      <c r="L164" s="1472"/>
      <c r="N164" s="1514" t="s">
        <v>521</v>
      </c>
      <c r="O164" s="1547" t="s">
        <v>1028</v>
      </c>
      <c r="P164" s="1548" t="s">
        <v>837</v>
      </c>
    </row>
    <row r="165" spans="2:19">
      <c r="B165" s="1469">
        <f t="shared" si="20"/>
        <v>162</v>
      </c>
      <c r="C165" s="1470" t="s">
        <v>1078</v>
      </c>
      <c r="D165" s="1469" t="str">
        <f>D$163</f>
        <v>是</v>
      </c>
      <c r="E165" s="1520" t="str">
        <f>其他流资!BV14</f>
        <v/>
      </c>
      <c r="F165" s="1471"/>
      <c r="G165" s="1471"/>
      <c r="H165" s="1469"/>
      <c r="I165" s="1469"/>
      <c r="J165" s="1469"/>
      <c r="K165" s="1469"/>
      <c r="L165" s="1472"/>
      <c r="N165" s="1556" t="s">
        <v>1030</v>
      </c>
      <c r="O165" s="1557" t="s">
        <v>1079</v>
      </c>
      <c r="P165" s="1501">
        <f>应收款融资总!BA7</f>
        <v>0</v>
      </c>
    </row>
    <row r="166" spans="2:19">
      <c r="B166" s="1469">
        <f t="shared" si="20"/>
        <v>163</v>
      </c>
      <c r="C166" s="1470" t="s">
        <v>1080</v>
      </c>
      <c r="D166" s="1469" t="str">
        <f>D$163</f>
        <v>是</v>
      </c>
      <c r="E166" s="1482" t="str">
        <f>TEXT(流动资总!E20,"#,##0.00")</f>
        <v>0.00</v>
      </c>
      <c r="F166" s="1471"/>
      <c r="G166" s="1471"/>
      <c r="H166" s="1469"/>
      <c r="I166" s="1469"/>
      <c r="J166" s="1469"/>
      <c r="K166" s="1469"/>
      <c r="L166" s="1472"/>
      <c r="N166" s="1556"/>
      <c r="O166" s="1557" t="s">
        <v>348</v>
      </c>
      <c r="P166" s="1501">
        <f>P165-P167</f>
        <v>0</v>
      </c>
    </row>
    <row r="167" spans="2:19">
      <c r="B167" s="1469">
        <f t="shared" si="20"/>
        <v>164</v>
      </c>
      <c r="C167" s="1470" t="s">
        <v>1081</v>
      </c>
      <c r="D167" s="1469" t="str">
        <f>D$163</f>
        <v>是</v>
      </c>
      <c r="E167" s="1520" t="str">
        <f>分类汇总!BV21</f>
        <v>无增减值</v>
      </c>
      <c r="F167" s="1471"/>
      <c r="G167" s="1471"/>
      <c r="H167" s="1469"/>
      <c r="I167" s="1469"/>
      <c r="J167" s="1469"/>
      <c r="K167" s="1469"/>
      <c r="L167" s="1472"/>
      <c r="N167" s="1556" t="s">
        <v>1030</v>
      </c>
      <c r="O167" s="1557" t="s">
        <v>1082</v>
      </c>
      <c r="P167" s="1501">
        <f>应收款融资总!BD7</f>
        <v>0</v>
      </c>
    </row>
    <row r="168" spans="2:19">
      <c r="B168" s="1487">
        <f t="shared" si="20"/>
        <v>165</v>
      </c>
      <c r="C168" s="1488" t="s">
        <v>1083</v>
      </c>
      <c r="D168" s="1487" t="str">
        <f>D$64</f>
        <v>否</v>
      </c>
      <c r="E168" s="1546"/>
      <c r="F168" s="1489" t="s">
        <v>863</v>
      </c>
      <c r="G168" s="1489" t="str">
        <f t="shared" si="21"/>
        <v>P306:S320</v>
      </c>
      <c r="H168" s="1487">
        <f>ROW(P306)</f>
        <v>306</v>
      </c>
      <c r="I168" s="1487">
        <f>COLUMN(P306)</f>
        <v>16</v>
      </c>
      <c r="J168" s="1487">
        <f>ROW(S320)</f>
        <v>320</v>
      </c>
      <c r="K168" s="1487">
        <f>COLUMN(S320)</f>
        <v>19</v>
      </c>
      <c r="L168" s="1490"/>
      <c r="N168" s="1556" t="s">
        <v>1036</v>
      </c>
      <c r="O168" s="1557" t="s">
        <v>1084</v>
      </c>
      <c r="P168" s="1501">
        <f>应收款融资总!BA8</f>
        <v>0</v>
      </c>
    </row>
    <row r="169" spans="2:19">
      <c r="B169" s="1469">
        <f t="shared" si="20"/>
        <v>166</v>
      </c>
      <c r="C169" s="1470" t="s">
        <v>1085</v>
      </c>
      <c r="D169" s="1469" t="str">
        <f>D$64</f>
        <v>否</v>
      </c>
      <c r="E169" s="1520" t="str">
        <f>分类汇总!BV7</f>
        <v>增值280.15万元，增值率7878.80%</v>
      </c>
      <c r="F169" s="1471"/>
      <c r="G169" s="1471"/>
      <c r="H169" s="1469"/>
      <c r="I169" s="1469"/>
      <c r="J169" s="1469"/>
      <c r="K169" s="1469"/>
      <c r="L169" s="1472"/>
      <c r="N169" s="1556"/>
      <c r="O169" s="1557" t="s">
        <v>348</v>
      </c>
      <c r="P169" s="1501">
        <f>P168-P170</f>
        <v>0</v>
      </c>
    </row>
    <row r="170" spans="2:19">
      <c r="B170" s="1504">
        <f t="shared" si="20"/>
        <v>167</v>
      </c>
      <c r="C170" s="1505" t="s">
        <v>1086</v>
      </c>
      <c r="D170" s="1504" t="str">
        <f t="shared" si="18"/>
        <v>是</v>
      </c>
      <c r="E170" s="1505"/>
      <c r="F170" s="1506"/>
      <c r="G170" s="1506"/>
      <c r="H170" s="1504"/>
      <c r="I170" s="1504"/>
      <c r="J170" s="1504"/>
      <c r="K170" s="1504"/>
      <c r="L170" s="1507" t="str">
        <f>判断表!L49</f>
        <v>隐藏</v>
      </c>
      <c r="N170" s="1556" t="s">
        <v>1036</v>
      </c>
      <c r="O170" s="1557" t="s">
        <v>1087</v>
      </c>
      <c r="P170" s="1501">
        <f>应收款融资总!BD8</f>
        <v>0</v>
      </c>
    </row>
    <row r="171" ht="12.75" spans="2:19">
      <c r="B171" s="1469">
        <f t="shared" si="20"/>
        <v>168</v>
      </c>
      <c r="C171" s="1470" t="s">
        <v>1088</v>
      </c>
      <c r="D171" s="1469" t="str">
        <f>D$170</f>
        <v>是</v>
      </c>
      <c r="E171" s="1520" t="str">
        <f>可供出售总!BS5&amp;可供出售总!BT5</f>
        <v>可供出售金融资产为：</v>
      </c>
      <c r="F171" s="1471"/>
      <c r="G171" s="1471"/>
      <c r="H171" s="1469"/>
      <c r="I171" s="1469"/>
      <c r="J171" s="1469"/>
      <c r="K171" s="1469"/>
      <c r="L171" s="1472"/>
      <c r="N171" s="1562" t="s">
        <v>1042</v>
      </c>
      <c r="O171" s="1563" t="s">
        <v>1089</v>
      </c>
      <c r="P171" s="1513">
        <f>SUM(P167,P170)</f>
        <v>0</v>
      </c>
    </row>
    <row r="172" ht="12.75" spans="2:19">
      <c r="B172" s="1487">
        <f t="shared" si="20"/>
        <v>169</v>
      </c>
      <c r="C172" s="1488" t="s">
        <v>1090</v>
      </c>
      <c r="D172" s="1487" t="str">
        <f>D$170</f>
        <v>是</v>
      </c>
      <c r="E172" s="1546"/>
      <c r="F172" s="1489" t="s">
        <v>863</v>
      </c>
      <c r="G172" s="1489" t="str">
        <f t="shared" si="21"/>
        <v>P324:P333</v>
      </c>
      <c r="H172" s="1487">
        <f>ROW(P324)</f>
        <v>324</v>
      </c>
      <c r="I172" s="1487">
        <f>COLUMN(P324)</f>
        <v>16</v>
      </c>
      <c r="J172" s="1487">
        <f>ROW(P333)</f>
        <v>333</v>
      </c>
      <c r="K172" s="1487">
        <f>COLUMN(P333)</f>
        <v>16</v>
      </c>
      <c r="L172" s="1490"/>
    </row>
    <row r="173" ht="12.75" spans="2:19">
      <c r="B173" s="1469">
        <f t="shared" si="20"/>
        <v>170</v>
      </c>
      <c r="C173" s="1470" t="s">
        <v>1091</v>
      </c>
      <c r="D173" s="1469" t="str">
        <f t="shared" si="18"/>
        <v>是</v>
      </c>
      <c r="E173" s="1520" t="str">
        <f>'可供-股票'!BV14</f>
        <v/>
      </c>
      <c r="F173" s="1471"/>
      <c r="G173" s="1471"/>
      <c r="H173" s="1469"/>
      <c r="I173" s="1469"/>
      <c r="J173" s="1469"/>
      <c r="K173" s="1469"/>
      <c r="L173" s="1472" t="str">
        <f>判断表!L50</f>
        <v>隐藏</v>
      </c>
      <c r="N173" s="1456" t="str">
        <f>C119</f>
        <v>应收款项融资评估结论表</v>
      </c>
    </row>
    <row r="174" ht="12.75" spans="2:19">
      <c r="B174" s="1469">
        <f t="shared" si="20"/>
        <v>171</v>
      </c>
      <c r="C174" s="1470" t="s">
        <v>1092</v>
      </c>
      <c r="D174" s="1469" t="str">
        <f t="shared" si="18"/>
        <v>是</v>
      </c>
      <c r="E174" s="1520" t="str">
        <f>'可供-债券'!CA14</f>
        <v/>
      </c>
      <c r="F174" s="1471"/>
      <c r="G174" s="1471"/>
      <c r="H174" s="1469"/>
      <c r="I174" s="1469"/>
      <c r="J174" s="1469"/>
      <c r="K174" s="1469"/>
      <c r="L174" s="1472" t="str">
        <f>判断表!L51</f>
        <v>隐藏</v>
      </c>
      <c r="N174" s="1514" t="s">
        <v>521</v>
      </c>
      <c r="O174" s="1547" t="s">
        <v>1028</v>
      </c>
      <c r="P174" s="1547" t="s">
        <v>837</v>
      </c>
      <c r="Q174" s="1547" t="s">
        <v>526</v>
      </c>
      <c r="R174" s="1547" t="s">
        <v>838</v>
      </c>
      <c r="S174" s="1548" t="s">
        <v>1058</v>
      </c>
    </row>
    <row r="175" spans="2:19">
      <c r="B175" s="1469">
        <f t="shared" si="20"/>
        <v>172</v>
      </c>
      <c r="C175" s="1470" t="s">
        <v>1093</v>
      </c>
      <c r="D175" s="1469" t="str">
        <f t="shared" si="18"/>
        <v>是</v>
      </c>
      <c r="E175" s="1520" t="str">
        <f>'可供-其他'!BX14</f>
        <v/>
      </c>
      <c r="F175" s="1471"/>
      <c r="G175" s="1471"/>
      <c r="H175" s="1469"/>
      <c r="I175" s="1469"/>
      <c r="J175" s="1469"/>
      <c r="K175" s="1469"/>
      <c r="L175" s="1472" t="str">
        <f>判断表!L52</f>
        <v>隐藏</v>
      </c>
      <c r="N175" s="1556" t="s">
        <v>1030</v>
      </c>
      <c r="O175" s="1557" t="s">
        <v>1079</v>
      </c>
      <c r="P175" s="1482">
        <f>P165</f>
        <v>0</v>
      </c>
      <c r="Q175" s="1482">
        <f>应收款融资总!BE7</f>
        <v>0</v>
      </c>
      <c r="R175" s="1482">
        <f>Q175-P175</f>
        <v>0</v>
      </c>
      <c r="S175" s="1501" t="str">
        <f>IFERROR(R175/P175*100,"")</f>
        <v/>
      </c>
    </row>
    <row r="176" spans="2:19">
      <c r="B176" s="1504">
        <f t="shared" si="20"/>
        <v>173</v>
      </c>
      <c r="C176" s="1505" t="s">
        <v>1094</v>
      </c>
      <c r="D176" s="1504" t="str">
        <f>D173</f>
        <v>是</v>
      </c>
      <c r="E176" s="1505"/>
      <c r="F176" s="1506"/>
      <c r="G176" s="1506"/>
      <c r="H176" s="1504"/>
      <c r="I176" s="1504"/>
      <c r="J176" s="1504"/>
      <c r="K176" s="1504"/>
      <c r="L176" s="1507"/>
      <c r="N176" s="1556"/>
      <c r="O176" s="1557" t="s">
        <v>348</v>
      </c>
      <c r="P176" s="1482">
        <f>P175-P178</f>
        <v>0</v>
      </c>
      <c r="Q176" s="1482">
        <f>0</f>
        <v>0</v>
      </c>
      <c r="R176" s="1482">
        <f t="shared" ref="R176:R183" si="26">Q176-P176</f>
        <v>0</v>
      </c>
      <c r="S176" s="1501" t="str">
        <f t="shared" ref="S176:S183" si="27">IFERROR(R176/P176*100,"")</f>
        <v/>
      </c>
    </row>
    <row r="177" spans="2:19">
      <c r="B177" s="1504">
        <f t="shared" si="20"/>
        <v>174</v>
      </c>
      <c r="C177" s="1505" t="s">
        <v>1095</v>
      </c>
      <c r="D177" s="1504" t="str">
        <f t="shared" ref="D177:D178" si="28">D174</f>
        <v>是</v>
      </c>
      <c r="E177" s="1505"/>
      <c r="F177" s="1506"/>
      <c r="G177" s="1506"/>
      <c r="H177" s="1504"/>
      <c r="I177" s="1504"/>
      <c r="J177" s="1504"/>
      <c r="K177" s="1504"/>
      <c r="L177" s="1507"/>
      <c r="N177" s="1556"/>
      <c r="O177" s="1557" t="s">
        <v>1062</v>
      </c>
      <c r="P177" s="1482"/>
      <c r="Q177" s="1482">
        <f>Q175-Q178</f>
        <v>0</v>
      </c>
      <c r="R177" s="1482"/>
      <c r="S177" s="1501"/>
    </row>
    <row r="178" spans="2:19">
      <c r="B178" s="1504">
        <f t="shared" si="20"/>
        <v>175</v>
      </c>
      <c r="C178" s="1505" t="s">
        <v>1096</v>
      </c>
      <c r="D178" s="1504" t="str">
        <f t="shared" si="28"/>
        <v>是</v>
      </c>
      <c r="E178" s="1505"/>
      <c r="F178" s="1506"/>
      <c r="G178" s="1506"/>
      <c r="H178" s="1504"/>
      <c r="I178" s="1504"/>
      <c r="J178" s="1504"/>
      <c r="K178" s="1504"/>
      <c r="L178" s="1507"/>
      <c r="N178" s="1556" t="s">
        <v>1030</v>
      </c>
      <c r="O178" s="1557" t="s">
        <v>1082</v>
      </c>
      <c r="P178" s="1482">
        <f>P167</f>
        <v>0</v>
      </c>
      <c r="Q178" s="1482">
        <f>应收款融资总!BH7</f>
        <v>0</v>
      </c>
      <c r="R178" s="1482">
        <f t="shared" si="26"/>
        <v>0</v>
      </c>
      <c r="S178" s="1501" t="str">
        <f t="shared" si="27"/>
        <v/>
      </c>
    </row>
    <row r="179" spans="2:19">
      <c r="B179" s="1487">
        <f t="shared" si="20"/>
        <v>176</v>
      </c>
      <c r="C179" s="1488" t="s">
        <v>1097</v>
      </c>
      <c r="D179" s="1487" t="str">
        <f>D$170</f>
        <v>是</v>
      </c>
      <c r="E179" s="1546"/>
      <c r="F179" s="1489" t="s">
        <v>863</v>
      </c>
      <c r="G179" s="1489" t="str">
        <f t="shared" si="21"/>
        <v>P337:S346</v>
      </c>
      <c r="H179" s="1487">
        <f>ROW(P337)</f>
        <v>337</v>
      </c>
      <c r="I179" s="1487">
        <f>COLUMN(P337)</f>
        <v>16</v>
      </c>
      <c r="J179" s="1487">
        <f>ROW(S346)</f>
        <v>346</v>
      </c>
      <c r="K179" s="1487">
        <f>COLUMN(S346)</f>
        <v>19</v>
      </c>
      <c r="L179" s="1490"/>
      <c r="N179" s="1556" t="s">
        <v>1036</v>
      </c>
      <c r="O179" s="1557" t="s">
        <v>1084</v>
      </c>
      <c r="P179" s="1482">
        <f>P168</f>
        <v>0</v>
      </c>
      <c r="Q179" s="1482">
        <f>应收款融资总!BE8</f>
        <v>0</v>
      </c>
      <c r="R179" s="1482">
        <f t="shared" si="26"/>
        <v>0</v>
      </c>
      <c r="S179" s="1501" t="str">
        <f t="shared" si="27"/>
        <v/>
      </c>
    </row>
    <row r="180" spans="2:19">
      <c r="B180" s="1469">
        <f t="shared" si="20"/>
        <v>177</v>
      </c>
      <c r="C180" s="1470" t="s">
        <v>1098</v>
      </c>
      <c r="D180" s="1469" t="str">
        <f>D$170</f>
        <v>是</v>
      </c>
      <c r="E180" s="1520" t="str">
        <f>分类汇总!BV23</f>
        <v>无增减值</v>
      </c>
      <c r="F180" s="1471"/>
      <c r="G180" s="1471"/>
      <c r="H180" s="1469"/>
      <c r="I180" s="1469"/>
      <c r="J180" s="1469"/>
      <c r="K180" s="1469"/>
      <c r="L180" s="1472"/>
      <c r="N180" s="1556"/>
      <c r="O180" s="1557" t="s">
        <v>348</v>
      </c>
      <c r="P180" s="1482">
        <f>P179-P182</f>
        <v>0</v>
      </c>
      <c r="Q180" s="1482">
        <f>0</f>
        <v>0</v>
      </c>
      <c r="R180" s="1482">
        <f t="shared" si="26"/>
        <v>0</v>
      </c>
      <c r="S180" s="1501" t="str">
        <f t="shared" si="27"/>
        <v/>
      </c>
    </row>
    <row r="181" spans="2:19">
      <c r="B181" s="1504">
        <f t="shared" si="20"/>
        <v>178</v>
      </c>
      <c r="C181" s="1505" t="s">
        <v>1099</v>
      </c>
      <c r="D181" s="1504" t="str">
        <f t="shared" si="18"/>
        <v>是</v>
      </c>
      <c r="E181" s="1505"/>
      <c r="F181" s="1506"/>
      <c r="G181" s="1506"/>
      <c r="H181" s="1504"/>
      <c r="I181" s="1504"/>
      <c r="J181" s="1504"/>
      <c r="K181" s="1504"/>
      <c r="L181" s="1507" t="str">
        <f>判断表!L53</f>
        <v>隐藏</v>
      </c>
      <c r="N181" s="1556"/>
      <c r="O181" s="1557" t="s">
        <v>1062</v>
      </c>
      <c r="P181" s="1482"/>
      <c r="Q181" s="1482">
        <f>Q179-Q182</f>
        <v>0</v>
      </c>
      <c r="R181" s="1482"/>
      <c r="S181" s="1501"/>
    </row>
    <row r="182" spans="2:19">
      <c r="B182" s="1469">
        <f t="shared" si="20"/>
        <v>179</v>
      </c>
      <c r="C182" s="1470" t="s">
        <v>1100</v>
      </c>
      <c r="D182" s="1469" t="str">
        <f t="shared" ref="D182:D187" si="29">D$181</f>
        <v>是</v>
      </c>
      <c r="E182" s="1482" t="str">
        <f>TEXT(非流动资总!BA8,"#,##0.00")</f>
        <v>0.00</v>
      </c>
      <c r="F182" s="1471"/>
      <c r="G182" s="1471"/>
      <c r="H182" s="1469"/>
      <c r="I182" s="1469"/>
      <c r="J182" s="1469"/>
      <c r="K182" s="1469"/>
      <c r="L182" s="1472"/>
      <c r="N182" s="1556" t="s">
        <v>1036</v>
      </c>
      <c r="O182" s="1557" t="s">
        <v>1087</v>
      </c>
      <c r="P182" s="1482">
        <f>P170</f>
        <v>0</v>
      </c>
      <c r="Q182" s="1482">
        <f>应收款融资总!BH8</f>
        <v>0</v>
      </c>
      <c r="R182" s="1482">
        <f t="shared" si="26"/>
        <v>0</v>
      </c>
      <c r="S182" s="1501" t="str">
        <f t="shared" si="27"/>
        <v/>
      </c>
    </row>
    <row r="183" ht="12.75" spans="2:19">
      <c r="B183" s="1469">
        <f t="shared" si="20"/>
        <v>180</v>
      </c>
      <c r="C183" s="1470" t="s">
        <v>1101</v>
      </c>
      <c r="D183" s="1469" t="str">
        <f t="shared" si="29"/>
        <v>是</v>
      </c>
      <c r="E183" s="1520" t="str">
        <f>IF(E182-E184=0,"未计提减值准备","计提减值准备"&amp;TEXT(E182-E184,"#,##0.00")&amp;"万元")</f>
        <v>未计提减值准备</v>
      </c>
      <c r="F183" s="1471"/>
      <c r="G183" s="1471"/>
      <c r="H183" s="1469"/>
      <c r="I183" s="1469"/>
      <c r="J183" s="1469"/>
      <c r="K183" s="1469"/>
      <c r="L183" s="1472"/>
      <c r="N183" s="1562" t="s">
        <v>1042</v>
      </c>
      <c r="O183" s="1563" t="s">
        <v>1089</v>
      </c>
      <c r="P183" s="1512">
        <f>SUM(P178,P182)</f>
        <v>0</v>
      </c>
      <c r="Q183" s="1512">
        <f>SUM(Q178,Q182)</f>
        <v>0</v>
      </c>
      <c r="R183" s="1512">
        <f t="shared" si="26"/>
        <v>0</v>
      </c>
      <c r="S183" s="1513" t="str">
        <f t="shared" si="27"/>
        <v/>
      </c>
    </row>
    <row r="184" ht="12.75" spans="2:19">
      <c r="B184" s="1469">
        <f t="shared" si="20"/>
        <v>181</v>
      </c>
      <c r="C184" s="1470" t="s">
        <v>1102</v>
      </c>
      <c r="D184" s="1469" t="str">
        <f t="shared" si="29"/>
        <v>是</v>
      </c>
      <c r="E184" s="1482" t="str">
        <f>TEXT(非流动资总!BD8,"#,##0.00")</f>
        <v>0.00</v>
      </c>
      <c r="F184" s="1471"/>
      <c r="G184" s="1471"/>
      <c r="H184" s="1469"/>
      <c r="I184" s="1469"/>
      <c r="J184" s="1469"/>
      <c r="K184" s="1469"/>
      <c r="L184" s="1472"/>
    </row>
    <row r="185" ht="12.75" spans="2:19">
      <c r="B185" s="1469">
        <f t="shared" si="20"/>
        <v>182</v>
      </c>
      <c r="C185" s="1470" t="s">
        <v>1103</v>
      </c>
      <c r="D185" s="1469" t="str">
        <f t="shared" si="29"/>
        <v>是</v>
      </c>
      <c r="E185" s="1520" t="str">
        <f>持有到期!CA14</f>
        <v/>
      </c>
      <c r="F185" s="1471"/>
      <c r="G185" s="1471"/>
      <c r="H185" s="1469"/>
      <c r="I185" s="1469"/>
      <c r="J185" s="1469"/>
      <c r="K185" s="1469"/>
      <c r="L185" s="1472"/>
      <c r="N185" s="1456" t="str">
        <f>C121</f>
        <v>存货账面值表</v>
      </c>
    </row>
    <row r="186" ht="12.75" spans="2:19">
      <c r="B186" s="1469">
        <f t="shared" si="20"/>
        <v>183</v>
      </c>
      <c r="C186" s="1470" t="s">
        <v>1104</v>
      </c>
      <c r="D186" s="1469" t="str">
        <f t="shared" si="29"/>
        <v>是</v>
      </c>
      <c r="E186" s="1482" t="str">
        <f>TEXT(非流动资总!E8,"#,##0.00")</f>
        <v>0.00</v>
      </c>
      <c r="F186" s="1471"/>
      <c r="G186" s="1471"/>
      <c r="H186" s="1469"/>
      <c r="I186" s="1469"/>
      <c r="J186" s="1469"/>
      <c r="K186" s="1469"/>
      <c r="L186" s="1472"/>
      <c r="N186" s="1514" t="s">
        <v>521</v>
      </c>
      <c r="O186" s="1547" t="s">
        <v>1028</v>
      </c>
      <c r="P186" s="1548" t="s">
        <v>837</v>
      </c>
    </row>
    <row r="187" spans="2:19">
      <c r="B187" s="1469">
        <f t="shared" si="20"/>
        <v>184</v>
      </c>
      <c r="C187" s="1470" t="s">
        <v>1105</v>
      </c>
      <c r="D187" s="1469" t="str">
        <f t="shared" si="29"/>
        <v>是</v>
      </c>
      <c r="E187" s="1520" t="str">
        <f>分类汇总!BV24</f>
        <v>无增减值</v>
      </c>
      <c r="F187" s="1471"/>
      <c r="G187" s="1471"/>
      <c r="H187" s="1469"/>
      <c r="I187" s="1469"/>
      <c r="J187" s="1469"/>
      <c r="K187" s="1469"/>
      <c r="L187" s="1472"/>
      <c r="N187" s="1556" t="s">
        <v>1030</v>
      </c>
      <c r="O187" s="1557" t="s">
        <v>1106</v>
      </c>
      <c r="P187" s="1501">
        <f>存货总!BA7</f>
        <v>0</v>
      </c>
    </row>
    <row r="188" spans="2:19">
      <c r="B188" s="1504">
        <f t="shared" si="20"/>
        <v>185</v>
      </c>
      <c r="C188" s="1505" t="s">
        <v>1107</v>
      </c>
      <c r="D188" s="1504" t="str">
        <f t="shared" si="18"/>
        <v>是</v>
      </c>
      <c r="E188" s="1505"/>
      <c r="F188" s="1506"/>
      <c r="G188" s="1506"/>
      <c r="H188" s="1504"/>
      <c r="I188" s="1504"/>
      <c r="J188" s="1504"/>
      <c r="K188" s="1504"/>
      <c r="L188" s="1507" t="str">
        <f>判断表!L54</f>
        <v>隐藏</v>
      </c>
      <c r="N188" s="1556"/>
      <c r="O188" s="1557" t="s">
        <v>1108</v>
      </c>
      <c r="P188" s="1501">
        <f>P187-P189</f>
        <v>0</v>
      </c>
    </row>
    <row r="189" spans="2:19">
      <c r="B189" s="1469">
        <f t="shared" si="20"/>
        <v>186</v>
      </c>
      <c r="C189" s="1470" t="s">
        <v>1109</v>
      </c>
      <c r="D189" s="1469" t="str">
        <f t="shared" ref="D189:D194" si="30">D$188</f>
        <v>是</v>
      </c>
      <c r="E189" s="1482" t="str">
        <f>TEXT(非流动资总!BA9,"#,##0.00")</f>
        <v>0.00</v>
      </c>
      <c r="F189" s="1471"/>
      <c r="G189" s="1471"/>
      <c r="H189" s="1469"/>
      <c r="I189" s="1469"/>
      <c r="J189" s="1469"/>
      <c r="K189" s="1469"/>
      <c r="L189" s="1472"/>
      <c r="N189" s="1556" t="s">
        <v>1030</v>
      </c>
      <c r="O189" s="1557" t="s">
        <v>1110</v>
      </c>
      <c r="P189" s="1501">
        <f>存货总!BD7</f>
        <v>0</v>
      </c>
    </row>
    <row r="190" spans="2:19">
      <c r="B190" s="1469">
        <f t="shared" si="20"/>
        <v>187</v>
      </c>
      <c r="C190" s="1470" t="s">
        <v>1111</v>
      </c>
      <c r="D190" s="1469" t="str">
        <f t="shared" si="30"/>
        <v>是</v>
      </c>
      <c r="E190" s="1520" t="str">
        <f>IF(E189-E191=0,"未计提减值准备","计提减值准备"&amp;TEXT(E189-E191,"#,##0.00")&amp;"万元")</f>
        <v>未计提减值准备</v>
      </c>
      <c r="F190" s="1471"/>
      <c r="G190" s="1471"/>
      <c r="H190" s="1469"/>
      <c r="I190" s="1469"/>
      <c r="J190" s="1469"/>
      <c r="K190" s="1469"/>
      <c r="L190" s="1472"/>
      <c r="N190" s="1556" t="s">
        <v>1036</v>
      </c>
      <c r="O190" s="1557" t="s">
        <v>1112</v>
      </c>
      <c r="P190" s="1501">
        <f>存货总!BA8</f>
        <v>0</v>
      </c>
    </row>
    <row r="191" spans="2:19">
      <c r="B191" s="1469">
        <f t="shared" si="20"/>
        <v>188</v>
      </c>
      <c r="C191" s="1470" t="s">
        <v>1113</v>
      </c>
      <c r="D191" s="1469" t="str">
        <f t="shared" si="30"/>
        <v>是</v>
      </c>
      <c r="E191" s="1482" t="str">
        <f>TEXT(非流动资总!D9,"#,##0.00")</f>
        <v>0.00</v>
      </c>
      <c r="F191" s="1471"/>
      <c r="G191" s="1471"/>
      <c r="H191" s="1469"/>
      <c r="I191" s="1469"/>
      <c r="J191" s="1469"/>
      <c r="K191" s="1469"/>
      <c r="L191" s="1472"/>
      <c r="N191" s="1556"/>
      <c r="O191" s="1557" t="s">
        <v>1108</v>
      </c>
      <c r="P191" s="1501">
        <f>P190-P192</f>
        <v>0</v>
      </c>
    </row>
    <row r="192" spans="2:19">
      <c r="B192" s="1469">
        <f t="shared" si="20"/>
        <v>189</v>
      </c>
      <c r="C192" s="1470" t="s">
        <v>1114</v>
      </c>
      <c r="D192" s="1469" t="str">
        <f t="shared" si="30"/>
        <v>是</v>
      </c>
      <c r="E192" s="1520" t="str">
        <f>债权投资!CA14</f>
        <v/>
      </c>
      <c r="F192" s="1471"/>
      <c r="G192" s="1471"/>
      <c r="H192" s="1469"/>
      <c r="I192" s="1469"/>
      <c r="J192" s="1469"/>
      <c r="K192" s="1469"/>
      <c r="L192" s="1472"/>
      <c r="N192" s="1556" t="s">
        <v>1036</v>
      </c>
      <c r="O192" s="1557" t="s">
        <v>1115</v>
      </c>
      <c r="P192" s="1501">
        <f>存货总!BD8</f>
        <v>0</v>
      </c>
    </row>
    <row r="193" spans="2:16">
      <c r="B193" s="1469">
        <f t="shared" si="20"/>
        <v>190</v>
      </c>
      <c r="C193" s="1470" t="s">
        <v>1116</v>
      </c>
      <c r="D193" s="1469" t="str">
        <f t="shared" si="30"/>
        <v>是</v>
      </c>
      <c r="E193" s="1482" t="str">
        <f>TEXT(非流动资总!E9,"#,##0.00")</f>
        <v>0.00</v>
      </c>
      <c r="F193" s="1471"/>
      <c r="G193" s="1471"/>
      <c r="H193" s="1469"/>
      <c r="I193" s="1469"/>
      <c r="J193" s="1469"/>
      <c r="K193" s="1469"/>
      <c r="L193" s="1472"/>
      <c r="N193" s="1556" t="s">
        <v>1042</v>
      </c>
      <c r="O193" s="1557" t="s">
        <v>1117</v>
      </c>
      <c r="P193" s="1501">
        <f>存货总!BA9</f>
        <v>0</v>
      </c>
    </row>
    <row r="194" spans="2:16">
      <c r="B194" s="1469">
        <f t="shared" si="20"/>
        <v>191</v>
      </c>
      <c r="C194" s="1470" t="s">
        <v>1118</v>
      </c>
      <c r="D194" s="1469" t="str">
        <f t="shared" si="30"/>
        <v>是</v>
      </c>
      <c r="E194" s="1520" t="str">
        <f>分类汇总!BV25</f>
        <v>无增减值</v>
      </c>
      <c r="F194" s="1471"/>
      <c r="G194" s="1471"/>
      <c r="H194" s="1469"/>
      <c r="I194" s="1469"/>
      <c r="J194" s="1469"/>
      <c r="K194" s="1469"/>
      <c r="L194" s="1472"/>
      <c r="N194" s="1556"/>
      <c r="O194" s="1557" t="s">
        <v>1108</v>
      </c>
      <c r="P194" s="1501">
        <f>P193-P195</f>
        <v>0</v>
      </c>
    </row>
    <row r="195" spans="2:16">
      <c r="B195" s="1504">
        <f t="shared" si="20"/>
        <v>192</v>
      </c>
      <c r="C195" s="1505" t="s">
        <v>1119</v>
      </c>
      <c r="D195" s="1504" t="str">
        <f t="shared" ref="D195:D258" si="31">IF(L195="隐藏","是","否")</f>
        <v>是</v>
      </c>
      <c r="E195" s="1505"/>
      <c r="F195" s="1506"/>
      <c r="G195" s="1506"/>
      <c r="H195" s="1504"/>
      <c r="I195" s="1504"/>
      <c r="J195" s="1504"/>
      <c r="K195" s="1504"/>
      <c r="L195" s="1507" t="str">
        <f>判断表!L55</f>
        <v>隐藏</v>
      </c>
      <c r="N195" s="1556" t="s">
        <v>1042</v>
      </c>
      <c r="O195" s="1557" t="s">
        <v>1120</v>
      </c>
      <c r="P195" s="1501">
        <f>存货总!BD9</f>
        <v>0</v>
      </c>
    </row>
    <row r="196" spans="2:16">
      <c r="B196" s="1469">
        <f t="shared" si="20"/>
        <v>193</v>
      </c>
      <c r="C196" s="1470" t="s">
        <v>1121</v>
      </c>
      <c r="D196" s="1469" t="str">
        <f t="shared" ref="D196:D201" si="32">D$195</f>
        <v>是</v>
      </c>
      <c r="E196" s="1482" t="str">
        <f>TEXT(非流动资总!BA10,"#,##0.00")</f>
        <v>0.00</v>
      </c>
      <c r="F196" s="1471"/>
      <c r="G196" s="1471"/>
      <c r="H196" s="1469"/>
      <c r="I196" s="1469"/>
      <c r="J196" s="1469"/>
      <c r="K196" s="1469"/>
      <c r="L196" s="1472"/>
      <c r="N196" s="1556" t="s">
        <v>1122</v>
      </c>
      <c r="O196" s="1557" t="s">
        <v>1123</v>
      </c>
      <c r="P196" s="1501">
        <f>存货总!BA10</f>
        <v>0</v>
      </c>
    </row>
    <row r="197" spans="2:16">
      <c r="B197" s="1469">
        <f t="shared" si="20"/>
        <v>194</v>
      </c>
      <c r="C197" s="1470" t="s">
        <v>1124</v>
      </c>
      <c r="D197" s="1469" t="str">
        <f t="shared" si="32"/>
        <v>是</v>
      </c>
      <c r="E197" s="1520" t="str">
        <f>IF(E196-E198=0,"未计提减值准备","计提减值准备"&amp;TEXT(E196-E198,"#,##0.00")&amp;"万元")</f>
        <v>未计提减值准备</v>
      </c>
      <c r="F197" s="1471"/>
      <c r="G197" s="1471"/>
      <c r="H197" s="1469"/>
      <c r="I197" s="1469"/>
      <c r="J197" s="1469"/>
      <c r="K197" s="1469"/>
      <c r="L197" s="1472"/>
      <c r="N197" s="1556"/>
      <c r="O197" s="1557" t="s">
        <v>1108</v>
      </c>
      <c r="P197" s="1501">
        <f>P196-P198</f>
        <v>0</v>
      </c>
    </row>
    <row r="198" spans="2:16">
      <c r="B198" s="1469">
        <f t="shared" ref="B198:B267" si="33">B197+1</f>
        <v>195</v>
      </c>
      <c r="C198" s="1470" t="s">
        <v>1125</v>
      </c>
      <c r="D198" s="1469" t="str">
        <f t="shared" si="32"/>
        <v>是</v>
      </c>
      <c r="E198" s="1482" t="str">
        <f>TEXT(非流动资总!D10,"#,##0.00")</f>
        <v>0.00</v>
      </c>
      <c r="F198" s="1471"/>
      <c r="G198" s="1471"/>
      <c r="H198" s="1469"/>
      <c r="I198" s="1469"/>
      <c r="J198" s="1469"/>
      <c r="K198" s="1469"/>
      <c r="L198" s="1472"/>
      <c r="N198" s="1556" t="s">
        <v>1122</v>
      </c>
      <c r="O198" s="1557" t="s">
        <v>1126</v>
      </c>
      <c r="P198" s="1501">
        <f>存货总!BD10</f>
        <v>0</v>
      </c>
    </row>
    <row r="199" spans="2:16">
      <c r="B199" s="1469">
        <f t="shared" si="33"/>
        <v>196</v>
      </c>
      <c r="C199" s="1470" t="s">
        <v>1127</v>
      </c>
      <c r="D199" s="1469" t="str">
        <f t="shared" si="32"/>
        <v>是</v>
      </c>
      <c r="E199" s="1520" t="str">
        <f>其他债权!BV14</f>
        <v/>
      </c>
      <c r="F199" s="1471"/>
      <c r="G199" s="1471"/>
      <c r="H199" s="1469"/>
      <c r="I199" s="1469"/>
      <c r="J199" s="1469"/>
      <c r="K199" s="1469"/>
      <c r="L199" s="1472"/>
      <c r="N199" s="1556" t="s">
        <v>1128</v>
      </c>
      <c r="O199" s="1557" t="s">
        <v>1129</v>
      </c>
      <c r="P199" s="1501">
        <f>存货总!BA11</f>
        <v>0</v>
      </c>
    </row>
    <row r="200" spans="2:16">
      <c r="B200" s="1469">
        <f t="shared" si="33"/>
        <v>197</v>
      </c>
      <c r="C200" s="1470" t="s">
        <v>1130</v>
      </c>
      <c r="D200" s="1469" t="str">
        <f t="shared" si="32"/>
        <v>是</v>
      </c>
      <c r="E200" s="1482" t="str">
        <f>TEXT(非流动资总!E10,"#,##0.00")</f>
        <v>0.00</v>
      </c>
      <c r="F200" s="1471"/>
      <c r="G200" s="1471"/>
      <c r="H200" s="1469"/>
      <c r="I200" s="1469"/>
      <c r="J200" s="1469"/>
      <c r="K200" s="1469"/>
      <c r="L200" s="1472"/>
      <c r="N200" s="1556"/>
      <c r="O200" s="1557" t="s">
        <v>1108</v>
      </c>
      <c r="P200" s="1501">
        <f>P199-P201</f>
        <v>0</v>
      </c>
    </row>
    <row r="201" spans="2:16">
      <c r="B201" s="1469">
        <f t="shared" si="33"/>
        <v>198</v>
      </c>
      <c r="C201" s="1470" t="s">
        <v>1131</v>
      </c>
      <c r="D201" s="1469" t="str">
        <f t="shared" si="32"/>
        <v>是</v>
      </c>
      <c r="E201" s="1520" t="str">
        <f>分类汇总!BV26</f>
        <v>无增减值</v>
      </c>
      <c r="F201" s="1471"/>
      <c r="G201" s="1471"/>
      <c r="H201" s="1469"/>
      <c r="I201" s="1469"/>
      <c r="J201" s="1469"/>
      <c r="K201" s="1469"/>
      <c r="L201" s="1472"/>
      <c r="N201" s="1556" t="s">
        <v>1128</v>
      </c>
      <c r="O201" s="1557" t="s">
        <v>1132</v>
      </c>
      <c r="P201" s="1501">
        <f>存货总!BD11</f>
        <v>0</v>
      </c>
    </row>
    <row r="202" spans="2:16">
      <c r="B202" s="1504">
        <f t="shared" si="33"/>
        <v>199</v>
      </c>
      <c r="C202" s="1505" t="s">
        <v>1133</v>
      </c>
      <c r="D202" s="1504" t="str">
        <f t="shared" si="31"/>
        <v>是</v>
      </c>
      <c r="E202" s="1505"/>
      <c r="F202" s="1506"/>
      <c r="G202" s="1506"/>
      <c r="H202" s="1504"/>
      <c r="I202" s="1504"/>
      <c r="J202" s="1504"/>
      <c r="K202" s="1504"/>
      <c r="L202" s="1507" t="str">
        <f>判断表!L56</f>
        <v>隐藏</v>
      </c>
      <c r="N202" s="1556" t="s">
        <v>1134</v>
      </c>
      <c r="O202" s="1557" t="s">
        <v>1135</v>
      </c>
      <c r="P202" s="1501">
        <f>存货总!BA12</f>
        <v>0</v>
      </c>
    </row>
    <row r="203" spans="2:16">
      <c r="B203" s="1469">
        <f t="shared" si="33"/>
        <v>200</v>
      </c>
      <c r="C203" s="1470" t="s">
        <v>1136</v>
      </c>
      <c r="D203" s="1469" t="str">
        <f t="shared" ref="D203:D208" si="34">D$202</f>
        <v>是</v>
      </c>
      <c r="E203" s="1482" t="str">
        <f>TEXT(非流动资总!BA11,"#,##0.00")</f>
        <v>0.00</v>
      </c>
      <c r="F203" s="1471"/>
      <c r="G203" s="1471"/>
      <c r="H203" s="1469"/>
      <c r="I203" s="1469"/>
      <c r="J203" s="1469"/>
      <c r="K203" s="1469"/>
      <c r="L203" s="1472"/>
      <c r="N203" s="1556"/>
      <c r="O203" s="1557" t="s">
        <v>1108</v>
      </c>
      <c r="P203" s="1501">
        <f>P202-P204</f>
        <v>0</v>
      </c>
    </row>
    <row r="204" spans="2:16">
      <c r="B204" s="1469">
        <f t="shared" si="33"/>
        <v>201</v>
      </c>
      <c r="C204" s="1470" t="s">
        <v>1137</v>
      </c>
      <c r="D204" s="1469" t="str">
        <f t="shared" si="34"/>
        <v>是</v>
      </c>
      <c r="E204" s="1520" t="str">
        <f>IF(E203-E205=0,"未计提坏账准备","计提坏账准备"&amp;TEXT(E203-E205,"#,##0.00")&amp;"万元")</f>
        <v>未计提坏账准备</v>
      </c>
      <c r="F204" s="1471"/>
      <c r="G204" s="1471"/>
      <c r="H204" s="1469"/>
      <c r="I204" s="1469"/>
      <c r="J204" s="1469"/>
      <c r="K204" s="1469"/>
      <c r="L204" s="1472"/>
      <c r="N204" s="1556" t="s">
        <v>1134</v>
      </c>
      <c r="O204" s="1557" t="s">
        <v>1138</v>
      </c>
      <c r="P204" s="1501">
        <f>存货总!BD12</f>
        <v>0</v>
      </c>
    </row>
    <row r="205" spans="2:16">
      <c r="B205" s="1469">
        <f t="shared" si="33"/>
        <v>202</v>
      </c>
      <c r="C205" s="1470" t="s">
        <v>1139</v>
      </c>
      <c r="D205" s="1469" t="str">
        <f t="shared" si="34"/>
        <v>是</v>
      </c>
      <c r="E205" s="1482" t="str">
        <f>TEXT(非流动资总!D11,"#,##0.00")</f>
        <v>0.00</v>
      </c>
      <c r="F205" s="1471"/>
      <c r="G205" s="1471"/>
      <c r="H205" s="1469"/>
      <c r="I205" s="1469"/>
      <c r="J205" s="1469"/>
      <c r="K205" s="1469"/>
      <c r="L205" s="1472"/>
      <c r="N205" s="1556" t="s">
        <v>7</v>
      </c>
      <c r="O205" s="1557" t="s">
        <v>1140</v>
      </c>
      <c r="P205" s="1501">
        <f>存货总!BA13</f>
        <v>0</v>
      </c>
    </row>
    <row r="206" spans="2:16">
      <c r="B206" s="1469">
        <f t="shared" si="33"/>
        <v>203</v>
      </c>
      <c r="C206" s="1470" t="s">
        <v>1141</v>
      </c>
      <c r="D206" s="1469" t="str">
        <f t="shared" si="34"/>
        <v>是</v>
      </c>
      <c r="E206" s="1520" t="str">
        <f>长期应收!BV14</f>
        <v/>
      </c>
      <c r="F206" s="1471"/>
      <c r="G206" s="1471"/>
      <c r="H206" s="1469"/>
      <c r="I206" s="1469"/>
      <c r="J206" s="1469"/>
      <c r="K206" s="1469"/>
      <c r="L206" s="1472"/>
      <c r="N206" s="1556"/>
      <c r="O206" s="1557" t="s">
        <v>1108</v>
      </c>
      <c r="P206" s="1501">
        <f>P205-P207</f>
        <v>0</v>
      </c>
    </row>
    <row r="207" spans="2:16">
      <c r="B207" s="1469">
        <f t="shared" si="33"/>
        <v>204</v>
      </c>
      <c r="C207" s="1470" t="s">
        <v>1142</v>
      </c>
      <c r="D207" s="1469" t="str">
        <f t="shared" si="34"/>
        <v>是</v>
      </c>
      <c r="E207" s="1482" t="str">
        <f>TEXT(非流动资总!E11,"#,##0.00")</f>
        <v>0.00</v>
      </c>
      <c r="F207" s="1471"/>
      <c r="G207" s="1471"/>
      <c r="H207" s="1469"/>
      <c r="I207" s="1469"/>
      <c r="J207" s="1469"/>
      <c r="K207" s="1469"/>
      <c r="L207" s="1472"/>
      <c r="N207" s="1556" t="s">
        <v>7</v>
      </c>
      <c r="O207" s="1557" t="s">
        <v>1143</v>
      </c>
      <c r="P207" s="1501">
        <f>存货总!BD13</f>
        <v>0</v>
      </c>
    </row>
    <row r="208" spans="2:16">
      <c r="B208" s="1469">
        <f t="shared" si="33"/>
        <v>205</v>
      </c>
      <c r="C208" s="1470" t="s">
        <v>1144</v>
      </c>
      <c r="D208" s="1469" t="str">
        <f t="shared" si="34"/>
        <v>是</v>
      </c>
      <c r="E208" s="1520" t="str">
        <f>分类汇总!BV27</f>
        <v>无增减值</v>
      </c>
      <c r="F208" s="1471"/>
      <c r="G208" s="1471"/>
      <c r="H208" s="1469"/>
      <c r="I208" s="1469"/>
      <c r="J208" s="1469"/>
      <c r="K208" s="1469"/>
      <c r="L208" s="1472"/>
      <c r="N208" s="1556" t="s">
        <v>1145</v>
      </c>
      <c r="O208" s="1557" t="s">
        <v>1146</v>
      </c>
      <c r="P208" s="1501">
        <f>存货总!BA14</f>
        <v>35557.52</v>
      </c>
    </row>
    <row r="209" spans="2:17">
      <c r="B209" s="1504">
        <f t="shared" si="33"/>
        <v>206</v>
      </c>
      <c r="C209" s="1505" t="s">
        <v>1147</v>
      </c>
      <c r="D209" s="1504" t="str">
        <f t="shared" si="31"/>
        <v>是</v>
      </c>
      <c r="E209" s="1505"/>
      <c r="F209" s="1506"/>
      <c r="G209" s="1506"/>
      <c r="H209" s="1504"/>
      <c r="I209" s="1504"/>
      <c r="J209" s="1504"/>
      <c r="K209" s="1504"/>
      <c r="L209" s="1507" t="str">
        <f>判断表!L57</f>
        <v>隐藏</v>
      </c>
      <c r="N209" s="1556"/>
      <c r="O209" s="1557" t="s">
        <v>1108</v>
      </c>
      <c r="P209" s="1501">
        <f>P208-P210</f>
        <v>0</v>
      </c>
    </row>
    <row r="210" spans="2:17">
      <c r="B210" s="1469">
        <f t="shared" si="33"/>
        <v>207</v>
      </c>
      <c r="C210" s="1470" t="s">
        <v>1148</v>
      </c>
      <c r="D210" s="1469" t="str">
        <f t="shared" ref="D210:D215" si="35">D$209</f>
        <v>是</v>
      </c>
      <c r="E210" s="1482" t="str">
        <f>TEXT(非流动资总!BA12,"#,##0.00")</f>
        <v>0.00</v>
      </c>
      <c r="F210" s="1471"/>
      <c r="G210" s="1471"/>
      <c r="H210" s="1469"/>
      <c r="I210" s="1469"/>
      <c r="J210" s="1469"/>
      <c r="K210" s="1469"/>
      <c r="L210" s="1472"/>
      <c r="N210" s="1556" t="s">
        <v>1145</v>
      </c>
      <c r="O210" s="1557" t="s">
        <v>1149</v>
      </c>
      <c r="P210" s="1501">
        <f>存货总!BD14</f>
        <v>35557.52</v>
      </c>
    </row>
    <row r="211" spans="2:17">
      <c r="B211" s="1469">
        <f t="shared" si="33"/>
        <v>208</v>
      </c>
      <c r="C211" s="1470" t="s">
        <v>1150</v>
      </c>
      <c r="D211" s="1469" t="str">
        <f t="shared" si="35"/>
        <v>是</v>
      </c>
      <c r="E211" s="1520" t="str">
        <f>IF(E210-E212=0,"未计提减值准备","计提减值准备"&amp;TEXT(E210-E212,"#,##0.00")&amp;"万元")</f>
        <v>未计提减值准备</v>
      </c>
      <c r="F211" s="1471"/>
      <c r="G211" s="1471"/>
      <c r="H211" s="1469"/>
      <c r="I211" s="1469"/>
      <c r="J211" s="1469"/>
      <c r="K211" s="1469"/>
      <c r="L211" s="1472"/>
      <c r="N211" s="1556" t="s">
        <v>13</v>
      </c>
      <c r="O211" s="1557" t="s">
        <v>1151</v>
      </c>
      <c r="P211" s="1501">
        <f>存货总!BA18</f>
        <v>0</v>
      </c>
    </row>
    <row r="212" spans="2:17">
      <c r="B212" s="1469">
        <f t="shared" si="33"/>
        <v>209</v>
      </c>
      <c r="C212" s="1470" t="s">
        <v>1152</v>
      </c>
      <c r="D212" s="1469" t="str">
        <f t="shared" si="35"/>
        <v>是</v>
      </c>
      <c r="E212" s="1482" t="str">
        <f>TEXT(非流动资总!D12,"#,##0.00")</f>
        <v>0.00</v>
      </c>
      <c r="F212" s="1471"/>
      <c r="G212" s="1471"/>
      <c r="H212" s="1469"/>
      <c r="I212" s="1469"/>
      <c r="J212" s="1469"/>
      <c r="K212" s="1469"/>
      <c r="L212" s="1472"/>
      <c r="N212" s="1556"/>
      <c r="O212" s="1557" t="s">
        <v>1153</v>
      </c>
      <c r="P212" s="1501">
        <f>P211-P213</f>
        <v>0</v>
      </c>
    </row>
    <row r="213" spans="2:17">
      <c r="B213" s="1469">
        <f t="shared" si="33"/>
        <v>210</v>
      </c>
      <c r="C213" s="1470" t="s">
        <v>1154</v>
      </c>
      <c r="D213" s="1469" t="str">
        <f t="shared" si="35"/>
        <v>是</v>
      </c>
      <c r="E213" s="1520" t="str">
        <f>股权投资!CD14</f>
        <v/>
      </c>
      <c r="F213" s="1471"/>
      <c r="G213" s="1471"/>
      <c r="H213" s="1469"/>
      <c r="I213" s="1469"/>
      <c r="J213" s="1469"/>
      <c r="K213" s="1469"/>
      <c r="L213" s="1472"/>
      <c r="N213" s="1556" t="s">
        <v>13</v>
      </c>
      <c r="O213" s="1557" t="s">
        <v>1155</v>
      </c>
      <c r="P213" s="1501">
        <f>存货总!BD18</f>
        <v>0</v>
      </c>
    </row>
    <row r="214" ht="12.75" spans="2:17">
      <c r="B214" s="1469">
        <f t="shared" si="33"/>
        <v>211</v>
      </c>
      <c r="C214" s="1470" t="s">
        <v>1156</v>
      </c>
      <c r="D214" s="1469" t="str">
        <f t="shared" si="35"/>
        <v>是</v>
      </c>
      <c r="E214" s="1482" t="str">
        <f>TEXT(非流动资总!E12,"#,##0.00")</f>
        <v>0.00</v>
      </c>
      <c r="F214" s="1471"/>
      <c r="G214" s="1471"/>
      <c r="H214" s="1469"/>
      <c r="I214" s="1469"/>
      <c r="J214" s="1469"/>
      <c r="K214" s="1469"/>
      <c r="L214" s="1472"/>
      <c r="N214" s="1562" t="s">
        <v>1157</v>
      </c>
      <c r="O214" s="1563" t="s">
        <v>527</v>
      </c>
      <c r="P214" s="1513">
        <f>SUM(P189,P192,P195,P198,P201,P204,P207,P210,P213)</f>
        <v>35557.52</v>
      </c>
    </row>
    <row r="215" ht="12.75" spans="2:17">
      <c r="B215" s="1469">
        <f t="shared" si="33"/>
        <v>212</v>
      </c>
      <c r="C215" s="1470" t="s">
        <v>1158</v>
      </c>
      <c r="D215" s="1469" t="str">
        <f t="shared" si="35"/>
        <v>是</v>
      </c>
      <c r="E215" s="1520" t="str">
        <f>分类汇总!BV28</f>
        <v>无增减值</v>
      </c>
      <c r="F215" s="1471"/>
      <c r="G215" s="1471"/>
      <c r="H215" s="1469"/>
      <c r="I215" s="1469"/>
      <c r="J215" s="1469"/>
      <c r="K215" s="1469"/>
      <c r="L215" s="1472"/>
    </row>
    <row r="216" ht="12.75" spans="2:17">
      <c r="B216" s="1504">
        <f t="shared" si="33"/>
        <v>213</v>
      </c>
      <c r="C216" s="1505" t="s">
        <v>1159</v>
      </c>
      <c r="D216" s="1504" t="str">
        <f t="shared" si="31"/>
        <v>是</v>
      </c>
      <c r="E216" s="1505"/>
      <c r="F216" s="1506"/>
      <c r="G216" s="1506"/>
      <c r="H216" s="1504"/>
      <c r="I216" s="1504"/>
      <c r="J216" s="1504"/>
      <c r="K216" s="1504"/>
      <c r="L216" s="1507" t="str">
        <f>判断表!L58</f>
        <v>隐藏</v>
      </c>
      <c r="N216" s="1456" t="str">
        <f>C134</f>
        <v>存货财务数据表</v>
      </c>
    </row>
    <row r="217" ht="12.75" spans="2:17">
      <c r="B217" s="1469">
        <f t="shared" si="33"/>
        <v>214</v>
      </c>
      <c r="C217" s="1470" t="s">
        <v>1160</v>
      </c>
      <c r="D217" s="1469" t="str">
        <f t="shared" ref="D217:D222" si="36">D$216</f>
        <v>是</v>
      </c>
      <c r="E217" s="1482" t="str">
        <f>TEXT(非流动资总!BA13,"#,##0.00")</f>
        <v>0.00</v>
      </c>
      <c r="F217" s="1471"/>
      <c r="G217" s="1471"/>
      <c r="H217" s="1469"/>
      <c r="I217" s="1469"/>
      <c r="J217" s="1469"/>
      <c r="K217" s="1469"/>
      <c r="L217" s="1472"/>
      <c r="N217" s="1514" t="s">
        <v>521</v>
      </c>
      <c r="O217" s="1547" t="s">
        <v>1161</v>
      </c>
      <c r="P217" s="1564" t="str">
        <f>"基准日前"&amp;E133&amp;"合计"</f>
        <v>基准日前2年1期合计</v>
      </c>
      <c r="Q217" s="1548" t="s">
        <v>1162</v>
      </c>
    </row>
    <row r="218" spans="2:17">
      <c r="B218" s="1469">
        <f t="shared" si="33"/>
        <v>215</v>
      </c>
      <c r="C218" s="1470" t="s">
        <v>1163</v>
      </c>
      <c r="D218" s="1469" t="str">
        <f t="shared" si="36"/>
        <v>是</v>
      </c>
      <c r="E218" s="1520" t="str">
        <f>IF(E217-E219=0,"未计提减值准备","计提减值准备"&amp;TEXT(E217-E219,"#,##0.00")&amp;"万元")</f>
        <v>未计提减值准备</v>
      </c>
      <c r="F218" s="1471"/>
      <c r="G218" s="1471"/>
      <c r="H218" s="1469"/>
      <c r="I218" s="1469"/>
      <c r="J218" s="1469"/>
      <c r="K218" s="1469"/>
      <c r="L218" s="1472"/>
      <c r="N218" s="1539">
        <v>1</v>
      </c>
      <c r="O218" s="1557" t="s">
        <v>1164</v>
      </c>
      <c r="P218" s="1565">
        <f>利润表及费率!J6</f>
        <v>0</v>
      </c>
      <c r="Q218" s="1566">
        <f>IFERROR(P218/P$218,0)</f>
        <v>0</v>
      </c>
    </row>
    <row r="219" spans="2:17">
      <c r="B219" s="1469">
        <f t="shared" si="33"/>
        <v>216</v>
      </c>
      <c r="C219" s="1470" t="s">
        <v>1165</v>
      </c>
      <c r="D219" s="1469" t="str">
        <f t="shared" si="36"/>
        <v>是</v>
      </c>
      <c r="E219" s="1482" t="str">
        <f>TEXT(非流动资总!D10,"#,##0.00")</f>
        <v>0.00</v>
      </c>
      <c r="F219" s="1471"/>
      <c r="G219" s="1471"/>
      <c r="H219" s="1469"/>
      <c r="I219" s="1469"/>
      <c r="J219" s="1469"/>
      <c r="K219" s="1469"/>
      <c r="L219" s="1472"/>
      <c r="N219" s="1539">
        <v>2</v>
      </c>
      <c r="O219" s="1557" t="s">
        <v>428</v>
      </c>
      <c r="P219" s="1565">
        <f>利润表及费率!J8</f>
        <v>0</v>
      </c>
      <c r="Q219" s="1566">
        <f t="shared" ref="Q219:Q223" si="37">IFERROR(P219/P$218,0)</f>
        <v>0</v>
      </c>
    </row>
    <row r="220" spans="2:17">
      <c r="B220" s="1469">
        <f t="shared" si="33"/>
        <v>217</v>
      </c>
      <c r="C220" s="1470" t="s">
        <v>1166</v>
      </c>
      <c r="D220" s="1469" t="str">
        <f t="shared" si="36"/>
        <v>是</v>
      </c>
      <c r="E220" s="1520" t="str">
        <f>其他权益工具!BV14</f>
        <v/>
      </c>
      <c r="F220" s="1471"/>
      <c r="G220" s="1471"/>
      <c r="H220" s="1469"/>
      <c r="I220" s="1469"/>
      <c r="J220" s="1469"/>
      <c r="K220" s="1469"/>
      <c r="L220" s="1472"/>
      <c r="N220" s="1539">
        <v>3</v>
      </c>
      <c r="O220" s="1557" t="s">
        <v>432</v>
      </c>
      <c r="P220" s="1565">
        <f>利润表及费率!J10</f>
        <v>0</v>
      </c>
      <c r="Q220" s="1566">
        <f t="shared" si="37"/>
        <v>0</v>
      </c>
    </row>
    <row r="221" spans="2:17">
      <c r="B221" s="1469">
        <f t="shared" si="33"/>
        <v>218</v>
      </c>
      <c r="C221" s="1470" t="s">
        <v>1167</v>
      </c>
      <c r="D221" s="1469" t="str">
        <f t="shared" si="36"/>
        <v>是</v>
      </c>
      <c r="E221" s="1482" t="str">
        <f>TEXT(非流动资总!E13,"#,##0.00")</f>
        <v>0.00</v>
      </c>
      <c r="F221" s="1471"/>
      <c r="G221" s="1471"/>
      <c r="H221" s="1469"/>
      <c r="I221" s="1469"/>
      <c r="J221" s="1469"/>
      <c r="K221" s="1469"/>
      <c r="L221" s="1472"/>
      <c r="N221" s="1539">
        <v>4</v>
      </c>
      <c r="O221" s="1557" t="s">
        <v>434</v>
      </c>
      <c r="P221" s="1565">
        <f>利润表及费率!J11</f>
        <v>0</v>
      </c>
      <c r="Q221" s="1566">
        <f t="shared" si="37"/>
        <v>0</v>
      </c>
    </row>
    <row r="222" spans="2:17">
      <c r="B222" s="1469">
        <f t="shared" si="33"/>
        <v>219</v>
      </c>
      <c r="C222" s="1470" t="s">
        <v>1168</v>
      </c>
      <c r="D222" s="1469" t="str">
        <f t="shared" si="36"/>
        <v>是</v>
      </c>
      <c r="E222" s="1520" t="str">
        <f>分类汇总!BV29</f>
        <v>无增减值</v>
      </c>
      <c r="F222" s="1471"/>
      <c r="G222" s="1471"/>
      <c r="H222" s="1469"/>
      <c r="I222" s="1469"/>
      <c r="J222" s="1469"/>
      <c r="K222" s="1469"/>
      <c r="L222" s="1472"/>
      <c r="N222" s="1539">
        <v>5</v>
      </c>
      <c r="O222" s="1557" t="s">
        <v>436</v>
      </c>
      <c r="P222" s="1565">
        <f>利润表及费率!J12</f>
        <v>0</v>
      </c>
      <c r="Q222" s="1566">
        <f t="shared" si="37"/>
        <v>0</v>
      </c>
    </row>
    <row r="223" spans="2:17">
      <c r="B223" s="1504">
        <f t="shared" si="33"/>
        <v>220</v>
      </c>
      <c r="C223" s="1505" t="s">
        <v>1169</v>
      </c>
      <c r="D223" s="1504" t="str">
        <f t="shared" si="31"/>
        <v>是</v>
      </c>
      <c r="E223" s="1505"/>
      <c r="F223" s="1506"/>
      <c r="G223" s="1506"/>
      <c r="H223" s="1504"/>
      <c r="I223" s="1504"/>
      <c r="J223" s="1504"/>
      <c r="K223" s="1504"/>
      <c r="L223" s="1507" t="str">
        <f>判断表!L59</f>
        <v>隐藏</v>
      </c>
      <c r="N223" s="1539">
        <v>6</v>
      </c>
      <c r="O223" s="1557" t="s">
        <v>438</v>
      </c>
      <c r="P223" s="1565">
        <f>利润表及费率!J13</f>
        <v>0</v>
      </c>
      <c r="Q223" s="1566">
        <f t="shared" si="37"/>
        <v>0</v>
      </c>
    </row>
    <row r="224" ht="12.75" spans="2:17">
      <c r="B224" s="1469">
        <f t="shared" si="33"/>
        <v>221</v>
      </c>
      <c r="C224" s="1470" t="s">
        <v>1170</v>
      </c>
      <c r="D224" s="1469" t="str">
        <f t="shared" ref="D224:D229" si="38">D$223</f>
        <v>是</v>
      </c>
      <c r="E224" s="1482" t="str">
        <f>TEXT(非流动资总!BA14,"#,##0.00")</f>
        <v>0.00</v>
      </c>
      <c r="F224" s="1471"/>
      <c r="G224" s="1471"/>
      <c r="H224" s="1469"/>
      <c r="I224" s="1469"/>
      <c r="J224" s="1469"/>
      <c r="K224" s="1469"/>
      <c r="L224" s="1472"/>
      <c r="N224" s="1549">
        <v>7</v>
      </c>
      <c r="O224" s="1559" t="s">
        <v>1171</v>
      </c>
      <c r="P224" s="1567">
        <f>利润表及费率!O5</f>
        <v>0.25</v>
      </c>
      <c r="Q224" s="1568"/>
    </row>
    <row r="225" ht="12.75" spans="2:20">
      <c r="B225" s="1469">
        <f t="shared" si="33"/>
        <v>222</v>
      </c>
      <c r="C225" s="1470" t="s">
        <v>1172</v>
      </c>
      <c r="D225" s="1469" t="str">
        <f t="shared" si="38"/>
        <v>是</v>
      </c>
      <c r="E225" s="1520" t="str">
        <f>IF(E224-E226=0,"未计提减值准备","计提减值准备"&amp;TEXT(E224-E226,"#,##0.00")&amp;"万元")</f>
        <v>未计提减值准备</v>
      </c>
      <c r="F225" s="1471"/>
      <c r="G225" s="1471"/>
      <c r="H225" s="1469"/>
      <c r="I225" s="1469"/>
      <c r="J225" s="1469"/>
      <c r="K225" s="1469"/>
      <c r="L225" s="1472"/>
    </row>
    <row r="226" ht="12.75" spans="2:20">
      <c r="B226" s="1469">
        <f t="shared" si="33"/>
        <v>223</v>
      </c>
      <c r="C226" s="1470" t="s">
        <v>1173</v>
      </c>
      <c r="D226" s="1469" t="str">
        <f t="shared" si="38"/>
        <v>是</v>
      </c>
      <c r="E226" s="1482" t="str">
        <f>TEXT(非流动资总!D14,"#,##0.00")</f>
        <v>0.00</v>
      </c>
      <c r="F226" s="1471"/>
      <c r="G226" s="1471"/>
      <c r="H226" s="1469"/>
      <c r="I226" s="1469"/>
      <c r="J226" s="1469"/>
      <c r="K226" s="1469"/>
      <c r="L226" s="1472"/>
      <c r="N226" s="1456" t="str">
        <f>C135</f>
        <v>产成品（库存商品）案例计算表</v>
      </c>
    </row>
    <row r="227" ht="12.75" spans="2:20">
      <c r="B227" s="1469">
        <f t="shared" si="33"/>
        <v>224</v>
      </c>
      <c r="C227" s="1470" t="s">
        <v>1174</v>
      </c>
      <c r="D227" s="1469" t="str">
        <f t="shared" si="38"/>
        <v>是</v>
      </c>
      <c r="E227" s="1520" t="str">
        <f>其他金资!BV14</f>
        <v/>
      </c>
      <c r="F227" s="1471"/>
      <c r="G227" s="1471"/>
      <c r="H227" s="1469"/>
      <c r="I227" s="1469"/>
      <c r="J227" s="1469"/>
      <c r="K227" s="1469"/>
      <c r="L227" s="1472"/>
      <c r="N227" s="1514" t="s">
        <v>1175</v>
      </c>
      <c r="O227" s="1547" t="s">
        <v>334</v>
      </c>
      <c r="P227" s="1547" t="s">
        <v>1176</v>
      </c>
      <c r="Q227" s="1547" t="s">
        <v>1177</v>
      </c>
      <c r="R227" s="1547" t="s">
        <v>1178</v>
      </c>
      <c r="S227" s="1548" t="s">
        <v>1179</v>
      </c>
      <c r="T227" s="1569" t="s">
        <v>1180</v>
      </c>
    </row>
    <row r="228" spans="2:20">
      <c r="B228" s="1469">
        <f t="shared" si="33"/>
        <v>225</v>
      </c>
      <c r="C228" s="1470" t="s">
        <v>1181</v>
      </c>
      <c r="D228" s="1469" t="str">
        <f t="shared" si="38"/>
        <v>是</v>
      </c>
      <c r="E228" s="1482" t="str">
        <f>TEXT(非流动资总!E14,"#,##0.00")</f>
        <v>0.00</v>
      </c>
      <c r="F228" s="1471"/>
      <c r="G228" s="1471"/>
      <c r="H228" s="1469"/>
      <c r="I228" s="1469"/>
      <c r="J228" s="1469"/>
      <c r="K228" s="1469"/>
      <c r="L228" s="1472"/>
      <c r="N228" s="1539" t="s">
        <v>842</v>
      </c>
      <c r="O228" s="1557" t="s">
        <v>1182</v>
      </c>
      <c r="P228" s="1469"/>
      <c r="Q228" s="1557"/>
      <c r="R228" s="1557"/>
      <c r="S228" s="1570"/>
    </row>
    <row r="229" spans="2:20">
      <c r="B229" s="1469">
        <f t="shared" si="33"/>
        <v>226</v>
      </c>
      <c r="C229" s="1470" t="s">
        <v>1183</v>
      </c>
      <c r="D229" s="1469" t="str">
        <f t="shared" si="38"/>
        <v>是</v>
      </c>
      <c r="E229" s="1520" t="str">
        <f>分类汇总!BV30</f>
        <v>无增减值</v>
      </c>
      <c r="F229" s="1471"/>
      <c r="G229" s="1471"/>
      <c r="H229" s="1469"/>
      <c r="I229" s="1469"/>
      <c r="J229" s="1469"/>
      <c r="K229" s="1469"/>
      <c r="L229" s="1472"/>
      <c r="N229" s="1539" t="s">
        <v>580</v>
      </c>
      <c r="O229" s="1557" t="s">
        <v>1184</v>
      </c>
      <c r="P229" s="1469"/>
      <c r="Q229" s="1557"/>
      <c r="R229" s="1557"/>
      <c r="S229" s="1571" t="str">
        <f>IFERROR(VLOOKUP(S$228,'产成品（商品）'!A$8:Y$27,T229,FALSE),"")</f>
        <v/>
      </c>
      <c r="T229" s="1457">
        <f>'产成品（商品）'!B34</f>
        <v>2</v>
      </c>
    </row>
    <row r="230" spans="2:20">
      <c r="B230" s="1504">
        <f t="shared" si="33"/>
        <v>227</v>
      </c>
      <c r="C230" s="1505" t="s">
        <v>1185</v>
      </c>
      <c r="D230" s="1504" t="str">
        <f t="shared" si="31"/>
        <v>是</v>
      </c>
      <c r="E230" s="1572"/>
      <c r="F230" s="1506"/>
      <c r="G230" s="1506"/>
      <c r="H230" s="1504"/>
      <c r="I230" s="1504"/>
      <c r="J230" s="1504"/>
      <c r="K230" s="1504"/>
      <c r="L230" s="1507" t="str">
        <f>判断表!L60</f>
        <v>隐藏</v>
      </c>
      <c r="N230" s="1539" t="s">
        <v>581</v>
      </c>
      <c r="O230" s="1557" t="s">
        <v>1186</v>
      </c>
      <c r="P230" s="1469"/>
      <c r="Q230" s="1557"/>
      <c r="R230" s="1557"/>
      <c r="S230" s="1571" t="str">
        <f>IFERROR(VLOOKUP(S$228,'产成品（商品）'!A$8:Y$27,T230,FALSE),"")</f>
        <v/>
      </c>
      <c r="T230" s="1457">
        <f>'产成品（商品）'!C34</f>
        <v>3</v>
      </c>
    </row>
    <row r="231" spans="2:20">
      <c r="B231" s="1504">
        <f t="shared" si="33"/>
        <v>228</v>
      </c>
      <c r="C231" s="1505" t="s">
        <v>1187</v>
      </c>
      <c r="D231" s="1504" t="str">
        <f>IF(L231="隐藏隐藏隐藏隐藏隐藏","是","否")</f>
        <v>是</v>
      </c>
      <c r="E231" s="1572"/>
      <c r="F231" s="1506"/>
      <c r="G231" s="1506"/>
      <c r="H231" s="1504"/>
      <c r="I231" s="1504"/>
      <c r="J231" s="1504"/>
      <c r="K231" s="1504"/>
      <c r="L231" s="1507" t="str">
        <f>判断表!L66&amp;判断表!L67&amp;判断表!L68&amp;判断表!L69&amp;判断表!L70</f>
        <v>隐藏隐藏隐藏隐藏隐藏</v>
      </c>
      <c r="N231" s="1539" t="s">
        <v>589</v>
      </c>
      <c r="O231" s="1557" t="s">
        <v>1188</v>
      </c>
      <c r="P231" s="1469"/>
      <c r="Q231" s="1557"/>
      <c r="R231" s="1557"/>
      <c r="S231" s="1571" t="str">
        <f>IFERROR(VLOOKUP(S$228,'产成品（商品）'!A$8:Y$27,T231,FALSE),"")</f>
        <v/>
      </c>
      <c r="T231" s="1457">
        <f>'产成品（商品）'!E34</f>
        <v>5</v>
      </c>
    </row>
    <row r="232" spans="2:20">
      <c r="B232" s="1504">
        <f t="shared" si="33"/>
        <v>229</v>
      </c>
      <c r="C232" s="1505" t="s">
        <v>1189</v>
      </c>
      <c r="D232" s="1504" t="str">
        <f>IF(L232="隐藏隐藏隐藏","是","否")</f>
        <v>是</v>
      </c>
      <c r="E232" s="1572"/>
      <c r="F232" s="1506"/>
      <c r="G232" s="1506"/>
      <c r="H232" s="1504"/>
      <c r="I232" s="1504"/>
      <c r="J232" s="1504"/>
      <c r="K232" s="1504"/>
      <c r="L232" s="1507" t="str">
        <f>判断表!L71&amp;判断表!L72&amp;判断表!L73</f>
        <v>隐藏隐藏隐藏</v>
      </c>
      <c r="N232" s="1539" t="s">
        <v>597</v>
      </c>
      <c r="O232" s="1557" t="s">
        <v>1190</v>
      </c>
      <c r="P232" s="1469"/>
      <c r="Q232" s="1557"/>
      <c r="R232" s="1557"/>
      <c r="S232" s="1573" t="str">
        <f>IFERROR(VLOOKUP(S$228,'产成品（商品）'!A$8:Y$27,T232,FALSE),"")</f>
        <v/>
      </c>
      <c r="T232" s="1457">
        <f>'产成品（商品）'!F34</f>
        <v>6</v>
      </c>
    </row>
    <row r="233" spans="2:20">
      <c r="B233" s="1504">
        <f t="shared" si="33"/>
        <v>230</v>
      </c>
      <c r="C233" s="1505" t="s">
        <v>1191</v>
      </c>
      <c r="D233" s="1504" t="str">
        <f t="shared" si="31"/>
        <v>是</v>
      </c>
      <c r="E233" s="1572"/>
      <c r="F233" s="1506"/>
      <c r="G233" s="1506"/>
      <c r="H233" s="1504"/>
      <c r="I233" s="1504"/>
      <c r="J233" s="1504"/>
      <c r="K233" s="1504"/>
      <c r="L233" s="1507" t="str">
        <f>判断表!L74</f>
        <v>隐藏</v>
      </c>
      <c r="N233" s="1539" t="s">
        <v>582</v>
      </c>
      <c r="O233" s="1557" t="s">
        <v>1192</v>
      </c>
      <c r="P233" s="1469"/>
      <c r="Q233" s="1557"/>
      <c r="R233" s="1557"/>
      <c r="S233" s="1571" t="str">
        <f>IFERROR(VLOOKUP(S$228,'产成品（商品）'!A$8:Y$27,T233,FALSE),"")</f>
        <v/>
      </c>
      <c r="T233" s="1457">
        <f>'产成品（商品）'!G34</f>
        <v>7</v>
      </c>
    </row>
    <row r="234" spans="2:20">
      <c r="B234" s="1469">
        <f t="shared" si="33"/>
        <v>231</v>
      </c>
      <c r="C234" s="1470" t="s">
        <v>1193</v>
      </c>
      <c r="D234" s="1469" t="str">
        <f>D$233</f>
        <v>是</v>
      </c>
      <c r="E234" s="1482" t="str">
        <f>TEXT(固定资产总!F20,"#,##0.00")</f>
        <v>0.00</v>
      </c>
      <c r="F234" s="1471"/>
      <c r="G234" s="1471"/>
      <c r="H234" s="1469"/>
      <c r="I234" s="1469"/>
      <c r="J234" s="1469"/>
      <c r="K234" s="1469"/>
      <c r="L234" s="1472"/>
      <c r="N234" s="1539" t="s">
        <v>583</v>
      </c>
      <c r="O234" s="1557" t="s">
        <v>1194</v>
      </c>
      <c r="P234" s="1469"/>
      <c r="Q234" s="1557"/>
      <c r="R234" s="1557"/>
      <c r="S234" s="1573" t="str">
        <f>IFERROR(VLOOKUP(S$228,'产成品（商品）'!A$8:Y$27,T234,FALSE),"")</f>
        <v/>
      </c>
      <c r="T234" s="1457">
        <f>'产成品（商品）'!S34</f>
        <v>19</v>
      </c>
    </row>
    <row r="235" spans="2:20">
      <c r="B235" s="1469">
        <f t="shared" si="33"/>
        <v>232</v>
      </c>
      <c r="C235" s="1470" t="s">
        <v>1195</v>
      </c>
      <c r="D235" s="1469" t="str">
        <f>D$233</f>
        <v>是</v>
      </c>
      <c r="E235" s="1520" t="str">
        <f>清理!CK15</f>
        <v/>
      </c>
      <c r="F235" s="1471"/>
      <c r="G235" s="1471"/>
      <c r="H235" s="1469"/>
      <c r="I235" s="1469"/>
      <c r="J235" s="1469"/>
      <c r="K235" s="1469"/>
      <c r="L235" s="1472"/>
      <c r="N235" s="1539" t="s">
        <v>590</v>
      </c>
      <c r="O235" s="1557" t="s">
        <v>1196</v>
      </c>
      <c r="P235" s="1469"/>
      <c r="Q235" s="1557"/>
      <c r="R235" s="1557"/>
      <c r="S235" s="1573" t="str">
        <f>IFERROR(VLOOKUP(S$228,'产成品（商品）'!A$8:Y$27,T235,FALSE),"")</f>
        <v/>
      </c>
      <c r="T235" s="1457">
        <f>'产成品（商品）'!T34</f>
        <v>20</v>
      </c>
    </row>
    <row r="236" spans="2:20">
      <c r="B236" s="1469">
        <f t="shared" si="33"/>
        <v>233</v>
      </c>
      <c r="C236" s="1470" t="s">
        <v>1197</v>
      </c>
      <c r="D236" s="1469" t="str">
        <f>D$233</f>
        <v>是</v>
      </c>
      <c r="E236" s="1482" t="str">
        <f>TEXT(固定资产总!H22,"#,##0.00")</f>
        <v>0.00</v>
      </c>
      <c r="F236" s="1471"/>
      <c r="G236" s="1471"/>
      <c r="H236" s="1469"/>
      <c r="I236" s="1469"/>
      <c r="J236" s="1469"/>
      <c r="K236" s="1469"/>
      <c r="L236" s="1472"/>
      <c r="N236" s="1539" t="s">
        <v>598</v>
      </c>
      <c r="O236" s="1557" t="s">
        <v>1198</v>
      </c>
      <c r="P236" s="1469"/>
      <c r="Q236" s="1557"/>
      <c r="R236" s="1557"/>
      <c r="S236" s="1573" t="str">
        <f>IFERROR(VLOOKUP(S$228,'产成品（商品）'!A$8:Y$27,T236,FALSE),"")</f>
        <v/>
      </c>
      <c r="T236" s="1457">
        <f>'产成品（商品）'!U34</f>
        <v>21</v>
      </c>
    </row>
    <row r="237" spans="2:20">
      <c r="B237" s="1469">
        <f t="shared" si="33"/>
        <v>234</v>
      </c>
      <c r="C237" s="1470" t="s">
        <v>1199</v>
      </c>
      <c r="D237" s="1469" t="str">
        <f>D$233</f>
        <v>是</v>
      </c>
      <c r="E237" s="1520" t="str">
        <f>W350</f>
        <v>无增减值</v>
      </c>
      <c r="F237" s="1471"/>
      <c r="G237" s="1471"/>
      <c r="H237" s="1469"/>
      <c r="I237" s="1469"/>
      <c r="J237" s="1469"/>
      <c r="K237" s="1469"/>
      <c r="L237" s="1472"/>
      <c r="N237" s="1539" t="s">
        <v>608</v>
      </c>
      <c r="O237" s="1557" t="s">
        <v>1200</v>
      </c>
      <c r="P237" s="1574"/>
      <c r="Q237" s="1469" t="s">
        <v>583</v>
      </c>
      <c r="R237" s="1557" t="s">
        <v>1201</v>
      </c>
      <c r="S237" s="1575">
        <f>IFERROR(S234*S232,0)</f>
        <v>0</v>
      </c>
    </row>
    <row r="238" spans="2:20">
      <c r="B238" s="1504">
        <f t="shared" si="33"/>
        <v>235</v>
      </c>
      <c r="C238" s="1505" t="s">
        <v>1202</v>
      </c>
      <c r="D238" s="1504" t="str">
        <f t="shared" si="31"/>
        <v>是</v>
      </c>
      <c r="E238" s="1572"/>
      <c r="F238" s="1506"/>
      <c r="G238" s="1506"/>
      <c r="H238" s="1504"/>
      <c r="I238" s="1504"/>
      <c r="J238" s="1504"/>
      <c r="K238" s="1504"/>
      <c r="L238" s="1507" t="str">
        <f>判断表!L76</f>
        <v>隐藏</v>
      </c>
      <c r="N238" s="1539" t="s">
        <v>614</v>
      </c>
      <c r="O238" s="1557" t="s">
        <v>428</v>
      </c>
      <c r="P238" s="1576">
        <f>Q219</f>
        <v>0</v>
      </c>
      <c r="Q238" s="1469" t="s">
        <v>608</v>
      </c>
      <c r="R238" s="1557" t="str">
        <f>Q238&amp;"×"&amp;TEXT(P238,"0.00%")</f>
        <v>J×0.00%</v>
      </c>
      <c r="S238" s="1575">
        <f>S$237*P238</f>
        <v>0</v>
      </c>
    </row>
    <row r="239" spans="2:20">
      <c r="B239" s="1487">
        <f t="shared" si="33"/>
        <v>236</v>
      </c>
      <c r="C239" s="1488" t="s">
        <v>1203</v>
      </c>
      <c r="D239" s="1487" t="str">
        <f>D238</f>
        <v>是</v>
      </c>
      <c r="E239" s="1546"/>
      <c r="F239" s="1489" t="s">
        <v>863</v>
      </c>
      <c r="G239" s="1489" t="str">
        <f t="shared" ref="G239" si="39">IF(H239="","",ADDRESS(H239,I239,4)&amp;":"&amp;ADDRESS(J239,K239,4))</f>
        <v>P354:P372</v>
      </c>
      <c r="H239" s="1487">
        <f>ROW(P354)</f>
        <v>354</v>
      </c>
      <c r="I239" s="1487">
        <f>COLUMN(P354)</f>
        <v>16</v>
      </c>
      <c r="J239" s="1487">
        <f>ROW(P372)</f>
        <v>372</v>
      </c>
      <c r="K239" s="1487">
        <f>COLUMN(P372)</f>
        <v>16</v>
      </c>
      <c r="L239" s="1490"/>
      <c r="N239" s="1539" t="s">
        <v>584</v>
      </c>
      <c r="O239" s="1557" t="s">
        <v>432</v>
      </c>
      <c r="P239" s="1576">
        <f t="shared" ref="P239:P242" si="40">Q220</f>
        <v>0</v>
      </c>
      <c r="Q239" s="1469" t="s">
        <v>608</v>
      </c>
      <c r="R239" s="1557" t="str">
        <f t="shared" ref="R239:R244" si="41">Q239&amp;"×"&amp;TEXT(P239,"0.00%")</f>
        <v>J×0.00%</v>
      </c>
      <c r="S239" s="1575">
        <f t="shared" ref="S239:S242" si="42">S$237*P239</f>
        <v>0</v>
      </c>
    </row>
    <row r="240" spans="2:20">
      <c r="B240" s="1469">
        <f t="shared" si="33"/>
        <v>237</v>
      </c>
      <c r="C240" s="1470" t="s">
        <v>1204</v>
      </c>
      <c r="D240" s="1469" t="str">
        <f t="shared" si="31"/>
        <v>是</v>
      </c>
      <c r="E240" s="1520" t="str">
        <f>'在建-土建'!CF14</f>
        <v/>
      </c>
      <c r="F240" s="1471"/>
      <c r="G240" s="1471"/>
      <c r="H240" s="1469"/>
      <c r="I240" s="1469"/>
      <c r="J240" s="1469"/>
      <c r="K240" s="1469"/>
      <c r="L240" s="1472" t="str">
        <f>判断表!L77</f>
        <v>隐藏</v>
      </c>
      <c r="N240" s="1539" t="s">
        <v>591</v>
      </c>
      <c r="O240" s="1557" t="s">
        <v>434</v>
      </c>
      <c r="P240" s="1576">
        <f t="shared" si="40"/>
        <v>0</v>
      </c>
      <c r="Q240" s="1469" t="s">
        <v>608</v>
      </c>
      <c r="R240" s="1557" t="str">
        <f t="shared" si="41"/>
        <v>J×0.00%</v>
      </c>
      <c r="S240" s="1575">
        <f t="shared" si="42"/>
        <v>0</v>
      </c>
    </row>
    <row r="241" spans="2:21">
      <c r="B241" s="1469">
        <f t="shared" si="33"/>
        <v>238</v>
      </c>
      <c r="C241" s="1470" t="s">
        <v>1205</v>
      </c>
      <c r="D241" s="1469" t="str">
        <f t="shared" si="31"/>
        <v>是</v>
      </c>
      <c r="E241" s="1520" t="str">
        <f>'在建-设备'!CE15</f>
        <v/>
      </c>
      <c r="F241" s="1471"/>
      <c r="G241" s="1471"/>
      <c r="H241" s="1469"/>
      <c r="I241" s="1469"/>
      <c r="J241" s="1469"/>
      <c r="K241" s="1469"/>
      <c r="L241" s="1472" t="str">
        <f>判断表!L78</f>
        <v>隐藏</v>
      </c>
      <c r="N241" s="1539" t="s">
        <v>599</v>
      </c>
      <c r="O241" s="1557" t="s">
        <v>436</v>
      </c>
      <c r="P241" s="1576">
        <f t="shared" si="40"/>
        <v>0</v>
      </c>
      <c r="Q241" s="1469" t="s">
        <v>608</v>
      </c>
      <c r="R241" s="1557" t="str">
        <f t="shared" si="41"/>
        <v>J×0.00%</v>
      </c>
      <c r="S241" s="1575">
        <f t="shared" si="42"/>
        <v>0</v>
      </c>
    </row>
    <row r="242" spans="2:21">
      <c r="B242" s="1469">
        <f t="shared" si="33"/>
        <v>239</v>
      </c>
      <c r="C242" s="1470" t="s">
        <v>1206</v>
      </c>
      <c r="D242" s="1469" t="str">
        <f t="shared" si="31"/>
        <v>是</v>
      </c>
      <c r="E242" s="1520" t="str">
        <f>'在建-待摊'!CG14</f>
        <v/>
      </c>
      <c r="F242" s="1471"/>
      <c r="G242" s="1471"/>
      <c r="H242" s="1469"/>
      <c r="I242" s="1469"/>
      <c r="J242" s="1469"/>
      <c r="K242" s="1469"/>
      <c r="L242" s="1472" t="str">
        <f>判断表!L79</f>
        <v>隐藏</v>
      </c>
      <c r="N242" s="1539" t="s">
        <v>627</v>
      </c>
      <c r="O242" s="1557" t="s">
        <v>438</v>
      </c>
      <c r="P242" s="1576">
        <f t="shared" si="40"/>
        <v>0</v>
      </c>
      <c r="Q242" s="1469" t="s">
        <v>608</v>
      </c>
      <c r="R242" s="1557" t="str">
        <f t="shared" si="41"/>
        <v>J×0.00%</v>
      </c>
      <c r="S242" s="1575">
        <f t="shared" si="42"/>
        <v>0</v>
      </c>
    </row>
    <row r="243" spans="2:21">
      <c r="B243" s="1469">
        <f t="shared" si="33"/>
        <v>240</v>
      </c>
      <c r="C243" s="1470" t="s">
        <v>1207</v>
      </c>
      <c r="D243" s="1469" t="str">
        <f t="shared" si="31"/>
        <v>是</v>
      </c>
      <c r="E243" s="1520" t="str">
        <f>'在建-预付'!CG14</f>
        <v/>
      </c>
      <c r="F243" s="1471"/>
      <c r="G243" s="1471"/>
      <c r="H243" s="1469"/>
      <c r="I243" s="1469"/>
      <c r="J243" s="1469"/>
      <c r="K243" s="1469"/>
      <c r="L243" s="1472" t="str">
        <f>判断表!L80</f>
        <v>隐藏</v>
      </c>
      <c r="N243" s="1539" t="s">
        <v>672</v>
      </c>
      <c r="O243" s="1557" t="s">
        <v>1208</v>
      </c>
      <c r="P243" s="1469"/>
      <c r="Q243" s="1469" t="s">
        <v>608</v>
      </c>
      <c r="R243" s="1557" t="s">
        <v>1209</v>
      </c>
      <c r="S243" s="1575">
        <f>S237-SUM(S238:S242)</f>
        <v>0</v>
      </c>
    </row>
    <row r="244" spans="2:21">
      <c r="B244" s="1469">
        <f t="shared" si="33"/>
        <v>241</v>
      </c>
      <c r="C244" s="1470" t="s">
        <v>1210</v>
      </c>
      <c r="D244" s="1469" t="str">
        <f t="shared" si="31"/>
        <v>是</v>
      </c>
      <c r="E244" s="1520" t="str">
        <f>'在建-井巷'!CE14</f>
        <v/>
      </c>
      <c r="F244" s="1471"/>
      <c r="G244" s="1471"/>
      <c r="H244" s="1469"/>
      <c r="I244" s="1469"/>
      <c r="J244" s="1469"/>
      <c r="K244" s="1469"/>
      <c r="L244" s="1472" t="str">
        <f>判断表!L81</f>
        <v>隐藏</v>
      </c>
      <c r="N244" s="1539" t="s">
        <v>653</v>
      </c>
      <c r="O244" s="1557" t="s">
        <v>423</v>
      </c>
      <c r="P244" s="1576">
        <f>P224</f>
        <v>0.25</v>
      </c>
      <c r="Q244" s="1469" t="s">
        <v>672</v>
      </c>
      <c r="R244" s="1557" t="str">
        <f t="shared" si="41"/>
        <v>P×25.00%</v>
      </c>
      <c r="S244" s="1575">
        <f>IF(T244&gt;0,S243*P244,0)</f>
        <v>0</v>
      </c>
      <c r="T244" s="1577">
        <f>'产成品（商品）'!BV6</f>
        <v>0</v>
      </c>
    </row>
    <row r="245" spans="2:21">
      <c r="B245" s="1469">
        <f t="shared" si="33"/>
        <v>242</v>
      </c>
      <c r="C245" s="1470" t="s">
        <v>1211</v>
      </c>
      <c r="D245" s="1469" t="str">
        <f t="shared" si="31"/>
        <v>是</v>
      </c>
      <c r="E245" s="1520" t="str">
        <f>'在建-物资'!CC15</f>
        <v/>
      </c>
      <c r="F245" s="1471"/>
      <c r="G245" s="1471"/>
      <c r="H245" s="1469"/>
      <c r="I245" s="1469"/>
      <c r="J245" s="1469"/>
      <c r="K245" s="1469"/>
      <c r="L245" s="1472" t="str">
        <f>判断表!L82</f>
        <v>隐藏</v>
      </c>
      <c r="N245" s="1539" t="s">
        <v>609</v>
      </c>
      <c r="O245" s="1557" t="s">
        <v>1212</v>
      </c>
      <c r="P245" s="1469"/>
      <c r="Q245" s="1469" t="s">
        <v>672</v>
      </c>
      <c r="R245" s="1557" t="s">
        <v>1213</v>
      </c>
      <c r="S245" s="1575">
        <f>MAX(S243-S244,0)</f>
        <v>0</v>
      </c>
    </row>
    <row r="246" spans="2:21">
      <c r="B246" s="1487">
        <f t="shared" si="33"/>
        <v>243</v>
      </c>
      <c r="C246" s="1488" t="s">
        <v>1214</v>
      </c>
      <c r="D246" s="1487" t="str">
        <f>D239</f>
        <v>是</v>
      </c>
      <c r="E246" s="1546"/>
      <c r="F246" s="1489" t="s">
        <v>863</v>
      </c>
      <c r="G246" s="1489" t="str">
        <f t="shared" ref="G246" si="43">IF(H246="","",ADDRESS(H246,I246,4)&amp;":"&amp;ADDRESS(J246,K246,4))</f>
        <v>P376:S394</v>
      </c>
      <c r="H246" s="1487">
        <f>ROW(P376)</f>
        <v>376</v>
      </c>
      <c r="I246" s="1487">
        <f>COLUMN(P376)</f>
        <v>16</v>
      </c>
      <c r="J246" s="1487">
        <f>ROW(S394)</f>
        <v>394</v>
      </c>
      <c r="K246" s="1487">
        <f>COLUMN(S394)</f>
        <v>19</v>
      </c>
      <c r="L246" s="1490"/>
      <c r="N246" s="1539" t="s">
        <v>692</v>
      </c>
      <c r="O246" s="1557" t="s">
        <v>1215</v>
      </c>
      <c r="P246" s="1469"/>
      <c r="Q246" s="1469"/>
      <c r="R246" s="1557"/>
      <c r="S246" s="1578">
        <v>0</v>
      </c>
    </row>
    <row r="247" spans="2:21">
      <c r="B247" s="1504">
        <f t="shared" si="33"/>
        <v>244</v>
      </c>
      <c r="C247" s="1505" t="s">
        <v>1216</v>
      </c>
      <c r="D247" s="1504" t="str">
        <f t="shared" si="31"/>
        <v>是</v>
      </c>
      <c r="E247" s="1572"/>
      <c r="F247" s="1506"/>
      <c r="G247" s="1506"/>
      <c r="H247" s="1504"/>
      <c r="I247" s="1504"/>
      <c r="J247" s="1504"/>
      <c r="K247" s="1504"/>
      <c r="L247" s="1507" t="str">
        <f>判断表!L83</f>
        <v>隐藏</v>
      </c>
      <c r="N247" s="1539" t="s">
        <v>633</v>
      </c>
      <c r="O247" s="1557" t="s">
        <v>1217</v>
      </c>
      <c r="P247" s="1579">
        <f>S246</f>
        <v>0</v>
      </c>
      <c r="Q247" s="1469" t="s">
        <v>609</v>
      </c>
      <c r="R247" s="1557" t="str">
        <f t="shared" ref="R247" si="44">Q247&amp;"×"&amp;TEXT(P247,"0.00%")</f>
        <v>R×0.00%</v>
      </c>
      <c r="S247" s="1575">
        <v>0</v>
      </c>
    </row>
    <row r="248" ht="12.75" spans="2:21">
      <c r="B248" s="1504">
        <f t="shared" si="33"/>
        <v>245</v>
      </c>
      <c r="C248" s="1505" t="s">
        <v>1218</v>
      </c>
      <c r="D248" s="1504" t="str">
        <f t="shared" si="31"/>
        <v>是</v>
      </c>
      <c r="E248" s="1572"/>
      <c r="F248" s="1506"/>
      <c r="G248" s="1506"/>
      <c r="H248" s="1504"/>
      <c r="I248" s="1504"/>
      <c r="J248" s="1504"/>
      <c r="K248" s="1504"/>
      <c r="L248" s="1507" t="str">
        <f>判断表!L84</f>
        <v>隐藏</v>
      </c>
      <c r="N248" s="1549" t="s">
        <v>648</v>
      </c>
      <c r="O248" s="1559" t="s">
        <v>1219</v>
      </c>
      <c r="P248" s="1580"/>
      <c r="Q248" s="1580" t="s">
        <v>608</v>
      </c>
      <c r="R248" s="1559" t="s">
        <v>1220</v>
      </c>
      <c r="S248" s="1581">
        <f>S237-SUM(S238:S239,S244,S247)</f>
        <v>0</v>
      </c>
      <c r="T248" s="1457">
        <f>'产成品（商品）'!Y34</f>
        <v>25</v>
      </c>
      <c r="U248" s="1582" t="str">
        <f>IFERROR(VLOOKUP(S$228,'产成品（商品）'!A$8:Y$27,T248,FALSE)-S248,"")</f>
        <v/>
      </c>
    </row>
    <row r="249" ht="12.75" spans="2:21">
      <c r="B249" s="1504">
        <f t="shared" si="33"/>
        <v>246</v>
      </c>
      <c r="C249" s="1505" t="s">
        <v>1221</v>
      </c>
      <c r="D249" s="1504" t="str">
        <f t="shared" si="31"/>
        <v>是</v>
      </c>
      <c r="E249" s="1572"/>
      <c r="F249" s="1506"/>
      <c r="G249" s="1506"/>
      <c r="H249" s="1504"/>
      <c r="I249" s="1504"/>
      <c r="J249" s="1504"/>
      <c r="K249" s="1504"/>
      <c r="L249" s="1507" t="str">
        <f>判断表!L85</f>
        <v>隐藏</v>
      </c>
    </row>
    <row r="250" ht="12.75" spans="2:21">
      <c r="B250" s="1469">
        <f t="shared" si="33"/>
        <v>247</v>
      </c>
      <c r="C250" s="1470" t="s">
        <v>1222</v>
      </c>
      <c r="D250" s="1469" t="str">
        <f t="shared" ref="D250:D255" si="45">D$249</f>
        <v>是</v>
      </c>
      <c r="E250" s="1482" t="str">
        <f>TEXT(非流动资总!BA20,"#,##0.00")</f>
        <v>0.00</v>
      </c>
      <c r="F250" s="1471"/>
      <c r="G250" s="1471"/>
      <c r="H250" s="1469"/>
      <c r="I250" s="1469"/>
      <c r="J250" s="1469"/>
      <c r="K250" s="1469"/>
      <c r="L250" s="1472"/>
      <c r="N250" s="1456" t="str">
        <f>C144</f>
        <v>存货评估结果表</v>
      </c>
    </row>
    <row r="251" ht="12.75" spans="2:21">
      <c r="B251" s="1469">
        <f t="shared" si="33"/>
        <v>248</v>
      </c>
      <c r="C251" s="1470" t="s">
        <v>1223</v>
      </c>
      <c r="D251" s="1469" t="str">
        <f t="shared" si="45"/>
        <v>是</v>
      </c>
      <c r="E251" s="1520" t="str">
        <f>IF(E250-E252=0,"未计提减值准备","计提减值准备"&amp;TEXT(E250-E252,"#,##0.00")&amp;"万元")</f>
        <v>未计提减值准备</v>
      </c>
      <c r="F251" s="1471"/>
      <c r="G251" s="1471"/>
      <c r="H251" s="1469"/>
      <c r="I251" s="1469"/>
      <c r="J251" s="1469"/>
      <c r="K251" s="1469"/>
      <c r="L251" s="1472"/>
      <c r="N251" s="1514" t="s">
        <v>521</v>
      </c>
      <c r="O251" s="1547" t="s">
        <v>1028</v>
      </c>
      <c r="P251" s="1547" t="s">
        <v>837</v>
      </c>
      <c r="Q251" s="1547" t="s">
        <v>526</v>
      </c>
      <c r="R251" s="1547" t="s">
        <v>838</v>
      </c>
      <c r="S251" s="1548" t="s">
        <v>1058</v>
      </c>
    </row>
    <row r="252" spans="2:21">
      <c r="B252" s="1469">
        <f t="shared" si="33"/>
        <v>249</v>
      </c>
      <c r="C252" s="1470" t="s">
        <v>1224</v>
      </c>
      <c r="D252" s="1469" t="str">
        <f t="shared" si="45"/>
        <v>是</v>
      </c>
      <c r="E252" s="1482" t="str">
        <f>TEXT(非流动资总!D20,"#,##0.00")</f>
        <v>0.00</v>
      </c>
      <c r="F252" s="1471"/>
      <c r="G252" s="1471"/>
      <c r="H252" s="1469"/>
      <c r="I252" s="1469"/>
      <c r="J252" s="1469"/>
      <c r="K252" s="1469"/>
      <c r="L252" s="1472"/>
      <c r="N252" s="1556" t="s">
        <v>1030</v>
      </c>
      <c r="O252" s="1557" t="s">
        <v>1106</v>
      </c>
      <c r="P252" s="1482">
        <f>P187</f>
        <v>0</v>
      </c>
      <c r="Q252" s="1482">
        <f>存货总!BE7</f>
        <v>0</v>
      </c>
      <c r="R252" s="1482">
        <f>Q252-P252</f>
        <v>0</v>
      </c>
      <c r="S252" s="1501" t="str">
        <f>IFERROR(R252/P252*100,"")</f>
        <v/>
      </c>
    </row>
    <row r="253" spans="2:21">
      <c r="B253" s="1469">
        <f t="shared" si="33"/>
        <v>250</v>
      </c>
      <c r="C253" s="1470" t="s">
        <v>1225</v>
      </c>
      <c r="D253" s="1469" t="str">
        <f t="shared" si="45"/>
        <v>是</v>
      </c>
      <c r="E253" s="1520" t="str">
        <f>使用权资!CE15</f>
        <v/>
      </c>
      <c r="F253" s="1471"/>
      <c r="G253" s="1471"/>
      <c r="H253" s="1469"/>
      <c r="I253" s="1469"/>
      <c r="J253" s="1469"/>
      <c r="K253" s="1469"/>
      <c r="L253" s="1472"/>
      <c r="N253" s="1556"/>
      <c r="O253" s="1557" t="s">
        <v>1108</v>
      </c>
      <c r="P253" s="1482">
        <f>P252-P254</f>
        <v>0</v>
      </c>
      <c r="Q253" s="1482">
        <f>Q252-Q254</f>
        <v>0</v>
      </c>
      <c r="R253" s="1482">
        <f t="shared" ref="R253:R255" si="46">Q253-P253</f>
        <v>0</v>
      </c>
      <c r="S253" s="1501" t="str">
        <f t="shared" ref="S253:S255" si="47">IFERROR(R253/P253*100,"")</f>
        <v/>
      </c>
    </row>
    <row r="254" spans="2:21">
      <c r="B254" s="1469">
        <f t="shared" si="33"/>
        <v>251</v>
      </c>
      <c r="C254" s="1470" t="s">
        <v>1226</v>
      </c>
      <c r="D254" s="1469" t="str">
        <f t="shared" si="45"/>
        <v>是</v>
      </c>
      <c r="E254" s="1482" t="str">
        <f>TEXT(非流动资总!E20,"#,##0.00")</f>
        <v>0.00</v>
      </c>
      <c r="F254" s="1471"/>
      <c r="G254" s="1471"/>
      <c r="H254" s="1469"/>
      <c r="I254" s="1469"/>
      <c r="J254" s="1469"/>
      <c r="K254" s="1469"/>
      <c r="L254" s="1472"/>
      <c r="N254" s="1556" t="s">
        <v>1030</v>
      </c>
      <c r="O254" s="1557" t="s">
        <v>1110</v>
      </c>
      <c r="P254" s="1482">
        <f>P189</f>
        <v>0</v>
      </c>
      <c r="Q254" s="1482">
        <f>存货总!BH7</f>
        <v>0</v>
      </c>
      <c r="R254" s="1482">
        <f t="shared" si="46"/>
        <v>0</v>
      </c>
      <c r="S254" s="1501" t="str">
        <f t="shared" si="47"/>
        <v/>
      </c>
    </row>
    <row r="255" spans="2:21">
      <c r="B255" s="1469">
        <f t="shared" si="33"/>
        <v>252</v>
      </c>
      <c r="C255" s="1470" t="s">
        <v>1227</v>
      </c>
      <c r="D255" s="1469" t="str">
        <f t="shared" si="45"/>
        <v>是</v>
      </c>
      <c r="E255" s="1520" t="str">
        <f>分类汇总!BV36</f>
        <v>无增减值</v>
      </c>
      <c r="F255" s="1471"/>
      <c r="G255" s="1471"/>
      <c r="H255" s="1469"/>
      <c r="I255" s="1469"/>
      <c r="J255" s="1469"/>
      <c r="K255" s="1469"/>
      <c r="L255" s="1472"/>
      <c r="N255" s="1556" t="s">
        <v>1036</v>
      </c>
      <c r="O255" s="1557" t="s">
        <v>1112</v>
      </c>
      <c r="P255" s="1482">
        <f>P190</f>
        <v>0</v>
      </c>
      <c r="Q255" s="1482">
        <f>存货总!BE8</f>
        <v>0</v>
      </c>
      <c r="R255" s="1482">
        <f t="shared" si="46"/>
        <v>0</v>
      </c>
      <c r="S255" s="1501" t="str">
        <f t="shared" si="47"/>
        <v/>
      </c>
    </row>
    <row r="256" spans="2:21">
      <c r="B256" s="1504">
        <f t="shared" si="33"/>
        <v>253</v>
      </c>
      <c r="C256" s="1505" t="s">
        <v>1228</v>
      </c>
      <c r="D256" s="1504" t="str">
        <f t="shared" si="31"/>
        <v>是</v>
      </c>
      <c r="E256" s="1572"/>
      <c r="F256" s="1506"/>
      <c r="G256" s="1506"/>
      <c r="H256" s="1504"/>
      <c r="I256" s="1504"/>
      <c r="J256" s="1504"/>
      <c r="K256" s="1504"/>
      <c r="L256" s="1507" t="str">
        <f>判断表!L87</f>
        <v>隐藏</v>
      </c>
      <c r="N256" s="1556"/>
      <c r="O256" s="1557" t="s">
        <v>1108</v>
      </c>
      <c r="P256" s="1482">
        <f>P255-P257</f>
        <v>0</v>
      </c>
      <c r="Q256" s="1482">
        <f>Q255-Q257</f>
        <v>0</v>
      </c>
      <c r="R256" s="1482">
        <f t="shared" ref="R256:R280" si="48">Q256-P256</f>
        <v>0</v>
      </c>
      <c r="S256" s="1501" t="str">
        <f t="shared" ref="S256:S280" si="49">IFERROR(R256/P256*100,"")</f>
        <v/>
      </c>
    </row>
    <row r="257" spans="2:19">
      <c r="B257" s="1504">
        <f t="shared" si="33"/>
        <v>254</v>
      </c>
      <c r="C257" s="1505" t="s">
        <v>1229</v>
      </c>
      <c r="D257" s="1504" t="str">
        <f t="shared" si="31"/>
        <v>是</v>
      </c>
      <c r="E257" s="1572"/>
      <c r="F257" s="1506"/>
      <c r="G257" s="1506"/>
      <c r="H257" s="1504"/>
      <c r="I257" s="1504"/>
      <c r="J257" s="1504"/>
      <c r="K257" s="1504"/>
      <c r="L257" s="1507" t="str">
        <f>判断表!L88</f>
        <v>隐藏</v>
      </c>
      <c r="N257" s="1556" t="s">
        <v>1036</v>
      </c>
      <c r="O257" s="1557" t="s">
        <v>1115</v>
      </c>
      <c r="P257" s="1482">
        <f>P192</f>
        <v>0</v>
      </c>
      <c r="Q257" s="1482">
        <f>存货总!BH8</f>
        <v>0</v>
      </c>
      <c r="R257" s="1482">
        <f t="shared" si="48"/>
        <v>0</v>
      </c>
      <c r="S257" s="1501" t="str">
        <f t="shared" si="49"/>
        <v/>
      </c>
    </row>
    <row r="258" spans="2:19">
      <c r="B258" s="1504">
        <f t="shared" si="33"/>
        <v>255</v>
      </c>
      <c r="C258" s="1505" t="s">
        <v>1230</v>
      </c>
      <c r="D258" s="1504" t="str">
        <f t="shared" si="31"/>
        <v>是</v>
      </c>
      <c r="E258" s="1505"/>
      <c r="F258" s="1506"/>
      <c r="G258" s="1506"/>
      <c r="H258" s="1504"/>
      <c r="I258" s="1504"/>
      <c r="J258" s="1504"/>
      <c r="K258" s="1504"/>
      <c r="L258" s="1507" t="str">
        <f>判断表!L89</f>
        <v>隐藏</v>
      </c>
      <c r="N258" s="1556" t="s">
        <v>1042</v>
      </c>
      <c r="O258" s="1557" t="s">
        <v>1117</v>
      </c>
      <c r="P258" s="1482">
        <f>P193</f>
        <v>0</v>
      </c>
      <c r="Q258" s="1482">
        <f>存货总!BE9</f>
        <v>0</v>
      </c>
      <c r="R258" s="1482">
        <f t="shared" si="48"/>
        <v>0</v>
      </c>
      <c r="S258" s="1501" t="str">
        <f t="shared" si="49"/>
        <v/>
      </c>
    </row>
    <row r="259" spans="2:19">
      <c r="B259" s="1469">
        <f t="shared" si="33"/>
        <v>256</v>
      </c>
      <c r="C259" s="1503" t="s">
        <v>1231</v>
      </c>
      <c r="D259" s="1469" t="str">
        <f>D$258</f>
        <v>是</v>
      </c>
      <c r="E259" s="1583" t="str">
        <f>TEXT(无形资总!BA9,"#,##0.00")</f>
        <v>0.00</v>
      </c>
      <c r="F259" s="1471"/>
      <c r="G259" s="1471"/>
      <c r="H259" s="1469"/>
      <c r="I259" s="1469"/>
      <c r="J259" s="1469"/>
      <c r="K259" s="1469"/>
      <c r="L259" s="1472"/>
      <c r="N259" s="1556"/>
      <c r="O259" s="1557" t="s">
        <v>1108</v>
      </c>
      <c r="P259" s="1482">
        <f>P258-P260</f>
        <v>0</v>
      </c>
      <c r="Q259" s="1482">
        <f>Q258-Q260</f>
        <v>0</v>
      </c>
      <c r="R259" s="1482">
        <f t="shared" si="48"/>
        <v>0</v>
      </c>
      <c r="S259" s="1501" t="str">
        <f t="shared" si="49"/>
        <v/>
      </c>
    </row>
    <row r="260" spans="2:19">
      <c r="B260" s="1469">
        <f t="shared" si="33"/>
        <v>257</v>
      </c>
      <c r="C260" s="1503" t="s">
        <v>1232</v>
      </c>
      <c r="D260" s="1469" t="str">
        <f>D$258</f>
        <v>是</v>
      </c>
      <c r="E260" s="1482" t="str">
        <f>TEXT(无形资总!BB9,"#,##0.00")</f>
        <v>0.00</v>
      </c>
      <c r="F260" s="1471"/>
      <c r="G260" s="1471"/>
      <c r="H260" s="1469"/>
      <c r="I260" s="1469"/>
      <c r="J260" s="1469"/>
      <c r="K260" s="1469"/>
      <c r="L260" s="1472"/>
      <c r="N260" s="1556" t="s">
        <v>1042</v>
      </c>
      <c r="O260" s="1557" t="s">
        <v>1120</v>
      </c>
      <c r="P260" s="1482">
        <f>P195</f>
        <v>0</v>
      </c>
      <c r="Q260" s="1482">
        <f>存货总!BH9</f>
        <v>0</v>
      </c>
      <c r="R260" s="1482">
        <f t="shared" si="48"/>
        <v>0</v>
      </c>
      <c r="S260" s="1501" t="str">
        <f t="shared" si="49"/>
        <v/>
      </c>
    </row>
    <row r="261" spans="2:19">
      <c r="B261" s="1469">
        <f t="shared" si="33"/>
        <v>258</v>
      </c>
      <c r="C261" s="1470" t="s">
        <v>1233</v>
      </c>
      <c r="D261" s="1469" t="str">
        <f>D$258</f>
        <v>是</v>
      </c>
      <c r="E261" s="1520" t="str">
        <f>IF(E260-E262=0,"未计提减值准备","计提减值准备"&amp;TEXT(E260-E262,"#,##0.00")&amp;"万元")</f>
        <v>未计提减值准备</v>
      </c>
      <c r="F261" s="1471"/>
      <c r="G261" s="1471"/>
      <c r="H261" s="1469"/>
      <c r="I261" s="1469"/>
      <c r="J261" s="1469"/>
      <c r="K261" s="1469"/>
      <c r="L261" s="1472"/>
      <c r="N261" s="1556" t="s">
        <v>1122</v>
      </c>
      <c r="O261" s="1557" t="s">
        <v>1123</v>
      </c>
      <c r="P261" s="1482">
        <f>P196</f>
        <v>0</v>
      </c>
      <c r="Q261" s="1482">
        <f>存货总!BE10</f>
        <v>0</v>
      </c>
      <c r="R261" s="1482">
        <f t="shared" si="48"/>
        <v>0</v>
      </c>
      <c r="S261" s="1501" t="str">
        <f t="shared" si="49"/>
        <v/>
      </c>
    </row>
    <row r="262" spans="2:19">
      <c r="B262" s="1469">
        <f t="shared" si="33"/>
        <v>259</v>
      </c>
      <c r="C262" s="1470" t="s">
        <v>1234</v>
      </c>
      <c r="D262" s="1469" t="str">
        <f>D$258</f>
        <v>是</v>
      </c>
      <c r="E262" s="1482" t="str">
        <f>TEXT(无形资总!D9,"#,##0.00")</f>
        <v>0.00</v>
      </c>
      <c r="F262" s="1471"/>
      <c r="G262" s="1471"/>
      <c r="H262" s="1469"/>
      <c r="I262" s="1469"/>
      <c r="J262" s="1469"/>
      <c r="K262" s="1469"/>
      <c r="L262" s="1472"/>
      <c r="N262" s="1556"/>
      <c r="O262" s="1557" t="s">
        <v>1108</v>
      </c>
      <c r="P262" s="1482">
        <f>P261-P263</f>
        <v>0</v>
      </c>
      <c r="Q262" s="1482">
        <f>Q261-Q263</f>
        <v>0</v>
      </c>
      <c r="R262" s="1482">
        <f t="shared" si="48"/>
        <v>0</v>
      </c>
      <c r="S262" s="1501" t="str">
        <f t="shared" si="49"/>
        <v/>
      </c>
    </row>
    <row r="263" spans="2:19">
      <c r="B263" s="1504">
        <f t="shared" si="33"/>
        <v>260</v>
      </c>
      <c r="C263" s="1505" t="s">
        <v>1235</v>
      </c>
      <c r="D263" s="1504" t="str">
        <f>IF(OR(L263="收益法",L263="成本法、收益法"),"否","是")</f>
        <v>是</v>
      </c>
      <c r="E263" s="1572"/>
      <c r="F263" s="1506"/>
      <c r="G263" s="1506"/>
      <c r="H263" s="1504"/>
      <c r="I263" s="1504"/>
      <c r="J263" s="1504"/>
      <c r="K263" s="1504"/>
      <c r="L263" s="1507" t="str">
        <f>'无形-其他'!BO5</f>
        <v>成本法</v>
      </c>
      <c r="N263" s="1556" t="s">
        <v>1122</v>
      </c>
      <c r="O263" s="1557" t="s">
        <v>1126</v>
      </c>
      <c r="P263" s="1482">
        <f>P198</f>
        <v>0</v>
      </c>
      <c r="Q263" s="1482">
        <f>存货总!BH10</f>
        <v>0</v>
      </c>
      <c r="R263" s="1482">
        <f t="shared" si="48"/>
        <v>0</v>
      </c>
      <c r="S263" s="1501" t="str">
        <f t="shared" si="49"/>
        <v/>
      </c>
    </row>
    <row r="264" spans="2:19">
      <c r="B264" s="1469">
        <f t="shared" si="33"/>
        <v>261</v>
      </c>
      <c r="C264" s="1470" t="s">
        <v>1236</v>
      </c>
      <c r="D264" s="1469" t="str">
        <f t="shared" ref="D264:D294" si="50">D$263</f>
        <v>是</v>
      </c>
      <c r="E264" s="1482" t="str">
        <f>TEXT('无形-收益法'!BE2-1+'无形-收益法'!BG2/12,"#,##0.00")</f>
        <v>4.42</v>
      </c>
      <c r="F264" s="1471"/>
      <c r="G264" s="1471"/>
      <c r="H264" s="1469"/>
      <c r="I264" s="1469"/>
      <c r="J264" s="1469"/>
      <c r="K264" s="1469"/>
      <c r="L264" s="1472"/>
      <c r="N264" s="1556" t="s">
        <v>1128</v>
      </c>
      <c r="O264" s="1557" t="s">
        <v>1129</v>
      </c>
      <c r="P264" s="1482">
        <f>P199</f>
        <v>0</v>
      </c>
      <c r="Q264" s="1482">
        <f>存货总!BE11</f>
        <v>0</v>
      </c>
      <c r="R264" s="1482">
        <f t="shared" si="48"/>
        <v>0</v>
      </c>
      <c r="S264" s="1501" t="str">
        <f t="shared" si="49"/>
        <v/>
      </c>
    </row>
    <row r="265" spans="2:19">
      <c r="B265" s="1469">
        <f t="shared" si="33"/>
        <v>262</v>
      </c>
      <c r="C265" s="1470" t="s">
        <v>1237</v>
      </c>
      <c r="D265" s="1469" t="str">
        <f t="shared" si="50"/>
        <v>是</v>
      </c>
      <c r="E265" s="1482" t="str">
        <f>E264</f>
        <v>4.42</v>
      </c>
      <c r="F265" s="1471"/>
      <c r="G265" s="1471"/>
      <c r="H265" s="1469"/>
      <c r="I265" s="1469"/>
      <c r="J265" s="1469"/>
      <c r="K265" s="1469"/>
      <c r="L265" s="1472"/>
      <c r="N265" s="1556"/>
      <c r="O265" s="1557" t="s">
        <v>1108</v>
      </c>
      <c r="P265" s="1482">
        <f>P264-P266</f>
        <v>0</v>
      </c>
      <c r="Q265" s="1482">
        <f>Q264-Q266</f>
        <v>0</v>
      </c>
      <c r="R265" s="1482">
        <f t="shared" si="48"/>
        <v>0</v>
      </c>
      <c r="S265" s="1501" t="str">
        <f t="shared" si="49"/>
        <v/>
      </c>
    </row>
    <row r="266" spans="2:19">
      <c r="B266" s="1469">
        <f t="shared" si="33"/>
        <v>263</v>
      </c>
      <c r="C266" s="1470" t="s">
        <v>1238</v>
      </c>
      <c r="D266" s="1469" t="str">
        <f t="shared" si="50"/>
        <v>是</v>
      </c>
      <c r="E266" s="1520" t="str">
        <f>'无形-收益法'!AA22</f>
        <v>全民与集体合营工业</v>
      </c>
      <c r="F266" s="1471"/>
      <c r="G266" s="1471"/>
      <c r="H266" s="1469"/>
      <c r="I266" s="1469"/>
      <c r="J266" s="1469"/>
      <c r="K266" s="1469"/>
      <c r="L266" s="1472"/>
      <c r="N266" s="1556" t="s">
        <v>1128</v>
      </c>
      <c r="O266" s="1557" t="s">
        <v>1132</v>
      </c>
      <c r="P266" s="1482">
        <f>P201</f>
        <v>0</v>
      </c>
      <c r="Q266" s="1482">
        <f>存货总!BH11</f>
        <v>0</v>
      </c>
      <c r="R266" s="1482">
        <f t="shared" si="48"/>
        <v>0</v>
      </c>
      <c r="S266" s="1501" t="str">
        <f t="shared" si="49"/>
        <v/>
      </c>
    </row>
    <row r="267" spans="2:19">
      <c r="B267" s="1469">
        <f t="shared" si="33"/>
        <v>264</v>
      </c>
      <c r="C267" s="1470" t="s">
        <v>1239</v>
      </c>
      <c r="D267" s="1469" t="str">
        <f t="shared" si="50"/>
        <v>是</v>
      </c>
      <c r="E267" s="1520" t="str">
        <f>TEXT('无形-收益法'!AB22,"0.00%")&amp;"-"&amp;TEXT('无形-收益法'!AC22,"0.00%")</f>
        <v>0.60%-1.79%</v>
      </c>
      <c r="F267" s="1471"/>
      <c r="G267" s="1471"/>
      <c r="H267" s="1469"/>
      <c r="I267" s="1469"/>
      <c r="J267" s="1469"/>
      <c r="K267" s="1469"/>
      <c r="L267" s="1472"/>
      <c r="N267" s="1556" t="s">
        <v>1134</v>
      </c>
      <c r="O267" s="1557" t="s">
        <v>1135</v>
      </c>
      <c r="P267" s="1482">
        <f>P202</f>
        <v>0</v>
      </c>
      <c r="Q267" s="1482">
        <f>存货总!BE12</f>
        <v>0</v>
      </c>
      <c r="R267" s="1482">
        <f t="shared" si="48"/>
        <v>0</v>
      </c>
      <c r="S267" s="1501" t="str">
        <f t="shared" si="49"/>
        <v/>
      </c>
    </row>
    <row r="268" spans="2:19">
      <c r="B268" s="1487">
        <f t="shared" ref="B268:B275" si="51">B267+1</f>
        <v>265</v>
      </c>
      <c r="C268" s="1488" t="s">
        <v>1240</v>
      </c>
      <c r="D268" s="1487" t="str">
        <f t="shared" si="50"/>
        <v>是</v>
      </c>
      <c r="E268" s="1546"/>
      <c r="F268" s="1489" t="s">
        <v>1241</v>
      </c>
      <c r="G268" s="1489" t="str">
        <f t="shared" ref="G268:G285" si="52">IF(H268="","",ADDRESS(H268,I268,4)&amp;":"&amp;ADDRESS(J268,K268,4))</f>
        <v>AC5:AJ16</v>
      </c>
      <c r="H268" s="1487">
        <f>ROW('无形-收益法'!AC5)</f>
        <v>5</v>
      </c>
      <c r="I268" s="1487">
        <f>COLUMN('无形-收益法'!AC5)</f>
        <v>29</v>
      </c>
      <c r="J268" s="1487">
        <f>ROW('无形-收益法'!AJ16)</f>
        <v>16</v>
      </c>
      <c r="K268" s="1487">
        <f>COLUMN('无形-收益法'!AJ16)</f>
        <v>36</v>
      </c>
      <c r="L268" s="1490"/>
      <c r="N268" s="1556"/>
      <c r="O268" s="1557" t="s">
        <v>1108</v>
      </c>
      <c r="P268" s="1482">
        <f>P267-P269</f>
        <v>0</v>
      </c>
      <c r="Q268" s="1482">
        <f>Q267-Q269</f>
        <v>0</v>
      </c>
      <c r="R268" s="1482">
        <f t="shared" si="48"/>
        <v>0</v>
      </c>
      <c r="S268" s="1501" t="str">
        <f t="shared" si="49"/>
        <v/>
      </c>
    </row>
    <row r="269" spans="2:19">
      <c r="B269" s="1469">
        <f t="shared" si="51"/>
        <v>266</v>
      </c>
      <c r="C269" s="1470" t="s">
        <v>1242</v>
      </c>
      <c r="D269" s="1469" t="str">
        <f t="shared" si="50"/>
        <v>是</v>
      </c>
      <c r="E269" s="1584" t="str">
        <f>TEXT('无形-收益法'!AI16,"0.00%")</f>
        <v>0.00%</v>
      </c>
      <c r="F269" s="1471"/>
      <c r="G269" s="1471"/>
      <c r="H269" s="1469"/>
      <c r="I269" s="1469"/>
      <c r="J269" s="1469"/>
      <c r="K269" s="1469"/>
      <c r="L269" s="1472"/>
      <c r="N269" s="1556" t="s">
        <v>1134</v>
      </c>
      <c r="O269" s="1557" t="s">
        <v>1138</v>
      </c>
      <c r="P269" s="1482">
        <f>P204</f>
        <v>0</v>
      </c>
      <c r="Q269" s="1482">
        <f>存货总!BH12</f>
        <v>0</v>
      </c>
      <c r="R269" s="1482">
        <f t="shared" si="48"/>
        <v>0</v>
      </c>
      <c r="S269" s="1501" t="str">
        <f t="shared" si="49"/>
        <v/>
      </c>
    </row>
    <row r="270" spans="2:19">
      <c r="B270" s="1469">
        <f t="shared" si="51"/>
        <v>267</v>
      </c>
      <c r="C270" s="1470" t="s">
        <v>1243</v>
      </c>
      <c r="D270" s="1469" t="str">
        <f t="shared" si="50"/>
        <v>是</v>
      </c>
      <c r="E270" s="1584" t="str">
        <f>TEXT('无形-收益法'!AB23,"0.00%")</f>
        <v>0.60%</v>
      </c>
      <c r="F270" s="1471"/>
      <c r="G270" s="1471"/>
      <c r="H270" s="1469"/>
      <c r="I270" s="1469"/>
      <c r="J270" s="1469"/>
      <c r="K270" s="1469"/>
      <c r="L270" s="1472"/>
      <c r="N270" s="1556" t="s">
        <v>7</v>
      </c>
      <c r="O270" s="1557" t="s">
        <v>1140</v>
      </c>
      <c r="P270" s="1482">
        <f>P205</f>
        <v>0</v>
      </c>
      <c r="Q270" s="1482">
        <f>存货总!BE13</f>
        <v>0</v>
      </c>
      <c r="R270" s="1482">
        <f t="shared" si="48"/>
        <v>0</v>
      </c>
      <c r="S270" s="1501" t="str">
        <f t="shared" si="49"/>
        <v/>
      </c>
    </row>
    <row r="271" spans="2:19">
      <c r="B271" s="1469">
        <f t="shared" si="51"/>
        <v>268</v>
      </c>
      <c r="C271" s="1470" t="s">
        <v>1244</v>
      </c>
      <c r="D271" s="1469" t="str">
        <f t="shared" si="50"/>
        <v>是</v>
      </c>
      <c r="E271" s="1524" t="str">
        <f>'无形-收益法'!AY5&amp;TEXT('无形-收益法'!BB5,"0.00%")</f>
        <v>5年期国债收益率3.23%</v>
      </c>
      <c r="F271" s="1471"/>
      <c r="G271" s="1471"/>
      <c r="H271" s="1469"/>
      <c r="I271" s="1469"/>
      <c r="J271" s="1469"/>
      <c r="K271" s="1469"/>
      <c r="L271" s="1472"/>
      <c r="N271" s="1556"/>
      <c r="O271" s="1557" t="s">
        <v>1108</v>
      </c>
      <c r="P271" s="1482">
        <f>P270-P272</f>
        <v>0</v>
      </c>
      <c r="Q271" s="1482">
        <f>Q270-Q272</f>
        <v>0</v>
      </c>
      <c r="R271" s="1482">
        <f t="shared" si="48"/>
        <v>0</v>
      </c>
      <c r="S271" s="1501" t="str">
        <f t="shared" si="49"/>
        <v/>
      </c>
    </row>
    <row r="272" spans="2:19">
      <c r="B272" s="1469">
        <f t="shared" si="51"/>
        <v>269</v>
      </c>
      <c r="C272" s="1470" t="s">
        <v>1245</v>
      </c>
      <c r="D272" s="1469" t="str">
        <f t="shared" si="50"/>
        <v>是</v>
      </c>
      <c r="E272" s="1584" t="str">
        <f>TEXT('无形-收益法'!BB6,"0.00%")</f>
        <v>0.00%</v>
      </c>
      <c r="F272" s="1471"/>
      <c r="G272" s="1471"/>
      <c r="H272" s="1469"/>
      <c r="I272" s="1469"/>
      <c r="J272" s="1469"/>
      <c r="K272" s="1469"/>
      <c r="L272" s="1472"/>
      <c r="N272" s="1556" t="s">
        <v>7</v>
      </c>
      <c r="O272" s="1557" t="s">
        <v>1143</v>
      </c>
      <c r="P272" s="1482">
        <f>P207</f>
        <v>0</v>
      </c>
      <c r="Q272" s="1482">
        <f>存货总!BH13</f>
        <v>0</v>
      </c>
      <c r="R272" s="1482">
        <f t="shared" si="48"/>
        <v>0</v>
      </c>
      <c r="S272" s="1501" t="str">
        <f t="shared" si="49"/>
        <v/>
      </c>
    </row>
    <row r="273" spans="2:19">
      <c r="B273" s="1487">
        <f t="shared" si="51"/>
        <v>270</v>
      </c>
      <c r="C273" s="1488" t="s">
        <v>1246</v>
      </c>
      <c r="D273" s="1487" t="str">
        <f t="shared" si="50"/>
        <v>是</v>
      </c>
      <c r="E273" s="1546"/>
      <c r="F273" s="1489" t="s">
        <v>1241</v>
      </c>
      <c r="G273" s="1489" t="str">
        <f t="shared" si="52"/>
        <v>AN6:AT10</v>
      </c>
      <c r="H273" s="1487">
        <f>ROW('无形-收益法'!AN6)</f>
        <v>6</v>
      </c>
      <c r="I273" s="1487">
        <f>COLUMN('无形-收益法'!AN6)</f>
        <v>40</v>
      </c>
      <c r="J273" s="1487">
        <f>ROW('无形-收益法'!AT10)</f>
        <v>10</v>
      </c>
      <c r="K273" s="1487">
        <f>COLUMN('无形-收益法'!AT10)</f>
        <v>46</v>
      </c>
      <c r="L273" s="1490"/>
      <c r="N273" s="1556" t="s">
        <v>1145</v>
      </c>
      <c r="O273" s="1557" t="s">
        <v>1146</v>
      </c>
      <c r="P273" s="1482">
        <f>P208</f>
        <v>35557.52</v>
      </c>
      <c r="Q273" s="1482">
        <f>存货总!BE14</f>
        <v>2837062.634</v>
      </c>
      <c r="R273" s="1482">
        <f t="shared" si="48"/>
        <v>2801505.114</v>
      </c>
      <c r="S273" s="1501">
        <f t="shared" si="49"/>
        <v>7878.79782954491</v>
      </c>
    </row>
    <row r="274" spans="2:19">
      <c r="B274" s="1469">
        <f t="shared" si="51"/>
        <v>271</v>
      </c>
      <c r="C274" s="1470" t="s">
        <v>1247</v>
      </c>
      <c r="D274" s="1469" t="str">
        <f t="shared" si="50"/>
        <v>是</v>
      </c>
      <c r="E274" s="1524">
        <f>SUM('无形-收益法'!AN6:AS6)</f>
        <v>0</v>
      </c>
      <c r="F274" s="1471"/>
      <c r="G274" s="1471"/>
      <c r="H274" s="1469"/>
      <c r="I274" s="1469"/>
      <c r="J274" s="1469"/>
      <c r="K274" s="1469"/>
      <c r="L274" s="1472"/>
      <c r="N274" s="1556"/>
      <c r="O274" s="1557" t="s">
        <v>1108</v>
      </c>
      <c r="P274" s="1482">
        <f>P273-P275</f>
        <v>0</v>
      </c>
      <c r="Q274" s="1482">
        <f>Q273-Q275</f>
        <v>0</v>
      </c>
      <c r="R274" s="1482">
        <f t="shared" si="48"/>
        <v>0</v>
      </c>
      <c r="S274" s="1501" t="str">
        <f t="shared" si="49"/>
        <v/>
      </c>
    </row>
    <row r="275" spans="2:19">
      <c r="B275" s="1469">
        <f t="shared" si="51"/>
        <v>272</v>
      </c>
      <c r="C275" s="1470" t="s">
        <v>1248</v>
      </c>
      <c r="D275" s="1469" t="str">
        <f t="shared" si="50"/>
        <v>是</v>
      </c>
      <c r="E275" s="1524">
        <f>SUM('无形-收益法'!AN7:AS7)</f>
        <v>0</v>
      </c>
      <c r="F275" s="1471"/>
      <c r="G275" s="1471"/>
      <c r="H275" s="1469"/>
      <c r="I275" s="1469"/>
      <c r="J275" s="1469"/>
      <c r="K275" s="1469"/>
      <c r="L275" s="1472"/>
      <c r="N275" s="1556" t="s">
        <v>1145</v>
      </c>
      <c r="O275" s="1557" t="s">
        <v>1149</v>
      </c>
      <c r="P275" s="1482">
        <f>P210</f>
        <v>35557.52</v>
      </c>
      <c r="Q275" s="1482">
        <f>存货总!BH14</f>
        <v>2837062.634</v>
      </c>
      <c r="R275" s="1482">
        <f t="shared" si="48"/>
        <v>2801505.114</v>
      </c>
      <c r="S275" s="1501">
        <f t="shared" si="49"/>
        <v>7878.79782954491</v>
      </c>
    </row>
    <row r="276" spans="2:19">
      <c r="B276" s="1469">
        <f t="shared" ref="B276:B321" si="53">B275+1</f>
        <v>273</v>
      </c>
      <c r="C276" s="1470" t="s">
        <v>1249</v>
      </c>
      <c r="D276" s="1469" t="str">
        <f t="shared" si="50"/>
        <v>是</v>
      </c>
      <c r="E276" s="1524">
        <f>SUM('无形-收益法'!AN8:AS8)</f>
        <v>0</v>
      </c>
      <c r="F276" s="1471"/>
      <c r="G276" s="1471"/>
      <c r="H276" s="1469"/>
      <c r="I276" s="1469"/>
      <c r="J276" s="1469"/>
      <c r="K276" s="1469"/>
      <c r="L276" s="1472"/>
      <c r="N276" s="1556" t="s">
        <v>13</v>
      </c>
      <c r="O276" s="1557" t="s">
        <v>1250</v>
      </c>
      <c r="P276" s="1482">
        <f>P211</f>
        <v>0</v>
      </c>
      <c r="Q276" s="1482">
        <f>存货总!BE18</f>
        <v>0</v>
      </c>
      <c r="R276" s="1482">
        <f t="shared" ref="R276:R279" si="54">Q276-P276</f>
        <v>0</v>
      </c>
      <c r="S276" s="1501" t="str">
        <f t="shared" ref="S276:S279" si="55">IFERROR(R276/P276*100,"")</f>
        <v/>
      </c>
    </row>
    <row r="277" spans="2:19">
      <c r="B277" s="1469">
        <f t="shared" si="53"/>
        <v>274</v>
      </c>
      <c r="C277" s="1470" t="s">
        <v>1251</v>
      </c>
      <c r="D277" s="1469" t="str">
        <f t="shared" si="50"/>
        <v>是</v>
      </c>
      <c r="E277" s="1524">
        <f>SUM('无形-收益法'!AN9:AS9)</f>
        <v>0</v>
      </c>
      <c r="F277" s="1471"/>
      <c r="G277" s="1471"/>
      <c r="H277" s="1469"/>
      <c r="I277" s="1469"/>
      <c r="J277" s="1469"/>
      <c r="K277" s="1469"/>
      <c r="L277" s="1472"/>
      <c r="N277" s="1556"/>
      <c r="O277" s="1557" t="s">
        <v>1252</v>
      </c>
      <c r="P277" s="1482">
        <f>P276-P279</f>
        <v>0</v>
      </c>
      <c r="Q277" s="1482">
        <f>0</f>
        <v>0</v>
      </c>
      <c r="R277" s="1482">
        <f t="shared" si="54"/>
        <v>0</v>
      </c>
      <c r="S277" s="1501" t="str">
        <f t="shared" si="55"/>
        <v/>
      </c>
    </row>
    <row r="278" spans="2:19">
      <c r="B278" s="1487">
        <f t="shared" si="53"/>
        <v>275</v>
      </c>
      <c r="C278" s="1488" t="s">
        <v>1253</v>
      </c>
      <c r="D278" s="1487" t="str">
        <f t="shared" si="50"/>
        <v>是</v>
      </c>
      <c r="E278" s="1546"/>
      <c r="F278" s="1489" t="s">
        <v>1241</v>
      </c>
      <c r="G278" s="1489" t="str">
        <f t="shared" si="52"/>
        <v>AN15:AT18</v>
      </c>
      <c r="H278" s="1487">
        <f>ROW('无形-收益法'!AN15)</f>
        <v>15</v>
      </c>
      <c r="I278" s="1487">
        <f>COLUMN('无形-收益法'!AN15)</f>
        <v>40</v>
      </c>
      <c r="J278" s="1487">
        <f>ROW('无形-收益法'!AT18)</f>
        <v>18</v>
      </c>
      <c r="K278" s="1487">
        <f>COLUMN('无形-收益法'!AT18)</f>
        <v>46</v>
      </c>
      <c r="L278" s="1490"/>
      <c r="N278" s="1556"/>
      <c r="O278" s="1557" t="s">
        <v>1254</v>
      </c>
      <c r="P278" s="1482"/>
      <c r="Q278" s="1482">
        <f>Q276-Q279</f>
        <v>0</v>
      </c>
      <c r="R278" s="1482">
        <f t="shared" si="54"/>
        <v>0</v>
      </c>
      <c r="S278" s="1501" t="str">
        <f t="shared" si="55"/>
        <v/>
      </c>
    </row>
    <row r="279" spans="2:19">
      <c r="B279" s="1469">
        <f t="shared" si="53"/>
        <v>276</v>
      </c>
      <c r="C279" s="1470" t="s">
        <v>1255</v>
      </c>
      <c r="D279" s="1469" t="str">
        <f t="shared" si="50"/>
        <v>是</v>
      </c>
      <c r="E279" s="1524">
        <f>SUM('无形-收益法'!AN15:AS15)</f>
        <v>0</v>
      </c>
      <c r="F279" s="1471"/>
      <c r="G279" s="1471"/>
      <c r="H279" s="1469"/>
      <c r="I279" s="1469"/>
      <c r="J279" s="1469"/>
      <c r="K279" s="1469"/>
      <c r="L279" s="1472"/>
      <c r="N279" s="1556" t="s">
        <v>13</v>
      </c>
      <c r="O279" s="1557" t="s">
        <v>1256</v>
      </c>
      <c r="P279" s="1482">
        <f>P213</f>
        <v>0</v>
      </c>
      <c r="Q279" s="1482">
        <f>存货总!BH18</f>
        <v>0</v>
      </c>
      <c r="R279" s="1482">
        <f t="shared" si="54"/>
        <v>0</v>
      </c>
      <c r="S279" s="1501" t="str">
        <f t="shared" si="55"/>
        <v/>
      </c>
    </row>
    <row r="280" ht="12.75" spans="2:19">
      <c r="B280" s="1469">
        <f t="shared" si="53"/>
        <v>277</v>
      </c>
      <c r="C280" s="1470" t="s">
        <v>1257</v>
      </c>
      <c r="D280" s="1469" t="str">
        <f t="shared" si="50"/>
        <v>是</v>
      </c>
      <c r="E280" s="1524">
        <f>SUM('无形-收益法'!AN16:AS16)</f>
        <v>0</v>
      </c>
      <c r="F280" s="1471"/>
      <c r="G280" s="1471"/>
      <c r="H280" s="1469"/>
      <c r="I280" s="1469"/>
      <c r="J280" s="1469"/>
      <c r="K280" s="1469"/>
      <c r="L280" s="1472"/>
      <c r="N280" s="1562" t="s">
        <v>1157</v>
      </c>
      <c r="O280" s="1563" t="s">
        <v>1258</v>
      </c>
      <c r="P280" s="1512">
        <f>SUM(P254,P257,P260,P263,P266,P269,P272,P275,P279)</f>
        <v>35557.52</v>
      </c>
      <c r="Q280" s="1512">
        <f>SUM(Q254,Q257,Q260,Q263,Q266,Q269,Q272,Q275,Q279)</f>
        <v>2837062.634</v>
      </c>
      <c r="R280" s="1512">
        <f t="shared" si="48"/>
        <v>2801505.114</v>
      </c>
      <c r="S280" s="1513">
        <f t="shared" si="49"/>
        <v>7878.79782954491</v>
      </c>
    </row>
    <row r="281" ht="12.75" spans="2:19">
      <c r="B281" s="1487">
        <f t="shared" si="53"/>
        <v>278</v>
      </c>
      <c r="C281" s="1488" t="s">
        <v>1259</v>
      </c>
      <c r="D281" s="1487" t="str">
        <f t="shared" si="50"/>
        <v>是</v>
      </c>
      <c r="E281" s="1546"/>
      <c r="F281" s="1489" t="s">
        <v>1241</v>
      </c>
      <c r="G281" s="1489" t="str">
        <f t="shared" si="52"/>
        <v>AN23:AT26</v>
      </c>
      <c r="H281" s="1487">
        <f>ROW('无形-收益法'!AN23)</f>
        <v>23</v>
      </c>
      <c r="I281" s="1487">
        <f>COLUMN('无形-收益法'!AN23)</f>
        <v>40</v>
      </c>
      <c r="J281" s="1487">
        <f>ROW('无形-收益法'!AT26)</f>
        <v>26</v>
      </c>
      <c r="K281" s="1487">
        <f>COLUMN('无形-收益法'!AT26)</f>
        <v>46</v>
      </c>
      <c r="L281" s="1490"/>
    </row>
    <row r="282" ht="12.75" spans="2:19">
      <c r="B282" s="1469">
        <f t="shared" si="53"/>
        <v>279</v>
      </c>
      <c r="C282" s="1470" t="s">
        <v>1260</v>
      </c>
      <c r="D282" s="1469" t="str">
        <f t="shared" si="50"/>
        <v>是</v>
      </c>
      <c r="E282" s="1524">
        <f>SUM('无形-收益法'!AN23:AS23)</f>
        <v>0</v>
      </c>
      <c r="F282" s="1471"/>
      <c r="G282" s="1471"/>
      <c r="H282" s="1469"/>
      <c r="I282" s="1469"/>
      <c r="J282" s="1469"/>
      <c r="K282" s="1469"/>
      <c r="L282" s="1472"/>
      <c r="N282" s="1456" t="str">
        <f>C147</f>
        <v>合同资产账面值表</v>
      </c>
    </row>
    <row r="283" ht="12.75" spans="2:19">
      <c r="B283" s="1469">
        <f t="shared" si="53"/>
        <v>280</v>
      </c>
      <c r="C283" s="1470" t="s">
        <v>1261</v>
      </c>
      <c r="D283" s="1469" t="str">
        <f t="shared" si="50"/>
        <v>是</v>
      </c>
      <c r="E283" s="1524">
        <f>SUM('无形-收益法'!AN24:AS24)</f>
        <v>0</v>
      </c>
      <c r="F283" s="1471"/>
      <c r="G283" s="1471"/>
      <c r="H283" s="1469"/>
      <c r="I283" s="1469"/>
      <c r="J283" s="1469"/>
      <c r="K283" s="1469"/>
      <c r="L283" s="1472"/>
      <c r="N283" s="1514" t="s">
        <v>521</v>
      </c>
      <c r="O283" s="1547" t="s">
        <v>1028</v>
      </c>
      <c r="P283" s="1548" t="s">
        <v>837</v>
      </c>
    </row>
    <row r="284" spans="2:19">
      <c r="B284" s="1469">
        <f t="shared" si="53"/>
        <v>281</v>
      </c>
      <c r="C284" s="1470" t="s">
        <v>1262</v>
      </c>
      <c r="D284" s="1469" t="str">
        <f t="shared" si="50"/>
        <v>是</v>
      </c>
      <c r="E284" s="1524">
        <f>SUM('无形-收益法'!AN25:AS25)</f>
        <v>0</v>
      </c>
      <c r="F284" s="1471"/>
      <c r="G284" s="1471"/>
      <c r="H284" s="1469"/>
      <c r="I284" s="1469"/>
      <c r="J284" s="1469"/>
      <c r="K284" s="1469"/>
      <c r="L284" s="1472"/>
      <c r="N284" s="1556" t="s">
        <v>1030</v>
      </c>
      <c r="O284" s="1557" t="s">
        <v>1263</v>
      </c>
      <c r="P284" s="1501">
        <f>合同资总!BA7</f>
        <v>0</v>
      </c>
    </row>
    <row r="285" spans="2:19">
      <c r="B285" s="1487">
        <f t="shared" si="53"/>
        <v>282</v>
      </c>
      <c r="C285" s="1488" t="s">
        <v>1264</v>
      </c>
      <c r="D285" s="1487" t="str">
        <f t="shared" si="50"/>
        <v>是</v>
      </c>
      <c r="E285" s="1546"/>
      <c r="F285" s="1489" t="s">
        <v>1241</v>
      </c>
      <c r="G285" s="1489" t="str">
        <f t="shared" si="52"/>
        <v>AN31:AT33</v>
      </c>
      <c r="H285" s="1487">
        <f>ROW('无形-收益法'!AN31)</f>
        <v>31</v>
      </c>
      <c r="I285" s="1487">
        <f>COLUMN('无形-收益法'!AN31)</f>
        <v>40</v>
      </c>
      <c r="J285" s="1487">
        <f>ROW('无形-收益法'!AT33)</f>
        <v>33</v>
      </c>
      <c r="K285" s="1487">
        <f>COLUMN('无形-收益法'!AT33)</f>
        <v>46</v>
      </c>
      <c r="L285" s="1490"/>
      <c r="N285" s="1556"/>
      <c r="O285" s="1557" t="s">
        <v>1265</v>
      </c>
      <c r="P285" s="1501">
        <f>P284-P286</f>
        <v>0</v>
      </c>
    </row>
    <row r="286" spans="2:19">
      <c r="B286" s="1469">
        <f t="shared" si="53"/>
        <v>283</v>
      </c>
      <c r="C286" s="1470" t="s">
        <v>1266</v>
      </c>
      <c r="D286" s="1469" t="str">
        <f t="shared" si="50"/>
        <v>是</v>
      </c>
      <c r="E286" s="1524">
        <f>SUM('无形-收益法'!AN31:AS31)</f>
        <v>0</v>
      </c>
      <c r="F286" s="1471"/>
      <c r="G286" s="1471"/>
      <c r="H286" s="1469"/>
      <c r="I286" s="1469"/>
      <c r="J286" s="1469"/>
      <c r="K286" s="1469"/>
      <c r="L286" s="1472"/>
      <c r="N286" s="1556" t="s">
        <v>1030</v>
      </c>
      <c r="O286" s="1557" t="s">
        <v>1267</v>
      </c>
      <c r="P286" s="1501">
        <f>合同资总!BD7</f>
        <v>0</v>
      </c>
    </row>
    <row r="287" spans="2:19">
      <c r="B287" s="1469">
        <f t="shared" si="53"/>
        <v>284</v>
      </c>
      <c r="C287" s="1470" t="s">
        <v>1268</v>
      </c>
      <c r="D287" s="1469" t="str">
        <f t="shared" si="50"/>
        <v>是</v>
      </c>
      <c r="E287" s="1524">
        <f>SUM('无形-收益法'!AN32:AS32)</f>
        <v>0</v>
      </c>
      <c r="F287" s="1471"/>
      <c r="G287" s="1471"/>
      <c r="H287" s="1469"/>
      <c r="I287" s="1469"/>
      <c r="J287" s="1469"/>
      <c r="K287" s="1469"/>
      <c r="L287" s="1472"/>
      <c r="N287" s="1556" t="s">
        <v>1036</v>
      </c>
      <c r="O287" s="1557" t="s">
        <v>1269</v>
      </c>
      <c r="P287" s="1501">
        <f>合同资总!BA8</f>
        <v>0</v>
      </c>
    </row>
    <row r="288" spans="2:19">
      <c r="B288" s="1487">
        <f t="shared" si="53"/>
        <v>285</v>
      </c>
      <c r="C288" s="1488" t="s">
        <v>1270</v>
      </c>
      <c r="D288" s="1487" t="str">
        <f t="shared" si="50"/>
        <v>是</v>
      </c>
      <c r="E288" s="1546"/>
      <c r="F288" s="1489" t="s">
        <v>1241</v>
      </c>
      <c r="G288" s="1489" t="str">
        <f t="shared" ref="G288:G336" si="56">IF(H288="","",ADDRESS(H288,I288,4)&amp;":"&amp;ADDRESS(J288,K288,4))</f>
        <v>AN38:AT41</v>
      </c>
      <c r="H288" s="1487">
        <f>ROW('无形-收益法'!AN38)</f>
        <v>38</v>
      </c>
      <c r="I288" s="1487">
        <f>COLUMN('无形-收益法'!AN38)</f>
        <v>40</v>
      </c>
      <c r="J288" s="1487">
        <f>ROW('无形-收益法'!AT41)</f>
        <v>41</v>
      </c>
      <c r="K288" s="1487">
        <f>COLUMN('无形-收益法'!AT41)</f>
        <v>46</v>
      </c>
      <c r="L288" s="1490"/>
      <c r="N288" s="1556"/>
      <c r="O288" s="1557" t="s">
        <v>1108</v>
      </c>
      <c r="P288" s="1501">
        <f>P287-P289</f>
        <v>0</v>
      </c>
    </row>
    <row r="289" spans="2:19">
      <c r="B289" s="1469">
        <f t="shared" si="53"/>
        <v>286</v>
      </c>
      <c r="C289" s="1470" t="s">
        <v>1271</v>
      </c>
      <c r="D289" s="1469" t="str">
        <f t="shared" si="50"/>
        <v>是</v>
      </c>
      <c r="E289" s="1524">
        <f>SUM('无形-收益法'!AN38:AS38)</f>
        <v>0</v>
      </c>
      <c r="F289" s="1471"/>
      <c r="G289" s="1471"/>
      <c r="H289" s="1469"/>
      <c r="I289" s="1469"/>
      <c r="J289" s="1469"/>
      <c r="K289" s="1469"/>
      <c r="L289" s="1472"/>
      <c r="N289" s="1556" t="s">
        <v>1036</v>
      </c>
      <c r="O289" s="1557" t="s">
        <v>1272</v>
      </c>
      <c r="P289" s="1501">
        <f>合同资总!BD8</f>
        <v>0</v>
      </c>
    </row>
    <row r="290" ht="12.75" spans="2:19">
      <c r="B290" s="1469">
        <f t="shared" si="53"/>
        <v>287</v>
      </c>
      <c r="C290" s="1470" t="s">
        <v>1273</v>
      </c>
      <c r="D290" s="1469" t="str">
        <f t="shared" si="50"/>
        <v>是</v>
      </c>
      <c r="E290" s="1524">
        <f>SUM('无形-收益法'!AN39:AS39)</f>
        <v>0</v>
      </c>
      <c r="F290" s="1471"/>
      <c r="G290" s="1471"/>
      <c r="H290" s="1469"/>
      <c r="I290" s="1469"/>
      <c r="J290" s="1469"/>
      <c r="K290" s="1469"/>
      <c r="L290" s="1472"/>
      <c r="N290" s="1562" t="s">
        <v>1042</v>
      </c>
      <c r="O290" s="1563" t="s">
        <v>1274</v>
      </c>
      <c r="P290" s="1513">
        <f>SUM(P286,P289)</f>
        <v>0</v>
      </c>
    </row>
    <row r="291" ht="12.75" spans="2:19">
      <c r="B291" s="1469">
        <f t="shared" si="53"/>
        <v>288</v>
      </c>
      <c r="C291" s="1470" t="s">
        <v>1275</v>
      </c>
      <c r="D291" s="1469" t="str">
        <f t="shared" si="50"/>
        <v>是</v>
      </c>
      <c r="E291" s="1524">
        <f>SUM('无形-收益法'!AN40:AS40)</f>
        <v>0</v>
      </c>
      <c r="F291" s="1471"/>
      <c r="G291" s="1471"/>
      <c r="H291" s="1469"/>
      <c r="I291" s="1469"/>
      <c r="J291" s="1469"/>
      <c r="K291" s="1469"/>
      <c r="L291" s="1472"/>
    </row>
    <row r="292" ht="12.75" spans="2:19">
      <c r="B292" s="1487">
        <f t="shared" si="53"/>
        <v>289</v>
      </c>
      <c r="C292" s="1488" t="s">
        <v>1276</v>
      </c>
      <c r="D292" s="1487" t="str">
        <f t="shared" si="50"/>
        <v>是</v>
      </c>
      <c r="E292" s="1546"/>
      <c r="F292" s="1489" t="s">
        <v>1241</v>
      </c>
      <c r="G292" s="1489" t="str">
        <f t="shared" si="56"/>
        <v>AZ5:BB12</v>
      </c>
      <c r="H292" s="1487">
        <f>ROW('无形-收益法'!AZ5)</f>
        <v>5</v>
      </c>
      <c r="I292" s="1487">
        <f>COLUMN('无形-收益法'!AZ5)</f>
        <v>52</v>
      </c>
      <c r="J292" s="1487">
        <f>ROW('无形-收益法'!BB12)</f>
        <v>12</v>
      </c>
      <c r="K292" s="1487">
        <f>COLUMN('无形-收益法'!BB12)</f>
        <v>54</v>
      </c>
      <c r="L292" s="1490"/>
      <c r="N292" s="1456" t="str">
        <f>C152</f>
        <v>合同资产评估结果表</v>
      </c>
    </row>
    <row r="293" ht="12.75" spans="2:19">
      <c r="B293" s="1487">
        <f t="shared" si="53"/>
        <v>290</v>
      </c>
      <c r="C293" s="1488" t="s">
        <v>1277</v>
      </c>
      <c r="D293" s="1487" t="str">
        <f t="shared" si="50"/>
        <v>是</v>
      </c>
      <c r="E293" s="1546"/>
      <c r="F293" s="1489" t="s">
        <v>1241</v>
      </c>
      <c r="G293" s="1489" t="str">
        <f ca="1" t="shared" si="56"/>
        <v>BE5:BI14</v>
      </c>
      <c r="H293" s="1487">
        <f>ROW('无形-收益法'!BE5)</f>
        <v>5</v>
      </c>
      <c r="I293" s="1487">
        <f>COLUMN('无形-收益法'!BE5)</f>
        <v>57</v>
      </c>
      <c r="J293" s="1487">
        <f ca="1">ROW(INDIRECT("'"&amp;F293&amp;"'!"&amp;"B"&amp;CHAR(68+L293)&amp;"14"))</f>
        <v>14</v>
      </c>
      <c r="K293" s="1487">
        <f ca="1">COLUMN(INDIRECT("'"&amp;F293&amp;"'!"&amp;"B"&amp;CHAR(68+L293)&amp;"14"))</f>
        <v>61</v>
      </c>
      <c r="L293" s="1490">
        <f>'无形-收益法'!BE2</f>
        <v>5</v>
      </c>
      <c r="N293" s="1514" t="s">
        <v>521</v>
      </c>
      <c r="O293" s="1547" t="s">
        <v>1028</v>
      </c>
      <c r="P293" s="1547" t="s">
        <v>837</v>
      </c>
      <c r="Q293" s="1547" t="s">
        <v>526</v>
      </c>
      <c r="R293" s="1547" t="s">
        <v>838</v>
      </c>
      <c r="S293" s="1548" t="s">
        <v>1058</v>
      </c>
    </row>
    <row r="294" spans="2:19">
      <c r="B294" s="1469">
        <f t="shared" si="53"/>
        <v>291</v>
      </c>
      <c r="C294" s="1470" t="s">
        <v>1278</v>
      </c>
      <c r="D294" s="1469" t="str">
        <f t="shared" si="50"/>
        <v>是</v>
      </c>
      <c r="E294" s="1482" t="str">
        <f>TEXT(ROUND('无形-收益法'!BE14,-2),"#,##0.00")</f>
        <v>0.00</v>
      </c>
      <c r="F294" s="1471"/>
      <c r="G294" s="1471"/>
      <c r="H294" s="1469"/>
      <c r="I294" s="1469"/>
      <c r="J294" s="1469"/>
      <c r="K294" s="1469"/>
      <c r="L294" s="1472"/>
      <c r="N294" s="1556" t="s">
        <v>1030</v>
      </c>
      <c r="O294" s="1557" t="s">
        <v>1279</v>
      </c>
      <c r="P294" s="1482">
        <f>P284</f>
        <v>0</v>
      </c>
      <c r="Q294" s="1482">
        <f>合同资总!BE7</f>
        <v>0</v>
      </c>
      <c r="R294" s="1482">
        <f>Q294-P294</f>
        <v>0</v>
      </c>
      <c r="S294" s="1501" t="str">
        <f>IFERROR(R294/P294*100,"")</f>
        <v/>
      </c>
    </row>
    <row r="295" spans="2:19">
      <c r="B295" s="1504">
        <f t="shared" si="53"/>
        <v>292</v>
      </c>
      <c r="C295" s="1505" t="s">
        <v>1280</v>
      </c>
      <c r="D295" s="1504" t="str">
        <f>IF(OR(L295="成本法",L295="成本法、收益法"),"否","是")</f>
        <v>否</v>
      </c>
      <c r="E295" s="1572"/>
      <c r="F295" s="1506"/>
      <c r="G295" s="1506"/>
      <c r="H295" s="1504"/>
      <c r="I295" s="1504"/>
      <c r="J295" s="1504"/>
      <c r="K295" s="1504"/>
      <c r="L295" s="1507" t="str">
        <f>L263</f>
        <v>成本法</v>
      </c>
      <c r="N295" s="1556"/>
      <c r="O295" s="1557" t="s">
        <v>1281</v>
      </c>
      <c r="P295" s="1482">
        <f>P294-P297</f>
        <v>0</v>
      </c>
      <c r="Q295" s="1482">
        <f>0</f>
        <v>0</v>
      </c>
      <c r="R295" s="1482">
        <f t="shared" ref="R295:R302" si="57">Q295-P295</f>
        <v>0</v>
      </c>
      <c r="S295" s="1501" t="str">
        <f t="shared" ref="S295:S302" si="58">IFERROR(R295/P295*100,"")</f>
        <v/>
      </c>
    </row>
    <row r="296" spans="2:19">
      <c r="B296" s="1487">
        <f t="shared" si="53"/>
        <v>293</v>
      </c>
      <c r="C296" s="1488" t="s">
        <v>1282</v>
      </c>
      <c r="D296" s="1487" t="str">
        <f t="shared" ref="D296:D305" si="59">D$295</f>
        <v>否</v>
      </c>
      <c r="E296" s="1546"/>
      <c r="F296" s="1489" t="s">
        <v>1283</v>
      </c>
      <c r="G296" s="1489" t="str">
        <f t="shared" si="56"/>
        <v>C3:M9</v>
      </c>
      <c r="H296" s="1487">
        <f>ROW('无形-成本法'!C3)</f>
        <v>3</v>
      </c>
      <c r="I296" s="1487">
        <f>COLUMN('无形-成本法'!C3)</f>
        <v>3</v>
      </c>
      <c r="J296" s="1487">
        <f>ROW('无形-成本法'!M9)</f>
        <v>9</v>
      </c>
      <c r="K296" s="1487">
        <f>COLUMN('无形-成本法'!M9)</f>
        <v>13</v>
      </c>
      <c r="L296" s="1490"/>
      <c r="N296" s="1556"/>
      <c r="O296" s="1557" t="s">
        <v>1284</v>
      </c>
      <c r="P296" s="1482"/>
      <c r="Q296" s="1482">
        <f>Q294-Q297</f>
        <v>0</v>
      </c>
      <c r="R296" s="1482">
        <f t="shared" ref="R296:R301" si="60">Q296-P296</f>
        <v>0</v>
      </c>
      <c r="S296" s="1501" t="str">
        <f t="shared" ref="S296:S301" si="61">IFERROR(R296/P296*100,"")</f>
        <v/>
      </c>
    </row>
    <row r="297" spans="2:19">
      <c r="B297" s="1487">
        <f t="shared" si="53"/>
        <v>294</v>
      </c>
      <c r="C297" s="1488" t="s">
        <v>1285</v>
      </c>
      <c r="D297" s="1487" t="str">
        <f t="shared" si="59"/>
        <v>否</v>
      </c>
      <c r="E297" s="1546"/>
      <c r="F297" s="1489" t="s">
        <v>1283</v>
      </c>
      <c r="G297" s="1489" t="str">
        <f t="shared" si="56"/>
        <v>C11:M14</v>
      </c>
      <c r="H297" s="1487">
        <f>ROW('无形-成本法'!C11)</f>
        <v>11</v>
      </c>
      <c r="I297" s="1487">
        <f>COLUMN('无形-成本法'!C11)</f>
        <v>3</v>
      </c>
      <c r="J297" s="1487">
        <f>ROW('无形-成本法'!M14)</f>
        <v>14</v>
      </c>
      <c r="K297" s="1487">
        <f>COLUMN('无形-成本法'!M14)</f>
        <v>13</v>
      </c>
      <c r="L297" s="1490"/>
      <c r="N297" s="1556" t="s">
        <v>1030</v>
      </c>
      <c r="O297" s="1557" t="s">
        <v>1286</v>
      </c>
      <c r="P297" s="1482">
        <f>P286</f>
        <v>0</v>
      </c>
      <c r="Q297" s="1482">
        <f>合同资总!BH7</f>
        <v>0</v>
      </c>
      <c r="R297" s="1482">
        <f t="shared" si="60"/>
        <v>0</v>
      </c>
      <c r="S297" s="1501" t="str">
        <f t="shared" si="61"/>
        <v/>
      </c>
    </row>
    <row r="298" spans="2:19">
      <c r="B298" s="1487">
        <f t="shared" si="53"/>
        <v>295</v>
      </c>
      <c r="C298" s="1488" t="s">
        <v>1287</v>
      </c>
      <c r="D298" s="1487" t="str">
        <f t="shared" si="59"/>
        <v>否</v>
      </c>
      <c r="E298" s="1546"/>
      <c r="F298" s="1489" t="s">
        <v>1283</v>
      </c>
      <c r="G298" s="1489" t="str">
        <f t="shared" si="56"/>
        <v>C22:M28</v>
      </c>
      <c r="H298" s="1487">
        <f>ROW('无形-成本法'!C22)</f>
        <v>22</v>
      </c>
      <c r="I298" s="1487">
        <f>COLUMN('无形-成本法'!C22)</f>
        <v>3</v>
      </c>
      <c r="J298" s="1487">
        <f>ROW('无形-成本法'!M28)</f>
        <v>28</v>
      </c>
      <c r="K298" s="1487">
        <f>COLUMN('无形-成本法'!M28)</f>
        <v>13</v>
      </c>
      <c r="L298" s="1490"/>
      <c r="N298" s="1556" t="s">
        <v>1036</v>
      </c>
      <c r="O298" s="1557" t="s">
        <v>1288</v>
      </c>
      <c r="P298" s="1482">
        <f>P287</f>
        <v>0</v>
      </c>
      <c r="Q298" s="1482">
        <f>合同资总!BE8</f>
        <v>0</v>
      </c>
      <c r="R298" s="1482">
        <f t="shared" si="60"/>
        <v>0</v>
      </c>
      <c r="S298" s="1501" t="str">
        <f t="shared" si="61"/>
        <v/>
      </c>
    </row>
    <row r="299" spans="2:19">
      <c r="B299" s="1487">
        <f t="shared" si="53"/>
        <v>296</v>
      </c>
      <c r="C299" s="1488" t="s">
        <v>1289</v>
      </c>
      <c r="D299" s="1487" t="str">
        <f t="shared" si="59"/>
        <v>否</v>
      </c>
      <c r="E299" s="1546"/>
      <c r="F299" s="1489" t="s">
        <v>1283</v>
      </c>
      <c r="G299" s="1489" t="str">
        <f t="shared" si="56"/>
        <v>O2:S34</v>
      </c>
      <c r="H299" s="1487">
        <f>ROW('无形-成本法'!O2)</f>
        <v>2</v>
      </c>
      <c r="I299" s="1487">
        <f>COLUMN('无形-成本法'!O2)</f>
        <v>15</v>
      </c>
      <c r="J299" s="1487">
        <f>ROW('无形-成本法'!S34)</f>
        <v>34</v>
      </c>
      <c r="K299" s="1487">
        <f>COLUMN('无形-成本法'!S34)</f>
        <v>19</v>
      </c>
      <c r="L299" s="1490"/>
      <c r="N299" s="1556"/>
      <c r="O299" s="1557" t="s">
        <v>1290</v>
      </c>
      <c r="P299" s="1482">
        <f>P298-P301</f>
        <v>0</v>
      </c>
      <c r="Q299" s="1482">
        <f>0</f>
        <v>0</v>
      </c>
      <c r="R299" s="1482">
        <f t="shared" si="60"/>
        <v>0</v>
      </c>
      <c r="S299" s="1501" t="str">
        <f t="shared" si="61"/>
        <v/>
      </c>
    </row>
    <row r="300" spans="2:19">
      <c r="B300" s="1469">
        <f t="shared" si="53"/>
        <v>297</v>
      </c>
      <c r="C300" s="1470" t="s">
        <v>1291</v>
      </c>
      <c r="D300" s="1469" t="str">
        <f t="shared" si="59"/>
        <v>否</v>
      </c>
      <c r="E300" s="1584" t="str">
        <f>TEXT('无形-成本法'!S35/100,"0.00%")</f>
        <v>5.36%</v>
      </c>
      <c r="F300" s="1471"/>
      <c r="G300" s="1471"/>
      <c r="H300" s="1469"/>
      <c r="I300" s="1469"/>
      <c r="J300" s="1469"/>
      <c r="K300" s="1469"/>
      <c r="L300" s="1472"/>
      <c r="N300" s="1556"/>
      <c r="O300" s="1557" t="s">
        <v>1284</v>
      </c>
      <c r="P300" s="1482"/>
      <c r="Q300" s="1482">
        <f>Q298-Q301</f>
        <v>0</v>
      </c>
      <c r="R300" s="1482">
        <f t="shared" si="60"/>
        <v>0</v>
      </c>
      <c r="S300" s="1501" t="str">
        <f t="shared" si="61"/>
        <v/>
      </c>
    </row>
    <row r="301" spans="2:19">
      <c r="B301" s="1487">
        <f t="shared" si="53"/>
        <v>298</v>
      </c>
      <c r="C301" s="1488" t="s">
        <v>1292</v>
      </c>
      <c r="D301" s="1487" t="str">
        <f t="shared" si="59"/>
        <v>否</v>
      </c>
      <c r="E301" s="1546"/>
      <c r="F301" s="1489" t="s">
        <v>1283</v>
      </c>
      <c r="G301" s="1489" t="str">
        <f t="shared" si="56"/>
        <v>C35:M41</v>
      </c>
      <c r="H301" s="1487">
        <f>ROW('无形-成本法'!C35)</f>
        <v>35</v>
      </c>
      <c r="I301" s="1487">
        <f>COLUMN('无形-成本法'!C35)</f>
        <v>3</v>
      </c>
      <c r="J301" s="1487">
        <f>ROW('无形-成本法'!M41)</f>
        <v>41</v>
      </c>
      <c r="K301" s="1487">
        <f>COLUMN('无形-成本法'!M41)</f>
        <v>13</v>
      </c>
      <c r="L301" s="1490"/>
      <c r="N301" s="1556" t="s">
        <v>1036</v>
      </c>
      <c r="O301" s="1557" t="s">
        <v>1293</v>
      </c>
      <c r="P301" s="1482">
        <f>P289</f>
        <v>0</v>
      </c>
      <c r="Q301" s="1482">
        <f>合同资总!BH8</f>
        <v>0</v>
      </c>
      <c r="R301" s="1482">
        <f t="shared" si="60"/>
        <v>0</v>
      </c>
      <c r="S301" s="1501" t="str">
        <f t="shared" si="61"/>
        <v/>
      </c>
    </row>
    <row r="302" ht="12.75" spans="2:19">
      <c r="B302" s="1469">
        <f t="shared" si="53"/>
        <v>299</v>
      </c>
      <c r="C302" s="1470" t="s">
        <v>1294</v>
      </c>
      <c r="D302" s="1469" t="str">
        <f t="shared" si="59"/>
        <v>否</v>
      </c>
      <c r="E302" s="1584" t="str">
        <f>TEXT('无形-成本法'!C44,"0.00%")</f>
        <v>4.75%</v>
      </c>
      <c r="F302" s="1471"/>
      <c r="G302" s="1471"/>
      <c r="H302" s="1469"/>
      <c r="I302" s="1469"/>
      <c r="J302" s="1469"/>
      <c r="K302" s="1469"/>
      <c r="L302" s="1472"/>
      <c r="N302" s="1562" t="s">
        <v>1042</v>
      </c>
      <c r="O302" s="1563" t="s">
        <v>1295</v>
      </c>
      <c r="P302" s="1512">
        <f>SUM(P297,P301)</f>
        <v>0</v>
      </c>
      <c r="Q302" s="1512">
        <f>SUM(Q297,Q301)</f>
        <v>0</v>
      </c>
      <c r="R302" s="1512">
        <f t="shared" si="57"/>
        <v>0</v>
      </c>
      <c r="S302" s="1513" t="str">
        <f t="shared" si="58"/>
        <v/>
      </c>
    </row>
    <row r="303" ht="12.75" spans="2:19">
      <c r="B303" s="1487">
        <f t="shared" si="53"/>
        <v>300</v>
      </c>
      <c r="C303" s="1488" t="s">
        <v>1296</v>
      </c>
      <c r="D303" s="1487" t="str">
        <f t="shared" si="59"/>
        <v>否</v>
      </c>
      <c r="E303" s="1546"/>
      <c r="F303" s="1489" t="s">
        <v>1283</v>
      </c>
      <c r="G303" s="1489" t="str">
        <f t="shared" si="56"/>
        <v>C48:M54</v>
      </c>
      <c r="H303" s="1487">
        <f>ROW('无形-成本法'!C48)</f>
        <v>48</v>
      </c>
      <c r="I303" s="1487">
        <f>COLUMN('无形-成本法'!C48)</f>
        <v>3</v>
      </c>
      <c r="J303" s="1487">
        <f>ROW('无形-成本法'!M54)</f>
        <v>54</v>
      </c>
      <c r="K303" s="1487">
        <f>COLUMN('无形-成本法'!M54)</f>
        <v>13</v>
      </c>
      <c r="L303" s="1490"/>
    </row>
    <row r="304" ht="12.75" spans="2:19">
      <c r="B304" s="1469">
        <f t="shared" si="53"/>
        <v>301</v>
      </c>
      <c r="C304" s="1470" t="s">
        <v>1297</v>
      </c>
      <c r="D304" s="1469" t="str">
        <f t="shared" si="59"/>
        <v>否</v>
      </c>
      <c r="E304" s="1482" t="e">
        <f ca="1">TEXT('无形-成本法'!X4,"#,##0.00")</f>
        <v>#DIV/0!</v>
      </c>
      <c r="F304" s="1471"/>
      <c r="G304" s="1471"/>
      <c r="H304" s="1469"/>
      <c r="I304" s="1469"/>
      <c r="J304" s="1469"/>
      <c r="K304" s="1469"/>
      <c r="L304" s="1472"/>
      <c r="N304" s="1456" t="str">
        <f>C168</f>
        <v>流动资产评估结果表</v>
      </c>
    </row>
    <row r="305" ht="12.75" spans="2:19">
      <c r="B305" s="1487">
        <f t="shared" si="53"/>
        <v>302</v>
      </c>
      <c r="C305" s="1488" t="s">
        <v>1298</v>
      </c>
      <c r="D305" s="1487" t="str">
        <f t="shared" si="59"/>
        <v>否</v>
      </c>
      <c r="E305" s="1546"/>
      <c r="F305" s="1489" t="s">
        <v>1283</v>
      </c>
      <c r="G305" s="1489" t="str">
        <f t="shared" ref="G305" si="62">IF(H305="","",ADDRESS(H305,I305,4)&amp;":"&amp;ADDRESS(J305,K305,4))</f>
        <v>X4:X11</v>
      </c>
      <c r="H305" s="1487">
        <f>ROW('无形-成本法'!X4)</f>
        <v>4</v>
      </c>
      <c r="I305" s="1487">
        <f>COLUMN('无形-成本法'!X4)</f>
        <v>24</v>
      </c>
      <c r="J305" s="1487">
        <f>ROW('无形-成本法'!X11)</f>
        <v>11</v>
      </c>
      <c r="K305" s="1487">
        <f>COLUMN('无形-成本法'!X11)</f>
        <v>24</v>
      </c>
      <c r="L305" s="1490"/>
      <c r="N305" s="1514" t="s">
        <v>1000</v>
      </c>
      <c r="O305" s="1547" t="s">
        <v>1001</v>
      </c>
      <c r="P305" s="1547" t="s">
        <v>1002</v>
      </c>
      <c r="Q305" s="1547" t="s">
        <v>526</v>
      </c>
      <c r="R305" s="1547" t="s">
        <v>838</v>
      </c>
      <c r="S305" s="1548" t="s">
        <v>1058</v>
      </c>
    </row>
    <row r="306" spans="2:19">
      <c r="B306" s="1469">
        <f t="shared" si="53"/>
        <v>303</v>
      </c>
      <c r="C306" s="1470" t="s">
        <v>1299</v>
      </c>
      <c r="D306" s="1469"/>
      <c r="E306" s="1482" t="e">
        <f ca="1">TEXT('无形-成本法'!X11,"#,##0.00")</f>
        <v>#DIV/0!</v>
      </c>
      <c r="F306" s="1471"/>
      <c r="G306" s="1471"/>
      <c r="H306" s="1471"/>
      <c r="I306" s="1471"/>
      <c r="J306" s="1471"/>
      <c r="K306" s="1471"/>
      <c r="L306" s="1471"/>
      <c r="N306" s="1539">
        <v>1</v>
      </c>
      <c r="O306" s="1470" t="s">
        <v>37</v>
      </c>
      <c r="P306" s="1482">
        <f t="shared" ref="P306:P319" si="63">P114</f>
        <v>0</v>
      </c>
      <c r="Q306" s="1482">
        <f>流动资总!E7</f>
        <v>0</v>
      </c>
      <c r="R306" s="1482">
        <f>Q306-P306</f>
        <v>0</v>
      </c>
      <c r="S306" s="1501" t="str">
        <f>IFERROR(R306/P306*100,"")</f>
        <v/>
      </c>
    </row>
    <row r="307" ht="21.6" spans="2:19">
      <c r="B307" s="1469">
        <f t="shared" si="53"/>
        <v>304</v>
      </c>
      <c r="C307" s="1470" t="s">
        <v>1300</v>
      </c>
      <c r="D307" s="1469" t="str">
        <f>D$258</f>
        <v>是</v>
      </c>
      <c r="E307" s="1482" t="str">
        <f>TEXT(Q398,"#,##0.00")</f>
        <v>0.00</v>
      </c>
      <c r="F307" s="1471"/>
      <c r="G307" s="1471"/>
      <c r="H307" s="1469"/>
      <c r="I307" s="1469"/>
      <c r="J307" s="1469"/>
      <c r="K307" s="1469"/>
      <c r="L307" s="1472"/>
      <c r="N307" s="1539">
        <v>2</v>
      </c>
      <c r="O307" s="1585" t="s">
        <v>1301</v>
      </c>
      <c r="P307" s="1482">
        <f t="shared" si="63"/>
        <v>0</v>
      </c>
      <c r="Q307" s="1482">
        <f>流动资总!E8</f>
        <v>0</v>
      </c>
      <c r="R307" s="1482">
        <f t="shared" ref="R307:R320" si="64">Q307-P307</f>
        <v>0</v>
      </c>
      <c r="S307" s="1501" t="str">
        <f t="shared" ref="S307:S320" si="65">IFERROR(R307/P307*100,"")</f>
        <v/>
      </c>
    </row>
    <row r="308" spans="2:19">
      <c r="B308" s="1469">
        <f t="shared" si="53"/>
        <v>305</v>
      </c>
      <c r="C308" s="1470" t="s">
        <v>1302</v>
      </c>
      <c r="D308" s="1469" t="str">
        <f>D$258</f>
        <v>是</v>
      </c>
      <c r="E308" s="1520" t="str">
        <f>W398</f>
        <v>无增减值</v>
      </c>
      <c r="F308" s="1471"/>
      <c r="G308" s="1471"/>
      <c r="H308" s="1469"/>
      <c r="I308" s="1469"/>
      <c r="J308" s="1469"/>
      <c r="K308" s="1469"/>
      <c r="L308" s="1472"/>
      <c r="N308" s="1539">
        <v>3</v>
      </c>
      <c r="O308" s="1470" t="s">
        <v>45</v>
      </c>
      <c r="P308" s="1482">
        <f t="shared" si="63"/>
        <v>0</v>
      </c>
      <c r="Q308" s="1482">
        <f>流动资总!E9</f>
        <v>0</v>
      </c>
      <c r="R308" s="1482">
        <f t="shared" si="64"/>
        <v>0</v>
      </c>
      <c r="S308" s="1501" t="str">
        <f t="shared" si="65"/>
        <v/>
      </c>
    </row>
    <row r="309" spans="2:19">
      <c r="B309" s="1504">
        <f t="shared" si="53"/>
        <v>306</v>
      </c>
      <c r="C309" s="1505" t="s">
        <v>1303</v>
      </c>
      <c r="D309" s="1504" t="str">
        <f t="shared" ref="D309:D329" si="66">IF(L309="隐藏","是","否")</f>
        <v>是</v>
      </c>
      <c r="E309" s="1505"/>
      <c r="F309" s="1506"/>
      <c r="G309" s="1506"/>
      <c r="H309" s="1504"/>
      <c r="I309" s="1504"/>
      <c r="J309" s="1504"/>
      <c r="K309" s="1504"/>
      <c r="L309" s="1507" t="str">
        <f>判断表!L92</f>
        <v>隐藏</v>
      </c>
      <c r="N309" s="1539">
        <v>4</v>
      </c>
      <c r="O309" s="1470" t="s">
        <v>1008</v>
      </c>
      <c r="P309" s="1482">
        <f t="shared" si="63"/>
        <v>0</v>
      </c>
      <c r="Q309" s="1482">
        <f>流动资总!E10</f>
        <v>0</v>
      </c>
      <c r="R309" s="1482">
        <f t="shared" si="64"/>
        <v>0</v>
      </c>
      <c r="S309" s="1501" t="str">
        <f t="shared" si="65"/>
        <v/>
      </c>
    </row>
    <row r="310" spans="2:19">
      <c r="B310" s="1469">
        <f t="shared" si="53"/>
        <v>307</v>
      </c>
      <c r="C310" s="1470" t="s">
        <v>1304</v>
      </c>
      <c r="D310" s="1469" t="str">
        <f>D$309</f>
        <v>是</v>
      </c>
      <c r="E310" s="1482" t="str">
        <f>TEXT(非流动资总!D22,"#,##0.00")</f>
        <v>0.00</v>
      </c>
      <c r="F310" s="1471"/>
      <c r="G310" s="1471"/>
      <c r="H310" s="1469"/>
      <c r="I310" s="1469"/>
      <c r="J310" s="1469"/>
      <c r="K310" s="1469"/>
      <c r="L310" s="1472"/>
      <c r="N310" s="1539">
        <v>5</v>
      </c>
      <c r="O310" s="1470" t="s">
        <v>52</v>
      </c>
      <c r="P310" s="1482">
        <f t="shared" si="63"/>
        <v>0</v>
      </c>
      <c r="Q310" s="1482">
        <f>流动资总!E11</f>
        <v>0</v>
      </c>
      <c r="R310" s="1482">
        <f t="shared" si="64"/>
        <v>0</v>
      </c>
      <c r="S310" s="1501" t="str">
        <f t="shared" si="65"/>
        <v/>
      </c>
    </row>
    <row r="311" spans="2:19">
      <c r="B311" s="1469">
        <f t="shared" si="53"/>
        <v>308</v>
      </c>
      <c r="C311" s="1470" t="s">
        <v>1305</v>
      </c>
      <c r="D311" s="1469" t="str">
        <f>D$309</f>
        <v>是</v>
      </c>
      <c r="E311" s="1520" t="str">
        <f>开发支出!BV14</f>
        <v/>
      </c>
      <c r="F311" s="1471"/>
      <c r="G311" s="1471"/>
      <c r="H311" s="1469"/>
      <c r="I311" s="1469"/>
      <c r="J311" s="1469"/>
      <c r="K311" s="1469"/>
      <c r="L311" s="1472"/>
      <c r="N311" s="1539">
        <v>6</v>
      </c>
      <c r="O311" s="1470" t="s">
        <v>54</v>
      </c>
      <c r="P311" s="1482">
        <f t="shared" si="63"/>
        <v>0</v>
      </c>
      <c r="Q311" s="1482">
        <f>流动资总!E12</f>
        <v>0</v>
      </c>
      <c r="R311" s="1482">
        <f t="shared" si="64"/>
        <v>0</v>
      </c>
      <c r="S311" s="1501" t="str">
        <f t="shared" si="65"/>
        <v/>
      </c>
    </row>
    <row r="312" spans="2:19">
      <c r="B312" s="1469">
        <f t="shared" si="53"/>
        <v>309</v>
      </c>
      <c r="C312" s="1470" t="s">
        <v>1306</v>
      </c>
      <c r="D312" s="1469" t="str">
        <f>D$309</f>
        <v>是</v>
      </c>
      <c r="E312" s="1482" t="str">
        <f>TEXT(非流动资总!E22,"#,##0.00")</f>
        <v>0.00</v>
      </c>
      <c r="F312" s="1471"/>
      <c r="G312" s="1471"/>
      <c r="H312" s="1469"/>
      <c r="I312" s="1469"/>
      <c r="J312" s="1469"/>
      <c r="K312" s="1469"/>
      <c r="L312" s="1472"/>
      <c r="N312" s="1539">
        <v>7</v>
      </c>
      <c r="O312" s="1470" t="s">
        <v>1012</v>
      </c>
      <c r="P312" s="1482">
        <f t="shared" si="63"/>
        <v>0</v>
      </c>
      <c r="Q312" s="1482">
        <f>流动资总!E13</f>
        <v>0</v>
      </c>
      <c r="R312" s="1482">
        <f t="shared" si="64"/>
        <v>0</v>
      </c>
      <c r="S312" s="1501" t="str">
        <f t="shared" si="65"/>
        <v/>
      </c>
    </row>
    <row r="313" spans="2:19">
      <c r="B313" s="1469">
        <f t="shared" si="53"/>
        <v>310</v>
      </c>
      <c r="C313" s="1470" t="s">
        <v>1307</v>
      </c>
      <c r="D313" s="1469" t="str">
        <f>D$309</f>
        <v>是</v>
      </c>
      <c r="E313" s="1520" t="str">
        <f>分类汇总!BV38</f>
        <v>无增减值</v>
      </c>
      <c r="F313" s="1471"/>
      <c r="G313" s="1471"/>
      <c r="H313" s="1469"/>
      <c r="I313" s="1469"/>
      <c r="J313" s="1469"/>
      <c r="K313" s="1469"/>
      <c r="L313" s="1472"/>
      <c r="N313" s="1539">
        <v>8</v>
      </c>
      <c r="O313" s="1470" t="s">
        <v>56</v>
      </c>
      <c r="P313" s="1482">
        <f t="shared" si="63"/>
        <v>0</v>
      </c>
      <c r="Q313" s="1482">
        <f>流动资总!E14</f>
        <v>0</v>
      </c>
      <c r="R313" s="1482">
        <f t="shared" si="64"/>
        <v>0</v>
      </c>
      <c r="S313" s="1501" t="str">
        <f t="shared" si="65"/>
        <v/>
      </c>
    </row>
    <row r="314" spans="2:19">
      <c r="B314" s="1504">
        <f t="shared" si="53"/>
        <v>311</v>
      </c>
      <c r="C314" s="1505" t="s">
        <v>1308</v>
      </c>
      <c r="D314" s="1504" t="str">
        <f t="shared" si="66"/>
        <v>是</v>
      </c>
      <c r="E314" s="1505"/>
      <c r="F314" s="1506"/>
      <c r="G314" s="1506"/>
      <c r="H314" s="1504"/>
      <c r="I314" s="1504"/>
      <c r="J314" s="1504"/>
      <c r="K314" s="1504"/>
      <c r="L314" s="1507" t="str">
        <f>判断表!L93</f>
        <v>隐藏</v>
      </c>
      <c r="N314" s="1539">
        <v>9</v>
      </c>
      <c r="O314" s="1470" t="s">
        <v>62</v>
      </c>
      <c r="P314" s="1482">
        <f t="shared" si="63"/>
        <v>0</v>
      </c>
      <c r="Q314" s="1482">
        <f>流动资总!E15</f>
        <v>0</v>
      </c>
      <c r="R314" s="1482">
        <f t="shared" si="64"/>
        <v>0</v>
      </c>
      <c r="S314" s="1501" t="str">
        <f t="shared" si="65"/>
        <v/>
      </c>
    </row>
    <row r="315" spans="2:19">
      <c r="B315" s="1469">
        <f t="shared" si="53"/>
        <v>312</v>
      </c>
      <c r="C315" s="1470" t="s">
        <v>1309</v>
      </c>
      <c r="D315" s="1469" t="str">
        <f>D$314</f>
        <v>是</v>
      </c>
      <c r="E315" s="1482" t="str">
        <f>TEXT(非流动资总!D23,"#,##0.00")</f>
        <v>0.00</v>
      </c>
      <c r="F315" s="1471"/>
      <c r="G315" s="1471"/>
      <c r="H315" s="1469"/>
      <c r="I315" s="1469"/>
      <c r="J315" s="1469"/>
      <c r="K315" s="1469"/>
      <c r="L315" s="1472"/>
      <c r="N315" s="1539">
        <v>10</v>
      </c>
      <c r="O315" s="1470" t="s">
        <v>64</v>
      </c>
      <c r="P315" s="1482">
        <f t="shared" si="63"/>
        <v>3.555752</v>
      </c>
      <c r="Q315" s="1482">
        <f>流动资总!E16</f>
        <v>2837062.634</v>
      </c>
      <c r="R315" s="1482">
        <f t="shared" si="64"/>
        <v>2837059.078248</v>
      </c>
      <c r="S315" s="1501">
        <f t="shared" si="65"/>
        <v>79787878.2954491</v>
      </c>
    </row>
    <row r="316" spans="2:19">
      <c r="B316" s="1469">
        <f t="shared" si="53"/>
        <v>313</v>
      </c>
      <c r="C316" s="1470" t="s">
        <v>1310</v>
      </c>
      <c r="D316" s="1469" t="str">
        <f>D$314</f>
        <v>是</v>
      </c>
      <c r="E316" s="1520" t="str">
        <f>商誉!BV14</f>
        <v/>
      </c>
      <c r="F316" s="1471"/>
      <c r="G316" s="1471"/>
      <c r="H316" s="1469"/>
      <c r="I316" s="1469"/>
      <c r="J316" s="1469"/>
      <c r="K316" s="1469"/>
      <c r="L316" s="1472"/>
      <c r="N316" s="1539">
        <v>11</v>
      </c>
      <c r="O316" s="1470" t="s">
        <v>1017</v>
      </c>
      <c r="P316" s="1482">
        <f t="shared" si="63"/>
        <v>0</v>
      </c>
      <c r="Q316" s="1482">
        <f>流动资总!E17</f>
        <v>0</v>
      </c>
      <c r="R316" s="1482">
        <f t="shared" si="64"/>
        <v>0</v>
      </c>
      <c r="S316" s="1501" t="str">
        <f t="shared" si="65"/>
        <v/>
      </c>
    </row>
    <row r="317" spans="2:19">
      <c r="B317" s="1469">
        <f t="shared" si="53"/>
        <v>314</v>
      </c>
      <c r="C317" s="1470" t="s">
        <v>1311</v>
      </c>
      <c r="D317" s="1469" t="str">
        <f>D$314</f>
        <v>是</v>
      </c>
      <c r="E317" s="1482" t="str">
        <f>TEXT(非流动资总!E23,"#,##0.00")</f>
        <v>0.00</v>
      </c>
      <c r="F317" s="1471"/>
      <c r="G317" s="1471"/>
      <c r="H317" s="1469"/>
      <c r="I317" s="1469"/>
      <c r="J317" s="1469"/>
      <c r="K317" s="1469"/>
      <c r="L317" s="1472"/>
      <c r="N317" s="1539">
        <v>12</v>
      </c>
      <c r="O317" s="1470" t="s">
        <v>1019</v>
      </c>
      <c r="P317" s="1482">
        <f t="shared" si="63"/>
        <v>0</v>
      </c>
      <c r="Q317" s="1482">
        <f>流动资总!E18</f>
        <v>0</v>
      </c>
      <c r="R317" s="1482">
        <f t="shared" si="64"/>
        <v>0</v>
      </c>
      <c r="S317" s="1501" t="str">
        <f t="shared" si="65"/>
        <v/>
      </c>
    </row>
    <row r="318" spans="2:19">
      <c r="B318" s="1469">
        <f t="shared" si="53"/>
        <v>315</v>
      </c>
      <c r="C318" s="1470" t="s">
        <v>1312</v>
      </c>
      <c r="D318" s="1469" t="str">
        <f>D$314</f>
        <v>是</v>
      </c>
      <c r="E318" s="1520" t="str">
        <f>分类汇总!BV39</f>
        <v>无增减值</v>
      </c>
      <c r="F318" s="1471"/>
      <c r="G318" s="1471"/>
      <c r="H318" s="1469"/>
      <c r="I318" s="1469"/>
      <c r="J318" s="1469"/>
      <c r="K318" s="1469"/>
      <c r="L318" s="1472"/>
      <c r="N318" s="1539">
        <v>13</v>
      </c>
      <c r="O318" s="1470" t="s">
        <v>1021</v>
      </c>
      <c r="P318" s="1482">
        <f t="shared" si="63"/>
        <v>0</v>
      </c>
      <c r="Q318" s="1482">
        <f>流动资总!E19</f>
        <v>0</v>
      </c>
      <c r="R318" s="1482">
        <f t="shared" si="64"/>
        <v>0</v>
      </c>
      <c r="S318" s="1501" t="str">
        <f t="shared" si="65"/>
        <v/>
      </c>
    </row>
    <row r="319" spans="2:19">
      <c r="B319" s="1504">
        <f t="shared" si="53"/>
        <v>316</v>
      </c>
      <c r="C319" s="1505" t="s">
        <v>1313</v>
      </c>
      <c r="D319" s="1504" t="str">
        <f t="shared" si="66"/>
        <v>是</v>
      </c>
      <c r="E319" s="1505"/>
      <c r="F319" s="1506"/>
      <c r="G319" s="1506"/>
      <c r="H319" s="1504"/>
      <c r="I319" s="1504"/>
      <c r="J319" s="1504"/>
      <c r="K319" s="1504"/>
      <c r="L319" s="1507" t="str">
        <f>判断表!L$94</f>
        <v>隐藏</v>
      </c>
      <c r="N319" s="1539">
        <v>14</v>
      </c>
      <c r="O319" s="1470" t="s">
        <v>82</v>
      </c>
      <c r="P319" s="1482">
        <f t="shared" si="63"/>
        <v>0</v>
      </c>
      <c r="Q319" s="1482">
        <f>流动资总!E20</f>
        <v>0</v>
      </c>
      <c r="R319" s="1482">
        <f t="shared" si="64"/>
        <v>0</v>
      </c>
      <c r="S319" s="1501" t="str">
        <f t="shared" si="65"/>
        <v/>
      </c>
    </row>
    <row r="320" ht="12.75" spans="2:19">
      <c r="B320" s="1469">
        <f t="shared" si="53"/>
        <v>317</v>
      </c>
      <c r="C320" s="1470" t="s">
        <v>1314</v>
      </c>
      <c r="D320" s="1469" t="str">
        <f>D$319</f>
        <v>是</v>
      </c>
      <c r="E320" s="1482" t="str">
        <f>TEXT(非流动资总!D24,"#,##0.00")</f>
        <v>0.00</v>
      </c>
      <c r="F320" s="1471"/>
      <c r="G320" s="1471"/>
      <c r="H320" s="1469"/>
      <c r="I320" s="1469"/>
      <c r="J320" s="1469"/>
      <c r="K320" s="1469"/>
      <c r="L320" s="1472"/>
      <c r="N320" s="1544">
        <v>15</v>
      </c>
      <c r="O320" s="1563" t="s">
        <v>1024</v>
      </c>
      <c r="P320" s="1512">
        <f>SUM(P306:P319)</f>
        <v>3.555752</v>
      </c>
      <c r="Q320" s="1512">
        <f>SUM(Q306:Q319)</f>
        <v>2837062.634</v>
      </c>
      <c r="R320" s="1512">
        <f t="shared" si="64"/>
        <v>2837059.078248</v>
      </c>
      <c r="S320" s="1513">
        <f t="shared" si="65"/>
        <v>79787878.2954491</v>
      </c>
    </row>
    <row r="321" ht="12.75" spans="2:19">
      <c r="B321" s="1469">
        <f t="shared" si="53"/>
        <v>318</v>
      </c>
      <c r="C321" s="1470" t="s">
        <v>1315</v>
      </c>
      <c r="D321" s="1469" t="str">
        <f>D$319</f>
        <v>是</v>
      </c>
      <c r="E321" s="1520" t="str">
        <f>长期待摊!BW14</f>
        <v/>
      </c>
      <c r="F321" s="1471"/>
      <c r="G321" s="1471"/>
      <c r="H321" s="1469"/>
      <c r="I321" s="1469"/>
      <c r="J321" s="1469"/>
      <c r="K321" s="1469"/>
      <c r="L321" s="1472"/>
    </row>
    <row r="322" ht="12.75" spans="2:19">
      <c r="B322" s="1469">
        <f t="shared" ref="B322:B385" si="67">B321+1</f>
        <v>319</v>
      </c>
      <c r="C322" s="1470" t="s">
        <v>1316</v>
      </c>
      <c r="D322" s="1469" t="str">
        <f>D$319</f>
        <v>是</v>
      </c>
      <c r="E322" s="1482" t="str">
        <f>TEXT(非流动资总!E24,"#,##0.00")</f>
        <v>0.00</v>
      </c>
      <c r="F322" s="1471"/>
      <c r="G322" s="1471"/>
      <c r="H322" s="1469"/>
      <c r="I322" s="1469"/>
      <c r="J322" s="1469"/>
      <c r="K322" s="1469"/>
      <c r="L322" s="1472"/>
      <c r="N322" s="1456" t="str">
        <f>C172</f>
        <v>可供出售金融资产账面值表</v>
      </c>
    </row>
    <row r="323" ht="12.75" spans="2:19">
      <c r="B323" s="1469">
        <f t="shared" si="67"/>
        <v>320</v>
      </c>
      <c r="C323" s="1470" t="s">
        <v>1317</v>
      </c>
      <c r="D323" s="1469" t="str">
        <f>D$319</f>
        <v>是</v>
      </c>
      <c r="E323" s="1520" t="str">
        <f>分类汇总!BV40</f>
        <v>无增减值</v>
      </c>
      <c r="F323" s="1471"/>
      <c r="G323" s="1471"/>
      <c r="H323" s="1469"/>
      <c r="I323" s="1469"/>
      <c r="J323" s="1469"/>
      <c r="K323" s="1469"/>
      <c r="L323" s="1472"/>
      <c r="N323" s="1514" t="s">
        <v>521</v>
      </c>
      <c r="O323" s="1547" t="s">
        <v>1028</v>
      </c>
      <c r="P323" s="1548" t="s">
        <v>837</v>
      </c>
    </row>
    <row r="324" spans="2:19">
      <c r="B324" s="1504">
        <f t="shared" si="67"/>
        <v>321</v>
      </c>
      <c r="C324" s="1505" t="s">
        <v>1318</v>
      </c>
      <c r="D324" s="1504" t="str">
        <f t="shared" si="66"/>
        <v>是</v>
      </c>
      <c r="E324" s="1505"/>
      <c r="F324" s="1506"/>
      <c r="G324" s="1506"/>
      <c r="H324" s="1504"/>
      <c r="I324" s="1504"/>
      <c r="J324" s="1504"/>
      <c r="K324" s="1504"/>
      <c r="L324" s="1507" t="str">
        <f>判断表!L95</f>
        <v>隐藏</v>
      </c>
      <c r="N324" s="1556" t="s">
        <v>1030</v>
      </c>
      <c r="O324" s="1557" t="s">
        <v>1319</v>
      </c>
      <c r="P324" s="1501">
        <f>可供出售总!BA7</f>
        <v>0</v>
      </c>
    </row>
    <row r="325" spans="2:19">
      <c r="B325" s="1469">
        <f t="shared" si="67"/>
        <v>322</v>
      </c>
      <c r="C325" s="1470" t="s">
        <v>1320</v>
      </c>
      <c r="D325" s="1469" t="str">
        <f>D$324</f>
        <v>是</v>
      </c>
      <c r="E325" s="1482" t="str">
        <f>TEXT(非流动资总!D25,"#,##0.00")</f>
        <v>0.00</v>
      </c>
      <c r="F325" s="1471"/>
      <c r="G325" s="1471"/>
      <c r="H325" s="1469"/>
      <c r="I325" s="1469"/>
      <c r="J325" s="1469"/>
      <c r="K325" s="1469"/>
      <c r="L325" s="1472"/>
      <c r="N325" s="1556"/>
      <c r="O325" s="1557" t="s">
        <v>364</v>
      </c>
      <c r="P325" s="1501">
        <f>P324-P326</f>
        <v>0</v>
      </c>
    </row>
    <row r="326" spans="2:19">
      <c r="B326" s="1469">
        <f t="shared" si="67"/>
        <v>323</v>
      </c>
      <c r="C326" s="1470" t="s">
        <v>1321</v>
      </c>
      <c r="D326" s="1469" t="str">
        <f>D$324</f>
        <v>是</v>
      </c>
      <c r="E326" s="1520" t="str">
        <f>递延资!BZ14</f>
        <v/>
      </c>
      <c r="F326" s="1471"/>
      <c r="G326" s="1471"/>
      <c r="H326" s="1469"/>
      <c r="I326" s="1469"/>
      <c r="J326" s="1469"/>
      <c r="K326" s="1469"/>
      <c r="L326" s="1472"/>
      <c r="N326" s="1556" t="s">
        <v>1030</v>
      </c>
      <c r="O326" s="1557" t="s">
        <v>1322</v>
      </c>
      <c r="P326" s="1501">
        <f>可供出售总!D7</f>
        <v>0</v>
      </c>
    </row>
    <row r="327" spans="2:19">
      <c r="B327" s="1469">
        <f t="shared" si="67"/>
        <v>324</v>
      </c>
      <c r="C327" s="1470" t="s">
        <v>1323</v>
      </c>
      <c r="D327" s="1469" t="str">
        <f>D$324</f>
        <v>是</v>
      </c>
      <c r="E327" s="1482" t="str">
        <f>TEXT(非流动资总!E25,"#,##0.00")</f>
        <v>0.00</v>
      </c>
      <c r="F327" s="1471"/>
      <c r="G327" s="1471"/>
      <c r="H327" s="1469"/>
      <c r="I327" s="1469"/>
      <c r="J327" s="1469"/>
      <c r="K327" s="1469"/>
      <c r="L327" s="1472"/>
      <c r="N327" s="1556" t="s">
        <v>1036</v>
      </c>
      <c r="O327" s="1557" t="s">
        <v>1324</v>
      </c>
      <c r="P327" s="1501">
        <f>可供出售总!BA8</f>
        <v>0</v>
      </c>
    </row>
    <row r="328" spans="2:19">
      <c r="B328" s="1469">
        <f t="shared" si="67"/>
        <v>325</v>
      </c>
      <c r="C328" s="1470" t="s">
        <v>1325</v>
      </c>
      <c r="D328" s="1469" t="str">
        <f>D$324</f>
        <v>是</v>
      </c>
      <c r="E328" s="1520" t="str">
        <f>分类汇总!BV41</f>
        <v>无增减值</v>
      </c>
      <c r="F328" s="1471"/>
      <c r="G328" s="1471"/>
      <c r="H328" s="1469"/>
      <c r="I328" s="1469"/>
      <c r="J328" s="1469"/>
      <c r="K328" s="1469"/>
      <c r="L328" s="1472"/>
      <c r="N328" s="1556"/>
      <c r="O328" s="1557" t="s">
        <v>364</v>
      </c>
      <c r="P328" s="1501">
        <f>P327-P329</f>
        <v>0</v>
      </c>
    </row>
    <row r="329" spans="2:19">
      <c r="B329" s="1504">
        <f t="shared" si="67"/>
        <v>326</v>
      </c>
      <c r="C329" s="1505" t="s">
        <v>1326</v>
      </c>
      <c r="D329" s="1504" t="str">
        <f t="shared" si="66"/>
        <v>是</v>
      </c>
      <c r="E329" s="1505"/>
      <c r="F329" s="1506"/>
      <c r="G329" s="1506"/>
      <c r="H329" s="1504"/>
      <c r="I329" s="1504"/>
      <c r="J329" s="1504"/>
      <c r="K329" s="1504"/>
      <c r="L329" s="1507" t="str">
        <f>判断表!L96</f>
        <v>隐藏</v>
      </c>
      <c r="N329" s="1556" t="s">
        <v>1036</v>
      </c>
      <c r="O329" s="1557" t="s">
        <v>1327</v>
      </c>
      <c r="P329" s="1501">
        <f>可供出售总!D8</f>
        <v>0</v>
      </c>
    </row>
    <row r="330" spans="2:19">
      <c r="B330" s="1469">
        <f t="shared" si="67"/>
        <v>327</v>
      </c>
      <c r="C330" s="1470" t="s">
        <v>1328</v>
      </c>
      <c r="D330" s="1469" t="str">
        <f>D$329</f>
        <v>是</v>
      </c>
      <c r="E330" s="1482" t="str">
        <f>TEXT(非流动资总!D26,"#,##0.00")</f>
        <v>0.00</v>
      </c>
      <c r="F330" s="1471"/>
      <c r="G330" s="1471"/>
      <c r="H330" s="1469"/>
      <c r="I330" s="1469"/>
      <c r="J330" s="1469"/>
      <c r="K330" s="1469"/>
      <c r="L330" s="1472"/>
      <c r="N330" s="1556" t="s">
        <v>1042</v>
      </c>
      <c r="O330" s="1557" t="s">
        <v>1329</v>
      </c>
      <c r="P330" s="1501">
        <f>可供出售总!BA9</f>
        <v>0</v>
      </c>
    </row>
    <row r="331" spans="2:19">
      <c r="B331" s="1469">
        <f t="shared" si="67"/>
        <v>328</v>
      </c>
      <c r="C331" s="1470" t="s">
        <v>1330</v>
      </c>
      <c r="D331" s="1469" t="str">
        <f>D$329</f>
        <v>是</v>
      </c>
      <c r="E331" s="1520" t="str">
        <f>其他非资!BX14</f>
        <v/>
      </c>
      <c r="F331" s="1471"/>
      <c r="G331" s="1471"/>
      <c r="H331" s="1469"/>
      <c r="I331" s="1469"/>
      <c r="J331" s="1469"/>
      <c r="K331" s="1469"/>
      <c r="L331" s="1472"/>
      <c r="N331" s="1556"/>
      <c r="O331" s="1557" t="s">
        <v>364</v>
      </c>
      <c r="P331" s="1501">
        <f>P330-P332</f>
        <v>0</v>
      </c>
    </row>
    <row r="332" spans="2:19">
      <c r="B332" s="1469">
        <f t="shared" si="67"/>
        <v>329</v>
      </c>
      <c r="C332" s="1470" t="s">
        <v>1331</v>
      </c>
      <c r="D332" s="1469" t="str">
        <f>D$329</f>
        <v>是</v>
      </c>
      <c r="E332" s="1482" t="str">
        <f>TEXT(非流动资总!E26,"#,##0.00")</f>
        <v>0.00</v>
      </c>
      <c r="F332" s="1471"/>
      <c r="G332" s="1471"/>
      <c r="H332" s="1469"/>
      <c r="I332" s="1469"/>
      <c r="J332" s="1469"/>
      <c r="K332" s="1469"/>
      <c r="L332" s="1472"/>
      <c r="N332" s="1556" t="s">
        <v>1042</v>
      </c>
      <c r="O332" s="1557" t="s">
        <v>1332</v>
      </c>
      <c r="P332" s="1501">
        <f>可供出售总!D9</f>
        <v>0</v>
      </c>
    </row>
    <row r="333" ht="12.75" spans="2:19">
      <c r="B333" s="1469">
        <f t="shared" si="67"/>
        <v>330</v>
      </c>
      <c r="C333" s="1470" t="s">
        <v>1333</v>
      </c>
      <c r="D333" s="1469" t="str">
        <f>D$329</f>
        <v>是</v>
      </c>
      <c r="E333" s="1520" t="str">
        <f>分类汇总!BV42</f>
        <v>无增减值</v>
      </c>
      <c r="F333" s="1471"/>
      <c r="G333" s="1471"/>
      <c r="H333" s="1469"/>
      <c r="I333" s="1469"/>
      <c r="J333" s="1469"/>
      <c r="K333" s="1469"/>
      <c r="L333" s="1472"/>
      <c r="N333" s="1562" t="s">
        <v>1122</v>
      </c>
      <c r="O333" s="1563" t="s">
        <v>1334</v>
      </c>
      <c r="P333" s="1513">
        <f>SUM(P326,P329,P332)</f>
        <v>0</v>
      </c>
    </row>
    <row r="334" ht="12.75" spans="2:19">
      <c r="B334" s="1504">
        <f t="shared" si="67"/>
        <v>331</v>
      </c>
      <c r="C334" s="1505" t="s">
        <v>1335</v>
      </c>
      <c r="D334" s="1504" t="str">
        <f>IF(L334="隐藏隐藏","是","否")</f>
        <v>是</v>
      </c>
      <c r="E334" s="1572"/>
      <c r="F334" s="1506"/>
      <c r="G334" s="1506"/>
      <c r="H334" s="1504"/>
      <c r="I334" s="1504"/>
      <c r="J334" s="1504"/>
      <c r="K334" s="1504"/>
      <c r="L334" s="1507" t="str">
        <f>判断表!L97&amp;判断表!L117</f>
        <v>隐藏隐藏</v>
      </c>
    </row>
    <row r="335" ht="12.75" spans="2:19">
      <c r="B335" s="1469">
        <f t="shared" si="67"/>
        <v>332</v>
      </c>
      <c r="C335" s="1470" t="s">
        <v>1336</v>
      </c>
      <c r="D335" s="1469" t="str">
        <f>D334</f>
        <v>是</v>
      </c>
      <c r="E335" s="1520" t="str">
        <f>"负债"&amp;IF(SUM(非流动负总!D28:E28)&gt;0,"包括","为")&amp;"流动负债"&amp;IF(SUM(非流动负总!D28:E28)&gt;0,"和非流动负债","")</f>
        <v>负债为流动负债</v>
      </c>
      <c r="F335" s="1471"/>
      <c r="G335" s="1471"/>
      <c r="H335" s="1469"/>
      <c r="I335" s="1469"/>
      <c r="J335" s="1469"/>
      <c r="K335" s="1469"/>
      <c r="L335" s="1472"/>
      <c r="N335" s="1456" t="str">
        <f>C179</f>
        <v>可供出售金融资产评估结果表</v>
      </c>
    </row>
    <row r="336" ht="12.75" spans="2:19">
      <c r="B336" s="1487">
        <f t="shared" si="67"/>
        <v>333</v>
      </c>
      <c r="C336" s="1488" t="s">
        <v>1337</v>
      </c>
      <c r="D336" s="1487" t="str">
        <f>D335</f>
        <v>是</v>
      </c>
      <c r="E336" s="1546"/>
      <c r="F336" s="1489" t="s">
        <v>863</v>
      </c>
      <c r="G336" s="1489" t="str">
        <f t="shared" si="56"/>
        <v>P403:P427</v>
      </c>
      <c r="H336" s="1487">
        <f>ROW(P403)</f>
        <v>403</v>
      </c>
      <c r="I336" s="1487">
        <f>COLUMN(P403)</f>
        <v>16</v>
      </c>
      <c r="J336" s="1487">
        <f>ROW(P427)</f>
        <v>427</v>
      </c>
      <c r="K336" s="1487">
        <f>COLUMN(P401)</f>
        <v>16</v>
      </c>
      <c r="L336" s="1490"/>
      <c r="N336" s="1514" t="s">
        <v>521</v>
      </c>
      <c r="O336" s="1547" t="s">
        <v>1028</v>
      </c>
      <c r="P336" s="1547" t="s">
        <v>837</v>
      </c>
      <c r="Q336" s="1547" t="s">
        <v>526</v>
      </c>
      <c r="R336" s="1547" t="s">
        <v>838</v>
      </c>
      <c r="S336" s="1548" t="s">
        <v>1058</v>
      </c>
    </row>
    <row r="337" spans="2:23">
      <c r="B337" s="1504">
        <f t="shared" si="67"/>
        <v>334</v>
      </c>
      <c r="C337" s="1505" t="s">
        <v>1338</v>
      </c>
      <c r="D337" s="1504" t="str">
        <f t="shared" ref="D337:D374" si="68">IF(L337="隐藏","是","否")</f>
        <v>是</v>
      </c>
      <c r="E337" s="1505"/>
      <c r="F337" s="1506"/>
      <c r="G337" s="1506"/>
      <c r="H337" s="1504"/>
      <c r="I337" s="1504"/>
      <c r="J337" s="1504"/>
      <c r="K337" s="1504"/>
      <c r="L337" s="1507" t="str">
        <f>判断表!L98</f>
        <v>隐藏</v>
      </c>
      <c r="N337" s="1556" t="s">
        <v>1030</v>
      </c>
      <c r="O337" s="1557" t="s">
        <v>1319</v>
      </c>
      <c r="P337" s="1482">
        <f>P324</f>
        <v>0</v>
      </c>
      <c r="Q337" s="1482">
        <f>可供出售总!BE7</f>
        <v>0</v>
      </c>
      <c r="R337" s="1482">
        <f>Q337-P337</f>
        <v>0</v>
      </c>
      <c r="S337" s="1501" t="str">
        <f>IFERROR(R337/P337*100,"")</f>
        <v/>
      </c>
    </row>
    <row r="338" spans="2:23">
      <c r="B338" s="1469">
        <f t="shared" si="67"/>
        <v>335</v>
      </c>
      <c r="C338" s="1470" t="s">
        <v>1339</v>
      </c>
      <c r="D338" s="1469" t="str">
        <f>D$337</f>
        <v>是</v>
      </c>
      <c r="E338" s="1482" t="str">
        <f>TEXT(P403,"#,##0.00")</f>
        <v>0.00</v>
      </c>
      <c r="F338" s="1471"/>
      <c r="G338" s="1471"/>
      <c r="H338" s="1469"/>
      <c r="I338" s="1469"/>
      <c r="J338" s="1469"/>
      <c r="K338" s="1469"/>
      <c r="L338" s="1472"/>
      <c r="N338" s="1556"/>
      <c r="O338" s="1557" t="s">
        <v>364</v>
      </c>
      <c r="P338" s="1482">
        <f>P337-P339</f>
        <v>0</v>
      </c>
      <c r="Q338" s="1482">
        <f>Q337-Q339</f>
        <v>0</v>
      </c>
      <c r="R338" s="1482">
        <f t="shared" ref="R338:R346" si="69">Q338-P338</f>
        <v>0</v>
      </c>
      <c r="S338" s="1501" t="str">
        <f t="shared" ref="S338:S346" si="70">IFERROR(R338/P338*100,"")</f>
        <v/>
      </c>
    </row>
    <row r="339" spans="2:23">
      <c r="B339" s="1469">
        <f t="shared" si="67"/>
        <v>336</v>
      </c>
      <c r="C339" s="1470" t="s">
        <v>1340</v>
      </c>
      <c r="D339" s="1469" t="str">
        <f>D$337</f>
        <v>是</v>
      </c>
      <c r="E339" s="1520" t="str">
        <f>短期借款!BX14</f>
        <v/>
      </c>
      <c r="F339" s="1471"/>
      <c r="G339" s="1471"/>
      <c r="H339" s="1469"/>
      <c r="I339" s="1469"/>
      <c r="J339" s="1469"/>
      <c r="K339" s="1469"/>
      <c r="L339" s="1472"/>
      <c r="N339" s="1556" t="s">
        <v>1030</v>
      </c>
      <c r="O339" s="1557" t="s">
        <v>1322</v>
      </c>
      <c r="P339" s="1482">
        <f t="shared" ref="P339:P340" si="71">P326</f>
        <v>0</v>
      </c>
      <c r="Q339" s="1482">
        <f>可供出售总!E7</f>
        <v>0</v>
      </c>
      <c r="R339" s="1482">
        <f t="shared" si="69"/>
        <v>0</v>
      </c>
      <c r="S339" s="1501" t="str">
        <f t="shared" si="70"/>
        <v/>
      </c>
    </row>
    <row r="340" spans="2:23">
      <c r="B340" s="1504">
        <f t="shared" si="67"/>
        <v>337</v>
      </c>
      <c r="C340" s="1505" t="s">
        <v>1341</v>
      </c>
      <c r="D340" s="1504" t="str">
        <f t="shared" si="68"/>
        <v>是</v>
      </c>
      <c r="E340" s="1505"/>
      <c r="F340" s="1506"/>
      <c r="G340" s="1506"/>
      <c r="H340" s="1504"/>
      <c r="I340" s="1504"/>
      <c r="J340" s="1504"/>
      <c r="K340" s="1504"/>
      <c r="L340" s="1507" t="str">
        <f>判断表!L100</f>
        <v>隐藏</v>
      </c>
      <c r="N340" s="1556" t="s">
        <v>1036</v>
      </c>
      <c r="O340" s="1557" t="s">
        <v>1324</v>
      </c>
      <c r="P340" s="1482">
        <f t="shared" si="71"/>
        <v>0</v>
      </c>
      <c r="Q340" s="1482">
        <f>可供出售总!BE8</f>
        <v>0</v>
      </c>
      <c r="R340" s="1482">
        <f t="shared" si="69"/>
        <v>0</v>
      </c>
      <c r="S340" s="1501" t="str">
        <f t="shared" si="70"/>
        <v/>
      </c>
    </row>
    <row r="341" spans="2:23">
      <c r="B341" s="1469">
        <f t="shared" si="67"/>
        <v>338</v>
      </c>
      <c r="C341" s="1470" t="s">
        <v>1342</v>
      </c>
      <c r="D341" s="1469" t="str">
        <f>D$340</f>
        <v>是</v>
      </c>
      <c r="E341" s="1482" t="str">
        <f>TEXT(P404,"#,##0.00")</f>
        <v>0.00</v>
      </c>
      <c r="F341" s="1471"/>
      <c r="G341" s="1471"/>
      <c r="H341" s="1469"/>
      <c r="I341" s="1469"/>
      <c r="J341" s="1469"/>
      <c r="K341" s="1469"/>
      <c r="L341" s="1472"/>
      <c r="N341" s="1556"/>
      <c r="O341" s="1557" t="s">
        <v>364</v>
      </c>
      <c r="P341" s="1482">
        <f>P340-P342</f>
        <v>0</v>
      </c>
      <c r="Q341" s="1482">
        <f>Q340-Q342</f>
        <v>0</v>
      </c>
      <c r="R341" s="1482">
        <f t="shared" si="69"/>
        <v>0</v>
      </c>
      <c r="S341" s="1501" t="str">
        <f t="shared" si="70"/>
        <v/>
      </c>
    </row>
    <row r="342" spans="2:23">
      <c r="B342" s="1469">
        <f t="shared" si="67"/>
        <v>339</v>
      </c>
      <c r="C342" s="1470" t="s">
        <v>1343</v>
      </c>
      <c r="D342" s="1469" t="str">
        <f>D$340</f>
        <v>是</v>
      </c>
      <c r="E342" s="1520" t="str">
        <f>交易性金负!BX14</f>
        <v/>
      </c>
      <c r="F342" s="1471"/>
      <c r="G342" s="1471"/>
      <c r="H342" s="1469"/>
      <c r="I342" s="1469"/>
      <c r="J342" s="1469"/>
      <c r="K342" s="1469"/>
      <c r="L342" s="1472"/>
      <c r="N342" s="1556" t="s">
        <v>1036</v>
      </c>
      <c r="O342" s="1557" t="s">
        <v>1327</v>
      </c>
      <c r="P342" s="1482">
        <f t="shared" ref="P342:P343" si="72">P329</f>
        <v>0</v>
      </c>
      <c r="Q342" s="1482">
        <f>可供出售总!E8</f>
        <v>0</v>
      </c>
      <c r="R342" s="1482">
        <f t="shared" si="69"/>
        <v>0</v>
      </c>
      <c r="S342" s="1501" t="str">
        <f t="shared" si="70"/>
        <v/>
      </c>
    </row>
    <row r="343" spans="2:23">
      <c r="B343" s="1504">
        <f t="shared" si="67"/>
        <v>340</v>
      </c>
      <c r="C343" s="1505" t="s">
        <v>1344</v>
      </c>
      <c r="D343" s="1504" t="str">
        <f t="shared" si="68"/>
        <v>是</v>
      </c>
      <c r="E343" s="1505"/>
      <c r="F343" s="1506"/>
      <c r="G343" s="1506"/>
      <c r="H343" s="1504"/>
      <c r="I343" s="1504"/>
      <c r="J343" s="1504"/>
      <c r="K343" s="1504"/>
      <c r="L343" s="1507" t="str">
        <f>判断表!L101</f>
        <v>隐藏</v>
      </c>
      <c r="N343" s="1556" t="s">
        <v>1042</v>
      </c>
      <c r="O343" s="1557" t="s">
        <v>1329</v>
      </c>
      <c r="P343" s="1482">
        <f t="shared" si="72"/>
        <v>0</v>
      </c>
      <c r="Q343" s="1482">
        <f>可供出售总!BE9</f>
        <v>0</v>
      </c>
      <c r="R343" s="1482">
        <f t="shared" si="69"/>
        <v>0</v>
      </c>
      <c r="S343" s="1501" t="str">
        <f t="shared" si="70"/>
        <v/>
      </c>
    </row>
    <row r="344" spans="2:23">
      <c r="B344" s="1469">
        <f t="shared" si="67"/>
        <v>341</v>
      </c>
      <c r="C344" s="1470" t="s">
        <v>1345</v>
      </c>
      <c r="D344" s="1469" t="str">
        <f>D$343</f>
        <v>是</v>
      </c>
      <c r="E344" s="1482" t="str">
        <f>TEXT(P405,"#,##0.00")</f>
        <v>0.00</v>
      </c>
      <c r="F344" s="1471"/>
      <c r="G344" s="1471"/>
      <c r="H344" s="1469"/>
      <c r="I344" s="1469"/>
      <c r="J344" s="1469"/>
      <c r="K344" s="1469"/>
      <c r="L344" s="1472"/>
      <c r="N344" s="1556"/>
      <c r="O344" s="1557" t="s">
        <v>364</v>
      </c>
      <c r="P344" s="1482">
        <f>P343-P345</f>
        <v>0</v>
      </c>
      <c r="Q344" s="1482">
        <f>Q343-Q345</f>
        <v>0</v>
      </c>
      <c r="R344" s="1482">
        <f t="shared" si="69"/>
        <v>0</v>
      </c>
      <c r="S344" s="1501" t="str">
        <f t="shared" si="70"/>
        <v/>
      </c>
    </row>
    <row r="345" spans="2:23">
      <c r="B345" s="1469">
        <f t="shared" si="67"/>
        <v>342</v>
      </c>
      <c r="C345" s="1470" t="s">
        <v>1346</v>
      </c>
      <c r="D345" s="1469" t="str">
        <f>D$343</f>
        <v>是</v>
      </c>
      <c r="E345" s="1520" t="str">
        <f>衍生金负!CC14</f>
        <v/>
      </c>
      <c r="F345" s="1471"/>
      <c r="G345" s="1471"/>
      <c r="H345" s="1469"/>
      <c r="I345" s="1469"/>
      <c r="J345" s="1469"/>
      <c r="K345" s="1469"/>
      <c r="L345" s="1472"/>
      <c r="N345" s="1556" t="s">
        <v>1042</v>
      </c>
      <c r="O345" s="1557" t="s">
        <v>1332</v>
      </c>
      <c r="P345" s="1482">
        <f>P332</f>
        <v>0</v>
      </c>
      <c r="Q345" s="1482">
        <f>可供出售总!E9</f>
        <v>0</v>
      </c>
      <c r="R345" s="1482">
        <f t="shared" si="69"/>
        <v>0</v>
      </c>
      <c r="S345" s="1501" t="str">
        <f t="shared" si="70"/>
        <v/>
      </c>
    </row>
    <row r="346" ht="12.75" spans="2:23">
      <c r="B346" s="1504">
        <f t="shared" si="67"/>
        <v>343</v>
      </c>
      <c r="C346" s="1505" t="s">
        <v>1347</v>
      </c>
      <c r="D346" s="1504" t="str">
        <f t="shared" si="68"/>
        <v>是</v>
      </c>
      <c r="E346" s="1505"/>
      <c r="F346" s="1506"/>
      <c r="G346" s="1506"/>
      <c r="H346" s="1504"/>
      <c r="I346" s="1504"/>
      <c r="J346" s="1504"/>
      <c r="K346" s="1504"/>
      <c r="L346" s="1507" t="str">
        <f>判断表!L102</f>
        <v>隐藏</v>
      </c>
      <c r="N346" s="1562" t="s">
        <v>1122</v>
      </c>
      <c r="O346" s="1563" t="s">
        <v>1334</v>
      </c>
      <c r="P346" s="1512">
        <f>SUM(P339,P342,P345)</f>
        <v>0</v>
      </c>
      <c r="Q346" s="1512">
        <f>SUM(Q339,Q342,Q345)</f>
        <v>0</v>
      </c>
      <c r="R346" s="1512">
        <f t="shared" si="69"/>
        <v>0</v>
      </c>
      <c r="S346" s="1513" t="str">
        <f t="shared" si="70"/>
        <v/>
      </c>
    </row>
    <row r="347" ht="12.75" spans="2:23">
      <c r="B347" s="1469">
        <f t="shared" si="67"/>
        <v>344</v>
      </c>
      <c r="C347" s="1470" t="s">
        <v>1348</v>
      </c>
      <c r="D347" s="1469" t="str">
        <f>D$346</f>
        <v>是</v>
      </c>
      <c r="E347" s="1482" t="str">
        <f>TEXT(P406,"#,##0.00")</f>
        <v>0.00</v>
      </c>
      <c r="F347" s="1471"/>
      <c r="G347" s="1471"/>
      <c r="H347" s="1469"/>
      <c r="I347" s="1469"/>
      <c r="J347" s="1469"/>
      <c r="K347" s="1469"/>
      <c r="L347" s="1472"/>
    </row>
    <row r="348" ht="12.75" spans="2:23">
      <c r="B348" s="1469">
        <f t="shared" si="67"/>
        <v>345</v>
      </c>
      <c r="C348" s="1470" t="s">
        <v>1349</v>
      </c>
      <c r="D348" s="1469" t="str">
        <f>D$346</f>
        <v>是</v>
      </c>
      <c r="E348" s="1520" t="str">
        <f>应付票据!BZ14</f>
        <v>无息</v>
      </c>
      <c r="F348" s="1471"/>
      <c r="G348" s="1471"/>
      <c r="H348" s="1469"/>
      <c r="I348" s="1469"/>
      <c r="J348" s="1469"/>
      <c r="K348" s="1469"/>
      <c r="L348" s="1472"/>
      <c r="N348" s="1456" t="str">
        <f>C237</f>
        <v>固定资产清理增减值</v>
      </c>
    </row>
    <row r="349" ht="12.75" spans="2:23">
      <c r="B349" s="1504">
        <f t="shared" si="67"/>
        <v>346</v>
      </c>
      <c r="C349" s="1505" t="s">
        <v>1350</v>
      </c>
      <c r="D349" s="1504" t="str">
        <f t="shared" si="68"/>
        <v>是</v>
      </c>
      <c r="E349" s="1505"/>
      <c r="F349" s="1506"/>
      <c r="G349" s="1506"/>
      <c r="H349" s="1504"/>
      <c r="I349" s="1504"/>
      <c r="J349" s="1504"/>
      <c r="K349" s="1504"/>
      <c r="L349" s="1507" t="str">
        <f>判断表!L103</f>
        <v>隐藏</v>
      </c>
      <c r="O349" s="1514" t="s">
        <v>1028</v>
      </c>
      <c r="P349" s="1547" t="s">
        <v>837</v>
      </c>
      <c r="Q349" s="1547" t="s">
        <v>526</v>
      </c>
      <c r="R349" s="1547" t="s">
        <v>838</v>
      </c>
      <c r="S349" s="1548" t="s">
        <v>1058</v>
      </c>
    </row>
    <row r="350" ht="12.75" spans="2:23">
      <c r="B350" s="1469">
        <f t="shared" si="67"/>
        <v>347</v>
      </c>
      <c r="C350" s="1470" t="s">
        <v>1351</v>
      </c>
      <c r="D350" s="1469" t="str">
        <f>D$349</f>
        <v>是</v>
      </c>
      <c r="E350" s="1482" t="str">
        <f>TEXT(P407,"#,##0.00")</f>
        <v>0.00</v>
      </c>
      <c r="F350" s="1471"/>
      <c r="G350" s="1471"/>
      <c r="H350" s="1469"/>
      <c r="I350" s="1469"/>
      <c r="J350" s="1469"/>
      <c r="K350" s="1469"/>
      <c r="L350" s="1472"/>
      <c r="O350" s="1586" t="s">
        <v>1352</v>
      </c>
      <c r="P350" s="1561" t="str">
        <f>E234</f>
        <v>0.00</v>
      </c>
      <c r="Q350" s="1561" t="str">
        <f>E236</f>
        <v>0.00</v>
      </c>
      <c r="R350" s="1561">
        <f>Q350-P350</f>
        <v>0</v>
      </c>
      <c r="S350" s="1560" t="str">
        <f>IFERROR(R350/P350*100,"")</f>
        <v/>
      </c>
      <c r="T350" s="1457" t="str">
        <f>IF(R350&gt;0,"增值",IF(R350=0,"无增减值","减值"))</f>
        <v>无增减值</v>
      </c>
      <c r="U350" s="1494">
        <f>IFERROR(ABS(R350),0)</f>
        <v>0</v>
      </c>
      <c r="V350" s="1494">
        <f>IFERROR(ABS(S350),0)</f>
        <v>0</v>
      </c>
      <c r="W350" s="1456" t="str">
        <f>IF(T350="无增减值",T350,T350&amp;TEXT(U350,"#,##0.00")&amp;"万元，"&amp;T350&amp;"率"&amp;TEXT(V350/100,"0.00%"))</f>
        <v>无增减值</v>
      </c>
    </row>
    <row r="351" ht="12.75" spans="2:23">
      <c r="B351" s="1469">
        <f t="shared" si="67"/>
        <v>348</v>
      </c>
      <c r="C351" s="1470" t="s">
        <v>1353</v>
      </c>
      <c r="D351" s="1469" t="str">
        <f>D$349</f>
        <v>是</v>
      </c>
      <c r="E351" s="1520" t="str">
        <f>应付账款!BX14</f>
        <v/>
      </c>
      <c r="F351" s="1471"/>
      <c r="G351" s="1471"/>
      <c r="H351" s="1469"/>
      <c r="I351" s="1469"/>
      <c r="J351" s="1469"/>
      <c r="K351" s="1469"/>
      <c r="L351" s="1472"/>
    </row>
    <row r="352" ht="12.75" spans="2:23">
      <c r="B352" s="1504">
        <f t="shared" si="67"/>
        <v>349</v>
      </c>
      <c r="C352" s="1505" t="s">
        <v>1354</v>
      </c>
      <c r="D352" s="1504" t="str">
        <f t="shared" si="68"/>
        <v>是</v>
      </c>
      <c r="E352" s="1505"/>
      <c r="F352" s="1506"/>
      <c r="G352" s="1506"/>
      <c r="H352" s="1504"/>
      <c r="I352" s="1504"/>
      <c r="J352" s="1504"/>
      <c r="K352" s="1504"/>
      <c r="L352" s="1507" t="str">
        <f>判断表!L104</f>
        <v>隐藏</v>
      </c>
      <c r="N352" s="1456" t="str">
        <f>C239</f>
        <v>在建工程账面值表</v>
      </c>
    </row>
    <row r="353" ht="12.75" spans="2:16">
      <c r="B353" s="1469">
        <f t="shared" si="67"/>
        <v>350</v>
      </c>
      <c r="C353" s="1470" t="s">
        <v>1355</v>
      </c>
      <c r="D353" s="1469" t="str">
        <f>D$352</f>
        <v>是</v>
      </c>
      <c r="E353" s="1482" t="str">
        <f>TEXT(P408,"#,##0.00")</f>
        <v>0.00</v>
      </c>
      <c r="F353" s="1471"/>
      <c r="G353" s="1471"/>
      <c r="H353" s="1469"/>
      <c r="I353" s="1469"/>
      <c r="J353" s="1469"/>
      <c r="K353" s="1469"/>
      <c r="L353" s="1472"/>
      <c r="N353" s="1514" t="s">
        <v>521</v>
      </c>
      <c r="O353" s="1547" t="s">
        <v>1028</v>
      </c>
      <c r="P353" s="1548" t="s">
        <v>837</v>
      </c>
    </row>
    <row r="354" spans="2:16">
      <c r="B354" s="1469">
        <f t="shared" si="67"/>
        <v>351</v>
      </c>
      <c r="C354" s="1470" t="s">
        <v>1356</v>
      </c>
      <c r="D354" s="1469" t="str">
        <f>D$352</f>
        <v>是</v>
      </c>
      <c r="E354" s="1520" t="str">
        <f>预收账款!BX14</f>
        <v/>
      </c>
      <c r="F354" s="1471"/>
      <c r="G354" s="1471"/>
      <c r="H354" s="1469"/>
      <c r="I354" s="1469"/>
      <c r="J354" s="1469"/>
      <c r="K354" s="1469"/>
      <c r="L354" s="1472"/>
      <c r="N354" s="1556" t="s">
        <v>1030</v>
      </c>
      <c r="O354" s="1557" t="s">
        <v>1357</v>
      </c>
      <c r="P354" s="1501">
        <f>在建总!BA7</f>
        <v>0</v>
      </c>
    </row>
    <row r="355" spans="2:16">
      <c r="B355" s="1504">
        <f t="shared" si="67"/>
        <v>352</v>
      </c>
      <c r="C355" s="1505" t="s">
        <v>1358</v>
      </c>
      <c r="D355" s="1504" t="str">
        <f t="shared" si="68"/>
        <v>是</v>
      </c>
      <c r="E355" s="1505"/>
      <c r="F355" s="1506"/>
      <c r="G355" s="1506"/>
      <c r="H355" s="1504"/>
      <c r="I355" s="1504"/>
      <c r="J355" s="1504"/>
      <c r="K355" s="1504"/>
      <c r="L355" s="1507" t="str">
        <f>判断表!L105</f>
        <v>隐藏</v>
      </c>
      <c r="N355" s="1556"/>
      <c r="O355" s="1557" t="s">
        <v>364</v>
      </c>
      <c r="P355" s="1501">
        <f>P354-P356</f>
        <v>0</v>
      </c>
    </row>
    <row r="356" spans="2:16">
      <c r="B356" s="1469">
        <f t="shared" si="67"/>
        <v>353</v>
      </c>
      <c r="C356" s="1470" t="s">
        <v>1359</v>
      </c>
      <c r="D356" s="1469" t="str">
        <f>D$355</f>
        <v>是</v>
      </c>
      <c r="E356" s="1520" t="str">
        <f>合同负总!BS5&amp;合同负总!BT5</f>
        <v>合同负债为：</v>
      </c>
      <c r="F356" s="1471"/>
      <c r="G356" s="1471"/>
      <c r="H356" s="1469"/>
      <c r="I356" s="1469"/>
      <c r="J356" s="1469"/>
      <c r="K356" s="1469"/>
      <c r="L356" s="1472"/>
      <c r="N356" s="1556" t="s">
        <v>1030</v>
      </c>
      <c r="O356" s="1557" t="s">
        <v>1360</v>
      </c>
      <c r="P356" s="1501">
        <f>在建总!D7</f>
        <v>0</v>
      </c>
    </row>
    <row r="357" spans="2:16">
      <c r="B357" s="1487">
        <f t="shared" si="67"/>
        <v>354</v>
      </c>
      <c r="C357" s="1488" t="s">
        <v>1361</v>
      </c>
      <c r="D357" s="1487" t="str">
        <f>D$355</f>
        <v>是</v>
      </c>
      <c r="E357" s="1546"/>
      <c r="F357" s="1489" t="s">
        <v>863</v>
      </c>
      <c r="G357" s="1489" t="str">
        <f t="shared" ref="G357:G378" si="73">IF(H357="","",ADDRESS(H357,I357,4)&amp;":"&amp;ADDRESS(J357,K357,4))</f>
        <v>P431:P433</v>
      </c>
      <c r="H357" s="1487">
        <f>ROW(P431)</f>
        <v>431</v>
      </c>
      <c r="I357" s="1487">
        <f>COLUMN(P431)</f>
        <v>16</v>
      </c>
      <c r="J357" s="1487">
        <f>ROW(P433)</f>
        <v>433</v>
      </c>
      <c r="K357" s="1487">
        <f>COLUMN(P433)</f>
        <v>16</v>
      </c>
      <c r="L357" s="1490"/>
      <c r="N357" s="1556" t="s">
        <v>1036</v>
      </c>
      <c r="O357" s="1557" t="s">
        <v>1362</v>
      </c>
      <c r="P357" s="1501">
        <f>在建总!BA8</f>
        <v>0</v>
      </c>
    </row>
    <row r="358" spans="2:16">
      <c r="B358" s="1469">
        <f t="shared" si="67"/>
        <v>355</v>
      </c>
      <c r="C358" s="1470" t="s">
        <v>1363</v>
      </c>
      <c r="D358" s="1469" t="str">
        <f t="shared" si="68"/>
        <v>是</v>
      </c>
      <c r="E358" s="1520" t="str">
        <f>'合同负-未完施工'!BX15</f>
        <v/>
      </c>
      <c r="F358" s="1471"/>
      <c r="G358" s="1471"/>
      <c r="H358" s="1469"/>
      <c r="I358" s="1469"/>
      <c r="J358" s="1469"/>
      <c r="K358" s="1469"/>
      <c r="L358" s="1472" t="str">
        <f>判断表!L106</f>
        <v>隐藏</v>
      </c>
      <c r="N358" s="1556"/>
      <c r="O358" s="1557" t="s">
        <v>364</v>
      </c>
      <c r="P358" s="1501">
        <f>P357-P359</f>
        <v>0</v>
      </c>
    </row>
    <row r="359" spans="2:16">
      <c r="B359" s="1469">
        <f t="shared" si="67"/>
        <v>356</v>
      </c>
      <c r="C359" s="1470" t="s">
        <v>1364</v>
      </c>
      <c r="D359" s="1469" t="str">
        <f t="shared" si="68"/>
        <v>是</v>
      </c>
      <c r="E359" s="1520" t="str">
        <f>'合同负-其他'!BW14</f>
        <v/>
      </c>
      <c r="F359" s="1471"/>
      <c r="G359" s="1471"/>
      <c r="H359" s="1469"/>
      <c r="I359" s="1469"/>
      <c r="J359" s="1469"/>
      <c r="K359" s="1469"/>
      <c r="L359" s="1472" t="str">
        <f>判断表!L107</f>
        <v>隐藏</v>
      </c>
      <c r="N359" s="1556" t="s">
        <v>1036</v>
      </c>
      <c r="O359" s="1557" t="s">
        <v>1365</v>
      </c>
      <c r="P359" s="1501">
        <f>在建总!D8</f>
        <v>0</v>
      </c>
    </row>
    <row r="360" spans="2:16">
      <c r="B360" s="1504">
        <f t="shared" si="67"/>
        <v>357</v>
      </c>
      <c r="C360" s="1505" t="s">
        <v>1366</v>
      </c>
      <c r="D360" s="1504" t="str">
        <f>D358</f>
        <v>是</v>
      </c>
      <c r="E360" s="1505"/>
      <c r="F360" s="1506"/>
      <c r="G360" s="1506"/>
      <c r="H360" s="1504"/>
      <c r="I360" s="1504"/>
      <c r="J360" s="1504"/>
      <c r="K360" s="1504"/>
      <c r="L360" s="1507"/>
      <c r="N360" s="1556" t="s">
        <v>1042</v>
      </c>
      <c r="O360" s="1557" t="s">
        <v>1367</v>
      </c>
      <c r="P360" s="1501">
        <f>在建总!BA9</f>
        <v>0</v>
      </c>
    </row>
    <row r="361" spans="2:16">
      <c r="B361" s="1504">
        <f t="shared" si="67"/>
        <v>358</v>
      </c>
      <c r="C361" s="1505" t="s">
        <v>1368</v>
      </c>
      <c r="D361" s="1504" t="str">
        <f>D359</f>
        <v>是</v>
      </c>
      <c r="E361" s="1505"/>
      <c r="F361" s="1506"/>
      <c r="G361" s="1506"/>
      <c r="H361" s="1504"/>
      <c r="I361" s="1504"/>
      <c r="J361" s="1504"/>
      <c r="K361" s="1504"/>
      <c r="L361" s="1507"/>
      <c r="N361" s="1556"/>
      <c r="O361" s="1557" t="s">
        <v>364</v>
      </c>
      <c r="P361" s="1501">
        <f>P360-P362</f>
        <v>0</v>
      </c>
    </row>
    <row r="362" spans="2:16">
      <c r="B362" s="1487">
        <f t="shared" si="67"/>
        <v>359</v>
      </c>
      <c r="C362" s="1488" t="s">
        <v>1369</v>
      </c>
      <c r="D362" s="1487" t="str">
        <f>D$355</f>
        <v>是</v>
      </c>
      <c r="E362" s="1546"/>
      <c r="F362" s="1489" t="s">
        <v>863</v>
      </c>
      <c r="G362" s="1489" t="str">
        <f t="shared" si="73"/>
        <v>P437:S439</v>
      </c>
      <c r="H362" s="1487">
        <f>ROW(P437)</f>
        <v>437</v>
      </c>
      <c r="I362" s="1487">
        <f>COLUMN(P437)</f>
        <v>16</v>
      </c>
      <c r="J362" s="1487">
        <f>ROW(S439)</f>
        <v>439</v>
      </c>
      <c r="K362" s="1487">
        <f>COLUMN(S439)</f>
        <v>19</v>
      </c>
      <c r="L362" s="1490"/>
      <c r="N362" s="1556" t="s">
        <v>1042</v>
      </c>
      <c r="O362" s="1557" t="s">
        <v>1370</v>
      </c>
      <c r="P362" s="1501">
        <f>在建总!D9</f>
        <v>0</v>
      </c>
    </row>
    <row r="363" spans="2:16">
      <c r="B363" s="1504">
        <f t="shared" si="67"/>
        <v>360</v>
      </c>
      <c r="C363" s="1505" t="s">
        <v>1371</v>
      </c>
      <c r="D363" s="1504" t="str">
        <f t="shared" si="68"/>
        <v>是</v>
      </c>
      <c r="E363" s="1505"/>
      <c r="F363" s="1506"/>
      <c r="G363" s="1506"/>
      <c r="H363" s="1504"/>
      <c r="I363" s="1504"/>
      <c r="J363" s="1504"/>
      <c r="K363" s="1504"/>
      <c r="L363" s="1507" t="str">
        <f>判断表!L108</f>
        <v>隐藏</v>
      </c>
      <c r="N363" s="1556" t="s">
        <v>1122</v>
      </c>
      <c r="O363" s="1557" t="s">
        <v>1372</v>
      </c>
      <c r="P363" s="1501">
        <f>在建总!BA10</f>
        <v>0</v>
      </c>
    </row>
    <row r="364" spans="2:16">
      <c r="B364" s="1469">
        <f t="shared" si="67"/>
        <v>361</v>
      </c>
      <c r="C364" s="1470" t="s">
        <v>1373</v>
      </c>
      <c r="D364" s="1469" t="str">
        <f>D$363</f>
        <v>是</v>
      </c>
      <c r="E364" s="1482" t="str">
        <f>TEXT(P410,"#,##0.00")</f>
        <v>0.00</v>
      </c>
      <c r="F364" s="1471"/>
      <c r="G364" s="1471"/>
      <c r="H364" s="1469"/>
      <c r="I364" s="1469"/>
      <c r="J364" s="1469"/>
      <c r="K364" s="1469"/>
      <c r="L364" s="1472"/>
      <c r="N364" s="1556"/>
      <c r="O364" s="1557" t="s">
        <v>364</v>
      </c>
      <c r="P364" s="1501">
        <f>P363-P365</f>
        <v>0</v>
      </c>
    </row>
    <row r="365" spans="2:16">
      <c r="B365" s="1469">
        <f t="shared" si="67"/>
        <v>362</v>
      </c>
      <c r="C365" s="1470" t="s">
        <v>1374</v>
      </c>
      <c r="D365" s="1469" t="str">
        <f>D$363</f>
        <v>是</v>
      </c>
      <c r="E365" s="1520" t="str">
        <f>职工薪酬!BU14</f>
        <v>工资、奖金、津贴和补贴</v>
      </c>
      <c r="F365" s="1471"/>
      <c r="G365" s="1471"/>
      <c r="H365" s="1469"/>
      <c r="I365" s="1469"/>
      <c r="J365" s="1469"/>
      <c r="K365" s="1469"/>
      <c r="L365" s="1472"/>
      <c r="N365" s="1556" t="s">
        <v>1122</v>
      </c>
      <c r="O365" s="1557" t="s">
        <v>1375</v>
      </c>
      <c r="P365" s="1501">
        <f>在建总!D10</f>
        <v>0</v>
      </c>
    </row>
    <row r="366" spans="2:16">
      <c r="B366" s="1504">
        <f t="shared" si="67"/>
        <v>363</v>
      </c>
      <c r="C366" s="1505" t="s">
        <v>1376</v>
      </c>
      <c r="D366" s="1504" t="str">
        <f t="shared" si="68"/>
        <v>是</v>
      </c>
      <c r="E366" s="1505"/>
      <c r="F366" s="1506"/>
      <c r="G366" s="1506"/>
      <c r="H366" s="1504"/>
      <c r="I366" s="1504"/>
      <c r="J366" s="1504"/>
      <c r="K366" s="1504"/>
      <c r="L366" s="1507" t="str">
        <f>判断表!L109</f>
        <v>隐藏</v>
      </c>
      <c r="N366" s="1556" t="s">
        <v>1128</v>
      </c>
      <c r="O366" s="1557" t="s">
        <v>1377</v>
      </c>
      <c r="P366" s="1501">
        <f>在建总!BA11</f>
        <v>0</v>
      </c>
    </row>
    <row r="367" spans="2:16">
      <c r="B367" s="1469">
        <f t="shared" si="67"/>
        <v>364</v>
      </c>
      <c r="C367" s="1470" t="s">
        <v>1378</v>
      </c>
      <c r="D367" s="1469" t="str">
        <f>D$366</f>
        <v>是</v>
      </c>
      <c r="E367" s="1482" t="str">
        <f>TEXT(P411,"#,##0.00")</f>
        <v>0.00</v>
      </c>
      <c r="F367" s="1471"/>
      <c r="G367" s="1471"/>
      <c r="H367" s="1469"/>
      <c r="I367" s="1469"/>
      <c r="J367" s="1469"/>
      <c r="K367" s="1469"/>
      <c r="L367" s="1472"/>
      <c r="N367" s="1556"/>
      <c r="O367" s="1557" t="s">
        <v>364</v>
      </c>
      <c r="P367" s="1501">
        <f>P366-P368</f>
        <v>0</v>
      </c>
    </row>
    <row r="368" spans="2:16">
      <c r="B368" s="1469">
        <f t="shared" si="67"/>
        <v>365</v>
      </c>
      <c r="C368" s="1470" t="s">
        <v>1379</v>
      </c>
      <c r="D368" s="1469" t="str">
        <f>D$366</f>
        <v>是</v>
      </c>
      <c r="E368" s="1520" t="str">
        <f>应交税费!BU14</f>
        <v/>
      </c>
      <c r="F368" s="1471"/>
      <c r="G368" s="1471"/>
      <c r="H368" s="1469"/>
      <c r="I368" s="1469"/>
      <c r="J368" s="1469"/>
      <c r="K368" s="1469"/>
      <c r="L368" s="1472"/>
      <c r="N368" s="1556" t="s">
        <v>1128</v>
      </c>
      <c r="O368" s="1557" t="s">
        <v>1380</v>
      </c>
      <c r="P368" s="1501">
        <f>在建总!D11</f>
        <v>0</v>
      </c>
    </row>
    <row r="369" spans="2:19">
      <c r="B369" s="1504">
        <f t="shared" si="67"/>
        <v>366</v>
      </c>
      <c r="C369" s="1505" t="s">
        <v>1381</v>
      </c>
      <c r="D369" s="1504" t="str">
        <f t="shared" si="68"/>
        <v>是</v>
      </c>
      <c r="E369" s="1505"/>
      <c r="F369" s="1506"/>
      <c r="G369" s="1506"/>
      <c r="H369" s="1504"/>
      <c r="I369" s="1504"/>
      <c r="J369" s="1504"/>
      <c r="K369" s="1504"/>
      <c r="L369" s="1507" t="str">
        <f>判断表!L110</f>
        <v>隐藏</v>
      </c>
      <c r="N369" s="1556" t="s">
        <v>1134</v>
      </c>
      <c r="O369" s="1557" t="s">
        <v>1382</v>
      </c>
      <c r="P369" s="1501">
        <f>在建总!BA12</f>
        <v>0</v>
      </c>
    </row>
    <row r="370" spans="2:19">
      <c r="B370" s="1469">
        <f t="shared" si="67"/>
        <v>367</v>
      </c>
      <c r="C370" s="1470" t="s">
        <v>1383</v>
      </c>
      <c r="D370" s="1469" t="str">
        <f>D$369</f>
        <v>是</v>
      </c>
      <c r="E370" s="1520" t="str">
        <f>其他应付总!BS5&amp;其他应付总!BT5</f>
        <v>其他应付款为：</v>
      </c>
      <c r="F370" s="1471"/>
      <c r="G370" s="1471"/>
      <c r="H370" s="1469"/>
      <c r="I370" s="1469"/>
      <c r="J370" s="1469"/>
      <c r="K370" s="1469"/>
      <c r="L370" s="1472"/>
      <c r="N370" s="1556"/>
      <c r="O370" s="1557" t="s">
        <v>364</v>
      </c>
      <c r="P370" s="1501">
        <f>P369-P371</f>
        <v>0</v>
      </c>
    </row>
    <row r="371" spans="2:19">
      <c r="B371" s="1487">
        <f t="shared" si="67"/>
        <v>368</v>
      </c>
      <c r="C371" s="1488" t="s">
        <v>1384</v>
      </c>
      <c r="D371" s="1487" t="str">
        <f>D$369</f>
        <v>是</v>
      </c>
      <c r="E371" s="1546"/>
      <c r="F371" s="1489" t="s">
        <v>863</v>
      </c>
      <c r="G371" s="1489" t="str">
        <f t="shared" si="73"/>
        <v>P443:P446</v>
      </c>
      <c r="H371" s="1487">
        <f>ROW(P443)</f>
        <v>443</v>
      </c>
      <c r="I371" s="1487">
        <f>COLUMN(P443)</f>
        <v>16</v>
      </c>
      <c r="J371" s="1487">
        <f>ROW(P446)</f>
        <v>446</v>
      </c>
      <c r="K371" s="1487">
        <f>COLUMN(P446)</f>
        <v>16</v>
      </c>
      <c r="L371" s="1490"/>
      <c r="N371" s="1556" t="s">
        <v>1134</v>
      </c>
      <c r="O371" s="1557" t="s">
        <v>1385</v>
      </c>
      <c r="P371" s="1501">
        <f>在建总!D12</f>
        <v>0</v>
      </c>
    </row>
    <row r="372" ht="12.75" spans="2:19">
      <c r="B372" s="1469">
        <f t="shared" si="67"/>
        <v>369</v>
      </c>
      <c r="C372" s="1470" t="s">
        <v>1386</v>
      </c>
      <c r="D372" s="1469" t="str">
        <f t="shared" si="68"/>
        <v>是</v>
      </c>
      <c r="E372" s="1520" t="str">
        <f>'其他应付-利息'!BX14</f>
        <v/>
      </c>
      <c r="F372" s="1471"/>
      <c r="G372" s="1471"/>
      <c r="H372" s="1469"/>
      <c r="I372" s="1469"/>
      <c r="J372" s="1469"/>
      <c r="K372" s="1469"/>
      <c r="L372" s="1472" t="str">
        <f>判断表!L111</f>
        <v>隐藏</v>
      </c>
      <c r="N372" s="1562" t="s">
        <v>7</v>
      </c>
      <c r="O372" s="1563" t="s">
        <v>527</v>
      </c>
      <c r="P372" s="1513">
        <f>SUM(P356,P359,P362,P365,P368,P371)</f>
        <v>0</v>
      </c>
    </row>
    <row r="373" ht="12.75" spans="2:19">
      <c r="B373" s="1469">
        <f t="shared" si="67"/>
        <v>370</v>
      </c>
      <c r="C373" s="1470" t="s">
        <v>1387</v>
      </c>
      <c r="D373" s="1469" t="str">
        <f t="shared" si="68"/>
        <v>是</v>
      </c>
      <c r="E373" s="1520" t="str">
        <f>'其他应付-股利'!BX14</f>
        <v/>
      </c>
      <c r="F373" s="1471"/>
      <c r="G373" s="1471"/>
      <c r="H373" s="1469"/>
      <c r="I373" s="1469"/>
      <c r="J373" s="1469"/>
      <c r="K373" s="1469"/>
      <c r="L373" s="1472" t="str">
        <f>判断表!L112</f>
        <v>隐藏</v>
      </c>
    </row>
    <row r="374" ht="12.75" spans="2:19">
      <c r="B374" s="1469">
        <f t="shared" si="67"/>
        <v>371</v>
      </c>
      <c r="C374" s="1470" t="s">
        <v>1388</v>
      </c>
      <c r="D374" s="1469" t="str">
        <f t="shared" si="68"/>
        <v>是</v>
      </c>
      <c r="E374" s="1520" t="str">
        <f>'其他应付-其他'!BX14</f>
        <v/>
      </c>
      <c r="F374" s="1471"/>
      <c r="G374" s="1471"/>
      <c r="H374" s="1469"/>
      <c r="I374" s="1469"/>
      <c r="J374" s="1469"/>
      <c r="K374" s="1469"/>
      <c r="L374" s="1472" t="str">
        <f>判断表!L113</f>
        <v>隐藏</v>
      </c>
      <c r="N374" s="1456" t="str">
        <f>C246</f>
        <v>在建工程评估结果表</v>
      </c>
    </row>
    <row r="375" ht="12.75" spans="2:19">
      <c r="B375" s="1504">
        <f t="shared" si="67"/>
        <v>372</v>
      </c>
      <c r="C375" s="1505" t="s">
        <v>1389</v>
      </c>
      <c r="D375" s="1504" t="str">
        <f>D372</f>
        <v>是</v>
      </c>
      <c r="E375" s="1505"/>
      <c r="F375" s="1506"/>
      <c r="G375" s="1506"/>
      <c r="H375" s="1504"/>
      <c r="I375" s="1504"/>
      <c r="J375" s="1504"/>
      <c r="K375" s="1504"/>
      <c r="L375" s="1507"/>
      <c r="N375" s="1514" t="s">
        <v>521</v>
      </c>
      <c r="O375" s="1547" t="s">
        <v>1028</v>
      </c>
      <c r="P375" s="1547" t="s">
        <v>837</v>
      </c>
      <c r="Q375" s="1547" t="s">
        <v>1390</v>
      </c>
      <c r="R375" s="1547" t="s">
        <v>838</v>
      </c>
      <c r="S375" s="1548" t="s">
        <v>1058</v>
      </c>
    </row>
    <row r="376" spans="2:19">
      <c r="B376" s="1504">
        <f t="shared" si="67"/>
        <v>373</v>
      </c>
      <c r="C376" s="1505" t="s">
        <v>1391</v>
      </c>
      <c r="D376" s="1504" t="str">
        <f t="shared" ref="D376:D377" si="74">D373</f>
        <v>是</v>
      </c>
      <c r="E376" s="1505"/>
      <c r="F376" s="1506"/>
      <c r="G376" s="1506"/>
      <c r="H376" s="1504"/>
      <c r="I376" s="1504"/>
      <c r="J376" s="1504"/>
      <c r="K376" s="1504"/>
      <c r="L376" s="1507"/>
      <c r="N376" s="1556" t="s">
        <v>1030</v>
      </c>
      <c r="O376" s="1557" t="s">
        <v>1357</v>
      </c>
      <c r="P376" s="1482">
        <f>P354</f>
        <v>0</v>
      </c>
      <c r="Q376" s="1482">
        <f>在建总!BE7</f>
        <v>0</v>
      </c>
      <c r="R376" s="1482">
        <f t="shared" ref="R376:R394" si="75">Q376-P376</f>
        <v>0</v>
      </c>
      <c r="S376" s="1501" t="str">
        <f t="shared" ref="S376:S394" si="76">IFERROR(R376/P376*100,"")</f>
        <v/>
      </c>
    </row>
    <row r="377" spans="2:19">
      <c r="B377" s="1504">
        <f t="shared" si="67"/>
        <v>374</v>
      </c>
      <c r="C377" s="1505" t="s">
        <v>1392</v>
      </c>
      <c r="D377" s="1504" t="str">
        <f t="shared" si="74"/>
        <v>是</v>
      </c>
      <c r="E377" s="1505"/>
      <c r="F377" s="1506"/>
      <c r="G377" s="1506"/>
      <c r="H377" s="1504"/>
      <c r="I377" s="1504"/>
      <c r="J377" s="1504"/>
      <c r="K377" s="1504"/>
      <c r="L377" s="1507"/>
      <c r="N377" s="1556"/>
      <c r="O377" s="1557" t="s">
        <v>364</v>
      </c>
      <c r="P377" s="1482">
        <f t="shared" ref="P377:Q377" si="77">P376-P378</f>
        <v>0</v>
      </c>
      <c r="Q377" s="1482">
        <f t="shared" si="77"/>
        <v>0</v>
      </c>
      <c r="R377" s="1482">
        <f t="shared" si="75"/>
        <v>0</v>
      </c>
      <c r="S377" s="1501" t="str">
        <f t="shared" si="76"/>
        <v/>
      </c>
    </row>
    <row r="378" spans="2:19">
      <c r="B378" s="1487">
        <f t="shared" si="67"/>
        <v>375</v>
      </c>
      <c r="C378" s="1488" t="s">
        <v>1393</v>
      </c>
      <c r="D378" s="1487" t="str">
        <f>D$369</f>
        <v>是</v>
      </c>
      <c r="E378" s="1546"/>
      <c r="F378" s="1489" t="s">
        <v>863</v>
      </c>
      <c r="G378" s="1489" t="str">
        <f t="shared" si="73"/>
        <v>P450:S453</v>
      </c>
      <c r="H378" s="1487">
        <f>ROW(P450)</f>
        <v>450</v>
      </c>
      <c r="I378" s="1487">
        <f>COLUMN(P450)</f>
        <v>16</v>
      </c>
      <c r="J378" s="1487">
        <f>ROW(S453)</f>
        <v>453</v>
      </c>
      <c r="K378" s="1487">
        <f>COLUMN(S453)</f>
        <v>19</v>
      </c>
      <c r="L378" s="1490"/>
      <c r="N378" s="1556" t="s">
        <v>1030</v>
      </c>
      <c r="O378" s="1557" t="s">
        <v>1360</v>
      </c>
      <c r="P378" s="1482">
        <f t="shared" ref="P378:P379" si="78">P356</f>
        <v>0</v>
      </c>
      <c r="Q378" s="1482">
        <f>在建总!E7</f>
        <v>0</v>
      </c>
      <c r="R378" s="1482">
        <f t="shared" si="75"/>
        <v>0</v>
      </c>
      <c r="S378" s="1501" t="str">
        <f t="shared" si="76"/>
        <v/>
      </c>
    </row>
    <row r="379" spans="2:19">
      <c r="B379" s="1504">
        <f t="shared" si="67"/>
        <v>376</v>
      </c>
      <c r="C379" s="1505" t="s">
        <v>1394</v>
      </c>
      <c r="D379" s="1504" t="str">
        <f t="shared" ref="D379:D413" si="79">IF(L379="隐藏","是","否")</f>
        <v>是</v>
      </c>
      <c r="E379" s="1505"/>
      <c r="F379" s="1506"/>
      <c r="G379" s="1506"/>
      <c r="H379" s="1504"/>
      <c r="I379" s="1504"/>
      <c r="J379" s="1504"/>
      <c r="K379" s="1504"/>
      <c r="L379" s="1507" t="str">
        <f>判断表!L114</f>
        <v>隐藏</v>
      </c>
      <c r="N379" s="1556" t="s">
        <v>1036</v>
      </c>
      <c r="O379" s="1557" t="s">
        <v>1362</v>
      </c>
      <c r="P379" s="1482">
        <f t="shared" si="78"/>
        <v>0</v>
      </c>
      <c r="Q379" s="1482">
        <f>在建总!BE8</f>
        <v>0</v>
      </c>
      <c r="R379" s="1482">
        <f t="shared" si="75"/>
        <v>0</v>
      </c>
      <c r="S379" s="1501" t="str">
        <f t="shared" si="76"/>
        <v/>
      </c>
    </row>
    <row r="380" spans="2:19">
      <c r="B380" s="1469">
        <f t="shared" si="67"/>
        <v>377</v>
      </c>
      <c r="C380" s="1470" t="s">
        <v>1395</v>
      </c>
      <c r="D380" s="1469" t="str">
        <f>D$379</f>
        <v>是</v>
      </c>
      <c r="E380" s="1482" t="str">
        <f>TEXT(P413,"#,##0.00")</f>
        <v>0.00</v>
      </c>
      <c r="F380" s="1471"/>
      <c r="G380" s="1471"/>
      <c r="H380" s="1469"/>
      <c r="I380" s="1469"/>
      <c r="J380" s="1469"/>
      <c r="K380" s="1469"/>
      <c r="L380" s="1472"/>
      <c r="N380" s="1556"/>
      <c r="O380" s="1557" t="s">
        <v>364</v>
      </c>
      <c r="P380" s="1482">
        <f t="shared" ref="P380:Q380" si="80">P379-P381</f>
        <v>0</v>
      </c>
      <c r="Q380" s="1482">
        <f t="shared" si="80"/>
        <v>0</v>
      </c>
      <c r="R380" s="1482">
        <f t="shared" si="75"/>
        <v>0</v>
      </c>
      <c r="S380" s="1501" t="str">
        <f t="shared" si="76"/>
        <v/>
      </c>
    </row>
    <row r="381" spans="2:19">
      <c r="B381" s="1469">
        <f t="shared" si="67"/>
        <v>378</v>
      </c>
      <c r="C381" s="1470" t="s">
        <v>1396</v>
      </c>
      <c r="D381" s="1469" t="str">
        <f>D$379</f>
        <v>是</v>
      </c>
      <c r="E381" s="1520" t="str">
        <f>持有待售负!BX14</f>
        <v/>
      </c>
      <c r="F381" s="1471"/>
      <c r="G381" s="1471"/>
      <c r="H381" s="1469"/>
      <c r="I381" s="1469"/>
      <c r="J381" s="1469"/>
      <c r="K381" s="1469"/>
      <c r="L381" s="1472"/>
      <c r="N381" s="1556" t="s">
        <v>1036</v>
      </c>
      <c r="O381" s="1557" t="s">
        <v>1365</v>
      </c>
      <c r="P381" s="1482">
        <f t="shared" ref="P381:P382" si="81">P359</f>
        <v>0</v>
      </c>
      <c r="Q381" s="1482">
        <f>在建总!E8</f>
        <v>0</v>
      </c>
      <c r="R381" s="1482">
        <f t="shared" si="75"/>
        <v>0</v>
      </c>
      <c r="S381" s="1501" t="str">
        <f t="shared" si="76"/>
        <v/>
      </c>
    </row>
    <row r="382" spans="2:19">
      <c r="B382" s="1504">
        <f t="shared" si="67"/>
        <v>379</v>
      </c>
      <c r="C382" s="1505" t="s">
        <v>1397</v>
      </c>
      <c r="D382" s="1504" t="str">
        <f t="shared" si="79"/>
        <v>是</v>
      </c>
      <c r="E382" s="1505"/>
      <c r="F382" s="1506"/>
      <c r="G382" s="1506"/>
      <c r="H382" s="1504"/>
      <c r="I382" s="1504"/>
      <c r="J382" s="1504"/>
      <c r="K382" s="1504"/>
      <c r="L382" s="1507" t="str">
        <f>判断表!L115</f>
        <v>隐藏</v>
      </c>
      <c r="N382" s="1556" t="s">
        <v>1042</v>
      </c>
      <c r="O382" s="1557" t="s">
        <v>1367</v>
      </c>
      <c r="P382" s="1482">
        <f t="shared" si="81"/>
        <v>0</v>
      </c>
      <c r="Q382" s="1482">
        <f>在建总!BE9</f>
        <v>0</v>
      </c>
      <c r="R382" s="1482">
        <f t="shared" si="75"/>
        <v>0</v>
      </c>
      <c r="S382" s="1501" t="str">
        <f t="shared" si="76"/>
        <v/>
      </c>
    </row>
    <row r="383" spans="2:19">
      <c r="B383" s="1469">
        <f t="shared" si="67"/>
        <v>380</v>
      </c>
      <c r="C383" s="1470" t="s">
        <v>1398</v>
      </c>
      <c r="D383" s="1469" t="str">
        <f>D$382</f>
        <v>是</v>
      </c>
      <c r="E383" s="1482" t="str">
        <f>TEXT(P414,"#,##0.00")</f>
        <v>0.00</v>
      </c>
      <c r="F383" s="1471"/>
      <c r="G383" s="1471"/>
      <c r="H383" s="1469"/>
      <c r="I383" s="1469"/>
      <c r="J383" s="1469"/>
      <c r="K383" s="1469"/>
      <c r="L383" s="1472"/>
      <c r="N383" s="1556"/>
      <c r="O383" s="1557" t="s">
        <v>364</v>
      </c>
      <c r="P383" s="1482">
        <f t="shared" ref="P383:Q383" si="82">P382-P384</f>
        <v>0</v>
      </c>
      <c r="Q383" s="1482">
        <f t="shared" si="82"/>
        <v>0</v>
      </c>
      <c r="R383" s="1482">
        <f t="shared" si="75"/>
        <v>0</v>
      </c>
      <c r="S383" s="1501" t="str">
        <f t="shared" si="76"/>
        <v/>
      </c>
    </row>
    <row r="384" spans="2:19">
      <c r="B384" s="1469">
        <f t="shared" si="67"/>
        <v>381</v>
      </c>
      <c r="C384" s="1470" t="s">
        <v>1399</v>
      </c>
      <c r="D384" s="1469" t="str">
        <f>D$382</f>
        <v>是</v>
      </c>
      <c r="E384" s="1520" t="str">
        <f>一年到期负!BX14</f>
        <v/>
      </c>
      <c r="F384" s="1471"/>
      <c r="G384" s="1471"/>
      <c r="H384" s="1469"/>
      <c r="I384" s="1469"/>
      <c r="J384" s="1469"/>
      <c r="K384" s="1469"/>
      <c r="L384" s="1472"/>
      <c r="N384" s="1556" t="s">
        <v>1042</v>
      </c>
      <c r="O384" s="1557" t="s">
        <v>1370</v>
      </c>
      <c r="P384" s="1482">
        <f t="shared" ref="P384:P385" si="83">P362</f>
        <v>0</v>
      </c>
      <c r="Q384" s="1482">
        <f>在建总!E9</f>
        <v>0</v>
      </c>
      <c r="R384" s="1482">
        <f t="shared" si="75"/>
        <v>0</v>
      </c>
      <c r="S384" s="1501" t="str">
        <f t="shared" si="76"/>
        <v/>
      </c>
    </row>
    <row r="385" spans="2:31">
      <c r="B385" s="1504">
        <f t="shared" si="67"/>
        <v>382</v>
      </c>
      <c r="C385" s="1505" t="s">
        <v>1400</v>
      </c>
      <c r="D385" s="1504" t="str">
        <f t="shared" si="79"/>
        <v>是</v>
      </c>
      <c r="E385" s="1505"/>
      <c r="F385" s="1506"/>
      <c r="G385" s="1506"/>
      <c r="H385" s="1504"/>
      <c r="I385" s="1504"/>
      <c r="J385" s="1504"/>
      <c r="K385" s="1504"/>
      <c r="L385" s="1507" t="str">
        <f>判断表!L116</f>
        <v>隐藏</v>
      </c>
      <c r="N385" s="1556" t="s">
        <v>1122</v>
      </c>
      <c r="O385" s="1557" t="s">
        <v>1372</v>
      </c>
      <c r="P385" s="1482">
        <f t="shared" si="83"/>
        <v>0</v>
      </c>
      <c r="Q385" s="1482">
        <f>在建总!BE10</f>
        <v>0</v>
      </c>
      <c r="R385" s="1482">
        <f t="shared" si="75"/>
        <v>0</v>
      </c>
      <c r="S385" s="1501" t="str">
        <f t="shared" si="76"/>
        <v/>
      </c>
      <c r="Y385" s="1455"/>
    </row>
    <row r="386" spans="2:31">
      <c r="B386" s="1469">
        <f t="shared" ref="B386:B431" si="84">B385+1</f>
        <v>383</v>
      </c>
      <c r="C386" s="1470" t="s">
        <v>1401</v>
      </c>
      <c r="D386" s="1469" t="str">
        <f>D$385</f>
        <v>是</v>
      </c>
      <c r="E386" s="1482" t="str">
        <f>TEXT(P415,"#,##0.00")</f>
        <v>0.00</v>
      </c>
      <c r="F386" s="1471"/>
      <c r="G386" s="1471"/>
      <c r="H386" s="1469"/>
      <c r="I386" s="1469"/>
      <c r="J386" s="1469"/>
      <c r="K386" s="1469"/>
      <c r="L386" s="1472"/>
      <c r="N386" s="1556"/>
      <c r="O386" s="1557" t="s">
        <v>364</v>
      </c>
      <c r="P386" s="1482">
        <f t="shared" ref="P386:Q386" si="85">P385-P387</f>
        <v>0</v>
      </c>
      <c r="Q386" s="1482">
        <f t="shared" si="85"/>
        <v>0</v>
      </c>
      <c r="R386" s="1482">
        <f t="shared" si="75"/>
        <v>0</v>
      </c>
      <c r="S386" s="1501" t="str">
        <f t="shared" si="76"/>
        <v/>
      </c>
    </row>
    <row r="387" spans="2:31">
      <c r="B387" s="1469">
        <f t="shared" si="84"/>
        <v>384</v>
      </c>
      <c r="C387" s="1470" t="s">
        <v>1402</v>
      </c>
      <c r="D387" s="1469" t="str">
        <f>D$385</f>
        <v>是</v>
      </c>
      <c r="E387" s="1520" t="str">
        <f>其他流负!BX14</f>
        <v/>
      </c>
      <c r="F387" s="1471"/>
      <c r="G387" s="1471"/>
      <c r="H387" s="1469"/>
      <c r="I387" s="1469"/>
      <c r="J387" s="1469"/>
      <c r="K387" s="1469"/>
      <c r="L387" s="1472"/>
      <c r="N387" s="1556" t="s">
        <v>1122</v>
      </c>
      <c r="O387" s="1557" t="s">
        <v>1375</v>
      </c>
      <c r="P387" s="1482">
        <f t="shared" ref="P387:P388" si="86">P365</f>
        <v>0</v>
      </c>
      <c r="Q387" s="1482">
        <f>在建总!E10</f>
        <v>0</v>
      </c>
      <c r="R387" s="1482">
        <f t="shared" si="75"/>
        <v>0</v>
      </c>
      <c r="S387" s="1501" t="str">
        <f t="shared" si="76"/>
        <v/>
      </c>
    </row>
    <row r="388" spans="2:31">
      <c r="B388" s="1504">
        <f t="shared" si="84"/>
        <v>385</v>
      </c>
      <c r="C388" s="1505" t="s">
        <v>1403</v>
      </c>
      <c r="D388" s="1504" t="str">
        <f t="shared" si="79"/>
        <v>是</v>
      </c>
      <c r="E388" s="1505"/>
      <c r="F388" s="1506"/>
      <c r="G388" s="1506"/>
      <c r="H388" s="1504"/>
      <c r="I388" s="1504"/>
      <c r="J388" s="1504"/>
      <c r="K388" s="1504"/>
      <c r="L388" s="1507" t="str">
        <f>判断表!L118</f>
        <v>隐藏</v>
      </c>
      <c r="N388" s="1556" t="s">
        <v>1128</v>
      </c>
      <c r="O388" s="1557" t="s">
        <v>1377</v>
      </c>
      <c r="P388" s="1482">
        <f t="shared" si="86"/>
        <v>0</v>
      </c>
      <c r="Q388" s="1482">
        <f>在建总!BE11</f>
        <v>0</v>
      </c>
      <c r="R388" s="1482">
        <f t="shared" si="75"/>
        <v>0</v>
      </c>
      <c r="S388" s="1501" t="str">
        <f t="shared" si="76"/>
        <v/>
      </c>
      <c r="Z388" s="1455"/>
      <c r="AA388" s="1455"/>
    </row>
    <row r="389" spans="2:31">
      <c r="B389" s="1469">
        <f t="shared" si="84"/>
        <v>386</v>
      </c>
      <c r="C389" s="1470" t="s">
        <v>1404</v>
      </c>
      <c r="D389" s="1469" t="str">
        <f>D$388</f>
        <v>是</v>
      </c>
      <c r="E389" s="1482" t="str">
        <f>TEXT(P418,"#,##0.00")</f>
        <v>0.00</v>
      </c>
      <c r="F389" s="1471"/>
      <c r="G389" s="1471"/>
      <c r="H389" s="1469"/>
      <c r="I389" s="1469"/>
      <c r="J389" s="1469"/>
      <c r="K389" s="1469"/>
      <c r="L389" s="1472"/>
      <c r="N389" s="1556"/>
      <c r="O389" s="1557" t="s">
        <v>364</v>
      </c>
      <c r="P389" s="1482">
        <f t="shared" ref="P389:Q389" si="87">P388-P390</f>
        <v>0</v>
      </c>
      <c r="Q389" s="1482">
        <f t="shared" si="87"/>
        <v>0</v>
      </c>
      <c r="R389" s="1482">
        <f t="shared" si="75"/>
        <v>0</v>
      </c>
      <c r="S389" s="1501" t="str">
        <f t="shared" si="76"/>
        <v/>
      </c>
    </row>
    <row r="390" spans="2:31">
      <c r="B390" s="1469">
        <f t="shared" si="84"/>
        <v>387</v>
      </c>
      <c r="C390" s="1470" t="s">
        <v>1405</v>
      </c>
      <c r="D390" s="1469" t="str">
        <f>D$388</f>
        <v>是</v>
      </c>
      <c r="E390" s="1520" t="str">
        <f>长期借款!BX14</f>
        <v/>
      </c>
      <c r="F390" s="1471"/>
      <c r="G390" s="1471"/>
      <c r="H390" s="1469"/>
      <c r="I390" s="1469"/>
      <c r="J390" s="1469"/>
      <c r="K390" s="1469"/>
      <c r="L390" s="1472"/>
      <c r="N390" s="1556" t="s">
        <v>1128</v>
      </c>
      <c r="O390" s="1557" t="s">
        <v>1380</v>
      </c>
      <c r="P390" s="1482">
        <f t="shared" ref="P390:P391" si="88">P368</f>
        <v>0</v>
      </c>
      <c r="Q390" s="1482">
        <f>在建总!E11</f>
        <v>0</v>
      </c>
      <c r="R390" s="1482">
        <f t="shared" si="75"/>
        <v>0</v>
      </c>
      <c r="S390" s="1501" t="str">
        <f t="shared" si="76"/>
        <v/>
      </c>
    </row>
    <row r="391" spans="2:31">
      <c r="B391" s="1504">
        <f t="shared" si="84"/>
        <v>388</v>
      </c>
      <c r="C391" s="1505" t="s">
        <v>1406</v>
      </c>
      <c r="D391" s="1504" t="str">
        <f t="shared" si="79"/>
        <v>是</v>
      </c>
      <c r="E391" s="1505"/>
      <c r="F391" s="1506"/>
      <c r="G391" s="1506"/>
      <c r="H391" s="1504"/>
      <c r="I391" s="1504"/>
      <c r="J391" s="1504"/>
      <c r="K391" s="1504"/>
      <c r="L391" s="1507" t="str">
        <f>判断表!L119</f>
        <v>隐藏</v>
      </c>
      <c r="N391" s="1556" t="s">
        <v>1134</v>
      </c>
      <c r="O391" s="1557" t="s">
        <v>1382</v>
      </c>
      <c r="P391" s="1482">
        <f t="shared" si="88"/>
        <v>0</v>
      </c>
      <c r="Q391" s="1482">
        <f>在建总!BE12</f>
        <v>0</v>
      </c>
      <c r="R391" s="1482">
        <f t="shared" si="75"/>
        <v>0</v>
      </c>
      <c r="S391" s="1501" t="str">
        <f t="shared" si="76"/>
        <v/>
      </c>
    </row>
    <row r="392" spans="2:31">
      <c r="B392" s="1469">
        <f t="shared" si="84"/>
        <v>389</v>
      </c>
      <c r="C392" s="1470" t="s">
        <v>1407</v>
      </c>
      <c r="D392" s="1469" t="str">
        <f>D$391</f>
        <v>是</v>
      </c>
      <c r="E392" s="1482" t="str">
        <f>TEXT(P419,"#,##0.00")</f>
        <v>0.00</v>
      </c>
      <c r="F392" s="1471"/>
      <c r="G392" s="1471"/>
      <c r="H392" s="1469"/>
      <c r="I392" s="1469"/>
      <c r="J392" s="1469"/>
      <c r="K392" s="1469"/>
      <c r="L392" s="1472"/>
      <c r="N392" s="1556"/>
      <c r="O392" s="1557" t="s">
        <v>364</v>
      </c>
      <c r="P392" s="1482">
        <f t="shared" ref="P392:Q392" si="89">P391-P393</f>
        <v>0</v>
      </c>
      <c r="Q392" s="1482">
        <f t="shared" si="89"/>
        <v>0</v>
      </c>
      <c r="R392" s="1482">
        <f t="shared" si="75"/>
        <v>0</v>
      </c>
      <c r="S392" s="1501" t="str">
        <f t="shared" si="76"/>
        <v/>
      </c>
    </row>
    <row r="393" spans="2:31">
      <c r="B393" s="1469">
        <f t="shared" si="84"/>
        <v>390</v>
      </c>
      <c r="C393" s="1470" t="s">
        <v>1408</v>
      </c>
      <c r="D393" s="1469" t="str">
        <f>D$391</f>
        <v>是</v>
      </c>
      <c r="E393" s="1520" t="str">
        <f>应付债券!BY14</f>
        <v/>
      </c>
      <c r="F393" s="1471"/>
      <c r="G393" s="1471"/>
      <c r="H393" s="1469"/>
      <c r="I393" s="1469"/>
      <c r="J393" s="1469"/>
      <c r="K393" s="1469"/>
      <c r="L393" s="1472"/>
      <c r="N393" s="1556" t="s">
        <v>1134</v>
      </c>
      <c r="O393" s="1557" t="s">
        <v>1385</v>
      </c>
      <c r="P393" s="1482">
        <f>P371</f>
        <v>0</v>
      </c>
      <c r="Q393" s="1482">
        <f>在建总!E12</f>
        <v>0</v>
      </c>
      <c r="R393" s="1482">
        <f t="shared" si="75"/>
        <v>0</v>
      </c>
      <c r="S393" s="1501" t="str">
        <f t="shared" si="76"/>
        <v/>
      </c>
    </row>
    <row r="394" ht="12.75" spans="2:31">
      <c r="B394" s="1504">
        <f t="shared" si="84"/>
        <v>391</v>
      </c>
      <c r="C394" s="1505" t="s">
        <v>1409</v>
      </c>
      <c r="D394" s="1504" t="str">
        <f t="shared" si="79"/>
        <v>是</v>
      </c>
      <c r="E394" s="1505"/>
      <c r="F394" s="1506"/>
      <c r="G394" s="1506"/>
      <c r="H394" s="1504"/>
      <c r="I394" s="1504"/>
      <c r="J394" s="1504"/>
      <c r="K394" s="1504"/>
      <c r="L394" s="1507" t="str">
        <f>判断表!L120</f>
        <v>隐藏</v>
      </c>
      <c r="N394" s="1562" t="s">
        <v>7</v>
      </c>
      <c r="O394" s="1563" t="s">
        <v>527</v>
      </c>
      <c r="P394" s="1512">
        <f t="shared" ref="P394:Q394" si="90">SUM(P378,P381,P384,P387,P390,P393)</f>
        <v>0</v>
      </c>
      <c r="Q394" s="1512">
        <f t="shared" si="90"/>
        <v>0</v>
      </c>
      <c r="R394" s="1512">
        <f t="shared" si="75"/>
        <v>0</v>
      </c>
      <c r="S394" s="1513" t="str">
        <f t="shared" si="76"/>
        <v/>
      </c>
    </row>
    <row r="395" ht="12.75" spans="2:31">
      <c r="B395" s="1469">
        <f t="shared" si="84"/>
        <v>392</v>
      </c>
      <c r="C395" s="1470" t="s">
        <v>1410</v>
      </c>
      <c r="D395" s="1469" t="str">
        <f>D$394</f>
        <v>是</v>
      </c>
      <c r="E395" s="1482" t="str">
        <f>TEXT(P420,"#,##0.00")</f>
        <v>0.00</v>
      </c>
      <c r="F395" s="1471"/>
      <c r="G395" s="1471"/>
      <c r="H395" s="1469"/>
      <c r="I395" s="1469"/>
      <c r="J395" s="1469"/>
      <c r="K395" s="1469"/>
      <c r="L395" s="1472"/>
    </row>
    <row r="396" ht="12.75" spans="2:31">
      <c r="B396" s="1469">
        <f t="shared" si="84"/>
        <v>393</v>
      </c>
      <c r="C396" s="1470" t="s">
        <v>1411</v>
      </c>
      <c r="D396" s="1469" t="str">
        <f>D$394</f>
        <v>是</v>
      </c>
      <c r="E396" s="1520" t="str">
        <f>租赁负!BX14</f>
        <v/>
      </c>
      <c r="F396" s="1471"/>
      <c r="G396" s="1471"/>
      <c r="H396" s="1469"/>
      <c r="I396" s="1469"/>
      <c r="J396" s="1469"/>
      <c r="K396" s="1469"/>
      <c r="L396" s="1472"/>
      <c r="N396" s="1456" t="str">
        <f>C308</f>
        <v>无形资产（其他）增减值</v>
      </c>
    </row>
    <row r="397" ht="12.75" spans="2:31">
      <c r="B397" s="1504">
        <f t="shared" si="84"/>
        <v>394</v>
      </c>
      <c r="C397" s="1505" t="s">
        <v>1412</v>
      </c>
      <c r="D397" s="1504" t="str">
        <f t="shared" si="79"/>
        <v>是</v>
      </c>
      <c r="E397" s="1505"/>
      <c r="F397" s="1506"/>
      <c r="G397" s="1506"/>
      <c r="H397" s="1504"/>
      <c r="I397" s="1504"/>
      <c r="J397" s="1504"/>
      <c r="K397" s="1504"/>
      <c r="L397" s="1507" t="str">
        <f>判断表!L121</f>
        <v>隐藏</v>
      </c>
      <c r="O397" s="1514" t="s">
        <v>334</v>
      </c>
      <c r="P397" s="1547" t="s">
        <v>525</v>
      </c>
      <c r="Q397" s="1547" t="s">
        <v>526</v>
      </c>
      <c r="R397" s="1547" t="s">
        <v>838</v>
      </c>
      <c r="S397" s="1548" t="s">
        <v>977</v>
      </c>
    </row>
    <row r="398" ht="12.75" spans="2:31">
      <c r="B398" s="1469">
        <f t="shared" si="84"/>
        <v>395</v>
      </c>
      <c r="C398" s="1470" t="s">
        <v>1413</v>
      </c>
      <c r="D398" s="1469" t="str">
        <f>D$397</f>
        <v>是</v>
      </c>
      <c r="E398" s="1482" t="str">
        <f>TEXT(P421,"#,##0.00")</f>
        <v>0.00</v>
      </c>
      <c r="F398" s="1471"/>
      <c r="G398" s="1471"/>
      <c r="H398" s="1469"/>
      <c r="I398" s="1469"/>
      <c r="J398" s="1469"/>
      <c r="K398" s="1469"/>
      <c r="L398" s="1472"/>
      <c r="O398" s="1549" t="s">
        <v>1414</v>
      </c>
      <c r="P398" s="1492">
        <f>无形资总!D9</f>
        <v>0</v>
      </c>
      <c r="Q398" s="1492">
        <f>无形资总!E9</f>
        <v>0</v>
      </c>
      <c r="R398" s="1492">
        <f>IFERROR(Q398-P398,"")</f>
        <v>0</v>
      </c>
      <c r="S398" s="1493" t="str">
        <f t="shared" ref="S398" si="91">IFERROR(R398/ABS(P398)*100,"")</f>
        <v/>
      </c>
      <c r="T398" s="1457" t="str">
        <f>IF(R398&gt;0,"增值",IF(R398=0,"无增减值","减值"))</f>
        <v>无增减值</v>
      </c>
      <c r="U398" s="1494">
        <f>IFERROR(ABS(R398),0)</f>
        <v>0</v>
      </c>
      <c r="V398" s="1494">
        <f>IFERROR(ABS(S398),0)</f>
        <v>0</v>
      </c>
      <c r="W398" s="1456" t="str">
        <f>IF(T398="无增减值",T398,T398&amp;TEXT(U398,"#,##0.00")&amp;"万元，"&amp;T398&amp;"率"&amp;TEXT(V398/100,"0.00%"))</f>
        <v>无增减值</v>
      </c>
    </row>
    <row r="399" s="1455" customFormat="1" ht="12.75" spans="2:31">
      <c r="B399" s="1469">
        <f t="shared" si="84"/>
        <v>396</v>
      </c>
      <c r="C399" s="1470" t="s">
        <v>1415</v>
      </c>
      <c r="D399" s="1469" t="str">
        <f>D$397</f>
        <v>是</v>
      </c>
      <c r="E399" s="1520" t="str">
        <f>长期应付!BX15</f>
        <v/>
      </c>
      <c r="F399" s="1471"/>
      <c r="G399" s="1471"/>
      <c r="H399" s="1469"/>
      <c r="I399" s="1469"/>
      <c r="J399" s="1469"/>
      <c r="K399" s="1469"/>
      <c r="L399" s="1472"/>
      <c r="N399" s="1456"/>
      <c r="O399" s="1456"/>
      <c r="P399" s="1456"/>
      <c r="Q399" s="1456"/>
      <c r="R399" s="1456"/>
      <c r="S399" s="1456"/>
      <c r="T399" s="1456"/>
      <c r="U399" s="1456"/>
      <c r="V399" s="1456"/>
      <c r="W399" s="1456"/>
      <c r="X399" s="1456"/>
      <c r="Y399" s="1456"/>
      <c r="Z399" s="1456"/>
      <c r="AA399" s="1456"/>
      <c r="AB399" s="1456"/>
      <c r="AC399" s="1456"/>
      <c r="AD399" s="1456"/>
      <c r="AE399" s="1456"/>
    </row>
    <row r="400" ht="12.75" spans="2:31">
      <c r="B400" s="1504">
        <f t="shared" si="84"/>
        <v>397</v>
      </c>
      <c r="C400" s="1505" t="s">
        <v>1416</v>
      </c>
      <c r="D400" s="1504" t="str">
        <f t="shared" si="79"/>
        <v>是</v>
      </c>
      <c r="E400" s="1505"/>
      <c r="F400" s="1506"/>
      <c r="G400" s="1506"/>
      <c r="H400" s="1504"/>
      <c r="I400" s="1504"/>
      <c r="J400" s="1504"/>
      <c r="K400" s="1504"/>
      <c r="L400" s="1507" t="str">
        <f>判断表!L122</f>
        <v>隐藏</v>
      </c>
      <c r="N400" s="1456" t="str">
        <f>C336</f>
        <v>负债账面值表</v>
      </c>
    </row>
    <row r="401" ht="12.75" spans="2:31">
      <c r="B401" s="1469">
        <f t="shared" si="84"/>
        <v>398</v>
      </c>
      <c r="C401" s="1470" t="s">
        <v>1417</v>
      </c>
      <c r="D401" s="1469" t="str">
        <f>D$400</f>
        <v>是</v>
      </c>
      <c r="E401" s="1482" t="str">
        <f>TEXT(P422,"#,##0.00")</f>
        <v>0.00</v>
      </c>
      <c r="F401" s="1471"/>
      <c r="G401" s="1471"/>
      <c r="H401" s="1469"/>
      <c r="I401" s="1469"/>
      <c r="J401" s="1469"/>
      <c r="K401" s="1469"/>
      <c r="L401" s="1472"/>
      <c r="N401" s="1514" t="s">
        <v>521</v>
      </c>
      <c r="O401" s="1587" t="s">
        <v>1418</v>
      </c>
      <c r="P401" s="1588" t="s">
        <v>837</v>
      </c>
    </row>
    <row r="402" spans="2:31">
      <c r="B402" s="1469">
        <f t="shared" si="84"/>
        <v>399</v>
      </c>
      <c r="C402" s="1470" t="s">
        <v>1419</v>
      </c>
      <c r="D402" s="1469" t="str">
        <f>D$400</f>
        <v>是</v>
      </c>
      <c r="E402" s="1520" t="str">
        <f>预计负!BU14</f>
        <v/>
      </c>
      <c r="F402" s="1471"/>
      <c r="G402" s="1471"/>
      <c r="H402" s="1469"/>
      <c r="I402" s="1469"/>
      <c r="J402" s="1469"/>
      <c r="K402" s="1469"/>
      <c r="L402" s="1472"/>
      <c r="N402" s="1542" t="s">
        <v>1420</v>
      </c>
      <c r="O402" s="1589" t="s">
        <v>1421</v>
      </c>
      <c r="P402" s="1510"/>
    </row>
    <row r="403" spans="2:31">
      <c r="B403" s="1504">
        <f t="shared" si="84"/>
        <v>400</v>
      </c>
      <c r="C403" s="1505" t="s">
        <v>1422</v>
      </c>
      <c r="D403" s="1504" t="str">
        <f t="shared" si="79"/>
        <v>是</v>
      </c>
      <c r="E403" s="1505"/>
      <c r="F403" s="1506"/>
      <c r="G403" s="1506"/>
      <c r="H403" s="1504"/>
      <c r="I403" s="1504"/>
      <c r="J403" s="1504"/>
      <c r="K403" s="1504"/>
      <c r="L403" s="1507" t="str">
        <f>判断表!L123</f>
        <v>隐藏</v>
      </c>
      <c r="N403" s="1539">
        <v>1</v>
      </c>
      <c r="O403" s="1590" t="s">
        <v>1423</v>
      </c>
      <c r="P403" s="1501">
        <f>流动负总!D7</f>
        <v>0</v>
      </c>
    </row>
    <row r="404" spans="2:31">
      <c r="B404" s="1469">
        <f t="shared" si="84"/>
        <v>401</v>
      </c>
      <c r="C404" s="1470" t="s">
        <v>1424</v>
      </c>
      <c r="D404" s="1469" t="str">
        <f>D$403</f>
        <v>是</v>
      </c>
      <c r="E404" s="1482" t="str">
        <f>TEXT(P423,"#,##0.00")</f>
        <v>0.00</v>
      </c>
      <c r="F404" s="1471"/>
      <c r="G404" s="1471"/>
      <c r="H404" s="1469"/>
      <c r="I404" s="1469"/>
      <c r="J404" s="1469"/>
      <c r="K404" s="1469"/>
      <c r="L404" s="1472"/>
      <c r="N404" s="1539">
        <v>2</v>
      </c>
      <c r="O404" s="1590" t="s">
        <v>1425</v>
      </c>
      <c r="P404" s="1501">
        <f>SUM(流动负总!D8:D9)</f>
        <v>0</v>
      </c>
    </row>
    <row r="405" spans="2:31">
      <c r="B405" s="1469">
        <f t="shared" si="84"/>
        <v>402</v>
      </c>
      <c r="C405" s="1470" t="s">
        <v>1426</v>
      </c>
      <c r="D405" s="1469" t="str">
        <f>D$403</f>
        <v>是</v>
      </c>
      <c r="E405" s="1520" t="str">
        <f>递延收益!BY14</f>
        <v/>
      </c>
      <c r="F405" s="1471"/>
      <c r="G405" s="1471"/>
      <c r="H405" s="1469"/>
      <c r="I405" s="1469"/>
      <c r="J405" s="1469"/>
      <c r="K405" s="1469"/>
      <c r="L405" s="1472"/>
      <c r="N405" s="1539">
        <v>3</v>
      </c>
      <c r="O405" s="1590" t="s">
        <v>1427</v>
      </c>
      <c r="P405" s="1501">
        <f>流动负总!D10</f>
        <v>0</v>
      </c>
    </row>
    <row r="406" spans="2:31">
      <c r="B406" s="1469">
        <f t="shared" si="84"/>
        <v>403</v>
      </c>
      <c r="C406" s="1470" t="s">
        <v>1428</v>
      </c>
      <c r="D406" s="1469" t="str">
        <f>D$403</f>
        <v>是</v>
      </c>
      <c r="E406" s="1482" t="str">
        <f>TEXT(Q478,"#,##0.00")</f>
        <v>0.00</v>
      </c>
      <c r="F406" s="1471"/>
      <c r="G406" s="1471"/>
      <c r="H406" s="1469"/>
      <c r="I406" s="1469"/>
      <c r="J406" s="1469"/>
      <c r="K406" s="1469"/>
      <c r="L406" s="1472"/>
      <c r="N406" s="1539">
        <v>4</v>
      </c>
      <c r="O406" s="1590" t="s">
        <v>1429</v>
      </c>
      <c r="P406" s="1501">
        <f>流动负总!D11</f>
        <v>0</v>
      </c>
      <c r="AB406" s="1455"/>
      <c r="AC406" s="1455"/>
      <c r="AD406" s="1455"/>
      <c r="AE406" s="1455"/>
    </row>
    <row r="407" spans="2:31">
      <c r="B407" s="1469">
        <f t="shared" si="84"/>
        <v>404</v>
      </c>
      <c r="C407" s="1470" t="s">
        <v>1430</v>
      </c>
      <c r="D407" s="1469" t="str">
        <f>D$403</f>
        <v>是</v>
      </c>
      <c r="E407" s="1520" t="str">
        <f>分类汇总!BV65</f>
        <v>无增减值</v>
      </c>
      <c r="F407" s="1471"/>
      <c r="G407" s="1471"/>
      <c r="H407" s="1469"/>
      <c r="I407" s="1469"/>
      <c r="J407" s="1469"/>
      <c r="K407" s="1469"/>
      <c r="L407" s="1472"/>
      <c r="N407" s="1539">
        <v>5</v>
      </c>
      <c r="O407" s="1590" t="s">
        <v>1431</v>
      </c>
      <c r="P407" s="1501">
        <f>流动负总!D12</f>
        <v>0</v>
      </c>
    </row>
    <row r="408" spans="2:31">
      <c r="B408" s="1504">
        <f t="shared" si="84"/>
        <v>405</v>
      </c>
      <c r="C408" s="1505" t="s">
        <v>1432</v>
      </c>
      <c r="D408" s="1504" t="str">
        <f t="shared" si="79"/>
        <v>是</v>
      </c>
      <c r="E408" s="1505"/>
      <c r="F408" s="1506"/>
      <c r="G408" s="1506"/>
      <c r="H408" s="1504"/>
      <c r="I408" s="1504"/>
      <c r="J408" s="1504"/>
      <c r="K408" s="1504"/>
      <c r="L408" s="1507" t="str">
        <f>判断表!L124</f>
        <v>隐藏</v>
      </c>
      <c r="N408" s="1539">
        <v>6</v>
      </c>
      <c r="O408" s="1590" t="s">
        <v>1433</v>
      </c>
      <c r="P408" s="1501">
        <f>流动负总!D13</f>
        <v>0</v>
      </c>
    </row>
    <row r="409" spans="2:31">
      <c r="B409" s="1469">
        <f t="shared" si="84"/>
        <v>406</v>
      </c>
      <c r="C409" s="1470" t="s">
        <v>1434</v>
      </c>
      <c r="D409" s="1469" t="str">
        <f>D$408</f>
        <v>是</v>
      </c>
      <c r="E409" s="1482" t="str">
        <f>TEXT(P425,"#,##0.00")</f>
        <v>0.00</v>
      </c>
      <c r="F409" s="1471"/>
      <c r="G409" s="1471"/>
      <c r="H409" s="1469"/>
      <c r="I409" s="1469"/>
      <c r="J409" s="1469"/>
      <c r="K409" s="1469"/>
      <c r="L409" s="1472"/>
      <c r="N409" s="1539">
        <v>7</v>
      </c>
      <c r="O409" s="1590" t="s">
        <v>1435</v>
      </c>
      <c r="P409" s="1501">
        <f>流动负总!D14</f>
        <v>0</v>
      </c>
    </row>
    <row r="410" spans="2:31">
      <c r="B410" s="1469">
        <f t="shared" si="84"/>
        <v>407</v>
      </c>
      <c r="C410" s="1470" t="s">
        <v>1436</v>
      </c>
      <c r="D410" s="1469" t="str">
        <f>D$408</f>
        <v>是</v>
      </c>
      <c r="E410" s="1520" t="str">
        <f>递延负!BZ14</f>
        <v/>
      </c>
      <c r="F410" s="1471"/>
      <c r="G410" s="1471"/>
      <c r="H410" s="1469"/>
      <c r="I410" s="1469"/>
      <c r="J410" s="1469"/>
      <c r="K410" s="1469"/>
      <c r="L410" s="1472"/>
      <c r="N410" s="1539">
        <v>8</v>
      </c>
      <c r="O410" s="1590" t="s">
        <v>1437</v>
      </c>
      <c r="P410" s="1501">
        <f>流动负总!D15</f>
        <v>0</v>
      </c>
    </row>
    <row r="411" spans="2:31">
      <c r="B411" s="1469">
        <f t="shared" si="84"/>
        <v>408</v>
      </c>
      <c r="C411" s="1470" t="s">
        <v>1438</v>
      </c>
      <c r="D411" s="1469" t="str">
        <f>D$408</f>
        <v>是</v>
      </c>
      <c r="E411" s="1482" t="str">
        <f>TEXT(Q479,"#,##0.00")</f>
        <v>0.00</v>
      </c>
      <c r="F411" s="1471"/>
      <c r="G411" s="1471"/>
      <c r="H411" s="1469"/>
      <c r="I411" s="1469"/>
      <c r="J411" s="1469"/>
      <c r="K411" s="1469"/>
      <c r="L411" s="1472"/>
      <c r="N411" s="1539">
        <v>9</v>
      </c>
      <c r="O411" s="1590" t="s">
        <v>1439</v>
      </c>
      <c r="P411" s="1501">
        <f>流动负总!D16</f>
        <v>0</v>
      </c>
    </row>
    <row r="412" spans="2:31">
      <c r="B412" s="1469">
        <f t="shared" si="84"/>
        <v>409</v>
      </c>
      <c r="C412" s="1470" t="s">
        <v>1440</v>
      </c>
      <c r="D412" s="1469" t="str">
        <f>D$408</f>
        <v>是</v>
      </c>
      <c r="E412" s="1520" t="str">
        <f>分类汇总!BV66</f>
        <v>无增减值</v>
      </c>
      <c r="F412" s="1471"/>
      <c r="G412" s="1471"/>
      <c r="H412" s="1469"/>
      <c r="I412" s="1469"/>
      <c r="J412" s="1469"/>
      <c r="K412" s="1469"/>
      <c r="L412" s="1472"/>
      <c r="N412" s="1539">
        <v>10</v>
      </c>
      <c r="O412" s="1590" t="s">
        <v>1441</v>
      </c>
      <c r="P412" s="1501">
        <f>流动负总!D17</f>
        <v>0</v>
      </c>
    </row>
    <row r="413" spans="2:31">
      <c r="B413" s="1504">
        <f t="shared" si="84"/>
        <v>410</v>
      </c>
      <c r="C413" s="1505" t="s">
        <v>1442</v>
      </c>
      <c r="D413" s="1504" t="str">
        <f t="shared" si="79"/>
        <v>是</v>
      </c>
      <c r="E413" s="1505"/>
      <c r="F413" s="1506"/>
      <c r="G413" s="1506"/>
      <c r="H413" s="1504"/>
      <c r="I413" s="1504"/>
      <c r="J413" s="1504"/>
      <c r="K413" s="1504"/>
      <c r="L413" s="1507" t="str">
        <f>判断表!L125</f>
        <v>隐藏</v>
      </c>
      <c r="N413" s="1539">
        <v>11</v>
      </c>
      <c r="O413" s="1590" t="s">
        <v>1443</v>
      </c>
      <c r="P413" s="1501">
        <f>流动负总!D18</f>
        <v>0</v>
      </c>
    </row>
    <row r="414" spans="2:31">
      <c r="B414" s="1469">
        <f t="shared" si="84"/>
        <v>411</v>
      </c>
      <c r="C414" s="1470" t="s">
        <v>1444</v>
      </c>
      <c r="D414" s="1469" t="str">
        <f>D$413</f>
        <v>是</v>
      </c>
      <c r="E414" s="1482" t="str">
        <f>TEXT(P425,"#,##0.00")</f>
        <v>0.00</v>
      </c>
      <c r="F414" s="1471"/>
      <c r="G414" s="1471"/>
      <c r="H414" s="1469"/>
      <c r="I414" s="1469"/>
      <c r="J414" s="1469"/>
      <c r="K414" s="1469"/>
      <c r="L414" s="1472"/>
      <c r="N414" s="1539">
        <v>12</v>
      </c>
      <c r="O414" s="1590" t="s">
        <v>1445</v>
      </c>
      <c r="P414" s="1501">
        <f>流动负总!D19</f>
        <v>0</v>
      </c>
    </row>
    <row r="415" spans="2:31">
      <c r="B415" s="1469">
        <f t="shared" si="84"/>
        <v>412</v>
      </c>
      <c r="C415" s="1470" t="s">
        <v>1446</v>
      </c>
      <c r="D415" s="1469" t="str">
        <f>D$413</f>
        <v>是</v>
      </c>
      <c r="E415" s="1520" t="str">
        <f>其他非负!BX14</f>
        <v/>
      </c>
      <c r="F415" s="1471"/>
      <c r="G415" s="1471"/>
      <c r="H415" s="1469"/>
      <c r="I415" s="1469"/>
      <c r="J415" s="1469"/>
      <c r="K415" s="1469"/>
      <c r="L415" s="1472"/>
      <c r="N415" s="1539">
        <v>13</v>
      </c>
      <c r="O415" s="1590" t="s">
        <v>1447</v>
      </c>
      <c r="P415" s="1501">
        <f>流动负总!D20</f>
        <v>0</v>
      </c>
    </row>
    <row r="416" spans="2:31">
      <c r="B416" s="1487">
        <f t="shared" si="84"/>
        <v>413</v>
      </c>
      <c r="C416" s="1488" t="s">
        <v>1448</v>
      </c>
      <c r="D416" s="1487" t="str">
        <f>D335</f>
        <v>是</v>
      </c>
      <c r="E416" s="1546"/>
      <c r="F416" s="1489" t="s">
        <v>863</v>
      </c>
      <c r="G416" s="1489" t="str">
        <f t="shared" ref="G416:G429" si="92">IF(H416="","",ADDRESS(H416,I416,4)&amp;":"&amp;ADDRESS(J416,K416,4))</f>
        <v>P458:S482</v>
      </c>
      <c r="H416" s="1487">
        <f>ROW(P458)</f>
        <v>458</v>
      </c>
      <c r="I416" s="1487">
        <f>COLUMN(P458)</f>
        <v>16</v>
      </c>
      <c r="J416" s="1487">
        <f>ROW(S482)</f>
        <v>482</v>
      </c>
      <c r="K416" s="1487">
        <f>COLUMN(S482)</f>
        <v>19</v>
      </c>
      <c r="L416" s="1490"/>
      <c r="N416" s="1542">
        <v>14</v>
      </c>
      <c r="O416" s="1463" t="s">
        <v>1449</v>
      </c>
      <c r="P416" s="1510">
        <f>SUM(P403:P415)</f>
        <v>0</v>
      </c>
    </row>
    <row r="417" spans="2:24">
      <c r="B417" s="1469">
        <f t="shared" si="84"/>
        <v>414</v>
      </c>
      <c r="C417" s="1591" t="s">
        <v>1450</v>
      </c>
      <c r="D417" s="1461" t="str">
        <f>IF(OR(L417="资产基础法",L417="成本法"),"否","是")</f>
        <v>是</v>
      </c>
      <c r="E417" s="1592" t="str">
        <f>IF(OR(L417="资产基础法",L417="成本法"),"不进行收益法和市场法评估的说明","收益法评估技术说明")</f>
        <v>收益法评估技术说明</v>
      </c>
      <c r="F417" s="1462"/>
      <c r="G417" s="1462"/>
      <c r="H417" s="1461"/>
      <c r="I417" s="1461"/>
      <c r="J417" s="1461"/>
      <c r="K417" s="1461"/>
      <c r="L417" s="1593" t="str">
        <f>L30</f>
        <v>资产基础法、收益法</v>
      </c>
      <c r="N417" s="1542" t="s">
        <v>1451</v>
      </c>
      <c r="O417" s="1589" t="s">
        <v>1452</v>
      </c>
      <c r="P417" s="1510"/>
    </row>
    <row r="418" spans="2:24">
      <c r="B418" s="1504">
        <f t="shared" si="84"/>
        <v>415</v>
      </c>
      <c r="C418" s="1505" t="s">
        <v>1453</v>
      </c>
      <c r="D418" s="1504" t="str">
        <f>D417</f>
        <v>是</v>
      </c>
      <c r="E418" s="1572"/>
      <c r="F418" s="1506"/>
      <c r="G418" s="1506"/>
      <c r="H418" s="1504"/>
      <c r="I418" s="1504"/>
      <c r="J418" s="1504"/>
      <c r="K418" s="1504"/>
      <c r="L418" s="1507"/>
      <c r="N418" s="1539">
        <v>1</v>
      </c>
      <c r="O418" s="1590" t="s">
        <v>1454</v>
      </c>
      <c r="P418" s="1501">
        <f>非流动负总!D7</f>
        <v>0</v>
      </c>
    </row>
    <row r="419" spans="2:24">
      <c r="B419" s="1532">
        <f t="shared" si="84"/>
        <v>416</v>
      </c>
      <c r="C419" s="1533" t="s">
        <v>1455</v>
      </c>
      <c r="D419" s="1532" t="str">
        <f>D34</f>
        <v>否</v>
      </c>
      <c r="E419" s="1505"/>
      <c r="F419" s="1534"/>
      <c r="G419" s="1534"/>
      <c r="H419" s="1532"/>
      <c r="I419" s="1532"/>
      <c r="J419" s="1532"/>
      <c r="K419" s="1532"/>
      <c r="L419" s="1535" t="str">
        <f>L417</f>
        <v>资产基础法、收益法</v>
      </c>
      <c r="N419" s="1539">
        <v>2</v>
      </c>
      <c r="O419" s="1590" t="s">
        <v>1456</v>
      </c>
      <c r="P419" s="1501">
        <f>非流动负总!D8</f>
        <v>0</v>
      </c>
    </row>
    <row r="420" spans="2:24">
      <c r="B420" s="1487">
        <f t="shared" si="84"/>
        <v>417</v>
      </c>
      <c r="C420" s="1488" t="s">
        <v>1457</v>
      </c>
      <c r="D420" s="1487" t="str">
        <f t="shared" ref="D420:D430" si="93">D$419</f>
        <v>否</v>
      </c>
      <c r="E420" s="1546"/>
      <c r="F420" s="1489" t="s">
        <v>863</v>
      </c>
      <c r="G420" s="1489" t="str">
        <f t="shared" si="92"/>
        <v>P485:S489</v>
      </c>
      <c r="H420" s="1487">
        <f>ROW(P485)</f>
        <v>485</v>
      </c>
      <c r="I420" s="1487">
        <f>COLUMN(P485)</f>
        <v>16</v>
      </c>
      <c r="J420" s="1487">
        <f>ROW(S489)</f>
        <v>489</v>
      </c>
      <c r="K420" s="1487">
        <f>COLUMN(S489)</f>
        <v>19</v>
      </c>
      <c r="L420" s="1490"/>
      <c r="N420" s="1539">
        <v>3</v>
      </c>
      <c r="O420" s="1590" t="s">
        <v>1458</v>
      </c>
      <c r="P420" s="1501">
        <f>非流动负总!D9</f>
        <v>0</v>
      </c>
    </row>
    <row r="421" spans="2:24">
      <c r="B421" s="1487">
        <f t="shared" si="84"/>
        <v>418</v>
      </c>
      <c r="C421" s="1488" t="s">
        <v>1459</v>
      </c>
      <c r="D421" s="1487" t="str">
        <f t="shared" si="93"/>
        <v>否</v>
      </c>
      <c r="E421" s="1546"/>
      <c r="F421" s="1489" t="s">
        <v>863</v>
      </c>
      <c r="G421" s="1489" t="str">
        <f t="shared" si="92"/>
        <v>P492:S495</v>
      </c>
      <c r="H421" s="1487">
        <f>ROW(P492)</f>
        <v>492</v>
      </c>
      <c r="I421" s="1487">
        <f>COLUMN(P492)</f>
        <v>16</v>
      </c>
      <c r="J421" s="1487">
        <f>ROW(S495)</f>
        <v>495</v>
      </c>
      <c r="K421" s="1487">
        <f>COLUMN(S495)</f>
        <v>19</v>
      </c>
      <c r="L421" s="1490"/>
      <c r="N421" s="1539">
        <v>4</v>
      </c>
      <c r="O421" s="1590" t="s">
        <v>1460</v>
      </c>
      <c r="P421" s="1501">
        <f>非流动负总!D10</f>
        <v>0</v>
      </c>
      <c r="X421" s="1455"/>
    </row>
    <row r="422" spans="2:24">
      <c r="B422" s="1487">
        <f t="shared" si="84"/>
        <v>419</v>
      </c>
      <c r="C422" s="1488" t="s">
        <v>1461</v>
      </c>
      <c r="D422" s="1487" t="str">
        <f t="shared" si="93"/>
        <v>否</v>
      </c>
      <c r="E422" s="1546"/>
      <c r="F422" s="1489" t="s">
        <v>863</v>
      </c>
      <c r="G422" s="1489" t="str">
        <f t="shared" si="92"/>
        <v>P498:S502</v>
      </c>
      <c r="H422" s="1487">
        <f>ROW(P498)</f>
        <v>498</v>
      </c>
      <c r="I422" s="1487">
        <f>COLUMN(P498)</f>
        <v>16</v>
      </c>
      <c r="J422" s="1487">
        <f>ROW(S502)</f>
        <v>502</v>
      </c>
      <c r="K422" s="1487">
        <f>COLUMN(S502)</f>
        <v>19</v>
      </c>
      <c r="L422" s="1490"/>
      <c r="N422" s="1539">
        <v>5</v>
      </c>
      <c r="O422" s="1590" t="s">
        <v>1462</v>
      </c>
      <c r="P422" s="1501">
        <f>非流动负总!D11</f>
        <v>0</v>
      </c>
    </row>
    <row r="423" spans="2:24">
      <c r="B423" s="1487">
        <f t="shared" si="84"/>
        <v>420</v>
      </c>
      <c r="C423" s="1488" t="s">
        <v>1463</v>
      </c>
      <c r="D423" s="1487" t="str">
        <f t="shared" si="93"/>
        <v>否</v>
      </c>
      <c r="E423" s="1546"/>
      <c r="F423" s="1489" t="s">
        <v>863</v>
      </c>
      <c r="G423" s="1489" t="str">
        <f t="shared" si="92"/>
        <v>P505:S508</v>
      </c>
      <c r="H423" s="1487">
        <f>ROW(P505)</f>
        <v>505</v>
      </c>
      <c r="I423" s="1487">
        <f>COLUMN(P505)</f>
        <v>16</v>
      </c>
      <c r="J423" s="1487">
        <f>ROW(S508)</f>
        <v>508</v>
      </c>
      <c r="K423" s="1487">
        <f>COLUMN(S508)</f>
        <v>19</v>
      </c>
      <c r="L423" s="1490"/>
      <c r="N423" s="1539">
        <v>6</v>
      </c>
      <c r="O423" s="1590" t="s">
        <v>1464</v>
      </c>
      <c r="P423" s="1501">
        <f>非流动负总!D12</f>
        <v>0</v>
      </c>
    </row>
    <row r="424" spans="2:24">
      <c r="B424" s="1469">
        <f t="shared" si="84"/>
        <v>421</v>
      </c>
      <c r="C424" s="1470" t="s">
        <v>1465</v>
      </c>
      <c r="D424" s="1469" t="str">
        <f t="shared" si="93"/>
        <v>否</v>
      </c>
      <c r="E424" s="1520" t="str">
        <f>参数表!O4</f>
        <v>2025年8月-2029年</v>
      </c>
      <c r="F424" s="1471"/>
      <c r="G424" s="1471"/>
      <c r="H424" s="1469"/>
      <c r="I424" s="1469"/>
      <c r="J424" s="1469"/>
      <c r="K424" s="1469"/>
      <c r="L424" s="1472"/>
      <c r="N424" s="1539">
        <v>7</v>
      </c>
      <c r="O424" s="1590" t="s">
        <v>1466</v>
      </c>
      <c r="P424" s="1501">
        <f>非流动负总!D13</f>
        <v>0</v>
      </c>
    </row>
    <row r="425" spans="2:24">
      <c r="B425" s="1469">
        <f t="shared" si="84"/>
        <v>422</v>
      </c>
      <c r="C425" s="1470" t="s">
        <v>1467</v>
      </c>
      <c r="D425" s="1469" t="str">
        <f t="shared" si="93"/>
        <v>否</v>
      </c>
      <c r="E425" s="1594" t="s">
        <v>1468</v>
      </c>
      <c r="F425" s="1471"/>
      <c r="G425" s="1471"/>
      <c r="H425" s="1469"/>
      <c r="I425" s="1469"/>
      <c r="J425" s="1469"/>
      <c r="K425" s="1469"/>
      <c r="L425" s="1472"/>
      <c r="N425" s="1539">
        <v>8</v>
      </c>
      <c r="O425" s="1590" t="s">
        <v>1469</v>
      </c>
      <c r="P425" s="1501">
        <f>非流动负总!D14</f>
        <v>0</v>
      </c>
    </row>
    <row r="426" spans="2:24">
      <c r="B426" s="1487">
        <f t="shared" si="84"/>
        <v>423</v>
      </c>
      <c r="C426" s="1488" t="s">
        <v>1470</v>
      </c>
      <c r="D426" s="1487" t="str">
        <f t="shared" si="93"/>
        <v>否</v>
      </c>
      <c r="E426" s="1595"/>
      <c r="F426" s="1489" t="s">
        <v>1471</v>
      </c>
      <c r="G426" s="1489" t="str">
        <f t="shared" si="92"/>
        <v>M45:Q52</v>
      </c>
      <c r="H426" s="1487">
        <v>45</v>
      </c>
      <c r="I426" s="1487">
        <v>13</v>
      </c>
      <c r="J426" s="1487">
        <v>52</v>
      </c>
      <c r="K426" s="1487">
        <v>17</v>
      </c>
      <c r="L426" s="1490"/>
      <c r="N426" s="1542">
        <v>9</v>
      </c>
      <c r="O426" s="1463" t="s">
        <v>1472</v>
      </c>
      <c r="P426" s="1510">
        <f>SUM(P418:P425)</f>
        <v>0</v>
      </c>
    </row>
    <row r="427" ht="12.75" spans="2:24">
      <c r="B427" s="1469">
        <f t="shared" si="84"/>
        <v>424</v>
      </c>
      <c r="C427" s="1470" t="s">
        <v>1473</v>
      </c>
      <c r="D427" s="1469" t="str">
        <f t="shared" si="93"/>
        <v>否</v>
      </c>
      <c r="E427" s="1596" t="s">
        <v>1474</v>
      </c>
      <c r="F427" s="1471"/>
      <c r="G427" s="1471"/>
      <c r="H427" s="1469"/>
      <c r="I427" s="1469"/>
      <c r="J427" s="1469"/>
      <c r="K427" s="1469"/>
      <c r="L427" s="1472"/>
      <c r="N427" s="1544" t="s">
        <v>947</v>
      </c>
      <c r="O427" s="1597" t="s">
        <v>1475</v>
      </c>
      <c r="P427" s="1513">
        <f>SUM(P416,P426)</f>
        <v>0</v>
      </c>
    </row>
    <row r="428" ht="12.75" spans="2:24">
      <c r="B428" s="1469">
        <f t="shared" si="84"/>
        <v>425</v>
      </c>
      <c r="C428" s="1470" t="s">
        <v>1476</v>
      </c>
      <c r="D428" s="1469" t="str">
        <f t="shared" si="93"/>
        <v>否</v>
      </c>
      <c r="E428" s="1518" t="s">
        <v>903</v>
      </c>
      <c r="F428" s="1471"/>
      <c r="G428" s="1471"/>
      <c r="H428" s="1469"/>
      <c r="I428" s="1469"/>
      <c r="J428" s="1469"/>
      <c r="K428" s="1469"/>
      <c r="L428" s="1472"/>
    </row>
    <row r="429" ht="12.75" spans="2:24">
      <c r="B429" s="1487">
        <f t="shared" si="84"/>
        <v>426</v>
      </c>
      <c r="C429" s="1488" t="s">
        <v>1477</v>
      </c>
      <c r="D429" s="1487" t="str">
        <f t="shared" si="93"/>
        <v>否</v>
      </c>
      <c r="E429" s="1546"/>
      <c r="F429" s="1489" t="s">
        <v>1478</v>
      </c>
      <c r="G429" s="1489" t="str">
        <f t="shared" si="92"/>
        <v>A7:L69</v>
      </c>
      <c r="H429" s="1487">
        <v>7</v>
      </c>
      <c r="I429" s="1487">
        <v>1</v>
      </c>
      <c r="J429" s="1487">
        <v>69</v>
      </c>
      <c r="K429" s="1487">
        <v>12</v>
      </c>
      <c r="L429" s="1490"/>
      <c r="N429" s="1456" t="str">
        <f>C357</f>
        <v>合同负债账面值表</v>
      </c>
    </row>
    <row r="430" ht="12.75" spans="2:24">
      <c r="B430" s="1469">
        <f t="shared" si="84"/>
        <v>427</v>
      </c>
      <c r="C430" s="1470" t="s">
        <v>1479</v>
      </c>
      <c r="D430" s="1469" t="str">
        <f t="shared" si="93"/>
        <v>否</v>
      </c>
      <c r="E430" s="1518" t="s">
        <v>903</v>
      </c>
      <c r="F430" s="1471"/>
      <c r="G430" s="1471"/>
      <c r="H430" s="1469"/>
      <c r="I430" s="1469"/>
      <c r="J430" s="1469"/>
      <c r="K430" s="1469"/>
      <c r="L430" s="1472"/>
      <c r="N430" s="1514" t="s">
        <v>521</v>
      </c>
      <c r="O430" s="1587" t="s">
        <v>1418</v>
      </c>
      <c r="P430" s="1588" t="s">
        <v>837</v>
      </c>
      <c r="W430" s="1455"/>
    </row>
    <row r="431" spans="2:24">
      <c r="B431" s="1532">
        <f t="shared" si="84"/>
        <v>428</v>
      </c>
      <c r="C431" s="1533" t="s">
        <v>1480</v>
      </c>
      <c r="D431" s="1532" t="str">
        <f>D35</f>
        <v>是</v>
      </c>
      <c r="E431" s="1505"/>
      <c r="F431" s="1534"/>
      <c r="G431" s="1534"/>
      <c r="H431" s="1532"/>
      <c r="I431" s="1532"/>
      <c r="J431" s="1532"/>
      <c r="K431" s="1532"/>
      <c r="L431" s="1535" t="str">
        <f>L419</f>
        <v>资产基础法、收益法</v>
      </c>
      <c r="N431" s="1539">
        <v>1</v>
      </c>
      <c r="O431" s="1590" t="s">
        <v>1481</v>
      </c>
      <c r="P431" s="1501">
        <f>合同负总!D7</f>
        <v>0</v>
      </c>
      <c r="V431" s="1455"/>
    </row>
    <row r="432" spans="2:24">
      <c r="B432" s="1456"/>
      <c r="C432" s="1456"/>
      <c r="D432" s="1456"/>
      <c r="E432" s="1456"/>
      <c r="F432" s="1456"/>
      <c r="G432" s="1456"/>
      <c r="H432" s="1456"/>
      <c r="I432" s="1456"/>
      <c r="J432" s="1456"/>
      <c r="K432" s="1456"/>
      <c r="N432" s="1539">
        <v>2</v>
      </c>
      <c r="O432" s="1590" t="s">
        <v>1482</v>
      </c>
      <c r="P432" s="1501">
        <f>合同负总!D8</f>
        <v>0</v>
      </c>
    </row>
    <row r="433" ht="12.75" spans="2:21">
      <c r="B433" s="1456"/>
      <c r="C433" s="1456"/>
      <c r="D433" s="1456"/>
      <c r="E433" s="1456"/>
      <c r="F433" s="1456"/>
      <c r="G433" s="1456"/>
      <c r="H433" s="1456"/>
      <c r="I433" s="1456"/>
      <c r="J433" s="1456"/>
      <c r="K433" s="1456"/>
      <c r="N433" s="1544">
        <v>3</v>
      </c>
      <c r="O433" s="1597" t="s">
        <v>1483</v>
      </c>
      <c r="P433" s="1513">
        <f>SUM(P431:P432)</f>
        <v>0</v>
      </c>
    </row>
    <row r="434" ht="12.75" spans="2:21">
      <c r="B434" s="1456"/>
      <c r="C434" s="1456"/>
      <c r="D434" s="1456"/>
      <c r="E434" s="1456"/>
      <c r="F434" s="1456"/>
      <c r="G434" s="1456"/>
      <c r="H434" s="1456"/>
      <c r="I434" s="1456"/>
      <c r="J434" s="1456"/>
      <c r="K434" s="1456"/>
    </row>
    <row r="435" ht="12.75" spans="2:21">
      <c r="B435" s="1456"/>
      <c r="C435" s="1456"/>
      <c r="D435" s="1456"/>
      <c r="E435" s="1456"/>
      <c r="F435" s="1456"/>
      <c r="G435" s="1456"/>
      <c r="H435" s="1456"/>
      <c r="I435" s="1456"/>
      <c r="J435" s="1456"/>
      <c r="K435" s="1456"/>
      <c r="N435" s="1456" t="str">
        <f>C362</f>
        <v>合同负债评估结果表</v>
      </c>
    </row>
    <row r="436" ht="12.75" spans="2:21">
      <c r="B436" s="1456"/>
      <c r="C436" s="1456"/>
      <c r="D436" s="1456"/>
      <c r="E436" s="1456"/>
      <c r="F436" s="1456"/>
      <c r="G436" s="1456"/>
      <c r="H436" s="1456"/>
      <c r="I436" s="1456"/>
      <c r="J436" s="1456"/>
      <c r="K436" s="1456"/>
      <c r="N436" s="1514" t="s">
        <v>521</v>
      </c>
      <c r="O436" s="1587" t="s">
        <v>1418</v>
      </c>
      <c r="P436" s="1587" t="s">
        <v>837</v>
      </c>
      <c r="Q436" s="1547" t="s">
        <v>1390</v>
      </c>
      <c r="R436" s="1547" t="s">
        <v>838</v>
      </c>
      <c r="S436" s="1548" t="s">
        <v>1058</v>
      </c>
    </row>
    <row r="437" spans="2:21">
      <c r="B437" s="1456"/>
      <c r="C437" s="1456"/>
      <c r="D437" s="1456"/>
      <c r="E437" s="1456"/>
      <c r="F437" s="1456"/>
      <c r="G437" s="1456"/>
      <c r="H437" s="1456"/>
      <c r="I437" s="1456"/>
      <c r="J437" s="1456"/>
      <c r="K437" s="1456"/>
      <c r="N437" s="1539">
        <v>1</v>
      </c>
      <c r="O437" s="1590" t="s">
        <v>1481</v>
      </c>
      <c r="P437" s="1482">
        <f>P431</f>
        <v>0</v>
      </c>
      <c r="Q437" s="1482">
        <f>合同负总!E7</f>
        <v>0</v>
      </c>
      <c r="R437" s="1482">
        <f t="shared" ref="R437:R439" si="94">Q437-P437</f>
        <v>0</v>
      </c>
      <c r="S437" s="1501" t="str">
        <f t="shared" ref="S437:S439" si="95">IFERROR(R437/P437*100,"")</f>
        <v/>
      </c>
    </row>
    <row r="438" spans="2:21">
      <c r="B438" s="1456"/>
      <c r="C438" s="1456"/>
      <c r="D438" s="1456"/>
      <c r="E438" s="1456"/>
      <c r="F438" s="1456"/>
      <c r="G438" s="1456"/>
      <c r="H438" s="1456"/>
      <c r="I438" s="1456"/>
      <c r="J438" s="1456"/>
      <c r="K438" s="1456"/>
      <c r="N438" s="1539">
        <v>2</v>
      </c>
      <c r="O438" s="1590" t="s">
        <v>1482</v>
      </c>
      <c r="P438" s="1482">
        <f>P432</f>
        <v>0</v>
      </c>
      <c r="Q438" s="1482">
        <f>合同负总!E8</f>
        <v>0</v>
      </c>
      <c r="R438" s="1482">
        <f t="shared" si="94"/>
        <v>0</v>
      </c>
      <c r="S438" s="1501" t="str">
        <f t="shared" si="95"/>
        <v/>
      </c>
    </row>
    <row r="439" ht="12.75" spans="2:21">
      <c r="B439" s="1456"/>
      <c r="C439" s="1456"/>
      <c r="D439" s="1456"/>
      <c r="E439" s="1456"/>
      <c r="F439" s="1456"/>
      <c r="G439" s="1456"/>
      <c r="H439" s="1456"/>
      <c r="I439" s="1456"/>
      <c r="J439" s="1456"/>
      <c r="K439" s="1456"/>
      <c r="N439" s="1544">
        <v>3</v>
      </c>
      <c r="O439" s="1597" t="s">
        <v>1483</v>
      </c>
      <c r="P439" s="1512">
        <f>SUM(P437:P438)</f>
        <v>0</v>
      </c>
      <c r="Q439" s="1512">
        <f>SUM(Q437:Q438)</f>
        <v>0</v>
      </c>
      <c r="R439" s="1512">
        <f t="shared" si="94"/>
        <v>0</v>
      </c>
      <c r="S439" s="1513" t="str">
        <f t="shared" si="95"/>
        <v/>
      </c>
    </row>
    <row r="440" ht="12.75" spans="2:21">
      <c r="B440" s="1456"/>
      <c r="C440" s="1456"/>
      <c r="D440" s="1456"/>
      <c r="E440" s="1456"/>
      <c r="F440" s="1456"/>
      <c r="G440" s="1456"/>
      <c r="H440" s="1456"/>
      <c r="I440" s="1456"/>
      <c r="J440" s="1456"/>
      <c r="K440" s="1456"/>
      <c r="T440" s="1455"/>
      <c r="U440" s="1455"/>
    </row>
    <row r="441" ht="12.75" spans="2:21">
      <c r="B441" s="1456"/>
      <c r="C441" s="1456"/>
      <c r="D441" s="1456"/>
      <c r="E441" s="1456"/>
      <c r="F441" s="1456"/>
      <c r="G441" s="1456"/>
      <c r="H441" s="1456"/>
      <c r="I441" s="1456"/>
      <c r="J441" s="1456"/>
      <c r="K441" s="1456"/>
      <c r="N441" s="1456" t="str">
        <f>C371</f>
        <v>其他应付款账面值表</v>
      </c>
      <c r="T441" s="1455"/>
      <c r="U441" s="1455"/>
    </row>
    <row r="442" ht="12.75" spans="2:21">
      <c r="B442" s="1456"/>
      <c r="C442" s="1456"/>
      <c r="D442" s="1456"/>
      <c r="E442" s="1456"/>
      <c r="F442" s="1456"/>
      <c r="G442" s="1456"/>
      <c r="H442" s="1456"/>
      <c r="I442" s="1456"/>
      <c r="J442" s="1456"/>
      <c r="K442" s="1456"/>
      <c r="N442" s="1514" t="s">
        <v>521</v>
      </c>
      <c r="O442" s="1587" t="s">
        <v>1418</v>
      </c>
      <c r="P442" s="1588" t="s">
        <v>837</v>
      </c>
      <c r="T442" s="1455"/>
      <c r="U442" s="1455"/>
    </row>
    <row r="443" spans="2:21">
      <c r="B443" s="1456"/>
      <c r="C443" s="1456"/>
      <c r="D443" s="1456"/>
      <c r="E443" s="1456"/>
      <c r="F443" s="1456"/>
      <c r="G443" s="1456"/>
      <c r="H443" s="1456"/>
      <c r="I443" s="1456"/>
      <c r="J443" s="1456"/>
      <c r="K443" s="1456"/>
      <c r="N443" s="1539">
        <v>1</v>
      </c>
      <c r="O443" s="1590" t="s">
        <v>1484</v>
      </c>
      <c r="P443" s="1501">
        <f>其他应付总!D7</f>
        <v>0</v>
      </c>
      <c r="T443" s="1455"/>
      <c r="U443" s="1455"/>
    </row>
    <row r="444" spans="2:21">
      <c r="B444" s="1456"/>
      <c r="C444" s="1456"/>
      <c r="D444" s="1456"/>
      <c r="E444" s="1456"/>
      <c r="F444" s="1456"/>
      <c r="G444" s="1456"/>
      <c r="H444" s="1456"/>
      <c r="I444" s="1456"/>
      <c r="J444" s="1456"/>
      <c r="K444" s="1456"/>
      <c r="N444" s="1539">
        <v>2</v>
      </c>
      <c r="O444" s="1590" t="s">
        <v>1485</v>
      </c>
      <c r="P444" s="1501">
        <f>其他应付总!D8</f>
        <v>0</v>
      </c>
      <c r="T444" s="1455"/>
      <c r="U444" s="1455"/>
    </row>
    <row r="445" spans="2:21">
      <c r="B445" s="1456"/>
      <c r="C445" s="1456"/>
      <c r="D445" s="1456"/>
      <c r="E445" s="1456"/>
      <c r="F445" s="1456"/>
      <c r="G445" s="1456"/>
      <c r="H445" s="1456"/>
      <c r="I445" s="1456"/>
      <c r="J445" s="1456"/>
      <c r="K445" s="1456"/>
      <c r="N445" s="1539">
        <v>3</v>
      </c>
      <c r="O445" s="1590" t="s">
        <v>1486</v>
      </c>
      <c r="P445" s="1501">
        <f>其他应付总!D9</f>
        <v>0</v>
      </c>
      <c r="T445" s="1455"/>
      <c r="U445" s="1455"/>
    </row>
    <row r="446" ht="12.75" spans="2:21">
      <c r="B446" s="1456"/>
      <c r="C446" s="1456"/>
      <c r="D446" s="1456"/>
      <c r="E446" s="1456"/>
      <c r="F446" s="1456"/>
      <c r="G446" s="1456"/>
      <c r="H446" s="1456"/>
      <c r="I446" s="1456"/>
      <c r="J446" s="1456"/>
      <c r="K446" s="1456"/>
      <c r="N446" s="1544">
        <v>4</v>
      </c>
      <c r="O446" s="1597" t="s">
        <v>1449</v>
      </c>
      <c r="P446" s="1513">
        <f>SUM(P443:P445)</f>
        <v>0</v>
      </c>
      <c r="T446" s="1455"/>
      <c r="U446" s="1455"/>
    </row>
    <row r="447" ht="12.75" spans="2:21">
      <c r="B447" s="1456"/>
      <c r="C447" s="1456"/>
      <c r="D447" s="1456"/>
      <c r="E447" s="1456"/>
      <c r="F447" s="1456"/>
      <c r="G447" s="1456"/>
      <c r="H447" s="1456"/>
      <c r="I447" s="1456"/>
      <c r="J447" s="1456"/>
      <c r="K447" s="1456"/>
      <c r="T447" s="1455"/>
      <c r="U447" s="1455"/>
    </row>
    <row r="448" ht="12.75" spans="2:21">
      <c r="B448" s="1456"/>
      <c r="C448" s="1456"/>
      <c r="D448" s="1456"/>
      <c r="E448" s="1456"/>
      <c r="F448" s="1456"/>
      <c r="G448" s="1456"/>
      <c r="H448" s="1456"/>
      <c r="I448" s="1456"/>
      <c r="J448" s="1456"/>
      <c r="K448" s="1456"/>
      <c r="N448" s="1456" t="str">
        <f>C378</f>
        <v>其他应付款评估结果表</v>
      </c>
      <c r="O448" s="1455"/>
      <c r="P448" s="1455"/>
      <c r="Q448" s="1455"/>
      <c r="R448" s="1455"/>
      <c r="S448" s="1455"/>
    </row>
    <row r="449" ht="12.75" spans="2:19">
      <c r="B449" s="1456"/>
      <c r="C449" s="1456"/>
      <c r="D449" s="1456"/>
      <c r="E449" s="1456"/>
      <c r="F449" s="1456"/>
      <c r="G449" s="1456"/>
      <c r="H449" s="1456"/>
      <c r="I449" s="1456"/>
      <c r="J449" s="1456"/>
      <c r="K449" s="1456"/>
      <c r="N449" s="1514" t="s">
        <v>521</v>
      </c>
      <c r="O449" s="1587" t="s">
        <v>1418</v>
      </c>
      <c r="P449" s="1587" t="s">
        <v>837</v>
      </c>
      <c r="Q449" s="1547" t="s">
        <v>1390</v>
      </c>
      <c r="R449" s="1547" t="s">
        <v>838</v>
      </c>
      <c r="S449" s="1548" t="s">
        <v>1058</v>
      </c>
    </row>
    <row r="450" spans="2:19">
      <c r="B450" s="1456"/>
      <c r="C450" s="1456"/>
      <c r="D450" s="1456"/>
      <c r="E450" s="1456"/>
      <c r="F450" s="1456"/>
      <c r="G450" s="1456"/>
      <c r="H450" s="1456"/>
      <c r="I450" s="1456"/>
      <c r="J450" s="1456"/>
      <c r="K450" s="1456"/>
      <c r="N450" s="1539">
        <v>1</v>
      </c>
      <c r="O450" s="1590" t="s">
        <v>1484</v>
      </c>
      <c r="P450" s="1482">
        <f>P443</f>
        <v>0</v>
      </c>
      <c r="Q450" s="1482">
        <f>其他应付总!E7</f>
        <v>0</v>
      </c>
      <c r="R450" s="1482">
        <f t="shared" ref="R450:R451" si="96">Q450-P450</f>
        <v>0</v>
      </c>
      <c r="S450" s="1501" t="str">
        <f t="shared" ref="S450:S451" si="97">IFERROR(R450/P450*100,"")</f>
        <v/>
      </c>
    </row>
    <row r="451" spans="2:19">
      <c r="B451" s="1456"/>
      <c r="C451" s="1456"/>
      <c r="D451" s="1456"/>
      <c r="E451" s="1456"/>
      <c r="F451" s="1456"/>
      <c r="G451" s="1456"/>
      <c r="H451" s="1456"/>
      <c r="I451" s="1456"/>
      <c r="J451" s="1456"/>
      <c r="K451" s="1456"/>
      <c r="N451" s="1539">
        <v>2</v>
      </c>
      <c r="O451" s="1590" t="s">
        <v>1485</v>
      </c>
      <c r="P451" s="1482">
        <f t="shared" ref="P451:P452" si="98">P444</f>
        <v>0</v>
      </c>
      <c r="Q451" s="1482">
        <f>其他应付总!E8</f>
        <v>0</v>
      </c>
      <c r="R451" s="1482">
        <f t="shared" si="96"/>
        <v>0</v>
      </c>
      <c r="S451" s="1501" t="str">
        <f t="shared" si="97"/>
        <v/>
      </c>
    </row>
    <row r="452" spans="2:19">
      <c r="B452" s="1456"/>
      <c r="C452" s="1456"/>
      <c r="D452" s="1456"/>
      <c r="E452" s="1456"/>
      <c r="F452" s="1456"/>
      <c r="G452" s="1456"/>
      <c r="H452" s="1456"/>
      <c r="I452" s="1456"/>
      <c r="J452" s="1456"/>
      <c r="K452" s="1456"/>
      <c r="N452" s="1539">
        <v>3</v>
      </c>
      <c r="O452" s="1590" t="s">
        <v>1486</v>
      </c>
      <c r="P452" s="1482">
        <f t="shared" si="98"/>
        <v>0</v>
      </c>
      <c r="Q452" s="1482">
        <f>其他应付总!E9</f>
        <v>0</v>
      </c>
      <c r="R452" s="1482">
        <f t="shared" ref="R452" si="99">Q452-P452</f>
        <v>0</v>
      </c>
      <c r="S452" s="1501" t="str">
        <f t="shared" ref="S452" si="100">IFERROR(R452/P452*100,"")</f>
        <v/>
      </c>
    </row>
    <row r="453" ht="12.75" spans="2:19">
      <c r="B453" s="1456"/>
      <c r="C453" s="1456"/>
      <c r="D453" s="1456"/>
      <c r="E453" s="1456"/>
      <c r="F453" s="1456"/>
      <c r="G453" s="1456"/>
      <c r="H453" s="1456"/>
      <c r="I453" s="1456"/>
      <c r="J453" s="1456"/>
      <c r="K453" s="1456"/>
      <c r="N453" s="1544">
        <v>4</v>
      </c>
      <c r="O453" s="1597" t="s">
        <v>1449</v>
      </c>
      <c r="P453" s="1512">
        <f>SUM(P450:P452)</f>
        <v>0</v>
      </c>
      <c r="Q453" s="1512">
        <f t="shared" ref="Q453" si="101">SUM(Q450:Q452)</f>
        <v>0</v>
      </c>
      <c r="R453" s="1512">
        <f t="shared" ref="R453" si="102">Q453-P453</f>
        <v>0</v>
      </c>
      <c r="S453" s="1513" t="str">
        <f t="shared" ref="S453" si="103">IFERROR(R453/P453*100,"")</f>
        <v/>
      </c>
    </row>
    <row r="454" ht="12.75" spans="2:19">
      <c r="B454" s="1456"/>
      <c r="C454" s="1456"/>
      <c r="D454" s="1456"/>
      <c r="E454" s="1456"/>
      <c r="F454" s="1456"/>
      <c r="G454" s="1456"/>
      <c r="H454" s="1456"/>
      <c r="I454" s="1456"/>
      <c r="J454" s="1456"/>
      <c r="K454" s="1456"/>
    </row>
    <row r="455" ht="12.75" spans="2:19">
      <c r="B455" s="1456"/>
      <c r="C455" s="1456"/>
      <c r="D455" s="1456"/>
      <c r="E455" s="1456"/>
      <c r="F455" s="1456"/>
      <c r="G455" s="1456"/>
      <c r="H455" s="1456"/>
      <c r="I455" s="1456"/>
      <c r="J455" s="1456"/>
      <c r="K455" s="1456"/>
      <c r="N455" s="1456" t="str">
        <f>C416</f>
        <v>负债评估结果表</v>
      </c>
    </row>
    <row r="456" ht="12.75" spans="2:19">
      <c r="B456" s="1456"/>
      <c r="C456" s="1456"/>
      <c r="D456" s="1456"/>
      <c r="E456" s="1456"/>
      <c r="F456" s="1456"/>
      <c r="G456" s="1456"/>
      <c r="H456" s="1456"/>
      <c r="I456" s="1456"/>
      <c r="J456" s="1456"/>
      <c r="K456" s="1456"/>
      <c r="N456" s="1514" t="s">
        <v>521</v>
      </c>
      <c r="O456" s="1587" t="s">
        <v>1418</v>
      </c>
      <c r="P456" s="1587" t="s">
        <v>837</v>
      </c>
      <c r="Q456" s="1547" t="s">
        <v>1390</v>
      </c>
      <c r="R456" s="1547" t="s">
        <v>838</v>
      </c>
      <c r="S456" s="1548" t="s">
        <v>1058</v>
      </c>
    </row>
    <row r="457" spans="2:19">
      <c r="B457" s="1456"/>
      <c r="C457" s="1456"/>
      <c r="D457" s="1456"/>
      <c r="E457" s="1456"/>
      <c r="F457" s="1456"/>
      <c r="G457" s="1456"/>
      <c r="H457" s="1456"/>
      <c r="I457" s="1456"/>
      <c r="J457" s="1456"/>
      <c r="K457" s="1456"/>
      <c r="N457" s="1542" t="s">
        <v>1420</v>
      </c>
      <c r="O457" s="1589" t="s">
        <v>1421</v>
      </c>
      <c r="P457" s="1509"/>
      <c r="Q457" s="1482"/>
      <c r="R457" s="1482"/>
      <c r="S457" s="1501"/>
    </row>
    <row r="458" spans="2:19">
      <c r="B458" s="1456"/>
      <c r="C458" s="1456"/>
      <c r="D458" s="1456"/>
      <c r="E458" s="1456"/>
      <c r="F458" s="1456"/>
      <c r="G458" s="1456"/>
      <c r="H458" s="1456"/>
      <c r="I458" s="1456"/>
      <c r="J458" s="1456"/>
      <c r="K458" s="1456"/>
      <c r="N458" s="1539">
        <v>1</v>
      </c>
      <c r="O458" s="1590" t="s">
        <v>1423</v>
      </c>
      <c r="P458" s="1482">
        <f>P403</f>
        <v>0</v>
      </c>
      <c r="Q458" s="1482">
        <f>流动负总!E7</f>
        <v>0</v>
      </c>
      <c r="R458" s="1482">
        <f t="shared" ref="R458" si="104">Q458-P458</f>
        <v>0</v>
      </c>
      <c r="S458" s="1501" t="str">
        <f t="shared" ref="S458" si="105">IFERROR(R458/P458*100,"")</f>
        <v/>
      </c>
    </row>
    <row r="459" spans="2:19">
      <c r="B459" s="1456"/>
      <c r="C459" s="1456"/>
      <c r="D459" s="1456"/>
      <c r="E459" s="1456"/>
      <c r="F459" s="1456"/>
      <c r="G459" s="1456"/>
      <c r="H459" s="1456"/>
      <c r="I459" s="1456"/>
      <c r="J459" s="1456"/>
      <c r="K459" s="1456"/>
      <c r="N459" s="1539">
        <v>2</v>
      </c>
      <c r="O459" s="1590" t="s">
        <v>1425</v>
      </c>
      <c r="P459" s="1482">
        <f t="shared" ref="P459:P470" si="106">P404</f>
        <v>0</v>
      </c>
      <c r="Q459" s="1482">
        <f>SUM(流动负总!E8:E9)</f>
        <v>0</v>
      </c>
      <c r="R459" s="1482">
        <f t="shared" ref="R459:R482" si="107">Q459-P459</f>
        <v>0</v>
      </c>
      <c r="S459" s="1501" t="str">
        <f t="shared" ref="S459:S482" si="108">IFERROR(R459/P459*100,"")</f>
        <v/>
      </c>
    </row>
    <row r="460" spans="2:19">
      <c r="B460" s="1456"/>
      <c r="C460" s="1456"/>
      <c r="D460" s="1456"/>
      <c r="E460" s="1456"/>
      <c r="F460" s="1456"/>
      <c r="G460" s="1456"/>
      <c r="H460" s="1456"/>
      <c r="I460" s="1456"/>
      <c r="J460" s="1456"/>
      <c r="K460" s="1456"/>
      <c r="N460" s="1539">
        <v>3</v>
      </c>
      <c r="O460" s="1590" t="s">
        <v>1427</v>
      </c>
      <c r="P460" s="1482">
        <f t="shared" si="106"/>
        <v>0</v>
      </c>
      <c r="Q460" s="1482">
        <f>流动负总!E10</f>
        <v>0</v>
      </c>
      <c r="R460" s="1482">
        <f t="shared" si="107"/>
        <v>0</v>
      </c>
      <c r="S460" s="1501" t="str">
        <f t="shared" si="108"/>
        <v/>
      </c>
    </row>
    <row r="461" spans="2:19">
      <c r="B461" s="1456"/>
      <c r="C461" s="1456"/>
      <c r="D461" s="1456"/>
      <c r="E461" s="1456"/>
      <c r="F461" s="1456"/>
      <c r="G461" s="1456"/>
      <c r="H461" s="1456"/>
      <c r="I461" s="1456"/>
      <c r="J461" s="1456"/>
      <c r="K461" s="1456"/>
      <c r="N461" s="1539">
        <v>4</v>
      </c>
      <c r="O461" s="1590" t="s">
        <v>1429</v>
      </c>
      <c r="P461" s="1482">
        <f t="shared" si="106"/>
        <v>0</v>
      </c>
      <c r="Q461" s="1482">
        <f>流动负总!E11</f>
        <v>0</v>
      </c>
      <c r="R461" s="1482">
        <f t="shared" si="107"/>
        <v>0</v>
      </c>
      <c r="S461" s="1501" t="str">
        <f t="shared" si="108"/>
        <v/>
      </c>
    </row>
    <row r="462" spans="2:19">
      <c r="B462" s="1456"/>
      <c r="C462" s="1456"/>
      <c r="D462" s="1456"/>
      <c r="E462" s="1456"/>
      <c r="F462" s="1456"/>
      <c r="G462" s="1456"/>
      <c r="H462" s="1456"/>
      <c r="I462" s="1456"/>
      <c r="J462" s="1456"/>
      <c r="K462" s="1456"/>
      <c r="N462" s="1539">
        <v>5</v>
      </c>
      <c r="O462" s="1590" t="s">
        <v>1431</v>
      </c>
      <c r="P462" s="1482">
        <f t="shared" si="106"/>
        <v>0</v>
      </c>
      <c r="Q462" s="1482">
        <f>流动负总!E12</f>
        <v>0</v>
      </c>
      <c r="R462" s="1482">
        <f t="shared" si="107"/>
        <v>0</v>
      </c>
      <c r="S462" s="1501" t="str">
        <f t="shared" si="108"/>
        <v/>
      </c>
    </row>
    <row r="463" spans="2:19">
      <c r="B463" s="1456"/>
      <c r="C463" s="1456"/>
      <c r="D463" s="1456"/>
      <c r="E463" s="1456"/>
      <c r="F463" s="1456"/>
      <c r="G463" s="1456"/>
      <c r="H463" s="1456"/>
      <c r="I463" s="1456"/>
      <c r="J463" s="1456"/>
      <c r="K463" s="1456"/>
      <c r="N463" s="1539">
        <v>6</v>
      </c>
      <c r="O463" s="1590" t="s">
        <v>1433</v>
      </c>
      <c r="P463" s="1482">
        <f t="shared" si="106"/>
        <v>0</v>
      </c>
      <c r="Q463" s="1482">
        <f>流动负总!E13</f>
        <v>0</v>
      </c>
      <c r="R463" s="1482">
        <f t="shared" si="107"/>
        <v>0</v>
      </c>
      <c r="S463" s="1501" t="str">
        <f t="shared" si="108"/>
        <v/>
      </c>
    </row>
    <row r="464" spans="2:19">
      <c r="B464" s="1456"/>
      <c r="C464" s="1456"/>
      <c r="D464" s="1456"/>
      <c r="E464" s="1456"/>
      <c r="F464" s="1456"/>
      <c r="G464" s="1456"/>
      <c r="H464" s="1456"/>
      <c r="I464" s="1456"/>
      <c r="J464" s="1456"/>
      <c r="K464" s="1456"/>
      <c r="N464" s="1539">
        <v>7</v>
      </c>
      <c r="O464" s="1590" t="s">
        <v>1435</v>
      </c>
      <c r="P464" s="1482">
        <f t="shared" si="106"/>
        <v>0</v>
      </c>
      <c r="Q464" s="1482">
        <f>流动负总!E14</f>
        <v>0</v>
      </c>
      <c r="R464" s="1482">
        <f t="shared" si="107"/>
        <v>0</v>
      </c>
      <c r="S464" s="1501" t="str">
        <f t="shared" si="108"/>
        <v/>
      </c>
    </row>
    <row r="465" spans="2:19">
      <c r="B465" s="1456"/>
      <c r="C465" s="1456"/>
      <c r="D465" s="1456"/>
      <c r="E465" s="1456"/>
      <c r="F465" s="1456"/>
      <c r="G465" s="1456"/>
      <c r="H465" s="1456"/>
      <c r="I465" s="1456"/>
      <c r="J465" s="1456"/>
      <c r="K465" s="1456"/>
      <c r="N465" s="1539">
        <v>8</v>
      </c>
      <c r="O465" s="1590" t="s">
        <v>1437</v>
      </c>
      <c r="P465" s="1482">
        <f t="shared" si="106"/>
        <v>0</v>
      </c>
      <c r="Q465" s="1482">
        <f>流动负总!E15</f>
        <v>0</v>
      </c>
      <c r="R465" s="1482">
        <f t="shared" si="107"/>
        <v>0</v>
      </c>
      <c r="S465" s="1501" t="str">
        <f t="shared" si="108"/>
        <v/>
      </c>
    </row>
    <row r="466" spans="2:19">
      <c r="B466" s="1456"/>
      <c r="C466" s="1456"/>
      <c r="D466" s="1456"/>
      <c r="E466" s="1456"/>
      <c r="F466" s="1456"/>
      <c r="G466" s="1456"/>
      <c r="H466" s="1456"/>
      <c r="I466" s="1456"/>
      <c r="J466" s="1456"/>
      <c r="K466" s="1456"/>
      <c r="N466" s="1539">
        <v>9</v>
      </c>
      <c r="O466" s="1590" t="s">
        <v>1439</v>
      </c>
      <c r="P466" s="1482">
        <f t="shared" si="106"/>
        <v>0</v>
      </c>
      <c r="Q466" s="1482">
        <f>流动负总!E16</f>
        <v>0</v>
      </c>
      <c r="R466" s="1482">
        <f t="shared" si="107"/>
        <v>0</v>
      </c>
      <c r="S466" s="1501" t="str">
        <f t="shared" si="108"/>
        <v/>
      </c>
    </row>
    <row r="467" spans="2:19">
      <c r="B467" s="1456"/>
      <c r="C467" s="1456"/>
      <c r="D467" s="1456"/>
      <c r="E467" s="1456"/>
      <c r="F467" s="1456"/>
      <c r="G467" s="1456"/>
      <c r="H467" s="1456"/>
      <c r="I467" s="1456"/>
      <c r="J467" s="1456"/>
      <c r="K467" s="1456"/>
      <c r="N467" s="1539">
        <v>10</v>
      </c>
      <c r="O467" s="1590" t="s">
        <v>1441</v>
      </c>
      <c r="P467" s="1482">
        <f t="shared" si="106"/>
        <v>0</v>
      </c>
      <c r="Q467" s="1482">
        <f>流动负总!E17</f>
        <v>0</v>
      </c>
      <c r="R467" s="1482">
        <f t="shared" si="107"/>
        <v>0</v>
      </c>
      <c r="S467" s="1501" t="str">
        <f t="shared" si="108"/>
        <v/>
      </c>
    </row>
    <row r="468" spans="2:19">
      <c r="B468" s="1456"/>
      <c r="C468" s="1456"/>
      <c r="D468" s="1456"/>
      <c r="E468" s="1456"/>
      <c r="F468" s="1456"/>
      <c r="G468" s="1456"/>
      <c r="H468" s="1456"/>
      <c r="I468" s="1456"/>
      <c r="J468" s="1456"/>
      <c r="K468" s="1456"/>
      <c r="N468" s="1539">
        <v>11</v>
      </c>
      <c r="O468" s="1590" t="s">
        <v>1443</v>
      </c>
      <c r="P468" s="1482">
        <f t="shared" si="106"/>
        <v>0</v>
      </c>
      <c r="Q468" s="1482">
        <f>流动负总!E18</f>
        <v>0</v>
      </c>
      <c r="R468" s="1482">
        <f t="shared" ref="R468" si="109">Q468-P468</f>
        <v>0</v>
      </c>
      <c r="S468" s="1501" t="str">
        <f t="shared" ref="S468" si="110">IFERROR(R468/P468*100,"")</f>
        <v/>
      </c>
    </row>
    <row r="469" spans="2:19">
      <c r="B469" s="1456"/>
      <c r="C469" s="1456"/>
      <c r="D469" s="1456"/>
      <c r="E469" s="1456"/>
      <c r="F469" s="1456"/>
      <c r="G469" s="1456"/>
      <c r="H469" s="1456"/>
      <c r="I469" s="1456"/>
      <c r="J469" s="1456"/>
      <c r="K469" s="1456"/>
      <c r="N469" s="1539">
        <v>12</v>
      </c>
      <c r="O469" s="1590" t="s">
        <v>1445</v>
      </c>
      <c r="P469" s="1482">
        <f t="shared" si="106"/>
        <v>0</v>
      </c>
      <c r="Q469" s="1482">
        <f>流动负总!E19</f>
        <v>0</v>
      </c>
      <c r="R469" s="1482">
        <f t="shared" si="107"/>
        <v>0</v>
      </c>
      <c r="S469" s="1501" t="str">
        <f t="shared" si="108"/>
        <v/>
      </c>
    </row>
    <row r="470" spans="2:19">
      <c r="B470" s="1456"/>
      <c r="C470" s="1456"/>
      <c r="D470" s="1456"/>
      <c r="E470" s="1456"/>
      <c r="F470" s="1456"/>
      <c r="G470" s="1456"/>
      <c r="H470" s="1456"/>
      <c r="I470" s="1456"/>
      <c r="J470" s="1456"/>
      <c r="K470" s="1456"/>
      <c r="N470" s="1539">
        <v>13</v>
      </c>
      <c r="O470" s="1590" t="s">
        <v>1447</v>
      </c>
      <c r="P470" s="1482">
        <f t="shared" si="106"/>
        <v>0</v>
      </c>
      <c r="Q470" s="1482">
        <f>流动负总!E20</f>
        <v>0</v>
      </c>
      <c r="R470" s="1482">
        <f t="shared" si="107"/>
        <v>0</v>
      </c>
      <c r="S470" s="1501" t="str">
        <f t="shared" si="108"/>
        <v/>
      </c>
    </row>
    <row r="471" spans="2:19">
      <c r="B471" s="1456"/>
      <c r="C471" s="1456"/>
      <c r="D471" s="1456"/>
      <c r="E471" s="1456"/>
      <c r="F471" s="1456"/>
      <c r="G471" s="1456"/>
      <c r="H471" s="1456"/>
      <c r="I471" s="1456"/>
      <c r="J471" s="1456"/>
      <c r="K471" s="1456"/>
      <c r="N471" s="1542">
        <v>14</v>
      </c>
      <c r="O471" s="1463" t="s">
        <v>1449</v>
      </c>
      <c r="P471" s="1509">
        <f>SUM(P458:P470)</f>
        <v>0</v>
      </c>
      <c r="Q471" s="1509">
        <f>SUM(Q458:Q470)</f>
        <v>0</v>
      </c>
      <c r="R471" s="1509">
        <f t="shared" si="107"/>
        <v>0</v>
      </c>
      <c r="S471" s="1510" t="str">
        <f t="shared" si="108"/>
        <v/>
      </c>
    </row>
    <row r="472" spans="2:19">
      <c r="B472" s="1456"/>
      <c r="C472" s="1456"/>
      <c r="D472" s="1456"/>
      <c r="E472" s="1456"/>
      <c r="F472" s="1456"/>
      <c r="G472" s="1456"/>
      <c r="H472" s="1456"/>
      <c r="I472" s="1456"/>
      <c r="J472" s="1456"/>
      <c r="K472" s="1456"/>
      <c r="N472" s="1542" t="s">
        <v>1451</v>
      </c>
      <c r="O472" s="1589" t="s">
        <v>1452</v>
      </c>
      <c r="P472" s="1509"/>
      <c r="Q472" s="1482"/>
      <c r="R472" s="1482"/>
      <c r="S472" s="1501"/>
    </row>
    <row r="473" spans="2:19">
      <c r="B473" s="1456"/>
      <c r="C473" s="1456"/>
      <c r="D473" s="1456"/>
      <c r="E473" s="1456"/>
      <c r="F473" s="1456"/>
      <c r="G473" s="1456"/>
      <c r="H473" s="1456"/>
      <c r="I473" s="1456"/>
      <c r="J473" s="1456"/>
      <c r="K473" s="1456"/>
      <c r="N473" s="1539">
        <v>1</v>
      </c>
      <c r="O473" s="1590" t="s">
        <v>1454</v>
      </c>
      <c r="P473" s="1482">
        <f t="shared" ref="P473:P480" si="111">P418</f>
        <v>0</v>
      </c>
      <c r="Q473" s="1482">
        <f>非流动负总!E7</f>
        <v>0</v>
      </c>
      <c r="R473" s="1482">
        <f t="shared" si="107"/>
        <v>0</v>
      </c>
      <c r="S473" s="1501" t="str">
        <f t="shared" si="108"/>
        <v/>
      </c>
    </row>
    <row r="474" spans="2:19">
      <c r="B474" s="1456"/>
      <c r="C474" s="1456"/>
      <c r="D474" s="1456"/>
      <c r="E474" s="1456"/>
      <c r="F474" s="1456"/>
      <c r="G474" s="1456"/>
      <c r="H474" s="1456"/>
      <c r="I474" s="1456"/>
      <c r="J474" s="1456"/>
      <c r="K474" s="1456"/>
      <c r="N474" s="1539">
        <v>2</v>
      </c>
      <c r="O474" s="1590" t="s">
        <v>1456</v>
      </c>
      <c r="P474" s="1482">
        <f t="shared" si="111"/>
        <v>0</v>
      </c>
      <c r="Q474" s="1482">
        <f>非流动负总!E8</f>
        <v>0</v>
      </c>
      <c r="R474" s="1482">
        <f t="shared" si="107"/>
        <v>0</v>
      </c>
      <c r="S474" s="1501" t="str">
        <f t="shared" si="108"/>
        <v/>
      </c>
    </row>
    <row r="475" spans="2:19">
      <c r="B475" s="1456"/>
      <c r="C475" s="1456"/>
      <c r="D475" s="1456"/>
      <c r="E475" s="1456"/>
      <c r="F475" s="1456"/>
      <c r="G475" s="1456"/>
      <c r="H475" s="1456"/>
      <c r="I475" s="1456"/>
      <c r="J475" s="1456"/>
      <c r="K475" s="1456"/>
      <c r="N475" s="1539">
        <v>3</v>
      </c>
      <c r="O475" s="1590" t="s">
        <v>1458</v>
      </c>
      <c r="P475" s="1482">
        <f t="shared" si="111"/>
        <v>0</v>
      </c>
      <c r="Q475" s="1482">
        <f>非流动负总!E9</f>
        <v>0</v>
      </c>
      <c r="R475" s="1482">
        <f t="shared" si="107"/>
        <v>0</v>
      </c>
      <c r="S475" s="1501" t="str">
        <f t="shared" si="108"/>
        <v/>
      </c>
    </row>
    <row r="476" spans="2:19">
      <c r="B476" s="1456"/>
      <c r="C476" s="1456"/>
      <c r="D476" s="1456"/>
      <c r="E476" s="1456"/>
      <c r="F476" s="1456"/>
      <c r="G476" s="1456"/>
      <c r="H476" s="1456"/>
      <c r="I476" s="1456"/>
      <c r="J476" s="1456"/>
      <c r="K476" s="1456"/>
      <c r="N476" s="1539">
        <v>4</v>
      </c>
      <c r="O476" s="1590" t="s">
        <v>1460</v>
      </c>
      <c r="P476" s="1482">
        <f t="shared" si="111"/>
        <v>0</v>
      </c>
      <c r="Q476" s="1482">
        <f>非流动负总!E10</f>
        <v>0</v>
      </c>
      <c r="R476" s="1482">
        <f t="shared" si="107"/>
        <v>0</v>
      </c>
      <c r="S476" s="1501" t="str">
        <f t="shared" si="108"/>
        <v/>
      </c>
    </row>
    <row r="477" spans="2:19">
      <c r="B477" s="1456"/>
      <c r="C477" s="1456"/>
      <c r="D477" s="1456"/>
      <c r="E477" s="1456"/>
      <c r="F477" s="1456"/>
      <c r="G477" s="1456"/>
      <c r="H477" s="1456"/>
      <c r="I477" s="1456"/>
      <c r="J477" s="1456"/>
      <c r="K477" s="1456"/>
      <c r="N477" s="1539">
        <v>5</v>
      </c>
      <c r="O477" s="1590" t="s">
        <v>1462</v>
      </c>
      <c r="P477" s="1482">
        <f t="shared" si="111"/>
        <v>0</v>
      </c>
      <c r="Q477" s="1482">
        <f>非流动负总!E11</f>
        <v>0</v>
      </c>
      <c r="R477" s="1482">
        <f t="shared" si="107"/>
        <v>0</v>
      </c>
      <c r="S477" s="1501" t="str">
        <f t="shared" si="108"/>
        <v/>
      </c>
    </row>
    <row r="478" spans="2:19">
      <c r="B478" s="1456"/>
      <c r="C478" s="1456"/>
      <c r="D478" s="1456"/>
      <c r="E478" s="1456"/>
      <c r="F478" s="1456"/>
      <c r="G478" s="1456"/>
      <c r="H478" s="1456"/>
      <c r="I478" s="1456"/>
      <c r="J478" s="1456"/>
      <c r="K478" s="1456"/>
      <c r="N478" s="1539">
        <v>6</v>
      </c>
      <c r="O478" s="1590" t="s">
        <v>1464</v>
      </c>
      <c r="P478" s="1482">
        <f t="shared" si="111"/>
        <v>0</v>
      </c>
      <c r="Q478" s="1482">
        <f>非流动负总!E12</f>
        <v>0</v>
      </c>
      <c r="R478" s="1482">
        <f t="shared" si="107"/>
        <v>0</v>
      </c>
      <c r="S478" s="1501" t="str">
        <f t="shared" si="108"/>
        <v/>
      </c>
    </row>
    <row r="479" spans="2:19">
      <c r="B479" s="1456"/>
      <c r="C479" s="1456"/>
      <c r="D479" s="1456"/>
      <c r="E479" s="1456"/>
      <c r="F479" s="1456"/>
      <c r="G479" s="1456"/>
      <c r="H479" s="1456"/>
      <c r="I479" s="1456"/>
      <c r="J479" s="1456"/>
      <c r="K479" s="1456"/>
      <c r="N479" s="1539">
        <v>7</v>
      </c>
      <c r="O479" s="1590" t="s">
        <v>1466</v>
      </c>
      <c r="P479" s="1482">
        <f t="shared" si="111"/>
        <v>0</v>
      </c>
      <c r="Q479" s="1482">
        <f>非流动负总!E13</f>
        <v>0</v>
      </c>
      <c r="R479" s="1482">
        <f t="shared" si="107"/>
        <v>0</v>
      </c>
      <c r="S479" s="1501" t="str">
        <f t="shared" si="108"/>
        <v/>
      </c>
    </row>
    <row r="480" spans="2:19">
      <c r="B480" s="1456"/>
      <c r="C480" s="1456"/>
      <c r="D480" s="1456"/>
      <c r="E480" s="1456"/>
      <c r="F480" s="1456"/>
      <c r="G480" s="1456"/>
      <c r="H480" s="1456"/>
      <c r="I480" s="1456"/>
      <c r="J480" s="1456"/>
      <c r="K480" s="1456"/>
      <c r="N480" s="1539">
        <v>8</v>
      </c>
      <c r="O480" s="1590" t="s">
        <v>1469</v>
      </c>
      <c r="P480" s="1482">
        <f t="shared" si="111"/>
        <v>0</v>
      </c>
      <c r="Q480" s="1482">
        <f>非流动负总!E14</f>
        <v>0</v>
      </c>
      <c r="R480" s="1482">
        <f t="shared" si="107"/>
        <v>0</v>
      </c>
      <c r="S480" s="1501" t="str">
        <f t="shared" si="108"/>
        <v/>
      </c>
    </row>
    <row r="481" spans="2:20">
      <c r="B481" s="1456"/>
      <c r="C481" s="1456"/>
      <c r="D481" s="1456"/>
      <c r="E481" s="1456"/>
      <c r="F481" s="1456"/>
      <c r="G481" s="1456"/>
      <c r="H481" s="1456"/>
      <c r="I481" s="1456"/>
      <c r="J481" s="1456"/>
      <c r="K481" s="1456"/>
      <c r="N481" s="1542">
        <v>9</v>
      </c>
      <c r="O481" s="1463" t="s">
        <v>1472</v>
      </c>
      <c r="P481" s="1509">
        <f>SUM(P473:P480)</f>
        <v>0</v>
      </c>
      <c r="Q481" s="1509">
        <f>SUM(Q473:Q480)</f>
        <v>0</v>
      </c>
      <c r="R481" s="1509">
        <f t="shared" si="107"/>
        <v>0</v>
      </c>
      <c r="S481" s="1510" t="str">
        <f t="shared" si="108"/>
        <v/>
      </c>
    </row>
    <row r="482" ht="12.75" spans="2:20">
      <c r="B482" s="1456"/>
      <c r="C482" s="1456"/>
      <c r="D482" s="1456"/>
      <c r="E482" s="1456"/>
      <c r="F482" s="1456"/>
      <c r="G482" s="1456"/>
      <c r="H482" s="1456"/>
      <c r="I482" s="1456"/>
      <c r="J482" s="1456"/>
      <c r="K482" s="1456"/>
      <c r="N482" s="1544" t="s">
        <v>947</v>
      </c>
      <c r="O482" s="1597" t="s">
        <v>1475</v>
      </c>
      <c r="P482" s="1512">
        <f>SUM(P471,P481)</f>
        <v>0</v>
      </c>
      <c r="Q482" s="1512">
        <f>SUM(Q471,Q481)</f>
        <v>0</v>
      </c>
      <c r="R482" s="1512">
        <f t="shared" si="107"/>
        <v>0</v>
      </c>
      <c r="S482" s="1513" t="str">
        <f t="shared" si="108"/>
        <v/>
      </c>
    </row>
    <row r="483" ht="12.75"/>
    <row r="484" ht="12.75" spans="2:20">
      <c r="N484" s="1456" t="str">
        <f>C420</f>
        <v>盈利能力分析表</v>
      </c>
    </row>
    <row r="485" ht="12.75" spans="2:20">
      <c r="O485" s="1598" t="s">
        <v>1418</v>
      </c>
      <c r="P485" s="1498" t="str">
        <f>Q$37</f>
        <v>2022年度</v>
      </c>
      <c r="Q485" s="1498" t="str">
        <f>R$37</f>
        <v>2023年度</v>
      </c>
      <c r="R485" s="1498" t="str">
        <f>S$37</f>
        <v>2024年度</v>
      </c>
      <c r="S485" s="1499" t="str">
        <f>T$37</f>
        <v>2025年1-7月</v>
      </c>
    </row>
    <row r="486" spans="2:20">
      <c r="O486" s="1599" t="s">
        <v>1487</v>
      </c>
      <c r="P486" s="1600">
        <f>IFERROR(Q57/AVERAGE(P34:Q34),0)</f>
        <v>0</v>
      </c>
      <c r="Q486" s="1600">
        <f>IFERROR(R57/AVERAGE(Q34:R34),0)</f>
        <v>0</v>
      </c>
      <c r="R486" s="1600">
        <f>IFERROR(S57/AVERAGE(R34:S34),0)</f>
        <v>0</v>
      </c>
      <c r="S486" s="1601">
        <f>IFERROR(T57/AVERAGE(S34:T34),0)</f>
        <v>0</v>
      </c>
      <c r="T486" s="1456" t="s">
        <v>1488</v>
      </c>
    </row>
    <row r="487" spans="2:20">
      <c r="O487" s="1599" t="s">
        <v>1489</v>
      </c>
      <c r="P487" s="1600">
        <f>IFERROR(SUM(Q57,P513)/AVERAGE(P30:Q30),0)</f>
        <v>0</v>
      </c>
      <c r="Q487" s="1600">
        <f>IFERROR(SUM(R57,Q513)/AVERAGE(Q30:R30),0)</f>
        <v>0</v>
      </c>
      <c r="R487" s="1600">
        <f>IFERROR(SUM(S57,R513)/AVERAGE(R30:S30),0)</f>
        <v>0</v>
      </c>
      <c r="S487" s="1601">
        <f>IFERROR(SUM(T57,S513)/AVERAGE(S30:T30),0)</f>
        <v>0</v>
      </c>
      <c r="T487" s="1456" t="s">
        <v>1490</v>
      </c>
    </row>
    <row r="488" spans="2:20">
      <c r="O488" s="1599" t="s">
        <v>1491</v>
      </c>
      <c r="P488" s="1600">
        <f>IFERROR(Q52/Q38,0)</f>
        <v>0</v>
      </c>
      <c r="Q488" s="1600">
        <f>IFERROR(R52/R38,0)</f>
        <v>0</v>
      </c>
      <c r="R488" s="1600">
        <f>IFERROR(S52/S38,0)</f>
        <v>0</v>
      </c>
      <c r="S488" s="1601">
        <f>IFERROR(T52/T38,0)</f>
        <v>0</v>
      </c>
      <c r="T488" s="1456" t="s">
        <v>1492</v>
      </c>
    </row>
    <row r="489" ht="12.75" spans="2:20">
      <c r="O489" s="1602" t="s">
        <v>1493</v>
      </c>
      <c r="P489" s="1603">
        <f>IFERROR(Q39/Q38,0)</f>
        <v>0</v>
      </c>
      <c r="Q489" s="1603">
        <f>IFERROR(R39/R38,0)</f>
        <v>0</v>
      </c>
      <c r="R489" s="1603">
        <f>IFERROR(S39/S38,0)</f>
        <v>0</v>
      </c>
      <c r="S489" s="1604">
        <f>IFERROR(T39/T38,0)</f>
        <v>0</v>
      </c>
      <c r="T489" s="1456" t="s">
        <v>1494</v>
      </c>
    </row>
    <row r="490" ht="12.75"/>
    <row r="491" ht="12.75" spans="2:20">
      <c r="N491" s="1456" t="str">
        <f>C421</f>
        <v>偿债能力分析表</v>
      </c>
    </row>
    <row r="492" ht="12.75" spans="2:20">
      <c r="O492" s="1598" t="s">
        <v>1418</v>
      </c>
      <c r="P492" s="1498" t="str">
        <f>Q$37</f>
        <v>2022年度</v>
      </c>
      <c r="Q492" s="1498" t="str">
        <f>R$37</f>
        <v>2023年度</v>
      </c>
      <c r="R492" s="1498" t="str">
        <f>S$37</f>
        <v>2024年度</v>
      </c>
      <c r="S492" s="1499" t="str">
        <f>T$37</f>
        <v>2025年1-7月</v>
      </c>
    </row>
    <row r="493" spans="2:20">
      <c r="O493" s="1599" t="s">
        <v>1495</v>
      </c>
      <c r="P493" s="1600">
        <f>IFERROR(Q33/Q30,0)</f>
        <v>0</v>
      </c>
      <c r="Q493" s="1600">
        <f>IFERROR(R33/R30,0)</f>
        <v>0</v>
      </c>
      <c r="R493" s="1600">
        <f>IFERROR(S33/S30,0)</f>
        <v>0</v>
      </c>
      <c r="S493" s="1601">
        <f>IFERROR(T33/T30,0)</f>
        <v>0</v>
      </c>
      <c r="T493" s="1456" t="s">
        <v>1496</v>
      </c>
    </row>
    <row r="494" spans="2:20">
      <c r="O494" s="1599" t="s">
        <v>1497</v>
      </c>
      <c r="P494" s="1600">
        <f>IFERROR(Q22/Q31,0)</f>
        <v>0</v>
      </c>
      <c r="Q494" s="1600">
        <f>IFERROR(R22/R31,0)</f>
        <v>0</v>
      </c>
      <c r="R494" s="1600">
        <f>IFERROR(S22/S31,0)</f>
        <v>0</v>
      </c>
      <c r="S494" s="1601">
        <f>IFERROR(T22/T31,0)</f>
        <v>0</v>
      </c>
      <c r="T494" s="1456" t="s">
        <v>1498</v>
      </c>
    </row>
    <row r="495" ht="12.75" spans="2:20">
      <c r="O495" s="1602" t="s">
        <v>1499</v>
      </c>
      <c r="P495" s="1603">
        <f>IFERROR((Q22-P511)/Q31,0)</f>
        <v>0</v>
      </c>
      <c r="Q495" s="1603">
        <f>IFERROR((R22-Q511)/R31,0)</f>
        <v>0</v>
      </c>
      <c r="R495" s="1603">
        <f>IFERROR((S22-R511)/S31,0)</f>
        <v>0</v>
      </c>
      <c r="S495" s="1604">
        <f>IFERROR((T22-S511)/T31,0)</f>
        <v>0</v>
      </c>
      <c r="T495" s="1456" t="s">
        <v>1500</v>
      </c>
    </row>
    <row r="496" ht="12.75"/>
    <row r="497" ht="12.75" spans="14:21">
      <c r="N497" s="1456" t="str">
        <f>C422</f>
        <v>管理能力分析表</v>
      </c>
    </row>
    <row r="498" ht="12.75" spans="14:21">
      <c r="O498" s="1598" t="s">
        <v>1418</v>
      </c>
      <c r="P498" s="1498" t="str">
        <f>Q$37</f>
        <v>2022年度</v>
      </c>
      <c r="Q498" s="1498" t="str">
        <f>R$37</f>
        <v>2023年度</v>
      </c>
      <c r="R498" s="1498" t="str">
        <f>S$37</f>
        <v>2024年度</v>
      </c>
      <c r="S498" s="1499" t="str">
        <f>T$37</f>
        <v>2025年1-7月</v>
      </c>
    </row>
    <row r="499" spans="14:21">
      <c r="O499" s="1599" t="s">
        <v>1501</v>
      </c>
      <c r="P499" s="1482">
        <f>IFERROR(Q38/AVERAGE(O512:P512),0)</f>
        <v>0</v>
      </c>
      <c r="Q499" s="1482">
        <f>IFERROR(R38/AVERAGE(P512:Q512),0)</f>
        <v>0</v>
      </c>
      <c r="R499" s="1482">
        <f>IFERROR(S38/AVERAGE(Q512:R512),0)</f>
        <v>0</v>
      </c>
      <c r="S499" s="1501">
        <f>IFERROR(T38/AVERAGE(R512:S512),0)</f>
        <v>0</v>
      </c>
      <c r="T499" s="1456" t="s">
        <v>1502</v>
      </c>
      <c r="U499" s="1456" t="s">
        <v>1503</v>
      </c>
    </row>
    <row r="500" spans="14:21">
      <c r="O500" s="1599" t="s">
        <v>1504</v>
      </c>
      <c r="P500" s="1482">
        <f>IFERROR(Q39/AVERAGE(O511:P511),0)</f>
        <v>0</v>
      </c>
      <c r="Q500" s="1482">
        <f>IFERROR(R39/AVERAGE(P511:Q511),0)</f>
        <v>0</v>
      </c>
      <c r="R500" s="1482">
        <f>IFERROR(S39/AVERAGE(Q511:R511),0)</f>
        <v>0</v>
      </c>
      <c r="S500" s="1501">
        <f>IFERROR(T39/AVERAGE(R511:S511),0)</f>
        <v>0</v>
      </c>
      <c r="T500" s="1456" t="s">
        <v>1505</v>
      </c>
    </row>
    <row r="501" spans="14:21">
      <c r="O501" s="1599" t="s">
        <v>1506</v>
      </c>
      <c r="P501" s="1482">
        <f>IFERROR(Q38/AVERAGE(P22:Q22),0)</f>
        <v>0</v>
      </c>
      <c r="Q501" s="1482">
        <f>IFERROR(R38/AVERAGE(Q22:R22),0)</f>
        <v>0</v>
      </c>
      <c r="R501" s="1482">
        <f>IFERROR(S38/AVERAGE(R22:S22),0)</f>
        <v>0</v>
      </c>
      <c r="S501" s="1501">
        <f>IFERROR(T38/AVERAGE(S22:T22),0)</f>
        <v>0</v>
      </c>
      <c r="T501" s="1456" t="s">
        <v>1507</v>
      </c>
    </row>
    <row r="502" ht="12.75" spans="14:21">
      <c r="O502" s="1602" t="s">
        <v>1508</v>
      </c>
      <c r="P502" s="1561">
        <f>IFERROR(Q38/AVERAGE(P30:Q30),0)</f>
        <v>0</v>
      </c>
      <c r="Q502" s="1561">
        <f>IFERROR(R38/AVERAGE(Q30:R30),0)</f>
        <v>0</v>
      </c>
      <c r="R502" s="1561">
        <f>IFERROR(S38/AVERAGE(R30:S30),0)</f>
        <v>0</v>
      </c>
      <c r="S502" s="1560">
        <f>IFERROR(T38/AVERAGE(S30:T30),0)</f>
        <v>0</v>
      </c>
      <c r="T502" s="1456" t="s">
        <v>1509</v>
      </c>
    </row>
    <row r="503" ht="12.75"/>
    <row r="504" ht="12.75" spans="14:21">
      <c r="N504" s="1456" t="str">
        <f>C423</f>
        <v>成长能力分析表</v>
      </c>
    </row>
    <row r="505" ht="12.75" spans="14:21">
      <c r="O505" s="1598" t="s">
        <v>1418</v>
      </c>
      <c r="P505" s="1498" t="str">
        <f>Q$37</f>
        <v>2022年度</v>
      </c>
      <c r="Q505" s="1498" t="str">
        <f>R$37</f>
        <v>2023年度</v>
      </c>
      <c r="R505" s="1498" t="str">
        <f>S$37</f>
        <v>2024年度</v>
      </c>
      <c r="S505" s="1499" t="str">
        <f>T$37</f>
        <v>2025年1-7月</v>
      </c>
    </row>
    <row r="506" spans="14:21">
      <c r="O506" s="1599" t="s">
        <v>1510</v>
      </c>
      <c r="P506" s="1600">
        <f>IFERROR(Q38/P38-1,0)</f>
        <v>0</v>
      </c>
      <c r="Q506" s="1600">
        <f>IFERROR(R38/Q38-1,0)</f>
        <v>0</v>
      </c>
      <c r="R506" s="1600">
        <f>IFERROR(S38/R38-1,0)</f>
        <v>0</v>
      </c>
      <c r="S506" s="1601">
        <f>IFERROR(T38/S38-1,0)</f>
        <v>0</v>
      </c>
      <c r="T506" s="1456" t="s">
        <v>1511</v>
      </c>
    </row>
    <row r="507" spans="14:21">
      <c r="O507" s="1599" t="s">
        <v>1512</v>
      </c>
      <c r="P507" s="1600">
        <f>IFERROR(Q57/P57-1,0)</f>
        <v>0</v>
      </c>
      <c r="Q507" s="1600">
        <f>IFERROR(R57/Q57-1,0)</f>
        <v>0</v>
      </c>
      <c r="R507" s="1600">
        <f>IFERROR(S57/R57-1,0)</f>
        <v>0</v>
      </c>
      <c r="S507" s="1601">
        <f>IFERROR(T57/S57-1,0)</f>
        <v>0</v>
      </c>
      <c r="T507" s="1456" t="s">
        <v>1513</v>
      </c>
    </row>
    <row r="508" ht="12.75" spans="14:21">
      <c r="O508" s="1602" t="s">
        <v>1514</v>
      </c>
      <c r="P508" s="1603">
        <f>IFERROR(Q34/P34-1,0)</f>
        <v>0</v>
      </c>
      <c r="Q508" s="1603">
        <f>IFERROR(R34/Q34-1,0)</f>
        <v>0</v>
      </c>
      <c r="R508" s="1603">
        <f>IFERROR(S34/R34-1,0)</f>
        <v>0</v>
      </c>
      <c r="S508" s="1604">
        <f>IFERROR(T34/S34-1,0)</f>
        <v>0</v>
      </c>
      <c r="T508" s="1456" t="s">
        <v>1515</v>
      </c>
    </row>
    <row r="509" ht="13.5"/>
    <row r="510" ht="12.75" spans="14:21">
      <c r="N510" s="1514" t="s">
        <v>1516</v>
      </c>
      <c r="O510" s="1605" t="str">
        <f>P37</f>
        <v>2021年度</v>
      </c>
      <c r="P510" s="1605" t="str">
        <f>Q37</f>
        <v>2022年度</v>
      </c>
      <c r="Q510" s="1605" t="str">
        <f>R37</f>
        <v>2023年度</v>
      </c>
      <c r="R510" s="1605" t="str">
        <f>S37</f>
        <v>2024年度</v>
      </c>
      <c r="S510" s="1606" t="str">
        <f>T37</f>
        <v>2025年1-7月</v>
      </c>
    </row>
    <row r="511" spans="14:21">
      <c r="N511" s="1607" t="s">
        <v>1517</v>
      </c>
      <c r="O511" s="1482">
        <f>资负表!D31</f>
        <v>0</v>
      </c>
      <c r="P511" s="1482">
        <f>资负表!E31</f>
        <v>0</v>
      </c>
      <c r="Q511" s="1482">
        <f>资负表!F31</f>
        <v>0</v>
      </c>
      <c r="R511" s="1482">
        <f>资负表!G31</f>
        <v>0</v>
      </c>
      <c r="S511" s="1501">
        <f>资负表!H31</f>
        <v>3.555752</v>
      </c>
    </row>
    <row r="512" spans="14:21">
      <c r="N512" s="1607" t="s">
        <v>1034</v>
      </c>
      <c r="O512" s="1482">
        <f>SUM(资负表!C11:C12,资负表!C16:C17,资负表!C20)</f>
        <v>0</v>
      </c>
      <c r="P512" s="1482">
        <f>SUM(资负表!D11:D12,资负表!D16:D17,资负表!D20)</f>
        <v>0</v>
      </c>
      <c r="Q512" s="1482">
        <f>SUM(资负表!E11:E12,资负表!E16:E17,资负表!E20)</f>
        <v>0</v>
      </c>
      <c r="R512" s="1482">
        <f>SUM(资负表!F11:F12,资负表!F16:F17,资负表!F20)</f>
        <v>0</v>
      </c>
      <c r="S512" s="1501">
        <f>SUM(资负表!G11:G12,资负表!G16:G17,资负表!G20)</f>
        <v>0</v>
      </c>
    </row>
    <row r="513" ht="12.75" spans="14:19">
      <c r="N513" s="1608" t="s">
        <v>1518</v>
      </c>
      <c r="O513" s="1609">
        <v>0</v>
      </c>
      <c r="P513" s="1609">
        <v>0</v>
      </c>
      <c r="Q513" s="1609">
        <v>0</v>
      </c>
      <c r="R513" s="1609">
        <v>0</v>
      </c>
      <c r="S513" s="1610">
        <v>0</v>
      </c>
    </row>
    <row r="514" ht="12.75"/>
  </sheetData>
  <autoFilter xmlns:etc="http://www.wps.cn/officeDocument/2017/etCustomData" ref="B3:W482" etc:filterBottomFollowUsedRange="0">
    <extLst/>
  </autoFilter>
  <mergeCells count="11">
    <mergeCell ref="H2:I2"/>
    <mergeCell ref="J2:K2"/>
    <mergeCell ref="B2:B3"/>
    <mergeCell ref="C2:C3"/>
    <mergeCell ref="D2:D3"/>
    <mergeCell ref="E2:E3"/>
    <mergeCell ref="F2:F3"/>
    <mergeCell ref="G2:G3"/>
    <mergeCell ref="L2:L3"/>
    <mergeCell ref="O3:O4"/>
    <mergeCell ref="O83:O84"/>
  </mergeCells>
  <conditionalFormatting sqref="P9:S9">
    <cfRule type="expression" dxfId="3" priority="65565">
      <formula>$C6+$H6=0</formula>
    </cfRule>
  </conditionalFormatting>
  <conditionalFormatting sqref="P10:S10">
    <cfRule type="expression" dxfId="3" priority="65563">
      <formula>#REF!+#REF!=0</formula>
    </cfRule>
  </conditionalFormatting>
  <conditionalFormatting sqref="P11:S11">
    <cfRule type="expression" dxfId="3" priority="65562">
      <formula>$C10+$H10=0</formula>
    </cfRule>
  </conditionalFormatting>
  <conditionalFormatting sqref="P17:S17">
    <cfRule type="expression" dxfId="3" priority="65554">
      <formula>#REF!+#REF!=0</formula>
    </cfRule>
  </conditionalFormatting>
  <conditionalFormatting sqref="P79">
    <cfRule type="expression" dxfId="3" priority="9">
      <formula>#REF!+#REF!=0</formula>
    </cfRule>
  </conditionalFormatting>
  <conditionalFormatting sqref="P90:S90">
    <cfRule type="expression" dxfId="3" priority="2">
      <formula>#REF!+#REF!=0</formula>
    </cfRule>
  </conditionalFormatting>
  <conditionalFormatting sqref="P91:S91">
    <cfRule type="expression" dxfId="3" priority="3">
      <formula>$C92+$H92=0</formula>
    </cfRule>
  </conditionalFormatting>
  <conditionalFormatting sqref="P97:S97">
    <cfRule type="expression" dxfId="3" priority="4">
      <formula>#REF!+#REF!=0</formula>
    </cfRule>
  </conditionalFormatting>
  <conditionalFormatting sqref="P67:P71">
    <cfRule type="expression" dxfId="3" priority="65557">
      <formula>#REF!+#REF!=0</formula>
    </cfRule>
  </conditionalFormatting>
  <conditionalFormatting sqref="P72:P73">
    <cfRule type="expression" dxfId="3" priority="65560">
      <formula>$C78+$H78=0</formula>
    </cfRule>
  </conditionalFormatting>
  <conditionalFormatting sqref="P74:P78">
    <cfRule type="expression" dxfId="3" priority="10">
      <formula>$C81+$H81=0</formula>
    </cfRule>
  </conditionalFormatting>
  <conditionalFormatting sqref="C483:C1048576 C37:C60 C1:C29 C31:C33 C78:C431">
    <cfRule type="duplicateValues" dxfId="4" priority="65559"/>
  </conditionalFormatting>
  <conditionalFormatting sqref="P5:S6">
    <cfRule type="expression" dxfId="3" priority="12">
      <formula>$C4+$H4=0</formula>
    </cfRule>
  </conditionalFormatting>
  <conditionalFormatting sqref="P7:S8 P12:S16">
    <cfRule type="expression" dxfId="3" priority="65553">
      <formula>$C7+$H7=0</formula>
    </cfRule>
  </conditionalFormatting>
  <conditionalFormatting sqref="P85:S89">
    <cfRule type="expression" dxfId="3" priority="6">
      <formula>$C87+$H87=0</formula>
    </cfRule>
  </conditionalFormatting>
  <conditionalFormatting sqref="P92:S96">
    <cfRule type="expression" dxfId="3" priority="1">
      <formula>$C94+$H94=0</formula>
    </cfRule>
  </conditionalFormatting>
  <pageMargins left="0.7" right="0.7" top="0.75" bottom="0.75" header="0.3" footer="0.3"/>
  <pageSetup paperSize="9" orientation="portrait"/>
  <headerFooter/>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1"/>
  <dimension ref="A1:C26"/>
  <sheetViews>
    <sheetView showFormulas="1" workbookViewId="0">
      <selection activeCell="C1" sqref="C1"/>
    </sheetView>
  </sheetViews>
  <sheetFormatPr defaultColWidth="8.2" defaultRowHeight="13.2" outlineLevelCol="2"/>
  <cols>
    <col min="1" max="1" width="26.7" style="1" customWidth="1"/>
    <col min="2" max="2" width="1.2" style="1" customWidth="1"/>
    <col min="3" max="3" width="28.7" style="1" customWidth="1"/>
    <col min="4" max="16384" width="8.2" style="1"/>
  </cols>
  <sheetData>
    <row r="1" ht="15.6" spans="1:3">
      <c r="A1" t="s">
        <v>347</v>
      </c>
    </row>
    <row r="2" ht="13.95" spans="1:3">
      <c r="A2" s="2" t="s">
        <v>5659</v>
      </c>
    </row>
    <row r="3" ht="13.95" spans="1:3">
      <c r="A3" s="3" t="s">
        <v>5660</v>
      </c>
      <c r="C3" s="4" t="s">
        <v>5661</v>
      </c>
    </row>
    <row r="4" spans="1:3">
      <c r="A4" s="3">
        <v>3</v>
      </c>
    </row>
    <row r="6" ht="13.95"/>
    <row r="7" spans="1:3">
      <c r="A7" s="5" t="s">
        <v>5662</v>
      </c>
    </row>
    <row r="8" spans="1:3">
      <c r="A8" s="6" t="s">
        <v>5663</v>
      </c>
    </row>
    <row r="9" spans="1:3">
      <c r="A9" s="7" t="s">
        <v>5664</v>
      </c>
    </row>
    <row r="10" spans="1:3">
      <c r="A10" s="6" t="s">
        <v>5665</v>
      </c>
    </row>
    <row r="11" ht="13.95" spans="1:3">
      <c r="A11" s="8" t="s">
        <v>5666</v>
      </c>
    </row>
    <row r="13" ht="13.95"/>
    <row r="14" ht="13.95" spans="1:3">
      <c r="A14" s="4" t="s">
        <v>5667</v>
      </c>
    </row>
    <row r="16" ht="13.95"/>
    <row r="17" ht="13.95" spans="1:3">
      <c r="C17" s="4" t="s">
        <v>5668</v>
      </c>
    </row>
    <row r="20" spans="1:3">
      <c r="A20" s="9" t="s">
        <v>5669</v>
      </c>
    </row>
    <row r="26" ht="13.95" spans="1:3">
      <c r="C26" s="10" t="s">
        <v>5670</v>
      </c>
    </row>
  </sheetData>
  <sheetProtection autoFilter="0"/>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FF0000"/>
  </sheetPr>
  <dimension ref="A1:BE25"/>
  <sheetViews>
    <sheetView workbookViewId="0">
      <pane xSplit="2" ySplit="7" topLeftCell="C8" activePane="bottomRight" state="frozen"/>
      <selection/>
      <selection pane="topRight"/>
      <selection pane="bottomLeft"/>
      <selection pane="bottomRight" activeCell="A21" sqref="A21"/>
    </sheetView>
  </sheetViews>
  <sheetFormatPr defaultColWidth="8.7" defaultRowHeight="15.6"/>
  <cols>
    <col min="1" max="1" width="30.6" style="279" customWidth="1"/>
    <col min="2" max="2" width="5.6" style="279" customWidth="1"/>
    <col min="3" max="6" width="20.6" style="279" customWidth="1"/>
    <col min="7" max="52" width="8.7" style="279" hidden="1" customWidth="1" outlineLevel="1"/>
    <col min="53" max="53" width="10.6" style="279" customWidth="1" collapsed="1"/>
    <col min="54" max="56" width="10.6" style="279" customWidth="1"/>
    <col min="57" max="16384" width="8.7" style="279"/>
  </cols>
  <sheetData>
    <row r="1" ht="22.2" spans="1:57">
      <c r="A1" s="1429" t="s">
        <v>1519</v>
      </c>
      <c r="B1" s="1429"/>
      <c r="C1" s="1429"/>
      <c r="D1" s="1429"/>
      <c r="E1" s="1429"/>
      <c r="F1" s="1429"/>
      <c r="BA1" s="1430" t="str">
        <f>参数表!BA1</f>
        <v>注意：补充特殊事项、作价等均从BA列开始填写</v>
      </c>
      <c r="BB1" s="1431"/>
    </row>
    <row r="2" spans="1:57">
      <c r="A2" s="1432" t="str">
        <f>参数表!F5</f>
        <v>评估基准日：2025年7月31日</v>
      </c>
      <c r="B2" s="1432"/>
      <c r="C2" s="1432"/>
      <c r="D2" s="1432"/>
      <c r="E2" s="1432"/>
      <c r="F2" s="1432"/>
      <c r="BA2" s="1431" t="str">
        <f>参数表!BA2</f>
        <v>评估基准日：</v>
      </c>
      <c r="BB2" s="1431" t="str">
        <f>参数表!BB2</f>
        <v>2025年7月31日</v>
      </c>
    </row>
    <row r="3" spans="1:57">
      <c r="A3" s="1432"/>
      <c r="B3" s="1432"/>
      <c r="C3" s="1432"/>
      <c r="D3" s="1432"/>
      <c r="E3" s="1432"/>
      <c r="F3" s="1433" t="s">
        <v>1520</v>
      </c>
      <c r="BA3" s="1431" t="str">
        <f>参数表!BA3</f>
        <v>是否显示评估值：</v>
      </c>
      <c r="BB3" s="1431" t="str">
        <f>参数表!BB3</f>
        <v>是</v>
      </c>
    </row>
    <row r="4" spans="1:57">
      <c r="A4" s="1434" t="str">
        <f>参数表!F3</f>
        <v>产权持有单位:中煤第五建设有限公司</v>
      </c>
      <c r="B4" s="1435"/>
      <c r="C4" s="1435"/>
      <c r="D4" s="1435"/>
      <c r="E4" s="1435"/>
      <c r="F4" s="1436" t="s">
        <v>1521</v>
      </c>
    </row>
    <row r="5" spans="1:57">
      <c r="A5" s="1437" t="s">
        <v>1522</v>
      </c>
      <c r="B5" s="1438"/>
      <c r="C5" s="1439" t="s">
        <v>1523</v>
      </c>
      <c r="D5" s="1439" t="s">
        <v>1524</v>
      </c>
      <c r="E5" s="1439" t="s">
        <v>1525</v>
      </c>
      <c r="F5" s="1439" t="s">
        <v>1526</v>
      </c>
      <c r="BA5" s="1023"/>
      <c r="BD5" s="1384" t="s">
        <v>161</v>
      </c>
    </row>
    <row r="6" spans="1:57">
      <c r="A6" s="1440"/>
      <c r="B6" s="1441"/>
      <c r="C6" s="1439" t="s">
        <v>842</v>
      </c>
      <c r="D6" s="1439" t="s">
        <v>580</v>
      </c>
      <c r="E6" s="1439" t="s">
        <v>843</v>
      </c>
      <c r="F6" s="1439" t="s">
        <v>844</v>
      </c>
      <c r="BA6" s="228" t="s">
        <v>1527</v>
      </c>
      <c r="BB6" s="228" t="s">
        <v>1528</v>
      </c>
      <c r="BC6" s="228" t="s">
        <v>1529</v>
      </c>
      <c r="BD6" s="1384" t="s">
        <v>1530</v>
      </c>
      <c r="BE6" s="1442"/>
    </row>
    <row r="7" customHeight="1" spans="1:57">
      <c r="A7" s="1443" t="s">
        <v>295</v>
      </c>
      <c r="B7" s="1444">
        <v>1</v>
      </c>
      <c r="C7" s="1445">
        <f>ROUND(分类汇总!D7/10000,2)</f>
        <v>3.56</v>
      </c>
      <c r="D7" s="1445">
        <f>ROUND(分类汇总!E7/10000,2)</f>
        <v>283.71</v>
      </c>
      <c r="E7" s="1445">
        <f>D7-C7</f>
        <v>280.15</v>
      </c>
      <c r="F7" s="1445">
        <f>IFERROR(E7/ABS(C7)*100,"")</f>
        <v>7869.38202247191</v>
      </c>
      <c r="BA7" s="254" t="str">
        <f>IF(E7&gt;0,"增值",IF(E7=0,"无增减值","减值"))</f>
        <v>增值</v>
      </c>
      <c r="BB7" s="336">
        <f>ABS(E7)</f>
        <v>280.15</v>
      </c>
      <c r="BC7" s="336">
        <f>IFERROR(ABS(F7),0)</f>
        <v>7869.38202247191</v>
      </c>
      <c r="BD7" s="229" t="str">
        <f>IF(BA7="无增减值",BA7,BA7&amp;TEXT(BB7,"#,##0.00")&amp;BD$5&amp;IF(BC7=0,"","，"&amp;BA7&amp;"率"&amp;TEXT(BC7/100,"0.00%")))</f>
        <v>增值280.15万元，增值率7869.38%</v>
      </c>
    </row>
    <row r="8" customHeight="1" spans="1:57">
      <c r="A8" s="1443" t="s">
        <v>1531</v>
      </c>
      <c r="B8" s="1444">
        <v>2</v>
      </c>
      <c r="C8" s="1445">
        <f>SUM(C9:C13,C15)</f>
        <v>0</v>
      </c>
      <c r="D8" s="1445">
        <f>SUM(D9:D13,D15)</f>
        <v>0</v>
      </c>
      <c r="E8" s="1445">
        <f t="shared" ref="E8:E20" si="0">D8-C8</f>
        <v>0</v>
      </c>
      <c r="F8" s="1445" t="str">
        <f t="shared" ref="F8:F19" si="1">IFERROR(E8/ABS(C8)*100,"")</f>
        <v/>
      </c>
      <c r="BA8" s="254" t="str">
        <f t="shared" ref="BA8:BA20" si="2">IF(E8&gt;0,"增值",IF(E8=0,"无增减值","减值"))</f>
        <v>无增减值</v>
      </c>
      <c r="BB8" s="336">
        <f t="shared" ref="BB8:BB20" si="3">ABS(E8)</f>
        <v>0</v>
      </c>
      <c r="BC8" s="336">
        <f t="shared" ref="BC8:BC20" si="4">IFERROR(ABS(F8),0)</f>
        <v>0</v>
      </c>
      <c r="BD8" s="229" t="str">
        <f>IF(BA8="无增减值",BA8,BA8&amp;TEXT(BB8,"#,##0.00")&amp;BD$5&amp;IF(BC8=0,"","，"&amp;BA8&amp;"率"&amp;TEXT(BC8/100,"0.00%")))</f>
        <v>无增减值</v>
      </c>
    </row>
    <row r="9" customHeight="1" spans="1:57">
      <c r="A9" s="1446" t="str">
        <f>分类汇总!B28</f>
        <v>长期股权投资</v>
      </c>
      <c r="B9" s="1444">
        <v>3</v>
      </c>
      <c r="C9" s="1445">
        <f>ROUND(SUMIF(分类汇总!$B$22:$B$42,$A9,分类汇总!D$22:D$42)/10000,2)</f>
        <v>0</v>
      </c>
      <c r="D9" s="1445">
        <f>ROUND(SUMIF(分类汇总!$B$22:$B$42,$A9,分类汇总!E$22:E$42)/10000,2)</f>
        <v>0</v>
      </c>
      <c r="E9" s="1445">
        <f t="shared" si="0"/>
        <v>0</v>
      </c>
      <c r="F9" s="1445" t="str">
        <f t="shared" si="1"/>
        <v/>
      </c>
      <c r="BA9" s="254" t="str">
        <f t="shared" si="2"/>
        <v>无增减值</v>
      </c>
      <c r="BB9" s="336">
        <f t="shared" si="3"/>
        <v>0</v>
      </c>
      <c r="BC9" s="336">
        <f t="shared" si="4"/>
        <v>0</v>
      </c>
      <c r="BD9" s="229" t="str">
        <f t="shared" ref="BD9:BD20" si="5">IF(BA9="无增减值",BA9,BA9&amp;TEXT(BB9,"#,##0.00")&amp;BD$5&amp;IF(BC9=0,"","，"&amp;BA9&amp;"率"&amp;TEXT(BC9/100,"0.00%")))</f>
        <v>无增减值</v>
      </c>
    </row>
    <row r="10" customHeight="1" spans="1:57">
      <c r="A10" s="1446" t="str">
        <f>分类汇总!B31</f>
        <v>投资性房地产</v>
      </c>
      <c r="B10" s="1444">
        <v>4</v>
      </c>
      <c r="C10" s="1445">
        <f>ROUND(SUMIF(分类汇总!$B$22:$B$42,$A10,分类汇总!D$22:D$42)/10000,2)</f>
        <v>0</v>
      </c>
      <c r="D10" s="1445">
        <f>ROUND(SUMIF(分类汇总!$B$22:$B$42,$A10,分类汇总!E$22:E$42)/10000,2)</f>
        <v>0</v>
      </c>
      <c r="E10" s="1445">
        <f t="shared" si="0"/>
        <v>0</v>
      </c>
      <c r="F10" s="1445" t="str">
        <f t="shared" si="1"/>
        <v/>
      </c>
      <c r="BA10" s="254" t="str">
        <f t="shared" si="2"/>
        <v>无增减值</v>
      </c>
      <c r="BB10" s="336">
        <f t="shared" si="3"/>
        <v>0</v>
      </c>
      <c r="BC10" s="336">
        <f t="shared" si="4"/>
        <v>0</v>
      </c>
      <c r="BD10" s="229" t="str">
        <f t="shared" si="5"/>
        <v>无增减值</v>
      </c>
    </row>
    <row r="11" customHeight="1" spans="1:57">
      <c r="A11" s="1446" t="str">
        <f>分类汇总!B32</f>
        <v>固定资产</v>
      </c>
      <c r="B11" s="1444">
        <v>5</v>
      </c>
      <c r="C11" s="1445">
        <f>ROUND(SUMIF(分类汇总!$B$22:$B$42,$A11,分类汇总!D$22:D$42)/10000,2)</f>
        <v>0</v>
      </c>
      <c r="D11" s="1445">
        <f>ROUND(SUMIF(分类汇总!$B$22:$B$42,$A11,分类汇总!E$22:E$42)/10000,2)</f>
        <v>0</v>
      </c>
      <c r="E11" s="1445">
        <f t="shared" si="0"/>
        <v>0</v>
      </c>
      <c r="F11" s="1445" t="str">
        <f t="shared" si="1"/>
        <v/>
      </c>
      <c r="BA11" s="254" t="str">
        <f t="shared" si="2"/>
        <v>无增减值</v>
      </c>
      <c r="BB11" s="336">
        <f t="shared" si="3"/>
        <v>0</v>
      </c>
      <c r="BC11" s="336">
        <f t="shared" si="4"/>
        <v>0</v>
      </c>
      <c r="BD11" s="229" t="str">
        <f t="shared" si="5"/>
        <v>无增减值</v>
      </c>
    </row>
    <row r="12" customHeight="1" spans="1:57">
      <c r="A12" s="1446" t="str">
        <f>分类汇总!B33</f>
        <v>在建工程</v>
      </c>
      <c r="B12" s="1444">
        <v>6</v>
      </c>
      <c r="C12" s="1445">
        <f>ROUND(SUMIF(分类汇总!$B$22:$B$42,$A12,分类汇总!D$22:D$42)/10000,2)</f>
        <v>0</v>
      </c>
      <c r="D12" s="1445">
        <f>ROUND(SUMIF(分类汇总!$B$22:$B$42,$A12,分类汇总!E$22:E$42)/10000,2)</f>
        <v>0</v>
      </c>
      <c r="E12" s="1445">
        <f t="shared" si="0"/>
        <v>0</v>
      </c>
      <c r="F12" s="1445" t="str">
        <f t="shared" si="1"/>
        <v/>
      </c>
      <c r="BA12" s="254" t="str">
        <f t="shared" si="2"/>
        <v>无增减值</v>
      </c>
      <c r="BB12" s="336">
        <f t="shared" si="3"/>
        <v>0</v>
      </c>
      <c r="BC12" s="336">
        <f t="shared" si="4"/>
        <v>0</v>
      </c>
      <c r="BD12" s="229" t="str">
        <f t="shared" si="5"/>
        <v>无增减值</v>
      </c>
    </row>
    <row r="13" customHeight="1" spans="1:57">
      <c r="A13" s="1446" t="str">
        <f>分类汇总!B37</f>
        <v>无形资产</v>
      </c>
      <c r="B13" s="1444">
        <v>7</v>
      </c>
      <c r="C13" s="1445">
        <f>ROUND(SUMIF(分类汇总!$B$22:$B$42,$A13,分类汇总!D$22:D$42)/10000,2)</f>
        <v>0</v>
      </c>
      <c r="D13" s="1445">
        <f>ROUND(SUMIF(分类汇总!$B$22:$B$42,$A13,分类汇总!E$22:E$42)/10000,2)</f>
        <v>0</v>
      </c>
      <c r="E13" s="1445">
        <f t="shared" si="0"/>
        <v>0</v>
      </c>
      <c r="F13" s="1445" t="str">
        <f t="shared" si="1"/>
        <v/>
      </c>
      <c r="BA13" s="254" t="str">
        <f t="shared" si="2"/>
        <v>无增减值</v>
      </c>
      <c r="BB13" s="336">
        <f t="shared" si="3"/>
        <v>0</v>
      </c>
      <c r="BC13" s="336">
        <f t="shared" si="4"/>
        <v>0</v>
      </c>
      <c r="BD13" s="229" t="str">
        <f t="shared" si="5"/>
        <v>无增减值</v>
      </c>
    </row>
    <row r="14" customHeight="1" spans="1:57">
      <c r="A14" s="1446" t="s">
        <v>1532</v>
      </c>
      <c r="B14" s="1444">
        <v>8</v>
      </c>
      <c r="C14" s="1445">
        <f>无形资总!D7/10000</f>
        <v>0</v>
      </c>
      <c r="D14" s="1445">
        <f>无形资总!E7/10000</f>
        <v>0</v>
      </c>
      <c r="E14" s="1445">
        <f t="shared" si="0"/>
        <v>0</v>
      </c>
      <c r="F14" s="1445" t="str">
        <f t="shared" si="1"/>
        <v/>
      </c>
      <c r="BA14" s="254" t="str">
        <f t="shared" si="2"/>
        <v>无增减值</v>
      </c>
      <c r="BB14" s="336">
        <f t="shared" si="3"/>
        <v>0</v>
      </c>
      <c r="BC14" s="336">
        <f t="shared" si="4"/>
        <v>0</v>
      </c>
      <c r="BD14" s="229" t="str">
        <f t="shared" si="5"/>
        <v>无增减值</v>
      </c>
    </row>
    <row r="15" customHeight="1" spans="1:57">
      <c r="A15" s="1446" t="s">
        <v>1533</v>
      </c>
      <c r="B15" s="1444">
        <v>9</v>
      </c>
      <c r="C15" s="1445">
        <f>ROUND(分类汇总!D22/10000-SUM(C9:C13),2)</f>
        <v>0</v>
      </c>
      <c r="D15" s="1445">
        <f>ROUND(分类汇总!E22/10000-SUM(D9:D13),2)</f>
        <v>0</v>
      </c>
      <c r="E15" s="1445">
        <f t="shared" si="0"/>
        <v>0</v>
      </c>
      <c r="F15" s="1445" t="str">
        <f t="shared" si="1"/>
        <v/>
      </c>
      <c r="BA15" s="254" t="str">
        <f t="shared" si="2"/>
        <v>无增减值</v>
      </c>
      <c r="BB15" s="336">
        <f t="shared" si="3"/>
        <v>0</v>
      </c>
      <c r="BC15" s="336">
        <f t="shared" si="4"/>
        <v>0</v>
      </c>
      <c r="BD15" s="229" t="str">
        <f t="shared" si="5"/>
        <v>无增减值</v>
      </c>
    </row>
    <row r="16" s="1003" customFormat="1" customHeight="1" spans="1:57">
      <c r="A16" s="1447" t="s">
        <v>329</v>
      </c>
      <c r="B16" s="1439">
        <v>10</v>
      </c>
      <c r="C16" s="1448">
        <f>SUM(C7:C8)</f>
        <v>3.56</v>
      </c>
      <c r="D16" s="1448">
        <f>SUM(D7:D8)</f>
        <v>283.71</v>
      </c>
      <c r="E16" s="1448">
        <f t="shared" si="0"/>
        <v>280.15</v>
      </c>
      <c r="F16" s="1448">
        <f>在用周转!Y401</f>
        <v>7878.79782954491</v>
      </c>
      <c r="BA16" s="287" t="str">
        <f t="shared" si="2"/>
        <v>增值</v>
      </c>
      <c r="BB16" s="1449">
        <f t="shared" si="3"/>
        <v>280.15</v>
      </c>
      <c r="BC16" s="1449">
        <f t="shared" si="4"/>
        <v>7878.79782954491</v>
      </c>
      <c r="BD16" s="271" t="str">
        <f t="shared" si="5"/>
        <v>增值280.15万元，增值率7878.80%</v>
      </c>
    </row>
    <row r="17" customHeight="1" spans="1:56">
      <c r="A17" s="1443" t="s">
        <v>1534</v>
      </c>
      <c r="B17" s="1444">
        <v>11</v>
      </c>
      <c r="C17" s="1445">
        <f>ROUND(分类汇总!D44/10000,2)</f>
        <v>0</v>
      </c>
      <c r="D17" s="1445">
        <f>ROUND(分类汇总!E44/10000,2)</f>
        <v>0</v>
      </c>
      <c r="E17" s="1445">
        <f t="shared" si="0"/>
        <v>0</v>
      </c>
      <c r="F17" s="1445" t="str">
        <f t="shared" si="1"/>
        <v/>
      </c>
      <c r="BA17" s="254" t="str">
        <f t="shared" si="2"/>
        <v>无增减值</v>
      </c>
      <c r="BB17" s="336">
        <f t="shared" si="3"/>
        <v>0</v>
      </c>
      <c r="BC17" s="336">
        <f t="shared" si="4"/>
        <v>0</v>
      </c>
      <c r="BD17" s="229" t="str">
        <f t="shared" si="5"/>
        <v>无增减值</v>
      </c>
    </row>
    <row r="18" customHeight="1" spans="1:56">
      <c r="A18" s="1443" t="s">
        <v>1535</v>
      </c>
      <c r="B18" s="1444">
        <v>12</v>
      </c>
      <c r="C18" s="1445">
        <f>ROUND(分类汇总!D59/10000,2)</f>
        <v>0</v>
      </c>
      <c r="D18" s="1445">
        <f>ROUND(分类汇总!E59/10000,2)</f>
        <v>0</v>
      </c>
      <c r="E18" s="1445">
        <f t="shared" si="0"/>
        <v>0</v>
      </c>
      <c r="F18" s="1445" t="str">
        <f t="shared" si="1"/>
        <v/>
      </c>
      <c r="BA18" s="254" t="str">
        <f t="shared" si="2"/>
        <v>无增减值</v>
      </c>
      <c r="BB18" s="336">
        <f t="shared" si="3"/>
        <v>0</v>
      </c>
      <c r="BC18" s="336">
        <f t="shared" si="4"/>
        <v>0</v>
      </c>
      <c r="BD18" s="229" t="str">
        <f t="shared" si="5"/>
        <v>无增减值</v>
      </c>
    </row>
    <row r="19" s="1003" customFormat="1" customHeight="1" spans="1:56">
      <c r="A19" s="1447" t="s">
        <v>1536</v>
      </c>
      <c r="B19" s="1439">
        <v>13</v>
      </c>
      <c r="C19" s="1448">
        <f>SUM(C17:C18)</f>
        <v>0</v>
      </c>
      <c r="D19" s="1448">
        <f>SUM(D17:D18)</f>
        <v>0</v>
      </c>
      <c r="E19" s="1448">
        <f t="shared" si="0"/>
        <v>0</v>
      </c>
      <c r="F19" s="1448" t="str">
        <f t="shared" si="1"/>
        <v/>
      </c>
      <c r="BA19" s="287" t="str">
        <f t="shared" si="2"/>
        <v>无增减值</v>
      </c>
      <c r="BB19" s="1449">
        <f t="shared" si="3"/>
        <v>0</v>
      </c>
      <c r="BC19" s="1449">
        <f t="shared" si="4"/>
        <v>0</v>
      </c>
      <c r="BD19" s="271" t="str">
        <f t="shared" si="5"/>
        <v>无增减值</v>
      </c>
    </row>
    <row r="20" s="1003" customFormat="1" customHeight="1" spans="1:56">
      <c r="A20" s="1450" t="s">
        <v>1537</v>
      </c>
      <c r="B20" s="1439">
        <v>14</v>
      </c>
      <c r="C20" s="1448">
        <f>C16-C19</f>
        <v>3.56</v>
      </c>
      <c r="D20" s="1448">
        <f>D16-D19</f>
        <v>283.71</v>
      </c>
      <c r="E20" s="1448">
        <f t="shared" si="0"/>
        <v>280.15</v>
      </c>
      <c r="F20" s="1448">
        <f>在用周转!Y403</f>
        <v>7878.79782954491</v>
      </c>
      <c r="BA20" s="287" t="str">
        <f t="shared" si="2"/>
        <v>增值</v>
      </c>
      <c r="BB20" s="1449">
        <f t="shared" si="3"/>
        <v>280.15</v>
      </c>
      <c r="BC20" s="1449">
        <f t="shared" si="4"/>
        <v>7878.79782954491</v>
      </c>
      <c r="BD20" s="271" t="str">
        <f t="shared" si="5"/>
        <v>增值280.15万元，增值率7878.80%</v>
      </c>
    </row>
    <row r="21" customHeight="1" spans="1:56">
      <c r="A21" s="279" t="s">
        <v>1538</v>
      </c>
      <c r="B21" s="1451"/>
      <c r="C21" s="1451"/>
      <c r="D21" s="1452"/>
      <c r="E21" s="1451"/>
      <c r="F21" s="1453" t="s">
        <v>1539</v>
      </c>
    </row>
    <row r="22" s="1428" customFormat="1" customHeight="1" spans="1:56">
      <c r="A22" s="254" t="s">
        <v>1540</v>
      </c>
      <c r="B22" s="279"/>
      <c r="C22" s="1454">
        <f>IFERROR(C20-分类汇总!D69/10000,0)</f>
        <v>0.00424800000000047</v>
      </c>
      <c r="D22" s="1454">
        <f>IFERROR(D20-分类汇总!E69/10000,0)</f>
        <v>0.00373660000019527</v>
      </c>
      <c r="E22" s="1454">
        <f>IFERROR(E20-分类汇总!F69/10000,0)</f>
        <v>-0.00051139999982297</v>
      </c>
      <c r="F22" s="1454">
        <f>IFERROR(F20-分类汇总!G69,0)</f>
        <v>0</v>
      </c>
    </row>
    <row r="23" customHeight="1"/>
    <row r="24" customHeight="1"/>
    <row r="25" customHeight="1"/>
  </sheetData>
  <sheetProtection autoFilter="0"/>
  <mergeCells count="3">
    <mergeCell ref="A1:F1"/>
    <mergeCell ref="A2:F2"/>
    <mergeCell ref="A5:B6"/>
  </mergeCells>
  <conditionalFormatting sqref="C22:F22">
    <cfRule type="cellIs" dxfId="1" priority="3" stopIfTrue="1" operator="notEqual">
      <formula>0</formula>
    </cfRule>
  </conditionalFormatting>
  <conditionalFormatting sqref="C7:F19">
    <cfRule type="expression" dxfId="3" priority="1">
      <formula>$C7+$D7=0</formula>
    </cfRule>
  </conditionalFormatting>
  <printOptions horizontalCentered="1"/>
  <pageMargins left="0.708661417322835" right="0.708661417322835" top="0.748031496062992" bottom="0.748031496062992" header="0.31496062992126" footer="0.31496062992126"/>
  <pageSetup paperSize="9"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FF0000"/>
  </sheetPr>
  <dimension ref="A1:CL90"/>
  <sheetViews>
    <sheetView workbookViewId="0">
      <pane xSplit="3" ySplit="7" topLeftCell="D8" activePane="bottomRight" state="frozen"/>
      <selection/>
      <selection pane="topRight"/>
      <selection pane="bottomLeft"/>
      <selection pane="bottomRight" activeCell="D22" sqref="D22"/>
    </sheetView>
  </sheetViews>
  <sheetFormatPr defaultColWidth="9" defaultRowHeight="15.75" customHeight="1"/>
  <cols>
    <col min="1" max="1" width="5.6" style="229" customWidth="1"/>
    <col min="2" max="2" width="25.6" style="229" customWidth="1"/>
    <col min="3" max="3" width="20.6" style="229" hidden="1" customWidth="1" outlineLevel="1"/>
    <col min="4" max="4" width="20.6" style="229" customWidth="1" collapsed="1"/>
    <col min="5" max="7" width="20.6" style="229" customWidth="1"/>
    <col min="8" max="8" width="12.6" style="229" customWidth="1"/>
    <col min="9" max="9" width="6.6" style="229" customWidth="1"/>
    <col min="10" max="10" width="12.6" style="229" customWidth="1"/>
    <col min="11" max="11" width="6.6" style="229" customWidth="1"/>
    <col min="12" max="12" width="4.7" style="254" hidden="1" customWidth="1" outlineLevel="1"/>
    <col min="13" max="52" width="9" style="229" hidden="1" customWidth="1" outlineLevel="1"/>
    <col min="53" max="53" width="10.6" style="242" customWidth="1" collapsed="1"/>
    <col min="54" max="55" width="10.6" style="242" customWidth="1"/>
    <col min="56" max="56" width="10.6" style="252" customWidth="1"/>
    <col min="57" max="60" width="10.6" style="242" customWidth="1"/>
    <col min="61" max="61" width="1.6" style="1304" customWidth="1"/>
    <col min="62" max="69" width="10.6" style="242" customWidth="1"/>
    <col min="70" max="70" width="1.6" style="229" customWidth="1"/>
    <col min="71" max="74" width="8.6" style="158" customWidth="1"/>
    <col min="75" max="75" width="1.6" style="158" customWidth="1"/>
    <col min="76" max="78" width="10.6" style="158" customWidth="1"/>
    <col min="79" max="79" width="1.6" style="158" customWidth="1"/>
    <col min="80" max="80" width="10.6" style="158" customWidth="1"/>
    <col min="81" max="81" width="10.6" style="1389" customWidth="1"/>
    <col min="82" max="82" width="6.3" style="1390" customWidth="1"/>
    <col min="83" max="84" width="4.7" style="158" customWidth="1"/>
    <col min="85" max="85" width="8" style="228" customWidth="1"/>
    <col min="86" max="87" width="8.6" style="158" customWidth="1"/>
    <col min="88" max="88" width="8.6" style="75" customWidth="1"/>
    <col min="89" max="16384" width="9" style="229"/>
  </cols>
  <sheetData>
    <row r="1" ht="19.2" customHeight="1" spans="1:90">
      <c r="A1" s="1391" t="s">
        <v>233</v>
      </c>
      <c r="B1" s="1392" t="s">
        <v>1541</v>
      </c>
      <c r="C1" s="1393"/>
      <c r="D1" s="1393"/>
      <c r="E1" s="1393"/>
      <c r="F1" s="1393"/>
      <c r="G1" s="1393"/>
      <c r="H1" s="1393"/>
      <c r="I1" s="1393"/>
      <c r="BA1" s="1359" t="str">
        <f>参数表!BA1</f>
        <v>注意：补充特殊事项、作价等均从BA列开始填写</v>
      </c>
      <c r="BB1" s="1394"/>
      <c r="BS1" s="86"/>
      <c r="BT1" s="86"/>
      <c r="BU1" s="86"/>
      <c r="BV1" s="86"/>
      <c r="BW1" s="86"/>
      <c r="BX1" s="86"/>
      <c r="BY1" s="86"/>
      <c r="BZ1" s="86"/>
      <c r="CA1" s="86"/>
      <c r="CB1" s="86"/>
      <c r="CC1" s="1395"/>
      <c r="CD1" s="1396"/>
      <c r="CE1" s="86"/>
      <c r="CF1" s="86"/>
      <c r="CG1" s="82"/>
      <c r="CH1" s="86"/>
      <c r="CI1" s="86"/>
      <c r="CJ1" s="70"/>
      <c r="CK1" s="232"/>
      <c r="CL1" s="232"/>
    </row>
    <row r="2" s="237" customFormat="1" ht="30" customHeight="1" spans="1:90">
      <c r="A2" s="1361" t="s">
        <v>1542</v>
      </c>
      <c r="B2" s="1361"/>
      <c r="C2" s="1361"/>
      <c r="D2" s="1361"/>
      <c r="E2" s="1361"/>
      <c r="F2" s="1361"/>
      <c r="G2" s="1361"/>
      <c r="H2" s="1361"/>
      <c r="I2" s="1361"/>
      <c r="L2" s="295"/>
      <c r="BA2" s="1394" t="str">
        <f>参数表!BA2</f>
        <v>评估基准日：</v>
      </c>
      <c r="BB2" s="1394" t="str">
        <f>参数表!BB2</f>
        <v>2025年7月31日</v>
      </c>
      <c r="BC2" s="1397"/>
      <c r="BD2" s="1398"/>
      <c r="BE2" s="1397"/>
      <c r="BF2" s="1397"/>
      <c r="BG2" s="1397"/>
      <c r="BH2" s="1397"/>
      <c r="BI2" s="1362"/>
      <c r="BJ2" s="1397"/>
      <c r="BK2" s="1397"/>
      <c r="BL2" s="1397"/>
      <c r="BM2" s="1397"/>
      <c r="BN2" s="1397"/>
      <c r="BO2" s="1397"/>
      <c r="BP2" s="1397"/>
      <c r="BQ2" s="1397"/>
      <c r="BS2" s="235"/>
      <c r="BT2" s="235"/>
      <c r="BU2" s="235"/>
      <c r="BV2" s="235"/>
      <c r="BW2" s="235"/>
      <c r="BX2" s="235"/>
      <c r="BY2" s="235"/>
      <c r="BZ2" s="235"/>
      <c r="CA2" s="235"/>
      <c r="CB2" s="235"/>
      <c r="CC2" s="1399"/>
      <c r="CD2" s="1400"/>
      <c r="CE2" s="235"/>
      <c r="CF2" s="235"/>
      <c r="CG2" s="236"/>
      <c r="CH2" s="235"/>
      <c r="CI2" s="235"/>
      <c r="CJ2" s="71"/>
    </row>
    <row r="3" ht="15" customHeight="1" spans="1:90">
      <c r="A3" s="1363" t="str">
        <f>参数表!F5</f>
        <v>评估基准日：2025年7月31日</v>
      </c>
      <c r="B3" s="1363"/>
      <c r="C3" s="1363"/>
      <c r="D3" s="1363"/>
      <c r="E3" s="1363"/>
      <c r="F3" s="1363"/>
      <c r="G3" s="1363"/>
      <c r="H3" s="1363"/>
      <c r="I3" s="1363"/>
      <c r="BA3" s="1394" t="str">
        <f>参数表!BA3</f>
        <v>是否显示评估值：</v>
      </c>
      <c r="BB3" s="1394" t="str">
        <f>参数表!BB3</f>
        <v>是</v>
      </c>
    </row>
    <row r="4" ht="15" customHeight="1" spans="1:90">
      <c r="A4" s="1363"/>
      <c r="B4" s="1363"/>
      <c r="C4" s="1363"/>
      <c r="D4" s="1363"/>
      <c r="E4" s="1363"/>
      <c r="F4" s="1363"/>
      <c r="G4" s="1364" t="s">
        <v>1543</v>
      </c>
      <c r="H4" s="1364"/>
      <c r="I4" s="1364"/>
      <c r="BA4" s="241" t="s">
        <v>1544</v>
      </c>
      <c r="BB4" s="241"/>
      <c r="BC4" s="241"/>
      <c r="BD4" s="241"/>
      <c r="BE4" s="241"/>
      <c r="BF4" s="241"/>
      <c r="BG4" s="241"/>
      <c r="BH4" s="241"/>
      <c r="BJ4" s="241" t="s">
        <v>1545</v>
      </c>
      <c r="BK4" s="241"/>
      <c r="BL4" s="241"/>
      <c r="BM4" s="241"/>
      <c r="BN4" s="241"/>
      <c r="BO4" s="241"/>
      <c r="BP4" s="241"/>
      <c r="BQ4" s="241"/>
      <c r="BR4" s="288"/>
      <c r="CG4" s="263" t="s">
        <v>1546</v>
      </c>
      <c r="CH4" s="1401" t="str">
        <f>CONCATENATE(CH7,CI7,CH8,CI8,CH9,CI9,CH10,CI10,CH11,CI11,CH12,CI12,CH13,CI13,CH14)</f>
        <v>存货</v>
      </c>
      <c r="CI4" s="263" t="str">
        <f>CONCATENATE(CL7,CL8,CL9,CL10,CL11,CL12,CL13,CL14)</f>
        <v>(1)存货账面价值3.56万元，主要为在用周转材料。</v>
      </c>
      <c r="CJ4" s="263"/>
      <c r="CK4" s="263"/>
      <c r="CL4" s="263"/>
    </row>
    <row r="5" ht="15" customHeight="1" spans="1:90">
      <c r="A5" s="1387" t="str">
        <f>参数表!F3</f>
        <v>产权持有单位:中煤第五建设有限公司</v>
      </c>
      <c r="G5" s="1379" t="s">
        <v>236</v>
      </c>
      <c r="H5" s="1379"/>
      <c r="I5" s="1402" t="str">
        <f>IF(SUBTOTAL(109,I7:I69)=0,"OK","出错")</f>
        <v>出错</v>
      </c>
      <c r="K5" s="1402" t="str">
        <f>IF(SUBTOTAL(109,K7:K69)=0,"OK","出错")</f>
        <v>出错</v>
      </c>
      <c r="BA5" s="245" t="s">
        <v>1523</v>
      </c>
      <c r="BB5" s="245"/>
      <c r="BC5" s="245"/>
      <c r="BD5" s="245"/>
      <c r="BE5" s="246" t="s">
        <v>1524</v>
      </c>
      <c r="BF5" s="246"/>
      <c r="BG5" s="246"/>
      <c r="BH5" s="246"/>
      <c r="BJ5" s="245" t="s">
        <v>1523</v>
      </c>
      <c r="BK5" s="245"/>
      <c r="BL5" s="245"/>
      <c r="BM5" s="245"/>
      <c r="BN5" s="246" t="s">
        <v>1524</v>
      </c>
      <c r="BO5" s="246"/>
      <c r="BP5" s="246"/>
      <c r="BQ5" s="246"/>
      <c r="BR5" s="288"/>
      <c r="BV5" s="254" t="s">
        <v>1547</v>
      </c>
      <c r="CE5" s="228">
        <f>MAX(CE7:CE42)</f>
        <v>2</v>
      </c>
      <c r="CF5" s="228"/>
      <c r="CG5" s="228">
        <f>MAX(CG7:CG42)</f>
        <v>2</v>
      </c>
      <c r="CH5" s="1390">
        <f>SUMIF(CE7:CE42,"&lt;="&amp;CG5,CD7:CD42)</f>
        <v>1</v>
      </c>
      <c r="CI5" s="1390"/>
    </row>
    <row r="6" s="287" customFormat="1" ht="14.7" customHeight="1" spans="1:90">
      <c r="A6" s="1403" t="s">
        <v>305</v>
      </c>
      <c r="B6" s="1376" t="s">
        <v>1548</v>
      </c>
      <c r="C6" s="1403" t="s">
        <v>1549</v>
      </c>
      <c r="D6" s="1403" t="s">
        <v>1523</v>
      </c>
      <c r="E6" s="1403" t="s">
        <v>1550</v>
      </c>
      <c r="F6" s="1403" t="s">
        <v>1525</v>
      </c>
      <c r="G6" s="1403" t="s">
        <v>1551</v>
      </c>
      <c r="H6" s="1403" t="s">
        <v>1552</v>
      </c>
      <c r="I6" s="1403" t="s">
        <v>1553</v>
      </c>
      <c r="J6" s="1404" t="s">
        <v>1554</v>
      </c>
      <c r="K6" s="1404" t="s">
        <v>1553</v>
      </c>
      <c r="L6" s="287" t="s">
        <v>1555</v>
      </c>
      <c r="BA6" s="246" t="s">
        <v>1556</v>
      </c>
      <c r="BB6" s="246" t="s">
        <v>1557</v>
      </c>
      <c r="BC6" s="246" t="s">
        <v>1558</v>
      </c>
      <c r="BD6" s="246" t="s">
        <v>271</v>
      </c>
      <c r="BE6" s="246" t="s">
        <v>1556</v>
      </c>
      <c r="BF6" s="246" t="s">
        <v>1557</v>
      </c>
      <c r="BG6" s="246" t="s">
        <v>1558</v>
      </c>
      <c r="BH6" s="246" t="s">
        <v>271</v>
      </c>
      <c r="BI6" s="1405"/>
      <c r="BJ6" s="246" t="s">
        <v>1556</v>
      </c>
      <c r="BK6" s="246" t="s">
        <v>1557</v>
      </c>
      <c r="BL6" s="246" t="s">
        <v>1558</v>
      </c>
      <c r="BM6" s="246" t="s">
        <v>271</v>
      </c>
      <c r="BN6" s="246" t="s">
        <v>1556</v>
      </c>
      <c r="BO6" s="246" t="s">
        <v>1557</v>
      </c>
      <c r="BP6" s="246" t="s">
        <v>1558</v>
      </c>
      <c r="BQ6" s="246" t="s">
        <v>271</v>
      </c>
      <c r="BR6" s="964"/>
      <c r="BS6" s="263" t="s">
        <v>1559</v>
      </c>
      <c r="BT6" s="263" t="s">
        <v>1560</v>
      </c>
      <c r="BU6" s="263" t="s">
        <v>1561</v>
      </c>
      <c r="BV6" s="1403" t="s">
        <v>1562</v>
      </c>
      <c r="BW6" s="268"/>
      <c r="BX6" s="263" t="s">
        <v>1563</v>
      </c>
      <c r="BY6" s="263" t="s">
        <v>1564</v>
      </c>
      <c r="BZ6" s="263" t="s">
        <v>1565</v>
      </c>
      <c r="CA6" s="268"/>
      <c r="CB6" s="263" t="s">
        <v>1566</v>
      </c>
      <c r="CC6" s="1406" t="s">
        <v>1567</v>
      </c>
      <c r="CD6" s="1407" t="s">
        <v>1568</v>
      </c>
      <c r="CE6" s="263" t="s">
        <v>1569</v>
      </c>
      <c r="CF6" s="268"/>
      <c r="CG6" s="1385" t="s">
        <v>1570</v>
      </c>
      <c r="CH6" s="1385" t="s">
        <v>1571</v>
      </c>
      <c r="CI6" s="1385" t="s">
        <v>1572</v>
      </c>
      <c r="CJ6" s="1403" t="s">
        <v>1567</v>
      </c>
      <c r="CK6" s="263" t="s">
        <v>1563</v>
      </c>
      <c r="CL6" s="1403" t="s">
        <v>1562</v>
      </c>
    </row>
    <row r="7" s="271" customFormat="1" ht="14.7" customHeight="1" spans="1:90">
      <c r="A7" s="1385">
        <f>SUBTOTAL(103,$B$7:B7)</f>
        <v>1</v>
      </c>
      <c r="B7" s="1408" t="s">
        <v>1573</v>
      </c>
      <c r="C7" s="1409">
        <f>SUM(C8:C21)</f>
        <v>35557.52</v>
      </c>
      <c r="D7" s="1409">
        <f>SUM(D8:D21)</f>
        <v>35557.52</v>
      </c>
      <c r="E7" s="1409">
        <f>SUM(E8:E21)</f>
        <v>2837062.634</v>
      </c>
      <c r="F7" s="1409">
        <f>E7-D7</f>
        <v>2801505.114</v>
      </c>
      <c r="G7" s="1409">
        <f t="shared" ref="G7:G33" si="0">IFERROR(F7/ABS(D7)*100,"")</f>
        <v>7878.79782954491</v>
      </c>
      <c r="H7" s="1410">
        <f>SUBTOTAL(109,H8:H21)</f>
        <v>0</v>
      </c>
      <c r="I7" s="1410">
        <f>C7-H7</f>
        <v>35557.52</v>
      </c>
      <c r="J7" s="1411">
        <f>SUBTOTAL(109,J8:J21)</f>
        <v>0</v>
      </c>
      <c r="K7" s="1411">
        <f>ROUND(D7-J7,2)</f>
        <v>35557.52</v>
      </c>
      <c r="L7" s="287" t="s">
        <v>341</v>
      </c>
      <c r="BA7" s="266">
        <f t="shared" ref="BA7:BH7" si="1">SUM(BA8:BA21)</f>
        <v>35557.52</v>
      </c>
      <c r="BB7" s="266">
        <f t="shared" si="1"/>
        <v>35557.52</v>
      </c>
      <c r="BC7" s="266">
        <f t="shared" si="1"/>
        <v>0</v>
      </c>
      <c r="BD7" s="266">
        <f t="shared" si="1"/>
        <v>35557.52</v>
      </c>
      <c r="BE7" s="266">
        <f t="shared" si="1"/>
        <v>2837062.634</v>
      </c>
      <c r="BF7" s="266">
        <f t="shared" si="1"/>
        <v>2837062.634</v>
      </c>
      <c r="BG7" s="266">
        <f t="shared" si="1"/>
        <v>0</v>
      </c>
      <c r="BH7" s="266">
        <f t="shared" si="1"/>
        <v>2837062.634</v>
      </c>
      <c r="BI7" s="1377"/>
      <c r="BJ7" s="266">
        <f t="shared" ref="BJ7:BQ7" si="2">SUM(BJ8:BJ21)</f>
        <v>0</v>
      </c>
      <c r="BK7" s="266">
        <f t="shared" si="2"/>
        <v>0</v>
      </c>
      <c r="BL7" s="266">
        <f t="shared" si="2"/>
        <v>0</v>
      </c>
      <c r="BM7" s="266">
        <f t="shared" si="2"/>
        <v>0</v>
      </c>
      <c r="BN7" s="266">
        <f t="shared" si="2"/>
        <v>0</v>
      </c>
      <c r="BO7" s="266">
        <f t="shared" si="2"/>
        <v>0</v>
      </c>
      <c r="BP7" s="266">
        <f t="shared" si="2"/>
        <v>0</v>
      </c>
      <c r="BQ7" s="266">
        <f t="shared" si="2"/>
        <v>0</v>
      </c>
      <c r="BR7" s="289"/>
      <c r="BS7" s="263" t="str">
        <f>IF(F7&gt;0,"增值",IF(F7=0,"无增减值","减值"))</f>
        <v>增值</v>
      </c>
      <c r="BT7" s="1412">
        <f>ABS(F7)/10000</f>
        <v>280.1505114</v>
      </c>
      <c r="BU7" s="1412">
        <f t="shared" ref="BU7:BU20" si="3">IFERROR(ABS(G7),0)</f>
        <v>7878.79782954491</v>
      </c>
      <c r="BV7" s="1413" t="str">
        <f>IF(BS7="无增减值",BS7,BS7&amp;TEXT(BT7,"#,##0.00")&amp;BV$5&amp;IF(BU7=0,"","，"&amp;BS7&amp;"率"&amp;TEXT(BU7/100,"0.00%")))</f>
        <v>增值280.15万元，增值率7878.80%</v>
      </c>
      <c r="BW7" s="992"/>
      <c r="BX7" s="139" t="str">
        <f>流动资总!BT5</f>
        <v>存货</v>
      </c>
      <c r="BY7" s="139"/>
      <c r="BZ7" s="139" t="str">
        <f>IF(BX7="","",BX7&amp;BY7)</f>
        <v>存货</v>
      </c>
      <c r="CA7" s="992"/>
      <c r="CB7" s="145" t="str">
        <f t="shared" ref="CB7:CB43" si="4">IF(RIGHT(B7,1)="计","",B7)</f>
        <v/>
      </c>
      <c r="CC7" s="1414">
        <f t="shared" ref="CC7:CC42" si="5">IF(CB7="",0,D7)</f>
        <v>0</v>
      </c>
      <c r="CD7" s="1415">
        <f t="shared" ref="CD7:CD42" si="6">IFERROR(CC7/D$43,0)</f>
        <v>0</v>
      </c>
      <c r="CE7" s="141">
        <f>RANK(CC7,CC$7:CC$42)</f>
        <v>2</v>
      </c>
      <c r="CF7" s="228"/>
      <c r="CG7" s="141">
        <v>1</v>
      </c>
      <c r="CH7" s="145" t="str">
        <f>IFERROR(INDEX(CB$7:CB$42,MATCH(CG7,CE$7:CE$42,0)),"")</f>
        <v>存货</v>
      </c>
      <c r="CI7" s="141" t="str">
        <f>IF(CH8="","",IF(AND(CH8&lt;&gt;"",CH9=""),"和","、"))</f>
        <v/>
      </c>
      <c r="CJ7" s="343">
        <f>SUMIF(CB:CB,CH7,CC:CC)/10000</f>
        <v>3.555752</v>
      </c>
      <c r="CK7" s="1416" t="str">
        <f t="shared" ref="CK7:CK14" si="7">IFERROR(INDEX(BZ$7:BZ$42,MATCH(CH7,CB$7:CB$42,0)),"")</f>
        <v>在用周转材料</v>
      </c>
      <c r="CL7" s="1416" t="str">
        <f>IF(CH7="","","("&amp;CG7&amp;")"&amp;CH7&amp;"账面价值"&amp;TEXT(CJ7,"#,##0.00")&amp;"万元，主要为"&amp;CK7&amp;"。")&amp;IF(CL8="","",CHAR(10))</f>
        <v>(1)存货账面价值3.56万元，主要为在用周转材料。</v>
      </c>
    </row>
    <row r="8" ht="14.7" customHeight="1" spans="1:90">
      <c r="A8" s="325">
        <f>SUBTOTAL(103,$B$7:B8)</f>
        <v>2</v>
      </c>
      <c r="B8" s="1417" t="str">
        <f>流动资总!B7</f>
        <v>货币资金</v>
      </c>
      <c r="C8" s="958">
        <f>流动资总!C7</f>
        <v>0</v>
      </c>
      <c r="D8" s="958">
        <f>流动资总!D7</f>
        <v>0</v>
      </c>
      <c r="E8" s="958">
        <f>流动资总!E7</f>
        <v>0</v>
      </c>
      <c r="F8" s="958">
        <f t="shared" ref="F8:F33" si="8">E8-D8</f>
        <v>0</v>
      </c>
      <c r="G8" s="958" t="str">
        <f t="shared" si="0"/>
        <v/>
      </c>
      <c r="H8" s="1418">
        <f>SUM(SUMIF('资负表（未审）-旧'!A$7:A$35,B8,'资负表（未审）-旧'!D$7:D$35),SUMIF('资负表（未审）-旧'!F$7:F$27,B8,'资负表（未审）-旧'!I$7:I$27),SUMIF('资负表（未审）-新'!A$7:A$39,B8,'资负表（未审）-新'!D$7:D$39),SUMIF('资负表（未审）-新'!F$7:F$29,B8,'资负表（未审）-新'!I$7:I$29))</f>
        <v>0</v>
      </c>
      <c r="I8" s="1418">
        <f>C8-H8</f>
        <v>0</v>
      </c>
      <c r="J8" s="1419">
        <f>SUM(SUMIF('资负表（已审）-旧'!A$7:A$35,B8,'资负表（已审）-旧'!D$7:D$35),SUMIF('资负表（已审）-旧'!F$7:F$27,B8,'资负表（已审）-旧'!I$7:I$27),SUMIF('资负表（已审）-新'!A$7:A$39,B8,'资负表（已审）-新'!D$7:D$39),SUMIF('资负表（已审）-新'!F$7:F$29,B8,'资负表（已审）-新'!I$7:I$29))</f>
        <v>0</v>
      </c>
      <c r="K8" s="1419">
        <f>ROUND(D8-J8,2)</f>
        <v>0</v>
      </c>
      <c r="L8" s="254" t="s">
        <v>341</v>
      </c>
      <c r="BA8" s="256">
        <f>流动资总!BA7</f>
        <v>0</v>
      </c>
      <c r="BB8" s="256">
        <f>流动资总!BB7</f>
        <v>0</v>
      </c>
      <c r="BC8" s="256">
        <f t="shared" ref="BC8:BC67" si="9">BB8-BD8</f>
        <v>0</v>
      </c>
      <c r="BD8" s="256">
        <f t="shared" ref="BD8:BD67" si="10">D8</f>
        <v>0</v>
      </c>
      <c r="BE8" s="256">
        <f>流动资总!BE7</f>
        <v>0</v>
      </c>
      <c r="BF8" s="256">
        <f>流动资总!BF7</f>
        <v>0</v>
      </c>
      <c r="BG8" s="256">
        <f t="shared" ref="BG8:BG67" si="11">BF8-BH8</f>
        <v>0</v>
      </c>
      <c r="BH8" s="256">
        <f t="shared" ref="BH8:BH67" si="12">E8</f>
        <v>0</v>
      </c>
      <c r="BJ8" s="256">
        <f>流动资总!BJ7</f>
        <v>0</v>
      </c>
      <c r="BK8" s="256">
        <f>流动资总!BK7</f>
        <v>0</v>
      </c>
      <c r="BL8" s="256">
        <f>流动资总!BL7</f>
        <v>0</v>
      </c>
      <c r="BM8" s="256">
        <f t="shared" ref="BM8:BM67" si="13">BK8-BL8</f>
        <v>0</v>
      </c>
      <c r="BN8" s="256">
        <f>流动资总!BN7</f>
        <v>0</v>
      </c>
      <c r="BO8" s="256">
        <f>流动资总!BO7</f>
        <v>0</v>
      </c>
      <c r="BP8" s="256">
        <f>流动资总!BP7</f>
        <v>0</v>
      </c>
      <c r="BQ8" s="256">
        <f t="shared" ref="BQ8:BQ67" si="14">BO8-BP8</f>
        <v>0</v>
      </c>
      <c r="BR8" s="288"/>
      <c r="BS8" s="141" t="str">
        <f t="shared" ref="BS8:BS20" si="15">IF(F8&gt;0,"增值",IF(F8=0,"无增减值","减值"))</f>
        <v>无增减值</v>
      </c>
      <c r="BT8" s="178">
        <f t="shared" ref="BT8:BT69" si="16">ABS(F8)/10000</f>
        <v>0</v>
      </c>
      <c r="BU8" s="178">
        <f t="shared" si="3"/>
        <v>0</v>
      </c>
      <c r="BV8" s="1420" t="str">
        <f>IF(BS8="无增减值",BS8,BS8&amp;TEXT(BT8,"#,##0.00")&amp;BV$5&amp;IF(BU8=0,"","，"&amp;BS8&amp;"率"&amp;TEXT(BU8/100,"0.00%")))</f>
        <v>无增减值</v>
      </c>
      <c r="BW8" s="259"/>
      <c r="BX8" s="139" t="str">
        <f>货币资金总!BT5</f>
        <v/>
      </c>
      <c r="BY8" s="139"/>
      <c r="BZ8" s="139" t="str">
        <f t="shared" ref="BZ8:BZ67" si="17">IF(BX8="","",BX8&amp;BY8)</f>
        <v/>
      </c>
      <c r="CA8" s="259"/>
      <c r="CB8" s="145" t="str">
        <f t="shared" si="4"/>
        <v>货币资金</v>
      </c>
      <c r="CC8" s="1414">
        <f t="shared" si="5"/>
        <v>0</v>
      </c>
      <c r="CD8" s="1415">
        <f t="shared" si="6"/>
        <v>0</v>
      </c>
      <c r="CE8" s="141">
        <f t="shared" ref="CE8:CE42" si="18">RANK(CC8,CC$7:CC$42)</f>
        <v>2</v>
      </c>
      <c r="CF8" s="228"/>
      <c r="CG8" s="141">
        <f>IFERROR(IF(CG7+1&gt;CE$5,"",CG7+1),"")</f>
        <v>2</v>
      </c>
      <c r="CH8" s="145" t="str">
        <f t="shared" ref="CH8:CH12" si="19">IFERROR(INDEX(CB$7:CB$42,MATCH(CG8,CE$7:CE$42,0)),"")</f>
        <v/>
      </c>
      <c r="CI8" s="141" t="str">
        <f t="shared" ref="CI8:CI13" si="20">IF(CH9="","",IF(AND(CH9&lt;&gt;"",CH10=""),"和","、"))</f>
        <v/>
      </c>
      <c r="CJ8" s="343">
        <f t="shared" ref="CJ8:CJ14" si="21">SUMIF(CB:CB,CH8,CC:CC)/10000</f>
        <v>0</v>
      </c>
      <c r="CK8" s="1416" t="str">
        <f t="shared" si="7"/>
        <v>存货</v>
      </c>
      <c r="CL8" s="1416" t="str">
        <f t="shared" ref="CL8:CL13" si="22">IF(CH8="","","("&amp;CG8&amp;")"&amp;CH8&amp;"账面价值"&amp;TEXT(CJ8,"#,##0.00")&amp;"万元，主要为"&amp;CK8&amp;"。")&amp;IF(CL9="","",CHAR(10))</f>
        <v/>
      </c>
    </row>
    <row r="9" ht="14.55" customHeight="1" spans="1:90">
      <c r="A9" s="325">
        <f>SUBTOTAL(103,$B$7:B9)</f>
        <v>3</v>
      </c>
      <c r="B9" s="1417" t="str">
        <f>流动资总!B8</f>
        <v>以公允价值计量且其变动计入当期损益的金融资产</v>
      </c>
      <c r="C9" s="958">
        <f>流动资总!C8</f>
        <v>0</v>
      </c>
      <c r="D9" s="958">
        <f>流动资总!D8</f>
        <v>0</v>
      </c>
      <c r="E9" s="958">
        <f>流动资总!E8</f>
        <v>0</v>
      </c>
      <c r="F9" s="958">
        <f t="shared" si="8"/>
        <v>0</v>
      </c>
      <c r="G9" s="958" t="str">
        <f t="shared" si="0"/>
        <v/>
      </c>
      <c r="H9" s="1418">
        <f>SUM(SUMIF('资负表（未审）-旧'!A$7:A$35,B9,'资负表（未审）-旧'!D$7:D$35),SUMIF('资负表（未审）-旧'!F$7:F$27,B9,'资负表（未审）-旧'!I$7:I$27),SUMIF('资负表（未审）-新'!A$7:A$39,B9,'资负表（未审）-新'!D$7:D$39),SUMIF('资负表（未审）-新'!F$7:F$29,B9,'资负表（未审）-新'!I$7:I$29))</f>
        <v>0</v>
      </c>
      <c r="I9" s="1418">
        <f t="shared" ref="I9:I22" si="23">C9-H9</f>
        <v>0</v>
      </c>
      <c r="J9" s="1419">
        <f>SUM(SUMIF('资负表（已审）-旧'!A$7:A$35,B9,'资负表（已审）-旧'!D$7:D$35),SUMIF('资负表（已审）-旧'!F$7:F$27,B9,'资负表（已审）-旧'!I$7:I$27),SUMIF('资负表（已审）-新'!A$7:A$39,B9,'资负表（已审）-新'!D$7:D$39),SUMIF('资负表（已审）-新'!F$7:F$29,B9,'资负表（已审）-新'!I$7:I$29))</f>
        <v>0</v>
      </c>
      <c r="K9" s="1419">
        <f t="shared" ref="K9:K22" si="24">ROUND(D9-J9,2)</f>
        <v>0</v>
      </c>
      <c r="L9" s="254" t="s">
        <v>1574</v>
      </c>
      <c r="BA9" s="256">
        <f>流动资总!BA8</f>
        <v>0</v>
      </c>
      <c r="BB9" s="256">
        <f>流动资总!BB8</f>
        <v>0</v>
      </c>
      <c r="BC9" s="256">
        <f t="shared" si="9"/>
        <v>0</v>
      </c>
      <c r="BD9" s="256">
        <f t="shared" si="10"/>
        <v>0</v>
      </c>
      <c r="BE9" s="256">
        <f>流动资总!BE8</f>
        <v>0</v>
      </c>
      <c r="BF9" s="256">
        <f>流动资总!BF8</f>
        <v>0</v>
      </c>
      <c r="BG9" s="256">
        <f t="shared" si="11"/>
        <v>0</v>
      </c>
      <c r="BH9" s="256">
        <f t="shared" si="12"/>
        <v>0</v>
      </c>
      <c r="BJ9" s="256">
        <f>流动资总!BJ8</f>
        <v>0</v>
      </c>
      <c r="BK9" s="256">
        <f>流动资总!BK8</f>
        <v>0</v>
      </c>
      <c r="BL9" s="256">
        <f>流动资总!BL8</f>
        <v>0</v>
      </c>
      <c r="BM9" s="256">
        <f t="shared" si="13"/>
        <v>0</v>
      </c>
      <c r="BN9" s="256">
        <f>流动资总!BN8</f>
        <v>0</v>
      </c>
      <c r="BO9" s="256">
        <f>流动资总!BO8</f>
        <v>0</v>
      </c>
      <c r="BP9" s="256">
        <f>流动资总!BP8</f>
        <v>0</v>
      </c>
      <c r="BQ9" s="256">
        <f t="shared" si="14"/>
        <v>0</v>
      </c>
      <c r="BR9" s="288"/>
      <c r="BS9" s="141" t="str">
        <f t="shared" si="15"/>
        <v>无增减值</v>
      </c>
      <c r="BT9" s="178">
        <f t="shared" si="16"/>
        <v>0</v>
      </c>
      <c r="BU9" s="178">
        <f t="shared" si="3"/>
        <v>0</v>
      </c>
      <c r="BV9" s="1420" t="str">
        <f t="shared" ref="BV9:BV69" si="25">IF(BS9="无增减值",BS9,BS9&amp;TEXT(BT9,"#,##0.00")&amp;BV$5&amp;IF(BU9=0,"","，"&amp;BS9&amp;"率"&amp;TEXT(BU9/100,"0.00%")))</f>
        <v>无增减值</v>
      </c>
      <c r="BW9" s="259"/>
      <c r="BX9" s="139" t="str">
        <f>公允计量金资总!BT5</f>
        <v/>
      </c>
      <c r="BY9" s="139" t="s">
        <v>1575</v>
      </c>
      <c r="BZ9" s="139" t="str">
        <f t="shared" si="17"/>
        <v/>
      </c>
      <c r="CA9" s="259"/>
      <c r="CB9" s="145" t="str">
        <f t="shared" si="4"/>
        <v>以公允价值计量且其变动计入当期损益的金融资产</v>
      </c>
      <c r="CC9" s="1414">
        <f t="shared" si="5"/>
        <v>0</v>
      </c>
      <c r="CD9" s="1415">
        <f t="shared" si="6"/>
        <v>0</v>
      </c>
      <c r="CE9" s="141">
        <f t="shared" si="18"/>
        <v>2</v>
      </c>
      <c r="CF9" s="228"/>
      <c r="CG9" s="141" t="str">
        <f t="shared" ref="CG9:CG12" si="26">IFERROR(IF(CG8+1&gt;CE$5,"",CG8+1),"")</f>
        <v/>
      </c>
      <c r="CH9" s="145" t="str">
        <f t="shared" si="19"/>
        <v/>
      </c>
      <c r="CI9" s="141" t="str">
        <f t="shared" si="20"/>
        <v/>
      </c>
      <c r="CJ9" s="343">
        <f t="shared" si="21"/>
        <v>0</v>
      </c>
      <c r="CK9" s="1416" t="str">
        <f t="shared" si="7"/>
        <v>存货</v>
      </c>
      <c r="CL9" s="1416" t="str">
        <f t="shared" si="22"/>
        <v/>
      </c>
    </row>
    <row r="10" ht="14.7" customHeight="1" spans="1:90">
      <c r="A10" s="325">
        <f>SUBTOTAL(103,$B$7:B10)</f>
        <v>4</v>
      </c>
      <c r="B10" s="1417" t="str">
        <f>流动资总!B9</f>
        <v>交易性金融资产</v>
      </c>
      <c r="C10" s="958">
        <f>流动资总!C9</f>
        <v>0</v>
      </c>
      <c r="D10" s="958">
        <f>流动资总!D9</f>
        <v>0</v>
      </c>
      <c r="E10" s="958">
        <f>流动资总!E9</f>
        <v>0</v>
      </c>
      <c r="F10" s="958">
        <f t="shared" si="8"/>
        <v>0</v>
      </c>
      <c r="G10" s="958" t="str">
        <f t="shared" si="0"/>
        <v/>
      </c>
      <c r="H10" s="1418">
        <f>SUM(SUMIF('资负表（未审）-旧'!A$7:A$35,B10,'资负表（未审）-旧'!D$7:D$35),SUMIF('资负表（未审）-旧'!F$7:F$27,B10,'资负表（未审）-旧'!I$7:I$27),SUMIF('资负表（未审）-新'!A$7:A$39,B10,'资负表（未审）-新'!D$7:D$39),SUMIF('资负表（未审）-新'!F$7:F$29,B10,'资负表（未审）-新'!I$7:I$29))</f>
        <v>0</v>
      </c>
      <c r="I10" s="1418">
        <f t="shared" si="23"/>
        <v>0</v>
      </c>
      <c r="J10" s="1419">
        <f>SUM(SUMIF('资负表（已审）-旧'!A$7:A$35,B10,'资负表（已审）-旧'!D$7:D$35),SUMIF('资负表（已审）-旧'!F$7:F$27,B10,'资负表（已审）-旧'!I$7:I$27),SUMIF('资负表（已审）-新'!A$7:A$39,B10,'资负表（已审）-新'!D$7:D$39),SUMIF('资负表（已审）-新'!F$7:F$29,B10,'资负表（已审）-新'!I$7:I$29))</f>
        <v>0</v>
      </c>
      <c r="K10" s="1419">
        <f t="shared" si="24"/>
        <v>0</v>
      </c>
      <c r="L10" s="254" t="s">
        <v>1576</v>
      </c>
      <c r="BA10" s="256">
        <f>流动资总!BA9</f>
        <v>0</v>
      </c>
      <c r="BB10" s="256">
        <f>流动资总!BB9</f>
        <v>0</v>
      </c>
      <c r="BC10" s="256">
        <f t="shared" si="9"/>
        <v>0</v>
      </c>
      <c r="BD10" s="256">
        <f t="shared" si="10"/>
        <v>0</v>
      </c>
      <c r="BE10" s="256">
        <f>流动资总!BE9</f>
        <v>0</v>
      </c>
      <c r="BF10" s="256">
        <f>流动资总!BF9</f>
        <v>0</v>
      </c>
      <c r="BG10" s="256">
        <f t="shared" si="11"/>
        <v>0</v>
      </c>
      <c r="BH10" s="256">
        <f t="shared" si="12"/>
        <v>0</v>
      </c>
      <c r="BJ10" s="256">
        <f>流动资总!BJ9</f>
        <v>0</v>
      </c>
      <c r="BK10" s="256">
        <f>流动资总!BK9</f>
        <v>0</v>
      </c>
      <c r="BL10" s="256">
        <f>流动资总!BL9</f>
        <v>0</v>
      </c>
      <c r="BM10" s="256">
        <f t="shared" si="13"/>
        <v>0</v>
      </c>
      <c r="BN10" s="256">
        <f>流动资总!BN9</f>
        <v>0</v>
      </c>
      <c r="BO10" s="256">
        <f>流动资总!BO9</f>
        <v>0</v>
      </c>
      <c r="BP10" s="256">
        <f>流动资总!BP9</f>
        <v>0</v>
      </c>
      <c r="BQ10" s="256">
        <f t="shared" si="14"/>
        <v>0</v>
      </c>
      <c r="BR10" s="288"/>
      <c r="BS10" s="141" t="str">
        <f t="shared" si="15"/>
        <v>无增减值</v>
      </c>
      <c r="BT10" s="178">
        <f t="shared" si="16"/>
        <v>0</v>
      </c>
      <c r="BU10" s="178">
        <f t="shared" si="3"/>
        <v>0</v>
      </c>
      <c r="BV10" s="1420" t="str">
        <f t="shared" si="25"/>
        <v>无增减值</v>
      </c>
      <c r="BW10" s="259"/>
      <c r="BX10" s="139" t="str">
        <f>交易性金资总!BT5</f>
        <v/>
      </c>
      <c r="BY10" s="139" t="s">
        <v>1575</v>
      </c>
      <c r="BZ10" s="139" t="str">
        <f t="shared" si="17"/>
        <v/>
      </c>
      <c r="CA10" s="259"/>
      <c r="CB10" s="145" t="str">
        <f t="shared" si="4"/>
        <v>交易性金融资产</v>
      </c>
      <c r="CC10" s="1414">
        <f t="shared" si="5"/>
        <v>0</v>
      </c>
      <c r="CD10" s="1415">
        <f t="shared" si="6"/>
        <v>0</v>
      </c>
      <c r="CE10" s="141">
        <f t="shared" si="18"/>
        <v>2</v>
      </c>
      <c r="CF10" s="228"/>
      <c r="CG10" s="141" t="str">
        <f t="shared" si="26"/>
        <v/>
      </c>
      <c r="CH10" s="145" t="str">
        <f t="shared" si="19"/>
        <v/>
      </c>
      <c r="CI10" s="141" t="str">
        <f t="shared" si="20"/>
        <v/>
      </c>
      <c r="CJ10" s="343">
        <f t="shared" si="21"/>
        <v>0</v>
      </c>
      <c r="CK10" s="1416" t="str">
        <f t="shared" si="7"/>
        <v>存货</v>
      </c>
      <c r="CL10" s="1416" t="str">
        <f t="shared" si="22"/>
        <v/>
      </c>
    </row>
    <row r="11" ht="14.7" customHeight="1" spans="1:90">
      <c r="A11" s="325">
        <f>SUBTOTAL(103,$B$7:B11)</f>
        <v>5</v>
      </c>
      <c r="B11" s="1417" t="str">
        <f>流动资总!B10</f>
        <v>衍生金融资产</v>
      </c>
      <c r="C11" s="958">
        <f>流动资总!C10</f>
        <v>0</v>
      </c>
      <c r="D11" s="958">
        <f>流动资总!D10</f>
        <v>0</v>
      </c>
      <c r="E11" s="958">
        <f>流动资总!E10</f>
        <v>0</v>
      </c>
      <c r="F11" s="958">
        <f t="shared" si="8"/>
        <v>0</v>
      </c>
      <c r="G11" s="958" t="str">
        <f t="shared" si="0"/>
        <v/>
      </c>
      <c r="H11" s="1418">
        <f>SUM(SUMIF('资负表（未审）-旧'!A$7:A$35,B11,'资负表（未审）-旧'!D$7:D$35),SUMIF('资负表（未审）-旧'!F$7:F$27,B11,'资负表（未审）-旧'!I$7:I$27),SUMIF('资负表（未审）-新'!A$7:A$39,B11,'资负表（未审）-新'!D$7:D$39),SUMIF('资负表（未审）-新'!F$7:F$29,B11,'资负表（未审）-新'!I$7:I$29))</f>
        <v>0</v>
      </c>
      <c r="I11" s="1418">
        <f t="shared" si="23"/>
        <v>0</v>
      </c>
      <c r="J11" s="1419">
        <f>SUM(SUMIF('资负表（已审）-旧'!A$7:A$35,B11,'资负表（已审）-旧'!D$7:D$35),SUMIF('资负表（已审）-旧'!F$7:F$27,B11,'资负表（已审）-旧'!I$7:I$27),SUMIF('资负表（已审）-新'!A$7:A$39,B11,'资负表（已审）-新'!D$7:D$39),SUMIF('资负表（已审）-新'!F$7:F$29,B11,'资负表（已审）-新'!I$7:I$29))</f>
        <v>0</v>
      </c>
      <c r="K11" s="1419">
        <f t="shared" si="24"/>
        <v>0</v>
      </c>
      <c r="L11" s="254" t="s">
        <v>341</v>
      </c>
      <c r="BA11" s="256">
        <f>流动资总!BA10</f>
        <v>0</v>
      </c>
      <c r="BB11" s="256">
        <f>流动资总!BB10</f>
        <v>0</v>
      </c>
      <c r="BC11" s="256">
        <f t="shared" si="9"/>
        <v>0</v>
      </c>
      <c r="BD11" s="256">
        <f t="shared" si="10"/>
        <v>0</v>
      </c>
      <c r="BE11" s="256">
        <f>流动资总!BE10</f>
        <v>0</v>
      </c>
      <c r="BF11" s="256">
        <f>流动资总!BF10</f>
        <v>0</v>
      </c>
      <c r="BG11" s="256">
        <f t="shared" si="11"/>
        <v>0</v>
      </c>
      <c r="BH11" s="256">
        <f t="shared" si="12"/>
        <v>0</v>
      </c>
      <c r="BJ11" s="256">
        <f>流动资总!BJ10</f>
        <v>0</v>
      </c>
      <c r="BK11" s="256">
        <f>流动资总!BK10</f>
        <v>0</v>
      </c>
      <c r="BL11" s="256">
        <f>流动资总!BL10</f>
        <v>0</v>
      </c>
      <c r="BM11" s="256">
        <f t="shared" si="13"/>
        <v>0</v>
      </c>
      <c r="BN11" s="256">
        <f>流动资总!BN10</f>
        <v>0</v>
      </c>
      <c r="BO11" s="256">
        <f>流动资总!BO10</f>
        <v>0</v>
      </c>
      <c r="BP11" s="256">
        <f>流动资总!BP10</f>
        <v>0</v>
      </c>
      <c r="BQ11" s="256">
        <f t="shared" si="14"/>
        <v>0</v>
      </c>
      <c r="BR11" s="288"/>
      <c r="BS11" s="141" t="str">
        <f t="shared" si="15"/>
        <v>无增减值</v>
      </c>
      <c r="BT11" s="178">
        <f t="shared" si="16"/>
        <v>0</v>
      </c>
      <c r="BU11" s="178">
        <f t="shared" si="3"/>
        <v>0</v>
      </c>
      <c r="BV11" s="1420" t="str">
        <f t="shared" si="25"/>
        <v>无增减值</v>
      </c>
      <c r="BW11" s="259"/>
      <c r="BX11" s="139" t="str">
        <f>衍生金资!BX14</f>
        <v/>
      </c>
      <c r="BY11" s="139" t="s">
        <v>1575</v>
      </c>
      <c r="BZ11" s="139" t="str">
        <f t="shared" si="17"/>
        <v/>
      </c>
      <c r="CA11" s="259"/>
      <c r="CB11" s="145" t="str">
        <f t="shared" si="4"/>
        <v>衍生金融资产</v>
      </c>
      <c r="CC11" s="1414">
        <f t="shared" si="5"/>
        <v>0</v>
      </c>
      <c r="CD11" s="1415">
        <f t="shared" si="6"/>
        <v>0</v>
      </c>
      <c r="CE11" s="141">
        <f t="shared" si="18"/>
        <v>2</v>
      </c>
      <c r="CF11" s="228"/>
      <c r="CG11" s="141" t="str">
        <f t="shared" si="26"/>
        <v/>
      </c>
      <c r="CH11" s="145" t="str">
        <f t="shared" si="19"/>
        <v/>
      </c>
      <c r="CI11" s="141" t="str">
        <f t="shared" si="20"/>
        <v/>
      </c>
      <c r="CJ11" s="343">
        <f t="shared" si="21"/>
        <v>0</v>
      </c>
      <c r="CK11" s="1416" t="str">
        <f t="shared" si="7"/>
        <v>存货</v>
      </c>
      <c r="CL11" s="1416" t="str">
        <f t="shared" si="22"/>
        <v/>
      </c>
    </row>
    <row r="12" ht="14.7" customHeight="1" spans="1:90">
      <c r="A12" s="325">
        <f>SUBTOTAL(103,$B$7:B12)</f>
        <v>6</v>
      </c>
      <c r="B12" s="1417" t="str">
        <f>流动资总!B11</f>
        <v>应收票据</v>
      </c>
      <c r="C12" s="958">
        <f>流动资总!C11</f>
        <v>0</v>
      </c>
      <c r="D12" s="958">
        <f>流动资总!D11</f>
        <v>0</v>
      </c>
      <c r="E12" s="958">
        <f>流动资总!E11</f>
        <v>0</v>
      </c>
      <c r="F12" s="958">
        <f t="shared" si="8"/>
        <v>0</v>
      </c>
      <c r="G12" s="958" t="str">
        <f t="shared" si="0"/>
        <v/>
      </c>
      <c r="H12" s="1418">
        <f>SUM(SUMIF('资负表（未审）-旧'!A$7:A$35,B12,'资负表（未审）-旧'!D$7:D$35),SUMIF('资负表（未审）-旧'!F$7:F$27,B12,'资负表（未审）-旧'!I$7:I$27),SUMIF('资负表（未审）-新'!A$7:A$39,B12,'资负表（未审）-新'!D$7:D$39),SUMIF('资负表（未审）-新'!F$7:F$29,B12,'资负表（未审）-新'!I$7:I$29))</f>
        <v>0</v>
      </c>
      <c r="I12" s="1418">
        <f t="shared" si="23"/>
        <v>0</v>
      </c>
      <c r="J12" s="1419">
        <f>SUM(SUMIF('资负表（已审）-旧'!A$7:A$35,B12,'资负表（已审）-旧'!D$7:D$35),SUMIF('资负表（已审）-旧'!F$7:F$27,B12,'资负表（已审）-旧'!I$7:I$27),SUMIF('资负表（已审）-新'!A$7:A$39,B12,'资负表（已审）-新'!D$7:D$39),SUMIF('资负表（已审）-新'!F$7:F$29,B12,'资负表（已审）-新'!I$7:I$29))</f>
        <v>0</v>
      </c>
      <c r="K12" s="1419">
        <f t="shared" si="24"/>
        <v>0</v>
      </c>
      <c r="L12" s="254" t="s">
        <v>341</v>
      </c>
      <c r="BA12" s="256">
        <f>流动资总!BA11</f>
        <v>0</v>
      </c>
      <c r="BB12" s="256">
        <f>流动资总!BB11</f>
        <v>0</v>
      </c>
      <c r="BC12" s="256">
        <f t="shared" si="9"/>
        <v>0</v>
      </c>
      <c r="BD12" s="256">
        <f t="shared" si="10"/>
        <v>0</v>
      </c>
      <c r="BE12" s="256">
        <f>流动资总!BE11</f>
        <v>0</v>
      </c>
      <c r="BF12" s="256">
        <f>流动资总!BF11</f>
        <v>0</v>
      </c>
      <c r="BG12" s="256">
        <f t="shared" si="11"/>
        <v>0</v>
      </c>
      <c r="BH12" s="256">
        <f t="shared" si="12"/>
        <v>0</v>
      </c>
      <c r="BJ12" s="256">
        <f>流动资总!BJ11</f>
        <v>0</v>
      </c>
      <c r="BK12" s="256">
        <f>流动资总!BK11</f>
        <v>0</v>
      </c>
      <c r="BL12" s="256">
        <f>流动资总!BL11</f>
        <v>0</v>
      </c>
      <c r="BM12" s="256">
        <f t="shared" si="13"/>
        <v>0</v>
      </c>
      <c r="BN12" s="256">
        <f>流动资总!BN11</f>
        <v>0</v>
      </c>
      <c r="BO12" s="256">
        <f>流动资总!BO11</f>
        <v>0</v>
      </c>
      <c r="BP12" s="256">
        <f>流动资总!BP11</f>
        <v>0</v>
      </c>
      <c r="BQ12" s="256">
        <f t="shared" si="14"/>
        <v>0</v>
      </c>
      <c r="BR12" s="288"/>
      <c r="BS12" s="141" t="str">
        <f t="shared" si="15"/>
        <v>无增减值</v>
      </c>
      <c r="BT12" s="178">
        <f t="shared" si="16"/>
        <v>0</v>
      </c>
      <c r="BU12" s="178">
        <f t="shared" si="3"/>
        <v>0</v>
      </c>
      <c r="BV12" s="1420" t="str">
        <f t="shared" si="25"/>
        <v>无增减值</v>
      </c>
      <c r="BW12" s="259"/>
      <c r="BX12" s="139" t="str">
        <f>应收票据!BV14</f>
        <v>无息</v>
      </c>
      <c r="BY12" s="139" t="s">
        <v>1577</v>
      </c>
      <c r="BZ12" s="139" t="str">
        <f t="shared" si="17"/>
        <v>无息银行承兑汇票</v>
      </c>
      <c r="CA12" s="259"/>
      <c r="CB12" s="145" t="str">
        <f t="shared" si="4"/>
        <v>应收票据</v>
      </c>
      <c r="CC12" s="1414">
        <f t="shared" si="5"/>
        <v>0</v>
      </c>
      <c r="CD12" s="1415">
        <f t="shared" si="6"/>
        <v>0</v>
      </c>
      <c r="CE12" s="141">
        <f t="shared" si="18"/>
        <v>2</v>
      </c>
      <c r="CF12" s="228"/>
      <c r="CG12" s="141" t="str">
        <f t="shared" si="26"/>
        <v/>
      </c>
      <c r="CH12" s="145" t="str">
        <f t="shared" si="19"/>
        <v/>
      </c>
      <c r="CI12" s="141" t="str">
        <f t="shared" si="20"/>
        <v/>
      </c>
      <c r="CJ12" s="343">
        <f t="shared" si="21"/>
        <v>0</v>
      </c>
      <c r="CK12" s="1416" t="str">
        <f t="shared" si="7"/>
        <v>存货</v>
      </c>
      <c r="CL12" s="1416" t="str">
        <f t="shared" si="22"/>
        <v/>
      </c>
    </row>
    <row r="13" ht="14.7" customHeight="1" spans="1:90">
      <c r="A13" s="325">
        <f>SUBTOTAL(103,$B$7:B13)</f>
        <v>7</v>
      </c>
      <c r="B13" s="1417" t="str">
        <f>流动资总!B12</f>
        <v>应收账款</v>
      </c>
      <c r="C13" s="958">
        <f>流动资总!C12</f>
        <v>0</v>
      </c>
      <c r="D13" s="958">
        <f>流动资总!D12</f>
        <v>0</v>
      </c>
      <c r="E13" s="958">
        <f>流动资总!E12</f>
        <v>0</v>
      </c>
      <c r="F13" s="958">
        <f t="shared" si="8"/>
        <v>0</v>
      </c>
      <c r="G13" s="958" t="str">
        <f t="shared" si="0"/>
        <v/>
      </c>
      <c r="H13" s="1418">
        <f>SUM(SUMIF('资负表（未审）-旧'!A$7:A$35,B13,'资负表（未审）-旧'!D$7:D$35),SUMIF('资负表（未审）-旧'!F$7:F$27,B13,'资负表（未审）-旧'!I$7:I$27),SUMIF('资负表（未审）-新'!A$7:A$39,B13,'资负表（未审）-新'!D$7:D$39),SUMIF('资负表（未审）-新'!F$7:F$29,B13,'资负表（未审）-新'!I$7:I$29))</f>
        <v>0</v>
      </c>
      <c r="I13" s="1418">
        <f t="shared" si="23"/>
        <v>0</v>
      </c>
      <c r="J13" s="1419">
        <f>SUM(SUMIF('资负表（已审）-旧'!A$7:A$35,B13,'资负表（已审）-旧'!D$7:D$35),SUMIF('资负表（已审）-旧'!F$7:F$27,B13,'资负表（已审）-旧'!I$7:I$27),SUMIF('资负表（已审）-新'!A$7:A$39,B13,'资负表（已审）-新'!D$7:D$39),SUMIF('资负表（已审）-新'!F$7:F$29,B13,'资负表（已审）-新'!I$7:I$29))</f>
        <v>0</v>
      </c>
      <c r="K13" s="1419">
        <f t="shared" si="24"/>
        <v>0</v>
      </c>
      <c r="L13" s="254" t="s">
        <v>341</v>
      </c>
      <c r="BA13" s="256">
        <f>流动资总!BA12</f>
        <v>0</v>
      </c>
      <c r="BB13" s="256">
        <f>流动资总!BB12</f>
        <v>0</v>
      </c>
      <c r="BC13" s="256">
        <f t="shared" si="9"/>
        <v>0</v>
      </c>
      <c r="BD13" s="256">
        <f t="shared" si="10"/>
        <v>0</v>
      </c>
      <c r="BE13" s="256">
        <f>流动资总!BE12</f>
        <v>0</v>
      </c>
      <c r="BF13" s="256">
        <f>流动资总!BF12</f>
        <v>0</v>
      </c>
      <c r="BG13" s="256">
        <f t="shared" si="11"/>
        <v>0</v>
      </c>
      <c r="BH13" s="256">
        <f t="shared" si="12"/>
        <v>0</v>
      </c>
      <c r="BJ13" s="256">
        <f>流动资总!BJ12</f>
        <v>0</v>
      </c>
      <c r="BK13" s="256">
        <f>流动资总!BK12</f>
        <v>0</v>
      </c>
      <c r="BL13" s="256">
        <f>流动资总!BL12</f>
        <v>0</v>
      </c>
      <c r="BM13" s="256">
        <f t="shared" si="13"/>
        <v>0</v>
      </c>
      <c r="BN13" s="256">
        <f>流动资总!BN12</f>
        <v>0</v>
      </c>
      <c r="BO13" s="256">
        <f>流动资总!BO12</f>
        <v>0</v>
      </c>
      <c r="BP13" s="256">
        <f>流动资总!BP12</f>
        <v>0</v>
      </c>
      <c r="BQ13" s="256">
        <f t="shared" si="14"/>
        <v>0</v>
      </c>
      <c r="BR13" s="288"/>
      <c r="BS13" s="141" t="str">
        <f t="shared" si="15"/>
        <v>无增减值</v>
      </c>
      <c r="BT13" s="178">
        <f t="shared" si="16"/>
        <v>0</v>
      </c>
      <c r="BU13" s="178">
        <f t="shared" si="3"/>
        <v>0</v>
      </c>
      <c r="BV13" s="1420" t="str">
        <f t="shared" si="25"/>
        <v>无增减值</v>
      </c>
      <c r="BW13" s="259"/>
      <c r="BX13" s="139" t="str">
        <f>应收账款!BW15</f>
        <v/>
      </c>
      <c r="BY13" s="139" t="s">
        <v>1578</v>
      </c>
      <c r="BZ13" s="139" t="str">
        <f t="shared" si="17"/>
        <v/>
      </c>
      <c r="CA13" s="259"/>
      <c r="CB13" s="145" t="str">
        <f t="shared" si="4"/>
        <v>应收账款</v>
      </c>
      <c r="CC13" s="1414">
        <f t="shared" si="5"/>
        <v>0</v>
      </c>
      <c r="CD13" s="1415">
        <f t="shared" si="6"/>
        <v>0</v>
      </c>
      <c r="CE13" s="141">
        <f t="shared" si="18"/>
        <v>2</v>
      </c>
      <c r="CF13" s="228"/>
      <c r="CG13" s="141" t="str">
        <f t="shared" ref="CG13:CG14" si="27">IFERROR(IF(CG12+1&gt;CE$5,"",CG12+1),"")</f>
        <v/>
      </c>
      <c r="CH13" s="145" t="str">
        <f t="shared" ref="CH13:CH14" si="28">IFERROR(INDEX(CB$7:CB$42,MATCH(CG13,CE$7:CE$42,0)),"")</f>
        <v/>
      </c>
      <c r="CI13" s="141" t="str">
        <f t="shared" si="20"/>
        <v/>
      </c>
      <c r="CJ13" s="343">
        <f t="shared" si="21"/>
        <v>0</v>
      </c>
      <c r="CK13" s="1416" t="str">
        <f t="shared" si="7"/>
        <v>存货</v>
      </c>
      <c r="CL13" s="1416" t="str">
        <f t="shared" si="22"/>
        <v/>
      </c>
    </row>
    <row r="14" ht="14.7" customHeight="1" spans="1:90">
      <c r="A14" s="325">
        <f>SUBTOTAL(103,$B$7:B14)</f>
        <v>8</v>
      </c>
      <c r="B14" s="1417" t="str">
        <f>流动资总!B13</f>
        <v>应收款项融资</v>
      </c>
      <c r="C14" s="958">
        <f>流动资总!C13</f>
        <v>0</v>
      </c>
      <c r="D14" s="958">
        <f>流动资总!D13</f>
        <v>0</v>
      </c>
      <c r="E14" s="958">
        <f>流动资总!E13</f>
        <v>0</v>
      </c>
      <c r="F14" s="958">
        <f t="shared" si="8"/>
        <v>0</v>
      </c>
      <c r="G14" s="958" t="str">
        <f t="shared" si="0"/>
        <v/>
      </c>
      <c r="H14" s="1418">
        <f>SUM(SUMIF('资负表（未审）-旧'!A$7:A$35,B14,'资负表（未审）-旧'!D$7:D$35),SUMIF('资负表（未审）-旧'!F$7:F$27,B14,'资负表（未审）-旧'!I$7:I$27),SUMIF('资负表（未审）-新'!A$7:A$39,B14,'资负表（未审）-新'!D$7:D$39),SUMIF('资负表（未审）-新'!F$7:F$29,B14,'资负表（未审）-新'!I$7:I$29))</f>
        <v>0</v>
      </c>
      <c r="I14" s="1418">
        <f t="shared" si="23"/>
        <v>0</v>
      </c>
      <c r="J14" s="1419">
        <f>SUM(SUMIF('资负表（已审）-旧'!A$7:A$35,B14,'资负表（已审）-旧'!D$7:D$35),SUMIF('资负表（已审）-旧'!F$7:F$27,B14,'资负表（已审）-旧'!I$7:I$27),SUMIF('资负表（已审）-新'!A$7:A$39,B14,'资负表（已审）-新'!D$7:D$39),SUMIF('资负表（已审）-新'!F$7:F$29,B14,'资负表（已审）-新'!I$7:I$29))</f>
        <v>0</v>
      </c>
      <c r="K14" s="1419">
        <f t="shared" si="24"/>
        <v>0</v>
      </c>
      <c r="L14" s="254" t="s">
        <v>1576</v>
      </c>
      <c r="BA14" s="256">
        <f>流动资总!BA13</f>
        <v>0</v>
      </c>
      <c r="BB14" s="256">
        <f>流动资总!BB13</f>
        <v>0</v>
      </c>
      <c r="BC14" s="256">
        <f t="shared" si="9"/>
        <v>0</v>
      </c>
      <c r="BD14" s="256">
        <f t="shared" si="10"/>
        <v>0</v>
      </c>
      <c r="BE14" s="256">
        <f>流动资总!BE13</f>
        <v>0</v>
      </c>
      <c r="BF14" s="256">
        <f>流动资总!BF13</f>
        <v>0</v>
      </c>
      <c r="BG14" s="256">
        <f t="shared" si="11"/>
        <v>0</v>
      </c>
      <c r="BH14" s="256">
        <f t="shared" si="12"/>
        <v>0</v>
      </c>
      <c r="BJ14" s="256">
        <f>流动资总!BJ13</f>
        <v>0</v>
      </c>
      <c r="BK14" s="256">
        <f>流动资总!BK13</f>
        <v>0</v>
      </c>
      <c r="BL14" s="256">
        <f>流动资总!BL13</f>
        <v>0</v>
      </c>
      <c r="BM14" s="256">
        <f t="shared" si="13"/>
        <v>0</v>
      </c>
      <c r="BN14" s="256">
        <f>流动资总!BN13</f>
        <v>0</v>
      </c>
      <c r="BO14" s="256">
        <f>流动资总!BO13</f>
        <v>0</v>
      </c>
      <c r="BP14" s="256">
        <f>流动资总!BP13</f>
        <v>0</v>
      </c>
      <c r="BQ14" s="256">
        <f t="shared" si="14"/>
        <v>0</v>
      </c>
      <c r="BR14" s="288"/>
      <c r="BS14" s="141" t="str">
        <f t="shared" si="15"/>
        <v>无增减值</v>
      </c>
      <c r="BT14" s="178">
        <f t="shared" si="16"/>
        <v>0</v>
      </c>
      <c r="BU14" s="178">
        <f t="shared" si="3"/>
        <v>0</v>
      </c>
      <c r="BV14" s="1420" t="str">
        <f t="shared" si="25"/>
        <v>无增减值</v>
      </c>
      <c r="BW14" s="259"/>
      <c r="BX14" s="139" t="str">
        <f>应收款融资总!BT5</f>
        <v/>
      </c>
      <c r="BY14" s="139"/>
      <c r="BZ14" s="139" t="str">
        <f t="shared" si="17"/>
        <v/>
      </c>
      <c r="CA14" s="259"/>
      <c r="CB14" s="145" t="str">
        <f t="shared" si="4"/>
        <v>应收款项融资</v>
      </c>
      <c r="CC14" s="1414">
        <f t="shared" si="5"/>
        <v>0</v>
      </c>
      <c r="CD14" s="1415">
        <f t="shared" si="6"/>
        <v>0</v>
      </c>
      <c r="CE14" s="141">
        <f t="shared" si="18"/>
        <v>2</v>
      </c>
      <c r="CF14" s="228"/>
      <c r="CG14" s="141" t="str">
        <f t="shared" si="27"/>
        <v/>
      </c>
      <c r="CH14" s="145" t="str">
        <f t="shared" si="28"/>
        <v/>
      </c>
      <c r="CI14" s="141"/>
      <c r="CJ14" s="343">
        <f t="shared" si="21"/>
        <v>0</v>
      </c>
      <c r="CK14" s="1416" t="str">
        <f t="shared" si="7"/>
        <v>存货</v>
      </c>
      <c r="CL14" s="1416" t="str">
        <f>IF(CH14="","","("&amp;CG14&amp;")"&amp;CH14&amp;"账面价值"&amp;TEXT(CJ14,"#,##0.00")&amp;"万元，主要为"&amp;CK14&amp;"。")</f>
        <v/>
      </c>
    </row>
    <row r="15" ht="14.7" customHeight="1" spans="1:90">
      <c r="A15" s="325">
        <f>SUBTOTAL(103,$B$7:B15)</f>
        <v>9</v>
      </c>
      <c r="B15" s="1417" t="str">
        <f>流动资总!B14</f>
        <v>预付账款</v>
      </c>
      <c r="C15" s="958">
        <f>流动资总!C14</f>
        <v>0</v>
      </c>
      <c r="D15" s="958">
        <f>流动资总!D14</f>
        <v>0</v>
      </c>
      <c r="E15" s="958">
        <f>流动资总!E14</f>
        <v>0</v>
      </c>
      <c r="F15" s="958">
        <f t="shared" si="8"/>
        <v>0</v>
      </c>
      <c r="G15" s="958" t="str">
        <f t="shared" si="0"/>
        <v/>
      </c>
      <c r="H15" s="1418">
        <f>SUM(SUMIF('资负表（未审）-旧'!A$7:A$35,B15,'资负表（未审）-旧'!D$7:D$35),SUMIF('资负表（未审）-旧'!F$7:F$27,B15,'资负表（未审）-旧'!I$7:I$27),SUMIF('资负表（未审）-新'!A$7:A$39,B15,'资负表（未审）-新'!D$7:D$39),SUMIF('资负表（未审）-新'!F$7:F$29,B15,'资负表（未审）-新'!I$7:I$29))</f>
        <v>0</v>
      </c>
      <c r="I15" s="1418">
        <f t="shared" si="23"/>
        <v>0</v>
      </c>
      <c r="J15" s="1419">
        <f>SUM(SUMIF('资负表（已审）-旧'!A$7:A$35,B15,'资负表（已审）-旧'!D$7:D$35),SUMIF('资负表（已审）-旧'!F$7:F$27,B15,'资负表（已审）-旧'!I$7:I$27),SUMIF('资负表（已审）-新'!A$7:A$39,B15,'资负表（已审）-新'!D$7:D$39),SUMIF('资负表（已审）-新'!F$7:F$29,B15,'资负表（已审）-新'!I$7:I$29))</f>
        <v>0</v>
      </c>
      <c r="K15" s="1419">
        <f t="shared" si="24"/>
        <v>0</v>
      </c>
      <c r="L15" s="254" t="s">
        <v>341</v>
      </c>
      <c r="BA15" s="256">
        <f>流动资总!BA14</f>
        <v>0</v>
      </c>
      <c r="BB15" s="256">
        <f>流动资总!BB14</f>
        <v>0</v>
      </c>
      <c r="BC15" s="256">
        <f t="shared" si="9"/>
        <v>0</v>
      </c>
      <c r="BD15" s="256">
        <f t="shared" si="10"/>
        <v>0</v>
      </c>
      <c r="BE15" s="256">
        <f>流动资总!BE14</f>
        <v>0</v>
      </c>
      <c r="BF15" s="256">
        <f>流动资总!BF14</f>
        <v>0</v>
      </c>
      <c r="BG15" s="256">
        <f t="shared" si="11"/>
        <v>0</v>
      </c>
      <c r="BH15" s="256">
        <f t="shared" si="12"/>
        <v>0</v>
      </c>
      <c r="BJ15" s="256">
        <f>流动资总!BJ14</f>
        <v>0</v>
      </c>
      <c r="BK15" s="256">
        <f>流动资总!BK14</f>
        <v>0</v>
      </c>
      <c r="BL15" s="256">
        <f>流动资总!BL14</f>
        <v>0</v>
      </c>
      <c r="BM15" s="256">
        <f t="shared" si="13"/>
        <v>0</v>
      </c>
      <c r="BN15" s="256">
        <f>流动资总!BN14</f>
        <v>0</v>
      </c>
      <c r="BO15" s="256">
        <f>流动资总!BO14</f>
        <v>0</v>
      </c>
      <c r="BP15" s="256">
        <f>流动资总!BP14</f>
        <v>0</v>
      </c>
      <c r="BQ15" s="256">
        <f t="shared" si="14"/>
        <v>0</v>
      </c>
      <c r="BR15" s="288"/>
      <c r="BS15" s="141" t="str">
        <f t="shared" si="15"/>
        <v>无增减值</v>
      </c>
      <c r="BT15" s="178">
        <f t="shared" si="16"/>
        <v>0</v>
      </c>
      <c r="BU15" s="178">
        <f t="shared" si="3"/>
        <v>0</v>
      </c>
      <c r="BV15" s="1420" t="str">
        <f t="shared" si="25"/>
        <v>无增减值</v>
      </c>
      <c r="BW15" s="259"/>
      <c r="BX15" s="139" t="str">
        <f>预付账款!BW14</f>
        <v/>
      </c>
      <c r="BY15" s="139" t="s">
        <v>1578</v>
      </c>
      <c r="BZ15" s="139" t="str">
        <f t="shared" si="17"/>
        <v/>
      </c>
      <c r="CA15" s="259"/>
      <c r="CB15" s="145" t="str">
        <f t="shared" si="4"/>
        <v>预付账款</v>
      </c>
      <c r="CC15" s="1414">
        <f t="shared" si="5"/>
        <v>0</v>
      </c>
      <c r="CD15" s="1415">
        <f t="shared" si="6"/>
        <v>0</v>
      </c>
      <c r="CE15" s="141">
        <f t="shared" si="18"/>
        <v>2</v>
      </c>
      <c r="CF15" s="228"/>
    </row>
    <row r="16" ht="14.7" customHeight="1" spans="1:90">
      <c r="A16" s="325">
        <f>SUBTOTAL(103,$B$7:B16)</f>
        <v>10</v>
      </c>
      <c r="B16" s="1417" t="str">
        <f>流动资总!B15</f>
        <v>其他应收款</v>
      </c>
      <c r="C16" s="958">
        <f>流动资总!C15</f>
        <v>0</v>
      </c>
      <c r="D16" s="958">
        <f>流动资总!D15</f>
        <v>0</v>
      </c>
      <c r="E16" s="958">
        <f>流动资总!E15</f>
        <v>0</v>
      </c>
      <c r="F16" s="958">
        <f t="shared" si="8"/>
        <v>0</v>
      </c>
      <c r="G16" s="958" t="str">
        <f t="shared" si="0"/>
        <v/>
      </c>
      <c r="H16" s="1418">
        <f>SUM(SUMIF('资负表（未审）-旧'!A$7:A$35,B16,'资负表（未审）-旧'!D$7:D$35),SUMIF('资负表（未审）-旧'!F$7:F$27,B16,'资负表（未审）-旧'!I$7:I$27),SUMIF('资负表（未审）-新'!A$7:A$39,B16,'资负表（未审）-新'!D$7:D$39),SUMIF('资负表（未审）-新'!F$7:F$29,B16,'资负表（未审）-新'!I$7:I$29))</f>
        <v>0</v>
      </c>
      <c r="I16" s="1418">
        <f t="shared" si="23"/>
        <v>0</v>
      </c>
      <c r="J16" s="1419">
        <f>SUM(SUMIF('资负表（已审）-旧'!A$7:A$35,B16,'资负表（已审）-旧'!D$7:D$35),SUMIF('资负表（已审）-旧'!F$7:F$27,B16,'资负表（已审）-旧'!I$7:I$27),SUMIF('资负表（已审）-新'!A$7:A$39,B16,'资负表（已审）-新'!D$7:D$39),SUMIF('资负表（已审）-新'!F$7:F$29,B16,'资负表（已审）-新'!I$7:I$29))</f>
        <v>0</v>
      </c>
      <c r="K16" s="1419">
        <f t="shared" si="24"/>
        <v>0</v>
      </c>
      <c r="L16" s="254" t="s">
        <v>341</v>
      </c>
      <c r="BA16" s="256">
        <f>流动资总!BA15</f>
        <v>0</v>
      </c>
      <c r="BB16" s="256">
        <f>流动资总!BB15</f>
        <v>0</v>
      </c>
      <c r="BC16" s="256">
        <f t="shared" si="9"/>
        <v>0</v>
      </c>
      <c r="BD16" s="256">
        <f t="shared" si="10"/>
        <v>0</v>
      </c>
      <c r="BE16" s="256">
        <f>流动资总!BE15</f>
        <v>0</v>
      </c>
      <c r="BF16" s="256">
        <f>流动资总!BF15</f>
        <v>0</v>
      </c>
      <c r="BG16" s="256">
        <f t="shared" si="11"/>
        <v>0</v>
      </c>
      <c r="BH16" s="256">
        <f t="shared" si="12"/>
        <v>0</v>
      </c>
      <c r="BJ16" s="256">
        <f>流动资总!BJ15</f>
        <v>0</v>
      </c>
      <c r="BK16" s="256">
        <f>流动资总!BK15</f>
        <v>0</v>
      </c>
      <c r="BL16" s="256">
        <f>流动资总!BL15</f>
        <v>0</v>
      </c>
      <c r="BM16" s="256">
        <f t="shared" si="13"/>
        <v>0</v>
      </c>
      <c r="BN16" s="256">
        <f>流动资总!BN15</f>
        <v>0</v>
      </c>
      <c r="BO16" s="256">
        <f>流动资总!BO15</f>
        <v>0</v>
      </c>
      <c r="BP16" s="256">
        <f>流动资总!BP15</f>
        <v>0</v>
      </c>
      <c r="BQ16" s="256">
        <f t="shared" si="14"/>
        <v>0</v>
      </c>
      <c r="BR16" s="288"/>
      <c r="BS16" s="141" t="str">
        <f t="shared" si="15"/>
        <v>无增减值</v>
      </c>
      <c r="BT16" s="178">
        <f t="shared" si="16"/>
        <v>0</v>
      </c>
      <c r="BU16" s="178">
        <f t="shared" si="3"/>
        <v>0</v>
      </c>
      <c r="BV16" s="1420" t="str">
        <f t="shared" si="25"/>
        <v>无增减值</v>
      </c>
      <c r="BW16" s="259"/>
      <c r="BX16" s="139" t="str">
        <f>其他应收总!BT5</f>
        <v/>
      </c>
      <c r="BY16" s="139"/>
      <c r="BZ16" s="139" t="str">
        <f t="shared" si="17"/>
        <v/>
      </c>
      <c r="CA16" s="259"/>
      <c r="CB16" s="145" t="str">
        <f t="shared" si="4"/>
        <v>其他应收款</v>
      </c>
      <c r="CC16" s="1414">
        <f t="shared" si="5"/>
        <v>0</v>
      </c>
      <c r="CD16" s="1415">
        <f t="shared" si="6"/>
        <v>0</v>
      </c>
      <c r="CE16" s="141">
        <f t="shared" si="18"/>
        <v>2</v>
      </c>
      <c r="CF16" s="228"/>
      <c r="CG16" s="158"/>
      <c r="CJ16" s="158"/>
      <c r="CK16" s="158"/>
      <c r="CL16" s="158"/>
    </row>
    <row r="17" ht="14.7" customHeight="1" spans="1:90">
      <c r="A17" s="325">
        <f>SUBTOTAL(103,$B$7:B17)</f>
        <v>11</v>
      </c>
      <c r="B17" s="1417" t="str">
        <f>流动资总!B16</f>
        <v>存货</v>
      </c>
      <c r="C17" s="958">
        <f>流动资总!C16</f>
        <v>35557.52</v>
      </c>
      <c r="D17" s="958">
        <f>流动资总!D16</f>
        <v>35557.52</v>
      </c>
      <c r="E17" s="958">
        <f>流动资总!E16</f>
        <v>2837062.634</v>
      </c>
      <c r="F17" s="958">
        <f t="shared" si="8"/>
        <v>2801505.114</v>
      </c>
      <c r="G17" s="958">
        <f t="shared" si="0"/>
        <v>7878.79782954491</v>
      </c>
      <c r="H17" s="1418">
        <f>SUM(SUMIF('资负表（未审）-旧'!A$7:A$35,B17,'资负表（未审）-旧'!D$7:D$35),SUMIF('资负表（未审）-旧'!F$7:F$27,B17,'资负表（未审）-旧'!I$7:I$27),SUMIF('资负表（未审）-新'!A$7:A$39,B17,'资负表（未审）-新'!D$7:D$39),SUMIF('资负表（未审）-新'!F$7:F$29,B17,'资负表（未审）-新'!I$7:I$29))</f>
        <v>0</v>
      </c>
      <c r="I17" s="1418">
        <f t="shared" si="23"/>
        <v>35557.52</v>
      </c>
      <c r="J17" s="1419">
        <f>SUM(SUMIF('资负表（已审）-旧'!A$7:A$35,B17,'资负表（已审）-旧'!D$7:D$35),SUMIF('资负表（已审）-旧'!F$7:F$27,B17,'资负表（已审）-旧'!I$7:I$27),SUMIF('资负表（已审）-新'!A$7:A$39,B17,'资负表（已审）-新'!D$7:D$39),SUMIF('资负表（已审）-新'!F$7:F$29,B17,'资负表（已审）-新'!I$7:I$29))</f>
        <v>0</v>
      </c>
      <c r="K17" s="1419">
        <f t="shared" si="24"/>
        <v>35557.52</v>
      </c>
      <c r="L17" s="254" t="s">
        <v>341</v>
      </c>
      <c r="BA17" s="256">
        <f>流动资总!BA16</f>
        <v>35557.52</v>
      </c>
      <c r="BB17" s="256">
        <f>流动资总!BB16</f>
        <v>35557.52</v>
      </c>
      <c r="BC17" s="256">
        <f t="shared" si="9"/>
        <v>0</v>
      </c>
      <c r="BD17" s="256">
        <f t="shared" si="10"/>
        <v>35557.52</v>
      </c>
      <c r="BE17" s="256">
        <f>流动资总!BE16</f>
        <v>2837062.634</v>
      </c>
      <c r="BF17" s="256">
        <f>流动资总!BF16</f>
        <v>2837062.634</v>
      </c>
      <c r="BG17" s="256">
        <f t="shared" si="11"/>
        <v>0</v>
      </c>
      <c r="BH17" s="256">
        <f t="shared" si="12"/>
        <v>2837062.634</v>
      </c>
      <c r="BJ17" s="256">
        <f>流动资总!BJ16</f>
        <v>0</v>
      </c>
      <c r="BK17" s="256">
        <f>流动资总!BK16</f>
        <v>0</v>
      </c>
      <c r="BL17" s="256">
        <f>流动资总!BL16</f>
        <v>0</v>
      </c>
      <c r="BM17" s="256">
        <f t="shared" si="13"/>
        <v>0</v>
      </c>
      <c r="BN17" s="256">
        <f>流动资总!BN16</f>
        <v>0</v>
      </c>
      <c r="BO17" s="256">
        <f>流动资总!BO16</f>
        <v>0</v>
      </c>
      <c r="BP17" s="256">
        <f>流动资总!BP16</f>
        <v>0</v>
      </c>
      <c r="BQ17" s="256">
        <f t="shared" si="14"/>
        <v>0</v>
      </c>
      <c r="BR17" s="288"/>
      <c r="BS17" s="141" t="str">
        <f t="shared" si="15"/>
        <v>增值</v>
      </c>
      <c r="BT17" s="178">
        <f t="shared" si="16"/>
        <v>280.1505114</v>
      </c>
      <c r="BU17" s="178">
        <f t="shared" si="3"/>
        <v>7878.79782954491</v>
      </c>
      <c r="BV17" s="1420" t="str">
        <f t="shared" si="25"/>
        <v>增值280.15万元，增值率7878.80%</v>
      </c>
      <c r="BW17" s="259"/>
      <c r="BX17" s="139" t="str">
        <f>存货总!BT5</f>
        <v>在用周转材料</v>
      </c>
      <c r="BY17" s="139"/>
      <c r="BZ17" s="139" t="str">
        <f t="shared" si="17"/>
        <v>在用周转材料</v>
      </c>
      <c r="CA17" s="259"/>
      <c r="CB17" s="145" t="str">
        <f t="shared" si="4"/>
        <v>存货</v>
      </c>
      <c r="CC17" s="1414">
        <f t="shared" si="5"/>
        <v>35557.52</v>
      </c>
      <c r="CD17" s="1415">
        <f t="shared" si="6"/>
        <v>1</v>
      </c>
      <c r="CE17" s="141">
        <f t="shared" si="18"/>
        <v>1</v>
      </c>
      <c r="CF17" s="228"/>
      <c r="CG17" s="158"/>
      <c r="CJ17" s="158"/>
      <c r="CK17" s="158"/>
      <c r="CL17" s="158"/>
    </row>
    <row r="18" ht="14.7" customHeight="1" spans="1:90">
      <c r="A18" s="325">
        <f>SUBTOTAL(103,$B$7:B18)</f>
        <v>12</v>
      </c>
      <c r="B18" s="1417" t="str">
        <f>流动资总!B17</f>
        <v>合同资产</v>
      </c>
      <c r="C18" s="958">
        <f>流动资总!C17</f>
        <v>0</v>
      </c>
      <c r="D18" s="958">
        <f>流动资总!D17</f>
        <v>0</v>
      </c>
      <c r="E18" s="958">
        <f>流动资总!E17</f>
        <v>0</v>
      </c>
      <c r="F18" s="958">
        <f t="shared" si="8"/>
        <v>0</v>
      </c>
      <c r="G18" s="958" t="str">
        <f t="shared" si="0"/>
        <v/>
      </c>
      <c r="H18" s="1418">
        <f>SUM(SUMIF('资负表（未审）-旧'!A$7:A$35,B18,'资负表（未审）-旧'!D$7:D$35),SUMIF('资负表（未审）-旧'!F$7:F$27,B18,'资负表（未审）-旧'!I$7:I$27),SUMIF('资负表（未审）-新'!A$7:A$39,B18,'资负表（未审）-新'!D$7:D$39),SUMIF('资负表（未审）-新'!F$7:F$29,B18,'资负表（未审）-新'!I$7:I$29))</f>
        <v>0</v>
      </c>
      <c r="I18" s="1418">
        <f t="shared" si="23"/>
        <v>0</v>
      </c>
      <c r="J18" s="1419">
        <f>SUM(SUMIF('资负表（已审）-旧'!A$7:A$35,B18,'资负表（已审）-旧'!D$7:D$35),SUMIF('资负表（已审）-旧'!F$7:F$27,B18,'资负表（已审）-旧'!I$7:I$27),SUMIF('资负表（已审）-新'!A$7:A$39,B18,'资负表（已审）-新'!D$7:D$39),SUMIF('资负表（已审）-新'!F$7:F$29,B18,'资负表（已审）-新'!I$7:I$29))</f>
        <v>0</v>
      </c>
      <c r="K18" s="1419">
        <f t="shared" si="24"/>
        <v>0</v>
      </c>
      <c r="L18" s="254" t="s">
        <v>1576</v>
      </c>
      <c r="BA18" s="256">
        <f>流动资总!BA17</f>
        <v>0</v>
      </c>
      <c r="BB18" s="256">
        <f>流动资总!BB17</f>
        <v>0</v>
      </c>
      <c r="BC18" s="256">
        <f t="shared" si="9"/>
        <v>0</v>
      </c>
      <c r="BD18" s="256">
        <f t="shared" si="10"/>
        <v>0</v>
      </c>
      <c r="BE18" s="256">
        <f>流动资总!BE17</f>
        <v>0</v>
      </c>
      <c r="BF18" s="256">
        <f>流动资总!BF17</f>
        <v>0</v>
      </c>
      <c r="BG18" s="256">
        <f t="shared" si="11"/>
        <v>0</v>
      </c>
      <c r="BH18" s="256">
        <f t="shared" si="12"/>
        <v>0</v>
      </c>
      <c r="BJ18" s="256">
        <f>流动资总!BJ17</f>
        <v>0</v>
      </c>
      <c r="BK18" s="256">
        <f>流动资总!BK17</f>
        <v>0</v>
      </c>
      <c r="BL18" s="256">
        <f>流动资总!BL17</f>
        <v>0</v>
      </c>
      <c r="BM18" s="256">
        <f t="shared" si="13"/>
        <v>0</v>
      </c>
      <c r="BN18" s="256">
        <f>流动资总!BN17</f>
        <v>0</v>
      </c>
      <c r="BO18" s="256">
        <f>流动资总!BO17</f>
        <v>0</v>
      </c>
      <c r="BP18" s="256">
        <f>流动资总!BP17</f>
        <v>0</v>
      </c>
      <c r="BQ18" s="256">
        <f t="shared" si="14"/>
        <v>0</v>
      </c>
      <c r="BR18" s="288"/>
      <c r="BS18" s="141" t="str">
        <f t="shared" si="15"/>
        <v>无增减值</v>
      </c>
      <c r="BT18" s="178">
        <f t="shared" si="16"/>
        <v>0</v>
      </c>
      <c r="BU18" s="178">
        <f t="shared" si="3"/>
        <v>0</v>
      </c>
      <c r="BV18" s="1420" t="str">
        <f t="shared" si="25"/>
        <v>无增减值</v>
      </c>
      <c r="BW18" s="259"/>
      <c r="BX18" s="139" t="str">
        <f>合同资总!BT5</f>
        <v/>
      </c>
      <c r="BY18" s="139"/>
      <c r="BZ18" s="139" t="str">
        <f t="shared" si="17"/>
        <v/>
      </c>
      <c r="CA18" s="259"/>
      <c r="CB18" s="145" t="str">
        <f t="shared" si="4"/>
        <v>合同资产</v>
      </c>
      <c r="CC18" s="1414">
        <f t="shared" si="5"/>
        <v>0</v>
      </c>
      <c r="CD18" s="1415">
        <f t="shared" si="6"/>
        <v>0</v>
      </c>
      <c r="CE18" s="141">
        <f t="shared" si="18"/>
        <v>2</v>
      </c>
      <c r="CF18" s="228"/>
      <c r="CG18" s="158"/>
      <c r="CJ18" s="158"/>
      <c r="CK18" s="158"/>
      <c r="CL18" s="158"/>
    </row>
    <row r="19" ht="14.7" customHeight="1" spans="1:90">
      <c r="A19" s="325">
        <f>SUBTOTAL(103,$B$7:B19)</f>
        <v>13</v>
      </c>
      <c r="B19" s="1417" t="str">
        <f>流动资总!B18</f>
        <v>持有待售资产</v>
      </c>
      <c r="C19" s="958">
        <f>流动资总!C18</f>
        <v>0</v>
      </c>
      <c r="D19" s="958">
        <f>流动资总!D18</f>
        <v>0</v>
      </c>
      <c r="E19" s="958">
        <f>流动资总!E18</f>
        <v>0</v>
      </c>
      <c r="F19" s="958">
        <f t="shared" si="8"/>
        <v>0</v>
      </c>
      <c r="G19" s="958" t="str">
        <f t="shared" si="0"/>
        <v/>
      </c>
      <c r="H19" s="1418">
        <f>SUM(SUMIF('资负表（未审）-旧'!A$7:A$35,B19,'资负表（未审）-旧'!D$7:D$35),SUMIF('资负表（未审）-旧'!F$7:F$27,B19,'资负表（未审）-旧'!I$7:I$27),SUMIF('资负表（未审）-新'!A$7:A$39,B19,'资负表（未审）-新'!D$7:D$39),SUMIF('资负表（未审）-新'!F$7:F$29,B19,'资负表（未审）-新'!I$7:I$29))</f>
        <v>0</v>
      </c>
      <c r="I19" s="1418">
        <f t="shared" si="23"/>
        <v>0</v>
      </c>
      <c r="J19" s="1419">
        <f>SUM(SUMIF('资负表（已审）-旧'!A$7:A$35,B19,'资负表（已审）-旧'!D$7:D$35),SUMIF('资负表（已审）-旧'!F$7:F$27,B19,'资负表（已审）-旧'!I$7:I$27),SUMIF('资负表（已审）-新'!A$7:A$39,B19,'资负表（已审）-新'!D$7:D$39),SUMIF('资负表（已审）-新'!F$7:F$29,B19,'资负表（已审）-新'!I$7:I$29))</f>
        <v>0</v>
      </c>
      <c r="K19" s="1419">
        <f t="shared" si="24"/>
        <v>0</v>
      </c>
      <c r="L19" s="254" t="s">
        <v>341</v>
      </c>
      <c r="BA19" s="256">
        <f>流动资总!BA18</f>
        <v>0</v>
      </c>
      <c r="BB19" s="256">
        <f>流动资总!BB18</f>
        <v>0</v>
      </c>
      <c r="BC19" s="256">
        <f t="shared" si="9"/>
        <v>0</v>
      </c>
      <c r="BD19" s="256">
        <f t="shared" si="10"/>
        <v>0</v>
      </c>
      <c r="BE19" s="256">
        <f>流动资总!BE18</f>
        <v>0</v>
      </c>
      <c r="BF19" s="256">
        <f>流动资总!BF18</f>
        <v>0</v>
      </c>
      <c r="BG19" s="256">
        <f t="shared" si="11"/>
        <v>0</v>
      </c>
      <c r="BH19" s="256">
        <f t="shared" si="12"/>
        <v>0</v>
      </c>
      <c r="BJ19" s="256">
        <f>流动资总!BJ18</f>
        <v>0</v>
      </c>
      <c r="BK19" s="256">
        <f>流动资总!BK18</f>
        <v>0</v>
      </c>
      <c r="BL19" s="256">
        <f>流动资总!BL18</f>
        <v>0</v>
      </c>
      <c r="BM19" s="256">
        <f t="shared" si="13"/>
        <v>0</v>
      </c>
      <c r="BN19" s="256">
        <f>流动资总!BN18</f>
        <v>0</v>
      </c>
      <c r="BO19" s="256">
        <f>流动资总!BO18</f>
        <v>0</v>
      </c>
      <c r="BP19" s="256">
        <f>流动资总!BP18</f>
        <v>0</v>
      </c>
      <c r="BQ19" s="256">
        <f t="shared" si="14"/>
        <v>0</v>
      </c>
      <c r="BR19" s="288"/>
      <c r="BS19" s="141" t="str">
        <f t="shared" si="15"/>
        <v>无增减值</v>
      </c>
      <c r="BT19" s="178">
        <f t="shared" si="16"/>
        <v>0</v>
      </c>
      <c r="BU19" s="178">
        <f t="shared" si="3"/>
        <v>0</v>
      </c>
      <c r="BV19" s="1420" t="str">
        <f t="shared" si="25"/>
        <v>无增减值</v>
      </c>
      <c r="BW19" s="259"/>
      <c r="BX19" s="139" t="str">
        <f>持有待售资!BV14</f>
        <v/>
      </c>
      <c r="BY19" s="139" t="s">
        <v>1575</v>
      </c>
      <c r="BZ19" s="139" t="str">
        <f t="shared" si="17"/>
        <v/>
      </c>
      <c r="CA19" s="259"/>
      <c r="CB19" s="145" t="str">
        <f t="shared" si="4"/>
        <v>持有待售资产</v>
      </c>
      <c r="CC19" s="1414">
        <f t="shared" si="5"/>
        <v>0</v>
      </c>
      <c r="CD19" s="1415">
        <f t="shared" si="6"/>
        <v>0</v>
      </c>
      <c r="CE19" s="141">
        <f t="shared" si="18"/>
        <v>2</v>
      </c>
      <c r="CF19" s="228"/>
      <c r="CG19" s="158"/>
      <c r="CJ19" s="158"/>
      <c r="CK19" s="158"/>
      <c r="CL19" s="158"/>
    </row>
    <row r="20" ht="14.7" customHeight="1" spans="1:90">
      <c r="A20" s="325">
        <f>SUBTOTAL(103,$B$7:B20)</f>
        <v>14</v>
      </c>
      <c r="B20" s="1417" t="str">
        <f>流动资总!B19</f>
        <v>一年内到期的非流动资产</v>
      </c>
      <c r="C20" s="958">
        <f>流动资总!C19</f>
        <v>0</v>
      </c>
      <c r="D20" s="958">
        <f>流动资总!D19</f>
        <v>0</v>
      </c>
      <c r="E20" s="958">
        <f>流动资总!E19</f>
        <v>0</v>
      </c>
      <c r="F20" s="958">
        <f t="shared" si="8"/>
        <v>0</v>
      </c>
      <c r="G20" s="958" t="str">
        <f t="shared" si="0"/>
        <v/>
      </c>
      <c r="H20" s="1418">
        <f>SUM(SUMIF('资负表（未审）-旧'!A$7:A$35,B20,'资负表（未审）-旧'!D$7:D$35),SUMIF('资负表（未审）-旧'!F$7:F$27,B20,'资负表（未审）-旧'!I$7:I$27),SUMIF('资负表（未审）-新'!A$7:A$39,B20,'资负表（未审）-新'!D$7:D$39),SUMIF('资负表（未审）-新'!F$7:F$29,B20,'资负表（未审）-新'!I$7:I$29))</f>
        <v>0</v>
      </c>
      <c r="I20" s="1418">
        <f t="shared" si="23"/>
        <v>0</v>
      </c>
      <c r="J20" s="1419">
        <f>SUM(SUMIF('资负表（已审）-旧'!A$7:A$35,B20,'资负表（已审）-旧'!D$7:D$35),SUMIF('资负表（已审）-旧'!F$7:F$27,B20,'资负表（已审）-旧'!I$7:I$27),SUMIF('资负表（已审）-新'!A$7:A$39,B20,'资负表（已审）-新'!D$7:D$39),SUMIF('资负表（已审）-新'!F$7:F$29,B20,'资负表（已审）-新'!I$7:I$29))</f>
        <v>0</v>
      </c>
      <c r="K20" s="1419">
        <f t="shared" si="24"/>
        <v>0</v>
      </c>
      <c r="L20" s="254" t="s">
        <v>341</v>
      </c>
      <c r="BA20" s="256">
        <f>流动资总!BA19</f>
        <v>0</v>
      </c>
      <c r="BB20" s="256">
        <f>流动资总!BB19</f>
        <v>0</v>
      </c>
      <c r="BC20" s="256">
        <f t="shared" si="9"/>
        <v>0</v>
      </c>
      <c r="BD20" s="256">
        <f t="shared" si="10"/>
        <v>0</v>
      </c>
      <c r="BE20" s="256">
        <f>流动资总!BE19</f>
        <v>0</v>
      </c>
      <c r="BF20" s="256">
        <f>流动资总!BF19</f>
        <v>0</v>
      </c>
      <c r="BG20" s="256">
        <f t="shared" si="11"/>
        <v>0</v>
      </c>
      <c r="BH20" s="256">
        <f t="shared" si="12"/>
        <v>0</v>
      </c>
      <c r="BJ20" s="256">
        <f>流动资总!BJ19</f>
        <v>0</v>
      </c>
      <c r="BK20" s="256">
        <f>流动资总!BK19</f>
        <v>0</v>
      </c>
      <c r="BL20" s="256">
        <f>流动资总!BL19</f>
        <v>0</v>
      </c>
      <c r="BM20" s="256">
        <f t="shared" si="13"/>
        <v>0</v>
      </c>
      <c r="BN20" s="256">
        <f>流动资总!BN19</f>
        <v>0</v>
      </c>
      <c r="BO20" s="256">
        <f>流动资总!BO19</f>
        <v>0</v>
      </c>
      <c r="BP20" s="256">
        <f>流动资总!BP19</f>
        <v>0</v>
      </c>
      <c r="BQ20" s="256">
        <f t="shared" si="14"/>
        <v>0</v>
      </c>
      <c r="BR20" s="288"/>
      <c r="BS20" s="141" t="str">
        <f t="shared" si="15"/>
        <v>无增减值</v>
      </c>
      <c r="BT20" s="178">
        <f t="shared" si="16"/>
        <v>0</v>
      </c>
      <c r="BU20" s="178">
        <f t="shared" si="3"/>
        <v>0</v>
      </c>
      <c r="BV20" s="1420" t="str">
        <f t="shared" si="25"/>
        <v>无增减值</v>
      </c>
      <c r="BW20" s="259"/>
      <c r="BX20" s="139" t="str">
        <f>一年到期资!BV14</f>
        <v/>
      </c>
      <c r="BY20" s="139" t="s">
        <v>1578</v>
      </c>
      <c r="BZ20" s="139" t="str">
        <f t="shared" si="17"/>
        <v/>
      </c>
      <c r="CA20" s="259"/>
      <c r="CB20" s="145" t="str">
        <f t="shared" si="4"/>
        <v>一年内到期的非流动资产</v>
      </c>
      <c r="CC20" s="1414">
        <f t="shared" si="5"/>
        <v>0</v>
      </c>
      <c r="CD20" s="1415">
        <f t="shared" si="6"/>
        <v>0</v>
      </c>
      <c r="CE20" s="141">
        <f t="shared" si="18"/>
        <v>2</v>
      </c>
      <c r="CF20" s="228"/>
      <c r="CG20" s="158"/>
      <c r="CJ20" s="158"/>
      <c r="CK20" s="158"/>
      <c r="CL20" s="158"/>
    </row>
    <row r="21" ht="14.7" customHeight="1" spans="1:90">
      <c r="A21" s="325">
        <f>SUBTOTAL(103,$B$7:B21)</f>
        <v>15</v>
      </c>
      <c r="B21" s="1417" t="str">
        <f>流动资总!B20</f>
        <v>其他流动资产</v>
      </c>
      <c r="C21" s="958">
        <f>流动资总!C20</f>
        <v>0</v>
      </c>
      <c r="D21" s="958">
        <f>流动资总!D20</f>
        <v>0</v>
      </c>
      <c r="E21" s="958">
        <f>流动资总!E20</f>
        <v>0</v>
      </c>
      <c r="F21" s="958">
        <f t="shared" si="8"/>
        <v>0</v>
      </c>
      <c r="G21" s="958" t="str">
        <f t="shared" si="0"/>
        <v/>
      </c>
      <c r="H21" s="1418">
        <f>SUM(SUMIF('资负表（未审）-旧'!A$7:A$35,B21,'资负表（未审）-旧'!D$7:D$35),SUMIF('资负表（未审）-旧'!F$7:F$27,B21,'资负表（未审）-旧'!I$7:I$27),SUMIF('资负表（未审）-新'!A$7:A$39,B21,'资负表（未审）-新'!D$7:D$39),SUMIF('资负表（未审）-新'!F$7:F$29,B21,'资负表（未审）-新'!I$7:I$29))</f>
        <v>0</v>
      </c>
      <c r="I21" s="1418">
        <f t="shared" si="23"/>
        <v>0</v>
      </c>
      <c r="J21" s="1419">
        <f>SUM(SUMIF('资负表（已审）-旧'!A$7:A$35,B21,'资负表（已审）-旧'!D$7:D$35),SUMIF('资负表（已审）-旧'!F$7:F$27,B21,'资负表（已审）-旧'!I$7:I$27),SUMIF('资负表（已审）-新'!A$7:A$39,B21,'资负表（已审）-新'!D$7:D$39),SUMIF('资负表（已审）-新'!F$7:F$29,B21,'资负表（已审）-新'!I$7:I$29))</f>
        <v>0</v>
      </c>
      <c r="K21" s="1419">
        <f t="shared" si="24"/>
        <v>0</v>
      </c>
      <c r="L21" s="254" t="s">
        <v>341</v>
      </c>
      <c r="BA21" s="256">
        <f>流动资总!BA20</f>
        <v>0</v>
      </c>
      <c r="BB21" s="256">
        <f>流动资总!BB20</f>
        <v>0</v>
      </c>
      <c r="BC21" s="256">
        <f t="shared" si="9"/>
        <v>0</v>
      </c>
      <c r="BD21" s="256">
        <f t="shared" si="10"/>
        <v>0</v>
      </c>
      <c r="BE21" s="256">
        <f>流动资总!BE20</f>
        <v>0</v>
      </c>
      <c r="BF21" s="256">
        <f>流动资总!BF20</f>
        <v>0</v>
      </c>
      <c r="BG21" s="256">
        <f t="shared" si="11"/>
        <v>0</v>
      </c>
      <c r="BH21" s="256">
        <f t="shared" si="12"/>
        <v>0</v>
      </c>
      <c r="BJ21" s="256">
        <f>流动资总!BJ20</f>
        <v>0</v>
      </c>
      <c r="BK21" s="256">
        <f>流动资总!BK20</f>
        <v>0</v>
      </c>
      <c r="BL21" s="256">
        <f>流动资总!BL20</f>
        <v>0</v>
      </c>
      <c r="BM21" s="256">
        <f t="shared" si="13"/>
        <v>0</v>
      </c>
      <c r="BN21" s="256">
        <f>流动资总!BN20</f>
        <v>0</v>
      </c>
      <c r="BO21" s="256">
        <f>流动资总!BO20</f>
        <v>0</v>
      </c>
      <c r="BP21" s="256">
        <f>流动资总!BP20</f>
        <v>0</v>
      </c>
      <c r="BQ21" s="256">
        <f t="shared" si="14"/>
        <v>0</v>
      </c>
      <c r="BR21" s="288"/>
      <c r="BS21" s="141" t="str">
        <f t="shared" ref="BS21" si="29">IF(F21&gt;0,"增值",IF(F21=0,"无增减值","减值"))</f>
        <v>无增减值</v>
      </c>
      <c r="BT21" s="178">
        <f t="shared" si="16"/>
        <v>0</v>
      </c>
      <c r="BU21" s="178">
        <f t="shared" ref="BU21" si="30">IFERROR(ABS(G21),0)</f>
        <v>0</v>
      </c>
      <c r="BV21" s="1420" t="str">
        <f t="shared" si="25"/>
        <v>无增减值</v>
      </c>
      <c r="BW21" s="259"/>
      <c r="BX21" s="139" t="str">
        <f>其他流资!BV14</f>
        <v/>
      </c>
      <c r="BY21" s="139" t="s">
        <v>1579</v>
      </c>
      <c r="BZ21" s="139" t="str">
        <f t="shared" si="17"/>
        <v/>
      </c>
      <c r="CA21" s="259"/>
      <c r="CB21" s="145" t="str">
        <f t="shared" si="4"/>
        <v>其他流动资产</v>
      </c>
      <c r="CC21" s="1414">
        <f t="shared" si="5"/>
        <v>0</v>
      </c>
      <c r="CD21" s="1415">
        <f t="shared" si="6"/>
        <v>0</v>
      </c>
      <c r="CE21" s="141">
        <f t="shared" si="18"/>
        <v>2</v>
      </c>
      <c r="CF21" s="228"/>
      <c r="CG21" s="158"/>
      <c r="CJ21" s="158"/>
      <c r="CK21" s="158"/>
      <c r="CL21" s="158"/>
    </row>
    <row r="22" s="271" customFormat="1" ht="14.7" customHeight="1" spans="1:90">
      <c r="A22" s="1385">
        <f>SUBTOTAL(103,$B$7:B22)</f>
        <v>16</v>
      </c>
      <c r="B22" s="1408" t="s">
        <v>1580</v>
      </c>
      <c r="C22" s="1409">
        <f>SUM(C23:C42)</f>
        <v>0</v>
      </c>
      <c r="D22" s="1409">
        <f>SUM(D23:D42)</f>
        <v>0</v>
      </c>
      <c r="E22" s="1409">
        <f>SUM(E23:E42)</f>
        <v>0</v>
      </c>
      <c r="F22" s="1409">
        <f t="shared" si="8"/>
        <v>0</v>
      </c>
      <c r="G22" s="1409" t="str">
        <f t="shared" si="0"/>
        <v/>
      </c>
      <c r="H22" s="1410">
        <f>SUBTOTAL(109,H23:H42)</f>
        <v>0</v>
      </c>
      <c r="I22" s="1410">
        <f t="shared" si="23"/>
        <v>0</v>
      </c>
      <c r="J22" s="1411">
        <f>SUBTOTAL(109,J23:J42)</f>
        <v>0</v>
      </c>
      <c r="K22" s="1411">
        <f t="shared" si="24"/>
        <v>0</v>
      </c>
      <c r="L22" s="287" t="s">
        <v>341</v>
      </c>
      <c r="BA22" s="266">
        <f t="shared" ref="BA22:BH22" si="31">SUM(BA23:BA42)</f>
        <v>0</v>
      </c>
      <c r="BB22" s="266">
        <f t="shared" si="31"/>
        <v>0</v>
      </c>
      <c r="BC22" s="266">
        <f t="shared" si="31"/>
        <v>0</v>
      </c>
      <c r="BD22" s="266">
        <f t="shared" si="31"/>
        <v>0</v>
      </c>
      <c r="BE22" s="266">
        <f t="shared" si="31"/>
        <v>0</v>
      </c>
      <c r="BF22" s="266">
        <f t="shared" si="31"/>
        <v>0</v>
      </c>
      <c r="BG22" s="266">
        <f t="shared" si="31"/>
        <v>0</v>
      </c>
      <c r="BH22" s="266">
        <f t="shared" si="31"/>
        <v>0</v>
      </c>
      <c r="BI22" s="1377"/>
      <c r="BJ22" s="266">
        <f t="shared" ref="BJ22:BQ22" si="32">SUM(BJ23:BJ42)</f>
        <v>0</v>
      </c>
      <c r="BK22" s="266">
        <f t="shared" si="32"/>
        <v>0</v>
      </c>
      <c r="BL22" s="266">
        <f t="shared" si="32"/>
        <v>0</v>
      </c>
      <c r="BM22" s="266">
        <f t="shared" si="32"/>
        <v>0</v>
      </c>
      <c r="BN22" s="266">
        <f t="shared" si="32"/>
        <v>0</v>
      </c>
      <c r="BO22" s="266">
        <f t="shared" si="32"/>
        <v>0</v>
      </c>
      <c r="BP22" s="266">
        <f t="shared" si="32"/>
        <v>0</v>
      </c>
      <c r="BQ22" s="266">
        <f t="shared" si="32"/>
        <v>0</v>
      </c>
      <c r="BR22" s="289"/>
      <c r="BS22" s="263" t="str">
        <f t="shared" ref="BS22:BS69" si="33">IF(F22&gt;0,"增值",IF(F22=0,"无增减值","减值"))</f>
        <v>无增减值</v>
      </c>
      <c r="BT22" s="1412">
        <f t="shared" si="16"/>
        <v>0</v>
      </c>
      <c r="BU22" s="1412">
        <f t="shared" ref="BU22:BU69" si="34">IFERROR(ABS(G22),0)</f>
        <v>0</v>
      </c>
      <c r="BV22" s="1421" t="str">
        <f t="shared" si="25"/>
        <v>无增减值</v>
      </c>
      <c r="BW22" s="992"/>
      <c r="BX22" s="139" t="str">
        <f>非流动资总!BT5</f>
        <v/>
      </c>
      <c r="BY22" s="139"/>
      <c r="BZ22" s="139" t="str">
        <f t="shared" si="17"/>
        <v/>
      </c>
      <c r="CA22" s="992"/>
      <c r="CB22" s="145" t="str">
        <f t="shared" si="4"/>
        <v/>
      </c>
      <c r="CC22" s="1414">
        <f t="shared" si="5"/>
        <v>0</v>
      </c>
      <c r="CD22" s="1415">
        <f t="shared" si="6"/>
        <v>0</v>
      </c>
      <c r="CE22" s="141">
        <f t="shared" si="18"/>
        <v>2</v>
      </c>
      <c r="CF22" s="228"/>
      <c r="CG22" s="158"/>
      <c r="CH22" s="158"/>
      <c r="CI22" s="158"/>
      <c r="CJ22" s="158"/>
      <c r="CK22" s="158"/>
      <c r="CL22" s="158"/>
    </row>
    <row r="23" ht="14.7" customHeight="1" spans="1:90">
      <c r="A23" s="325">
        <f>SUBTOTAL(103,$B$7:B23)</f>
        <v>17</v>
      </c>
      <c r="B23" s="1417" t="str">
        <f>非流动资总!B7</f>
        <v>可供出售金融资产</v>
      </c>
      <c r="C23" s="958">
        <f>非流动资总!C7</f>
        <v>0</v>
      </c>
      <c r="D23" s="958">
        <f>非流动资总!D7</f>
        <v>0</v>
      </c>
      <c r="E23" s="958">
        <f>非流动资总!E7</f>
        <v>0</v>
      </c>
      <c r="F23" s="958">
        <f t="shared" si="8"/>
        <v>0</v>
      </c>
      <c r="G23" s="958" t="str">
        <f t="shared" si="0"/>
        <v/>
      </c>
      <c r="H23" s="1418">
        <f>SUM(SUMIF('资负表（未审）-旧'!A$7:A$35,B23,'资负表（未审）-旧'!D$7:D$35),SUMIF('资负表（未审）-旧'!F$7:F$27,B23,'资负表（未审）-旧'!I$7:I$27),SUMIF('资负表（未审）-新'!A$7:A$39,B23,'资负表（未审）-新'!D$7:D$39),SUMIF('资负表（未审）-新'!F$7:F$29,B23,'资负表（未审）-新'!I$7:I$29))</f>
        <v>0</v>
      </c>
      <c r="I23" s="1418">
        <f t="shared" ref="I23:I42" si="35">C23-H23</f>
        <v>0</v>
      </c>
      <c r="J23" s="1419">
        <f>SUM(SUMIF('资负表（已审）-旧'!A$7:A$35,B23,'资负表（已审）-旧'!D$7:D$35),SUMIF('资负表（已审）-旧'!F$7:F$27,B23,'资负表（已审）-旧'!I$7:I$27),SUMIF('资负表（已审）-新'!A$7:A$39,B23,'资负表（已审）-新'!D$7:D$39),SUMIF('资负表（已审）-新'!F$7:F$29,B23,'资负表（已审）-新'!I$7:I$29))</f>
        <v>0</v>
      </c>
      <c r="K23" s="1419">
        <f t="shared" ref="K23:K42" si="36">ROUND(D23-J23,2)</f>
        <v>0</v>
      </c>
      <c r="L23" s="254" t="s">
        <v>1574</v>
      </c>
      <c r="BA23" s="256">
        <f>非流动资总!BA7</f>
        <v>0</v>
      </c>
      <c r="BB23" s="256">
        <f>非流动资总!BB7</f>
        <v>0</v>
      </c>
      <c r="BC23" s="256">
        <f t="shared" si="9"/>
        <v>0</v>
      </c>
      <c r="BD23" s="256">
        <f t="shared" si="10"/>
        <v>0</v>
      </c>
      <c r="BE23" s="256">
        <f>非流动资总!BE7</f>
        <v>0</v>
      </c>
      <c r="BF23" s="256">
        <f>非流动资总!BF7</f>
        <v>0</v>
      </c>
      <c r="BG23" s="256">
        <f t="shared" si="11"/>
        <v>0</v>
      </c>
      <c r="BH23" s="256">
        <f t="shared" si="12"/>
        <v>0</v>
      </c>
      <c r="BJ23" s="256">
        <f>非流动资总!BJ7</f>
        <v>0</v>
      </c>
      <c r="BK23" s="256">
        <f>非流动资总!BK7</f>
        <v>0</v>
      </c>
      <c r="BL23" s="256">
        <f>非流动资总!BL7</f>
        <v>0</v>
      </c>
      <c r="BM23" s="256">
        <f t="shared" si="13"/>
        <v>0</v>
      </c>
      <c r="BN23" s="256">
        <f>非流动资总!BN7</f>
        <v>0</v>
      </c>
      <c r="BO23" s="256">
        <f>非流动资总!BO7</f>
        <v>0</v>
      </c>
      <c r="BP23" s="256">
        <f>非流动资总!BP7</f>
        <v>0</v>
      </c>
      <c r="BQ23" s="256">
        <f t="shared" si="14"/>
        <v>0</v>
      </c>
      <c r="BR23" s="288"/>
      <c r="BS23" s="141" t="str">
        <f t="shared" si="33"/>
        <v>无增减值</v>
      </c>
      <c r="BT23" s="178">
        <f t="shared" si="16"/>
        <v>0</v>
      </c>
      <c r="BU23" s="178">
        <f t="shared" si="34"/>
        <v>0</v>
      </c>
      <c r="BV23" s="1420" t="str">
        <f t="shared" si="25"/>
        <v>无增减值</v>
      </c>
      <c r="BW23" s="259"/>
      <c r="BX23" s="139" t="str">
        <f>可供出售总!BT5</f>
        <v/>
      </c>
      <c r="BY23" s="139" t="s">
        <v>1575</v>
      </c>
      <c r="BZ23" s="139" t="str">
        <f t="shared" si="17"/>
        <v/>
      </c>
      <c r="CA23" s="259"/>
      <c r="CB23" s="145" t="str">
        <f t="shared" si="4"/>
        <v>可供出售金融资产</v>
      </c>
      <c r="CC23" s="1414">
        <f t="shared" si="5"/>
        <v>0</v>
      </c>
      <c r="CD23" s="1415">
        <f t="shared" si="6"/>
        <v>0</v>
      </c>
      <c r="CE23" s="141">
        <f t="shared" si="18"/>
        <v>2</v>
      </c>
      <c r="CF23" s="228"/>
      <c r="CG23" s="158"/>
      <c r="CJ23" s="158"/>
      <c r="CK23" s="158"/>
      <c r="CL23" s="158"/>
    </row>
    <row r="24" ht="14.7" customHeight="1" spans="1:90">
      <c r="A24" s="325">
        <f>SUBTOTAL(103,$B$7:B24)</f>
        <v>18</v>
      </c>
      <c r="B24" s="1417" t="str">
        <f>非流动资总!B8</f>
        <v>持有至到期投资</v>
      </c>
      <c r="C24" s="958">
        <f>非流动资总!C8</f>
        <v>0</v>
      </c>
      <c r="D24" s="958">
        <f>非流动资总!D8</f>
        <v>0</v>
      </c>
      <c r="E24" s="958">
        <f>非流动资总!E8</f>
        <v>0</v>
      </c>
      <c r="F24" s="958">
        <f t="shared" si="8"/>
        <v>0</v>
      </c>
      <c r="G24" s="958" t="str">
        <f t="shared" si="0"/>
        <v/>
      </c>
      <c r="H24" s="1418">
        <f>SUM(SUMIF('资负表（未审）-旧'!A$7:A$35,B24,'资负表（未审）-旧'!D$7:D$35),SUMIF('资负表（未审）-旧'!F$7:F$27,B24,'资负表（未审）-旧'!I$7:I$27),SUMIF('资负表（未审）-新'!A$7:A$39,B24,'资负表（未审）-新'!D$7:D$39),SUMIF('资负表（未审）-新'!F$7:F$29,B24,'资负表（未审）-新'!I$7:I$29))</f>
        <v>0</v>
      </c>
      <c r="I24" s="1418">
        <f t="shared" si="35"/>
        <v>0</v>
      </c>
      <c r="J24" s="1419">
        <f>SUM(SUMIF('资负表（已审）-旧'!A$7:A$35,B24,'资负表（已审）-旧'!D$7:D$35),SUMIF('资负表（已审）-旧'!F$7:F$27,B24,'资负表（已审）-旧'!I$7:I$27),SUMIF('资负表（已审）-新'!A$7:A$39,B24,'资负表（已审）-新'!D$7:D$39),SUMIF('资负表（已审）-新'!F$7:F$29,B24,'资负表（已审）-新'!I$7:I$29))</f>
        <v>0</v>
      </c>
      <c r="K24" s="1419">
        <f t="shared" si="36"/>
        <v>0</v>
      </c>
      <c r="L24" s="254" t="s">
        <v>1574</v>
      </c>
      <c r="BA24" s="256">
        <f>非流动资总!BA8</f>
        <v>0</v>
      </c>
      <c r="BB24" s="256">
        <f>非流动资总!BB8</f>
        <v>0</v>
      </c>
      <c r="BC24" s="256">
        <f t="shared" si="9"/>
        <v>0</v>
      </c>
      <c r="BD24" s="256">
        <f t="shared" si="10"/>
        <v>0</v>
      </c>
      <c r="BE24" s="256">
        <f>非流动资总!BE8</f>
        <v>0</v>
      </c>
      <c r="BF24" s="256">
        <f>非流动资总!BF8</f>
        <v>0</v>
      </c>
      <c r="BG24" s="256">
        <f t="shared" si="11"/>
        <v>0</v>
      </c>
      <c r="BH24" s="256">
        <f t="shared" si="12"/>
        <v>0</v>
      </c>
      <c r="BJ24" s="256">
        <f>非流动资总!BJ8</f>
        <v>0</v>
      </c>
      <c r="BK24" s="256">
        <f>非流动资总!BK8</f>
        <v>0</v>
      </c>
      <c r="BL24" s="256">
        <f>非流动资总!BL8</f>
        <v>0</v>
      </c>
      <c r="BM24" s="256">
        <f t="shared" si="13"/>
        <v>0</v>
      </c>
      <c r="BN24" s="256">
        <f>非流动资总!BN8</f>
        <v>0</v>
      </c>
      <c r="BO24" s="256">
        <f>非流动资总!BO8</f>
        <v>0</v>
      </c>
      <c r="BP24" s="256">
        <f>非流动资总!BP8</f>
        <v>0</v>
      </c>
      <c r="BQ24" s="256">
        <f t="shared" si="14"/>
        <v>0</v>
      </c>
      <c r="BR24" s="288"/>
      <c r="BS24" s="141" t="str">
        <f t="shared" si="33"/>
        <v>无增减值</v>
      </c>
      <c r="BT24" s="178">
        <f t="shared" si="16"/>
        <v>0</v>
      </c>
      <c r="BU24" s="178">
        <f t="shared" si="34"/>
        <v>0</v>
      </c>
      <c r="BV24" s="1420" t="str">
        <f t="shared" si="25"/>
        <v>无增减值</v>
      </c>
      <c r="BW24" s="259"/>
      <c r="BX24" s="139" t="str">
        <f>持有到期!CA14</f>
        <v/>
      </c>
      <c r="BY24" s="139" t="s">
        <v>1575</v>
      </c>
      <c r="BZ24" s="139" t="str">
        <f t="shared" si="17"/>
        <v/>
      </c>
      <c r="CA24" s="259"/>
      <c r="CB24" s="145" t="str">
        <f t="shared" si="4"/>
        <v>持有至到期投资</v>
      </c>
      <c r="CC24" s="1414">
        <f t="shared" si="5"/>
        <v>0</v>
      </c>
      <c r="CD24" s="1415">
        <f t="shared" si="6"/>
        <v>0</v>
      </c>
      <c r="CE24" s="141">
        <f t="shared" si="18"/>
        <v>2</v>
      </c>
      <c r="CF24" s="228"/>
      <c r="CG24" s="158"/>
      <c r="CJ24" s="158"/>
      <c r="CK24" s="158"/>
      <c r="CL24" s="158"/>
    </row>
    <row r="25" ht="14.7" customHeight="1" spans="1:90">
      <c r="A25" s="325">
        <f>SUBTOTAL(103,$B$7:B25)</f>
        <v>19</v>
      </c>
      <c r="B25" s="1417" t="str">
        <f>非流动资总!B9</f>
        <v>债权投资</v>
      </c>
      <c r="C25" s="958">
        <f>非流动资总!C9</f>
        <v>0</v>
      </c>
      <c r="D25" s="958">
        <f>非流动资总!D9</f>
        <v>0</v>
      </c>
      <c r="E25" s="958">
        <f>非流动资总!E9</f>
        <v>0</v>
      </c>
      <c r="F25" s="958">
        <f t="shared" si="8"/>
        <v>0</v>
      </c>
      <c r="G25" s="958" t="str">
        <f t="shared" si="0"/>
        <v/>
      </c>
      <c r="H25" s="1418">
        <f>SUM(SUMIF('资负表（未审）-旧'!A$7:A$35,B25,'资负表（未审）-旧'!D$7:D$35),SUMIF('资负表（未审）-旧'!F$7:F$27,B25,'资负表（未审）-旧'!I$7:I$27),SUMIF('资负表（未审）-新'!A$7:A$39,B25,'资负表（未审）-新'!D$7:D$39),SUMIF('资负表（未审）-新'!F$7:F$29,B25,'资负表（未审）-新'!I$7:I$29))</f>
        <v>0</v>
      </c>
      <c r="I25" s="1418">
        <f t="shared" si="35"/>
        <v>0</v>
      </c>
      <c r="J25" s="1419">
        <f>SUM(SUMIF('资负表（已审）-旧'!A$7:A$35,B25,'资负表（已审）-旧'!D$7:D$35),SUMIF('资负表（已审）-旧'!F$7:F$27,B25,'资负表（已审）-旧'!I$7:I$27),SUMIF('资负表（已审）-新'!A$7:A$39,B25,'资负表（已审）-新'!D$7:D$39),SUMIF('资负表（已审）-新'!F$7:F$29,B25,'资负表（已审）-新'!I$7:I$29))</f>
        <v>0</v>
      </c>
      <c r="K25" s="1419">
        <f t="shared" si="36"/>
        <v>0</v>
      </c>
      <c r="L25" s="254" t="s">
        <v>1576</v>
      </c>
      <c r="BA25" s="256">
        <f>非流动资总!BA9</f>
        <v>0</v>
      </c>
      <c r="BB25" s="256">
        <f>非流动资总!BB9</f>
        <v>0</v>
      </c>
      <c r="BC25" s="256">
        <f t="shared" si="9"/>
        <v>0</v>
      </c>
      <c r="BD25" s="256">
        <f t="shared" si="10"/>
        <v>0</v>
      </c>
      <c r="BE25" s="256">
        <f>非流动资总!BE9</f>
        <v>0</v>
      </c>
      <c r="BF25" s="256">
        <f>非流动资总!BF9</f>
        <v>0</v>
      </c>
      <c r="BG25" s="256">
        <f t="shared" si="11"/>
        <v>0</v>
      </c>
      <c r="BH25" s="256">
        <f t="shared" si="12"/>
        <v>0</v>
      </c>
      <c r="BJ25" s="256">
        <f>非流动资总!BJ9</f>
        <v>0</v>
      </c>
      <c r="BK25" s="256">
        <f>非流动资总!BK9</f>
        <v>0</v>
      </c>
      <c r="BL25" s="256">
        <f>非流动资总!BL9</f>
        <v>0</v>
      </c>
      <c r="BM25" s="256">
        <f t="shared" si="13"/>
        <v>0</v>
      </c>
      <c r="BN25" s="256">
        <f>非流动资总!BN9</f>
        <v>0</v>
      </c>
      <c r="BO25" s="256">
        <f>非流动资总!BO9</f>
        <v>0</v>
      </c>
      <c r="BP25" s="256">
        <f>非流动资总!BP9</f>
        <v>0</v>
      </c>
      <c r="BQ25" s="256">
        <f t="shared" si="14"/>
        <v>0</v>
      </c>
      <c r="BR25" s="288"/>
      <c r="BS25" s="141" t="str">
        <f t="shared" si="33"/>
        <v>无增减值</v>
      </c>
      <c r="BT25" s="178">
        <f t="shared" si="16"/>
        <v>0</v>
      </c>
      <c r="BU25" s="178">
        <f t="shared" si="34"/>
        <v>0</v>
      </c>
      <c r="BV25" s="1420" t="str">
        <f t="shared" si="25"/>
        <v>无增减值</v>
      </c>
      <c r="BW25" s="259"/>
      <c r="BX25" s="139" t="str">
        <f>债权投资!CA14</f>
        <v/>
      </c>
      <c r="BY25" s="139" t="s">
        <v>1575</v>
      </c>
      <c r="BZ25" s="139" t="str">
        <f t="shared" si="17"/>
        <v/>
      </c>
      <c r="CA25" s="259"/>
      <c r="CB25" s="145" t="str">
        <f t="shared" si="4"/>
        <v>债权投资</v>
      </c>
      <c r="CC25" s="1414">
        <f t="shared" si="5"/>
        <v>0</v>
      </c>
      <c r="CD25" s="1415">
        <f t="shared" si="6"/>
        <v>0</v>
      </c>
      <c r="CE25" s="141">
        <f t="shared" si="18"/>
        <v>2</v>
      </c>
      <c r="CF25" s="228"/>
      <c r="CG25" s="158"/>
      <c r="CJ25" s="158"/>
      <c r="CK25" s="158"/>
      <c r="CL25" s="158"/>
    </row>
    <row r="26" ht="14.7" customHeight="1" spans="1:90">
      <c r="A26" s="325">
        <f>SUBTOTAL(103,$B$7:B26)</f>
        <v>20</v>
      </c>
      <c r="B26" s="1417" t="str">
        <f>非流动资总!B10</f>
        <v>其他债权投资</v>
      </c>
      <c r="C26" s="958">
        <f>非流动资总!C10</f>
        <v>0</v>
      </c>
      <c r="D26" s="958">
        <f>非流动资总!D10</f>
        <v>0</v>
      </c>
      <c r="E26" s="958">
        <f>非流动资总!E10</f>
        <v>0</v>
      </c>
      <c r="F26" s="958">
        <f t="shared" si="8"/>
        <v>0</v>
      </c>
      <c r="G26" s="958" t="str">
        <f t="shared" si="0"/>
        <v/>
      </c>
      <c r="H26" s="1418">
        <f>SUM(SUMIF('资负表（未审）-旧'!A$7:A$35,B26,'资负表（未审）-旧'!D$7:D$35),SUMIF('资负表（未审）-旧'!F$7:F$27,B26,'资负表（未审）-旧'!I$7:I$27),SUMIF('资负表（未审）-新'!A$7:A$39,B26,'资负表（未审）-新'!D$7:D$39),SUMIF('资负表（未审）-新'!F$7:F$29,B26,'资负表（未审）-新'!I$7:I$29))</f>
        <v>0</v>
      </c>
      <c r="I26" s="1418">
        <f t="shared" si="35"/>
        <v>0</v>
      </c>
      <c r="J26" s="1419">
        <f>SUM(SUMIF('资负表（已审）-旧'!A$7:A$35,B26,'资负表（已审）-旧'!D$7:D$35),SUMIF('资负表（已审）-旧'!F$7:F$27,B26,'资负表（已审）-旧'!I$7:I$27),SUMIF('资负表（已审）-新'!A$7:A$39,B26,'资负表（已审）-新'!D$7:D$39),SUMIF('资负表（已审）-新'!F$7:F$29,B26,'资负表（已审）-新'!I$7:I$29))</f>
        <v>0</v>
      </c>
      <c r="K26" s="1419">
        <f t="shared" si="36"/>
        <v>0</v>
      </c>
      <c r="L26" s="254" t="s">
        <v>1576</v>
      </c>
      <c r="BA26" s="256">
        <f>非流动资总!BA10</f>
        <v>0</v>
      </c>
      <c r="BB26" s="256">
        <f>非流动资总!BB10</f>
        <v>0</v>
      </c>
      <c r="BC26" s="256">
        <f t="shared" si="9"/>
        <v>0</v>
      </c>
      <c r="BD26" s="256">
        <f t="shared" si="10"/>
        <v>0</v>
      </c>
      <c r="BE26" s="256">
        <f>非流动资总!BE10</f>
        <v>0</v>
      </c>
      <c r="BF26" s="256">
        <f>非流动资总!BF10</f>
        <v>0</v>
      </c>
      <c r="BG26" s="256">
        <f t="shared" si="11"/>
        <v>0</v>
      </c>
      <c r="BH26" s="256">
        <f t="shared" si="12"/>
        <v>0</v>
      </c>
      <c r="BJ26" s="256">
        <f>非流动资总!BJ10</f>
        <v>0</v>
      </c>
      <c r="BK26" s="256">
        <f>非流动资总!BK10</f>
        <v>0</v>
      </c>
      <c r="BL26" s="256">
        <f>非流动资总!BL10</f>
        <v>0</v>
      </c>
      <c r="BM26" s="256">
        <f t="shared" si="13"/>
        <v>0</v>
      </c>
      <c r="BN26" s="256">
        <f>非流动资总!BN10</f>
        <v>0</v>
      </c>
      <c r="BO26" s="256">
        <f>非流动资总!BO10</f>
        <v>0</v>
      </c>
      <c r="BP26" s="256">
        <f>非流动资总!BP10</f>
        <v>0</v>
      </c>
      <c r="BQ26" s="256">
        <f t="shared" si="14"/>
        <v>0</v>
      </c>
      <c r="BR26" s="288"/>
      <c r="BS26" s="141" t="str">
        <f t="shared" si="33"/>
        <v>无增减值</v>
      </c>
      <c r="BT26" s="178">
        <f t="shared" si="16"/>
        <v>0</v>
      </c>
      <c r="BU26" s="178">
        <f t="shared" si="34"/>
        <v>0</v>
      </c>
      <c r="BV26" s="1420" t="str">
        <f t="shared" si="25"/>
        <v>无增减值</v>
      </c>
      <c r="BW26" s="259"/>
      <c r="BX26" s="139" t="str">
        <f>其他债权!BV14</f>
        <v/>
      </c>
      <c r="BY26" s="139" t="s">
        <v>1575</v>
      </c>
      <c r="BZ26" s="139" t="str">
        <f t="shared" si="17"/>
        <v/>
      </c>
      <c r="CA26" s="259"/>
      <c r="CB26" s="145" t="str">
        <f t="shared" si="4"/>
        <v>其他债权投资</v>
      </c>
      <c r="CC26" s="1414">
        <f t="shared" si="5"/>
        <v>0</v>
      </c>
      <c r="CD26" s="1415">
        <f t="shared" si="6"/>
        <v>0</v>
      </c>
      <c r="CE26" s="141">
        <f t="shared" si="18"/>
        <v>2</v>
      </c>
      <c r="CF26" s="228"/>
      <c r="CG26" s="158"/>
      <c r="CJ26" s="158"/>
      <c r="CK26" s="158"/>
      <c r="CL26" s="158"/>
    </row>
    <row r="27" ht="14.7" customHeight="1" spans="1:90">
      <c r="A27" s="325">
        <f>SUBTOTAL(103,$B$7:B27)</f>
        <v>21</v>
      </c>
      <c r="B27" s="1417" t="str">
        <f>非流动资总!B11</f>
        <v>长期应收款</v>
      </c>
      <c r="C27" s="958">
        <f>非流动资总!C11</f>
        <v>0</v>
      </c>
      <c r="D27" s="958">
        <f>非流动资总!D11</f>
        <v>0</v>
      </c>
      <c r="E27" s="958">
        <f>非流动资总!E11</f>
        <v>0</v>
      </c>
      <c r="F27" s="958">
        <f t="shared" si="8"/>
        <v>0</v>
      </c>
      <c r="G27" s="958" t="str">
        <f t="shared" si="0"/>
        <v/>
      </c>
      <c r="H27" s="1418">
        <f>SUM(SUMIF('资负表（未审）-旧'!A$7:A$35,B27,'资负表（未审）-旧'!D$7:D$35),SUMIF('资负表（未审）-旧'!F$7:F$27,B27,'资负表（未审）-旧'!I$7:I$27),SUMIF('资负表（未审）-新'!A$7:A$39,B27,'资负表（未审）-新'!D$7:D$39),SUMIF('资负表（未审）-新'!F$7:F$29,B27,'资负表（未审）-新'!I$7:I$29))</f>
        <v>0</v>
      </c>
      <c r="I27" s="1418">
        <f t="shared" si="35"/>
        <v>0</v>
      </c>
      <c r="J27" s="1419">
        <f>SUM(SUMIF('资负表（已审）-旧'!A$7:A$35,B27,'资负表（已审）-旧'!D$7:D$35),SUMIF('资负表（已审）-旧'!F$7:F$27,B27,'资负表（已审）-旧'!I$7:I$27),SUMIF('资负表（已审）-新'!A$7:A$39,B27,'资负表（已审）-新'!D$7:D$39),SUMIF('资负表（已审）-新'!F$7:F$29,B27,'资负表（已审）-新'!I$7:I$29))</f>
        <v>0</v>
      </c>
      <c r="K27" s="1419">
        <f t="shared" si="36"/>
        <v>0</v>
      </c>
      <c r="L27" s="254" t="s">
        <v>341</v>
      </c>
      <c r="BA27" s="256">
        <f>非流动资总!BA11</f>
        <v>0</v>
      </c>
      <c r="BB27" s="256">
        <f>非流动资总!BB11</f>
        <v>0</v>
      </c>
      <c r="BC27" s="256">
        <f t="shared" si="9"/>
        <v>0</v>
      </c>
      <c r="BD27" s="256">
        <f t="shared" si="10"/>
        <v>0</v>
      </c>
      <c r="BE27" s="256">
        <f>非流动资总!BE11</f>
        <v>0</v>
      </c>
      <c r="BF27" s="256">
        <f>非流动资总!BF11</f>
        <v>0</v>
      </c>
      <c r="BG27" s="256">
        <f t="shared" si="11"/>
        <v>0</v>
      </c>
      <c r="BH27" s="256">
        <f t="shared" si="12"/>
        <v>0</v>
      </c>
      <c r="BJ27" s="256">
        <f>非流动资总!BJ11</f>
        <v>0</v>
      </c>
      <c r="BK27" s="256">
        <f>非流动资总!BK11</f>
        <v>0</v>
      </c>
      <c r="BL27" s="256">
        <f>非流动资总!BL11</f>
        <v>0</v>
      </c>
      <c r="BM27" s="256">
        <f t="shared" si="13"/>
        <v>0</v>
      </c>
      <c r="BN27" s="256">
        <f>非流动资总!BN11</f>
        <v>0</v>
      </c>
      <c r="BO27" s="256">
        <f>非流动资总!BO11</f>
        <v>0</v>
      </c>
      <c r="BP27" s="256">
        <f>非流动资总!BP11</f>
        <v>0</v>
      </c>
      <c r="BQ27" s="256">
        <f t="shared" si="14"/>
        <v>0</v>
      </c>
      <c r="BR27" s="288"/>
      <c r="BS27" s="141" t="str">
        <f t="shared" si="33"/>
        <v>无增减值</v>
      </c>
      <c r="BT27" s="178">
        <f t="shared" si="16"/>
        <v>0</v>
      </c>
      <c r="BU27" s="178">
        <f t="shared" si="34"/>
        <v>0</v>
      </c>
      <c r="BV27" s="1420" t="str">
        <f t="shared" si="25"/>
        <v>无增减值</v>
      </c>
      <c r="BW27" s="259"/>
      <c r="BX27" s="139" t="str">
        <f>长期应收!BV14</f>
        <v/>
      </c>
      <c r="BY27" s="139" t="s">
        <v>1578</v>
      </c>
      <c r="BZ27" s="139" t="str">
        <f t="shared" si="17"/>
        <v/>
      </c>
      <c r="CA27" s="259"/>
      <c r="CB27" s="145" t="str">
        <f t="shared" si="4"/>
        <v>长期应收款</v>
      </c>
      <c r="CC27" s="1414">
        <f t="shared" si="5"/>
        <v>0</v>
      </c>
      <c r="CD27" s="1415">
        <f t="shared" si="6"/>
        <v>0</v>
      </c>
      <c r="CE27" s="141">
        <f t="shared" si="18"/>
        <v>2</v>
      </c>
      <c r="CF27" s="228"/>
      <c r="CG27" s="158"/>
      <c r="CJ27" s="158"/>
      <c r="CK27" s="158"/>
      <c r="CL27" s="158"/>
    </row>
    <row r="28" ht="14.7" customHeight="1" spans="1:90">
      <c r="A28" s="325">
        <f>SUBTOTAL(103,$B$7:B28)</f>
        <v>22</v>
      </c>
      <c r="B28" s="1417" t="str">
        <f>非流动资总!B12</f>
        <v>长期股权投资</v>
      </c>
      <c r="C28" s="958">
        <f>非流动资总!C12</f>
        <v>0</v>
      </c>
      <c r="D28" s="958">
        <f>非流动资总!D12</f>
        <v>0</v>
      </c>
      <c r="E28" s="958">
        <f>非流动资总!E12</f>
        <v>0</v>
      </c>
      <c r="F28" s="958">
        <f t="shared" si="8"/>
        <v>0</v>
      </c>
      <c r="G28" s="958" t="str">
        <f t="shared" si="0"/>
        <v/>
      </c>
      <c r="H28" s="1418">
        <f>SUM(SUMIF('资负表（未审）-旧'!A$7:A$35,B28,'资负表（未审）-旧'!D$7:D$35),SUMIF('资负表（未审）-旧'!F$7:F$27,B28,'资负表（未审）-旧'!I$7:I$27),SUMIF('资负表（未审）-新'!A$7:A$39,B28,'资负表（未审）-新'!D$7:D$39),SUMIF('资负表（未审）-新'!F$7:F$29,B28,'资负表（未审）-新'!I$7:I$29))</f>
        <v>0</v>
      </c>
      <c r="I28" s="1418">
        <f t="shared" si="35"/>
        <v>0</v>
      </c>
      <c r="J28" s="1419">
        <f>SUM(SUMIF('资负表（已审）-旧'!A$7:A$35,B28,'资负表（已审）-旧'!D$7:D$35),SUMIF('资负表（已审）-旧'!F$7:F$27,B28,'资负表（已审）-旧'!I$7:I$27),SUMIF('资负表（已审）-新'!A$7:A$39,B28,'资负表（已审）-新'!D$7:D$39),SUMIF('资负表（已审）-新'!F$7:F$29,B28,'资负表（已审）-新'!I$7:I$29))</f>
        <v>0</v>
      </c>
      <c r="K28" s="1419">
        <f t="shared" si="36"/>
        <v>0</v>
      </c>
      <c r="L28" s="254" t="s">
        <v>341</v>
      </c>
      <c r="BA28" s="256">
        <f>非流动资总!BA12</f>
        <v>0</v>
      </c>
      <c r="BB28" s="256">
        <f>非流动资总!BB12</f>
        <v>0</v>
      </c>
      <c r="BC28" s="256">
        <f t="shared" si="9"/>
        <v>0</v>
      </c>
      <c r="BD28" s="256">
        <f t="shared" si="10"/>
        <v>0</v>
      </c>
      <c r="BE28" s="256">
        <f>非流动资总!BE12</f>
        <v>0</v>
      </c>
      <c r="BF28" s="256">
        <f>非流动资总!BF12</f>
        <v>0</v>
      </c>
      <c r="BG28" s="256">
        <f t="shared" si="11"/>
        <v>0</v>
      </c>
      <c r="BH28" s="256">
        <f t="shared" si="12"/>
        <v>0</v>
      </c>
      <c r="BJ28" s="256">
        <f>非流动资总!BJ12</f>
        <v>0</v>
      </c>
      <c r="BK28" s="256">
        <f>非流动资总!BK12</f>
        <v>0</v>
      </c>
      <c r="BL28" s="256">
        <f>非流动资总!BL12</f>
        <v>0</v>
      </c>
      <c r="BM28" s="256">
        <f t="shared" si="13"/>
        <v>0</v>
      </c>
      <c r="BN28" s="256">
        <f>非流动资总!BN12</f>
        <v>0</v>
      </c>
      <c r="BO28" s="256">
        <f>非流动资总!BO12</f>
        <v>0</v>
      </c>
      <c r="BP28" s="256">
        <f>非流动资总!BP12</f>
        <v>0</v>
      </c>
      <c r="BQ28" s="256">
        <f t="shared" si="14"/>
        <v>0</v>
      </c>
      <c r="BR28" s="289"/>
      <c r="BS28" s="141" t="str">
        <f t="shared" si="33"/>
        <v>无增减值</v>
      </c>
      <c r="BT28" s="178">
        <f t="shared" si="16"/>
        <v>0</v>
      </c>
      <c r="BU28" s="178">
        <f t="shared" si="34"/>
        <v>0</v>
      </c>
      <c r="BV28" s="1420" t="str">
        <f t="shared" si="25"/>
        <v>无增减值</v>
      </c>
      <c r="BW28" s="259"/>
      <c r="BX28" s="139" t="str">
        <f>股权投资!CD14</f>
        <v/>
      </c>
      <c r="BY28" s="139" t="s">
        <v>1581</v>
      </c>
      <c r="BZ28" s="139" t="str">
        <f t="shared" si="17"/>
        <v/>
      </c>
      <c r="CA28" s="259"/>
      <c r="CB28" s="145" t="str">
        <f t="shared" si="4"/>
        <v>长期股权投资</v>
      </c>
      <c r="CC28" s="1414">
        <f t="shared" si="5"/>
        <v>0</v>
      </c>
      <c r="CD28" s="1415">
        <f t="shared" si="6"/>
        <v>0</v>
      </c>
      <c r="CE28" s="141">
        <f t="shared" si="18"/>
        <v>2</v>
      </c>
      <c r="CF28" s="228"/>
      <c r="CG28" s="158"/>
      <c r="CJ28" s="158"/>
      <c r="CK28" s="158"/>
      <c r="CL28" s="158"/>
    </row>
    <row r="29" ht="14.7" customHeight="1" spans="1:90">
      <c r="A29" s="325">
        <f>SUBTOTAL(103,$B$7:B29)</f>
        <v>23</v>
      </c>
      <c r="B29" s="1417" t="str">
        <f>非流动资总!B13</f>
        <v>其他权益工具</v>
      </c>
      <c r="C29" s="958">
        <f>非流动资总!C13</f>
        <v>0</v>
      </c>
      <c r="D29" s="958">
        <f>非流动资总!D13</f>
        <v>0</v>
      </c>
      <c r="E29" s="958">
        <f>非流动资总!E13</f>
        <v>0</v>
      </c>
      <c r="F29" s="958">
        <f t="shared" si="8"/>
        <v>0</v>
      </c>
      <c r="G29" s="958" t="str">
        <f t="shared" si="0"/>
        <v/>
      </c>
      <c r="H29" s="1418">
        <f>SUM(SUMIF('资负表（未审）-旧'!A$7:A$35,B29,'资负表（未审）-旧'!D$7:D$35),SUMIF('资负表（未审）-旧'!F$7:F$27,B29,'资负表（未审）-旧'!I$7:I$27),SUMIF('资负表（未审）-新'!A$7:A$39,B29,'资负表（未审）-新'!D$7:D$39),SUMIF('资负表（未审）-新'!F$7:F$29,B29,'资负表（未审）-新'!I$7:I$29))</f>
        <v>0</v>
      </c>
      <c r="I29" s="1418">
        <f t="shared" si="35"/>
        <v>0</v>
      </c>
      <c r="J29" s="1419">
        <f>SUM(SUMIF('资负表（已审）-旧'!A$7:A$35,B29,'资负表（已审）-旧'!D$7:D$35),SUMIF('资负表（已审）-旧'!F$7:F$27,B29,'资负表（已审）-旧'!I$7:I$27),SUMIF('资负表（已审）-新'!A$7:A$39,B29,'资负表（已审）-新'!D$7:D$39),SUMIF('资负表（已审）-新'!F$7:F$29,B29,'资负表（已审）-新'!I$7:I$29))</f>
        <v>0</v>
      </c>
      <c r="K29" s="1419">
        <f t="shared" si="36"/>
        <v>0</v>
      </c>
      <c r="L29" s="254" t="s">
        <v>1576</v>
      </c>
      <c r="BA29" s="256">
        <f>非流动资总!BA13</f>
        <v>0</v>
      </c>
      <c r="BB29" s="256">
        <f>非流动资总!BB13</f>
        <v>0</v>
      </c>
      <c r="BC29" s="256">
        <f t="shared" si="9"/>
        <v>0</v>
      </c>
      <c r="BD29" s="256">
        <f t="shared" si="10"/>
        <v>0</v>
      </c>
      <c r="BE29" s="256">
        <f>非流动资总!BE13</f>
        <v>0</v>
      </c>
      <c r="BF29" s="256">
        <f>非流动资总!BF13</f>
        <v>0</v>
      </c>
      <c r="BG29" s="256">
        <f t="shared" si="11"/>
        <v>0</v>
      </c>
      <c r="BH29" s="256">
        <f t="shared" si="12"/>
        <v>0</v>
      </c>
      <c r="BJ29" s="256">
        <f>非流动资总!BJ13</f>
        <v>0</v>
      </c>
      <c r="BK29" s="256">
        <f>非流动资总!BK13</f>
        <v>0</v>
      </c>
      <c r="BL29" s="256">
        <f>非流动资总!BL13</f>
        <v>0</v>
      </c>
      <c r="BM29" s="256">
        <f t="shared" si="13"/>
        <v>0</v>
      </c>
      <c r="BN29" s="256">
        <f>非流动资总!BN13</f>
        <v>0</v>
      </c>
      <c r="BO29" s="256">
        <f>非流动资总!BO13</f>
        <v>0</v>
      </c>
      <c r="BP29" s="256">
        <f>非流动资总!BP13</f>
        <v>0</v>
      </c>
      <c r="BQ29" s="256">
        <f t="shared" si="14"/>
        <v>0</v>
      </c>
      <c r="BS29" s="141" t="str">
        <f t="shared" si="33"/>
        <v>无增减值</v>
      </c>
      <c r="BT29" s="178">
        <f t="shared" si="16"/>
        <v>0</v>
      </c>
      <c r="BU29" s="178">
        <f t="shared" si="34"/>
        <v>0</v>
      </c>
      <c r="BV29" s="1420" t="str">
        <f t="shared" si="25"/>
        <v>无增减值</v>
      </c>
      <c r="BW29" s="259"/>
      <c r="BX29" s="139" t="str">
        <f>其他权益工具!BV14</f>
        <v/>
      </c>
      <c r="BY29" s="139" t="s">
        <v>1575</v>
      </c>
      <c r="BZ29" s="139" t="str">
        <f t="shared" si="17"/>
        <v/>
      </c>
      <c r="CA29" s="259"/>
      <c r="CB29" s="145" t="str">
        <f t="shared" si="4"/>
        <v>其他权益工具</v>
      </c>
      <c r="CC29" s="1414">
        <f t="shared" si="5"/>
        <v>0</v>
      </c>
      <c r="CD29" s="1415">
        <f t="shared" si="6"/>
        <v>0</v>
      </c>
      <c r="CE29" s="141">
        <f t="shared" si="18"/>
        <v>2</v>
      </c>
      <c r="CF29" s="228"/>
      <c r="CG29" s="158"/>
      <c r="CJ29" s="158"/>
      <c r="CK29" s="158"/>
      <c r="CL29" s="158"/>
    </row>
    <row r="30" ht="14.7" customHeight="1" spans="1:90">
      <c r="A30" s="325">
        <f>SUBTOTAL(103,$B$7:B30)</f>
        <v>24</v>
      </c>
      <c r="B30" s="1417" t="str">
        <f>非流动资总!B14</f>
        <v>其他非流动金融资产</v>
      </c>
      <c r="C30" s="958">
        <f>非流动资总!C14</f>
        <v>0</v>
      </c>
      <c r="D30" s="958">
        <f>非流动资总!D14</f>
        <v>0</v>
      </c>
      <c r="E30" s="958">
        <f>非流动资总!E14</f>
        <v>0</v>
      </c>
      <c r="F30" s="958">
        <f t="shared" si="8"/>
        <v>0</v>
      </c>
      <c r="G30" s="958" t="str">
        <f t="shared" si="0"/>
        <v/>
      </c>
      <c r="H30" s="1418">
        <f>SUM(SUMIF('资负表（未审）-旧'!A$7:A$35,B30,'资负表（未审）-旧'!D$7:D$35),SUMIF('资负表（未审）-旧'!F$7:F$27,B30,'资负表（未审）-旧'!I$7:I$27),SUMIF('资负表（未审）-新'!A$7:A$39,B30,'资负表（未审）-新'!D$7:D$39),SUMIF('资负表（未审）-新'!F$7:F$29,B30,'资负表（未审）-新'!I$7:I$29))</f>
        <v>0</v>
      </c>
      <c r="I30" s="1418">
        <f t="shared" si="35"/>
        <v>0</v>
      </c>
      <c r="J30" s="1419">
        <f>SUM(SUMIF('资负表（已审）-旧'!A$7:A$35,B30,'资负表（已审）-旧'!D$7:D$35),SUMIF('资负表（已审）-旧'!F$7:F$27,B30,'资负表（已审）-旧'!I$7:I$27),SUMIF('资负表（已审）-新'!A$7:A$39,B30,'资负表（已审）-新'!D$7:D$39),SUMIF('资负表（已审）-新'!F$7:F$29,B30,'资负表（已审）-新'!I$7:I$29))</f>
        <v>0</v>
      </c>
      <c r="K30" s="1419">
        <f t="shared" si="36"/>
        <v>0</v>
      </c>
      <c r="L30" s="254" t="s">
        <v>1576</v>
      </c>
      <c r="BA30" s="256">
        <f>非流动资总!BA14</f>
        <v>0</v>
      </c>
      <c r="BB30" s="256">
        <f>非流动资总!BB14</f>
        <v>0</v>
      </c>
      <c r="BC30" s="256">
        <f t="shared" si="9"/>
        <v>0</v>
      </c>
      <c r="BD30" s="256">
        <f t="shared" si="10"/>
        <v>0</v>
      </c>
      <c r="BE30" s="256">
        <f>非流动资总!BE14</f>
        <v>0</v>
      </c>
      <c r="BF30" s="256">
        <f>非流动资总!BF14</f>
        <v>0</v>
      </c>
      <c r="BG30" s="256">
        <f t="shared" si="11"/>
        <v>0</v>
      </c>
      <c r="BH30" s="256">
        <f t="shared" si="12"/>
        <v>0</v>
      </c>
      <c r="BJ30" s="256">
        <f>非流动资总!BJ14</f>
        <v>0</v>
      </c>
      <c r="BK30" s="256">
        <f>非流动资总!BK14</f>
        <v>0</v>
      </c>
      <c r="BL30" s="256">
        <f>非流动资总!BL14</f>
        <v>0</v>
      </c>
      <c r="BM30" s="256">
        <f t="shared" si="13"/>
        <v>0</v>
      </c>
      <c r="BN30" s="256">
        <f>非流动资总!BN14</f>
        <v>0</v>
      </c>
      <c r="BO30" s="256">
        <f>非流动资总!BO14</f>
        <v>0</v>
      </c>
      <c r="BP30" s="256">
        <f>非流动资总!BP14</f>
        <v>0</v>
      </c>
      <c r="BQ30" s="256">
        <f t="shared" si="14"/>
        <v>0</v>
      </c>
      <c r="BS30" s="141" t="str">
        <f t="shared" si="33"/>
        <v>无增减值</v>
      </c>
      <c r="BT30" s="178">
        <f t="shared" si="16"/>
        <v>0</v>
      </c>
      <c r="BU30" s="178">
        <f t="shared" si="34"/>
        <v>0</v>
      </c>
      <c r="BV30" s="1420" t="str">
        <f t="shared" si="25"/>
        <v>无增减值</v>
      </c>
      <c r="BW30" s="259"/>
      <c r="BX30" s="139" t="str">
        <f>其他金资!BV14</f>
        <v/>
      </c>
      <c r="BY30" s="139" t="s">
        <v>1575</v>
      </c>
      <c r="BZ30" s="139" t="str">
        <f t="shared" si="17"/>
        <v/>
      </c>
      <c r="CA30" s="259"/>
      <c r="CB30" s="145" t="str">
        <f t="shared" si="4"/>
        <v>其他非流动金融资产</v>
      </c>
      <c r="CC30" s="1414">
        <f t="shared" si="5"/>
        <v>0</v>
      </c>
      <c r="CD30" s="1415">
        <f t="shared" si="6"/>
        <v>0</v>
      </c>
      <c r="CE30" s="141">
        <f t="shared" si="18"/>
        <v>2</v>
      </c>
      <c r="CF30" s="228"/>
      <c r="CG30" s="158"/>
      <c r="CJ30" s="158"/>
      <c r="CK30" s="158"/>
      <c r="CL30" s="158"/>
    </row>
    <row r="31" ht="14.7" customHeight="1" spans="1:90">
      <c r="A31" s="325">
        <f>SUBTOTAL(103,$B$7:B31)</f>
        <v>25</v>
      </c>
      <c r="B31" s="1417" t="str">
        <f>非流动资总!B15</f>
        <v>投资性房地产</v>
      </c>
      <c r="C31" s="958">
        <f>非流动资总!C15</f>
        <v>0</v>
      </c>
      <c r="D31" s="958">
        <f>非流动资总!D15</f>
        <v>0</v>
      </c>
      <c r="E31" s="958">
        <f>非流动资总!E15</f>
        <v>0</v>
      </c>
      <c r="F31" s="958">
        <f t="shared" si="8"/>
        <v>0</v>
      </c>
      <c r="G31" s="958" t="str">
        <f t="shared" si="0"/>
        <v/>
      </c>
      <c r="H31" s="1418">
        <f>SUM(SUMIF('资负表（未审）-旧'!A$7:A$35,B31,'资负表（未审）-旧'!D$7:D$35),SUMIF('资负表（未审）-旧'!F$7:F$27,B31,'资负表（未审）-旧'!I$7:I$27),SUMIF('资负表（未审）-新'!A$7:A$39,B31,'资负表（未审）-新'!D$7:D$39),SUMIF('资负表（未审）-新'!F$7:F$29,B31,'资负表（未审）-新'!I$7:I$29))</f>
        <v>0</v>
      </c>
      <c r="I31" s="1418">
        <f t="shared" si="35"/>
        <v>0</v>
      </c>
      <c r="J31" s="1419">
        <f>SUM(SUMIF('资负表（已审）-旧'!A$7:A$35,B31,'资负表（已审）-旧'!D$7:D$35),SUMIF('资负表（已审）-旧'!F$7:F$27,B31,'资负表（已审）-旧'!I$7:I$27),SUMIF('资负表（已审）-新'!A$7:A$39,B31,'资负表（已审）-新'!D$7:D$39),SUMIF('资负表（已审）-新'!F$7:F$29,B31,'资负表（已审）-新'!I$7:I$29))</f>
        <v>0</v>
      </c>
      <c r="K31" s="1419">
        <f t="shared" si="36"/>
        <v>0</v>
      </c>
      <c r="L31" s="254" t="s">
        <v>341</v>
      </c>
      <c r="BA31" s="256">
        <f>非流动资总!BA15</f>
        <v>0</v>
      </c>
      <c r="BB31" s="256">
        <f>非流动资总!BB15</f>
        <v>0</v>
      </c>
      <c r="BC31" s="256">
        <f t="shared" si="9"/>
        <v>0</v>
      </c>
      <c r="BD31" s="256">
        <f t="shared" si="10"/>
        <v>0</v>
      </c>
      <c r="BE31" s="256">
        <f>非流动资总!BE15</f>
        <v>0</v>
      </c>
      <c r="BF31" s="256">
        <f>非流动资总!BF15</f>
        <v>0</v>
      </c>
      <c r="BG31" s="256">
        <f t="shared" si="11"/>
        <v>0</v>
      </c>
      <c r="BH31" s="256">
        <f t="shared" si="12"/>
        <v>0</v>
      </c>
      <c r="BJ31" s="256">
        <f>非流动资总!BJ15</f>
        <v>0</v>
      </c>
      <c r="BK31" s="256">
        <f>非流动资总!BK15</f>
        <v>0</v>
      </c>
      <c r="BL31" s="256">
        <f>非流动资总!BL15</f>
        <v>0</v>
      </c>
      <c r="BM31" s="256">
        <f t="shared" si="13"/>
        <v>0</v>
      </c>
      <c r="BN31" s="256">
        <f>非流动资总!BN15</f>
        <v>0</v>
      </c>
      <c r="BO31" s="256">
        <f>非流动资总!BO15</f>
        <v>0</v>
      </c>
      <c r="BP31" s="256">
        <f>非流动资总!BP15</f>
        <v>0</v>
      </c>
      <c r="BQ31" s="256">
        <f t="shared" si="14"/>
        <v>0</v>
      </c>
      <c r="BS31" s="141" t="str">
        <f t="shared" si="33"/>
        <v>无增减值</v>
      </c>
      <c r="BT31" s="178">
        <f t="shared" si="16"/>
        <v>0</v>
      </c>
      <c r="BU31" s="178">
        <f t="shared" si="34"/>
        <v>0</v>
      </c>
      <c r="BV31" s="1420" t="str">
        <f t="shared" si="25"/>
        <v>无增减值</v>
      </c>
      <c r="BW31" s="259"/>
      <c r="BX31" s="139" t="str">
        <f>投资性房产总!BT5</f>
        <v/>
      </c>
      <c r="BY31" s="139" t="s">
        <v>1575</v>
      </c>
      <c r="BZ31" s="139" t="str">
        <f t="shared" si="17"/>
        <v/>
      </c>
      <c r="CA31" s="259"/>
      <c r="CB31" s="145" t="str">
        <f t="shared" si="4"/>
        <v>投资性房地产</v>
      </c>
      <c r="CC31" s="1414">
        <f t="shared" si="5"/>
        <v>0</v>
      </c>
      <c r="CD31" s="1415">
        <f t="shared" si="6"/>
        <v>0</v>
      </c>
      <c r="CE31" s="141">
        <f t="shared" si="18"/>
        <v>2</v>
      </c>
      <c r="CF31" s="228"/>
      <c r="CG31" s="158"/>
      <c r="CJ31" s="158"/>
      <c r="CK31" s="158"/>
      <c r="CL31" s="158"/>
    </row>
    <row r="32" ht="14.7" customHeight="1" spans="1:90">
      <c r="A32" s="325">
        <f>SUBTOTAL(103,$B$7:B32)</f>
        <v>26</v>
      </c>
      <c r="B32" s="1417" t="str">
        <f>非流动资总!B16</f>
        <v>固定资产</v>
      </c>
      <c r="C32" s="958">
        <f>非流动资总!C16</f>
        <v>0</v>
      </c>
      <c r="D32" s="958">
        <f>非流动资总!D16</f>
        <v>0</v>
      </c>
      <c r="E32" s="958">
        <f>非流动资总!E16</f>
        <v>0</v>
      </c>
      <c r="F32" s="958">
        <f t="shared" si="8"/>
        <v>0</v>
      </c>
      <c r="G32" s="958" t="str">
        <f t="shared" si="0"/>
        <v/>
      </c>
      <c r="H32" s="1418">
        <f>SUM(SUMIF('资负表（未审）-旧'!A$7:A$35,B32,'资负表（未审）-旧'!D$7:D$35),SUMIF('资负表（未审）-旧'!F$7:F$27,B32,'资负表（未审）-旧'!I$7:I$27),SUMIF('资负表（未审）-新'!A$7:A$39,B32,'资负表（未审）-新'!D$7:D$39),SUMIF('资负表（未审）-新'!F$7:F$29,B32,'资负表（未审）-新'!I$7:I$29))</f>
        <v>0</v>
      </c>
      <c r="I32" s="1418">
        <f t="shared" si="35"/>
        <v>0</v>
      </c>
      <c r="J32" s="1419">
        <f>SUM(SUMIF('资负表（已审）-旧'!A$7:A$35,B32,'资负表（已审）-旧'!D$7:D$35),SUMIF('资负表（已审）-旧'!F$7:F$27,B32,'资负表（已审）-旧'!I$7:I$27),SUMIF('资负表（已审）-新'!A$7:A$39,B32,'资负表（已审）-新'!D$7:D$39),SUMIF('资负表（已审）-新'!F$7:F$29,B32,'资负表（已审）-新'!I$7:I$29))</f>
        <v>0</v>
      </c>
      <c r="K32" s="1419">
        <f t="shared" si="36"/>
        <v>0</v>
      </c>
      <c r="L32" s="254" t="s">
        <v>341</v>
      </c>
      <c r="BA32" s="256">
        <f>非流动资总!BA16</f>
        <v>0</v>
      </c>
      <c r="BB32" s="256">
        <f>非流动资总!BB16</f>
        <v>0</v>
      </c>
      <c r="BC32" s="256">
        <f t="shared" si="9"/>
        <v>0</v>
      </c>
      <c r="BD32" s="256">
        <f t="shared" si="10"/>
        <v>0</v>
      </c>
      <c r="BE32" s="256">
        <f>非流动资总!BE16</f>
        <v>0</v>
      </c>
      <c r="BF32" s="256">
        <f>非流动资总!BF16</f>
        <v>0</v>
      </c>
      <c r="BG32" s="256">
        <f t="shared" si="11"/>
        <v>0</v>
      </c>
      <c r="BH32" s="256">
        <f t="shared" si="12"/>
        <v>0</v>
      </c>
      <c r="BJ32" s="256">
        <f>非流动资总!BJ16</f>
        <v>0</v>
      </c>
      <c r="BK32" s="256">
        <f>非流动资总!BK16</f>
        <v>0</v>
      </c>
      <c r="BL32" s="256">
        <f>非流动资总!BL16</f>
        <v>0</v>
      </c>
      <c r="BM32" s="256">
        <f t="shared" si="13"/>
        <v>0</v>
      </c>
      <c r="BN32" s="256">
        <f>非流动资总!BN16</f>
        <v>0</v>
      </c>
      <c r="BO32" s="256">
        <f>非流动资总!BO16</f>
        <v>0</v>
      </c>
      <c r="BP32" s="256">
        <f>非流动资总!BP16</f>
        <v>0</v>
      </c>
      <c r="BQ32" s="256">
        <f t="shared" si="14"/>
        <v>0</v>
      </c>
      <c r="BS32" s="141" t="str">
        <f t="shared" si="33"/>
        <v>无增减值</v>
      </c>
      <c r="BT32" s="178">
        <f t="shared" si="16"/>
        <v>0</v>
      </c>
      <c r="BU32" s="178">
        <f t="shared" si="34"/>
        <v>0</v>
      </c>
      <c r="BV32" s="1420" t="str">
        <f t="shared" si="25"/>
        <v>无增减值</v>
      </c>
      <c r="BW32" s="259"/>
      <c r="BX32" s="139" t="str">
        <f>固定资产总!BT14&amp;固定资产总!BT19&amp;固定资产总!BT21&amp;固定资产总!BT23</f>
        <v/>
      </c>
      <c r="BY32" s="139"/>
      <c r="BZ32" s="139" t="str">
        <f t="shared" si="17"/>
        <v/>
      </c>
      <c r="CA32" s="259"/>
      <c r="CB32" s="145" t="str">
        <f t="shared" si="4"/>
        <v>固定资产</v>
      </c>
      <c r="CC32" s="1414">
        <f t="shared" si="5"/>
        <v>0</v>
      </c>
      <c r="CD32" s="1415">
        <f t="shared" si="6"/>
        <v>0</v>
      </c>
      <c r="CE32" s="141">
        <f t="shared" si="18"/>
        <v>2</v>
      </c>
      <c r="CF32" s="228"/>
      <c r="CG32" s="158"/>
      <c r="CJ32" s="158"/>
      <c r="CK32" s="158"/>
      <c r="CL32" s="158"/>
    </row>
    <row r="33" ht="14.7" customHeight="1" spans="1:90">
      <c r="A33" s="325">
        <f>SUBTOTAL(103,$B$7:B33)</f>
        <v>27</v>
      </c>
      <c r="B33" s="1417" t="str">
        <f>非流动资总!B17</f>
        <v>在建工程</v>
      </c>
      <c r="C33" s="958">
        <f>非流动资总!C17</f>
        <v>0</v>
      </c>
      <c r="D33" s="958">
        <f>非流动资总!D17</f>
        <v>0</v>
      </c>
      <c r="E33" s="958">
        <f>非流动资总!E17</f>
        <v>0</v>
      </c>
      <c r="F33" s="958">
        <f t="shared" si="8"/>
        <v>0</v>
      </c>
      <c r="G33" s="958" t="str">
        <f t="shared" si="0"/>
        <v/>
      </c>
      <c r="H33" s="1418">
        <f>SUM(SUMIF('资负表（未审）-旧'!A$7:A$35,B33,'资负表（未审）-旧'!D$7:D$35),SUMIF('资负表（未审）-旧'!F$7:F$27,B33,'资负表（未审）-旧'!I$7:I$27),SUMIF('资负表（未审）-新'!A$7:A$39,B33,'资负表（未审）-新'!D$7:D$39),SUMIF('资负表（未审）-新'!F$7:F$29,B33,'资负表（未审）-新'!I$7:I$29))</f>
        <v>0</v>
      </c>
      <c r="I33" s="1418">
        <f t="shared" si="35"/>
        <v>0</v>
      </c>
      <c r="J33" s="1419">
        <f>SUM(SUMIF('资负表（已审）-旧'!A$7:A$35,B33,'资负表（已审）-旧'!D$7:D$35),SUMIF('资负表（已审）-旧'!F$7:F$27,B33,'资负表（已审）-旧'!I$7:I$27),SUMIF('资负表（已审）-新'!A$7:A$39,B33,'资负表（已审）-新'!D$7:D$39),SUMIF('资负表（已审）-新'!F$7:F$29,B33,'资负表（已审）-新'!I$7:I$29))</f>
        <v>0</v>
      </c>
      <c r="K33" s="1419">
        <f t="shared" si="36"/>
        <v>0</v>
      </c>
      <c r="L33" s="254" t="s">
        <v>341</v>
      </c>
      <c r="BA33" s="256">
        <f>非流动资总!BA17</f>
        <v>0</v>
      </c>
      <c r="BB33" s="256">
        <f>非流动资总!BB17</f>
        <v>0</v>
      </c>
      <c r="BC33" s="256">
        <f t="shared" si="9"/>
        <v>0</v>
      </c>
      <c r="BD33" s="256">
        <f t="shared" si="10"/>
        <v>0</v>
      </c>
      <c r="BE33" s="256">
        <f>非流动资总!BE17</f>
        <v>0</v>
      </c>
      <c r="BF33" s="256">
        <f>非流动资总!BF17</f>
        <v>0</v>
      </c>
      <c r="BG33" s="256">
        <f t="shared" si="11"/>
        <v>0</v>
      </c>
      <c r="BH33" s="256">
        <f t="shared" si="12"/>
        <v>0</v>
      </c>
      <c r="BJ33" s="256">
        <f>非流动资总!BJ17</f>
        <v>0</v>
      </c>
      <c r="BK33" s="256">
        <f>非流动资总!BK17</f>
        <v>0</v>
      </c>
      <c r="BL33" s="256">
        <f>非流动资总!BL17</f>
        <v>0</v>
      </c>
      <c r="BM33" s="256">
        <f t="shared" si="13"/>
        <v>0</v>
      </c>
      <c r="BN33" s="256">
        <f>非流动资总!BN17</f>
        <v>0</v>
      </c>
      <c r="BO33" s="256">
        <f>非流动资总!BO17</f>
        <v>0</v>
      </c>
      <c r="BP33" s="256">
        <f>非流动资总!BP17</f>
        <v>0</v>
      </c>
      <c r="BQ33" s="256">
        <f t="shared" si="14"/>
        <v>0</v>
      </c>
      <c r="BS33" s="141" t="str">
        <f t="shared" si="33"/>
        <v>无增减值</v>
      </c>
      <c r="BT33" s="178">
        <f t="shared" si="16"/>
        <v>0</v>
      </c>
      <c r="BU33" s="178">
        <f t="shared" si="34"/>
        <v>0</v>
      </c>
      <c r="BV33" s="1420" t="str">
        <f t="shared" si="25"/>
        <v>无增减值</v>
      </c>
      <c r="BW33" s="259"/>
      <c r="BX33" s="139" t="str">
        <f>在建总!BT5</f>
        <v/>
      </c>
      <c r="BY33" s="139"/>
      <c r="BZ33" s="139" t="str">
        <f t="shared" si="17"/>
        <v/>
      </c>
      <c r="CA33" s="259"/>
      <c r="CB33" s="145" t="str">
        <f t="shared" si="4"/>
        <v>在建工程</v>
      </c>
      <c r="CC33" s="1414">
        <f t="shared" si="5"/>
        <v>0</v>
      </c>
      <c r="CD33" s="1415">
        <f t="shared" si="6"/>
        <v>0</v>
      </c>
      <c r="CE33" s="141">
        <f t="shared" si="18"/>
        <v>2</v>
      </c>
      <c r="CF33" s="228"/>
      <c r="CG33" s="158"/>
      <c r="CJ33" s="158"/>
      <c r="CK33" s="158"/>
      <c r="CL33" s="158"/>
    </row>
    <row r="34" ht="14.7" customHeight="1" spans="1:90">
      <c r="A34" s="325">
        <f>SUBTOTAL(103,$B$7:B34)</f>
        <v>28</v>
      </c>
      <c r="B34" s="1417" t="str">
        <f>非流动资总!B18</f>
        <v>生产性生物资产</v>
      </c>
      <c r="C34" s="958">
        <f>非流动资总!C18</f>
        <v>0</v>
      </c>
      <c r="D34" s="958">
        <f>非流动资总!D18</f>
        <v>0</v>
      </c>
      <c r="E34" s="958">
        <f>非流动资总!E18</f>
        <v>0</v>
      </c>
      <c r="F34" s="958">
        <f t="shared" ref="F34:F69" si="37">E34-D34</f>
        <v>0</v>
      </c>
      <c r="G34" s="958" t="str">
        <f t="shared" ref="G34:G69" si="38">IFERROR(F34/ABS(D34)*100,"")</f>
        <v/>
      </c>
      <c r="H34" s="1418">
        <f>SUM(SUMIF('资负表（未审）-旧'!A$7:A$35,B34,'资负表（未审）-旧'!D$7:D$35),SUMIF('资负表（未审）-旧'!F$7:F$27,B34,'资负表（未审）-旧'!I$7:I$27),SUMIF('资负表（未审）-新'!A$7:A$39,B34,'资负表（未审）-新'!D$7:D$39),SUMIF('资负表（未审）-新'!F$7:F$29,B34,'资负表（未审）-新'!I$7:I$29))</f>
        <v>0</v>
      </c>
      <c r="I34" s="1418">
        <f t="shared" si="35"/>
        <v>0</v>
      </c>
      <c r="J34" s="1419">
        <f>SUM(SUMIF('资负表（已审）-旧'!A$7:A$35,B34,'资负表（已审）-旧'!D$7:D$35),SUMIF('资负表（已审）-旧'!F$7:F$27,B34,'资负表（已审）-旧'!I$7:I$27),SUMIF('资负表（已审）-新'!A$7:A$39,B34,'资负表（已审）-新'!D$7:D$39),SUMIF('资负表（已审）-新'!F$7:F$29,B34,'资负表（已审）-新'!I$7:I$29))</f>
        <v>0</v>
      </c>
      <c r="K34" s="1419">
        <f t="shared" si="36"/>
        <v>0</v>
      </c>
      <c r="L34" s="254" t="s">
        <v>341</v>
      </c>
      <c r="BA34" s="256">
        <f>非流动资总!BA18</f>
        <v>0</v>
      </c>
      <c r="BB34" s="256">
        <f>非流动资总!BB18</f>
        <v>0</v>
      </c>
      <c r="BC34" s="256">
        <f t="shared" si="9"/>
        <v>0</v>
      </c>
      <c r="BD34" s="256">
        <f t="shared" si="10"/>
        <v>0</v>
      </c>
      <c r="BE34" s="256">
        <f>非流动资总!BE18</f>
        <v>0</v>
      </c>
      <c r="BF34" s="256">
        <f>非流动资总!BF18</f>
        <v>0</v>
      </c>
      <c r="BG34" s="256">
        <f t="shared" si="11"/>
        <v>0</v>
      </c>
      <c r="BH34" s="256">
        <f t="shared" si="12"/>
        <v>0</v>
      </c>
      <c r="BJ34" s="256">
        <f>非流动资总!BJ18</f>
        <v>0</v>
      </c>
      <c r="BK34" s="256">
        <f>非流动资总!BK18</f>
        <v>0</v>
      </c>
      <c r="BL34" s="256">
        <f>非流动资总!BL18</f>
        <v>0</v>
      </c>
      <c r="BM34" s="256">
        <f t="shared" si="13"/>
        <v>0</v>
      </c>
      <c r="BN34" s="256">
        <f>非流动资总!BN18</f>
        <v>0</v>
      </c>
      <c r="BO34" s="256">
        <f>非流动资总!BO18</f>
        <v>0</v>
      </c>
      <c r="BP34" s="256">
        <f>非流动资总!BP18</f>
        <v>0</v>
      </c>
      <c r="BQ34" s="256">
        <f t="shared" si="14"/>
        <v>0</v>
      </c>
      <c r="BS34" s="141" t="str">
        <f t="shared" si="33"/>
        <v>无增减值</v>
      </c>
      <c r="BT34" s="178">
        <f t="shared" si="16"/>
        <v>0</v>
      </c>
      <c r="BU34" s="178">
        <f t="shared" si="34"/>
        <v>0</v>
      </c>
      <c r="BV34" s="1420" t="str">
        <f t="shared" si="25"/>
        <v>无增减值</v>
      </c>
      <c r="BW34" s="259"/>
      <c r="BX34" s="139" t="str">
        <f>生物资!CD15</f>
        <v/>
      </c>
      <c r="BY34" s="139" t="s">
        <v>1579</v>
      </c>
      <c r="BZ34" s="139" t="str">
        <f t="shared" si="17"/>
        <v/>
      </c>
      <c r="CA34" s="259"/>
      <c r="CB34" s="145" t="str">
        <f t="shared" si="4"/>
        <v>生产性生物资产</v>
      </c>
      <c r="CC34" s="1414">
        <f t="shared" si="5"/>
        <v>0</v>
      </c>
      <c r="CD34" s="1415">
        <f t="shared" si="6"/>
        <v>0</v>
      </c>
      <c r="CE34" s="141">
        <f t="shared" si="18"/>
        <v>2</v>
      </c>
      <c r="CF34" s="228"/>
      <c r="CG34" s="158"/>
      <c r="CJ34" s="158"/>
      <c r="CK34" s="158"/>
      <c r="CL34" s="158"/>
    </row>
    <row r="35" ht="14.7" customHeight="1" spans="1:90">
      <c r="A35" s="325">
        <f>SUBTOTAL(103,$B$7:B35)</f>
        <v>29</v>
      </c>
      <c r="B35" s="1417" t="str">
        <f>非流动资总!B19</f>
        <v>油气资产</v>
      </c>
      <c r="C35" s="958">
        <f>非流动资总!C19</f>
        <v>0</v>
      </c>
      <c r="D35" s="958">
        <f>非流动资总!D19</f>
        <v>0</v>
      </c>
      <c r="E35" s="958">
        <f>非流动资总!E19</f>
        <v>0</v>
      </c>
      <c r="F35" s="958">
        <f t="shared" si="37"/>
        <v>0</v>
      </c>
      <c r="G35" s="958" t="str">
        <f t="shared" si="38"/>
        <v/>
      </c>
      <c r="H35" s="1418">
        <f>SUM(SUMIF('资负表（未审）-旧'!A$7:A$35,B35,'资负表（未审）-旧'!D$7:D$35),SUMIF('资负表（未审）-旧'!F$7:F$27,B35,'资负表（未审）-旧'!I$7:I$27),SUMIF('资负表（未审）-新'!A$7:A$39,B35,'资负表（未审）-新'!D$7:D$39),SUMIF('资负表（未审）-新'!F$7:F$29,B35,'资负表（未审）-新'!I$7:I$29))</f>
        <v>0</v>
      </c>
      <c r="I35" s="1418">
        <f t="shared" si="35"/>
        <v>0</v>
      </c>
      <c r="J35" s="1419">
        <f>SUM(SUMIF('资负表（已审）-旧'!A$7:A$35,B35,'资负表（已审）-旧'!D$7:D$35),SUMIF('资负表（已审）-旧'!F$7:F$27,B35,'资负表（已审）-旧'!I$7:I$27),SUMIF('资负表（已审）-新'!A$7:A$39,B35,'资负表（已审）-新'!D$7:D$39),SUMIF('资负表（已审）-新'!F$7:F$29,B35,'资负表（已审）-新'!I$7:I$29))</f>
        <v>0</v>
      </c>
      <c r="K35" s="1419">
        <f t="shared" si="36"/>
        <v>0</v>
      </c>
      <c r="L35" s="254" t="s">
        <v>341</v>
      </c>
      <c r="BA35" s="256">
        <f>非流动资总!BA19</f>
        <v>0</v>
      </c>
      <c r="BB35" s="256">
        <f>非流动资总!BB19</f>
        <v>0</v>
      </c>
      <c r="BC35" s="256">
        <f t="shared" si="9"/>
        <v>0</v>
      </c>
      <c r="BD35" s="256">
        <f t="shared" si="10"/>
        <v>0</v>
      </c>
      <c r="BE35" s="256">
        <f>非流动资总!BE19</f>
        <v>0</v>
      </c>
      <c r="BF35" s="256">
        <f>非流动资总!BF19</f>
        <v>0</v>
      </c>
      <c r="BG35" s="256">
        <f t="shared" si="11"/>
        <v>0</v>
      </c>
      <c r="BH35" s="256">
        <f t="shared" si="12"/>
        <v>0</v>
      </c>
      <c r="BJ35" s="256">
        <f>非流动资总!BJ19</f>
        <v>0</v>
      </c>
      <c r="BK35" s="256">
        <f>非流动资总!BK19</f>
        <v>0</v>
      </c>
      <c r="BL35" s="256">
        <f>非流动资总!BL19</f>
        <v>0</v>
      </c>
      <c r="BM35" s="256">
        <f t="shared" si="13"/>
        <v>0</v>
      </c>
      <c r="BN35" s="256">
        <f>非流动资总!BN19</f>
        <v>0</v>
      </c>
      <c r="BO35" s="256">
        <f>非流动资总!BO19</f>
        <v>0</v>
      </c>
      <c r="BP35" s="256">
        <f>非流动资总!BP19</f>
        <v>0</v>
      </c>
      <c r="BQ35" s="256">
        <f t="shared" si="14"/>
        <v>0</v>
      </c>
      <c r="BS35" s="141" t="str">
        <f t="shared" si="33"/>
        <v>无增减值</v>
      </c>
      <c r="BT35" s="178">
        <f t="shared" si="16"/>
        <v>0</v>
      </c>
      <c r="BU35" s="178">
        <f t="shared" si="34"/>
        <v>0</v>
      </c>
      <c r="BV35" s="1420" t="str">
        <f t="shared" si="25"/>
        <v>无增减值</v>
      </c>
      <c r="BW35" s="259"/>
      <c r="BX35" s="139" t="str">
        <f>油气资!CD15</f>
        <v/>
      </c>
      <c r="BY35" s="139" t="s">
        <v>1579</v>
      </c>
      <c r="BZ35" s="139" t="str">
        <f t="shared" si="17"/>
        <v/>
      </c>
      <c r="CA35" s="259"/>
      <c r="CB35" s="145" t="str">
        <f t="shared" si="4"/>
        <v>油气资产</v>
      </c>
      <c r="CC35" s="1414">
        <f t="shared" si="5"/>
        <v>0</v>
      </c>
      <c r="CD35" s="1415">
        <f t="shared" si="6"/>
        <v>0</v>
      </c>
      <c r="CE35" s="141">
        <f t="shared" si="18"/>
        <v>2</v>
      </c>
      <c r="CF35" s="228"/>
      <c r="CG35" s="158"/>
      <c r="CJ35" s="158"/>
      <c r="CK35" s="158"/>
      <c r="CL35" s="158"/>
    </row>
    <row r="36" ht="14.7" customHeight="1" spans="1:90">
      <c r="A36" s="325">
        <f>SUBTOTAL(103,$B$7:B36)</f>
        <v>30</v>
      </c>
      <c r="B36" s="1417" t="str">
        <f>非流动资总!B20</f>
        <v>使用权资产</v>
      </c>
      <c r="C36" s="958">
        <f>非流动资总!C20</f>
        <v>0</v>
      </c>
      <c r="D36" s="958">
        <f>非流动资总!D20</f>
        <v>0</v>
      </c>
      <c r="E36" s="958">
        <f>非流动资总!E20</f>
        <v>0</v>
      </c>
      <c r="F36" s="958">
        <f t="shared" si="37"/>
        <v>0</v>
      </c>
      <c r="G36" s="958" t="str">
        <f t="shared" si="38"/>
        <v/>
      </c>
      <c r="H36" s="1418">
        <f>SUM(SUMIF('资负表（未审）-旧'!A$7:A$35,B36,'资负表（未审）-旧'!D$7:D$35),SUMIF('资负表（未审）-旧'!F$7:F$27,B36,'资负表（未审）-旧'!I$7:I$27),SUMIF('资负表（未审）-新'!A$7:A$39,B36,'资负表（未审）-新'!D$7:D$39),SUMIF('资负表（未审）-新'!F$7:F$29,B36,'资负表（未审）-新'!I$7:I$29))</f>
        <v>0</v>
      </c>
      <c r="I36" s="1418">
        <f t="shared" si="35"/>
        <v>0</v>
      </c>
      <c r="J36" s="1419">
        <f>SUM(SUMIF('资负表（已审）-旧'!A$7:A$35,B36,'资负表（已审）-旧'!D$7:D$35),SUMIF('资负表（已审）-旧'!F$7:F$27,B36,'资负表（已审）-旧'!I$7:I$27),SUMIF('资负表（已审）-新'!A$7:A$39,B36,'资负表（已审）-新'!D$7:D$39),SUMIF('资负表（已审）-新'!F$7:F$29,B36,'资负表（已审）-新'!I$7:I$29))</f>
        <v>0</v>
      </c>
      <c r="K36" s="1419">
        <f t="shared" si="36"/>
        <v>0</v>
      </c>
      <c r="L36" s="254" t="s">
        <v>1576</v>
      </c>
      <c r="BA36" s="256">
        <f>非流动资总!BA20</f>
        <v>0</v>
      </c>
      <c r="BB36" s="256">
        <f>非流动资总!BB20</f>
        <v>0</v>
      </c>
      <c r="BC36" s="256">
        <f t="shared" si="9"/>
        <v>0</v>
      </c>
      <c r="BD36" s="256">
        <f t="shared" si="10"/>
        <v>0</v>
      </c>
      <c r="BE36" s="256">
        <f>非流动资总!BE20</f>
        <v>0</v>
      </c>
      <c r="BF36" s="256">
        <f>非流动资总!BF20</f>
        <v>0</v>
      </c>
      <c r="BG36" s="256">
        <f t="shared" si="11"/>
        <v>0</v>
      </c>
      <c r="BH36" s="256">
        <f t="shared" si="12"/>
        <v>0</v>
      </c>
      <c r="BJ36" s="256">
        <f>非流动资总!BJ20</f>
        <v>0</v>
      </c>
      <c r="BK36" s="256">
        <f>非流动资总!BK20</f>
        <v>0</v>
      </c>
      <c r="BL36" s="256">
        <f>非流动资总!BL20</f>
        <v>0</v>
      </c>
      <c r="BM36" s="256">
        <f t="shared" si="13"/>
        <v>0</v>
      </c>
      <c r="BN36" s="256">
        <f>非流动资总!BN20</f>
        <v>0</v>
      </c>
      <c r="BO36" s="256">
        <f>非流动资总!BO20</f>
        <v>0</v>
      </c>
      <c r="BP36" s="256">
        <f>非流动资总!BP20</f>
        <v>0</v>
      </c>
      <c r="BQ36" s="256">
        <f t="shared" si="14"/>
        <v>0</v>
      </c>
      <c r="BS36" s="141" t="str">
        <f t="shared" si="33"/>
        <v>无增减值</v>
      </c>
      <c r="BT36" s="178">
        <f t="shared" si="16"/>
        <v>0</v>
      </c>
      <c r="BU36" s="178">
        <f t="shared" si="34"/>
        <v>0</v>
      </c>
      <c r="BV36" s="1420" t="str">
        <f t="shared" si="25"/>
        <v>无增减值</v>
      </c>
      <c r="BW36" s="259"/>
      <c r="BX36" s="139" t="str">
        <f>使用权资!CE15</f>
        <v/>
      </c>
      <c r="BY36" s="139"/>
      <c r="BZ36" s="139" t="str">
        <f t="shared" si="17"/>
        <v/>
      </c>
      <c r="CA36" s="259"/>
      <c r="CB36" s="145" t="str">
        <f t="shared" si="4"/>
        <v>使用权资产</v>
      </c>
      <c r="CC36" s="1414">
        <f t="shared" si="5"/>
        <v>0</v>
      </c>
      <c r="CD36" s="1415">
        <f t="shared" si="6"/>
        <v>0</v>
      </c>
      <c r="CE36" s="141">
        <f t="shared" si="18"/>
        <v>2</v>
      </c>
      <c r="CF36" s="228"/>
      <c r="CG36" s="158"/>
      <c r="CJ36" s="158"/>
      <c r="CK36" s="158"/>
      <c r="CL36" s="158"/>
    </row>
    <row r="37" ht="14.7" customHeight="1" spans="1:90">
      <c r="A37" s="325">
        <f>SUBTOTAL(103,$B$7:B37)</f>
        <v>31</v>
      </c>
      <c r="B37" s="1417" t="str">
        <f>非流动资总!B21</f>
        <v>无形资产</v>
      </c>
      <c r="C37" s="958">
        <f>非流动资总!C21</f>
        <v>0</v>
      </c>
      <c r="D37" s="958">
        <f>非流动资总!D21</f>
        <v>0</v>
      </c>
      <c r="E37" s="958">
        <f>非流动资总!E21</f>
        <v>0</v>
      </c>
      <c r="F37" s="958">
        <f t="shared" si="37"/>
        <v>0</v>
      </c>
      <c r="G37" s="958" t="str">
        <f t="shared" si="38"/>
        <v/>
      </c>
      <c r="H37" s="1418">
        <f>SUM(SUMIF('资负表（未审）-旧'!A$7:A$35,B37,'资负表（未审）-旧'!D$7:D$35),SUMIF('资负表（未审）-旧'!F$7:F$27,B37,'资负表（未审）-旧'!I$7:I$27),SUMIF('资负表（未审）-新'!A$7:A$39,B37,'资负表（未审）-新'!D$7:D$39),SUMIF('资负表（未审）-新'!F$7:F$29,B37,'资负表（未审）-新'!I$7:I$29))</f>
        <v>0</v>
      </c>
      <c r="I37" s="1418">
        <f t="shared" si="35"/>
        <v>0</v>
      </c>
      <c r="J37" s="1419">
        <f>SUM(SUMIF('资负表（已审）-旧'!A$7:A$35,B37,'资负表（已审）-旧'!D$7:D$35),SUMIF('资负表（已审）-旧'!F$7:F$27,B37,'资负表（已审）-旧'!I$7:I$27),SUMIF('资负表（已审）-新'!A$7:A$39,B37,'资负表（已审）-新'!D$7:D$39),SUMIF('资负表（已审）-新'!F$7:F$29,B37,'资负表（已审）-新'!I$7:I$29))</f>
        <v>0</v>
      </c>
      <c r="K37" s="1419">
        <f t="shared" si="36"/>
        <v>0</v>
      </c>
      <c r="L37" s="254" t="s">
        <v>341</v>
      </c>
      <c r="BA37" s="256">
        <f>非流动资总!BA21</f>
        <v>0</v>
      </c>
      <c r="BB37" s="256">
        <f>非流动资总!BB21</f>
        <v>0</v>
      </c>
      <c r="BC37" s="256">
        <f t="shared" si="9"/>
        <v>0</v>
      </c>
      <c r="BD37" s="256">
        <f t="shared" si="10"/>
        <v>0</v>
      </c>
      <c r="BE37" s="256">
        <f>非流动资总!BE21</f>
        <v>0</v>
      </c>
      <c r="BF37" s="256">
        <f>非流动资总!BF21</f>
        <v>0</v>
      </c>
      <c r="BG37" s="256">
        <f t="shared" si="11"/>
        <v>0</v>
      </c>
      <c r="BH37" s="256">
        <f t="shared" si="12"/>
        <v>0</v>
      </c>
      <c r="BJ37" s="256">
        <f>非流动资总!BJ21</f>
        <v>0</v>
      </c>
      <c r="BK37" s="256">
        <f>非流动资总!BK21</f>
        <v>0</v>
      </c>
      <c r="BL37" s="256">
        <f>非流动资总!BL21</f>
        <v>0</v>
      </c>
      <c r="BM37" s="256">
        <f t="shared" si="13"/>
        <v>0</v>
      </c>
      <c r="BN37" s="256">
        <f>非流动资总!BN21</f>
        <v>0</v>
      </c>
      <c r="BO37" s="256">
        <f>非流动资总!BO21</f>
        <v>0</v>
      </c>
      <c r="BP37" s="256">
        <f>非流动资总!BP21</f>
        <v>0</v>
      </c>
      <c r="BQ37" s="256">
        <f t="shared" si="14"/>
        <v>0</v>
      </c>
      <c r="BS37" s="141" t="str">
        <f t="shared" si="33"/>
        <v>无增减值</v>
      </c>
      <c r="BT37" s="178">
        <f t="shared" si="16"/>
        <v>0</v>
      </c>
      <c r="BU37" s="178">
        <f t="shared" si="34"/>
        <v>0</v>
      </c>
      <c r="BV37" s="1420" t="str">
        <f t="shared" si="25"/>
        <v>无增减值</v>
      </c>
      <c r="BW37" s="259"/>
      <c r="BX37" s="139" t="str">
        <f>无形资总!BT5</f>
        <v/>
      </c>
      <c r="BY37" s="139"/>
      <c r="BZ37" s="139" t="str">
        <f t="shared" si="17"/>
        <v/>
      </c>
      <c r="CA37" s="259"/>
      <c r="CB37" s="145" t="str">
        <f t="shared" si="4"/>
        <v>无形资产</v>
      </c>
      <c r="CC37" s="1414">
        <f t="shared" si="5"/>
        <v>0</v>
      </c>
      <c r="CD37" s="1415">
        <f t="shared" si="6"/>
        <v>0</v>
      </c>
      <c r="CE37" s="141">
        <f t="shared" si="18"/>
        <v>2</v>
      </c>
      <c r="CF37" s="228"/>
      <c r="CG37" s="158"/>
      <c r="CJ37" s="158"/>
      <c r="CK37" s="158"/>
      <c r="CL37" s="158"/>
    </row>
    <row r="38" ht="14.7" customHeight="1" spans="1:90">
      <c r="A38" s="325">
        <f>SUBTOTAL(103,$B$7:B38)</f>
        <v>32</v>
      </c>
      <c r="B38" s="1417" t="str">
        <f>非流动资总!B22</f>
        <v>开发支出</v>
      </c>
      <c r="C38" s="958">
        <f>非流动资总!C22</f>
        <v>0</v>
      </c>
      <c r="D38" s="958">
        <f>非流动资总!D22</f>
        <v>0</v>
      </c>
      <c r="E38" s="958">
        <f>非流动资总!E22</f>
        <v>0</v>
      </c>
      <c r="F38" s="958">
        <f t="shared" si="37"/>
        <v>0</v>
      </c>
      <c r="G38" s="958" t="str">
        <f t="shared" si="38"/>
        <v/>
      </c>
      <c r="H38" s="1418">
        <f>SUM(SUMIF('资负表（未审）-旧'!A$7:A$35,B38,'资负表（未审）-旧'!D$7:D$35),SUMIF('资负表（未审）-旧'!F$7:F$27,B38,'资负表（未审）-旧'!I$7:I$27),SUMIF('资负表（未审）-新'!A$7:A$39,B38,'资负表（未审）-新'!D$7:D$39),SUMIF('资负表（未审）-新'!F$7:F$29,B38,'资负表（未审）-新'!I$7:I$29))</f>
        <v>0</v>
      </c>
      <c r="I38" s="1418">
        <f t="shared" si="35"/>
        <v>0</v>
      </c>
      <c r="J38" s="1419">
        <f>SUM(SUMIF('资负表（已审）-旧'!A$7:A$35,B38,'资负表（已审）-旧'!D$7:D$35),SUMIF('资负表（已审）-旧'!F$7:F$27,B38,'资负表（已审）-旧'!I$7:I$27),SUMIF('资负表（已审）-新'!A$7:A$39,B38,'资负表（已审）-新'!D$7:D$39),SUMIF('资负表（已审）-新'!F$7:F$29,B38,'资负表（已审）-新'!I$7:I$29))</f>
        <v>0</v>
      </c>
      <c r="K38" s="1419">
        <f t="shared" si="36"/>
        <v>0</v>
      </c>
      <c r="L38" s="254" t="s">
        <v>341</v>
      </c>
      <c r="BA38" s="256">
        <f>非流动资总!BA22</f>
        <v>0</v>
      </c>
      <c r="BB38" s="256">
        <f>非流动资总!BB22</f>
        <v>0</v>
      </c>
      <c r="BC38" s="256">
        <f t="shared" si="9"/>
        <v>0</v>
      </c>
      <c r="BD38" s="256">
        <f t="shared" si="10"/>
        <v>0</v>
      </c>
      <c r="BE38" s="256">
        <f>非流动资总!BE22</f>
        <v>0</v>
      </c>
      <c r="BF38" s="256">
        <f>非流动资总!BF22</f>
        <v>0</v>
      </c>
      <c r="BG38" s="256">
        <f t="shared" si="11"/>
        <v>0</v>
      </c>
      <c r="BH38" s="256">
        <f t="shared" si="12"/>
        <v>0</v>
      </c>
      <c r="BJ38" s="256">
        <f>非流动资总!BJ22</f>
        <v>0</v>
      </c>
      <c r="BK38" s="256">
        <f>非流动资总!BK22</f>
        <v>0</v>
      </c>
      <c r="BL38" s="256">
        <f>非流动资总!BL22</f>
        <v>0</v>
      </c>
      <c r="BM38" s="256">
        <f t="shared" si="13"/>
        <v>0</v>
      </c>
      <c r="BN38" s="256">
        <f>非流动资总!BN22</f>
        <v>0</v>
      </c>
      <c r="BO38" s="256">
        <f>非流动资总!BO22</f>
        <v>0</v>
      </c>
      <c r="BP38" s="256">
        <f>非流动资总!BP22</f>
        <v>0</v>
      </c>
      <c r="BQ38" s="256">
        <f t="shared" si="14"/>
        <v>0</v>
      </c>
      <c r="BS38" s="141" t="str">
        <f t="shared" si="33"/>
        <v>无增减值</v>
      </c>
      <c r="BT38" s="178">
        <f t="shared" si="16"/>
        <v>0</v>
      </c>
      <c r="BU38" s="178">
        <f t="shared" si="34"/>
        <v>0</v>
      </c>
      <c r="BV38" s="1420" t="str">
        <f t="shared" si="25"/>
        <v>无增减值</v>
      </c>
      <c r="BW38" s="259"/>
      <c r="BX38" s="139" t="str">
        <f>开发支出!BV14</f>
        <v/>
      </c>
      <c r="BY38" s="139" t="s">
        <v>1579</v>
      </c>
      <c r="BZ38" s="139" t="str">
        <f t="shared" si="17"/>
        <v/>
      </c>
      <c r="CA38" s="259"/>
      <c r="CB38" s="145" t="str">
        <f t="shared" si="4"/>
        <v>开发支出</v>
      </c>
      <c r="CC38" s="1414">
        <f t="shared" si="5"/>
        <v>0</v>
      </c>
      <c r="CD38" s="1415">
        <f t="shared" si="6"/>
        <v>0</v>
      </c>
      <c r="CE38" s="141">
        <f t="shared" si="18"/>
        <v>2</v>
      </c>
      <c r="CF38" s="228"/>
    </row>
    <row r="39" ht="14.7" customHeight="1" spans="1:90">
      <c r="A39" s="325">
        <f>SUBTOTAL(103,$B$7:B39)</f>
        <v>33</v>
      </c>
      <c r="B39" s="1417" t="str">
        <f>非流动资总!B23</f>
        <v>商誉</v>
      </c>
      <c r="C39" s="958">
        <f>非流动资总!C23</f>
        <v>0</v>
      </c>
      <c r="D39" s="958">
        <f>非流动资总!D23</f>
        <v>0</v>
      </c>
      <c r="E39" s="958">
        <f>非流动资总!E23</f>
        <v>0</v>
      </c>
      <c r="F39" s="958">
        <f t="shared" si="37"/>
        <v>0</v>
      </c>
      <c r="G39" s="958" t="str">
        <f t="shared" si="38"/>
        <v/>
      </c>
      <c r="H39" s="1418">
        <f>SUM(SUMIF('资负表（未审）-旧'!A$7:A$35,B39,'资负表（未审）-旧'!D$7:D$35),SUMIF('资负表（未审）-旧'!F$7:F$27,B39,'资负表（未审）-旧'!I$7:I$27),SUMIF('资负表（未审）-新'!A$7:A$39,B39,'资负表（未审）-新'!D$7:D$39),SUMIF('资负表（未审）-新'!F$7:F$29,B39,'资负表（未审）-新'!I$7:I$29))</f>
        <v>0</v>
      </c>
      <c r="I39" s="1418">
        <f t="shared" si="35"/>
        <v>0</v>
      </c>
      <c r="J39" s="1419">
        <f>SUM(SUMIF('资负表（已审）-旧'!A$7:A$35,B39,'资负表（已审）-旧'!D$7:D$35),SUMIF('资负表（已审）-旧'!F$7:F$27,B39,'资负表（已审）-旧'!I$7:I$27),SUMIF('资负表（已审）-新'!A$7:A$39,B39,'资负表（已审）-新'!D$7:D$39),SUMIF('资负表（已审）-新'!F$7:F$29,B39,'资负表（已审）-新'!I$7:I$29))</f>
        <v>0</v>
      </c>
      <c r="K39" s="1419">
        <f t="shared" si="36"/>
        <v>0</v>
      </c>
      <c r="L39" s="254" t="s">
        <v>341</v>
      </c>
      <c r="BA39" s="256">
        <f>非流动资总!BA23</f>
        <v>0</v>
      </c>
      <c r="BB39" s="256">
        <f>非流动资总!BB23</f>
        <v>0</v>
      </c>
      <c r="BC39" s="256">
        <f t="shared" si="9"/>
        <v>0</v>
      </c>
      <c r="BD39" s="256">
        <f t="shared" si="10"/>
        <v>0</v>
      </c>
      <c r="BE39" s="256">
        <f>非流动资总!BE23</f>
        <v>0</v>
      </c>
      <c r="BF39" s="256">
        <f>非流动资总!BF23</f>
        <v>0</v>
      </c>
      <c r="BG39" s="256">
        <f t="shared" si="11"/>
        <v>0</v>
      </c>
      <c r="BH39" s="256">
        <f t="shared" si="12"/>
        <v>0</v>
      </c>
      <c r="BJ39" s="256">
        <f>非流动资总!BJ23</f>
        <v>0</v>
      </c>
      <c r="BK39" s="256">
        <f>非流动资总!BK23</f>
        <v>0</v>
      </c>
      <c r="BL39" s="256">
        <f>非流动资总!BL23</f>
        <v>0</v>
      </c>
      <c r="BM39" s="256">
        <f t="shared" si="13"/>
        <v>0</v>
      </c>
      <c r="BN39" s="256">
        <f>非流动资总!BN23</f>
        <v>0</v>
      </c>
      <c r="BO39" s="256">
        <f>非流动资总!BO23</f>
        <v>0</v>
      </c>
      <c r="BP39" s="256">
        <f>非流动资总!BP23</f>
        <v>0</v>
      </c>
      <c r="BQ39" s="256">
        <f t="shared" si="14"/>
        <v>0</v>
      </c>
      <c r="BS39" s="141" t="str">
        <f t="shared" si="33"/>
        <v>无增减值</v>
      </c>
      <c r="BT39" s="178">
        <f t="shared" si="16"/>
        <v>0</v>
      </c>
      <c r="BU39" s="178">
        <f t="shared" si="34"/>
        <v>0</v>
      </c>
      <c r="BV39" s="1420" t="str">
        <f t="shared" si="25"/>
        <v>无增减值</v>
      </c>
      <c r="BW39" s="259"/>
      <c r="BX39" s="139" t="str">
        <f>商誉!BV14</f>
        <v/>
      </c>
      <c r="BY39" s="139" t="s">
        <v>1579</v>
      </c>
      <c r="BZ39" s="139" t="str">
        <f t="shared" si="17"/>
        <v/>
      </c>
      <c r="CA39" s="259"/>
      <c r="CB39" s="145" t="str">
        <f t="shared" si="4"/>
        <v>商誉</v>
      </c>
      <c r="CC39" s="1414">
        <f t="shared" si="5"/>
        <v>0</v>
      </c>
      <c r="CD39" s="1415">
        <f t="shared" si="6"/>
        <v>0</v>
      </c>
      <c r="CE39" s="141">
        <f t="shared" si="18"/>
        <v>2</v>
      </c>
      <c r="CF39" s="228"/>
    </row>
    <row r="40" ht="14.7" customHeight="1" spans="1:90">
      <c r="A40" s="325">
        <f>SUBTOTAL(103,$B$7:B40)</f>
        <v>34</v>
      </c>
      <c r="B40" s="1417" t="str">
        <f>非流动资总!B24</f>
        <v>长期待摊费用</v>
      </c>
      <c r="C40" s="958">
        <f>非流动资总!C24</f>
        <v>0</v>
      </c>
      <c r="D40" s="958">
        <f>非流动资总!D24</f>
        <v>0</v>
      </c>
      <c r="E40" s="958">
        <f>非流动资总!E24</f>
        <v>0</v>
      </c>
      <c r="F40" s="958">
        <f t="shared" si="37"/>
        <v>0</v>
      </c>
      <c r="G40" s="958" t="str">
        <f t="shared" si="38"/>
        <v/>
      </c>
      <c r="H40" s="1418">
        <f>SUM(SUMIF('资负表（未审）-旧'!A$7:A$35,B40,'资负表（未审）-旧'!D$7:D$35),SUMIF('资负表（未审）-旧'!F$7:F$27,B40,'资负表（未审）-旧'!I$7:I$27),SUMIF('资负表（未审）-新'!A$7:A$39,B40,'资负表（未审）-新'!D$7:D$39),SUMIF('资负表（未审）-新'!F$7:F$29,B40,'资负表（未审）-新'!I$7:I$29))</f>
        <v>0</v>
      </c>
      <c r="I40" s="1418">
        <f t="shared" si="35"/>
        <v>0</v>
      </c>
      <c r="J40" s="1419">
        <f>SUM(SUMIF('资负表（已审）-旧'!A$7:A$35,B40,'资负表（已审）-旧'!D$7:D$35),SUMIF('资负表（已审）-旧'!F$7:F$27,B40,'资负表（已审）-旧'!I$7:I$27),SUMIF('资负表（已审）-新'!A$7:A$39,B40,'资负表（已审）-新'!D$7:D$39),SUMIF('资负表（已审）-新'!F$7:F$29,B40,'资负表（已审）-新'!I$7:I$29))</f>
        <v>0</v>
      </c>
      <c r="K40" s="1419">
        <f t="shared" si="36"/>
        <v>0</v>
      </c>
      <c r="L40" s="254" t="s">
        <v>341</v>
      </c>
      <c r="BA40" s="256">
        <f>非流动资总!BA24</f>
        <v>0</v>
      </c>
      <c r="BB40" s="256">
        <f>非流动资总!BB24</f>
        <v>0</v>
      </c>
      <c r="BC40" s="256">
        <f t="shared" si="9"/>
        <v>0</v>
      </c>
      <c r="BD40" s="256">
        <f t="shared" si="10"/>
        <v>0</v>
      </c>
      <c r="BE40" s="256">
        <f>非流动资总!BE24</f>
        <v>0</v>
      </c>
      <c r="BF40" s="256">
        <f>非流动资总!BF24</f>
        <v>0</v>
      </c>
      <c r="BG40" s="256">
        <f t="shared" si="11"/>
        <v>0</v>
      </c>
      <c r="BH40" s="256">
        <f t="shared" si="12"/>
        <v>0</v>
      </c>
      <c r="BJ40" s="256">
        <f>非流动资总!BJ24</f>
        <v>0</v>
      </c>
      <c r="BK40" s="256">
        <f>非流动资总!BK24</f>
        <v>0</v>
      </c>
      <c r="BL40" s="256">
        <f>非流动资总!BL24</f>
        <v>0</v>
      </c>
      <c r="BM40" s="256">
        <f t="shared" si="13"/>
        <v>0</v>
      </c>
      <c r="BN40" s="256">
        <f>非流动资总!BN24</f>
        <v>0</v>
      </c>
      <c r="BO40" s="256">
        <f>非流动资总!BO24</f>
        <v>0</v>
      </c>
      <c r="BP40" s="256">
        <f>非流动资总!BP24</f>
        <v>0</v>
      </c>
      <c r="BQ40" s="256">
        <f t="shared" si="14"/>
        <v>0</v>
      </c>
      <c r="BS40" s="141" t="str">
        <f t="shared" si="33"/>
        <v>无增减值</v>
      </c>
      <c r="BT40" s="178">
        <f t="shared" si="16"/>
        <v>0</v>
      </c>
      <c r="BU40" s="178">
        <f t="shared" si="34"/>
        <v>0</v>
      </c>
      <c r="BV40" s="1420" t="str">
        <f t="shared" si="25"/>
        <v>无增减值</v>
      </c>
      <c r="BW40" s="259"/>
      <c r="BX40" s="139" t="str">
        <f>长期待摊!BW14</f>
        <v/>
      </c>
      <c r="BY40" s="139" t="s">
        <v>1582</v>
      </c>
      <c r="BZ40" s="139" t="str">
        <f t="shared" si="17"/>
        <v/>
      </c>
      <c r="CA40" s="259"/>
      <c r="CB40" s="145" t="str">
        <f t="shared" si="4"/>
        <v>长期待摊费用</v>
      </c>
      <c r="CC40" s="1414">
        <f t="shared" si="5"/>
        <v>0</v>
      </c>
      <c r="CD40" s="1415">
        <f t="shared" si="6"/>
        <v>0</v>
      </c>
      <c r="CE40" s="141">
        <f t="shared" si="18"/>
        <v>2</v>
      </c>
      <c r="CF40" s="228"/>
    </row>
    <row r="41" ht="14.7" customHeight="1" spans="1:90">
      <c r="A41" s="325">
        <f>SUBTOTAL(103,$B$7:B41)</f>
        <v>35</v>
      </c>
      <c r="B41" s="1417" t="str">
        <f>非流动资总!B25</f>
        <v>递延所得税资产</v>
      </c>
      <c r="C41" s="958">
        <f>非流动资总!C25</f>
        <v>0</v>
      </c>
      <c r="D41" s="958">
        <f>非流动资总!D25</f>
        <v>0</v>
      </c>
      <c r="E41" s="958">
        <f>非流动资总!E25</f>
        <v>0</v>
      </c>
      <c r="F41" s="958">
        <f t="shared" si="37"/>
        <v>0</v>
      </c>
      <c r="G41" s="958" t="str">
        <f t="shared" si="38"/>
        <v/>
      </c>
      <c r="H41" s="1418">
        <f>SUM(SUMIF('资负表（未审）-旧'!A$7:A$35,B41,'资负表（未审）-旧'!D$7:D$35),SUMIF('资负表（未审）-旧'!F$7:F$27,B41,'资负表（未审）-旧'!I$7:I$27),SUMIF('资负表（未审）-新'!A$7:A$39,B41,'资负表（未审）-新'!D$7:D$39),SUMIF('资负表（未审）-新'!F$7:F$29,B41,'资负表（未审）-新'!I$7:I$29))</f>
        <v>0</v>
      </c>
      <c r="I41" s="1418">
        <f t="shared" si="35"/>
        <v>0</v>
      </c>
      <c r="J41" s="1419">
        <f>SUM(SUMIF('资负表（已审）-旧'!A$7:A$35,B41,'资负表（已审）-旧'!D$7:D$35),SUMIF('资负表（已审）-旧'!F$7:F$27,B41,'资负表（已审）-旧'!I$7:I$27),SUMIF('资负表（已审）-新'!A$7:A$39,B41,'资负表（已审）-新'!D$7:D$39),SUMIF('资负表（已审）-新'!F$7:F$29,B41,'资负表（已审）-新'!I$7:I$29))</f>
        <v>0</v>
      </c>
      <c r="K41" s="1419">
        <f t="shared" si="36"/>
        <v>0</v>
      </c>
      <c r="L41" s="254" t="s">
        <v>341</v>
      </c>
      <c r="BA41" s="256">
        <f>非流动资总!BA25</f>
        <v>0</v>
      </c>
      <c r="BB41" s="256">
        <f>非流动资总!BB25</f>
        <v>0</v>
      </c>
      <c r="BC41" s="256">
        <f t="shared" si="9"/>
        <v>0</v>
      </c>
      <c r="BD41" s="256">
        <f t="shared" si="10"/>
        <v>0</v>
      </c>
      <c r="BE41" s="256">
        <f>非流动资总!BE25</f>
        <v>0</v>
      </c>
      <c r="BF41" s="256">
        <f>非流动资总!BF25</f>
        <v>0</v>
      </c>
      <c r="BG41" s="256">
        <f t="shared" si="11"/>
        <v>0</v>
      </c>
      <c r="BH41" s="256">
        <f t="shared" si="12"/>
        <v>0</v>
      </c>
      <c r="BJ41" s="256">
        <f>非流动资总!BJ25</f>
        <v>0</v>
      </c>
      <c r="BK41" s="256">
        <f>非流动资总!BK25</f>
        <v>0</v>
      </c>
      <c r="BL41" s="256">
        <f>非流动资总!BL25</f>
        <v>0</v>
      </c>
      <c r="BM41" s="256">
        <f t="shared" si="13"/>
        <v>0</v>
      </c>
      <c r="BN41" s="256">
        <f>非流动资总!BN25</f>
        <v>0</v>
      </c>
      <c r="BO41" s="256">
        <f>非流动资总!BO25</f>
        <v>0</v>
      </c>
      <c r="BP41" s="256">
        <f>非流动资总!BP25</f>
        <v>0</v>
      </c>
      <c r="BQ41" s="256">
        <f t="shared" si="14"/>
        <v>0</v>
      </c>
      <c r="BS41" s="141" t="str">
        <f t="shared" si="33"/>
        <v>无增减值</v>
      </c>
      <c r="BT41" s="178">
        <f t="shared" si="16"/>
        <v>0</v>
      </c>
      <c r="BU41" s="178">
        <f t="shared" si="34"/>
        <v>0</v>
      </c>
      <c r="BV41" s="1420" t="str">
        <f t="shared" si="25"/>
        <v>无增减值</v>
      </c>
      <c r="BW41" s="259"/>
      <c r="BX41" s="139" t="str">
        <f>递延资!BZ14</f>
        <v/>
      </c>
      <c r="BY41" s="139" t="s">
        <v>1579</v>
      </c>
      <c r="BZ41" s="139" t="str">
        <f t="shared" si="17"/>
        <v/>
      </c>
      <c r="CA41" s="259"/>
      <c r="CB41" s="145" t="str">
        <f t="shared" si="4"/>
        <v>递延所得税资产</v>
      </c>
      <c r="CC41" s="1414">
        <f t="shared" si="5"/>
        <v>0</v>
      </c>
      <c r="CD41" s="1415">
        <f t="shared" si="6"/>
        <v>0</v>
      </c>
      <c r="CE41" s="141">
        <f t="shared" si="18"/>
        <v>2</v>
      </c>
      <c r="CF41" s="228"/>
    </row>
    <row r="42" ht="14.7" customHeight="1" spans="1:90">
      <c r="A42" s="325">
        <f>SUBTOTAL(103,$B$7:B42)</f>
        <v>36</v>
      </c>
      <c r="B42" s="1417" t="str">
        <f>非流动资总!B26</f>
        <v>其他非流动资产</v>
      </c>
      <c r="C42" s="958">
        <f>非流动资总!C26</f>
        <v>0</v>
      </c>
      <c r="D42" s="958">
        <f>非流动资总!D26</f>
        <v>0</v>
      </c>
      <c r="E42" s="958">
        <f>非流动资总!E26</f>
        <v>0</v>
      </c>
      <c r="F42" s="958">
        <f t="shared" si="37"/>
        <v>0</v>
      </c>
      <c r="G42" s="958" t="str">
        <f t="shared" si="38"/>
        <v/>
      </c>
      <c r="H42" s="1418">
        <f>SUM(SUMIF('资负表（未审）-旧'!A$7:A$35,B42,'资负表（未审）-旧'!D$7:D$35),SUMIF('资负表（未审）-旧'!F$7:F$27,B42,'资负表（未审）-旧'!I$7:I$27),SUMIF('资负表（未审）-新'!A$7:A$39,B42,'资负表（未审）-新'!D$7:D$39),SUMIF('资负表（未审）-新'!F$7:F$29,B42,'资负表（未审）-新'!I$7:I$29))</f>
        <v>0</v>
      </c>
      <c r="I42" s="1418">
        <f t="shared" si="35"/>
        <v>0</v>
      </c>
      <c r="J42" s="1419">
        <f>SUM(SUMIF('资负表（已审）-旧'!A$7:A$35,B42,'资负表（已审）-旧'!D$7:D$35),SUMIF('资负表（已审）-旧'!F$7:F$27,B42,'资负表（已审）-旧'!I$7:I$27),SUMIF('资负表（已审）-新'!A$7:A$39,B42,'资负表（已审）-新'!D$7:D$39),SUMIF('资负表（已审）-新'!F$7:F$29,B42,'资负表（已审）-新'!I$7:I$29))</f>
        <v>0</v>
      </c>
      <c r="K42" s="1419">
        <f t="shared" si="36"/>
        <v>0</v>
      </c>
      <c r="L42" s="254" t="s">
        <v>341</v>
      </c>
      <c r="BA42" s="256">
        <f>非流动资总!BA26</f>
        <v>0</v>
      </c>
      <c r="BB42" s="256">
        <f>非流动资总!BB26</f>
        <v>0</v>
      </c>
      <c r="BC42" s="256">
        <f t="shared" si="9"/>
        <v>0</v>
      </c>
      <c r="BD42" s="256">
        <f t="shared" si="10"/>
        <v>0</v>
      </c>
      <c r="BE42" s="256">
        <f>非流动资总!BE26</f>
        <v>0</v>
      </c>
      <c r="BF42" s="256">
        <f>非流动资总!BF26</f>
        <v>0</v>
      </c>
      <c r="BG42" s="256">
        <f t="shared" si="11"/>
        <v>0</v>
      </c>
      <c r="BH42" s="256">
        <f t="shared" si="12"/>
        <v>0</v>
      </c>
      <c r="BJ42" s="256">
        <f>非流动资总!BJ26</f>
        <v>0</v>
      </c>
      <c r="BK42" s="256">
        <f>非流动资总!BK26</f>
        <v>0</v>
      </c>
      <c r="BL42" s="256">
        <f>非流动资总!BL26</f>
        <v>0</v>
      </c>
      <c r="BM42" s="256">
        <f t="shared" si="13"/>
        <v>0</v>
      </c>
      <c r="BN42" s="256">
        <f>非流动资总!BN26</f>
        <v>0</v>
      </c>
      <c r="BO42" s="256">
        <f>非流动资总!BO26</f>
        <v>0</v>
      </c>
      <c r="BP42" s="256">
        <f>非流动资总!BP26</f>
        <v>0</v>
      </c>
      <c r="BQ42" s="256">
        <f t="shared" si="14"/>
        <v>0</v>
      </c>
      <c r="BS42" s="141" t="str">
        <f t="shared" si="33"/>
        <v>无增减值</v>
      </c>
      <c r="BT42" s="178">
        <f t="shared" si="16"/>
        <v>0</v>
      </c>
      <c r="BU42" s="178">
        <f t="shared" si="34"/>
        <v>0</v>
      </c>
      <c r="BV42" s="1420" t="str">
        <f t="shared" si="25"/>
        <v>无增减值</v>
      </c>
      <c r="BW42" s="259"/>
      <c r="BX42" s="139" t="str">
        <f>其他非资!BX14</f>
        <v/>
      </c>
      <c r="BY42" s="139" t="s">
        <v>1579</v>
      </c>
      <c r="BZ42" s="139" t="str">
        <f t="shared" si="17"/>
        <v/>
      </c>
      <c r="CA42" s="259"/>
      <c r="CB42" s="145" t="str">
        <f t="shared" si="4"/>
        <v>其他非流动资产</v>
      </c>
      <c r="CC42" s="1414">
        <f t="shared" si="5"/>
        <v>0</v>
      </c>
      <c r="CD42" s="1415">
        <f t="shared" si="6"/>
        <v>0</v>
      </c>
      <c r="CE42" s="141">
        <f t="shared" si="18"/>
        <v>2</v>
      </c>
      <c r="CF42" s="228"/>
    </row>
    <row r="43" s="271" customFormat="1" ht="14.7" customHeight="1" spans="1:90">
      <c r="A43" s="1403">
        <f>SUBTOTAL(103,$B$7:B43)</f>
        <v>37</v>
      </c>
      <c r="B43" s="1408" t="s">
        <v>1583</v>
      </c>
      <c r="C43" s="1409">
        <f>SUM(C7,C22)</f>
        <v>35557.52</v>
      </c>
      <c r="D43" s="1409">
        <f>SUM(D7,D22)</f>
        <v>35557.52</v>
      </c>
      <c r="E43" s="1409">
        <f>SUM(E7,E22)</f>
        <v>2837062.634</v>
      </c>
      <c r="F43" s="1409">
        <f t="shared" si="37"/>
        <v>2801505.114</v>
      </c>
      <c r="G43" s="1409">
        <f t="shared" si="38"/>
        <v>7878.79782954491</v>
      </c>
      <c r="H43" s="1410">
        <f>SUM(H7,H22)</f>
        <v>0</v>
      </c>
      <c r="I43" s="1410">
        <f t="shared" ref="I43:I69" si="39">C43-H43</f>
        <v>35557.52</v>
      </c>
      <c r="J43" s="1411">
        <f>SUM(J7,J22)</f>
        <v>0</v>
      </c>
      <c r="K43" s="1411">
        <f t="shared" ref="K43:K69" si="40">ROUND(D43-J43,2)</f>
        <v>35557.52</v>
      </c>
      <c r="L43" s="287" t="s">
        <v>341</v>
      </c>
      <c r="BA43" s="266">
        <f t="shared" ref="BA43:BH43" si="41">SUM(BA7,BA22)</f>
        <v>35557.52</v>
      </c>
      <c r="BB43" s="266">
        <f t="shared" si="41"/>
        <v>35557.52</v>
      </c>
      <c r="BC43" s="266">
        <f t="shared" si="41"/>
        <v>0</v>
      </c>
      <c r="BD43" s="266">
        <f t="shared" si="41"/>
        <v>35557.52</v>
      </c>
      <c r="BE43" s="266">
        <f t="shared" si="41"/>
        <v>2837062.634</v>
      </c>
      <c r="BF43" s="266">
        <f t="shared" si="41"/>
        <v>2837062.634</v>
      </c>
      <c r="BG43" s="266">
        <f t="shared" si="41"/>
        <v>0</v>
      </c>
      <c r="BH43" s="266">
        <f t="shared" si="41"/>
        <v>2837062.634</v>
      </c>
      <c r="BI43" s="1377"/>
      <c r="BJ43" s="266">
        <f t="shared" ref="BJ43:BQ43" si="42">SUM(BJ7,BJ22)</f>
        <v>0</v>
      </c>
      <c r="BK43" s="266">
        <f t="shared" si="42"/>
        <v>0</v>
      </c>
      <c r="BL43" s="266">
        <f t="shared" si="42"/>
        <v>0</v>
      </c>
      <c r="BM43" s="266">
        <f t="shared" si="42"/>
        <v>0</v>
      </c>
      <c r="BN43" s="266">
        <f t="shared" si="42"/>
        <v>0</v>
      </c>
      <c r="BO43" s="266">
        <f t="shared" si="42"/>
        <v>0</v>
      </c>
      <c r="BP43" s="266">
        <f t="shared" si="42"/>
        <v>0</v>
      </c>
      <c r="BQ43" s="266">
        <f t="shared" si="42"/>
        <v>0</v>
      </c>
      <c r="BS43" s="263" t="str">
        <f t="shared" si="33"/>
        <v>增值</v>
      </c>
      <c r="BT43" s="1412">
        <f t="shared" si="16"/>
        <v>280.1505114</v>
      </c>
      <c r="BU43" s="1412">
        <f t="shared" si="34"/>
        <v>7878.79782954491</v>
      </c>
      <c r="BV43" s="1421" t="str">
        <f t="shared" si="25"/>
        <v>增值280.15万元，增值率7878.80%</v>
      </c>
      <c r="BW43" s="992"/>
      <c r="BX43" s="139"/>
      <c r="BY43" s="139"/>
      <c r="BZ43" s="139" t="str">
        <f t="shared" si="17"/>
        <v/>
      </c>
      <c r="CA43" s="992"/>
      <c r="CB43" s="247" t="str">
        <f t="shared" si="4"/>
        <v/>
      </c>
      <c r="CC43" s="1422" t="str">
        <f>IF(CB43="","",D43)</f>
        <v/>
      </c>
      <c r="CD43" s="1423"/>
      <c r="CE43" s="268"/>
      <c r="CF43" s="268"/>
      <c r="CG43" s="268"/>
      <c r="CH43" s="247"/>
      <c r="CI43" s="247"/>
      <c r="CJ43" s="73"/>
    </row>
    <row r="44" s="271" customFormat="1" ht="14.7" customHeight="1" spans="1:90">
      <c r="A44" s="1403">
        <f>SUBTOTAL(103,$B$7:B44)</f>
        <v>38</v>
      </c>
      <c r="B44" s="1408" t="s">
        <v>1584</v>
      </c>
      <c r="C44" s="1409">
        <f>SUM(C45:C58)</f>
        <v>0</v>
      </c>
      <c r="D44" s="1409">
        <f>SUM(D45:D58)</f>
        <v>0</v>
      </c>
      <c r="E44" s="1409">
        <f>SUM(E45:E58)</f>
        <v>0</v>
      </c>
      <c r="F44" s="1409">
        <f t="shared" si="37"/>
        <v>0</v>
      </c>
      <c r="G44" s="1409" t="str">
        <f t="shared" si="38"/>
        <v/>
      </c>
      <c r="H44" s="1410">
        <f>SUM(H45:H58)</f>
        <v>0</v>
      </c>
      <c r="I44" s="1410">
        <f t="shared" si="39"/>
        <v>0</v>
      </c>
      <c r="J44" s="1411">
        <f>SUM(J45:J58)</f>
        <v>0</v>
      </c>
      <c r="K44" s="1411">
        <f t="shared" si="40"/>
        <v>0</v>
      </c>
      <c r="L44" s="287" t="s">
        <v>341</v>
      </c>
      <c r="BA44" s="266">
        <f t="shared" ref="BA44:BH44" si="43">SUM(BA45:BA58)</f>
        <v>0</v>
      </c>
      <c r="BB44" s="266">
        <f t="shared" si="43"/>
        <v>0</v>
      </c>
      <c r="BC44" s="266">
        <f t="shared" si="43"/>
        <v>0</v>
      </c>
      <c r="BD44" s="266">
        <f t="shared" si="43"/>
        <v>0</v>
      </c>
      <c r="BE44" s="266">
        <f t="shared" si="43"/>
        <v>0</v>
      </c>
      <c r="BF44" s="266">
        <f t="shared" si="43"/>
        <v>0</v>
      </c>
      <c r="BG44" s="266">
        <f t="shared" si="43"/>
        <v>0</v>
      </c>
      <c r="BH44" s="266">
        <f t="shared" si="43"/>
        <v>0</v>
      </c>
      <c r="BI44" s="1377"/>
      <c r="BJ44" s="266">
        <f t="shared" ref="BJ44:BQ44" si="44">SUM(BJ45:BJ58)</f>
        <v>0</v>
      </c>
      <c r="BK44" s="266">
        <f t="shared" si="44"/>
        <v>0</v>
      </c>
      <c r="BL44" s="266">
        <f t="shared" si="44"/>
        <v>0</v>
      </c>
      <c r="BM44" s="266">
        <f t="shared" si="44"/>
        <v>0</v>
      </c>
      <c r="BN44" s="266">
        <f t="shared" si="44"/>
        <v>0</v>
      </c>
      <c r="BO44" s="266">
        <f t="shared" si="44"/>
        <v>0</v>
      </c>
      <c r="BP44" s="266">
        <f t="shared" si="44"/>
        <v>0</v>
      </c>
      <c r="BQ44" s="266">
        <f t="shared" si="44"/>
        <v>0</v>
      </c>
      <c r="BS44" s="263" t="str">
        <f t="shared" si="33"/>
        <v>无增减值</v>
      </c>
      <c r="BT44" s="1412">
        <f t="shared" si="16"/>
        <v>0</v>
      </c>
      <c r="BU44" s="1412">
        <f t="shared" si="34"/>
        <v>0</v>
      </c>
      <c r="BV44" s="1421" t="str">
        <f t="shared" si="25"/>
        <v>无增减值</v>
      </c>
      <c r="BW44" s="992"/>
      <c r="BX44" s="139"/>
      <c r="BY44" s="139"/>
      <c r="BZ44" s="139" t="str">
        <f t="shared" si="17"/>
        <v/>
      </c>
      <c r="CA44" s="992"/>
      <c r="CB44" s="247"/>
      <c r="CC44" s="1422"/>
      <c r="CD44" s="1423"/>
      <c r="CE44" s="268"/>
      <c r="CF44" s="268"/>
      <c r="CG44" s="268"/>
      <c r="CH44" s="247"/>
      <c r="CI44" s="247"/>
      <c r="CJ44" s="73"/>
    </row>
    <row r="45" ht="14.7" customHeight="1" spans="1:90">
      <c r="A45" s="1424">
        <f>SUBTOTAL(103,$B$7:B45)</f>
        <v>39</v>
      </c>
      <c r="B45" s="1417" t="str">
        <f>流动负总!B7</f>
        <v>短期借款</v>
      </c>
      <c r="C45" s="958">
        <f>流动负总!C7</f>
        <v>0</v>
      </c>
      <c r="D45" s="958">
        <f>流动负总!D7</f>
        <v>0</v>
      </c>
      <c r="E45" s="958">
        <f>流动负总!E7</f>
        <v>0</v>
      </c>
      <c r="F45" s="958">
        <f t="shared" si="37"/>
        <v>0</v>
      </c>
      <c r="G45" s="958" t="str">
        <f t="shared" si="38"/>
        <v/>
      </c>
      <c r="H45" s="1418">
        <f>SUM(SUMIF('资负表（未审）-旧'!A$7:A$35,B45,'资负表（未审）-旧'!D$7:D$35),SUMIF('资负表（未审）-旧'!F$7:F$27,B45,'资负表（未审）-旧'!I$7:I$27),SUMIF('资负表（未审）-新'!A$7:A$39,B45,'资负表（未审）-新'!D$7:D$39),SUMIF('资负表（未审）-新'!F$7:F$29,B45,'资负表（未审）-新'!I$7:I$29))</f>
        <v>0</v>
      </c>
      <c r="I45" s="1418">
        <f t="shared" si="39"/>
        <v>0</v>
      </c>
      <c r="J45" s="1419">
        <f>SUM(SUMIF('资负表（已审）-旧'!A$7:A$35,B45,'资负表（已审）-旧'!D$7:D$35),SUMIF('资负表（已审）-旧'!F$7:F$27,B45,'资负表（已审）-旧'!I$7:I$27),SUMIF('资负表（已审）-新'!A$7:A$39,B45,'资负表（已审）-新'!D$7:D$39),SUMIF('资负表（已审）-新'!F$7:F$29,B45,'资负表（已审）-新'!I$7:I$29))</f>
        <v>0</v>
      </c>
      <c r="K45" s="1419">
        <f t="shared" si="40"/>
        <v>0</v>
      </c>
      <c r="L45" s="254" t="s">
        <v>341</v>
      </c>
      <c r="BA45" s="256">
        <f>流动负总!BA7</f>
        <v>0</v>
      </c>
      <c r="BB45" s="256">
        <f>流动负总!BB7</f>
        <v>0</v>
      </c>
      <c r="BC45" s="256">
        <f t="shared" si="9"/>
        <v>0</v>
      </c>
      <c r="BD45" s="256">
        <f t="shared" si="10"/>
        <v>0</v>
      </c>
      <c r="BE45" s="256">
        <f>流动负总!BE7</f>
        <v>0</v>
      </c>
      <c r="BF45" s="256">
        <f>流动负总!BF7</f>
        <v>0</v>
      </c>
      <c r="BG45" s="256">
        <f t="shared" si="11"/>
        <v>0</v>
      </c>
      <c r="BH45" s="256">
        <f t="shared" si="12"/>
        <v>0</v>
      </c>
      <c r="BJ45" s="256">
        <f>流动负总!BJ7</f>
        <v>0</v>
      </c>
      <c r="BK45" s="256">
        <f>流动负总!BK7</f>
        <v>0</v>
      </c>
      <c r="BL45" s="256">
        <f>流动负总!BL7</f>
        <v>0</v>
      </c>
      <c r="BM45" s="256">
        <f t="shared" si="13"/>
        <v>0</v>
      </c>
      <c r="BN45" s="256">
        <f>流动负总!BN7</f>
        <v>0</v>
      </c>
      <c r="BO45" s="256">
        <f>流动负总!BO7</f>
        <v>0</v>
      </c>
      <c r="BP45" s="256">
        <f>流动负总!BP7</f>
        <v>0</v>
      </c>
      <c r="BQ45" s="256">
        <f t="shared" si="14"/>
        <v>0</v>
      </c>
      <c r="BS45" s="141" t="str">
        <f t="shared" si="33"/>
        <v>无增减值</v>
      </c>
      <c r="BT45" s="178">
        <f t="shared" si="16"/>
        <v>0</v>
      </c>
      <c r="BU45" s="178">
        <f t="shared" si="34"/>
        <v>0</v>
      </c>
      <c r="BV45" s="1420" t="str">
        <f t="shared" si="25"/>
        <v>无增减值</v>
      </c>
      <c r="BW45" s="259"/>
      <c r="BX45" s="139" t="str">
        <f>短期借款!BX14</f>
        <v/>
      </c>
      <c r="BY45" s="139" t="s">
        <v>1585</v>
      </c>
      <c r="BZ45" s="139" t="str">
        <f t="shared" si="17"/>
        <v/>
      </c>
      <c r="CA45" s="259"/>
      <c r="CC45" s="1425"/>
      <c r="CD45" s="1426"/>
      <c r="CE45" s="228"/>
      <c r="CF45" s="228"/>
    </row>
    <row r="46" ht="14.7" customHeight="1" spans="1:90">
      <c r="A46" s="1424">
        <f>SUBTOTAL(103,$B$7:B46)</f>
        <v>40</v>
      </c>
      <c r="B46" s="1417" t="str">
        <f>流动负总!B8</f>
        <v>以公允价值计量其其变动计入当期损益的金融负债</v>
      </c>
      <c r="C46" s="958">
        <f>流动负总!C8</f>
        <v>0</v>
      </c>
      <c r="D46" s="958">
        <f>流动负总!D8</f>
        <v>0</v>
      </c>
      <c r="E46" s="958">
        <f>流动负总!E8</f>
        <v>0</v>
      </c>
      <c r="F46" s="958">
        <f t="shared" si="37"/>
        <v>0</v>
      </c>
      <c r="G46" s="958" t="str">
        <f t="shared" si="38"/>
        <v/>
      </c>
      <c r="H46" s="1418">
        <f>SUM(SUMIF('资负表（未审）-旧'!A$7:A$35,B46,'资负表（未审）-旧'!D$7:D$35),SUMIF('资负表（未审）-旧'!F$7:F$27,B46,'资负表（未审）-旧'!I$7:I$27),SUMIF('资负表（未审）-新'!A$7:A$39,B46,'资负表（未审）-新'!D$7:D$39),SUMIF('资负表（未审）-新'!F$7:F$29,B46,'资负表（未审）-新'!I$7:I$29))</f>
        <v>0</v>
      </c>
      <c r="I46" s="1418">
        <f t="shared" si="39"/>
        <v>0</v>
      </c>
      <c r="J46" s="1419">
        <f>SUM(SUMIF('资负表（已审）-旧'!A$7:A$35,B46,'资负表（已审）-旧'!D$7:D$35),SUMIF('资负表（已审）-旧'!F$7:F$27,B46,'资负表（已审）-旧'!I$7:I$27),SUMIF('资负表（已审）-新'!A$7:A$39,B46,'资负表（已审）-新'!D$7:D$39),SUMIF('资负表（已审）-新'!F$7:F$29,B46,'资负表（已审）-新'!I$7:I$29))</f>
        <v>0</v>
      </c>
      <c r="K46" s="1419">
        <f t="shared" si="40"/>
        <v>0</v>
      </c>
      <c r="L46" s="254" t="s">
        <v>1574</v>
      </c>
      <c r="BA46" s="256">
        <f>流动负总!BA8</f>
        <v>0</v>
      </c>
      <c r="BB46" s="256">
        <f>流动负总!BB8</f>
        <v>0</v>
      </c>
      <c r="BC46" s="256">
        <f t="shared" si="9"/>
        <v>0</v>
      </c>
      <c r="BD46" s="256">
        <f t="shared" si="10"/>
        <v>0</v>
      </c>
      <c r="BE46" s="256">
        <f>流动负总!BE8</f>
        <v>0</v>
      </c>
      <c r="BF46" s="256">
        <f>流动负总!BF8</f>
        <v>0</v>
      </c>
      <c r="BG46" s="256">
        <f t="shared" si="11"/>
        <v>0</v>
      </c>
      <c r="BH46" s="256">
        <f t="shared" si="12"/>
        <v>0</v>
      </c>
      <c r="BJ46" s="256">
        <f>流动负总!BJ8</f>
        <v>0</v>
      </c>
      <c r="BK46" s="256">
        <f>流动负总!BK8</f>
        <v>0</v>
      </c>
      <c r="BL46" s="256">
        <f>流动负总!BL8</f>
        <v>0</v>
      </c>
      <c r="BM46" s="256">
        <f t="shared" si="13"/>
        <v>0</v>
      </c>
      <c r="BN46" s="256">
        <f>流动负总!BN8</f>
        <v>0</v>
      </c>
      <c r="BO46" s="256">
        <f>流动负总!BO8</f>
        <v>0</v>
      </c>
      <c r="BP46" s="256">
        <f>流动负总!BP8</f>
        <v>0</v>
      </c>
      <c r="BQ46" s="256">
        <f t="shared" si="14"/>
        <v>0</v>
      </c>
      <c r="BS46" s="141" t="str">
        <f t="shared" si="33"/>
        <v>无增减值</v>
      </c>
      <c r="BT46" s="178">
        <f t="shared" si="16"/>
        <v>0</v>
      </c>
      <c r="BU46" s="178">
        <f t="shared" si="34"/>
        <v>0</v>
      </c>
      <c r="BV46" s="1420" t="str">
        <f t="shared" si="25"/>
        <v>无增减值</v>
      </c>
      <c r="BW46" s="259"/>
      <c r="BX46" s="139" t="str">
        <f>公允计量金负!BX14</f>
        <v/>
      </c>
      <c r="BY46" s="139"/>
      <c r="BZ46" s="139" t="str">
        <f t="shared" si="17"/>
        <v/>
      </c>
      <c r="CA46" s="259"/>
      <c r="CC46" s="1425"/>
      <c r="CD46" s="1426"/>
      <c r="CE46" s="228"/>
      <c r="CF46" s="228"/>
    </row>
    <row r="47" ht="14.7" customHeight="1" spans="1:90">
      <c r="A47" s="1424">
        <f>SUBTOTAL(103,$B$7:B47)</f>
        <v>41</v>
      </c>
      <c r="B47" s="1417" t="str">
        <f>流动负总!B9</f>
        <v>交易性金融负债</v>
      </c>
      <c r="C47" s="958">
        <f>流动负总!C9</f>
        <v>0</v>
      </c>
      <c r="D47" s="958">
        <f>流动负总!D9</f>
        <v>0</v>
      </c>
      <c r="E47" s="958">
        <f>流动负总!E9</f>
        <v>0</v>
      </c>
      <c r="F47" s="958">
        <f t="shared" si="37"/>
        <v>0</v>
      </c>
      <c r="G47" s="958" t="str">
        <f t="shared" si="38"/>
        <v/>
      </c>
      <c r="H47" s="1418">
        <f>SUM(SUMIF('资负表（未审）-旧'!A$7:A$35,B47,'资负表（未审）-旧'!D$7:D$35),SUMIF('资负表（未审）-旧'!F$7:F$27,B47,'资负表（未审）-旧'!I$7:I$27),SUMIF('资负表（未审）-新'!A$7:A$39,B47,'资负表（未审）-新'!D$7:D$39),SUMIF('资负表（未审）-新'!F$7:F$29,B47,'资负表（未审）-新'!I$7:I$29))</f>
        <v>0</v>
      </c>
      <c r="I47" s="1418">
        <f t="shared" si="39"/>
        <v>0</v>
      </c>
      <c r="J47" s="1419">
        <f>SUM(SUMIF('资负表（已审）-旧'!A$7:A$35,B47,'资负表（已审）-旧'!D$7:D$35),SUMIF('资负表（已审）-旧'!F$7:F$27,B47,'资负表（已审）-旧'!I$7:I$27),SUMIF('资负表（已审）-新'!A$7:A$39,B47,'资负表（已审）-新'!D$7:D$39),SUMIF('资负表（已审）-新'!F$7:F$29,B47,'资负表（已审）-新'!I$7:I$29))</f>
        <v>0</v>
      </c>
      <c r="K47" s="1419">
        <f t="shared" si="40"/>
        <v>0</v>
      </c>
      <c r="L47" s="254" t="s">
        <v>1576</v>
      </c>
      <c r="BA47" s="256">
        <f>流动负总!BA9</f>
        <v>0</v>
      </c>
      <c r="BB47" s="256">
        <f>流动负总!BB9</f>
        <v>0</v>
      </c>
      <c r="BC47" s="256">
        <f t="shared" si="9"/>
        <v>0</v>
      </c>
      <c r="BD47" s="256">
        <f t="shared" si="10"/>
        <v>0</v>
      </c>
      <c r="BE47" s="256">
        <f>流动负总!BE9</f>
        <v>0</v>
      </c>
      <c r="BF47" s="256">
        <f>流动负总!BF9</f>
        <v>0</v>
      </c>
      <c r="BG47" s="256">
        <f t="shared" si="11"/>
        <v>0</v>
      </c>
      <c r="BH47" s="256">
        <f t="shared" si="12"/>
        <v>0</v>
      </c>
      <c r="BJ47" s="256">
        <f>流动负总!BJ9</f>
        <v>0</v>
      </c>
      <c r="BK47" s="256">
        <f>流动负总!BK9</f>
        <v>0</v>
      </c>
      <c r="BL47" s="256">
        <f>流动负总!BL9</f>
        <v>0</v>
      </c>
      <c r="BM47" s="256">
        <f t="shared" si="13"/>
        <v>0</v>
      </c>
      <c r="BN47" s="256">
        <f>流动负总!BN9</f>
        <v>0</v>
      </c>
      <c r="BO47" s="256">
        <f>流动负总!BO9</f>
        <v>0</v>
      </c>
      <c r="BP47" s="256">
        <f>流动负总!BP9</f>
        <v>0</v>
      </c>
      <c r="BQ47" s="256">
        <f t="shared" si="14"/>
        <v>0</v>
      </c>
      <c r="BS47" s="141" t="str">
        <f t="shared" si="33"/>
        <v>无增减值</v>
      </c>
      <c r="BT47" s="178">
        <f t="shared" si="16"/>
        <v>0</v>
      </c>
      <c r="BU47" s="178">
        <f t="shared" si="34"/>
        <v>0</v>
      </c>
      <c r="BV47" s="1420" t="str">
        <f t="shared" si="25"/>
        <v>无增减值</v>
      </c>
      <c r="BW47" s="259"/>
      <c r="BX47" s="139" t="str">
        <f>交易性金负!BX14</f>
        <v/>
      </c>
      <c r="BY47" s="139" t="s">
        <v>1579</v>
      </c>
      <c r="BZ47" s="139" t="str">
        <f t="shared" si="17"/>
        <v/>
      </c>
      <c r="CA47" s="259"/>
      <c r="CC47" s="1425"/>
      <c r="CD47" s="1426"/>
      <c r="CE47" s="228"/>
      <c r="CF47" s="228"/>
    </row>
    <row r="48" ht="14.7" customHeight="1" spans="1:90">
      <c r="A48" s="1424">
        <f>SUBTOTAL(103,$B$7:B48)</f>
        <v>42</v>
      </c>
      <c r="B48" s="1417" t="str">
        <f>流动负总!B10</f>
        <v>衍生金融负债</v>
      </c>
      <c r="C48" s="958">
        <f>流动负总!C10</f>
        <v>0</v>
      </c>
      <c r="D48" s="958">
        <f>流动负总!D10</f>
        <v>0</v>
      </c>
      <c r="E48" s="958">
        <f>流动负总!E10</f>
        <v>0</v>
      </c>
      <c r="F48" s="958">
        <f t="shared" si="37"/>
        <v>0</v>
      </c>
      <c r="G48" s="958" t="str">
        <f t="shared" si="38"/>
        <v/>
      </c>
      <c r="H48" s="1418">
        <f>SUM(SUMIF('资负表（未审）-旧'!A$7:A$35,B48,'资负表（未审）-旧'!D$7:D$35),SUMIF('资负表（未审）-旧'!F$7:F$27,B48,'资负表（未审）-旧'!I$7:I$27),SUMIF('资负表（未审）-新'!A$7:A$39,B48,'资负表（未审）-新'!D$7:D$39),SUMIF('资负表（未审）-新'!F$7:F$29,B48,'资负表（未审）-新'!I$7:I$29))</f>
        <v>0</v>
      </c>
      <c r="I48" s="1418">
        <f t="shared" si="39"/>
        <v>0</v>
      </c>
      <c r="J48" s="1419">
        <f>SUM(SUMIF('资负表（已审）-旧'!A$7:A$35,B48,'资负表（已审）-旧'!D$7:D$35),SUMIF('资负表（已审）-旧'!F$7:F$27,B48,'资负表（已审）-旧'!I$7:I$27),SUMIF('资负表（已审）-新'!A$7:A$39,B48,'资负表（已审）-新'!D$7:D$39),SUMIF('资负表（已审）-新'!F$7:F$29,B48,'资负表（已审）-新'!I$7:I$29))</f>
        <v>0</v>
      </c>
      <c r="K48" s="1419">
        <f t="shared" si="40"/>
        <v>0</v>
      </c>
      <c r="L48" s="254" t="s">
        <v>341</v>
      </c>
      <c r="BA48" s="256">
        <f>流动负总!BA10</f>
        <v>0</v>
      </c>
      <c r="BB48" s="256">
        <f>流动负总!BB10</f>
        <v>0</v>
      </c>
      <c r="BC48" s="256">
        <f t="shared" si="9"/>
        <v>0</v>
      </c>
      <c r="BD48" s="256">
        <f t="shared" si="10"/>
        <v>0</v>
      </c>
      <c r="BE48" s="256">
        <f>流动负总!BE10</f>
        <v>0</v>
      </c>
      <c r="BF48" s="256">
        <f>流动负总!BF10</f>
        <v>0</v>
      </c>
      <c r="BG48" s="256">
        <f t="shared" si="11"/>
        <v>0</v>
      </c>
      <c r="BH48" s="256">
        <f t="shared" si="12"/>
        <v>0</v>
      </c>
      <c r="BJ48" s="256">
        <f>流动负总!BJ10</f>
        <v>0</v>
      </c>
      <c r="BK48" s="256">
        <f>流动负总!BK10</f>
        <v>0</v>
      </c>
      <c r="BL48" s="256">
        <f>流动负总!BL10</f>
        <v>0</v>
      </c>
      <c r="BM48" s="256">
        <f t="shared" si="13"/>
        <v>0</v>
      </c>
      <c r="BN48" s="256">
        <f>流动负总!BN10</f>
        <v>0</v>
      </c>
      <c r="BO48" s="256">
        <f>流动负总!BO10</f>
        <v>0</v>
      </c>
      <c r="BP48" s="256">
        <f>流动负总!BP10</f>
        <v>0</v>
      </c>
      <c r="BQ48" s="256">
        <f t="shared" si="14"/>
        <v>0</v>
      </c>
      <c r="BS48" s="141" t="str">
        <f t="shared" si="33"/>
        <v>无增减值</v>
      </c>
      <c r="BT48" s="178">
        <f t="shared" si="16"/>
        <v>0</v>
      </c>
      <c r="BU48" s="178">
        <f t="shared" si="34"/>
        <v>0</v>
      </c>
      <c r="BV48" s="1420" t="str">
        <f t="shared" si="25"/>
        <v>无增减值</v>
      </c>
      <c r="BW48" s="259"/>
      <c r="BX48" s="139" t="str">
        <f>衍生金负!CC14</f>
        <v/>
      </c>
      <c r="BY48" s="139" t="s">
        <v>1579</v>
      </c>
      <c r="BZ48" s="139" t="str">
        <f t="shared" si="17"/>
        <v/>
      </c>
      <c r="CA48" s="259"/>
      <c r="CC48" s="1425"/>
      <c r="CD48" s="1426"/>
      <c r="CE48" s="228"/>
      <c r="CF48" s="228"/>
    </row>
    <row r="49" ht="14.7" customHeight="1" spans="1:88">
      <c r="A49" s="1424">
        <f>SUBTOTAL(103,$B$7:B49)</f>
        <v>43</v>
      </c>
      <c r="B49" s="1417" t="str">
        <f>流动负总!B11</f>
        <v>应付票据</v>
      </c>
      <c r="C49" s="958">
        <f>流动负总!C11</f>
        <v>0</v>
      </c>
      <c r="D49" s="958">
        <f>流动负总!D11</f>
        <v>0</v>
      </c>
      <c r="E49" s="958">
        <f>流动负总!E11</f>
        <v>0</v>
      </c>
      <c r="F49" s="958">
        <f t="shared" si="37"/>
        <v>0</v>
      </c>
      <c r="G49" s="958" t="str">
        <f t="shared" si="38"/>
        <v/>
      </c>
      <c r="H49" s="1418">
        <f>SUM(SUMIF('资负表（未审）-旧'!A$7:A$35,B49,'资负表（未审）-旧'!D$7:D$35),SUMIF('资负表（未审）-旧'!F$7:F$27,B49,'资负表（未审）-旧'!I$7:I$27),SUMIF('资负表（未审）-新'!A$7:A$39,B49,'资负表（未审）-新'!D$7:D$39),SUMIF('资负表（未审）-新'!F$7:F$29,B49,'资负表（未审）-新'!I$7:I$29))</f>
        <v>0</v>
      </c>
      <c r="I49" s="1418">
        <f t="shared" si="39"/>
        <v>0</v>
      </c>
      <c r="J49" s="1419">
        <f>SUM(SUMIF('资负表（已审）-旧'!A$7:A$35,B49,'资负表（已审）-旧'!D$7:D$35),SUMIF('资负表（已审）-旧'!F$7:F$27,B49,'资负表（已审）-旧'!I$7:I$27),SUMIF('资负表（已审）-新'!A$7:A$39,B49,'资负表（已审）-新'!D$7:D$39),SUMIF('资负表（已审）-新'!F$7:F$29,B49,'资负表（已审）-新'!I$7:I$29))</f>
        <v>0</v>
      </c>
      <c r="K49" s="1419">
        <f t="shared" si="40"/>
        <v>0</v>
      </c>
      <c r="L49" s="254" t="s">
        <v>341</v>
      </c>
      <c r="BA49" s="256">
        <f>流动负总!BA11</f>
        <v>0</v>
      </c>
      <c r="BB49" s="256">
        <f>流动负总!BB11</f>
        <v>0</v>
      </c>
      <c r="BC49" s="256">
        <f t="shared" si="9"/>
        <v>0</v>
      </c>
      <c r="BD49" s="256">
        <f t="shared" si="10"/>
        <v>0</v>
      </c>
      <c r="BE49" s="256">
        <f>流动负总!BE11</f>
        <v>0</v>
      </c>
      <c r="BF49" s="256">
        <f>流动负总!BF11</f>
        <v>0</v>
      </c>
      <c r="BG49" s="256">
        <f t="shared" si="11"/>
        <v>0</v>
      </c>
      <c r="BH49" s="256">
        <f t="shared" si="12"/>
        <v>0</v>
      </c>
      <c r="BJ49" s="256">
        <f>流动负总!BJ11</f>
        <v>0</v>
      </c>
      <c r="BK49" s="256">
        <f>流动负总!BK11</f>
        <v>0</v>
      </c>
      <c r="BL49" s="256">
        <f>流动负总!BL11</f>
        <v>0</v>
      </c>
      <c r="BM49" s="256">
        <f t="shared" si="13"/>
        <v>0</v>
      </c>
      <c r="BN49" s="256">
        <f>流动负总!BN11</f>
        <v>0</v>
      </c>
      <c r="BO49" s="256">
        <f>流动负总!BO11</f>
        <v>0</v>
      </c>
      <c r="BP49" s="256">
        <f>流动负总!BP11</f>
        <v>0</v>
      </c>
      <c r="BQ49" s="256">
        <f t="shared" si="14"/>
        <v>0</v>
      </c>
      <c r="BS49" s="141" t="str">
        <f t="shared" si="33"/>
        <v>无增减值</v>
      </c>
      <c r="BT49" s="178">
        <f t="shared" si="16"/>
        <v>0</v>
      </c>
      <c r="BU49" s="178">
        <f t="shared" si="34"/>
        <v>0</v>
      </c>
      <c r="BV49" s="1420" t="str">
        <f t="shared" si="25"/>
        <v>无增减值</v>
      </c>
      <c r="BW49" s="259"/>
      <c r="BX49" s="139" t="str">
        <f>应付票据!BZ14</f>
        <v>无息</v>
      </c>
      <c r="BY49" s="139" t="s">
        <v>1577</v>
      </c>
      <c r="BZ49" s="139" t="str">
        <f t="shared" si="17"/>
        <v>无息银行承兑汇票</v>
      </c>
      <c r="CA49" s="259"/>
      <c r="CC49" s="1425"/>
      <c r="CD49" s="1426"/>
      <c r="CE49" s="228"/>
      <c r="CF49" s="228"/>
    </row>
    <row r="50" ht="14.7" customHeight="1" spans="1:88">
      <c r="A50" s="1424">
        <f>SUBTOTAL(103,$B$7:B50)</f>
        <v>44</v>
      </c>
      <c r="B50" s="1417" t="str">
        <f>流动负总!B12</f>
        <v>应付账款</v>
      </c>
      <c r="C50" s="958">
        <f>流动负总!C12</f>
        <v>0</v>
      </c>
      <c r="D50" s="958">
        <f>流动负总!D12</f>
        <v>0</v>
      </c>
      <c r="E50" s="958">
        <f>流动负总!E12</f>
        <v>0</v>
      </c>
      <c r="F50" s="958">
        <f t="shared" si="37"/>
        <v>0</v>
      </c>
      <c r="G50" s="958" t="str">
        <f t="shared" si="38"/>
        <v/>
      </c>
      <c r="H50" s="1418">
        <f>SUM(SUMIF('资负表（未审）-旧'!A$7:A$35,B50,'资负表（未审）-旧'!D$7:D$35),SUMIF('资负表（未审）-旧'!F$7:F$27,B50,'资负表（未审）-旧'!I$7:I$27),SUMIF('资负表（未审）-新'!A$7:A$39,B50,'资负表（未审）-新'!D$7:D$39),SUMIF('资负表（未审）-新'!F$7:F$29,B50,'资负表（未审）-新'!I$7:I$29))</f>
        <v>0</v>
      </c>
      <c r="I50" s="1418">
        <f t="shared" si="39"/>
        <v>0</v>
      </c>
      <c r="J50" s="1419">
        <f>SUM(SUMIF('资负表（已审）-旧'!A$7:A$35,B50,'资负表（已审）-旧'!D$7:D$35),SUMIF('资负表（已审）-旧'!F$7:F$27,B50,'资负表（已审）-旧'!I$7:I$27),SUMIF('资负表（已审）-新'!A$7:A$39,B50,'资负表（已审）-新'!D$7:D$39),SUMIF('资负表（已审）-新'!F$7:F$29,B50,'资负表（已审）-新'!I$7:I$29))</f>
        <v>0</v>
      </c>
      <c r="K50" s="1419">
        <f t="shared" si="40"/>
        <v>0</v>
      </c>
      <c r="L50" s="254" t="s">
        <v>341</v>
      </c>
      <c r="BA50" s="256">
        <f>流动负总!BA12</f>
        <v>0</v>
      </c>
      <c r="BB50" s="256">
        <f>流动负总!BB12</f>
        <v>0</v>
      </c>
      <c r="BC50" s="256">
        <f t="shared" si="9"/>
        <v>0</v>
      </c>
      <c r="BD50" s="256">
        <f t="shared" si="10"/>
        <v>0</v>
      </c>
      <c r="BE50" s="256">
        <f>流动负总!BE12</f>
        <v>0</v>
      </c>
      <c r="BF50" s="256">
        <f>流动负总!BF12</f>
        <v>0</v>
      </c>
      <c r="BG50" s="256">
        <f t="shared" si="11"/>
        <v>0</v>
      </c>
      <c r="BH50" s="256">
        <f t="shared" si="12"/>
        <v>0</v>
      </c>
      <c r="BJ50" s="256">
        <f>流动负总!BJ12</f>
        <v>0</v>
      </c>
      <c r="BK50" s="256">
        <f>流动负总!BK12</f>
        <v>0</v>
      </c>
      <c r="BL50" s="256">
        <f>流动负总!BL12</f>
        <v>0</v>
      </c>
      <c r="BM50" s="256">
        <f t="shared" si="13"/>
        <v>0</v>
      </c>
      <c r="BN50" s="256">
        <f>流动负总!BN12</f>
        <v>0</v>
      </c>
      <c r="BO50" s="256">
        <f>流动负总!BO12</f>
        <v>0</v>
      </c>
      <c r="BP50" s="256">
        <f>流动负总!BP12</f>
        <v>0</v>
      </c>
      <c r="BQ50" s="256">
        <f t="shared" si="14"/>
        <v>0</v>
      </c>
      <c r="BS50" s="141" t="str">
        <f t="shared" si="33"/>
        <v>无增减值</v>
      </c>
      <c r="BT50" s="178">
        <f t="shared" si="16"/>
        <v>0</v>
      </c>
      <c r="BU50" s="178">
        <f t="shared" si="34"/>
        <v>0</v>
      </c>
      <c r="BV50" s="1420" t="str">
        <f t="shared" si="25"/>
        <v>无增减值</v>
      </c>
      <c r="BW50" s="259"/>
      <c r="BX50" s="139" t="str">
        <f>应付账款!BX14</f>
        <v/>
      </c>
      <c r="BY50" s="139" t="s">
        <v>1578</v>
      </c>
      <c r="BZ50" s="139" t="str">
        <f t="shared" si="17"/>
        <v/>
      </c>
      <c r="CA50" s="259"/>
      <c r="CC50" s="1425"/>
      <c r="CD50" s="1426"/>
      <c r="CE50" s="228"/>
      <c r="CF50" s="228"/>
    </row>
    <row r="51" ht="14.7" customHeight="1" spans="1:88">
      <c r="A51" s="1424">
        <f>SUBTOTAL(103,$B$7:B51)</f>
        <v>45</v>
      </c>
      <c r="B51" s="1417" t="str">
        <f>流动负总!B13</f>
        <v>预收款项</v>
      </c>
      <c r="C51" s="958">
        <f>流动负总!C13</f>
        <v>0</v>
      </c>
      <c r="D51" s="958">
        <f>流动负总!D13</f>
        <v>0</v>
      </c>
      <c r="E51" s="958">
        <f>流动负总!E13</f>
        <v>0</v>
      </c>
      <c r="F51" s="958">
        <f t="shared" si="37"/>
        <v>0</v>
      </c>
      <c r="G51" s="958" t="str">
        <f t="shared" si="38"/>
        <v/>
      </c>
      <c r="H51" s="1418">
        <f>SUM(SUMIF('资负表（未审）-旧'!A$7:A$35,B51,'资负表（未审）-旧'!D$7:D$35),SUMIF('资负表（未审）-旧'!F$7:F$27,B51,'资负表（未审）-旧'!I$7:I$27),SUMIF('资负表（未审）-新'!A$7:A$39,B51,'资负表（未审）-新'!D$7:D$39),SUMIF('资负表（未审）-新'!F$7:F$29,B51,'资负表（未审）-新'!I$7:I$29))</f>
        <v>0</v>
      </c>
      <c r="I51" s="1418">
        <f t="shared" si="39"/>
        <v>0</v>
      </c>
      <c r="J51" s="1419">
        <f>SUM(SUMIF('资负表（已审）-旧'!A$7:A$35,B51,'资负表（已审）-旧'!D$7:D$35),SUMIF('资负表（已审）-旧'!F$7:F$27,B51,'资负表（已审）-旧'!I$7:I$27),SUMIF('资负表（已审）-新'!A$7:A$39,B51,'资负表（已审）-新'!D$7:D$39),SUMIF('资负表（已审）-新'!F$7:F$29,B51,'资负表（已审）-新'!I$7:I$29))</f>
        <v>0</v>
      </c>
      <c r="K51" s="1419">
        <f t="shared" si="40"/>
        <v>0</v>
      </c>
      <c r="L51" s="254" t="s">
        <v>341</v>
      </c>
      <c r="BA51" s="256">
        <f>流动负总!BA13</f>
        <v>0</v>
      </c>
      <c r="BB51" s="256">
        <f>流动负总!BB13</f>
        <v>0</v>
      </c>
      <c r="BC51" s="256">
        <f t="shared" si="9"/>
        <v>0</v>
      </c>
      <c r="BD51" s="256">
        <f t="shared" si="10"/>
        <v>0</v>
      </c>
      <c r="BE51" s="256">
        <f>流动负总!BE13</f>
        <v>0</v>
      </c>
      <c r="BF51" s="256">
        <f>流动负总!BF13</f>
        <v>0</v>
      </c>
      <c r="BG51" s="256">
        <f t="shared" si="11"/>
        <v>0</v>
      </c>
      <c r="BH51" s="256">
        <f t="shared" si="12"/>
        <v>0</v>
      </c>
      <c r="BJ51" s="256">
        <f>流动负总!BJ13</f>
        <v>0</v>
      </c>
      <c r="BK51" s="256">
        <f>流动负总!BK13</f>
        <v>0</v>
      </c>
      <c r="BL51" s="256">
        <f>流动负总!BL13</f>
        <v>0</v>
      </c>
      <c r="BM51" s="256">
        <f t="shared" si="13"/>
        <v>0</v>
      </c>
      <c r="BN51" s="256">
        <f>流动负总!BN13</f>
        <v>0</v>
      </c>
      <c r="BO51" s="256">
        <f>流动负总!BO13</f>
        <v>0</v>
      </c>
      <c r="BP51" s="256">
        <f>流动负总!BP13</f>
        <v>0</v>
      </c>
      <c r="BQ51" s="256">
        <f t="shared" si="14"/>
        <v>0</v>
      </c>
      <c r="BS51" s="141" t="str">
        <f t="shared" si="33"/>
        <v>无增减值</v>
      </c>
      <c r="BT51" s="178">
        <f t="shared" si="16"/>
        <v>0</v>
      </c>
      <c r="BU51" s="178">
        <f t="shared" si="34"/>
        <v>0</v>
      </c>
      <c r="BV51" s="1420" t="str">
        <f t="shared" si="25"/>
        <v>无增减值</v>
      </c>
      <c r="BW51" s="259"/>
      <c r="BX51" s="139" t="str">
        <f>预收账款!BX14</f>
        <v/>
      </c>
      <c r="BY51" s="139" t="s">
        <v>1578</v>
      </c>
      <c r="BZ51" s="139" t="str">
        <f t="shared" si="17"/>
        <v/>
      </c>
      <c r="CA51" s="259"/>
      <c r="CC51" s="1425"/>
      <c r="CD51" s="1426"/>
      <c r="CE51" s="228"/>
      <c r="CF51" s="228"/>
    </row>
    <row r="52" ht="14.7" customHeight="1" spans="1:88">
      <c r="A52" s="1424">
        <f>SUBTOTAL(103,$B$7:B52)</f>
        <v>46</v>
      </c>
      <c r="B52" s="1417" t="str">
        <f>流动负总!B14</f>
        <v>合同负债</v>
      </c>
      <c r="C52" s="958">
        <f>流动负总!C14</f>
        <v>0</v>
      </c>
      <c r="D52" s="958">
        <f>流动负总!D14</f>
        <v>0</v>
      </c>
      <c r="E52" s="958">
        <f>流动负总!E14</f>
        <v>0</v>
      </c>
      <c r="F52" s="958">
        <f t="shared" si="37"/>
        <v>0</v>
      </c>
      <c r="G52" s="958" t="str">
        <f t="shared" si="38"/>
        <v/>
      </c>
      <c r="H52" s="1418">
        <f>SUM(SUMIF('资负表（未审）-旧'!A$7:A$35,B52,'资负表（未审）-旧'!D$7:D$35),SUMIF('资负表（未审）-旧'!F$7:F$27,B52,'资负表（未审）-旧'!I$7:I$27),SUMIF('资负表（未审）-新'!A$7:A$39,B52,'资负表（未审）-新'!D$7:D$39),SUMIF('资负表（未审）-新'!F$7:F$29,B52,'资负表（未审）-新'!I$7:I$29))</f>
        <v>0</v>
      </c>
      <c r="I52" s="1418">
        <f t="shared" si="39"/>
        <v>0</v>
      </c>
      <c r="J52" s="1419">
        <f>SUM(SUMIF('资负表（已审）-旧'!A$7:A$35,B52,'资负表（已审）-旧'!D$7:D$35),SUMIF('资负表（已审）-旧'!F$7:F$27,B52,'资负表（已审）-旧'!I$7:I$27),SUMIF('资负表（已审）-新'!A$7:A$39,B52,'资负表（已审）-新'!D$7:D$39),SUMIF('资负表（已审）-新'!F$7:F$29,B52,'资负表（已审）-新'!I$7:I$29))</f>
        <v>0</v>
      </c>
      <c r="K52" s="1419">
        <f t="shared" si="40"/>
        <v>0</v>
      </c>
      <c r="L52" s="254" t="s">
        <v>1576</v>
      </c>
      <c r="BA52" s="256">
        <f>流动负总!BA14</f>
        <v>0</v>
      </c>
      <c r="BB52" s="256">
        <f>流动负总!BB14</f>
        <v>0</v>
      </c>
      <c r="BC52" s="256">
        <f t="shared" si="9"/>
        <v>0</v>
      </c>
      <c r="BD52" s="256">
        <f t="shared" si="10"/>
        <v>0</v>
      </c>
      <c r="BE52" s="256">
        <f>流动负总!BE14</f>
        <v>0</v>
      </c>
      <c r="BF52" s="256">
        <f>流动负总!BF14</f>
        <v>0</v>
      </c>
      <c r="BG52" s="256">
        <f t="shared" si="11"/>
        <v>0</v>
      </c>
      <c r="BH52" s="256">
        <f t="shared" si="12"/>
        <v>0</v>
      </c>
      <c r="BJ52" s="256">
        <f>流动负总!BJ14</f>
        <v>0</v>
      </c>
      <c r="BK52" s="256">
        <f>流动负总!BK14</f>
        <v>0</v>
      </c>
      <c r="BL52" s="256">
        <f>流动负总!BL14</f>
        <v>0</v>
      </c>
      <c r="BM52" s="256">
        <f t="shared" si="13"/>
        <v>0</v>
      </c>
      <c r="BN52" s="256">
        <f>流动负总!BN14</f>
        <v>0</v>
      </c>
      <c r="BO52" s="256">
        <f>流动负总!BO14</f>
        <v>0</v>
      </c>
      <c r="BP52" s="256">
        <f>流动负总!BP14</f>
        <v>0</v>
      </c>
      <c r="BQ52" s="256">
        <f t="shared" si="14"/>
        <v>0</v>
      </c>
      <c r="BS52" s="141" t="str">
        <f t="shared" si="33"/>
        <v>无增减值</v>
      </c>
      <c r="BT52" s="178">
        <f t="shared" si="16"/>
        <v>0</v>
      </c>
      <c r="BU52" s="178">
        <f t="shared" si="34"/>
        <v>0</v>
      </c>
      <c r="BV52" s="1420" t="str">
        <f t="shared" si="25"/>
        <v>无增减值</v>
      </c>
      <c r="BW52" s="259"/>
      <c r="BX52" s="139" t="str">
        <f>合同负总!BT5</f>
        <v/>
      </c>
      <c r="BY52" s="139"/>
      <c r="BZ52" s="139" t="str">
        <f t="shared" si="17"/>
        <v/>
      </c>
      <c r="CA52" s="259"/>
      <c r="CC52" s="1425"/>
      <c r="CD52" s="1426"/>
      <c r="CE52" s="228"/>
      <c r="CF52" s="228"/>
    </row>
    <row r="53" ht="14.7" customHeight="1" spans="1:88">
      <c r="A53" s="1424">
        <f>SUBTOTAL(103,$B$7:B53)</f>
        <v>47</v>
      </c>
      <c r="B53" s="1417" t="str">
        <f>流动负总!B15</f>
        <v>应付职工薪酬</v>
      </c>
      <c r="C53" s="958">
        <f>流动负总!C15</f>
        <v>0</v>
      </c>
      <c r="D53" s="958">
        <f>流动负总!D15</f>
        <v>0</v>
      </c>
      <c r="E53" s="958">
        <f>流动负总!E15</f>
        <v>0</v>
      </c>
      <c r="F53" s="958">
        <f t="shared" si="37"/>
        <v>0</v>
      </c>
      <c r="G53" s="958" t="str">
        <f t="shared" si="38"/>
        <v/>
      </c>
      <c r="H53" s="1418">
        <f>SUM(SUMIF('资负表（未审）-旧'!A$7:A$35,B53,'资负表（未审）-旧'!D$7:D$35),SUMIF('资负表（未审）-旧'!F$7:F$27,B53,'资负表（未审）-旧'!I$7:I$27),SUMIF('资负表（未审）-新'!A$7:A$39,B53,'资负表（未审）-新'!D$7:D$39),SUMIF('资负表（未审）-新'!F$7:F$29,B53,'资负表（未审）-新'!I$7:I$29))</f>
        <v>0</v>
      </c>
      <c r="I53" s="1418">
        <f t="shared" si="39"/>
        <v>0</v>
      </c>
      <c r="J53" s="1419">
        <f>SUM(SUMIF('资负表（已审）-旧'!A$7:A$35,B53,'资负表（已审）-旧'!D$7:D$35),SUMIF('资负表（已审）-旧'!F$7:F$27,B53,'资负表（已审）-旧'!I$7:I$27),SUMIF('资负表（已审）-新'!A$7:A$39,B53,'资负表（已审）-新'!D$7:D$39),SUMIF('资负表（已审）-新'!F$7:F$29,B53,'资负表（已审）-新'!I$7:I$29))</f>
        <v>0</v>
      </c>
      <c r="K53" s="1419">
        <f t="shared" si="40"/>
        <v>0</v>
      </c>
      <c r="L53" s="254" t="s">
        <v>341</v>
      </c>
      <c r="BA53" s="256">
        <f>流动负总!BA15</f>
        <v>0</v>
      </c>
      <c r="BB53" s="256">
        <f>流动负总!BB15</f>
        <v>0</v>
      </c>
      <c r="BC53" s="256">
        <f t="shared" si="9"/>
        <v>0</v>
      </c>
      <c r="BD53" s="256">
        <f t="shared" si="10"/>
        <v>0</v>
      </c>
      <c r="BE53" s="256">
        <f>流动负总!BE15</f>
        <v>0</v>
      </c>
      <c r="BF53" s="256">
        <f>流动负总!BF15</f>
        <v>0</v>
      </c>
      <c r="BG53" s="256">
        <f t="shared" si="11"/>
        <v>0</v>
      </c>
      <c r="BH53" s="256">
        <f t="shared" si="12"/>
        <v>0</v>
      </c>
      <c r="BJ53" s="256">
        <f>流动负总!BJ15</f>
        <v>0</v>
      </c>
      <c r="BK53" s="256">
        <f>流动负总!BK15</f>
        <v>0</v>
      </c>
      <c r="BL53" s="256">
        <f>流动负总!BL15</f>
        <v>0</v>
      </c>
      <c r="BM53" s="256">
        <f t="shared" si="13"/>
        <v>0</v>
      </c>
      <c r="BN53" s="256">
        <f>流动负总!BN15</f>
        <v>0</v>
      </c>
      <c r="BO53" s="256">
        <f>流动负总!BO15</f>
        <v>0</v>
      </c>
      <c r="BP53" s="256">
        <f>流动负总!BP15</f>
        <v>0</v>
      </c>
      <c r="BQ53" s="256">
        <f t="shared" si="14"/>
        <v>0</v>
      </c>
      <c r="BS53" s="141" t="str">
        <f t="shared" si="33"/>
        <v>无增减值</v>
      </c>
      <c r="BT53" s="178">
        <f t="shared" si="16"/>
        <v>0</v>
      </c>
      <c r="BU53" s="178">
        <f t="shared" si="34"/>
        <v>0</v>
      </c>
      <c r="BV53" s="1420" t="str">
        <f t="shared" si="25"/>
        <v>无增减值</v>
      </c>
      <c r="BW53" s="259"/>
      <c r="BX53" s="139" t="str">
        <f>职工薪酬!BU14</f>
        <v>工资、奖金、津贴和补贴</v>
      </c>
      <c r="BY53" s="139" t="s">
        <v>1579</v>
      </c>
      <c r="BZ53" s="139" t="str">
        <f t="shared" si="17"/>
        <v>工资、奖金、津贴和补贴等</v>
      </c>
      <c r="CA53" s="259"/>
      <c r="CC53" s="1425"/>
      <c r="CD53" s="1426"/>
      <c r="CE53" s="228"/>
      <c r="CF53" s="228"/>
    </row>
    <row r="54" ht="14.7" customHeight="1" spans="1:88">
      <c r="A54" s="1424">
        <f>SUBTOTAL(103,$B$7:B54)</f>
        <v>48</v>
      </c>
      <c r="B54" s="1417" t="str">
        <f>流动负总!B16</f>
        <v>应交税费</v>
      </c>
      <c r="C54" s="958">
        <f>流动负总!C16</f>
        <v>0</v>
      </c>
      <c r="D54" s="958">
        <f>流动负总!D16</f>
        <v>0</v>
      </c>
      <c r="E54" s="958">
        <f>流动负总!E16</f>
        <v>0</v>
      </c>
      <c r="F54" s="958">
        <f t="shared" si="37"/>
        <v>0</v>
      </c>
      <c r="G54" s="958" t="str">
        <f t="shared" si="38"/>
        <v/>
      </c>
      <c r="H54" s="1418">
        <f>SUM(SUMIF('资负表（未审）-旧'!A$7:A$35,B54,'资负表（未审）-旧'!D$7:D$35),SUMIF('资负表（未审）-旧'!F$7:F$27,B54,'资负表（未审）-旧'!I$7:I$27),SUMIF('资负表（未审）-新'!A$7:A$39,B54,'资负表（未审）-新'!D$7:D$39),SUMIF('资负表（未审）-新'!F$7:F$29,B54,'资负表（未审）-新'!I$7:I$29))</f>
        <v>0</v>
      </c>
      <c r="I54" s="1418">
        <f t="shared" si="39"/>
        <v>0</v>
      </c>
      <c r="J54" s="1419">
        <f>SUM(SUMIF('资负表（已审）-旧'!A$7:A$35,B54,'资负表（已审）-旧'!D$7:D$35),SUMIF('资负表（已审）-旧'!F$7:F$27,B54,'资负表（已审）-旧'!I$7:I$27),SUMIF('资负表（已审）-新'!A$7:A$39,B54,'资负表（已审）-新'!D$7:D$39),SUMIF('资负表（已审）-新'!F$7:F$29,B54,'资负表（已审）-新'!I$7:I$29))</f>
        <v>0</v>
      </c>
      <c r="K54" s="1419">
        <f t="shared" si="40"/>
        <v>0</v>
      </c>
      <c r="L54" s="254" t="s">
        <v>341</v>
      </c>
      <c r="BA54" s="256">
        <f>流动负总!BA16</f>
        <v>0</v>
      </c>
      <c r="BB54" s="256">
        <f>流动负总!BB16</f>
        <v>0</v>
      </c>
      <c r="BC54" s="256">
        <f t="shared" si="9"/>
        <v>0</v>
      </c>
      <c r="BD54" s="256">
        <f t="shared" si="10"/>
        <v>0</v>
      </c>
      <c r="BE54" s="256">
        <f>流动负总!BE16</f>
        <v>0</v>
      </c>
      <c r="BF54" s="256">
        <f>流动负总!BF16</f>
        <v>0</v>
      </c>
      <c r="BG54" s="256">
        <f t="shared" si="11"/>
        <v>0</v>
      </c>
      <c r="BH54" s="256">
        <f t="shared" si="12"/>
        <v>0</v>
      </c>
      <c r="BJ54" s="256">
        <f>流动负总!BJ16</f>
        <v>0</v>
      </c>
      <c r="BK54" s="256">
        <f>流动负总!BK16</f>
        <v>0</v>
      </c>
      <c r="BL54" s="256">
        <f>流动负总!BL16</f>
        <v>0</v>
      </c>
      <c r="BM54" s="256">
        <f t="shared" si="13"/>
        <v>0</v>
      </c>
      <c r="BN54" s="256">
        <f>流动负总!BN16</f>
        <v>0</v>
      </c>
      <c r="BO54" s="256">
        <f>流动负总!BO16</f>
        <v>0</v>
      </c>
      <c r="BP54" s="256">
        <f>流动负总!BP16</f>
        <v>0</v>
      </c>
      <c r="BQ54" s="256">
        <f t="shared" si="14"/>
        <v>0</v>
      </c>
      <c r="BS54" s="141" t="str">
        <f t="shared" si="33"/>
        <v>无增减值</v>
      </c>
      <c r="BT54" s="178">
        <f t="shared" si="16"/>
        <v>0</v>
      </c>
      <c r="BU54" s="178">
        <f t="shared" si="34"/>
        <v>0</v>
      </c>
      <c r="BV54" s="1420" t="str">
        <f t="shared" si="25"/>
        <v>无增减值</v>
      </c>
      <c r="BW54" s="259"/>
      <c r="BX54" s="139" t="str">
        <f>应交税费!BU14</f>
        <v/>
      </c>
      <c r="BY54" s="139" t="s">
        <v>1579</v>
      </c>
      <c r="BZ54" s="139" t="str">
        <f t="shared" si="17"/>
        <v/>
      </c>
      <c r="CA54" s="259"/>
      <c r="CC54" s="1425"/>
      <c r="CD54" s="1426"/>
      <c r="CE54" s="228"/>
      <c r="CF54" s="228"/>
    </row>
    <row r="55" ht="14.7" customHeight="1" spans="1:88">
      <c r="A55" s="1424">
        <f>SUBTOTAL(103,$B$7:B55)</f>
        <v>49</v>
      </c>
      <c r="B55" s="1417" t="str">
        <f>流动负总!B17</f>
        <v>其他应付款</v>
      </c>
      <c r="C55" s="958">
        <f>流动负总!C17</f>
        <v>0</v>
      </c>
      <c r="D55" s="958">
        <f>流动负总!D17</f>
        <v>0</v>
      </c>
      <c r="E55" s="958">
        <f>流动负总!E17</f>
        <v>0</v>
      </c>
      <c r="F55" s="958">
        <f t="shared" si="37"/>
        <v>0</v>
      </c>
      <c r="G55" s="958" t="str">
        <f t="shared" si="38"/>
        <v/>
      </c>
      <c r="H55" s="1418">
        <f>SUM(SUMIF('资负表（未审）-旧'!A$7:A$35,B55,'资负表（未审）-旧'!D$7:D$35),SUMIF('资负表（未审）-旧'!F$7:F$27,B55,'资负表（未审）-旧'!I$7:I$27),SUMIF('资负表（未审）-新'!A$7:A$39,B55,'资负表（未审）-新'!D$7:D$39),SUMIF('资负表（未审）-新'!F$7:F$29,B55,'资负表（未审）-新'!I$7:I$29))</f>
        <v>0</v>
      </c>
      <c r="I55" s="1418">
        <f t="shared" si="39"/>
        <v>0</v>
      </c>
      <c r="J55" s="1419">
        <f>SUM(SUMIF('资负表（已审）-旧'!A$7:A$35,B55,'资负表（已审）-旧'!D$7:D$35),SUMIF('资负表（已审）-旧'!F$7:F$27,B55,'资负表（已审）-旧'!I$7:I$27),SUMIF('资负表（已审）-新'!A$7:A$39,B55,'资负表（已审）-新'!D$7:D$39),SUMIF('资负表（已审）-新'!F$7:F$29,B55,'资负表（已审）-新'!I$7:I$29))</f>
        <v>0</v>
      </c>
      <c r="K55" s="1419">
        <f t="shared" si="40"/>
        <v>0</v>
      </c>
      <c r="L55" s="254" t="s">
        <v>341</v>
      </c>
      <c r="BA55" s="256">
        <f>流动负总!BA17</f>
        <v>0</v>
      </c>
      <c r="BB55" s="256">
        <f>流动负总!BB17</f>
        <v>0</v>
      </c>
      <c r="BC55" s="256">
        <f t="shared" si="9"/>
        <v>0</v>
      </c>
      <c r="BD55" s="256">
        <f t="shared" si="10"/>
        <v>0</v>
      </c>
      <c r="BE55" s="256">
        <f>流动负总!BE17</f>
        <v>0</v>
      </c>
      <c r="BF55" s="256">
        <f>流动负总!BF17</f>
        <v>0</v>
      </c>
      <c r="BG55" s="256">
        <f t="shared" si="11"/>
        <v>0</v>
      </c>
      <c r="BH55" s="256">
        <f t="shared" si="12"/>
        <v>0</v>
      </c>
      <c r="BJ55" s="256">
        <f>流动负总!BJ17</f>
        <v>0</v>
      </c>
      <c r="BK55" s="256">
        <f>流动负总!BK17</f>
        <v>0</v>
      </c>
      <c r="BL55" s="256">
        <f>流动负总!BL17</f>
        <v>0</v>
      </c>
      <c r="BM55" s="256">
        <f t="shared" si="13"/>
        <v>0</v>
      </c>
      <c r="BN55" s="256">
        <f>流动负总!BN17</f>
        <v>0</v>
      </c>
      <c r="BO55" s="256">
        <f>流动负总!BO17</f>
        <v>0</v>
      </c>
      <c r="BP55" s="256">
        <f>流动负总!BP17</f>
        <v>0</v>
      </c>
      <c r="BQ55" s="256">
        <f t="shared" si="14"/>
        <v>0</v>
      </c>
      <c r="BS55" s="141" t="str">
        <f t="shared" si="33"/>
        <v>无增减值</v>
      </c>
      <c r="BT55" s="178">
        <f t="shared" si="16"/>
        <v>0</v>
      </c>
      <c r="BU55" s="178">
        <f t="shared" si="34"/>
        <v>0</v>
      </c>
      <c r="BV55" s="1420" t="str">
        <f t="shared" si="25"/>
        <v>无增减值</v>
      </c>
      <c r="BW55" s="259"/>
      <c r="BX55" s="139" t="str">
        <f>其他应付总!BT5</f>
        <v/>
      </c>
      <c r="BY55" s="139"/>
      <c r="BZ55" s="139" t="str">
        <f t="shared" si="17"/>
        <v/>
      </c>
      <c r="CA55" s="259"/>
      <c r="CC55" s="1425"/>
      <c r="CD55" s="1426"/>
      <c r="CE55" s="228"/>
      <c r="CF55" s="228"/>
    </row>
    <row r="56" ht="14.7" customHeight="1" spans="1:88">
      <c r="A56" s="1424">
        <f>SUBTOTAL(103,$B$7:B56)</f>
        <v>50</v>
      </c>
      <c r="B56" s="1417" t="str">
        <f>流动负总!B18</f>
        <v>持有待售负债</v>
      </c>
      <c r="C56" s="958">
        <f>流动负总!C18</f>
        <v>0</v>
      </c>
      <c r="D56" s="958">
        <f>流动负总!D18</f>
        <v>0</v>
      </c>
      <c r="E56" s="958">
        <f>流动负总!E18</f>
        <v>0</v>
      </c>
      <c r="F56" s="958">
        <f t="shared" si="37"/>
        <v>0</v>
      </c>
      <c r="G56" s="958" t="str">
        <f t="shared" si="38"/>
        <v/>
      </c>
      <c r="H56" s="1418">
        <f>SUM(SUMIF('资负表（未审）-旧'!A$7:A$35,B56,'资负表（未审）-旧'!D$7:D$35),SUMIF('资负表（未审）-旧'!F$7:F$27,B56,'资负表（未审）-旧'!I$7:I$27),SUMIF('资负表（未审）-新'!A$7:A$39,B56,'资负表（未审）-新'!D$7:D$39),SUMIF('资负表（未审）-新'!F$7:F$29,B56,'资负表（未审）-新'!I$7:I$29))</f>
        <v>0</v>
      </c>
      <c r="I56" s="1418">
        <f t="shared" si="39"/>
        <v>0</v>
      </c>
      <c r="J56" s="1419">
        <f>SUM(SUMIF('资负表（已审）-旧'!A$7:A$35,B56,'资负表（已审）-旧'!D$7:D$35),SUMIF('资负表（已审）-旧'!F$7:F$27,B56,'资负表（已审）-旧'!I$7:I$27),SUMIF('资负表（已审）-新'!A$7:A$39,B56,'资负表（已审）-新'!D$7:D$39),SUMIF('资负表（已审）-新'!F$7:F$29,B56,'资负表（已审）-新'!I$7:I$29))</f>
        <v>0</v>
      </c>
      <c r="K56" s="1419">
        <f t="shared" si="40"/>
        <v>0</v>
      </c>
      <c r="L56" s="254" t="s">
        <v>341</v>
      </c>
      <c r="BA56" s="256">
        <f>流动负总!BA18</f>
        <v>0</v>
      </c>
      <c r="BB56" s="256">
        <f>流动负总!BB18</f>
        <v>0</v>
      </c>
      <c r="BC56" s="256">
        <f t="shared" si="9"/>
        <v>0</v>
      </c>
      <c r="BD56" s="256">
        <f t="shared" si="10"/>
        <v>0</v>
      </c>
      <c r="BE56" s="256">
        <f>流动负总!BE18</f>
        <v>0</v>
      </c>
      <c r="BF56" s="256">
        <f>流动负总!BF18</f>
        <v>0</v>
      </c>
      <c r="BG56" s="256">
        <f t="shared" si="11"/>
        <v>0</v>
      </c>
      <c r="BH56" s="256">
        <f t="shared" si="12"/>
        <v>0</v>
      </c>
      <c r="BJ56" s="256">
        <f>流动负总!BJ18</f>
        <v>0</v>
      </c>
      <c r="BK56" s="256">
        <f>流动负总!BK18</f>
        <v>0</v>
      </c>
      <c r="BL56" s="256">
        <f>流动负总!BL18</f>
        <v>0</v>
      </c>
      <c r="BM56" s="256">
        <f t="shared" si="13"/>
        <v>0</v>
      </c>
      <c r="BN56" s="256">
        <f>流动负总!BN18</f>
        <v>0</v>
      </c>
      <c r="BO56" s="256">
        <f>流动负总!BO18</f>
        <v>0</v>
      </c>
      <c r="BP56" s="256">
        <f>流动负总!BP18</f>
        <v>0</v>
      </c>
      <c r="BQ56" s="256">
        <f t="shared" si="14"/>
        <v>0</v>
      </c>
      <c r="BS56" s="141" t="str">
        <f t="shared" si="33"/>
        <v>无增减值</v>
      </c>
      <c r="BT56" s="178">
        <f t="shared" si="16"/>
        <v>0</v>
      </c>
      <c r="BU56" s="178">
        <f t="shared" si="34"/>
        <v>0</v>
      </c>
      <c r="BV56" s="1420" t="str">
        <f t="shared" si="25"/>
        <v>无增减值</v>
      </c>
      <c r="BW56" s="259"/>
      <c r="BX56" s="139" t="str">
        <f>持有待售负!BX14</f>
        <v/>
      </c>
      <c r="BY56" s="139" t="s">
        <v>1579</v>
      </c>
      <c r="BZ56" s="139" t="str">
        <f t="shared" si="17"/>
        <v/>
      </c>
      <c r="CA56" s="259"/>
      <c r="CC56" s="1425"/>
      <c r="CD56" s="1426"/>
      <c r="CE56" s="228"/>
      <c r="CF56" s="228"/>
    </row>
    <row r="57" ht="14.7" customHeight="1" spans="1:88">
      <c r="A57" s="1424">
        <f>SUBTOTAL(103,$B$7:B57)</f>
        <v>51</v>
      </c>
      <c r="B57" s="1417" t="str">
        <f>流动负总!B19</f>
        <v>一年内到期的非流动负债</v>
      </c>
      <c r="C57" s="958">
        <f>流动负总!C19</f>
        <v>0</v>
      </c>
      <c r="D57" s="958">
        <f>流动负总!D19</f>
        <v>0</v>
      </c>
      <c r="E57" s="958">
        <f>流动负总!E19</f>
        <v>0</v>
      </c>
      <c r="F57" s="958">
        <f t="shared" si="37"/>
        <v>0</v>
      </c>
      <c r="G57" s="958" t="str">
        <f t="shared" si="38"/>
        <v/>
      </c>
      <c r="H57" s="1418">
        <f>SUM(SUMIF('资负表（未审）-旧'!A$7:A$35,B57,'资负表（未审）-旧'!D$7:D$35),SUMIF('资负表（未审）-旧'!F$7:F$27,B57,'资负表（未审）-旧'!I$7:I$27),SUMIF('资负表（未审）-新'!A$7:A$39,B57,'资负表（未审）-新'!D$7:D$39),SUMIF('资负表（未审）-新'!F$7:F$29,B57,'资负表（未审）-新'!I$7:I$29))</f>
        <v>0</v>
      </c>
      <c r="I57" s="1418">
        <f t="shared" si="39"/>
        <v>0</v>
      </c>
      <c r="J57" s="1419">
        <f>SUM(SUMIF('资负表（已审）-旧'!A$7:A$35,B57,'资负表（已审）-旧'!D$7:D$35),SUMIF('资负表（已审）-旧'!F$7:F$27,B57,'资负表（已审）-旧'!I$7:I$27),SUMIF('资负表（已审）-新'!A$7:A$39,B57,'资负表（已审）-新'!D$7:D$39),SUMIF('资负表（已审）-新'!F$7:F$29,B57,'资负表（已审）-新'!I$7:I$29))</f>
        <v>0</v>
      </c>
      <c r="K57" s="1419">
        <f t="shared" si="40"/>
        <v>0</v>
      </c>
      <c r="L57" s="254" t="s">
        <v>341</v>
      </c>
      <c r="BA57" s="256">
        <f>流动负总!BA19</f>
        <v>0</v>
      </c>
      <c r="BB57" s="256">
        <f>流动负总!BB19</f>
        <v>0</v>
      </c>
      <c r="BC57" s="256">
        <f t="shared" si="9"/>
        <v>0</v>
      </c>
      <c r="BD57" s="256">
        <f t="shared" si="10"/>
        <v>0</v>
      </c>
      <c r="BE57" s="256">
        <f>流动负总!BE19</f>
        <v>0</v>
      </c>
      <c r="BF57" s="256">
        <f>流动负总!BF19</f>
        <v>0</v>
      </c>
      <c r="BG57" s="256">
        <f t="shared" si="11"/>
        <v>0</v>
      </c>
      <c r="BH57" s="256">
        <f t="shared" si="12"/>
        <v>0</v>
      </c>
      <c r="BJ57" s="256">
        <f>流动负总!BJ19</f>
        <v>0</v>
      </c>
      <c r="BK57" s="256">
        <f>流动负总!BK19</f>
        <v>0</v>
      </c>
      <c r="BL57" s="256">
        <f>流动负总!BL19</f>
        <v>0</v>
      </c>
      <c r="BM57" s="256">
        <f t="shared" si="13"/>
        <v>0</v>
      </c>
      <c r="BN57" s="256">
        <f>流动负总!BN19</f>
        <v>0</v>
      </c>
      <c r="BO57" s="256">
        <f>流动负总!BO19</f>
        <v>0</v>
      </c>
      <c r="BP57" s="256">
        <f>流动负总!BP19</f>
        <v>0</v>
      </c>
      <c r="BQ57" s="256">
        <f t="shared" si="14"/>
        <v>0</v>
      </c>
      <c r="BS57" s="141" t="str">
        <f t="shared" si="33"/>
        <v>无增减值</v>
      </c>
      <c r="BT57" s="178">
        <f t="shared" si="16"/>
        <v>0</v>
      </c>
      <c r="BU57" s="178">
        <f t="shared" si="34"/>
        <v>0</v>
      </c>
      <c r="BV57" s="1420" t="str">
        <f t="shared" si="25"/>
        <v>无增减值</v>
      </c>
      <c r="BW57" s="259"/>
      <c r="BX57" s="139" t="str">
        <f>一年到期负!BX14</f>
        <v/>
      </c>
      <c r="BY57" s="139" t="s">
        <v>1578</v>
      </c>
      <c r="BZ57" s="139" t="str">
        <f t="shared" si="17"/>
        <v/>
      </c>
      <c r="CA57" s="259"/>
      <c r="CC57" s="1425"/>
      <c r="CD57" s="1426"/>
      <c r="CE57" s="228"/>
      <c r="CF57" s="228"/>
    </row>
    <row r="58" ht="14.7" customHeight="1" spans="1:88">
      <c r="A58" s="1424">
        <f>SUBTOTAL(103,$B$7:B58)</f>
        <v>52</v>
      </c>
      <c r="B58" s="1417" t="str">
        <f>流动负总!B20</f>
        <v>其他流动负债</v>
      </c>
      <c r="C58" s="958">
        <f>流动负总!C20</f>
        <v>0</v>
      </c>
      <c r="D58" s="958">
        <f>流动负总!D20</f>
        <v>0</v>
      </c>
      <c r="E58" s="958">
        <f>流动负总!E20</f>
        <v>0</v>
      </c>
      <c r="F58" s="958">
        <f t="shared" si="37"/>
        <v>0</v>
      </c>
      <c r="G58" s="958" t="str">
        <f t="shared" si="38"/>
        <v/>
      </c>
      <c r="H58" s="1418">
        <f>SUM(SUMIF('资负表（未审）-旧'!A$7:A$35,B58,'资负表（未审）-旧'!D$7:D$35),SUMIF('资负表（未审）-旧'!F$7:F$27,B58,'资负表（未审）-旧'!I$7:I$27),SUMIF('资负表（未审）-新'!A$7:A$39,B58,'资负表（未审）-新'!D$7:D$39),SUMIF('资负表（未审）-新'!F$7:F$29,B58,'资负表（未审）-新'!I$7:I$29))</f>
        <v>0</v>
      </c>
      <c r="I58" s="1418">
        <f t="shared" si="39"/>
        <v>0</v>
      </c>
      <c r="J58" s="1419">
        <f>SUM(SUMIF('资负表（已审）-旧'!A$7:A$35,B58,'资负表（已审）-旧'!D$7:D$35),SUMIF('资负表（已审）-旧'!F$7:F$27,B58,'资负表（已审）-旧'!I$7:I$27),SUMIF('资负表（已审）-新'!A$7:A$39,B58,'资负表（已审）-新'!D$7:D$39),SUMIF('资负表（已审）-新'!F$7:F$29,B58,'资负表（已审）-新'!I$7:I$29))</f>
        <v>0</v>
      </c>
      <c r="K58" s="1419">
        <f t="shared" si="40"/>
        <v>0</v>
      </c>
      <c r="L58" s="254" t="s">
        <v>341</v>
      </c>
      <c r="BA58" s="256">
        <f>流动负总!BA20</f>
        <v>0</v>
      </c>
      <c r="BB58" s="256">
        <f>流动负总!BB20</f>
        <v>0</v>
      </c>
      <c r="BC58" s="256">
        <f t="shared" si="9"/>
        <v>0</v>
      </c>
      <c r="BD58" s="256">
        <f t="shared" si="10"/>
        <v>0</v>
      </c>
      <c r="BE58" s="256">
        <f>流动负总!BE20</f>
        <v>0</v>
      </c>
      <c r="BF58" s="256">
        <f>流动负总!BF20</f>
        <v>0</v>
      </c>
      <c r="BG58" s="256">
        <f t="shared" si="11"/>
        <v>0</v>
      </c>
      <c r="BH58" s="256">
        <f t="shared" si="12"/>
        <v>0</v>
      </c>
      <c r="BJ58" s="256">
        <f>流动负总!BJ20</f>
        <v>0</v>
      </c>
      <c r="BK58" s="256">
        <f>流动负总!BK20</f>
        <v>0</v>
      </c>
      <c r="BL58" s="256">
        <f>流动负总!BL20</f>
        <v>0</v>
      </c>
      <c r="BM58" s="256">
        <f t="shared" si="13"/>
        <v>0</v>
      </c>
      <c r="BN58" s="256">
        <f>流动负总!BN20</f>
        <v>0</v>
      </c>
      <c r="BO58" s="256">
        <f>流动负总!BO20</f>
        <v>0</v>
      </c>
      <c r="BP58" s="256">
        <f>流动负总!BP20</f>
        <v>0</v>
      </c>
      <c r="BQ58" s="256">
        <f t="shared" si="14"/>
        <v>0</v>
      </c>
      <c r="BS58" s="141" t="str">
        <f t="shared" si="33"/>
        <v>无增减值</v>
      </c>
      <c r="BT58" s="178">
        <f t="shared" si="16"/>
        <v>0</v>
      </c>
      <c r="BU58" s="178">
        <f t="shared" si="34"/>
        <v>0</v>
      </c>
      <c r="BV58" s="1420" t="str">
        <f t="shared" si="25"/>
        <v>无增减值</v>
      </c>
      <c r="BW58" s="259"/>
      <c r="BX58" s="139" t="str">
        <f>其他流负!BX14</f>
        <v/>
      </c>
      <c r="BY58" s="139" t="s">
        <v>1579</v>
      </c>
      <c r="BZ58" s="139" t="str">
        <f t="shared" si="17"/>
        <v/>
      </c>
      <c r="CA58" s="259"/>
      <c r="CC58" s="1425"/>
      <c r="CD58" s="1426"/>
      <c r="CE58" s="228"/>
      <c r="CF58" s="228"/>
    </row>
    <row r="59" s="271" customFormat="1" ht="14.7" customHeight="1" spans="1:88">
      <c r="A59" s="1403">
        <f>SUBTOTAL(103,$B$7:B59)</f>
        <v>53</v>
      </c>
      <c r="B59" s="1408" t="s">
        <v>1586</v>
      </c>
      <c r="C59" s="1409">
        <f>SUM(C60:C67)</f>
        <v>0</v>
      </c>
      <c r="D59" s="1409">
        <f>SUM(D60:D67)</f>
        <v>0</v>
      </c>
      <c r="E59" s="1409">
        <f>SUM(E60:E67)</f>
        <v>0</v>
      </c>
      <c r="F59" s="1409">
        <f t="shared" si="37"/>
        <v>0</v>
      </c>
      <c r="G59" s="1409" t="str">
        <f t="shared" si="38"/>
        <v/>
      </c>
      <c r="H59" s="1410">
        <f>SUM(H60:H67)</f>
        <v>0</v>
      </c>
      <c r="I59" s="1410">
        <f t="shared" si="39"/>
        <v>0</v>
      </c>
      <c r="J59" s="1411">
        <f>SUM(J60:J67)</f>
        <v>0</v>
      </c>
      <c r="K59" s="1411">
        <f t="shared" si="40"/>
        <v>0</v>
      </c>
      <c r="L59" s="287" t="s">
        <v>341</v>
      </c>
      <c r="BA59" s="266">
        <f t="shared" ref="BA59:BH59" si="45">SUM(BA60:BA67)</f>
        <v>0</v>
      </c>
      <c r="BB59" s="266">
        <f t="shared" si="45"/>
        <v>0</v>
      </c>
      <c r="BC59" s="266">
        <f t="shared" si="45"/>
        <v>0</v>
      </c>
      <c r="BD59" s="266">
        <f t="shared" si="45"/>
        <v>0</v>
      </c>
      <c r="BE59" s="266">
        <f t="shared" si="45"/>
        <v>0</v>
      </c>
      <c r="BF59" s="266">
        <f t="shared" si="45"/>
        <v>0</v>
      </c>
      <c r="BG59" s="266">
        <f t="shared" si="45"/>
        <v>0</v>
      </c>
      <c r="BH59" s="266">
        <f t="shared" si="45"/>
        <v>0</v>
      </c>
      <c r="BI59" s="1377"/>
      <c r="BJ59" s="266">
        <f t="shared" ref="BJ59:BQ59" si="46">SUM(BJ60:BJ67)</f>
        <v>0</v>
      </c>
      <c r="BK59" s="266">
        <f t="shared" si="46"/>
        <v>0</v>
      </c>
      <c r="BL59" s="266">
        <f t="shared" si="46"/>
        <v>0</v>
      </c>
      <c r="BM59" s="266">
        <f t="shared" si="46"/>
        <v>0</v>
      </c>
      <c r="BN59" s="266">
        <f t="shared" si="46"/>
        <v>0</v>
      </c>
      <c r="BO59" s="266">
        <f t="shared" si="46"/>
        <v>0</v>
      </c>
      <c r="BP59" s="266">
        <f t="shared" si="46"/>
        <v>0</v>
      </c>
      <c r="BQ59" s="266">
        <f t="shared" si="46"/>
        <v>0</v>
      </c>
      <c r="BS59" s="263" t="str">
        <f t="shared" si="33"/>
        <v>无增减值</v>
      </c>
      <c r="BT59" s="1412">
        <f t="shared" si="16"/>
        <v>0</v>
      </c>
      <c r="BU59" s="1412">
        <f t="shared" si="34"/>
        <v>0</v>
      </c>
      <c r="BV59" s="1421" t="str">
        <f t="shared" si="25"/>
        <v>无增减值</v>
      </c>
      <c r="BW59" s="992"/>
      <c r="BX59" s="139"/>
      <c r="BY59" s="139"/>
      <c r="BZ59" s="139" t="str">
        <f t="shared" si="17"/>
        <v/>
      </c>
      <c r="CA59" s="992"/>
      <c r="CB59" s="247"/>
      <c r="CC59" s="1422"/>
      <c r="CD59" s="1423"/>
      <c r="CE59" s="268"/>
      <c r="CF59" s="268"/>
      <c r="CG59" s="268"/>
      <c r="CH59" s="247"/>
      <c r="CI59" s="247"/>
      <c r="CJ59" s="73"/>
    </row>
    <row r="60" ht="14.7" customHeight="1" spans="1:88">
      <c r="A60" s="1424">
        <f>SUBTOTAL(103,$B$7:B60)</f>
        <v>54</v>
      </c>
      <c r="B60" s="1417" t="str">
        <f>非流动负总!B7</f>
        <v>长期借款</v>
      </c>
      <c r="C60" s="958">
        <f>非流动负总!C7</f>
        <v>0</v>
      </c>
      <c r="D60" s="958">
        <f>非流动负总!D7</f>
        <v>0</v>
      </c>
      <c r="E60" s="958">
        <f>非流动负总!E7</f>
        <v>0</v>
      </c>
      <c r="F60" s="958">
        <f t="shared" si="37"/>
        <v>0</v>
      </c>
      <c r="G60" s="958" t="str">
        <f t="shared" si="38"/>
        <v/>
      </c>
      <c r="H60" s="1418">
        <f>SUM(SUMIF('资负表（未审）-旧'!A$7:A$35,B60,'资负表（未审）-旧'!D$7:D$35),SUMIF('资负表（未审）-旧'!F$7:F$27,B60,'资负表（未审）-旧'!I$7:I$27),SUMIF('资负表（未审）-新'!A$7:A$39,B60,'资负表（未审）-新'!D$7:D$39),SUMIF('资负表（未审）-新'!F$7:F$29,B60,'资负表（未审）-新'!I$7:I$29))</f>
        <v>0</v>
      </c>
      <c r="I60" s="1418">
        <f t="shared" si="39"/>
        <v>0</v>
      </c>
      <c r="J60" s="1419">
        <f>SUM(SUMIF('资负表（已审）-旧'!A$7:A$35,B60,'资负表（已审）-旧'!D$7:D$35),SUMIF('资负表（已审）-旧'!F$7:F$27,B60,'资负表（已审）-旧'!I$7:I$27),SUMIF('资负表（已审）-新'!A$7:A$39,B60,'资负表（已审）-新'!D$7:D$39),SUMIF('资负表（已审）-新'!F$7:F$29,B60,'资负表（已审）-新'!I$7:I$29))</f>
        <v>0</v>
      </c>
      <c r="K60" s="1419">
        <f t="shared" si="40"/>
        <v>0</v>
      </c>
      <c r="L60" s="254" t="s">
        <v>341</v>
      </c>
      <c r="BA60" s="256">
        <f>非流动负总!BA7</f>
        <v>0</v>
      </c>
      <c r="BB60" s="256">
        <f>非流动负总!BB7</f>
        <v>0</v>
      </c>
      <c r="BC60" s="256">
        <f t="shared" si="9"/>
        <v>0</v>
      </c>
      <c r="BD60" s="256">
        <f t="shared" si="10"/>
        <v>0</v>
      </c>
      <c r="BE60" s="256">
        <f>非流动负总!BE7</f>
        <v>0</v>
      </c>
      <c r="BF60" s="256">
        <f>非流动负总!BF7</f>
        <v>0</v>
      </c>
      <c r="BG60" s="256">
        <f t="shared" si="11"/>
        <v>0</v>
      </c>
      <c r="BH60" s="256">
        <f t="shared" si="12"/>
        <v>0</v>
      </c>
      <c r="BJ60" s="256">
        <f>非流动负总!BJ7</f>
        <v>0</v>
      </c>
      <c r="BK60" s="256">
        <f>非流动负总!BK7</f>
        <v>0</v>
      </c>
      <c r="BL60" s="256">
        <f>非流动负总!BL7</f>
        <v>0</v>
      </c>
      <c r="BM60" s="256">
        <f t="shared" si="13"/>
        <v>0</v>
      </c>
      <c r="BN60" s="256">
        <f>非流动负总!BN7</f>
        <v>0</v>
      </c>
      <c r="BO60" s="256">
        <f>非流动负总!BO7</f>
        <v>0</v>
      </c>
      <c r="BP60" s="256">
        <f>非流动负总!BP7</f>
        <v>0</v>
      </c>
      <c r="BQ60" s="256">
        <f t="shared" si="14"/>
        <v>0</v>
      </c>
      <c r="BS60" s="141" t="str">
        <f t="shared" si="33"/>
        <v>无增减值</v>
      </c>
      <c r="BT60" s="178">
        <f t="shared" si="16"/>
        <v>0</v>
      </c>
      <c r="BU60" s="178">
        <f t="shared" si="34"/>
        <v>0</v>
      </c>
      <c r="BV60" s="1420" t="str">
        <f t="shared" si="25"/>
        <v>无增减值</v>
      </c>
      <c r="BW60" s="259"/>
      <c r="BX60" s="139" t="str">
        <f>长期借款!BX14</f>
        <v/>
      </c>
      <c r="BY60" s="139" t="s">
        <v>1585</v>
      </c>
      <c r="BZ60" s="139" t="str">
        <f t="shared" si="17"/>
        <v/>
      </c>
      <c r="CA60" s="259"/>
      <c r="CC60" s="1425"/>
      <c r="CD60" s="1426"/>
      <c r="CE60" s="228"/>
      <c r="CF60" s="228"/>
    </row>
    <row r="61" ht="14.7" customHeight="1" spans="1:88">
      <c r="A61" s="1424">
        <f>SUBTOTAL(103,$B$7:B61)</f>
        <v>55</v>
      </c>
      <c r="B61" s="1417" t="str">
        <f>非流动负总!B8</f>
        <v>应付债券</v>
      </c>
      <c r="C61" s="958">
        <f>非流动负总!C8</f>
        <v>0</v>
      </c>
      <c r="D61" s="958">
        <f>非流动负总!D8</f>
        <v>0</v>
      </c>
      <c r="E61" s="958">
        <f>非流动负总!E8</f>
        <v>0</v>
      </c>
      <c r="F61" s="958">
        <f t="shared" si="37"/>
        <v>0</v>
      </c>
      <c r="G61" s="958" t="str">
        <f t="shared" si="38"/>
        <v/>
      </c>
      <c r="H61" s="1418">
        <f>SUM(SUMIF('资负表（未审）-旧'!A$7:A$35,B61,'资负表（未审）-旧'!D$7:D$35),SUMIF('资负表（未审）-旧'!F$7:F$27,B61,'资负表（未审）-旧'!I$7:I$27),SUMIF('资负表（未审）-新'!A$7:A$39,B61,'资负表（未审）-新'!D$7:D$39),SUMIF('资负表（未审）-新'!F$7:F$29,B61,'资负表（未审）-新'!I$7:I$29))</f>
        <v>0</v>
      </c>
      <c r="I61" s="1418">
        <f t="shared" si="39"/>
        <v>0</v>
      </c>
      <c r="J61" s="1419">
        <f>SUM(SUMIF('资负表（已审）-旧'!A$7:A$35,B61,'资负表（已审）-旧'!D$7:D$35),SUMIF('资负表（已审）-旧'!F$7:F$27,B61,'资负表（已审）-旧'!I$7:I$27),SUMIF('资负表（已审）-新'!A$7:A$39,B61,'资负表（已审）-新'!D$7:D$39),SUMIF('资负表（已审）-新'!F$7:F$29,B61,'资负表（已审）-新'!I$7:I$29))</f>
        <v>0</v>
      </c>
      <c r="K61" s="1419">
        <f t="shared" si="40"/>
        <v>0</v>
      </c>
      <c r="L61" s="254" t="s">
        <v>341</v>
      </c>
      <c r="BA61" s="256">
        <f>非流动负总!BA8</f>
        <v>0</v>
      </c>
      <c r="BB61" s="256">
        <f>非流动负总!BB8</f>
        <v>0</v>
      </c>
      <c r="BC61" s="256">
        <f t="shared" si="9"/>
        <v>0</v>
      </c>
      <c r="BD61" s="256">
        <f t="shared" si="10"/>
        <v>0</v>
      </c>
      <c r="BE61" s="256">
        <f>非流动负总!BE8</f>
        <v>0</v>
      </c>
      <c r="BF61" s="256">
        <f>非流动负总!BF8</f>
        <v>0</v>
      </c>
      <c r="BG61" s="256">
        <f t="shared" si="11"/>
        <v>0</v>
      </c>
      <c r="BH61" s="256">
        <f t="shared" si="12"/>
        <v>0</v>
      </c>
      <c r="BJ61" s="256">
        <f>非流动负总!BJ8</f>
        <v>0</v>
      </c>
      <c r="BK61" s="256">
        <f>非流动负总!BK8</f>
        <v>0</v>
      </c>
      <c r="BL61" s="256">
        <f>非流动负总!BL8</f>
        <v>0</v>
      </c>
      <c r="BM61" s="256">
        <f t="shared" si="13"/>
        <v>0</v>
      </c>
      <c r="BN61" s="256">
        <f>非流动负总!BN8</f>
        <v>0</v>
      </c>
      <c r="BO61" s="256">
        <f>非流动负总!BO8</f>
        <v>0</v>
      </c>
      <c r="BP61" s="256">
        <f>非流动负总!BP8</f>
        <v>0</v>
      </c>
      <c r="BQ61" s="256">
        <f t="shared" si="14"/>
        <v>0</v>
      </c>
      <c r="BS61" s="141" t="str">
        <f t="shared" si="33"/>
        <v>无增减值</v>
      </c>
      <c r="BT61" s="178">
        <f t="shared" si="16"/>
        <v>0</v>
      </c>
      <c r="BU61" s="178">
        <f t="shared" si="34"/>
        <v>0</v>
      </c>
      <c r="BV61" s="1420" t="str">
        <f t="shared" si="25"/>
        <v>无增减值</v>
      </c>
      <c r="BW61" s="259"/>
      <c r="BX61" s="139" t="str">
        <f>应付债券!BY14</f>
        <v/>
      </c>
      <c r="BY61" s="139" t="s">
        <v>1587</v>
      </c>
      <c r="BZ61" s="139" t="str">
        <f t="shared" si="17"/>
        <v/>
      </c>
      <c r="CA61" s="259"/>
      <c r="CC61" s="1425"/>
      <c r="CD61" s="1426"/>
      <c r="CE61" s="228"/>
      <c r="CF61" s="228"/>
    </row>
    <row r="62" ht="14.7" customHeight="1" spans="1:88">
      <c r="A62" s="1424">
        <f>SUBTOTAL(103,$B$7:B62)</f>
        <v>56</v>
      </c>
      <c r="B62" s="1417" t="str">
        <f>非流动负总!B9</f>
        <v>租赁负债</v>
      </c>
      <c r="C62" s="958">
        <f>非流动负总!C9</f>
        <v>0</v>
      </c>
      <c r="D62" s="958">
        <f>非流动负总!D9</f>
        <v>0</v>
      </c>
      <c r="E62" s="958">
        <f>非流动负总!E9</f>
        <v>0</v>
      </c>
      <c r="F62" s="958">
        <f t="shared" si="37"/>
        <v>0</v>
      </c>
      <c r="G62" s="958" t="str">
        <f t="shared" si="38"/>
        <v/>
      </c>
      <c r="H62" s="1418">
        <f>SUM(SUMIF('资负表（未审）-旧'!A$7:A$35,B62,'资负表（未审）-旧'!D$7:D$35),SUMIF('资负表（未审）-旧'!F$7:F$27,B62,'资负表（未审）-旧'!I$7:I$27),SUMIF('资负表（未审）-新'!A$7:A$39,B62,'资负表（未审）-新'!D$7:D$39),SUMIF('资负表（未审）-新'!F$7:F$29,B62,'资负表（未审）-新'!I$7:I$29))</f>
        <v>0</v>
      </c>
      <c r="I62" s="1418">
        <f t="shared" si="39"/>
        <v>0</v>
      </c>
      <c r="J62" s="1419">
        <f>SUM(SUMIF('资负表（已审）-旧'!A$7:A$35,B62,'资负表（已审）-旧'!D$7:D$35),SUMIF('资负表（已审）-旧'!F$7:F$27,B62,'资负表（已审）-旧'!I$7:I$27),SUMIF('资负表（已审）-新'!A$7:A$39,B62,'资负表（已审）-新'!D$7:D$39),SUMIF('资负表（已审）-新'!F$7:F$29,B62,'资负表（已审）-新'!I$7:I$29))</f>
        <v>0</v>
      </c>
      <c r="K62" s="1419">
        <f t="shared" si="40"/>
        <v>0</v>
      </c>
      <c r="L62" s="254" t="s">
        <v>1576</v>
      </c>
      <c r="BA62" s="256">
        <f>非流动负总!BA9</f>
        <v>0</v>
      </c>
      <c r="BB62" s="256">
        <f>非流动负总!BB9</f>
        <v>0</v>
      </c>
      <c r="BC62" s="256">
        <f t="shared" si="9"/>
        <v>0</v>
      </c>
      <c r="BD62" s="256">
        <f t="shared" si="10"/>
        <v>0</v>
      </c>
      <c r="BE62" s="256">
        <f>非流动负总!BE9</f>
        <v>0</v>
      </c>
      <c r="BF62" s="256">
        <f>非流动负总!BF9</f>
        <v>0</v>
      </c>
      <c r="BG62" s="256">
        <f t="shared" si="11"/>
        <v>0</v>
      </c>
      <c r="BH62" s="256">
        <f t="shared" si="12"/>
        <v>0</v>
      </c>
      <c r="BJ62" s="256">
        <f>非流动负总!BJ9</f>
        <v>0</v>
      </c>
      <c r="BK62" s="256">
        <f>非流动负总!BK9</f>
        <v>0</v>
      </c>
      <c r="BL62" s="256">
        <f>非流动负总!BL9</f>
        <v>0</v>
      </c>
      <c r="BM62" s="256">
        <f t="shared" si="13"/>
        <v>0</v>
      </c>
      <c r="BN62" s="256">
        <f>非流动负总!BN9</f>
        <v>0</v>
      </c>
      <c r="BO62" s="256">
        <f>非流动负总!BO9</f>
        <v>0</v>
      </c>
      <c r="BP62" s="256">
        <f>非流动负总!BP9</f>
        <v>0</v>
      </c>
      <c r="BQ62" s="256">
        <f t="shared" si="14"/>
        <v>0</v>
      </c>
      <c r="BS62" s="141" t="str">
        <f t="shared" si="33"/>
        <v>无增减值</v>
      </c>
      <c r="BT62" s="178">
        <f t="shared" si="16"/>
        <v>0</v>
      </c>
      <c r="BU62" s="178">
        <f t="shared" si="34"/>
        <v>0</v>
      </c>
      <c r="BV62" s="1420" t="str">
        <f t="shared" si="25"/>
        <v>无增减值</v>
      </c>
      <c r="BW62" s="259"/>
      <c r="BX62" s="139" t="str">
        <f>租赁负!BX14</f>
        <v/>
      </c>
      <c r="BY62" s="139" t="s">
        <v>1588</v>
      </c>
      <c r="BZ62" s="139" t="str">
        <f t="shared" si="17"/>
        <v/>
      </c>
      <c r="CA62" s="259"/>
      <c r="CC62" s="1425"/>
      <c r="CD62" s="1426"/>
      <c r="CE62" s="228"/>
      <c r="CF62" s="228"/>
    </row>
    <row r="63" ht="14.7" customHeight="1" spans="1:88">
      <c r="A63" s="1424">
        <f>SUBTOTAL(103,$B$7:B63)</f>
        <v>57</v>
      </c>
      <c r="B63" s="1417" t="str">
        <f>非流动负总!B10</f>
        <v>长期应付款</v>
      </c>
      <c r="C63" s="958">
        <f>非流动负总!C10</f>
        <v>0</v>
      </c>
      <c r="D63" s="958">
        <f>非流动负总!D10</f>
        <v>0</v>
      </c>
      <c r="E63" s="958">
        <f>非流动负总!E10</f>
        <v>0</v>
      </c>
      <c r="F63" s="958">
        <f t="shared" si="37"/>
        <v>0</v>
      </c>
      <c r="G63" s="958" t="str">
        <f t="shared" si="38"/>
        <v/>
      </c>
      <c r="H63" s="1418">
        <f>SUM(SUMIF('资负表（未审）-旧'!A$7:A$35,B63,'资负表（未审）-旧'!D$7:D$35),SUMIF('资负表（未审）-旧'!F$7:F$27,B63,'资负表（未审）-旧'!I$7:I$27),SUMIF('资负表（未审）-新'!A$7:A$39,B63,'资负表（未审）-新'!D$7:D$39),SUMIF('资负表（未审）-新'!F$7:F$29,B63,'资负表（未审）-新'!I$7:I$29))</f>
        <v>0</v>
      </c>
      <c r="I63" s="1418">
        <f t="shared" si="39"/>
        <v>0</v>
      </c>
      <c r="J63" s="1419">
        <f>SUM(SUMIF('资负表（已审）-旧'!A$7:A$35,B63,'资负表（已审）-旧'!D$7:D$35),SUMIF('资负表（已审）-旧'!F$7:F$27,B63,'资负表（已审）-旧'!I$7:I$27),SUMIF('资负表（已审）-新'!A$7:A$39,B63,'资负表（已审）-新'!D$7:D$39),SUMIF('资负表（已审）-新'!F$7:F$29,B63,'资负表（已审）-新'!I$7:I$29))</f>
        <v>0</v>
      </c>
      <c r="K63" s="1419">
        <f t="shared" si="40"/>
        <v>0</v>
      </c>
      <c r="L63" s="254" t="s">
        <v>341</v>
      </c>
      <c r="BA63" s="256">
        <f>非流动负总!BA10</f>
        <v>0</v>
      </c>
      <c r="BB63" s="256">
        <f>非流动负总!BB10</f>
        <v>0</v>
      </c>
      <c r="BC63" s="256">
        <f t="shared" si="9"/>
        <v>0</v>
      </c>
      <c r="BD63" s="256">
        <f t="shared" si="10"/>
        <v>0</v>
      </c>
      <c r="BE63" s="256">
        <f>非流动负总!BE10</f>
        <v>0</v>
      </c>
      <c r="BF63" s="256">
        <f>非流动负总!BF10</f>
        <v>0</v>
      </c>
      <c r="BG63" s="256">
        <f t="shared" si="11"/>
        <v>0</v>
      </c>
      <c r="BH63" s="256">
        <f t="shared" si="12"/>
        <v>0</v>
      </c>
      <c r="BJ63" s="256">
        <f>非流动负总!BJ10</f>
        <v>0</v>
      </c>
      <c r="BK63" s="256">
        <f>非流动负总!BK10</f>
        <v>0</v>
      </c>
      <c r="BL63" s="256">
        <f>非流动负总!BL10</f>
        <v>0</v>
      </c>
      <c r="BM63" s="256">
        <f t="shared" si="13"/>
        <v>0</v>
      </c>
      <c r="BN63" s="256">
        <f>非流动负总!BN10</f>
        <v>0</v>
      </c>
      <c r="BO63" s="256">
        <f>非流动负总!BO10</f>
        <v>0</v>
      </c>
      <c r="BP63" s="256">
        <f>非流动负总!BP10</f>
        <v>0</v>
      </c>
      <c r="BQ63" s="256">
        <f t="shared" si="14"/>
        <v>0</v>
      </c>
      <c r="BS63" s="141" t="str">
        <f t="shared" si="33"/>
        <v>无增减值</v>
      </c>
      <c r="BT63" s="178">
        <f t="shared" si="16"/>
        <v>0</v>
      </c>
      <c r="BU63" s="178">
        <f t="shared" si="34"/>
        <v>0</v>
      </c>
      <c r="BV63" s="1420" t="str">
        <f t="shared" si="25"/>
        <v>无增减值</v>
      </c>
      <c r="BW63" s="259"/>
      <c r="BX63" s="139" t="str">
        <f>长期应付!BX15</f>
        <v/>
      </c>
      <c r="BY63" s="139" t="s">
        <v>1578</v>
      </c>
      <c r="BZ63" s="139" t="str">
        <f t="shared" si="17"/>
        <v/>
      </c>
      <c r="CA63" s="259"/>
      <c r="CC63" s="1425"/>
      <c r="CD63" s="1426"/>
      <c r="CE63" s="228"/>
      <c r="CF63" s="228"/>
    </row>
    <row r="64" ht="14.7" customHeight="1" spans="1:88">
      <c r="A64" s="1424">
        <f>SUBTOTAL(103,$B$7:B64)</f>
        <v>58</v>
      </c>
      <c r="B64" s="1417" t="str">
        <f>非流动负总!B11</f>
        <v>预计负债</v>
      </c>
      <c r="C64" s="958">
        <f>非流动负总!C11</f>
        <v>0</v>
      </c>
      <c r="D64" s="958">
        <f>非流动负总!D11</f>
        <v>0</v>
      </c>
      <c r="E64" s="958">
        <f>非流动负总!E11</f>
        <v>0</v>
      </c>
      <c r="F64" s="958">
        <f t="shared" si="37"/>
        <v>0</v>
      </c>
      <c r="G64" s="958" t="str">
        <f t="shared" si="38"/>
        <v/>
      </c>
      <c r="H64" s="1418">
        <f>SUM(SUMIF('资负表（未审）-旧'!A$7:A$35,B64,'资负表（未审）-旧'!D$7:D$35),SUMIF('资负表（未审）-旧'!F$7:F$27,B64,'资负表（未审）-旧'!I$7:I$27),SUMIF('资负表（未审）-新'!A$7:A$39,B64,'资负表（未审）-新'!D$7:D$39),SUMIF('资负表（未审）-新'!F$7:F$29,B64,'资负表（未审）-新'!I$7:I$29))</f>
        <v>0</v>
      </c>
      <c r="I64" s="1418">
        <f t="shared" si="39"/>
        <v>0</v>
      </c>
      <c r="J64" s="1419">
        <f>SUM(SUMIF('资负表（已审）-旧'!A$7:A$35,B64,'资负表（已审）-旧'!D$7:D$35),SUMIF('资负表（已审）-旧'!F$7:F$27,B64,'资负表（已审）-旧'!I$7:I$27),SUMIF('资负表（已审）-新'!A$7:A$39,B64,'资负表（已审）-新'!D$7:D$39),SUMIF('资负表（已审）-新'!F$7:F$29,B64,'资负表（已审）-新'!I$7:I$29))</f>
        <v>0</v>
      </c>
      <c r="K64" s="1419">
        <f t="shared" si="40"/>
        <v>0</v>
      </c>
      <c r="L64" s="254" t="s">
        <v>341</v>
      </c>
      <c r="BA64" s="256">
        <f>非流动负总!BA11</f>
        <v>0</v>
      </c>
      <c r="BB64" s="256">
        <f>非流动负总!BB11</f>
        <v>0</v>
      </c>
      <c r="BC64" s="256">
        <f t="shared" si="9"/>
        <v>0</v>
      </c>
      <c r="BD64" s="256">
        <f t="shared" si="10"/>
        <v>0</v>
      </c>
      <c r="BE64" s="256">
        <f>非流动负总!BE11</f>
        <v>0</v>
      </c>
      <c r="BF64" s="256">
        <f>非流动负总!BF11</f>
        <v>0</v>
      </c>
      <c r="BG64" s="256">
        <f t="shared" si="11"/>
        <v>0</v>
      </c>
      <c r="BH64" s="256">
        <f t="shared" si="12"/>
        <v>0</v>
      </c>
      <c r="BJ64" s="256">
        <f>非流动负总!BJ11</f>
        <v>0</v>
      </c>
      <c r="BK64" s="256">
        <f>非流动负总!BK11</f>
        <v>0</v>
      </c>
      <c r="BL64" s="256">
        <f>非流动负总!BL11</f>
        <v>0</v>
      </c>
      <c r="BM64" s="256">
        <f t="shared" si="13"/>
        <v>0</v>
      </c>
      <c r="BN64" s="256">
        <f>非流动负总!BN11</f>
        <v>0</v>
      </c>
      <c r="BO64" s="256">
        <f>非流动负总!BO11</f>
        <v>0</v>
      </c>
      <c r="BP64" s="256">
        <f>非流动负总!BP11</f>
        <v>0</v>
      </c>
      <c r="BQ64" s="256">
        <f t="shared" si="14"/>
        <v>0</v>
      </c>
      <c r="BS64" s="141" t="str">
        <f t="shared" si="33"/>
        <v>无增减值</v>
      </c>
      <c r="BT64" s="178">
        <f t="shared" si="16"/>
        <v>0</v>
      </c>
      <c r="BU64" s="178">
        <f t="shared" si="34"/>
        <v>0</v>
      </c>
      <c r="BV64" s="1420" t="str">
        <f t="shared" si="25"/>
        <v>无增减值</v>
      </c>
      <c r="BW64" s="259"/>
      <c r="BX64" s="139" t="str">
        <f>预计负!BU14</f>
        <v/>
      </c>
      <c r="BY64" s="139" t="s">
        <v>1579</v>
      </c>
      <c r="BZ64" s="139" t="str">
        <f t="shared" si="17"/>
        <v/>
      </c>
      <c r="CA64" s="259"/>
      <c r="CC64" s="1425"/>
      <c r="CD64" s="1426"/>
      <c r="CE64" s="228"/>
      <c r="CF64" s="228"/>
    </row>
    <row r="65" ht="14.7" customHeight="1" spans="1:90">
      <c r="A65" s="1424">
        <f>SUBTOTAL(103,$B$7:B65)</f>
        <v>59</v>
      </c>
      <c r="B65" s="1417" t="str">
        <f>非流动负总!B12</f>
        <v>递延收益</v>
      </c>
      <c r="C65" s="958">
        <f>非流动负总!C12</f>
        <v>0</v>
      </c>
      <c r="D65" s="958">
        <f>非流动负总!D12</f>
        <v>0</v>
      </c>
      <c r="E65" s="958">
        <f>非流动负总!E12</f>
        <v>0</v>
      </c>
      <c r="F65" s="958">
        <f t="shared" si="37"/>
        <v>0</v>
      </c>
      <c r="G65" s="958" t="str">
        <f t="shared" si="38"/>
        <v/>
      </c>
      <c r="H65" s="1418">
        <f>SUM(SUMIF('资负表（未审）-旧'!A$7:A$35,B65,'资负表（未审）-旧'!D$7:D$35),SUMIF('资负表（未审）-旧'!F$7:F$27,B65,'资负表（未审）-旧'!I$7:I$27),SUMIF('资负表（未审）-新'!A$7:A$39,B65,'资负表（未审）-新'!D$7:D$39),SUMIF('资负表（未审）-新'!F$7:F$29,B65,'资负表（未审）-新'!I$7:I$29))</f>
        <v>0</v>
      </c>
      <c r="I65" s="1418">
        <f t="shared" si="39"/>
        <v>0</v>
      </c>
      <c r="J65" s="1419">
        <f>SUM(SUMIF('资负表（已审）-旧'!A$7:A$35,B65,'资负表（已审）-旧'!D$7:D$35),SUMIF('资负表（已审）-旧'!F$7:F$27,B65,'资负表（已审）-旧'!I$7:I$27),SUMIF('资负表（已审）-新'!A$7:A$39,B65,'资负表（已审）-新'!D$7:D$39),SUMIF('资负表（已审）-新'!F$7:F$29,B65,'资负表（已审）-新'!I$7:I$29))</f>
        <v>0</v>
      </c>
      <c r="K65" s="1419">
        <f t="shared" si="40"/>
        <v>0</v>
      </c>
      <c r="L65" s="254" t="s">
        <v>341</v>
      </c>
      <c r="BA65" s="256">
        <f>非流动负总!BA12</f>
        <v>0</v>
      </c>
      <c r="BB65" s="256">
        <f>非流动负总!BB12</f>
        <v>0</v>
      </c>
      <c r="BC65" s="256">
        <f t="shared" si="9"/>
        <v>0</v>
      </c>
      <c r="BD65" s="256">
        <f t="shared" si="10"/>
        <v>0</v>
      </c>
      <c r="BE65" s="256">
        <f>非流动负总!BE12</f>
        <v>0</v>
      </c>
      <c r="BF65" s="256">
        <f>非流动负总!BF12</f>
        <v>0</v>
      </c>
      <c r="BG65" s="256">
        <f t="shared" si="11"/>
        <v>0</v>
      </c>
      <c r="BH65" s="256">
        <f t="shared" si="12"/>
        <v>0</v>
      </c>
      <c r="BJ65" s="256">
        <f>非流动负总!BJ12</f>
        <v>0</v>
      </c>
      <c r="BK65" s="256">
        <f>非流动负总!BK12</f>
        <v>0</v>
      </c>
      <c r="BL65" s="256">
        <f>非流动负总!BL12</f>
        <v>0</v>
      </c>
      <c r="BM65" s="256">
        <f t="shared" si="13"/>
        <v>0</v>
      </c>
      <c r="BN65" s="256">
        <f>非流动负总!BN12</f>
        <v>0</v>
      </c>
      <c r="BO65" s="256">
        <f>非流动负总!BO12</f>
        <v>0</v>
      </c>
      <c r="BP65" s="256">
        <f>非流动负总!BP12</f>
        <v>0</v>
      </c>
      <c r="BQ65" s="256">
        <f t="shared" si="14"/>
        <v>0</v>
      </c>
      <c r="BS65" s="141" t="str">
        <f t="shared" si="33"/>
        <v>无增减值</v>
      </c>
      <c r="BT65" s="178">
        <f t="shared" si="16"/>
        <v>0</v>
      </c>
      <c r="BU65" s="178">
        <f t="shared" si="34"/>
        <v>0</v>
      </c>
      <c r="BV65" s="1420" t="str">
        <f t="shared" si="25"/>
        <v>无增减值</v>
      </c>
      <c r="BW65" s="259"/>
      <c r="BX65" s="139" t="str">
        <f>递延收益!BY14</f>
        <v/>
      </c>
      <c r="BY65" s="139" t="s">
        <v>1578</v>
      </c>
      <c r="BZ65" s="139" t="str">
        <f t="shared" si="17"/>
        <v/>
      </c>
      <c r="CA65" s="259"/>
      <c r="CC65" s="1425"/>
      <c r="CD65" s="1426"/>
      <c r="CE65" s="228"/>
      <c r="CF65" s="228"/>
    </row>
    <row r="66" ht="14.7" customHeight="1" spans="1:90">
      <c r="A66" s="1424">
        <f>SUBTOTAL(103,$B$7:B66)</f>
        <v>60</v>
      </c>
      <c r="B66" s="1417" t="str">
        <f>非流动负总!B13</f>
        <v>递延所得税负债</v>
      </c>
      <c r="C66" s="958">
        <f>非流动负总!C13</f>
        <v>0</v>
      </c>
      <c r="D66" s="958">
        <f>非流动负总!D13</f>
        <v>0</v>
      </c>
      <c r="E66" s="958">
        <f>非流动负总!E13</f>
        <v>0</v>
      </c>
      <c r="F66" s="958">
        <f t="shared" si="37"/>
        <v>0</v>
      </c>
      <c r="G66" s="958" t="str">
        <f t="shared" si="38"/>
        <v/>
      </c>
      <c r="H66" s="1418">
        <f>SUM(SUMIF('资负表（未审）-旧'!A$7:A$35,B66,'资负表（未审）-旧'!D$7:D$35),SUMIF('资负表（未审）-旧'!F$7:F$27,B66,'资负表（未审）-旧'!I$7:I$27),SUMIF('资负表（未审）-新'!A$7:A$39,B66,'资负表（未审）-新'!D$7:D$39),SUMIF('资负表（未审）-新'!F$7:F$29,B66,'资负表（未审）-新'!I$7:I$29))</f>
        <v>0</v>
      </c>
      <c r="I66" s="1418">
        <f t="shared" si="39"/>
        <v>0</v>
      </c>
      <c r="J66" s="1419">
        <f>SUM(SUMIF('资负表（已审）-旧'!A$7:A$35,B66,'资负表（已审）-旧'!D$7:D$35),SUMIF('资负表（已审）-旧'!F$7:F$27,B66,'资负表（已审）-旧'!I$7:I$27),SUMIF('资负表（已审）-新'!A$7:A$39,B66,'资负表（已审）-新'!D$7:D$39),SUMIF('资负表（已审）-新'!F$7:F$29,B66,'资负表（已审）-新'!I$7:I$29))</f>
        <v>0</v>
      </c>
      <c r="K66" s="1419">
        <f t="shared" si="40"/>
        <v>0</v>
      </c>
      <c r="L66" s="254" t="s">
        <v>341</v>
      </c>
      <c r="BA66" s="256">
        <f>非流动负总!BA13</f>
        <v>0</v>
      </c>
      <c r="BB66" s="256">
        <f>非流动负总!BB13</f>
        <v>0</v>
      </c>
      <c r="BC66" s="256">
        <f t="shared" si="9"/>
        <v>0</v>
      </c>
      <c r="BD66" s="256">
        <f t="shared" si="10"/>
        <v>0</v>
      </c>
      <c r="BE66" s="256">
        <f>非流动负总!BE13</f>
        <v>0</v>
      </c>
      <c r="BF66" s="256">
        <f>非流动负总!BF13</f>
        <v>0</v>
      </c>
      <c r="BG66" s="256">
        <f t="shared" si="11"/>
        <v>0</v>
      </c>
      <c r="BH66" s="256">
        <f t="shared" si="12"/>
        <v>0</v>
      </c>
      <c r="BJ66" s="256">
        <f>非流动负总!BJ13</f>
        <v>0</v>
      </c>
      <c r="BK66" s="256">
        <f>非流动负总!BK13</f>
        <v>0</v>
      </c>
      <c r="BL66" s="256">
        <f>非流动负总!BL13</f>
        <v>0</v>
      </c>
      <c r="BM66" s="256">
        <f t="shared" si="13"/>
        <v>0</v>
      </c>
      <c r="BN66" s="256">
        <f>非流动负总!BN13</f>
        <v>0</v>
      </c>
      <c r="BO66" s="256">
        <f>非流动负总!BO13</f>
        <v>0</v>
      </c>
      <c r="BP66" s="256">
        <f>非流动负总!BP13</f>
        <v>0</v>
      </c>
      <c r="BQ66" s="256">
        <f t="shared" si="14"/>
        <v>0</v>
      </c>
      <c r="BS66" s="141" t="str">
        <f t="shared" si="33"/>
        <v>无增减值</v>
      </c>
      <c r="BT66" s="178">
        <f t="shared" si="16"/>
        <v>0</v>
      </c>
      <c r="BU66" s="178">
        <f t="shared" si="34"/>
        <v>0</v>
      </c>
      <c r="BV66" s="1420" t="str">
        <f t="shared" si="25"/>
        <v>无增减值</v>
      </c>
      <c r="BW66" s="259"/>
      <c r="BX66" s="139" t="str">
        <f>递延负!BZ14</f>
        <v/>
      </c>
      <c r="BY66" s="139" t="s">
        <v>1579</v>
      </c>
      <c r="BZ66" s="139" t="str">
        <f t="shared" si="17"/>
        <v/>
      </c>
      <c r="CA66" s="259"/>
      <c r="CC66" s="1425"/>
      <c r="CD66" s="1426"/>
      <c r="CE66" s="228"/>
      <c r="CF66" s="228"/>
    </row>
    <row r="67" ht="14.7" customHeight="1" spans="1:90">
      <c r="A67" s="1424">
        <f>SUBTOTAL(103,$B$7:B67)</f>
        <v>61</v>
      </c>
      <c r="B67" s="1417" t="str">
        <f>非流动负总!B14</f>
        <v>其他非流动负债</v>
      </c>
      <c r="C67" s="958">
        <f>非流动负总!C14</f>
        <v>0</v>
      </c>
      <c r="D67" s="958">
        <f>非流动负总!D14</f>
        <v>0</v>
      </c>
      <c r="E67" s="958">
        <f>非流动负总!E14</f>
        <v>0</v>
      </c>
      <c r="F67" s="958">
        <f t="shared" si="37"/>
        <v>0</v>
      </c>
      <c r="G67" s="958" t="str">
        <f t="shared" si="38"/>
        <v/>
      </c>
      <c r="H67" s="1418">
        <f>SUM(SUMIF('资负表（未审）-旧'!A$7:A$35,B67,'资负表（未审）-旧'!D$7:D$35),SUMIF('资负表（未审）-旧'!F$7:F$27,B67,'资负表（未审）-旧'!I$7:I$27),SUMIF('资负表（未审）-新'!A$7:A$39,B67,'资负表（未审）-新'!D$7:D$39),SUMIF('资负表（未审）-新'!F$7:F$29,B67,'资负表（未审）-新'!I$7:I$29))</f>
        <v>0</v>
      </c>
      <c r="I67" s="1418">
        <f t="shared" si="39"/>
        <v>0</v>
      </c>
      <c r="J67" s="1419">
        <f>SUM(SUMIF('资负表（已审）-旧'!A$7:A$35,B67,'资负表（已审）-旧'!D$7:D$35),SUMIF('资负表（已审）-旧'!F$7:F$27,B67,'资负表（已审）-旧'!I$7:I$27),SUMIF('资负表（已审）-新'!A$7:A$39,B67,'资负表（已审）-新'!D$7:D$39),SUMIF('资负表（已审）-新'!F$7:F$29,B67,'资负表（已审）-新'!I$7:I$29))</f>
        <v>0</v>
      </c>
      <c r="K67" s="1419">
        <f t="shared" si="40"/>
        <v>0</v>
      </c>
      <c r="L67" s="254" t="s">
        <v>341</v>
      </c>
      <c r="BA67" s="256">
        <f>非流动负总!BA14</f>
        <v>0</v>
      </c>
      <c r="BB67" s="256">
        <f>非流动负总!BB14</f>
        <v>0</v>
      </c>
      <c r="BC67" s="256">
        <f t="shared" si="9"/>
        <v>0</v>
      </c>
      <c r="BD67" s="256">
        <f t="shared" si="10"/>
        <v>0</v>
      </c>
      <c r="BE67" s="256">
        <f>非流动负总!BE14</f>
        <v>0</v>
      </c>
      <c r="BF67" s="256">
        <f>非流动负总!BF14</f>
        <v>0</v>
      </c>
      <c r="BG67" s="256">
        <f t="shared" si="11"/>
        <v>0</v>
      </c>
      <c r="BH67" s="256">
        <f t="shared" si="12"/>
        <v>0</v>
      </c>
      <c r="BJ67" s="256">
        <f>非流动负总!BJ14</f>
        <v>0</v>
      </c>
      <c r="BK67" s="256">
        <f>非流动负总!BK14</f>
        <v>0</v>
      </c>
      <c r="BL67" s="256">
        <f>非流动负总!BL14</f>
        <v>0</v>
      </c>
      <c r="BM67" s="256">
        <f t="shared" si="13"/>
        <v>0</v>
      </c>
      <c r="BN67" s="256">
        <f>非流动负总!BN14</f>
        <v>0</v>
      </c>
      <c r="BO67" s="256">
        <f>非流动负总!BO14</f>
        <v>0</v>
      </c>
      <c r="BP67" s="256">
        <f>非流动负总!BP14</f>
        <v>0</v>
      </c>
      <c r="BQ67" s="256">
        <f t="shared" si="14"/>
        <v>0</v>
      </c>
      <c r="BS67" s="141" t="str">
        <f t="shared" si="33"/>
        <v>无增减值</v>
      </c>
      <c r="BT67" s="178">
        <f t="shared" si="16"/>
        <v>0</v>
      </c>
      <c r="BU67" s="178">
        <f t="shared" si="34"/>
        <v>0</v>
      </c>
      <c r="BV67" s="1420" t="str">
        <f t="shared" si="25"/>
        <v>无增减值</v>
      </c>
      <c r="BW67" s="259"/>
      <c r="BX67" s="139" t="str">
        <f>其他非负!BX14</f>
        <v/>
      </c>
      <c r="BY67" s="139" t="s">
        <v>1578</v>
      </c>
      <c r="BZ67" s="139" t="str">
        <f t="shared" si="17"/>
        <v/>
      </c>
      <c r="CA67" s="259"/>
      <c r="CC67" s="1425"/>
      <c r="CD67" s="1426"/>
      <c r="CE67" s="228"/>
      <c r="CF67" s="228"/>
    </row>
    <row r="68" s="271" customFormat="1" ht="14.7" customHeight="1" spans="1:90">
      <c r="A68" s="1403">
        <f>SUBTOTAL(103,$B$7:B68)</f>
        <v>62</v>
      </c>
      <c r="B68" s="1408" t="s">
        <v>1589</v>
      </c>
      <c r="C68" s="1409">
        <f>SUM(C44,C59)</f>
        <v>0</v>
      </c>
      <c r="D68" s="1409">
        <f>SUM(D44,D59)</f>
        <v>0</v>
      </c>
      <c r="E68" s="1409">
        <f>SUM(E44,E59)</f>
        <v>0</v>
      </c>
      <c r="F68" s="1409">
        <f t="shared" si="37"/>
        <v>0</v>
      </c>
      <c r="G68" s="1409" t="str">
        <f t="shared" si="38"/>
        <v/>
      </c>
      <c r="H68" s="1410">
        <f>SUM(H44,H59)</f>
        <v>0</v>
      </c>
      <c r="I68" s="1410">
        <f t="shared" si="39"/>
        <v>0</v>
      </c>
      <c r="J68" s="1411">
        <f>SUM(J44,J59)</f>
        <v>0</v>
      </c>
      <c r="K68" s="1411">
        <f t="shared" si="40"/>
        <v>0</v>
      </c>
      <c r="L68" s="287" t="s">
        <v>341</v>
      </c>
      <c r="BA68" s="266">
        <f t="shared" ref="BA68:BH68" si="47">SUM(BA44,BA59)</f>
        <v>0</v>
      </c>
      <c r="BB68" s="266">
        <f t="shared" si="47"/>
        <v>0</v>
      </c>
      <c r="BC68" s="266">
        <f t="shared" si="47"/>
        <v>0</v>
      </c>
      <c r="BD68" s="266">
        <f t="shared" si="47"/>
        <v>0</v>
      </c>
      <c r="BE68" s="266">
        <f t="shared" si="47"/>
        <v>0</v>
      </c>
      <c r="BF68" s="266">
        <f t="shared" si="47"/>
        <v>0</v>
      </c>
      <c r="BG68" s="266">
        <f t="shared" si="47"/>
        <v>0</v>
      </c>
      <c r="BH68" s="266">
        <f t="shared" si="47"/>
        <v>0</v>
      </c>
      <c r="BI68" s="1377"/>
      <c r="BJ68" s="266">
        <f t="shared" ref="BJ68:BQ68" si="48">SUM(BJ44,BJ59)</f>
        <v>0</v>
      </c>
      <c r="BK68" s="266">
        <f t="shared" si="48"/>
        <v>0</v>
      </c>
      <c r="BL68" s="266">
        <f t="shared" si="48"/>
        <v>0</v>
      </c>
      <c r="BM68" s="266">
        <f t="shared" si="48"/>
        <v>0</v>
      </c>
      <c r="BN68" s="266">
        <f t="shared" si="48"/>
        <v>0</v>
      </c>
      <c r="BO68" s="266">
        <f t="shared" si="48"/>
        <v>0</v>
      </c>
      <c r="BP68" s="266">
        <f t="shared" si="48"/>
        <v>0</v>
      </c>
      <c r="BQ68" s="266">
        <f t="shared" si="48"/>
        <v>0</v>
      </c>
      <c r="BS68" s="263" t="str">
        <f t="shared" si="33"/>
        <v>无增减值</v>
      </c>
      <c r="BT68" s="1412">
        <f t="shared" si="16"/>
        <v>0</v>
      </c>
      <c r="BU68" s="1412">
        <f t="shared" si="34"/>
        <v>0</v>
      </c>
      <c r="BV68" s="1421" t="str">
        <f t="shared" si="25"/>
        <v>无增减值</v>
      </c>
      <c r="BW68" s="992"/>
      <c r="BX68" s="139"/>
      <c r="BY68" s="139"/>
      <c r="BZ68" s="139" t="str">
        <f t="shared" ref="BZ68:BZ69" si="49">BX68&amp;BY68</f>
        <v/>
      </c>
      <c r="CA68" s="992"/>
      <c r="CB68" s="247"/>
      <c r="CC68" s="1422"/>
      <c r="CD68" s="1423"/>
      <c r="CE68" s="268"/>
      <c r="CF68" s="268"/>
      <c r="CG68" s="268"/>
      <c r="CH68" s="247"/>
      <c r="CI68" s="247"/>
      <c r="CJ68" s="73"/>
    </row>
    <row r="69" s="271" customFormat="1" ht="14.7" customHeight="1" spans="1:90">
      <c r="A69" s="1403">
        <f>SUBTOTAL(103,$B$7:B69)</f>
        <v>63</v>
      </c>
      <c r="B69" s="1408" t="s">
        <v>1590</v>
      </c>
      <c r="C69" s="1409">
        <f>C43-C68</f>
        <v>35557.52</v>
      </c>
      <c r="D69" s="1409">
        <f>D43-D68</f>
        <v>35557.52</v>
      </c>
      <c r="E69" s="1409">
        <f>E43-E68</f>
        <v>2837062.634</v>
      </c>
      <c r="F69" s="1409">
        <f t="shared" si="37"/>
        <v>2801505.114</v>
      </c>
      <c r="G69" s="1409">
        <f t="shared" si="38"/>
        <v>7878.79782954491</v>
      </c>
      <c r="H69" s="1410">
        <f>H43-H68</f>
        <v>0</v>
      </c>
      <c r="I69" s="1410">
        <f t="shared" si="39"/>
        <v>35557.52</v>
      </c>
      <c r="J69" s="1411">
        <f>J43-J68</f>
        <v>0</v>
      </c>
      <c r="K69" s="1411">
        <f t="shared" si="40"/>
        <v>35557.52</v>
      </c>
      <c r="L69" s="287" t="s">
        <v>341</v>
      </c>
      <c r="BA69" s="266">
        <f t="shared" ref="BA69:BH69" si="50">BA43-BA68</f>
        <v>35557.52</v>
      </c>
      <c r="BB69" s="266">
        <f t="shared" si="50"/>
        <v>35557.52</v>
      </c>
      <c r="BC69" s="266">
        <f t="shared" si="50"/>
        <v>0</v>
      </c>
      <c r="BD69" s="266">
        <f t="shared" si="50"/>
        <v>35557.52</v>
      </c>
      <c r="BE69" s="266">
        <f t="shared" si="50"/>
        <v>2837062.634</v>
      </c>
      <c r="BF69" s="266">
        <f t="shared" si="50"/>
        <v>2837062.634</v>
      </c>
      <c r="BG69" s="266">
        <f t="shared" si="50"/>
        <v>0</v>
      </c>
      <c r="BH69" s="266">
        <f t="shared" si="50"/>
        <v>2837062.634</v>
      </c>
      <c r="BI69" s="1377"/>
      <c r="BJ69" s="266">
        <f t="shared" ref="BJ69:BQ69" si="51">BJ43-BJ68</f>
        <v>0</v>
      </c>
      <c r="BK69" s="266">
        <f t="shared" si="51"/>
        <v>0</v>
      </c>
      <c r="BL69" s="266">
        <f t="shared" si="51"/>
        <v>0</v>
      </c>
      <c r="BM69" s="266">
        <f t="shared" si="51"/>
        <v>0</v>
      </c>
      <c r="BN69" s="266">
        <f t="shared" si="51"/>
        <v>0</v>
      </c>
      <c r="BO69" s="266">
        <f t="shared" si="51"/>
        <v>0</v>
      </c>
      <c r="BP69" s="266">
        <f t="shared" si="51"/>
        <v>0</v>
      </c>
      <c r="BQ69" s="266">
        <f t="shared" si="51"/>
        <v>0</v>
      </c>
      <c r="BS69" s="263" t="str">
        <f t="shared" si="33"/>
        <v>增值</v>
      </c>
      <c r="BT69" s="1412">
        <f t="shared" si="16"/>
        <v>280.1505114</v>
      </c>
      <c r="BU69" s="1412">
        <f t="shared" si="34"/>
        <v>7878.79782954491</v>
      </c>
      <c r="BV69" s="1421" t="str">
        <f t="shared" si="25"/>
        <v>增值280.15万元，增值率7878.80%</v>
      </c>
      <c r="BW69" s="992"/>
      <c r="BX69" s="139"/>
      <c r="BY69" s="139"/>
      <c r="BZ69" s="139" t="str">
        <f t="shared" si="49"/>
        <v/>
      </c>
      <c r="CA69" s="992"/>
      <c r="CB69" s="247"/>
      <c r="CC69" s="1422"/>
      <c r="CD69" s="1423"/>
      <c r="CE69" s="268"/>
      <c r="CF69" s="268"/>
      <c r="CG69" s="268"/>
      <c r="CH69" s="247"/>
      <c r="CI69" s="247"/>
      <c r="CJ69" s="73"/>
    </row>
    <row r="70" customHeight="1" spans="1:90">
      <c r="G70" s="1379" t="str">
        <f>'汇总-基础'!F21</f>
        <v>评估机构：北京中致成国际资产评估有限公司</v>
      </c>
      <c r="H70" s="1379"/>
      <c r="I70" s="1379"/>
    </row>
    <row r="73" s="254" customFormat="1" ht="14.25" customHeight="1" spans="1:90">
      <c r="A73" s="229"/>
      <c r="B73" s="229"/>
      <c r="C73" s="229"/>
      <c r="D73" s="229"/>
      <c r="E73" s="229"/>
      <c r="F73" s="229"/>
      <c r="G73" s="229"/>
      <c r="J73" s="229"/>
      <c r="K73" s="229"/>
      <c r="BA73" s="252"/>
      <c r="BB73" s="252"/>
      <c r="BC73" s="252"/>
      <c r="BD73" s="252"/>
      <c r="BE73" s="252"/>
      <c r="BF73" s="252"/>
      <c r="BG73" s="252"/>
      <c r="BH73" s="252"/>
      <c r="BI73" s="1368"/>
      <c r="BJ73" s="252"/>
      <c r="BK73" s="252"/>
      <c r="BL73" s="252"/>
      <c r="BM73" s="252"/>
      <c r="BN73" s="252"/>
      <c r="BO73" s="252"/>
      <c r="BP73" s="252"/>
      <c r="BQ73" s="252"/>
      <c r="BS73" s="158"/>
      <c r="BT73" s="158"/>
      <c r="BU73" s="158"/>
      <c r="BV73" s="158"/>
      <c r="BW73" s="158"/>
      <c r="BX73" s="158"/>
      <c r="BY73" s="158"/>
      <c r="BZ73" s="158"/>
      <c r="CA73" s="158"/>
      <c r="CB73" s="158"/>
      <c r="CC73" s="1389"/>
      <c r="CD73" s="1390"/>
      <c r="CE73" s="158"/>
      <c r="CF73" s="158"/>
      <c r="CG73" s="228"/>
      <c r="CH73" s="158"/>
      <c r="CI73" s="158"/>
      <c r="CJ73" s="75"/>
      <c r="CK73" s="229"/>
      <c r="CL73" s="229"/>
    </row>
    <row r="74" ht="14.25" customHeight="1" spans="1:90">
      <c r="H74" s="1427"/>
      <c r="I74" s="1427"/>
    </row>
    <row r="75" ht="14.25" customHeight="1" spans="1:90">
      <c r="H75" s="1427"/>
      <c r="I75" s="1427"/>
    </row>
    <row r="76" ht="14.25" customHeight="1" spans="1:90">
      <c r="H76" s="1427"/>
      <c r="I76" s="1427"/>
    </row>
    <row r="77" ht="14.25" customHeight="1" spans="1:90">
      <c r="H77" s="1427"/>
      <c r="I77" s="1427"/>
    </row>
    <row r="78" ht="14.25" customHeight="1" spans="1:90">
      <c r="H78" s="1427"/>
      <c r="I78" s="1427"/>
    </row>
    <row r="79" ht="14.25" customHeight="1" spans="1:90">
      <c r="H79" s="1427"/>
      <c r="I79" s="1427"/>
    </row>
    <row r="80" ht="14.25" customHeight="1" spans="1:90">
      <c r="H80" s="1427"/>
      <c r="I80" s="1427"/>
    </row>
    <row r="81" ht="14.25" customHeight="1" spans="8:9">
      <c r="H81" s="1427"/>
      <c r="I81" s="1427"/>
    </row>
    <row r="82" ht="14.25" customHeight="1" spans="8:9">
      <c r="H82" s="1427"/>
      <c r="I82" s="1427"/>
    </row>
    <row r="83" ht="14.25" customHeight="1" spans="8:9">
      <c r="H83" s="1427"/>
      <c r="I83" s="1427"/>
    </row>
    <row r="84" ht="14.25" customHeight="1" spans="8:9">
      <c r="H84" s="1427"/>
      <c r="I84" s="1427"/>
    </row>
    <row r="85" ht="14.25" customHeight="1" spans="8:9">
      <c r="H85" s="1427"/>
      <c r="I85" s="1427"/>
    </row>
    <row r="86" ht="14.25" customHeight="1" spans="8:9">
      <c r="H86" s="1427"/>
      <c r="I86" s="1427"/>
    </row>
    <row r="87" ht="14.25" customHeight="1" spans="8:9">
      <c r="H87" s="1427"/>
      <c r="I87" s="1427"/>
    </row>
    <row r="88" ht="14.25" customHeight="1" spans="8:9">
      <c r="H88" s="1427"/>
      <c r="I88" s="1427"/>
    </row>
    <row r="89" ht="14.25" customHeight="1" spans="8:9">
      <c r="H89" s="1427"/>
      <c r="I89" s="1427"/>
    </row>
    <row r="90" ht="14.25" customHeight="1" spans="8:9">
      <c r="H90" s="1427"/>
      <c r="I90" s="1427"/>
    </row>
  </sheetData>
  <sheetProtection autoFilter="0"/>
  <autoFilter xmlns:etc="http://www.wps.cn/officeDocument/2017/etCustomData" ref="A6:K70" etc:filterBottomFollowUsedRange="0">
    <extLst/>
  </autoFilter>
  <mergeCells count="9">
    <mergeCell ref="A2:G2"/>
    <mergeCell ref="A3:G3"/>
    <mergeCell ref="BA4:BH4"/>
    <mergeCell ref="BJ4:BQ4"/>
    <mergeCell ref="CI4:CL4"/>
    <mergeCell ref="BA5:BD5"/>
    <mergeCell ref="BE5:BH5"/>
    <mergeCell ref="BJ5:BM5"/>
    <mergeCell ref="BN5:BQ5"/>
  </mergeCells>
  <conditionalFormatting sqref="C8:G21 C23:G42 C45:G58 C60:G67">
    <cfRule type="expression" dxfId="3" priority="1">
      <formula>$D8+$E8=0</formula>
    </cfRule>
  </conditionalFormatting>
  <hyperlinks>
    <hyperlink ref="A1" location="索引目录!B6" display="返回索引页"/>
    <hyperlink ref="B1" location="汇总表!A1" display="返回"/>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&amp;R&amp;"宋体,常规"&amp;11共&amp;"Times New Roman,常规"&amp;N&amp;"宋体,常规"页，第&amp;"Times New Roman,常规"&amp;P&amp;"宋体,常规"页&amp;"Times New Roman,常规"</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0000"/>
  </sheetPr>
  <dimension ref="A1:CC30"/>
  <sheetViews>
    <sheetView zoomScale="90" zoomScaleNormal="90" workbookViewId="0">
      <pane xSplit="2" ySplit="7" topLeftCell="D8" activePane="bottomRight" state="frozen"/>
      <selection/>
      <selection pane="topRight"/>
      <selection pane="bottomLeft"/>
      <selection pane="bottomRight" activeCell="E45" sqref="E45"/>
    </sheetView>
  </sheetViews>
  <sheetFormatPr defaultColWidth="9" defaultRowHeight="15.75" customHeight="1"/>
  <cols>
    <col min="1" max="1" width="8.6" style="229" customWidth="1"/>
    <col min="2" max="2" width="32.6" style="229" customWidth="1"/>
    <col min="3" max="3" width="20.6" style="229" hidden="1" customWidth="1" outlineLevel="1"/>
    <col min="4" max="4" width="20.6" style="229" customWidth="1" collapsed="1"/>
    <col min="5" max="7" width="20.6" style="229" customWidth="1"/>
    <col min="8" max="9" width="4.7" style="254" hidden="1" customWidth="1" outlineLevel="1"/>
    <col min="10" max="52" width="9" style="229" hidden="1" customWidth="1" outlineLevel="1"/>
    <col min="53" max="53" width="10.6" style="1356" customWidth="1" collapsed="1"/>
    <col min="54" max="55" width="10.6" style="1356" customWidth="1"/>
    <col min="56" max="56" width="10.6" style="1380" customWidth="1"/>
    <col min="57" max="60" width="10.6" style="1356" customWidth="1"/>
    <col min="61" max="61" width="1.6" style="1356" customWidth="1"/>
    <col min="62" max="62" width="10.6" style="1356" customWidth="1"/>
    <col min="63" max="69" width="10.6" style="1304" customWidth="1"/>
    <col min="70" max="70" width="1.6" style="229" customWidth="1"/>
    <col min="71" max="76" width="8.6" style="158" customWidth="1"/>
    <col min="77" max="77" width="8.6" style="228" customWidth="1"/>
    <col min="78" max="78" width="8.6" style="158" customWidth="1"/>
    <col min="79" max="81" width="8.6" style="75" customWidth="1"/>
    <col min="82" max="16384" width="9" style="229"/>
  </cols>
  <sheetData>
    <row r="1" s="232" customFormat="1" ht="13.8" spans="1:81">
      <c r="A1" s="1357" t="s">
        <v>1591</v>
      </c>
      <c r="B1" s="1357" t="s">
        <v>1592</v>
      </c>
      <c r="C1" s="1358"/>
      <c r="D1" s="1358"/>
      <c r="E1" s="1358"/>
      <c r="F1" s="1358"/>
      <c r="G1" s="1358"/>
      <c r="H1" s="1381"/>
      <c r="I1" s="1381"/>
      <c r="BA1" s="1359" t="str">
        <f>参数表!BA1</f>
        <v>注意：补充特殊事项、作价等均从BA列开始填写</v>
      </c>
      <c r="BB1" s="1359"/>
      <c r="BC1" s="1360"/>
      <c r="BD1" s="1382"/>
      <c r="BE1" s="1360"/>
      <c r="BF1" s="1360"/>
      <c r="BG1" s="1360"/>
      <c r="BH1" s="1360"/>
      <c r="BI1" s="1360"/>
      <c r="BJ1" s="1360"/>
      <c r="BK1" s="1360"/>
      <c r="BL1" s="1360"/>
      <c r="BM1" s="1360"/>
      <c r="BN1" s="1360"/>
      <c r="BO1" s="1360"/>
      <c r="BP1" s="1360"/>
      <c r="BQ1" s="1360"/>
      <c r="BS1" s="86"/>
      <c r="BT1" s="86"/>
      <c r="BU1" s="86"/>
      <c r="BV1" s="86"/>
      <c r="BW1" s="86"/>
      <c r="BX1" s="86"/>
      <c r="BY1" s="82"/>
      <c r="BZ1" s="86"/>
      <c r="CA1" s="70"/>
      <c r="CB1" s="70"/>
      <c r="CC1" s="70"/>
    </row>
    <row r="2" s="237" customFormat="1" ht="30" customHeight="1" spans="1:81">
      <c r="A2" s="1361" t="s">
        <v>1593</v>
      </c>
      <c r="B2" s="1361"/>
      <c r="C2" s="1361"/>
      <c r="D2" s="1361"/>
      <c r="E2" s="1361"/>
      <c r="F2" s="1361"/>
      <c r="G2" s="1361"/>
      <c r="H2" s="295"/>
      <c r="I2" s="295"/>
      <c r="BA2" s="1359" t="str">
        <f>参数表!BA2</f>
        <v>评估基准日：</v>
      </c>
      <c r="BB2" s="1359" t="str">
        <f>参数表!BB2</f>
        <v>2025年7月31日</v>
      </c>
      <c r="BC2" s="1362"/>
      <c r="BD2" s="1383"/>
      <c r="BE2" s="1362"/>
      <c r="BF2" s="1362"/>
      <c r="BG2" s="1362"/>
      <c r="BH2" s="1362"/>
      <c r="BI2" s="1362"/>
      <c r="BJ2" s="1362"/>
      <c r="BK2" s="1362"/>
      <c r="BL2" s="1362"/>
      <c r="BM2" s="1362"/>
      <c r="BN2" s="1362"/>
      <c r="BO2" s="1362"/>
      <c r="BP2" s="1362"/>
      <c r="BQ2" s="1362"/>
      <c r="BS2" s="235"/>
      <c r="BT2" s="235"/>
      <c r="BU2" s="235"/>
      <c r="BV2" s="235"/>
      <c r="BW2" s="235"/>
      <c r="BX2" s="235"/>
      <c r="BY2" s="236"/>
      <c r="BZ2" s="235"/>
      <c r="CA2" s="71"/>
      <c r="CB2" s="71"/>
      <c r="CC2" s="71"/>
    </row>
    <row r="3" ht="15" customHeight="1" spans="1:81">
      <c r="A3" s="1363" t="str">
        <f>参数表!F5</f>
        <v>评估基准日：2025年7月31日</v>
      </c>
      <c r="B3" s="1363"/>
      <c r="C3" s="1363"/>
      <c r="D3" s="1363"/>
      <c r="E3" s="1363"/>
      <c r="F3" s="1363"/>
      <c r="G3" s="1363"/>
      <c r="BA3" s="1359" t="str">
        <f>参数表!BA3</f>
        <v>是否显示评估值：</v>
      </c>
      <c r="BB3" s="1359" t="str">
        <f>参数表!BB3</f>
        <v>是</v>
      </c>
      <c r="BC3" s="1304"/>
      <c r="BD3" s="1368"/>
      <c r="BE3" s="1304"/>
      <c r="BF3" s="1304"/>
      <c r="BG3" s="1304"/>
      <c r="BH3" s="1304"/>
      <c r="BI3" s="1304"/>
      <c r="BJ3" s="1304"/>
    </row>
    <row r="4" ht="15" customHeight="1" spans="1:81">
      <c r="A4" s="1363"/>
      <c r="B4" s="1363"/>
      <c r="C4" s="1363"/>
      <c r="D4" s="1363"/>
      <c r="E4" s="1363"/>
      <c r="F4" s="1363"/>
      <c r="G4" s="1364" t="s">
        <v>1594</v>
      </c>
      <c r="BA4" s="240" t="s">
        <v>1595</v>
      </c>
      <c r="BB4" s="241"/>
      <c r="BC4" s="241"/>
      <c r="BD4" s="241"/>
      <c r="BE4" s="241"/>
      <c r="BF4" s="241"/>
      <c r="BG4" s="241"/>
      <c r="BH4" s="241"/>
      <c r="BI4" s="242"/>
      <c r="BJ4" s="241" t="s">
        <v>1545</v>
      </c>
      <c r="BK4" s="241"/>
      <c r="BL4" s="241"/>
      <c r="BM4" s="241"/>
      <c r="BN4" s="241"/>
      <c r="BO4" s="241"/>
      <c r="BP4" s="241"/>
      <c r="BQ4" s="241"/>
      <c r="BR4" s="75"/>
      <c r="BS4" s="228" t="str">
        <f>LEFT(A2,LEN(A2)-5)</f>
        <v>流动资产</v>
      </c>
    </row>
    <row r="5" ht="15" customHeight="1" spans="1:81">
      <c r="A5" s="1365" t="str">
        <f>参数表!F3</f>
        <v>产权持有单位:中煤第五建设有限公司</v>
      </c>
      <c r="G5" s="1366" t="s">
        <v>1596</v>
      </c>
      <c r="H5" s="254">
        <v>11</v>
      </c>
      <c r="BA5" s="245" t="s">
        <v>1523</v>
      </c>
      <c r="BB5" s="245"/>
      <c r="BC5" s="245"/>
      <c r="BD5" s="245"/>
      <c r="BE5" s="246" t="s">
        <v>1524</v>
      </c>
      <c r="BF5" s="246"/>
      <c r="BG5" s="246"/>
      <c r="BH5" s="246"/>
      <c r="BI5" s="242"/>
      <c r="BJ5" s="245" t="s">
        <v>1523</v>
      </c>
      <c r="BK5" s="245"/>
      <c r="BL5" s="245"/>
      <c r="BM5" s="245"/>
      <c r="BN5" s="246" t="s">
        <v>1524</v>
      </c>
      <c r="BO5" s="246"/>
      <c r="BP5" s="246"/>
      <c r="BQ5" s="246"/>
      <c r="BR5" s="75"/>
      <c r="BS5" s="247" t="str">
        <f>BS4&amp;IF(BY28&lt;2,"为：","包括：")</f>
        <v>流动资产为：</v>
      </c>
      <c r="BT5" s="248" t="str">
        <f>CONCATENATE(BW7,BX7,BW8,BX8,BW9,BX9,BW10,BX10,BW11,BX11,BW12,BX12,BW13,BX13,BW14,BX14,BW15,BX15,BW16,BX16)&amp;CONCATENATE(BW17,BX17,BW18,BX18,BW19,BX19,BW20,BX20,BW21,BX21,BW22,BX22,BW23,BX23,BW24,BX24,BW25,BX25,BW26,BX26,BW27)</f>
        <v>存货</v>
      </c>
    </row>
    <row r="6" s="254" customFormat="1" ht="15" customHeight="1" spans="1:81">
      <c r="A6" s="1367" t="s">
        <v>1597</v>
      </c>
      <c r="B6" s="1367" t="s">
        <v>1548</v>
      </c>
      <c r="C6" s="1367" t="s">
        <v>1598</v>
      </c>
      <c r="D6" s="1367" t="s">
        <v>1599</v>
      </c>
      <c r="E6" s="1367" t="s">
        <v>1600</v>
      </c>
      <c r="F6" s="1367" t="s">
        <v>1601</v>
      </c>
      <c r="G6" s="1367" t="s">
        <v>1602</v>
      </c>
      <c r="H6" s="1384" t="s">
        <v>1603</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R6" s="72"/>
      <c r="BS6" s="228" t="s">
        <v>1527</v>
      </c>
      <c r="BT6" s="228" t="s">
        <v>1528</v>
      </c>
      <c r="BU6" s="228" t="s">
        <v>1529</v>
      </c>
      <c r="BV6" s="253" t="s">
        <v>1604</v>
      </c>
      <c r="BW6" s="228" t="s">
        <v>1605</v>
      </c>
      <c r="BX6" s="228" t="s">
        <v>1606</v>
      </c>
      <c r="BY6" s="228" t="s">
        <v>1607</v>
      </c>
      <c r="BZ6" s="228" t="s">
        <v>1608</v>
      </c>
    </row>
    <row r="7" ht="15" customHeight="1" spans="1:81">
      <c r="A7" s="1370" t="str">
        <f>"3-"&amp;SUBTOTAL(103,B$7:B7)</f>
        <v>3-1</v>
      </c>
      <c r="B7" s="1373" t="s">
        <v>1609</v>
      </c>
      <c r="C7" s="256">
        <f>货币资金总!C28</f>
        <v>0</v>
      </c>
      <c r="D7" s="256">
        <f>货币资金总!D28</f>
        <v>0</v>
      </c>
      <c r="E7" s="256">
        <f>货币资金总!E28</f>
        <v>0</v>
      </c>
      <c r="F7" s="256">
        <f>E7-D7</f>
        <v>0</v>
      </c>
      <c r="G7" s="958" t="str">
        <f>IF(D7=0,"",F7/D7*100)</f>
        <v/>
      </c>
      <c r="H7" s="254" t="str">
        <f>VLOOKUP(B7,分类汇总!B$7:L$69,H$5,FALSE)</f>
        <v>共</v>
      </c>
      <c r="BA7" s="256">
        <f>BB7</f>
        <v>0</v>
      </c>
      <c r="BB7" s="256">
        <f>货币资金总!BB28</f>
        <v>0</v>
      </c>
      <c r="BC7" s="256">
        <f>BB7-BD7</f>
        <v>0</v>
      </c>
      <c r="BD7" s="256">
        <f>D7</f>
        <v>0</v>
      </c>
      <c r="BE7" s="256">
        <f>BF7</f>
        <v>0</v>
      </c>
      <c r="BF7" s="256">
        <f>货币资金总!BF28</f>
        <v>0</v>
      </c>
      <c r="BG7" s="256">
        <f>BF7-BH7</f>
        <v>0</v>
      </c>
      <c r="BH7" s="256">
        <f>E7</f>
        <v>0</v>
      </c>
      <c r="BI7" s="242"/>
      <c r="BJ7" s="143">
        <f>BK7</f>
        <v>0</v>
      </c>
      <c r="BK7" s="256">
        <f>货币资金总!BK28</f>
        <v>0</v>
      </c>
      <c r="BL7" s="256">
        <f>货币资金总!BL28</f>
        <v>0</v>
      </c>
      <c r="BM7" s="256">
        <f>BK7-BL7</f>
        <v>0</v>
      </c>
      <c r="BN7" s="143">
        <f>BO7</f>
        <v>0</v>
      </c>
      <c r="BO7" s="256">
        <f>货币资金总!BO28</f>
        <v>0</v>
      </c>
      <c r="BP7" s="256">
        <f>货币资金总!BP28</f>
        <v>0</v>
      </c>
      <c r="BQ7" s="256">
        <f>BO7-BP7</f>
        <v>0</v>
      </c>
      <c r="BR7" s="75"/>
      <c r="BS7" s="228" t="str">
        <f t="shared" ref="BS7:BS20" si="0">IF(F7&gt;0,"增值",IF(F7=0,"无增减值","减值"))</f>
        <v>无增减值</v>
      </c>
      <c r="BT7" s="257">
        <f t="shared" ref="BT7:BT20" si="1">ABS(F7)</f>
        <v>0</v>
      </c>
      <c r="BU7" s="257">
        <f t="shared" ref="BU7:BU20" si="2">IFERROR(ABS(G7),0)</f>
        <v>0</v>
      </c>
      <c r="BV7" s="258">
        <f t="shared" ref="BV7:BV20" si="3">IFERROR(FIND("-",B7),0)</f>
        <v>0</v>
      </c>
      <c r="BW7" s="259" t="str">
        <f>IF(SUM(BA7:BH7)=0,"",RIGHT(B7,LEN(B7)-BV7))</f>
        <v/>
      </c>
      <c r="BX7" s="158" t="str">
        <f>IF(BY7="","",IF(BZ7&gt;1,"、",IF(BZ7=1,"和","")))</f>
        <v/>
      </c>
      <c r="BY7" s="158" t="str">
        <f>IF(BW7="","",1)</f>
        <v/>
      </c>
      <c r="BZ7" s="228">
        <f>COUNT(BY8:BY$27)</f>
        <v>1</v>
      </c>
    </row>
    <row r="8" ht="15" customHeight="1" spans="1:81">
      <c r="A8" s="1370" t="str">
        <f>"3-"&amp;SUBTOTAL(103,B$7:B8)</f>
        <v>3-2</v>
      </c>
      <c r="B8" s="1373" t="s">
        <v>1610</v>
      </c>
      <c r="C8" s="256">
        <f>公允计量金资总!C28</f>
        <v>0</v>
      </c>
      <c r="D8" s="256">
        <f>公允计量金资总!D28</f>
        <v>0</v>
      </c>
      <c r="E8" s="256">
        <f>公允计量金资总!E28</f>
        <v>0</v>
      </c>
      <c r="F8" s="256">
        <f t="shared" ref="F8:F20" si="4">E8-D8</f>
        <v>0</v>
      </c>
      <c r="G8" s="958" t="str">
        <f t="shared" ref="G8:G20" si="5">IF(D8=0,"",F8/D8*100)</f>
        <v/>
      </c>
      <c r="H8" s="254" t="str">
        <f>VLOOKUP(B8,分类汇总!B$7:L$69,H$5,FALSE)</f>
        <v>旧</v>
      </c>
      <c r="BA8" s="256">
        <f t="shared" ref="BA8:BA20" si="6">BB8</f>
        <v>0</v>
      </c>
      <c r="BB8" s="256">
        <f>公允计量金资总!BB28</f>
        <v>0</v>
      </c>
      <c r="BC8" s="256">
        <f t="shared" ref="BC8:BC20" si="7">BB8-BD8</f>
        <v>0</v>
      </c>
      <c r="BD8" s="256">
        <f t="shared" ref="BD8:BD20" si="8">D8</f>
        <v>0</v>
      </c>
      <c r="BE8" s="256">
        <f t="shared" ref="BE8:BE20" si="9">BF8</f>
        <v>0</v>
      </c>
      <c r="BF8" s="256">
        <f>公允计量金资总!BF28</f>
        <v>0</v>
      </c>
      <c r="BG8" s="256">
        <f t="shared" ref="BG8:BG20" si="10">BF8-BH8</f>
        <v>0</v>
      </c>
      <c r="BH8" s="256">
        <f t="shared" ref="BH8:BH20" si="11">E8</f>
        <v>0</v>
      </c>
      <c r="BI8" s="242"/>
      <c r="BJ8" s="143">
        <f t="shared" ref="BJ8:BJ20" si="12">BK8</f>
        <v>0</v>
      </c>
      <c r="BK8" s="256">
        <f>公允计量金资总!BK28</f>
        <v>0</v>
      </c>
      <c r="BL8" s="256">
        <f>公允计量金资总!BL28</f>
        <v>0</v>
      </c>
      <c r="BM8" s="256">
        <f t="shared" ref="BM8:BM20" si="13">BK8-BL8</f>
        <v>0</v>
      </c>
      <c r="BN8" s="143">
        <f t="shared" ref="BN8:BN20" si="14">BO8</f>
        <v>0</v>
      </c>
      <c r="BO8" s="256">
        <f>公允计量金资总!BO28</f>
        <v>0</v>
      </c>
      <c r="BP8" s="256">
        <f>公允计量金资总!BP28</f>
        <v>0</v>
      </c>
      <c r="BQ8" s="256">
        <f t="shared" ref="BQ8:BQ20" si="15">BO8-BP8</f>
        <v>0</v>
      </c>
      <c r="BR8" s="75"/>
      <c r="BS8" s="228" t="str">
        <f t="shared" si="0"/>
        <v>无增减值</v>
      </c>
      <c r="BT8" s="257">
        <f t="shared" si="1"/>
        <v>0</v>
      </c>
      <c r="BU8" s="257">
        <f t="shared" si="2"/>
        <v>0</v>
      </c>
      <c r="BV8" s="258">
        <f t="shared" si="3"/>
        <v>0</v>
      </c>
      <c r="BW8" s="259" t="str">
        <f t="shared" ref="BW8:BW20" si="16">IF(SUM(BA8:BH8)=0,"",RIGHT(B8,LEN(B8)-BV8))</f>
        <v/>
      </c>
      <c r="BX8" s="158" t="str">
        <f t="shared" ref="BX8:BX20" si="17">IF(BY8="","",IF(BZ8&gt;1,"、",IF(BZ8=1,"和","")))</f>
        <v/>
      </c>
      <c r="BY8" s="158" t="str">
        <f t="shared" ref="BY8:BY20" si="18">IF(BW8="","",1)</f>
        <v/>
      </c>
      <c r="BZ8" s="228">
        <f>COUNT(BY9:BY$27)</f>
        <v>1</v>
      </c>
    </row>
    <row r="9" ht="15" customHeight="1" spans="1:81">
      <c r="A9" s="1370" t="str">
        <f>"3-"&amp;SUBTOTAL(103,B$7:B9)</f>
        <v>3-3</v>
      </c>
      <c r="B9" s="1373" t="s">
        <v>1611</v>
      </c>
      <c r="C9" s="256">
        <f>交易性金资总!C28</f>
        <v>0</v>
      </c>
      <c r="D9" s="256">
        <f>交易性金资总!D28</f>
        <v>0</v>
      </c>
      <c r="E9" s="256">
        <f>交易性金资总!E28</f>
        <v>0</v>
      </c>
      <c r="F9" s="256">
        <f t="shared" si="4"/>
        <v>0</v>
      </c>
      <c r="G9" s="958" t="str">
        <f t="shared" si="5"/>
        <v/>
      </c>
      <c r="H9" s="254" t="str">
        <f>VLOOKUP(B9,分类汇总!B$7:L$69,H$5,FALSE)</f>
        <v>新</v>
      </c>
      <c r="BA9" s="256">
        <f t="shared" si="6"/>
        <v>0</v>
      </c>
      <c r="BB9" s="256">
        <f>交易性金资总!BB28</f>
        <v>0</v>
      </c>
      <c r="BC9" s="256">
        <f t="shared" si="7"/>
        <v>0</v>
      </c>
      <c r="BD9" s="256">
        <f t="shared" si="8"/>
        <v>0</v>
      </c>
      <c r="BE9" s="256">
        <f t="shared" si="9"/>
        <v>0</v>
      </c>
      <c r="BF9" s="256">
        <f>交易性金资总!BF28</f>
        <v>0</v>
      </c>
      <c r="BG9" s="256">
        <f t="shared" si="10"/>
        <v>0</v>
      </c>
      <c r="BH9" s="256">
        <f t="shared" si="11"/>
        <v>0</v>
      </c>
      <c r="BI9" s="242"/>
      <c r="BJ9" s="143">
        <f t="shared" si="12"/>
        <v>0</v>
      </c>
      <c r="BK9" s="256">
        <f>交易性金资总!BK28</f>
        <v>0</v>
      </c>
      <c r="BL9" s="256">
        <f>交易性金资总!BL28</f>
        <v>0</v>
      </c>
      <c r="BM9" s="256">
        <f t="shared" si="13"/>
        <v>0</v>
      </c>
      <c r="BN9" s="143">
        <f t="shared" si="14"/>
        <v>0</v>
      </c>
      <c r="BO9" s="256">
        <f>交易性金资总!BO28</f>
        <v>0</v>
      </c>
      <c r="BP9" s="256">
        <f>交易性金资总!BP28</f>
        <v>0</v>
      </c>
      <c r="BQ9" s="256">
        <f t="shared" si="15"/>
        <v>0</v>
      </c>
      <c r="BR9" s="75"/>
      <c r="BS9" s="228" t="str">
        <f t="shared" si="0"/>
        <v>无增减值</v>
      </c>
      <c r="BT9" s="257">
        <f t="shared" si="1"/>
        <v>0</v>
      </c>
      <c r="BU9" s="257">
        <f t="shared" si="2"/>
        <v>0</v>
      </c>
      <c r="BV9" s="258">
        <f t="shared" si="3"/>
        <v>0</v>
      </c>
      <c r="BW9" s="259" t="str">
        <f t="shared" si="16"/>
        <v/>
      </c>
      <c r="BX9" s="158" t="str">
        <f t="shared" si="17"/>
        <v/>
      </c>
      <c r="BY9" s="158" t="str">
        <f t="shared" si="18"/>
        <v/>
      </c>
      <c r="BZ9" s="228">
        <f>COUNT(BY10:BY$27)</f>
        <v>1</v>
      </c>
    </row>
    <row r="10" ht="15" customHeight="1" spans="1:81">
      <c r="A10" s="1370" t="str">
        <f>"3-"&amp;SUBTOTAL(103,B$7:B10)</f>
        <v>3-4</v>
      </c>
      <c r="B10" s="1373" t="s">
        <v>1612</v>
      </c>
      <c r="C10" s="256">
        <f>衍生金资!J27</f>
        <v>0</v>
      </c>
      <c r="D10" s="256">
        <f>衍生金资!L27</f>
        <v>0</v>
      </c>
      <c r="E10" s="256">
        <f>衍生金资!M27</f>
        <v>0</v>
      </c>
      <c r="F10" s="256">
        <f t="shared" si="4"/>
        <v>0</v>
      </c>
      <c r="G10" s="958" t="str">
        <f t="shared" si="5"/>
        <v/>
      </c>
      <c r="H10" s="254" t="str">
        <f>VLOOKUP(B10,分类汇总!B$7:L$69,H$5,FALSE)</f>
        <v>共</v>
      </c>
      <c r="BA10" s="256">
        <f t="shared" si="6"/>
        <v>0</v>
      </c>
      <c r="BB10" s="256">
        <f>衍生金资!L27</f>
        <v>0</v>
      </c>
      <c r="BC10" s="256">
        <f t="shared" si="7"/>
        <v>0</v>
      </c>
      <c r="BD10" s="256">
        <f t="shared" si="8"/>
        <v>0</v>
      </c>
      <c r="BE10" s="256">
        <f t="shared" si="9"/>
        <v>0</v>
      </c>
      <c r="BF10" s="256">
        <f>衍生金资!M27</f>
        <v>0</v>
      </c>
      <c r="BG10" s="256">
        <f t="shared" si="10"/>
        <v>0</v>
      </c>
      <c r="BH10" s="256">
        <f t="shared" si="11"/>
        <v>0</v>
      </c>
      <c r="BI10" s="242"/>
      <c r="BJ10" s="143">
        <f t="shared" si="12"/>
        <v>0</v>
      </c>
      <c r="BK10" s="256">
        <f>衍生金资!L30</f>
        <v>0</v>
      </c>
      <c r="BL10" s="256">
        <f>0</f>
        <v>0</v>
      </c>
      <c r="BM10" s="256">
        <f t="shared" si="13"/>
        <v>0</v>
      </c>
      <c r="BN10" s="143">
        <f t="shared" si="14"/>
        <v>0</v>
      </c>
      <c r="BO10" s="256">
        <f>衍生金资!M30</f>
        <v>0</v>
      </c>
      <c r="BP10" s="256">
        <f>0</f>
        <v>0</v>
      </c>
      <c r="BQ10" s="256">
        <f t="shared" si="15"/>
        <v>0</v>
      </c>
      <c r="BR10" s="75"/>
      <c r="BS10" s="228" t="str">
        <f t="shared" si="0"/>
        <v>无增减值</v>
      </c>
      <c r="BT10" s="257">
        <f t="shared" si="1"/>
        <v>0</v>
      </c>
      <c r="BU10" s="257">
        <f t="shared" si="2"/>
        <v>0</v>
      </c>
      <c r="BV10" s="258">
        <f t="shared" si="3"/>
        <v>0</v>
      </c>
      <c r="BW10" s="259" t="str">
        <f t="shared" si="16"/>
        <v/>
      </c>
      <c r="BX10" s="158" t="str">
        <f t="shared" si="17"/>
        <v/>
      </c>
      <c r="BY10" s="158" t="str">
        <f t="shared" si="18"/>
        <v/>
      </c>
      <c r="BZ10" s="228">
        <f>COUNT(BY11:BY$27)</f>
        <v>1</v>
      </c>
    </row>
    <row r="11" ht="15" customHeight="1" spans="1:81">
      <c r="A11" s="1370" t="str">
        <f>"3-"&amp;SUBTOTAL(103,B$7:B11)</f>
        <v>3-5</v>
      </c>
      <c r="B11" s="1373" t="s">
        <v>1613</v>
      </c>
      <c r="C11" s="256">
        <f>应收票据!J30</f>
        <v>0</v>
      </c>
      <c r="D11" s="256">
        <f>应收票据!N30</f>
        <v>0</v>
      </c>
      <c r="E11" s="256">
        <f>应收票据!P30</f>
        <v>0</v>
      </c>
      <c r="F11" s="256">
        <f t="shared" si="4"/>
        <v>0</v>
      </c>
      <c r="G11" s="958" t="str">
        <f t="shared" si="5"/>
        <v/>
      </c>
      <c r="H11" s="254" t="str">
        <f>VLOOKUP(B11,分类汇总!B$7:L$69,H$5,FALSE)</f>
        <v>共</v>
      </c>
      <c r="BA11" s="256">
        <f t="shared" si="6"/>
        <v>0</v>
      </c>
      <c r="BB11" s="256">
        <f>应收票据!N27</f>
        <v>0</v>
      </c>
      <c r="BC11" s="256">
        <f t="shared" si="7"/>
        <v>0</v>
      </c>
      <c r="BD11" s="256">
        <f t="shared" si="8"/>
        <v>0</v>
      </c>
      <c r="BE11" s="256">
        <f t="shared" si="9"/>
        <v>0</v>
      </c>
      <c r="BF11" s="256">
        <f>应收票据!P27</f>
        <v>0</v>
      </c>
      <c r="BG11" s="256">
        <f t="shared" si="10"/>
        <v>0</v>
      </c>
      <c r="BH11" s="256">
        <f t="shared" si="11"/>
        <v>0</v>
      </c>
      <c r="BI11" s="242"/>
      <c r="BJ11" s="143">
        <f t="shared" si="12"/>
        <v>0</v>
      </c>
      <c r="BK11" s="256">
        <f>应收票据!N33</f>
        <v>0</v>
      </c>
      <c r="BL11" s="256">
        <f>应收票据!O33</f>
        <v>0</v>
      </c>
      <c r="BM11" s="256">
        <f t="shared" si="13"/>
        <v>0</v>
      </c>
      <c r="BN11" s="143">
        <f t="shared" si="14"/>
        <v>0</v>
      </c>
      <c r="BO11" s="256">
        <f>应收票据!P33</f>
        <v>0</v>
      </c>
      <c r="BP11" s="256">
        <f>应收票据!Q33</f>
        <v>0</v>
      </c>
      <c r="BQ11" s="256">
        <f t="shared" si="15"/>
        <v>0</v>
      </c>
      <c r="BR11" s="75"/>
      <c r="BS11" s="228" t="str">
        <f t="shared" si="0"/>
        <v>无增减值</v>
      </c>
      <c r="BT11" s="257">
        <f t="shared" si="1"/>
        <v>0</v>
      </c>
      <c r="BU11" s="257">
        <f t="shared" si="2"/>
        <v>0</v>
      </c>
      <c r="BV11" s="258">
        <f t="shared" si="3"/>
        <v>0</v>
      </c>
      <c r="BW11" s="259" t="str">
        <f t="shared" si="16"/>
        <v/>
      </c>
      <c r="BX11" s="158" t="str">
        <f t="shared" si="17"/>
        <v/>
      </c>
      <c r="BY11" s="158" t="str">
        <f t="shared" si="18"/>
        <v/>
      </c>
      <c r="BZ11" s="228">
        <f>COUNT(BY12:BY$27)</f>
        <v>1</v>
      </c>
    </row>
    <row r="12" ht="15" customHeight="1" spans="1:81">
      <c r="A12" s="1370" t="str">
        <f>"3-"&amp;SUBTOTAL(103,B$7:B12)</f>
        <v>3-6</v>
      </c>
      <c r="B12" s="1373" t="s">
        <v>1614</v>
      </c>
      <c r="C12" s="256">
        <f>应收账款!K31</f>
        <v>0</v>
      </c>
      <c r="D12" s="256">
        <f>应收账款!AE31</f>
        <v>0</v>
      </c>
      <c r="E12" s="256">
        <f>应收账款!AG31</f>
        <v>0</v>
      </c>
      <c r="F12" s="256">
        <f t="shared" si="4"/>
        <v>0</v>
      </c>
      <c r="G12" s="958" t="str">
        <f t="shared" si="5"/>
        <v/>
      </c>
      <c r="H12" s="254" t="str">
        <f>VLOOKUP(B12,分类汇总!B$7:L$69,H$5,FALSE)</f>
        <v>共</v>
      </c>
      <c r="BA12" s="256">
        <f t="shared" si="6"/>
        <v>0</v>
      </c>
      <c r="BB12" s="256">
        <f>应收账款!AE28</f>
        <v>0</v>
      </c>
      <c r="BC12" s="256">
        <f t="shared" si="7"/>
        <v>0</v>
      </c>
      <c r="BD12" s="256">
        <f t="shared" si="8"/>
        <v>0</v>
      </c>
      <c r="BE12" s="256">
        <f t="shared" si="9"/>
        <v>0</v>
      </c>
      <c r="BF12" s="256">
        <f>应收账款!AG28</f>
        <v>0</v>
      </c>
      <c r="BG12" s="256">
        <f t="shared" si="10"/>
        <v>0</v>
      </c>
      <c r="BH12" s="256">
        <f t="shared" si="11"/>
        <v>0</v>
      </c>
      <c r="BI12" s="242"/>
      <c r="BJ12" s="143">
        <f t="shared" si="12"/>
        <v>0</v>
      </c>
      <c r="BK12" s="256">
        <f>应收账款!AE37</f>
        <v>0</v>
      </c>
      <c r="BL12" s="256">
        <f>应收账款!AF37</f>
        <v>0</v>
      </c>
      <c r="BM12" s="256">
        <f t="shared" si="13"/>
        <v>0</v>
      </c>
      <c r="BN12" s="143">
        <f t="shared" si="14"/>
        <v>0</v>
      </c>
      <c r="BO12" s="256">
        <f>应收账款!AG37</f>
        <v>0</v>
      </c>
      <c r="BP12" s="256">
        <f>应收账款!AH37</f>
        <v>0</v>
      </c>
      <c r="BQ12" s="256">
        <f t="shared" si="15"/>
        <v>0</v>
      </c>
      <c r="BR12" s="75"/>
      <c r="BS12" s="228" t="str">
        <f t="shared" si="0"/>
        <v>无增减值</v>
      </c>
      <c r="BT12" s="257">
        <f t="shared" si="1"/>
        <v>0</v>
      </c>
      <c r="BU12" s="257">
        <f t="shared" si="2"/>
        <v>0</v>
      </c>
      <c r="BV12" s="258">
        <f t="shared" si="3"/>
        <v>0</v>
      </c>
      <c r="BW12" s="259" t="str">
        <f t="shared" si="16"/>
        <v/>
      </c>
      <c r="BX12" s="158" t="str">
        <f t="shared" si="17"/>
        <v/>
      </c>
      <c r="BY12" s="158" t="str">
        <f t="shared" si="18"/>
        <v/>
      </c>
      <c r="BZ12" s="228">
        <f>COUNT(BY13:BY$27)</f>
        <v>1</v>
      </c>
    </row>
    <row r="13" ht="15" customHeight="1" spans="1:81">
      <c r="A13" s="1370" t="str">
        <f>"3-"&amp;SUBTOTAL(103,B$7:B13)</f>
        <v>3-7</v>
      </c>
      <c r="B13" s="1373" t="s">
        <v>1615</v>
      </c>
      <c r="C13" s="256">
        <f>应收款融资总!C28</f>
        <v>0</v>
      </c>
      <c r="D13" s="256">
        <f>应收款融资总!D28</f>
        <v>0</v>
      </c>
      <c r="E13" s="256">
        <f>应收款融资总!E28</f>
        <v>0</v>
      </c>
      <c r="F13" s="256">
        <f t="shared" si="4"/>
        <v>0</v>
      </c>
      <c r="G13" s="958" t="str">
        <f t="shared" si="5"/>
        <v/>
      </c>
      <c r="H13" s="254" t="str">
        <f>VLOOKUP(B13,分类汇总!B$7:L$69,H$5,FALSE)</f>
        <v>新</v>
      </c>
      <c r="BA13" s="256">
        <f t="shared" si="6"/>
        <v>0</v>
      </c>
      <c r="BB13" s="256">
        <f>应收款融资总!BB28</f>
        <v>0</v>
      </c>
      <c r="BC13" s="256">
        <f t="shared" si="7"/>
        <v>0</v>
      </c>
      <c r="BD13" s="256">
        <f t="shared" si="8"/>
        <v>0</v>
      </c>
      <c r="BE13" s="256">
        <f t="shared" si="9"/>
        <v>0</v>
      </c>
      <c r="BF13" s="256">
        <f>应收款融资总!BF28</f>
        <v>0</v>
      </c>
      <c r="BG13" s="256">
        <f t="shared" si="10"/>
        <v>0</v>
      </c>
      <c r="BH13" s="256">
        <f t="shared" si="11"/>
        <v>0</v>
      </c>
      <c r="BI13" s="242"/>
      <c r="BJ13" s="143">
        <f t="shared" si="12"/>
        <v>0</v>
      </c>
      <c r="BK13" s="256">
        <f>应收款融资总!BK28</f>
        <v>0</v>
      </c>
      <c r="BL13" s="256">
        <f>应收款融资总!BL28</f>
        <v>0</v>
      </c>
      <c r="BM13" s="256">
        <f t="shared" si="13"/>
        <v>0</v>
      </c>
      <c r="BN13" s="143">
        <f t="shared" si="14"/>
        <v>0</v>
      </c>
      <c r="BO13" s="256">
        <f>应收款融资总!BO28</f>
        <v>0</v>
      </c>
      <c r="BP13" s="256">
        <f>应收款融资总!BP28</f>
        <v>0</v>
      </c>
      <c r="BQ13" s="256">
        <f t="shared" si="15"/>
        <v>0</v>
      </c>
      <c r="BR13" s="75"/>
      <c r="BS13" s="228" t="str">
        <f t="shared" si="0"/>
        <v>无增减值</v>
      </c>
      <c r="BT13" s="257">
        <f t="shared" si="1"/>
        <v>0</v>
      </c>
      <c r="BU13" s="257">
        <f t="shared" si="2"/>
        <v>0</v>
      </c>
      <c r="BV13" s="258">
        <f t="shared" si="3"/>
        <v>0</v>
      </c>
      <c r="BW13" s="259" t="str">
        <f t="shared" si="16"/>
        <v/>
      </c>
      <c r="BX13" s="158" t="str">
        <f t="shared" si="17"/>
        <v/>
      </c>
      <c r="BY13" s="158" t="str">
        <f t="shared" si="18"/>
        <v/>
      </c>
      <c r="BZ13" s="228">
        <f>COUNT(BY14:BY$27)</f>
        <v>1</v>
      </c>
    </row>
    <row r="14" ht="15" customHeight="1" spans="1:81">
      <c r="A14" s="1370" t="str">
        <f>"3-"&amp;SUBTOTAL(103,B$7:B14)</f>
        <v>3-8</v>
      </c>
      <c r="B14" s="1373" t="s">
        <v>1616</v>
      </c>
      <c r="C14" s="256">
        <f>预付账款!K30</f>
        <v>0</v>
      </c>
      <c r="D14" s="256">
        <f>预付账款!O30</f>
        <v>0</v>
      </c>
      <c r="E14" s="256">
        <f>预付账款!Q30</f>
        <v>0</v>
      </c>
      <c r="F14" s="256">
        <f t="shared" si="4"/>
        <v>0</v>
      </c>
      <c r="G14" s="256" t="str">
        <f t="shared" si="5"/>
        <v/>
      </c>
      <c r="H14" s="254" t="str">
        <f>VLOOKUP(B14,分类汇总!B$7:L$69,H$5,FALSE)</f>
        <v>共</v>
      </c>
      <c r="BA14" s="256">
        <f t="shared" si="6"/>
        <v>0</v>
      </c>
      <c r="BB14" s="256">
        <f>预付账款!O27</f>
        <v>0</v>
      </c>
      <c r="BC14" s="256">
        <f t="shared" si="7"/>
        <v>0</v>
      </c>
      <c r="BD14" s="256">
        <f t="shared" si="8"/>
        <v>0</v>
      </c>
      <c r="BE14" s="256">
        <f t="shared" si="9"/>
        <v>0</v>
      </c>
      <c r="BF14" s="256">
        <f>预付账款!Q27</f>
        <v>0</v>
      </c>
      <c r="BG14" s="256">
        <f t="shared" si="10"/>
        <v>0</v>
      </c>
      <c r="BH14" s="256">
        <f t="shared" si="11"/>
        <v>0</v>
      </c>
      <c r="BI14" s="242"/>
      <c r="BJ14" s="143">
        <f t="shared" si="12"/>
        <v>0</v>
      </c>
      <c r="BK14" s="256">
        <f>预付账款!O33</f>
        <v>0</v>
      </c>
      <c r="BL14" s="256">
        <f>预付账款!P33</f>
        <v>0</v>
      </c>
      <c r="BM14" s="256">
        <f t="shared" si="13"/>
        <v>0</v>
      </c>
      <c r="BN14" s="143">
        <f t="shared" si="14"/>
        <v>0</v>
      </c>
      <c r="BO14" s="256">
        <f>预付账款!Q33</f>
        <v>0</v>
      </c>
      <c r="BP14" s="256">
        <f>预付账款!R33</f>
        <v>0</v>
      </c>
      <c r="BQ14" s="256">
        <f t="shared" si="15"/>
        <v>0</v>
      </c>
      <c r="BR14" s="75"/>
      <c r="BS14" s="228" t="str">
        <f t="shared" si="0"/>
        <v>无增减值</v>
      </c>
      <c r="BT14" s="257">
        <f t="shared" si="1"/>
        <v>0</v>
      </c>
      <c r="BU14" s="257">
        <f t="shared" si="2"/>
        <v>0</v>
      </c>
      <c r="BV14" s="258">
        <f t="shared" si="3"/>
        <v>0</v>
      </c>
      <c r="BW14" s="259" t="str">
        <f t="shared" si="16"/>
        <v/>
      </c>
      <c r="BX14" s="158" t="str">
        <f t="shared" si="17"/>
        <v/>
      </c>
      <c r="BY14" s="158" t="str">
        <f t="shared" si="18"/>
        <v/>
      </c>
      <c r="BZ14" s="228">
        <f>COUNT(BY15:BY$27)</f>
        <v>1</v>
      </c>
    </row>
    <row r="15" ht="15" customHeight="1" spans="1:81">
      <c r="A15" s="1370" t="str">
        <f>"3-"&amp;SUBTOTAL(103,B$7:B15)</f>
        <v>3-9</v>
      </c>
      <c r="B15" s="1373" t="s">
        <v>1617</v>
      </c>
      <c r="C15" s="256">
        <f>其他应收总!C28</f>
        <v>0</v>
      </c>
      <c r="D15" s="256">
        <f>其他应收总!D28</f>
        <v>0</v>
      </c>
      <c r="E15" s="256">
        <f>其他应收总!E28</f>
        <v>0</v>
      </c>
      <c r="F15" s="256">
        <f t="shared" si="4"/>
        <v>0</v>
      </c>
      <c r="G15" s="256" t="str">
        <f t="shared" si="5"/>
        <v/>
      </c>
      <c r="H15" s="254" t="str">
        <f>VLOOKUP(B15,分类汇总!B$7:L$69,H$5,FALSE)</f>
        <v>共</v>
      </c>
      <c r="BA15" s="256">
        <f t="shared" si="6"/>
        <v>0</v>
      </c>
      <c r="BB15" s="256">
        <f>其他应收总!BB28</f>
        <v>0</v>
      </c>
      <c r="BC15" s="256">
        <f t="shared" si="7"/>
        <v>0</v>
      </c>
      <c r="BD15" s="256">
        <f t="shared" si="8"/>
        <v>0</v>
      </c>
      <c r="BE15" s="256">
        <f t="shared" si="9"/>
        <v>0</v>
      </c>
      <c r="BF15" s="256">
        <f>其他应收总!BF28</f>
        <v>0</v>
      </c>
      <c r="BG15" s="256">
        <f t="shared" si="10"/>
        <v>0</v>
      </c>
      <c r="BH15" s="256">
        <f t="shared" si="11"/>
        <v>0</v>
      </c>
      <c r="BI15" s="242"/>
      <c r="BJ15" s="143">
        <f t="shared" si="12"/>
        <v>0</v>
      </c>
      <c r="BK15" s="256">
        <f>其他应收总!BK28</f>
        <v>0</v>
      </c>
      <c r="BL15" s="256">
        <f>其他应收总!BL28</f>
        <v>0</v>
      </c>
      <c r="BM15" s="256">
        <f t="shared" si="13"/>
        <v>0</v>
      </c>
      <c r="BN15" s="143">
        <f t="shared" si="14"/>
        <v>0</v>
      </c>
      <c r="BO15" s="256">
        <f>其他应收总!BO28</f>
        <v>0</v>
      </c>
      <c r="BP15" s="256">
        <f>其他应收总!BP28</f>
        <v>0</v>
      </c>
      <c r="BQ15" s="256">
        <f t="shared" si="15"/>
        <v>0</v>
      </c>
      <c r="BR15" s="75"/>
      <c r="BS15" s="228" t="str">
        <f t="shared" si="0"/>
        <v>无增减值</v>
      </c>
      <c r="BT15" s="257">
        <f t="shared" si="1"/>
        <v>0</v>
      </c>
      <c r="BU15" s="257">
        <f t="shared" si="2"/>
        <v>0</v>
      </c>
      <c r="BV15" s="258">
        <f t="shared" si="3"/>
        <v>0</v>
      </c>
      <c r="BW15" s="259" t="str">
        <f t="shared" si="16"/>
        <v/>
      </c>
      <c r="BX15" s="158" t="str">
        <f t="shared" si="17"/>
        <v/>
      </c>
      <c r="BY15" s="158" t="str">
        <f t="shared" si="18"/>
        <v/>
      </c>
      <c r="BZ15" s="228">
        <f>COUNT(BY16:BY$27)</f>
        <v>1</v>
      </c>
    </row>
    <row r="16" ht="15" customHeight="1" spans="1:81">
      <c r="A16" s="1370" t="str">
        <f>"3-"&amp;SUBTOTAL(103,B$7:B16)</f>
        <v>3-10</v>
      </c>
      <c r="B16" s="1373" t="s">
        <v>1618</v>
      </c>
      <c r="C16" s="256">
        <f>存货总!C28</f>
        <v>35557.52</v>
      </c>
      <c r="D16" s="256">
        <f>存货总!D28</f>
        <v>35557.52</v>
      </c>
      <c r="E16" s="256">
        <f>存货总!E28</f>
        <v>2837062.634</v>
      </c>
      <c r="F16" s="256">
        <f t="shared" si="4"/>
        <v>2801505.114</v>
      </c>
      <c r="G16" s="256">
        <f t="shared" si="5"/>
        <v>7878.79782954491</v>
      </c>
      <c r="H16" s="254" t="str">
        <f>VLOOKUP(B16,分类汇总!B$7:L$69,H$5,FALSE)</f>
        <v>共</v>
      </c>
      <c r="BA16" s="256">
        <f t="shared" si="6"/>
        <v>35557.52</v>
      </c>
      <c r="BB16" s="256">
        <f>存货总!BB28</f>
        <v>35557.52</v>
      </c>
      <c r="BC16" s="256">
        <f t="shared" si="7"/>
        <v>0</v>
      </c>
      <c r="BD16" s="256">
        <f t="shared" si="8"/>
        <v>35557.52</v>
      </c>
      <c r="BE16" s="256">
        <f t="shared" si="9"/>
        <v>2837062.634</v>
      </c>
      <c r="BF16" s="256">
        <f>存货总!BF28</f>
        <v>2837062.634</v>
      </c>
      <c r="BG16" s="256">
        <f t="shared" si="10"/>
        <v>0</v>
      </c>
      <c r="BH16" s="256">
        <f t="shared" si="11"/>
        <v>2837062.634</v>
      </c>
      <c r="BI16" s="242"/>
      <c r="BJ16" s="143">
        <f t="shared" si="12"/>
        <v>0</v>
      </c>
      <c r="BK16" s="256">
        <f>存货总!BK28</f>
        <v>0</v>
      </c>
      <c r="BL16" s="256">
        <f>存货总!BL28</f>
        <v>0</v>
      </c>
      <c r="BM16" s="256">
        <f t="shared" si="13"/>
        <v>0</v>
      </c>
      <c r="BN16" s="143">
        <f t="shared" si="14"/>
        <v>0</v>
      </c>
      <c r="BO16" s="256">
        <f>存货总!BO28</f>
        <v>0</v>
      </c>
      <c r="BP16" s="256">
        <f>存货总!BP28</f>
        <v>0</v>
      </c>
      <c r="BQ16" s="256">
        <f t="shared" si="15"/>
        <v>0</v>
      </c>
      <c r="BR16" s="75"/>
      <c r="BS16" s="228" t="str">
        <f t="shared" si="0"/>
        <v>增值</v>
      </c>
      <c r="BT16" s="257">
        <f t="shared" si="1"/>
        <v>2801505.114</v>
      </c>
      <c r="BU16" s="257">
        <f t="shared" si="2"/>
        <v>7878.79782954491</v>
      </c>
      <c r="BV16" s="258">
        <f t="shared" si="3"/>
        <v>0</v>
      </c>
      <c r="BW16" s="259" t="str">
        <f t="shared" si="16"/>
        <v>存货</v>
      </c>
      <c r="BX16" s="158" t="str">
        <f t="shared" si="17"/>
        <v/>
      </c>
      <c r="BY16" s="158">
        <f t="shared" si="18"/>
        <v>1</v>
      </c>
      <c r="BZ16" s="228">
        <f>COUNT(BY17:BY$27)</f>
        <v>0</v>
      </c>
    </row>
    <row r="17" ht="15" customHeight="1" spans="1:78">
      <c r="A17" s="1370" t="str">
        <f>"3-"&amp;SUBTOTAL(103,B$7:B17)</f>
        <v>3-11</v>
      </c>
      <c r="B17" s="1373" t="s">
        <v>1619</v>
      </c>
      <c r="C17" s="256">
        <f>合同资总!C28</f>
        <v>0</v>
      </c>
      <c r="D17" s="256">
        <f>合同资总!D28</f>
        <v>0</v>
      </c>
      <c r="E17" s="256">
        <f>合同资总!E28</f>
        <v>0</v>
      </c>
      <c r="F17" s="256">
        <f t="shared" si="4"/>
        <v>0</v>
      </c>
      <c r="G17" s="256" t="str">
        <f t="shared" si="5"/>
        <v/>
      </c>
      <c r="H17" s="254" t="str">
        <f>VLOOKUP(B17,分类汇总!B$7:L$69,H$5,FALSE)</f>
        <v>新</v>
      </c>
      <c r="BA17" s="256">
        <f t="shared" si="6"/>
        <v>0</v>
      </c>
      <c r="BB17" s="256">
        <f>合同资总!BB28</f>
        <v>0</v>
      </c>
      <c r="BC17" s="256">
        <f t="shared" si="7"/>
        <v>0</v>
      </c>
      <c r="BD17" s="256">
        <f t="shared" si="8"/>
        <v>0</v>
      </c>
      <c r="BE17" s="256">
        <f t="shared" si="9"/>
        <v>0</v>
      </c>
      <c r="BF17" s="256">
        <f>合同资总!BF28</f>
        <v>0</v>
      </c>
      <c r="BG17" s="256">
        <f t="shared" si="10"/>
        <v>0</v>
      </c>
      <c r="BH17" s="256">
        <f t="shared" si="11"/>
        <v>0</v>
      </c>
      <c r="BI17" s="242"/>
      <c r="BJ17" s="143">
        <f t="shared" si="12"/>
        <v>0</v>
      </c>
      <c r="BK17" s="256">
        <f>合同资总!BK28</f>
        <v>0</v>
      </c>
      <c r="BL17" s="256">
        <f>合同资总!BL28</f>
        <v>0</v>
      </c>
      <c r="BM17" s="256">
        <f t="shared" si="13"/>
        <v>0</v>
      </c>
      <c r="BN17" s="143">
        <f t="shared" si="14"/>
        <v>0</v>
      </c>
      <c r="BO17" s="256">
        <f>合同资总!BO28</f>
        <v>0</v>
      </c>
      <c r="BP17" s="256">
        <f>合同资总!BP28</f>
        <v>0</v>
      </c>
      <c r="BQ17" s="256">
        <f t="shared" si="15"/>
        <v>0</v>
      </c>
      <c r="BR17" s="75"/>
      <c r="BS17" s="228" t="str">
        <f t="shared" si="0"/>
        <v>无增减值</v>
      </c>
      <c r="BT17" s="257">
        <f t="shared" si="1"/>
        <v>0</v>
      </c>
      <c r="BU17" s="257">
        <f t="shared" si="2"/>
        <v>0</v>
      </c>
      <c r="BV17" s="258">
        <f t="shared" si="3"/>
        <v>0</v>
      </c>
      <c r="BW17" s="259" t="str">
        <f t="shared" si="16"/>
        <v/>
      </c>
      <c r="BX17" s="158" t="str">
        <f t="shared" si="17"/>
        <v/>
      </c>
      <c r="BY17" s="158" t="str">
        <f t="shared" si="18"/>
        <v/>
      </c>
      <c r="BZ17" s="228">
        <f>COUNT(BY18:BY$27)</f>
        <v>0</v>
      </c>
    </row>
    <row r="18" ht="15" customHeight="1" spans="1:78">
      <c r="A18" s="1370" t="str">
        <f>"3-"&amp;SUBTOTAL(103,B$7:B18)</f>
        <v>3-12</v>
      </c>
      <c r="B18" s="1373" t="s">
        <v>1620</v>
      </c>
      <c r="C18" s="256">
        <f>持有待售资!H27</f>
        <v>0</v>
      </c>
      <c r="D18" s="256">
        <f>持有待售资!J27</f>
        <v>0</v>
      </c>
      <c r="E18" s="256">
        <f>持有待售资!K27</f>
        <v>0</v>
      </c>
      <c r="F18" s="256">
        <f t="shared" si="4"/>
        <v>0</v>
      </c>
      <c r="G18" s="256" t="str">
        <f t="shared" si="5"/>
        <v/>
      </c>
      <c r="H18" s="254" t="str">
        <f>VLOOKUP(B18,分类汇总!B$7:L$69,H$5,FALSE)</f>
        <v>共</v>
      </c>
      <c r="BA18" s="256">
        <f t="shared" si="6"/>
        <v>0</v>
      </c>
      <c r="BB18" s="256">
        <f>持有待售资!J27</f>
        <v>0</v>
      </c>
      <c r="BC18" s="256">
        <f t="shared" si="7"/>
        <v>0</v>
      </c>
      <c r="BD18" s="256">
        <f t="shared" si="8"/>
        <v>0</v>
      </c>
      <c r="BE18" s="256">
        <f t="shared" si="9"/>
        <v>0</v>
      </c>
      <c r="BF18" s="256">
        <f>持有待售资!K27</f>
        <v>0</v>
      </c>
      <c r="BG18" s="256">
        <f t="shared" si="10"/>
        <v>0</v>
      </c>
      <c r="BH18" s="256">
        <f t="shared" si="11"/>
        <v>0</v>
      </c>
      <c r="BI18" s="242"/>
      <c r="BJ18" s="143">
        <f t="shared" si="12"/>
        <v>0</v>
      </c>
      <c r="BK18" s="256">
        <f>持有待售资!J30</f>
        <v>0</v>
      </c>
      <c r="BL18" s="256">
        <f>0</f>
        <v>0</v>
      </c>
      <c r="BM18" s="256">
        <f t="shared" si="13"/>
        <v>0</v>
      </c>
      <c r="BN18" s="143">
        <f t="shared" si="14"/>
        <v>0</v>
      </c>
      <c r="BO18" s="256">
        <f>持有待售资!K30</f>
        <v>0</v>
      </c>
      <c r="BP18" s="256">
        <f>0</f>
        <v>0</v>
      </c>
      <c r="BQ18" s="256">
        <f t="shared" si="15"/>
        <v>0</v>
      </c>
      <c r="BR18" s="75"/>
      <c r="BS18" s="228" t="str">
        <f t="shared" si="0"/>
        <v>无增减值</v>
      </c>
      <c r="BT18" s="257">
        <f t="shared" si="1"/>
        <v>0</v>
      </c>
      <c r="BU18" s="257">
        <f t="shared" si="2"/>
        <v>0</v>
      </c>
      <c r="BV18" s="258">
        <f t="shared" si="3"/>
        <v>0</v>
      </c>
      <c r="BW18" s="259" t="str">
        <f t="shared" si="16"/>
        <v/>
      </c>
      <c r="BX18" s="158" t="str">
        <f t="shared" si="17"/>
        <v/>
      </c>
      <c r="BY18" s="158" t="str">
        <f t="shared" si="18"/>
        <v/>
      </c>
      <c r="BZ18" s="228">
        <f>COUNT(BY19:BY$27)</f>
        <v>0</v>
      </c>
    </row>
    <row r="19" ht="15" customHeight="1" spans="1:78">
      <c r="A19" s="1370" t="str">
        <f>"3-"&amp;SUBTOTAL(103,B$7:B19)</f>
        <v>3-13</v>
      </c>
      <c r="B19" s="1373" t="s">
        <v>1621</v>
      </c>
      <c r="C19" s="256">
        <f>一年到期资!H27</f>
        <v>0</v>
      </c>
      <c r="D19" s="256">
        <f>一年到期资!J27</f>
        <v>0</v>
      </c>
      <c r="E19" s="256">
        <f>一年到期资!K27</f>
        <v>0</v>
      </c>
      <c r="F19" s="256">
        <f t="shared" si="4"/>
        <v>0</v>
      </c>
      <c r="G19" s="256" t="str">
        <f t="shared" si="5"/>
        <v/>
      </c>
      <c r="H19" s="254" t="str">
        <f>VLOOKUP(B19,分类汇总!B$7:L$69,H$5,FALSE)</f>
        <v>共</v>
      </c>
      <c r="BA19" s="256">
        <f t="shared" si="6"/>
        <v>0</v>
      </c>
      <c r="BB19" s="256">
        <f>一年到期资!J27</f>
        <v>0</v>
      </c>
      <c r="BC19" s="256">
        <f t="shared" si="7"/>
        <v>0</v>
      </c>
      <c r="BD19" s="256">
        <f t="shared" si="8"/>
        <v>0</v>
      </c>
      <c r="BE19" s="256">
        <f t="shared" si="9"/>
        <v>0</v>
      </c>
      <c r="BF19" s="256">
        <f>一年到期资!K27</f>
        <v>0</v>
      </c>
      <c r="BG19" s="256">
        <f t="shared" si="10"/>
        <v>0</v>
      </c>
      <c r="BH19" s="256">
        <f t="shared" si="11"/>
        <v>0</v>
      </c>
      <c r="BI19" s="242"/>
      <c r="BJ19" s="143">
        <f t="shared" si="12"/>
        <v>0</v>
      </c>
      <c r="BK19" s="256">
        <f>一年到期资!J30</f>
        <v>0</v>
      </c>
      <c r="BL19" s="256">
        <f>0</f>
        <v>0</v>
      </c>
      <c r="BM19" s="256">
        <f t="shared" si="13"/>
        <v>0</v>
      </c>
      <c r="BN19" s="143">
        <f t="shared" si="14"/>
        <v>0</v>
      </c>
      <c r="BO19" s="256">
        <f>一年到期资!K30</f>
        <v>0</v>
      </c>
      <c r="BP19" s="256">
        <f>0</f>
        <v>0</v>
      </c>
      <c r="BQ19" s="256">
        <f t="shared" si="15"/>
        <v>0</v>
      </c>
      <c r="BR19" s="75"/>
      <c r="BS19" s="228" t="str">
        <f t="shared" si="0"/>
        <v>无增减值</v>
      </c>
      <c r="BT19" s="257">
        <f t="shared" si="1"/>
        <v>0</v>
      </c>
      <c r="BU19" s="257">
        <f t="shared" si="2"/>
        <v>0</v>
      </c>
      <c r="BV19" s="258">
        <f t="shared" si="3"/>
        <v>0</v>
      </c>
      <c r="BW19" s="259" t="str">
        <f t="shared" si="16"/>
        <v/>
      </c>
      <c r="BX19" s="158" t="str">
        <f t="shared" si="17"/>
        <v/>
      </c>
      <c r="BY19" s="158" t="str">
        <f t="shared" si="18"/>
        <v/>
      </c>
      <c r="BZ19" s="228">
        <f>COUNT(BY20:BY$27)</f>
        <v>0</v>
      </c>
    </row>
    <row r="20" ht="15" customHeight="1" spans="1:78">
      <c r="A20" s="1370" t="str">
        <f>"3-"&amp;SUBTOTAL(103,B$7:B20)</f>
        <v>3-14</v>
      </c>
      <c r="B20" s="1373" t="s">
        <v>1622</v>
      </c>
      <c r="C20" s="256">
        <f>其他流资!J27</f>
        <v>0</v>
      </c>
      <c r="D20" s="256">
        <f>其他流资!L27</f>
        <v>0</v>
      </c>
      <c r="E20" s="256">
        <f>其他流资!M27</f>
        <v>0</v>
      </c>
      <c r="F20" s="256">
        <f t="shared" si="4"/>
        <v>0</v>
      </c>
      <c r="G20" s="256" t="str">
        <f t="shared" si="5"/>
        <v/>
      </c>
      <c r="H20" s="254" t="str">
        <f>VLOOKUP(B20,分类汇总!B$7:L$69,H$5,FALSE)</f>
        <v>共</v>
      </c>
      <c r="BA20" s="256">
        <f t="shared" si="6"/>
        <v>0</v>
      </c>
      <c r="BB20" s="256">
        <f>其他流资!L27</f>
        <v>0</v>
      </c>
      <c r="BC20" s="256">
        <f t="shared" si="7"/>
        <v>0</v>
      </c>
      <c r="BD20" s="256">
        <f t="shared" si="8"/>
        <v>0</v>
      </c>
      <c r="BE20" s="256">
        <f t="shared" si="9"/>
        <v>0</v>
      </c>
      <c r="BF20" s="256">
        <f>其他流资!M27</f>
        <v>0</v>
      </c>
      <c r="BG20" s="256">
        <f t="shared" si="10"/>
        <v>0</v>
      </c>
      <c r="BH20" s="256">
        <f t="shared" si="11"/>
        <v>0</v>
      </c>
      <c r="BI20" s="242"/>
      <c r="BJ20" s="143">
        <f t="shared" si="12"/>
        <v>0</v>
      </c>
      <c r="BK20" s="256">
        <f>其他流资!L30</f>
        <v>0</v>
      </c>
      <c r="BL20" s="256">
        <f>0</f>
        <v>0</v>
      </c>
      <c r="BM20" s="256">
        <f t="shared" si="13"/>
        <v>0</v>
      </c>
      <c r="BN20" s="143">
        <f t="shared" si="14"/>
        <v>0</v>
      </c>
      <c r="BO20" s="256">
        <f>其他流资!M30</f>
        <v>0</v>
      </c>
      <c r="BP20" s="256">
        <f>0</f>
        <v>0</v>
      </c>
      <c r="BQ20" s="256">
        <f t="shared" si="15"/>
        <v>0</v>
      </c>
      <c r="BR20" s="75"/>
      <c r="BS20" s="228" t="str">
        <f t="shared" si="0"/>
        <v>无增减值</v>
      </c>
      <c r="BT20" s="257">
        <f t="shared" si="1"/>
        <v>0</v>
      </c>
      <c r="BU20" s="257">
        <f t="shared" si="2"/>
        <v>0</v>
      </c>
      <c r="BV20" s="258">
        <f t="shared" si="3"/>
        <v>0</v>
      </c>
      <c r="BW20" s="259" t="str">
        <f t="shared" si="16"/>
        <v/>
      </c>
      <c r="BX20" s="158" t="str">
        <f t="shared" si="17"/>
        <v/>
      </c>
      <c r="BY20" s="158" t="str">
        <f t="shared" si="18"/>
        <v/>
      </c>
      <c r="BZ20" s="228">
        <f>COUNT(BY21:BY$27)</f>
        <v>0</v>
      </c>
    </row>
    <row r="21" ht="15" customHeight="1" spans="1:78">
      <c r="A21" s="1372"/>
      <c r="B21" s="1374"/>
      <c r="C21" s="256"/>
      <c r="D21" s="256"/>
      <c r="E21" s="256"/>
      <c r="F21" s="256"/>
      <c r="G21" s="256"/>
      <c r="BA21" s="256"/>
      <c r="BB21" s="256"/>
      <c r="BC21" s="256"/>
      <c r="BD21" s="256"/>
      <c r="BE21" s="256"/>
      <c r="BF21" s="256"/>
      <c r="BG21" s="256"/>
      <c r="BH21" s="256"/>
      <c r="BI21" s="242"/>
      <c r="BJ21" s="256"/>
      <c r="BK21" s="256"/>
      <c r="BL21" s="256"/>
      <c r="BM21" s="256"/>
      <c r="BN21" s="256"/>
      <c r="BO21" s="256"/>
      <c r="BP21" s="256"/>
      <c r="BQ21" s="256"/>
      <c r="BR21" s="75"/>
      <c r="BS21" s="228"/>
      <c r="BT21" s="257"/>
      <c r="BU21" s="257"/>
      <c r="BV21" s="258"/>
      <c r="BW21" s="259"/>
      <c r="BY21" s="158"/>
      <c r="BZ21" s="228"/>
    </row>
    <row r="22" ht="15" customHeight="1" spans="1:78">
      <c r="A22" s="1372"/>
      <c r="B22" s="1374"/>
      <c r="C22" s="256"/>
      <c r="D22" s="256"/>
      <c r="E22" s="256"/>
      <c r="F22" s="256"/>
      <c r="G22" s="256"/>
      <c r="BA22" s="256"/>
      <c r="BB22" s="256"/>
      <c r="BC22" s="256"/>
      <c r="BD22" s="256"/>
      <c r="BE22" s="256"/>
      <c r="BF22" s="256"/>
      <c r="BG22" s="256"/>
      <c r="BH22" s="256"/>
      <c r="BI22" s="242"/>
      <c r="BJ22" s="256"/>
      <c r="BK22" s="256"/>
      <c r="BL22" s="256"/>
      <c r="BM22" s="256"/>
      <c r="BN22" s="256"/>
      <c r="BO22" s="256"/>
      <c r="BP22" s="256"/>
      <c r="BQ22" s="256"/>
      <c r="BR22" s="75"/>
      <c r="BS22" s="228"/>
      <c r="BT22" s="257"/>
      <c r="BU22" s="257"/>
      <c r="BV22" s="258"/>
      <c r="BW22" s="259"/>
      <c r="BY22" s="158"/>
      <c r="BZ22" s="228"/>
    </row>
    <row r="23" ht="15" customHeight="1" spans="1:78">
      <c r="A23" s="1372"/>
      <c r="B23" s="1374"/>
      <c r="C23" s="256"/>
      <c r="D23" s="256"/>
      <c r="E23" s="256"/>
      <c r="F23" s="256"/>
      <c r="G23" s="256"/>
      <c r="BA23" s="256"/>
      <c r="BB23" s="256"/>
      <c r="BC23" s="256"/>
      <c r="BD23" s="256"/>
      <c r="BE23" s="256"/>
      <c r="BF23" s="256"/>
      <c r="BG23" s="256"/>
      <c r="BH23" s="256"/>
      <c r="BI23" s="242"/>
      <c r="BJ23" s="256"/>
      <c r="BK23" s="256"/>
      <c r="BL23" s="256"/>
      <c r="BM23" s="256"/>
      <c r="BN23" s="256"/>
      <c r="BO23" s="256"/>
      <c r="BP23" s="256"/>
      <c r="BQ23" s="256"/>
      <c r="BR23" s="75"/>
      <c r="BS23" s="228"/>
      <c r="BT23" s="257"/>
      <c r="BU23" s="257"/>
      <c r="BV23" s="258"/>
      <c r="BW23" s="259"/>
      <c r="BY23" s="158"/>
      <c r="BZ23" s="228"/>
    </row>
    <row r="24" ht="15" customHeight="1" spans="1:78">
      <c r="A24" s="1372"/>
      <c r="B24" s="1374"/>
      <c r="C24" s="256"/>
      <c r="D24" s="256"/>
      <c r="E24" s="256"/>
      <c r="F24" s="256"/>
      <c r="G24" s="256"/>
      <c r="BA24" s="256"/>
      <c r="BB24" s="256"/>
      <c r="BC24" s="256"/>
      <c r="BD24" s="256"/>
      <c r="BE24" s="256"/>
      <c r="BF24" s="256"/>
      <c r="BG24" s="256"/>
      <c r="BH24" s="256"/>
      <c r="BI24" s="242"/>
      <c r="BJ24" s="256"/>
      <c r="BK24" s="256"/>
      <c r="BL24" s="256"/>
      <c r="BM24" s="256"/>
      <c r="BN24" s="256"/>
      <c r="BO24" s="256"/>
      <c r="BP24" s="256"/>
      <c r="BQ24" s="256"/>
      <c r="BR24" s="75"/>
      <c r="BS24" s="228"/>
      <c r="BT24" s="257"/>
      <c r="BU24" s="257"/>
      <c r="BV24" s="258"/>
      <c r="BW24" s="259"/>
      <c r="BY24" s="158"/>
      <c r="BZ24" s="228"/>
    </row>
    <row r="25" ht="15" customHeight="1" spans="1:78">
      <c r="A25" s="256"/>
      <c r="B25" s="256"/>
      <c r="C25" s="256"/>
      <c r="D25" s="256"/>
      <c r="E25" s="256"/>
      <c r="F25" s="256"/>
      <c r="G25" s="256"/>
      <c r="BA25" s="256"/>
      <c r="BB25" s="256"/>
      <c r="BC25" s="256"/>
      <c r="BD25" s="256"/>
      <c r="BE25" s="256"/>
      <c r="BF25" s="256"/>
      <c r="BG25" s="256"/>
      <c r="BH25" s="256"/>
      <c r="BI25" s="242"/>
      <c r="BJ25" s="256"/>
      <c r="BK25" s="256"/>
      <c r="BL25" s="256"/>
      <c r="BM25" s="256"/>
      <c r="BN25" s="256"/>
      <c r="BO25" s="256"/>
      <c r="BP25" s="256"/>
      <c r="BQ25" s="256"/>
      <c r="BR25" s="75"/>
      <c r="BS25" s="228"/>
      <c r="BT25" s="257"/>
      <c r="BU25" s="257"/>
      <c r="BV25" s="258"/>
      <c r="BW25" s="259"/>
      <c r="BY25" s="158"/>
      <c r="BZ25" s="228"/>
    </row>
    <row r="26" ht="15" customHeight="1" spans="1:78">
      <c r="A26" s="256"/>
      <c r="B26" s="256"/>
      <c r="C26" s="256"/>
      <c r="D26" s="256"/>
      <c r="E26" s="256"/>
      <c r="F26" s="256"/>
      <c r="G26" s="256"/>
      <c r="BA26" s="256"/>
      <c r="BB26" s="256"/>
      <c r="BC26" s="256"/>
      <c r="BD26" s="256"/>
      <c r="BE26" s="256"/>
      <c r="BF26" s="256"/>
      <c r="BG26" s="256"/>
      <c r="BH26" s="256"/>
      <c r="BI26" s="242"/>
      <c r="BJ26" s="256"/>
      <c r="BK26" s="256"/>
      <c r="BL26" s="256"/>
      <c r="BM26" s="256"/>
      <c r="BN26" s="256"/>
      <c r="BO26" s="256"/>
      <c r="BP26" s="256"/>
      <c r="BQ26" s="256"/>
      <c r="BR26" s="75"/>
      <c r="BS26" s="228"/>
      <c r="BT26" s="257"/>
      <c r="BU26" s="257"/>
      <c r="BV26" s="258"/>
      <c r="BW26" s="259"/>
      <c r="BY26" s="158"/>
      <c r="BZ26" s="228"/>
    </row>
    <row r="27" ht="15" customHeight="1" spans="1:78">
      <c r="A27" s="256"/>
      <c r="B27" s="256"/>
      <c r="C27" s="256"/>
      <c r="D27" s="256"/>
      <c r="E27" s="256"/>
      <c r="F27" s="256"/>
      <c r="G27" s="256"/>
      <c r="BA27" s="256"/>
      <c r="BB27" s="256"/>
      <c r="BC27" s="256"/>
      <c r="BD27" s="256"/>
      <c r="BE27" s="256"/>
      <c r="BF27" s="256"/>
      <c r="BG27" s="256"/>
      <c r="BH27" s="256"/>
      <c r="BI27" s="242"/>
      <c r="BJ27" s="256"/>
      <c r="BK27" s="256"/>
      <c r="BL27" s="256"/>
      <c r="BM27" s="256"/>
      <c r="BN27" s="256"/>
      <c r="BO27" s="256"/>
      <c r="BP27" s="256"/>
      <c r="BQ27" s="256"/>
      <c r="BR27" s="75"/>
      <c r="BS27" s="228"/>
      <c r="BT27" s="257"/>
      <c r="BU27" s="257"/>
      <c r="BV27" s="258"/>
      <c r="BW27" s="259"/>
      <c r="BY27" s="158"/>
      <c r="BZ27" s="228"/>
    </row>
    <row r="28" s="271" customFormat="1" ht="15" customHeight="1" spans="1:78">
      <c r="A28" s="1385">
        <v>3</v>
      </c>
      <c r="B28" s="1386" t="s">
        <v>1623</v>
      </c>
      <c r="C28" s="266">
        <f>SUM(C7:C27)</f>
        <v>35557.52</v>
      </c>
      <c r="D28" s="266">
        <f t="shared" ref="D28:E28" si="19">SUM(D7:D27)</f>
        <v>35557.52</v>
      </c>
      <c r="E28" s="266">
        <f t="shared" si="19"/>
        <v>2837062.634</v>
      </c>
      <c r="F28" s="266">
        <f>E28-D28</f>
        <v>2801505.114</v>
      </c>
      <c r="G28" s="266">
        <f>IF(D28=0,"",F28/D28*100)</f>
        <v>7878.79782954491</v>
      </c>
      <c r="H28" s="287"/>
      <c r="I28" s="287"/>
      <c r="BA28" s="256">
        <f t="shared" ref="BA28:BH28" si="20">SUM(BA7:BA27)</f>
        <v>35557.52</v>
      </c>
      <c r="BB28" s="256">
        <f t="shared" si="20"/>
        <v>35557.52</v>
      </c>
      <c r="BC28" s="256">
        <f t="shared" si="20"/>
        <v>0</v>
      </c>
      <c r="BD28" s="256">
        <f t="shared" si="20"/>
        <v>35557.52</v>
      </c>
      <c r="BE28" s="256">
        <f t="shared" si="20"/>
        <v>2837062.634</v>
      </c>
      <c r="BF28" s="256">
        <f t="shared" si="20"/>
        <v>2837062.634</v>
      </c>
      <c r="BG28" s="256">
        <f t="shared" si="20"/>
        <v>0</v>
      </c>
      <c r="BH28" s="256">
        <f t="shared" si="20"/>
        <v>2837062.634</v>
      </c>
      <c r="BI28" s="267"/>
      <c r="BJ28" s="256">
        <f t="shared" ref="BJ28:BQ28" si="21">SUM(BJ7:BJ27)</f>
        <v>0</v>
      </c>
      <c r="BK28" s="256">
        <f t="shared" si="21"/>
        <v>0</v>
      </c>
      <c r="BL28" s="256">
        <f t="shared" si="21"/>
        <v>0</v>
      </c>
      <c r="BM28" s="256">
        <f t="shared" si="21"/>
        <v>0</v>
      </c>
      <c r="BN28" s="256">
        <f t="shared" si="21"/>
        <v>0</v>
      </c>
      <c r="BO28" s="256">
        <f t="shared" si="21"/>
        <v>0</v>
      </c>
      <c r="BP28" s="256">
        <f t="shared" si="21"/>
        <v>0</v>
      </c>
      <c r="BQ28" s="256">
        <f t="shared" si="21"/>
        <v>0</v>
      </c>
      <c r="BR28" s="73"/>
      <c r="BS28" s="268" t="str">
        <f>IF(F28&gt;0,"增值",IF(F28=0,"无增减值","减值"))</f>
        <v>增值</v>
      </c>
      <c r="BT28" s="269">
        <f>ABS(F28)</f>
        <v>2801505.114</v>
      </c>
      <c r="BU28" s="269">
        <f>IFERROR(ABS(G28),0)</f>
        <v>7878.79782954491</v>
      </c>
      <c r="BV28" s="270"/>
      <c r="BW28" s="247"/>
      <c r="BX28" s="247"/>
      <c r="BY28" s="268">
        <f>SUM(BY7:BY27)</f>
        <v>1</v>
      </c>
      <c r="BZ28" s="247"/>
    </row>
    <row r="29" ht="15" customHeight="1" spans="1:78">
      <c r="A29" s="229" t="str">
        <f>参数表!F$6</f>
        <v>产权持有单位填表人：贾广东</v>
      </c>
      <c r="B29" s="288"/>
      <c r="C29" s="288"/>
      <c r="D29" s="288"/>
      <c r="E29" s="229" t="str">
        <f>"评估人员："&amp;封面!$G$20</f>
        <v>评估人员：栗祥宁</v>
      </c>
      <c r="F29" s="1387"/>
      <c r="G29" s="1388"/>
    </row>
    <row r="30" ht="15" customHeight="1" spans="1:78">
      <c r="A30" s="229" t="str">
        <f>参数表!F$7</f>
        <v>填表日期：2025年9月20日</v>
      </c>
    </row>
  </sheetData>
  <sheetProtection autoFilter="0"/>
  <mergeCells count="8">
    <mergeCell ref="A2:G2"/>
    <mergeCell ref="A3:G3"/>
    <mergeCell ref="BA4:BH4"/>
    <mergeCell ref="BJ4:BQ4"/>
    <mergeCell ref="BA5:BD5"/>
    <mergeCell ref="BE5:BH5"/>
    <mergeCell ref="BJ5:BM5"/>
    <mergeCell ref="BN5:BQ5"/>
  </mergeCells>
  <conditionalFormatting sqref="D32:E32">
    <cfRule type="cellIs" dxfId="1" priority="5" operator="notEqual">
      <formula>0</formula>
    </cfRule>
  </conditionalFormatting>
  <conditionalFormatting sqref="C7:G7 C7:F20 C14:G24 A25:G27">
    <cfRule type="expression" dxfId="3" priority="4">
      <formula>$D7+$E7=0</formula>
    </cfRule>
  </conditionalFormatting>
  <hyperlinks>
    <hyperlink ref="B9" location="交易性金融资产汇总!B1" display="交易性金融资产"/>
    <hyperlink ref="B19" location="一年到期非流动资产!B1" display="一年内到期的非流动资产"/>
    <hyperlink ref="B20" location="其他流动资产!B1" display="其他流动资产"/>
    <hyperlink ref="B7" location="其他货币资金!B1" display="货币资金"/>
    <hyperlink ref="A1" location="索引目录!C6" display="返回索引页"/>
    <hyperlink ref="B1" location="评估结果分类汇总表!B7" display="返回"/>
    <hyperlink ref="B11" location="应收票据!B1" display="应收票据"/>
    <hyperlink ref="B12" location="应收账款!B1" display="应收账款"/>
    <hyperlink ref="B14" location="预付账款!B1" display="预付账款"/>
    <hyperlink ref="B15" location="其他应收款!B1" display="其他应收款"/>
    <hyperlink ref="B16" location="存货汇总!B1" display="存货"/>
  </hyperlinks>
  <printOptions horizontalCentered="1"/>
  <pageMargins left="0.393700787401575" right="0.393700787401575" top="0.984251968503937" bottom="0.393700787401575" header="0.984251968503937" footer="0.393700787401575"/>
  <pageSetup paperSize="9" orientation="landscape"/>
  <headerFooter alignWithMargins="0">
    <oddHeader>&amp;R&amp;"宋体,常规"&amp;11共&amp;"Times New Roman,常规"&amp;N&amp;"宋体,常规"页，第&amp;"Times New Roman,常规"&amp;P&amp;"宋体,常规"页&amp;"Times New Roman,常规"</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FF0000"/>
  </sheetPr>
  <dimension ref="A1:CC36"/>
  <sheetViews>
    <sheetView zoomScale="90" zoomScaleNormal="90" workbookViewId="0">
      <pane xSplit="2" ySplit="7" topLeftCell="D8" activePane="bottomRight" state="frozen"/>
      <selection/>
      <selection pane="topRight"/>
      <selection pane="bottomLeft"/>
      <selection pane="bottomRight" activeCell="E45" sqref="E45"/>
    </sheetView>
  </sheetViews>
  <sheetFormatPr defaultColWidth="9" defaultRowHeight="15.75" customHeight="1"/>
  <cols>
    <col min="1" max="1" width="8.6" style="229" customWidth="1"/>
    <col min="2" max="2" width="32.6" style="229" customWidth="1"/>
    <col min="3" max="3" width="20.6" style="229" hidden="1" customWidth="1" outlineLevel="1"/>
    <col min="4" max="4" width="20.6" style="229" customWidth="1" collapsed="1"/>
    <col min="5" max="7" width="20.6" style="229" customWidth="1"/>
    <col min="8" max="52" width="9" style="229" hidden="1" customWidth="1" outlineLevel="1"/>
    <col min="53" max="53" width="10.6" style="1356" customWidth="1" collapsed="1"/>
    <col min="54" max="60" width="10.6" style="1356" customWidth="1"/>
    <col min="61" max="61" width="1.6" style="1304" customWidth="1"/>
    <col min="62" max="69" width="10.6" style="1304" customWidth="1"/>
    <col min="70" max="70" width="1.6" style="229" customWidth="1"/>
    <col min="71" max="76" width="8.6" style="158" customWidth="1"/>
    <col min="77" max="77" width="8.6" style="228" customWidth="1"/>
    <col min="78" max="78" width="8.6" style="158" customWidth="1"/>
    <col min="79" max="81" width="8.6" style="75" customWidth="1"/>
    <col min="82" max="16384" width="9" style="229"/>
  </cols>
  <sheetData>
    <row r="1" s="232" customFormat="1" ht="13.8" spans="1:81">
      <c r="A1" s="1357" t="s">
        <v>1591</v>
      </c>
      <c r="B1" s="1357" t="s">
        <v>1592</v>
      </c>
      <c r="C1" s="1358"/>
      <c r="D1" s="1358"/>
      <c r="E1" s="1358"/>
      <c r="F1" s="1358"/>
      <c r="G1" s="1358"/>
      <c r="BA1" s="1359" t="str">
        <f>参数表!BA1</f>
        <v>注意：补充特殊事项、作价等均从BA列开始填写</v>
      </c>
      <c r="BB1" s="1359"/>
      <c r="BC1" s="1360"/>
      <c r="BD1" s="1360"/>
      <c r="BE1" s="1360"/>
      <c r="BF1" s="1360"/>
      <c r="BG1" s="1360"/>
      <c r="BH1" s="1360"/>
      <c r="BI1" s="1360"/>
      <c r="BJ1" s="1360"/>
      <c r="BK1" s="1360"/>
      <c r="BL1" s="1360"/>
      <c r="BM1" s="1360"/>
      <c r="BN1" s="1360"/>
      <c r="BO1" s="1360"/>
      <c r="BP1" s="1360"/>
      <c r="BQ1" s="1360"/>
      <c r="BS1" s="86"/>
      <c r="BT1" s="86"/>
      <c r="BU1" s="86"/>
      <c r="BV1" s="86"/>
      <c r="BW1" s="86"/>
      <c r="BX1" s="86"/>
      <c r="BY1" s="82"/>
      <c r="BZ1" s="86"/>
      <c r="CA1" s="70"/>
      <c r="CB1" s="70"/>
      <c r="CC1" s="70"/>
    </row>
    <row r="2" s="237" customFormat="1" ht="30" customHeight="1" spans="1:81">
      <c r="A2" s="1361" t="s">
        <v>1624</v>
      </c>
      <c r="B2" s="1361"/>
      <c r="C2" s="1361"/>
      <c r="D2" s="1361"/>
      <c r="E2" s="1361"/>
      <c r="F2" s="1361"/>
      <c r="G2" s="1361"/>
      <c r="BA2" s="1359" t="str">
        <f>参数表!BA2</f>
        <v>评估基准日：</v>
      </c>
      <c r="BB2" s="1359" t="str">
        <f>参数表!BB2</f>
        <v>2025年7月31日</v>
      </c>
      <c r="BC2" s="1362"/>
      <c r="BD2" s="1362"/>
      <c r="BE2" s="1362"/>
      <c r="BF2" s="1362"/>
      <c r="BG2" s="1362"/>
      <c r="BH2" s="1362"/>
      <c r="BI2" s="1362"/>
      <c r="BJ2" s="1362"/>
      <c r="BK2" s="1362"/>
      <c r="BL2" s="1362"/>
      <c r="BM2" s="1362"/>
      <c r="BN2" s="1362"/>
      <c r="BO2" s="1362"/>
      <c r="BP2" s="1362"/>
      <c r="BQ2" s="1362"/>
      <c r="BS2" s="235"/>
      <c r="BT2" s="235"/>
      <c r="BU2" s="235"/>
      <c r="BV2" s="235"/>
      <c r="BW2" s="235"/>
      <c r="BX2" s="235"/>
      <c r="BY2" s="236"/>
      <c r="BZ2" s="235"/>
      <c r="CA2" s="71"/>
      <c r="CB2" s="71"/>
      <c r="CC2" s="71"/>
    </row>
    <row r="3" ht="15" customHeight="1" spans="1:81">
      <c r="A3" s="1363" t="str">
        <f>参数表!F5</f>
        <v>评估基准日：2025年7月31日</v>
      </c>
      <c r="B3" s="1363"/>
      <c r="C3" s="1363"/>
      <c r="D3" s="1363"/>
      <c r="E3" s="1363"/>
      <c r="F3" s="1363"/>
      <c r="G3" s="1363"/>
      <c r="BA3" s="1359" t="str">
        <f>参数表!BA3</f>
        <v>是否显示评估值：</v>
      </c>
      <c r="BB3" s="1359" t="str">
        <f>参数表!BB3</f>
        <v>是</v>
      </c>
      <c r="BC3" s="1304"/>
      <c r="BD3" s="1304"/>
      <c r="BE3" s="1304"/>
      <c r="BF3" s="1304"/>
      <c r="BG3" s="1304"/>
      <c r="BH3" s="1304"/>
    </row>
    <row r="4" ht="15" customHeight="1" spans="1:81">
      <c r="A4" s="1363"/>
      <c r="B4" s="1363"/>
      <c r="C4" s="1363"/>
      <c r="D4" s="1363"/>
      <c r="E4" s="1363"/>
      <c r="F4" s="1363"/>
      <c r="G4" s="1364" t="str">
        <f>"表"&amp;A28</f>
        <v>表3-1</v>
      </c>
      <c r="BA4" s="240" t="s">
        <v>1595</v>
      </c>
      <c r="BB4" s="241"/>
      <c r="BC4" s="241"/>
      <c r="BD4" s="241"/>
      <c r="BE4" s="241"/>
      <c r="BF4" s="241"/>
      <c r="BG4" s="241"/>
      <c r="BH4" s="241"/>
      <c r="BJ4" s="241" t="s">
        <v>1545</v>
      </c>
      <c r="BK4" s="241"/>
      <c r="BL4" s="241"/>
      <c r="BM4" s="241"/>
      <c r="BN4" s="241"/>
      <c r="BO4" s="241"/>
      <c r="BP4" s="241"/>
      <c r="BQ4" s="241"/>
      <c r="BR4" s="288"/>
      <c r="BS4" s="228" t="str">
        <f>LEFT(A2,LEN(A2)-5)</f>
        <v>货币资金</v>
      </c>
    </row>
    <row r="5" ht="15" customHeight="1" spans="1:81">
      <c r="A5" s="1365" t="str">
        <f>参数表!F3</f>
        <v>产权持有单位:中煤第五建设有限公司</v>
      </c>
      <c r="G5" s="1366" t="s">
        <v>1596</v>
      </c>
      <c r="BA5" s="245" t="s">
        <v>1523</v>
      </c>
      <c r="BB5" s="245"/>
      <c r="BC5" s="245"/>
      <c r="BD5" s="245"/>
      <c r="BE5" s="246" t="s">
        <v>1524</v>
      </c>
      <c r="BF5" s="246"/>
      <c r="BG5" s="246"/>
      <c r="BH5" s="246"/>
      <c r="BJ5" s="245" t="s">
        <v>1523</v>
      </c>
      <c r="BK5" s="245"/>
      <c r="BL5" s="245"/>
      <c r="BM5" s="245"/>
      <c r="BN5" s="246" t="s">
        <v>1524</v>
      </c>
      <c r="BO5" s="246"/>
      <c r="BP5" s="246"/>
      <c r="BQ5" s="246"/>
      <c r="BR5" s="288"/>
      <c r="BS5" s="247" t="str">
        <f>BS4&amp;IF(BY28&lt;2,"为：","包括：")</f>
        <v>货币资金为：</v>
      </c>
      <c r="BT5" s="248" t="str">
        <f>CONCATENATE(BW7,BX7,BW8,BX8,BW9,BX9,BW10,BX10,BW11,BX11,BW12,BX12,BW13,BX13,BW14,BX14,BW15,BX15,BW16,BX16)&amp;CONCATENATE(BW17,BX17,BW18,BX18,BW19,BX19,BW20,BX20,BW21,BX21,BW22,BX22,BW23,BX23,BW24,BX24,BW25,BX25,BW26,BX26,BW27)</f>
        <v/>
      </c>
    </row>
    <row r="6" s="254" customFormat="1" ht="15" customHeight="1" spans="1:81">
      <c r="A6" s="1367" t="s">
        <v>1597</v>
      </c>
      <c r="B6" s="1367" t="s">
        <v>1548</v>
      </c>
      <c r="C6" s="1367" t="s">
        <v>1598</v>
      </c>
      <c r="D6" s="1367" t="s">
        <v>1599</v>
      </c>
      <c r="E6" s="1367" t="s">
        <v>1600</v>
      </c>
      <c r="F6" s="1367" t="s">
        <v>1601</v>
      </c>
      <c r="G6" s="1367" t="s">
        <v>1602</v>
      </c>
      <c r="BA6" s="246" t="s">
        <v>1556</v>
      </c>
      <c r="BB6" s="246" t="s">
        <v>1557</v>
      </c>
      <c r="BC6" s="246" t="s">
        <v>1558</v>
      </c>
      <c r="BD6" s="246" t="s">
        <v>271</v>
      </c>
      <c r="BE6" s="246" t="s">
        <v>1556</v>
      </c>
      <c r="BF6" s="246" t="s">
        <v>1557</v>
      </c>
      <c r="BG6" s="246" t="s">
        <v>1558</v>
      </c>
      <c r="BH6" s="246" t="s">
        <v>271</v>
      </c>
      <c r="BI6" s="1368"/>
      <c r="BJ6" s="246" t="s">
        <v>1556</v>
      </c>
      <c r="BK6" s="246" t="s">
        <v>1557</v>
      </c>
      <c r="BL6" s="246" t="s">
        <v>1558</v>
      </c>
      <c r="BM6" s="246" t="s">
        <v>271</v>
      </c>
      <c r="BN6" s="246" t="s">
        <v>1556</v>
      </c>
      <c r="BO6" s="246" t="s">
        <v>1557</v>
      </c>
      <c r="BP6" s="246" t="s">
        <v>1558</v>
      </c>
      <c r="BQ6" s="246" t="s">
        <v>271</v>
      </c>
      <c r="BR6" s="1369"/>
      <c r="BS6" s="228" t="s">
        <v>1527</v>
      </c>
      <c r="BT6" s="228" t="s">
        <v>1528</v>
      </c>
      <c r="BU6" s="228" t="s">
        <v>1529</v>
      </c>
      <c r="BV6" s="253" t="s">
        <v>1604</v>
      </c>
      <c r="BW6" s="228" t="s">
        <v>1605</v>
      </c>
      <c r="BX6" s="228" t="s">
        <v>1606</v>
      </c>
      <c r="BY6" s="228" t="s">
        <v>1607</v>
      </c>
      <c r="BZ6" s="228" t="s">
        <v>1608</v>
      </c>
    </row>
    <row r="7" ht="15" customHeight="1" spans="1:81">
      <c r="A7" s="1370" t="str">
        <f>A$28&amp;"-"&amp;SUBTOTAL(3,B$7:B7)</f>
        <v>3-1-1</v>
      </c>
      <c r="B7" s="1371" t="s">
        <v>1625</v>
      </c>
      <c r="C7" s="256">
        <f>现金!F27</f>
        <v>0</v>
      </c>
      <c r="D7" s="256">
        <f>现金!H27</f>
        <v>0</v>
      </c>
      <c r="E7" s="256">
        <f>现金!I27</f>
        <v>0</v>
      </c>
      <c r="F7" s="256">
        <f>E7-D7</f>
        <v>0</v>
      </c>
      <c r="G7" s="256" t="str">
        <f t="shared" ref="G7:G28" si="0">IF(D7=0,"",F7/D7*100)</f>
        <v/>
      </c>
      <c r="BA7" s="256">
        <f>BB7</f>
        <v>0</v>
      </c>
      <c r="BB7" s="256">
        <f>D7</f>
        <v>0</v>
      </c>
      <c r="BC7" s="256">
        <f>0</f>
        <v>0</v>
      </c>
      <c r="BD7" s="256">
        <f>BB7-BC7</f>
        <v>0</v>
      </c>
      <c r="BE7" s="256">
        <f>BF7</f>
        <v>0</v>
      </c>
      <c r="BF7" s="256">
        <f>E7</f>
        <v>0</v>
      </c>
      <c r="BG7" s="256">
        <f>0</f>
        <v>0</v>
      </c>
      <c r="BH7" s="256">
        <f>BF7-BG7</f>
        <v>0</v>
      </c>
      <c r="BJ7" s="256">
        <f>BK7</f>
        <v>0</v>
      </c>
      <c r="BK7" s="256">
        <f>现金!H30</f>
        <v>0</v>
      </c>
      <c r="BL7" s="256">
        <f>0</f>
        <v>0</v>
      </c>
      <c r="BM7" s="256">
        <f>BK7-BL7</f>
        <v>0</v>
      </c>
      <c r="BN7" s="256">
        <f>BO7</f>
        <v>0</v>
      </c>
      <c r="BO7" s="256">
        <f>现金!I30</f>
        <v>0</v>
      </c>
      <c r="BP7" s="256">
        <f>0</f>
        <v>0</v>
      </c>
      <c r="BQ7" s="256">
        <f>BO7-BP7</f>
        <v>0</v>
      </c>
      <c r="BR7" s="288"/>
      <c r="BS7" s="228" t="str">
        <f t="shared" ref="BS7:BS9" si="1">IF(F7&gt;0,"增值",IF(F7=0,"无增减值","减值"))</f>
        <v>无增减值</v>
      </c>
      <c r="BT7" s="257">
        <f t="shared" ref="BT7:BT9" si="2">ABS(F7)</f>
        <v>0</v>
      </c>
      <c r="BU7" s="257">
        <f t="shared" ref="BU7:BU9" si="3">IFERROR(ABS(G7),0)</f>
        <v>0</v>
      </c>
      <c r="BV7" s="258">
        <f t="shared" ref="BV7:BV9" si="4">IFERROR(FIND("-",B7),0)</f>
        <v>0</v>
      </c>
      <c r="BW7" s="259" t="str">
        <f>IF(SUM(BA7:BH7)=0,"",RIGHT(B7,LEN(B7)-BV7))</f>
        <v/>
      </c>
      <c r="BX7" s="158" t="str">
        <f>IF(BY7="","",IF(BZ7&gt;1,"、",IF(BZ7=1,"和","")))</f>
        <v/>
      </c>
      <c r="BY7" s="158" t="str">
        <f>IF(BW7="","",1)</f>
        <v/>
      </c>
      <c r="BZ7" s="228">
        <f>COUNT(BY8:BY$27)</f>
        <v>0</v>
      </c>
    </row>
    <row r="8" ht="15" customHeight="1" spans="1:81">
      <c r="A8" s="1370" t="str">
        <f>A$28&amp;"-"&amp;SUBTOTAL(3,B$7:B8)</f>
        <v>3-1-2</v>
      </c>
      <c r="B8" s="1371" t="s">
        <v>1626</v>
      </c>
      <c r="C8" s="256">
        <f>银行存款!G27</f>
        <v>0</v>
      </c>
      <c r="D8" s="256">
        <f>银行存款!I27</f>
        <v>0</v>
      </c>
      <c r="E8" s="256">
        <f>银行存款!J27</f>
        <v>0</v>
      </c>
      <c r="F8" s="256">
        <f>E8-D8</f>
        <v>0</v>
      </c>
      <c r="G8" s="256" t="str">
        <f t="shared" si="0"/>
        <v/>
      </c>
      <c r="BA8" s="256">
        <f t="shared" ref="BA8:BA9" si="5">BB8</f>
        <v>0</v>
      </c>
      <c r="BB8" s="256">
        <f t="shared" ref="BB8:BB9" si="6">D8</f>
        <v>0</v>
      </c>
      <c r="BC8" s="256">
        <f>0</f>
        <v>0</v>
      </c>
      <c r="BD8" s="256">
        <f t="shared" ref="BD8:BD9" si="7">BB8-BC8</f>
        <v>0</v>
      </c>
      <c r="BE8" s="256">
        <f t="shared" ref="BE8:BE9" si="8">BF8</f>
        <v>0</v>
      </c>
      <c r="BF8" s="256">
        <f t="shared" ref="BF8:BF9" si="9">E8</f>
        <v>0</v>
      </c>
      <c r="BG8" s="256">
        <f>0</f>
        <v>0</v>
      </c>
      <c r="BH8" s="256">
        <f t="shared" ref="BH8:BH9" si="10">BF8-BG8</f>
        <v>0</v>
      </c>
      <c r="BJ8" s="256">
        <f t="shared" ref="BJ8:BJ9" si="11">BK8</f>
        <v>0</v>
      </c>
      <c r="BK8" s="256">
        <f>银行存款!I30</f>
        <v>0</v>
      </c>
      <c r="BL8" s="256">
        <f>0</f>
        <v>0</v>
      </c>
      <c r="BM8" s="256">
        <f t="shared" ref="BM8:BM9" si="12">BK8-BL8</f>
        <v>0</v>
      </c>
      <c r="BN8" s="256">
        <f t="shared" ref="BN8:BN9" si="13">BO8</f>
        <v>0</v>
      </c>
      <c r="BO8" s="256">
        <f>银行存款!J30</f>
        <v>0</v>
      </c>
      <c r="BP8" s="256">
        <f>0</f>
        <v>0</v>
      </c>
      <c r="BQ8" s="256">
        <f t="shared" ref="BQ8:BQ9" si="14">BO8-BP8</f>
        <v>0</v>
      </c>
      <c r="BR8" s="288"/>
      <c r="BS8" s="228" t="str">
        <f t="shared" si="1"/>
        <v>无增减值</v>
      </c>
      <c r="BT8" s="257">
        <f t="shared" si="2"/>
        <v>0</v>
      </c>
      <c r="BU8" s="257">
        <f t="shared" si="3"/>
        <v>0</v>
      </c>
      <c r="BV8" s="258">
        <f t="shared" si="4"/>
        <v>0</v>
      </c>
      <c r="BW8" s="259" t="str">
        <f t="shared" ref="BW8:BW9" si="15">IF(SUM(BA8:BH8)=0,"",RIGHT(B8,LEN(B8)-BV8))</f>
        <v/>
      </c>
      <c r="BX8" s="158" t="str">
        <f t="shared" ref="BX8:BX9" si="16">IF(BY8="","",IF(BZ8&gt;1,"、",IF(BZ8=1,"和","")))</f>
        <v/>
      </c>
      <c r="BY8" s="158" t="str">
        <f t="shared" ref="BY8:BY9" si="17">IF(BW8="","",1)</f>
        <v/>
      </c>
      <c r="BZ8" s="228">
        <f>COUNT(BY9:BY$27)</f>
        <v>0</v>
      </c>
    </row>
    <row r="9" ht="15" customHeight="1" spans="1:81">
      <c r="A9" s="1370" t="str">
        <f>A$28&amp;"-"&amp;SUBTOTAL(3,B$7:B9)</f>
        <v>3-1-3</v>
      </c>
      <c r="B9" s="1371" t="s">
        <v>1627</v>
      </c>
      <c r="C9" s="256">
        <f>其他货币!H27</f>
        <v>0</v>
      </c>
      <c r="D9" s="256">
        <f>其他货币!J27</f>
        <v>0</v>
      </c>
      <c r="E9" s="256">
        <f>其他货币!K27</f>
        <v>0</v>
      </c>
      <c r="F9" s="256">
        <f>E9-D9</f>
        <v>0</v>
      </c>
      <c r="G9" s="256" t="str">
        <f t="shared" si="0"/>
        <v/>
      </c>
      <c r="BA9" s="256">
        <f t="shared" si="5"/>
        <v>0</v>
      </c>
      <c r="BB9" s="256">
        <f t="shared" si="6"/>
        <v>0</v>
      </c>
      <c r="BC9" s="256">
        <f>0</f>
        <v>0</v>
      </c>
      <c r="BD9" s="256">
        <f t="shared" si="7"/>
        <v>0</v>
      </c>
      <c r="BE9" s="256">
        <f t="shared" si="8"/>
        <v>0</v>
      </c>
      <c r="BF9" s="256">
        <f t="shared" si="9"/>
        <v>0</v>
      </c>
      <c r="BG9" s="256">
        <f>0</f>
        <v>0</v>
      </c>
      <c r="BH9" s="256">
        <f t="shared" si="10"/>
        <v>0</v>
      </c>
      <c r="BJ9" s="256">
        <f t="shared" si="11"/>
        <v>0</v>
      </c>
      <c r="BK9" s="256">
        <f>其他货币!J30</f>
        <v>0</v>
      </c>
      <c r="BL9" s="256">
        <f>0</f>
        <v>0</v>
      </c>
      <c r="BM9" s="256">
        <f t="shared" si="12"/>
        <v>0</v>
      </c>
      <c r="BN9" s="256">
        <f t="shared" si="13"/>
        <v>0</v>
      </c>
      <c r="BO9" s="256">
        <f>其他货币!K30</f>
        <v>0</v>
      </c>
      <c r="BP9" s="256">
        <f>0</f>
        <v>0</v>
      </c>
      <c r="BQ9" s="256">
        <f t="shared" si="14"/>
        <v>0</v>
      </c>
      <c r="BR9" s="288"/>
      <c r="BS9" s="228" t="str">
        <f t="shared" si="1"/>
        <v>无增减值</v>
      </c>
      <c r="BT9" s="257">
        <f t="shared" si="2"/>
        <v>0</v>
      </c>
      <c r="BU9" s="257">
        <f t="shared" si="3"/>
        <v>0</v>
      </c>
      <c r="BV9" s="258">
        <f t="shared" si="4"/>
        <v>0</v>
      </c>
      <c r="BW9" s="259" t="str">
        <f t="shared" si="15"/>
        <v/>
      </c>
      <c r="BX9" s="158" t="str">
        <f t="shared" si="16"/>
        <v/>
      </c>
      <c r="BY9" s="158" t="str">
        <f t="shared" si="17"/>
        <v/>
      </c>
      <c r="BZ9" s="228">
        <f>COUNT(BY10:BY$27)</f>
        <v>0</v>
      </c>
    </row>
    <row r="10" ht="15" customHeight="1" spans="1:81">
      <c r="A10" s="1372"/>
      <c r="B10" s="1373"/>
      <c r="C10" s="256"/>
      <c r="D10" s="256"/>
      <c r="E10" s="256"/>
      <c r="F10" s="256"/>
      <c r="G10" s="256" t="str">
        <f t="shared" si="0"/>
        <v/>
      </c>
      <c r="BA10" s="256"/>
      <c r="BB10" s="256"/>
      <c r="BC10" s="256"/>
      <c r="BD10" s="256"/>
      <c r="BE10" s="256"/>
      <c r="BF10" s="256"/>
      <c r="BG10" s="256"/>
      <c r="BH10" s="256"/>
      <c r="BJ10" s="256"/>
      <c r="BK10" s="256"/>
      <c r="BL10" s="256"/>
      <c r="BM10" s="256"/>
      <c r="BN10" s="256"/>
      <c r="BO10" s="256"/>
      <c r="BP10" s="256"/>
      <c r="BQ10" s="256"/>
      <c r="BR10" s="288"/>
      <c r="BS10" s="228"/>
      <c r="BT10" s="257"/>
      <c r="BU10" s="257"/>
      <c r="BV10" s="258"/>
      <c r="BW10" s="259"/>
      <c r="BY10" s="158"/>
      <c r="BZ10" s="228"/>
    </row>
    <row r="11" ht="15" customHeight="1" spans="1:81">
      <c r="A11" s="1372"/>
      <c r="B11" s="1373"/>
      <c r="C11" s="256"/>
      <c r="D11" s="256"/>
      <c r="E11" s="256"/>
      <c r="F11" s="256"/>
      <c r="G11" s="256" t="str">
        <f t="shared" si="0"/>
        <v/>
      </c>
      <c r="BA11" s="256"/>
      <c r="BB11" s="256"/>
      <c r="BC11" s="256"/>
      <c r="BD11" s="256"/>
      <c r="BE11" s="256"/>
      <c r="BF11" s="256"/>
      <c r="BG11" s="256"/>
      <c r="BH11" s="256"/>
      <c r="BJ11" s="256"/>
      <c r="BK11" s="256"/>
      <c r="BL11" s="256"/>
      <c r="BM11" s="256"/>
      <c r="BN11" s="256"/>
      <c r="BO11" s="256"/>
      <c r="BP11" s="256"/>
      <c r="BQ11" s="256"/>
      <c r="BR11" s="288"/>
      <c r="BS11" s="228"/>
      <c r="BT11" s="257"/>
      <c r="BU11" s="257"/>
      <c r="BV11" s="258"/>
      <c r="BW11" s="259"/>
      <c r="BY11" s="158"/>
      <c r="BZ11" s="228"/>
    </row>
    <row r="12" ht="15" customHeight="1" spans="1:81">
      <c r="A12" s="1372"/>
      <c r="B12" s="1373"/>
      <c r="C12" s="256"/>
      <c r="D12" s="256"/>
      <c r="E12" s="256"/>
      <c r="F12" s="256"/>
      <c r="G12" s="256" t="str">
        <f t="shared" si="0"/>
        <v/>
      </c>
      <c r="BA12" s="256"/>
      <c r="BB12" s="256"/>
      <c r="BC12" s="256"/>
      <c r="BD12" s="256"/>
      <c r="BE12" s="256"/>
      <c r="BF12" s="256"/>
      <c r="BG12" s="256"/>
      <c r="BH12" s="256"/>
      <c r="BJ12" s="256"/>
      <c r="BK12" s="256"/>
      <c r="BL12" s="256"/>
      <c r="BM12" s="256"/>
      <c r="BN12" s="256"/>
      <c r="BO12" s="256"/>
      <c r="BP12" s="256"/>
      <c r="BQ12" s="256"/>
      <c r="BR12" s="288"/>
      <c r="BS12" s="228"/>
      <c r="BT12" s="257"/>
      <c r="BU12" s="257"/>
      <c r="BV12" s="258"/>
      <c r="BW12" s="259"/>
      <c r="BY12" s="158"/>
      <c r="BZ12" s="228"/>
    </row>
    <row r="13" ht="15" customHeight="1" spans="1:81">
      <c r="A13" s="1372"/>
      <c r="B13" s="1373"/>
      <c r="C13" s="256"/>
      <c r="D13" s="256"/>
      <c r="E13" s="256"/>
      <c r="F13" s="256"/>
      <c r="G13" s="256" t="str">
        <f t="shared" si="0"/>
        <v/>
      </c>
      <c r="BA13" s="256"/>
      <c r="BB13" s="256"/>
      <c r="BC13" s="256"/>
      <c r="BD13" s="256"/>
      <c r="BE13" s="256"/>
      <c r="BF13" s="256"/>
      <c r="BG13" s="256"/>
      <c r="BH13" s="256"/>
      <c r="BJ13" s="256"/>
      <c r="BK13" s="256"/>
      <c r="BL13" s="256"/>
      <c r="BM13" s="256"/>
      <c r="BN13" s="256"/>
      <c r="BO13" s="256"/>
      <c r="BP13" s="256"/>
      <c r="BQ13" s="256"/>
      <c r="BR13" s="288"/>
      <c r="BS13" s="228"/>
      <c r="BT13" s="257"/>
      <c r="BU13" s="257"/>
      <c r="BV13" s="258"/>
      <c r="BW13" s="259"/>
      <c r="BY13" s="158"/>
      <c r="BZ13" s="228"/>
    </row>
    <row r="14" ht="15" customHeight="1" spans="1:81">
      <c r="A14" s="1372"/>
      <c r="B14" s="1373"/>
      <c r="C14" s="256"/>
      <c r="D14" s="256"/>
      <c r="E14" s="256"/>
      <c r="F14" s="256"/>
      <c r="G14" s="256" t="str">
        <f t="shared" si="0"/>
        <v/>
      </c>
      <c r="BA14" s="256"/>
      <c r="BB14" s="256"/>
      <c r="BC14" s="256"/>
      <c r="BD14" s="256"/>
      <c r="BE14" s="256"/>
      <c r="BF14" s="256"/>
      <c r="BG14" s="256"/>
      <c r="BH14" s="256"/>
      <c r="BJ14" s="256"/>
      <c r="BK14" s="256"/>
      <c r="BL14" s="256"/>
      <c r="BM14" s="256"/>
      <c r="BN14" s="256"/>
      <c r="BO14" s="256"/>
      <c r="BP14" s="256"/>
      <c r="BQ14" s="256"/>
      <c r="BR14" s="288"/>
      <c r="BS14" s="228"/>
      <c r="BT14" s="257"/>
      <c r="BU14" s="257"/>
      <c r="BV14" s="258"/>
      <c r="BW14" s="259"/>
      <c r="BY14" s="158"/>
      <c r="BZ14" s="228"/>
    </row>
    <row r="15" ht="15" customHeight="1" spans="1:81">
      <c r="A15" s="1372"/>
      <c r="B15" s="1373"/>
      <c r="C15" s="256"/>
      <c r="D15" s="256"/>
      <c r="E15" s="256"/>
      <c r="F15" s="256"/>
      <c r="G15" s="256" t="str">
        <f t="shared" si="0"/>
        <v/>
      </c>
      <c r="BA15" s="256"/>
      <c r="BB15" s="256"/>
      <c r="BC15" s="256"/>
      <c r="BD15" s="256"/>
      <c r="BE15" s="256"/>
      <c r="BF15" s="256"/>
      <c r="BG15" s="256"/>
      <c r="BH15" s="256"/>
      <c r="BJ15" s="256"/>
      <c r="BK15" s="256"/>
      <c r="BL15" s="256"/>
      <c r="BM15" s="256"/>
      <c r="BN15" s="256"/>
      <c r="BO15" s="256"/>
      <c r="BP15" s="256"/>
      <c r="BQ15" s="256"/>
      <c r="BR15" s="288"/>
      <c r="BS15" s="228"/>
      <c r="BT15" s="257"/>
      <c r="BU15" s="257"/>
      <c r="BV15" s="258"/>
      <c r="BW15" s="259"/>
      <c r="BY15" s="158"/>
      <c r="BZ15" s="228"/>
    </row>
    <row r="16" ht="15" customHeight="1" spans="1:81">
      <c r="A16" s="1372"/>
      <c r="B16" s="1373"/>
      <c r="C16" s="256"/>
      <c r="D16" s="256"/>
      <c r="E16" s="256"/>
      <c r="F16" s="256"/>
      <c r="G16" s="256" t="str">
        <f t="shared" si="0"/>
        <v/>
      </c>
      <c r="BA16" s="256"/>
      <c r="BB16" s="256"/>
      <c r="BC16" s="256"/>
      <c r="BD16" s="256"/>
      <c r="BE16" s="256"/>
      <c r="BF16" s="256"/>
      <c r="BG16" s="256"/>
      <c r="BH16" s="256"/>
      <c r="BJ16" s="256"/>
      <c r="BK16" s="256"/>
      <c r="BL16" s="256"/>
      <c r="BM16" s="256"/>
      <c r="BN16" s="256"/>
      <c r="BO16" s="256"/>
      <c r="BP16" s="256"/>
      <c r="BQ16" s="256"/>
      <c r="BR16" s="288"/>
      <c r="BS16" s="228"/>
      <c r="BT16" s="257"/>
      <c r="BU16" s="257"/>
      <c r="BV16" s="258"/>
      <c r="BW16" s="259"/>
      <c r="BY16" s="158"/>
      <c r="BZ16" s="228"/>
    </row>
    <row r="17" ht="15" customHeight="1" spans="1:78">
      <c r="A17" s="1372"/>
      <c r="B17" s="1373"/>
      <c r="C17" s="256"/>
      <c r="D17" s="256"/>
      <c r="E17" s="256"/>
      <c r="F17" s="256"/>
      <c r="G17" s="256" t="str">
        <f t="shared" si="0"/>
        <v/>
      </c>
      <c r="BA17" s="256"/>
      <c r="BB17" s="256"/>
      <c r="BC17" s="256"/>
      <c r="BD17" s="256"/>
      <c r="BE17" s="256"/>
      <c r="BF17" s="256"/>
      <c r="BG17" s="256"/>
      <c r="BH17" s="256"/>
      <c r="BJ17" s="256"/>
      <c r="BK17" s="256"/>
      <c r="BL17" s="256"/>
      <c r="BM17" s="256"/>
      <c r="BN17" s="256"/>
      <c r="BO17" s="256"/>
      <c r="BP17" s="256"/>
      <c r="BQ17" s="256"/>
      <c r="BR17" s="288"/>
      <c r="BS17" s="228"/>
      <c r="BT17" s="257"/>
      <c r="BU17" s="257"/>
      <c r="BV17" s="258"/>
      <c r="BW17" s="259"/>
      <c r="BY17" s="158"/>
      <c r="BZ17" s="228"/>
    </row>
    <row r="18" ht="15" customHeight="1" spans="1:78">
      <c r="A18" s="1372"/>
      <c r="B18" s="1374"/>
      <c r="C18" s="256"/>
      <c r="D18" s="256"/>
      <c r="E18" s="256"/>
      <c r="F18" s="256"/>
      <c r="G18" s="256" t="str">
        <f t="shared" si="0"/>
        <v/>
      </c>
      <c r="BA18" s="256"/>
      <c r="BB18" s="256"/>
      <c r="BC18" s="256"/>
      <c r="BD18" s="256"/>
      <c r="BE18" s="256"/>
      <c r="BF18" s="256"/>
      <c r="BG18" s="256"/>
      <c r="BH18" s="256"/>
      <c r="BJ18" s="256"/>
      <c r="BK18" s="256"/>
      <c r="BL18" s="256"/>
      <c r="BM18" s="256"/>
      <c r="BN18" s="256"/>
      <c r="BO18" s="256"/>
      <c r="BP18" s="256"/>
      <c r="BQ18" s="256"/>
      <c r="BR18" s="288"/>
      <c r="BS18" s="228"/>
      <c r="BT18" s="257"/>
      <c r="BU18" s="257"/>
      <c r="BV18" s="258"/>
      <c r="BW18" s="259"/>
      <c r="BY18" s="158"/>
      <c r="BZ18" s="228"/>
    </row>
    <row r="19" ht="15" customHeight="1" spans="1:78">
      <c r="A19" s="1372"/>
      <c r="B19" s="1374"/>
      <c r="C19" s="256"/>
      <c r="D19" s="256"/>
      <c r="E19" s="256"/>
      <c r="F19" s="256"/>
      <c r="G19" s="256"/>
      <c r="BA19" s="256"/>
      <c r="BB19" s="256"/>
      <c r="BC19" s="256"/>
      <c r="BD19" s="256"/>
      <c r="BE19" s="256"/>
      <c r="BF19" s="256"/>
      <c r="BG19" s="256"/>
      <c r="BH19" s="256"/>
      <c r="BJ19" s="256"/>
      <c r="BK19" s="256"/>
      <c r="BL19" s="256"/>
      <c r="BM19" s="256"/>
      <c r="BN19" s="256"/>
      <c r="BO19" s="256"/>
      <c r="BP19" s="256"/>
      <c r="BQ19" s="256"/>
      <c r="BR19" s="288"/>
      <c r="BS19" s="228"/>
      <c r="BT19" s="257"/>
      <c r="BU19" s="257"/>
      <c r="BV19" s="258"/>
      <c r="BW19" s="259"/>
      <c r="BY19" s="158"/>
      <c r="BZ19" s="228"/>
    </row>
    <row r="20" ht="15" customHeight="1" spans="1:78">
      <c r="A20" s="1372"/>
      <c r="B20" s="1374"/>
      <c r="C20" s="256"/>
      <c r="D20" s="256"/>
      <c r="E20" s="256"/>
      <c r="F20" s="256"/>
      <c r="G20" s="256" t="str">
        <f t="shared" si="0"/>
        <v/>
      </c>
      <c r="BA20" s="256"/>
      <c r="BB20" s="256"/>
      <c r="BC20" s="256"/>
      <c r="BD20" s="256"/>
      <c r="BE20" s="256"/>
      <c r="BF20" s="256"/>
      <c r="BG20" s="256"/>
      <c r="BH20" s="256"/>
      <c r="BJ20" s="256"/>
      <c r="BK20" s="256"/>
      <c r="BL20" s="256"/>
      <c r="BM20" s="256"/>
      <c r="BN20" s="256"/>
      <c r="BO20" s="256"/>
      <c r="BP20" s="256"/>
      <c r="BQ20" s="256"/>
      <c r="BR20" s="288"/>
      <c r="BS20" s="228"/>
      <c r="BT20" s="257"/>
      <c r="BU20" s="257"/>
      <c r="BV20" s="258"/>
      <c r="BW20" s="259"/>
      <c r="BY20" s="158"/>
      <c r="BZ20" s="228"/>
    </row>
    <row r="21" ht="15" customHeight="1" spans="1:78">
      <c r="A21" s="1372"/>
      <c r="B21" s="1374"/>
      <c r="C21" s="256"/>
      <c r="D21" s="256"/>
      <c r="E21" s="256"/>
      <c r="F21" s="256"/>
      <c r="G21" s="256" t="str">
        <f t="shared" si="0"/>
        <v/>
      </c>
      <c r="BA21" s="256"/>
      <c r="BB21" s="256"/>
      <c r="BC21" s="256"/>
      <c r="BD21" s="256"/>
      <c r="BE21" s="256"/>
      <c r="BF21" s="256"/>
      <c r="BG21" s="256"/>
      <c r="BH21" s="256"/>
      <c r="BJ21" s="256"/>
      <c r="BK21" s="256"/>
      <c r="BL21" s="256"/>
      <c r="BM21" s="256"/>
      <c r="BN21" s="256"/>
      <c r="BO21" s="256"/>
      <c r="BP21" s="256"/>
      <c r="BQ21" s="256"/>
      <c r="BR21" s="288"/>
      <c r="BS21" s="228"/>
      <c r="BT21" s="257"/>
      <c r="BU21" s="257"/>
      <c r="BV21" s="258"/>
      <c r="BW21" s="259"/>
      <c r="BY21" s="158"/>
      <c r="BZ21" s="228"/>
    </row>
    <row r="22" ht="15" customHeight="1" spans="1:78">
      <c r="A22" s="1372"/>
      <c r="B22" s="1374"/>
      <c r="C22" s="256"/>
      <c r="D22" s="256"/>
      <c r="E22" s="256"/>
      <c r="F22" s="256"/>
      <c r="G22" s="256" t="str">
        <f t="shared" si="0"/>
        <v/>
      </c>
      <c r="BA22" s="256"/>
      <c r="BB22" s="256"/>
      <c r="BC22" s="256"/>
      <c r="BD22" s="256"/>
      <c r="BE22" s="256"/>
      <c r="BF22" s="256"/>
      <c r="BG22" s="256"/>
      <c r="BH22" s="256"/>
      <c r="BJ22" s="256"/>
      <c r="BK22" s="256"/>
      <c r="BL22" s="256"/>
      <c r="BM22" s="256"/>
      <c r="BN22" s="256"/>
      <c r="BO22" s="256"/>
      <c r="BP22" s="256"/>
      <c r="BQ22" s="256"/>
      <c r="BR22" s="288"/>
      <c r="BS22" s="228"/>
      <c r="BT22" s="257"/>
      <c r="BU22" s="257"/>
      <c r="BV22" s="258"/>
      <c r="BW22" s="259"/>
      <c r="BY22" s="158"/>
      <c r="BZ22" s="228"/>
    </row>
    <row r="23" ht="15" customHeight="1" spans="1:78">
      <c r="A23" s="1372"/>
      <c r="B23" s="1374"/>
      <c r="C23" s="256"/>
      <c r="D23" s="256"/>
      <c r="E23" s="256"/>
      <c r="F23" s="256"/>
      <c r="G23" s="256" t="str">
        <f t="shared" si="0"/>
        <v/>
      </c>
      <c r="BA23" s="256"/>
      <c r="BB23" s="256"/>
      <c r="BC23" s="256"/>
      <c r="BD23" s="256"/>
      <c r="BE23" s="256"/>
      <c r="BF23" s="256"/>
      <c r="BG23" s="256"/>
      <c r="BH23" s="256"/>
      <c r="BJ23" s="256"/>
      <c r="BK23" s="256"/>
      <c r="BL23" s="256"/>
      <c r="BM23" s="256"/>
      <c r="BN23" s="256"/>
      <c r="BO23" s="256"/>
      <c r="BP23" s="256"/>
      <c r="BQ23" s="256"/>
      <c r="BR23" s="288"/>
      <c r="BS23" s="228"/>
      <c r="BT23" s="257"/>
      <c r="BU23" s="257"/>
      <c r="BV23" s="258"/>
      <c r="BW23" s="259"/>
      <c r="BY23" s="158"/>
      <c r="BZ23" s="228"/>
    </row>
    <row r="24" ht="15" customHeight="1" spans="1:78">
      <c r="A24" s="1372"/>
      <c r="B24" s="1374"/>
      <c r="C24" s="256"/>
      <c r="D24" s="256"/>
      <c r="E24" s="256"/>
      <c r="F24" s="256"/>
      <c r="G24" s="256" t="str">
        <f t="shared" si="0"/>
        <v/>
      </c>
      <c r="BA24" s="256"/>
      <c r="BB24" s="256"/>
      <c r="BC24" s="256"/>
      <c r="BD24" s="256"/>
      <c r="BE24" s="256"/>
      <c r="BF24" s="256"/>
      <c r="BG24" s="256"/>
      <c r="BH24" s="256"/>
      <c r="BJ24" s="256"/>
      <c r="BK24" s="256"/>
      <c r="BL24" s="256"/>
      <c r="BM24" s="256"/>
      <c r="BN24" s="256"/>
      <c r="BO24" s="256"/>
      <c r="BP24" s="256"/>
      <c r="BQ24" s="256"/>
      <c r="BR24" s="288"/>
      <c r="BS24" s="228"/>
      <c r="BT24" s="257"/>
      <c r="BU24" s="257"/>
      <c r="BV24" s="258"/>
      <c r="BW24" s="259"/>
      <c r="BY24" s="158"/>
      <c r="BZ24" s="228"/>
    </row>
    <row r="25" ht="15" customHeight="1" spans="1:78">
      <c r="A25" s="1372"/>
      <c r="B25" s="1374"/>
      <c r="C25" s="256"/>
      <c r="D25" s="256"/>
      <c r="E25" s="256"/>
      <c r="F25" s="256"/>
      <c r="G25" s="256" t="str">
        <f t="shared" si="0"/>
        <v/>
      </c>
      <c r="BA25" s="256"/>
      <c r="BB25" s="256"/>
      <c r="BC25" s="256"/>
      <c r="BD25" s="256"/>
      <c r="BE25" s="256"/>
      <c r="BF25" s="256"/>
      <c r="BG25" s="256"/>
      <c r="BH25" s="256"/>
      <c r="BJ25" s="256"/>
      <c r="BK25" s="256"/>
      <c r="BL25" s="256"/>
      <c r="BM25" s="256"/>
      <c r="BN25" s="256"/>
      <c r="BO25" s="256"/>
      <c r="BP25" s="256"/>
      <c r="BQ25" s="256"/>
      <c r="BR25" s="288"/>
      <c r="BS25" s="228"/>
      <c r="BT25" s="257"/>
      <c r="BU25" s="257"/>
      <c r="BV25" s="258"/>
      <c r="BW25" s="259"/>
      <c r="BY25" s="158"/>
      <c r="BZ25" s="228"/>
    </row>
    <row r="26" ht="15" customHeight="1" spans="1:78">
      <c r="A26" s="1372"/>
      <c r="B26" s="1374"/>
      <c r="C26" s="256"/>
      <c r="D26" s="256"/>
      <c r="E26" s="256"/>
      <c r="F26" s="256"/>
      <c r="G26" s="256" t="str">
        <f t="shared" si="0"/>
        <v/>
      </c>
      <c r="BA26" s="256"/>
      <c r="BB26" s="256"/>
      <c r="BC26" s="256"/>
      <c r="BD26" s="256"/>
      <c r="BE26" s="256"/>
      <c r="BF26" s="256"/>
      <c r="BG26" s="256"/>
      <c r="BH26" s="256"/>
      <c r="BJ26" s="256"/>
      <c r="BK26" s="256"/>
      <c r="BL26" s="256"/>
      <c r="BM26" s="256"/>
      <c r="BN26" s="256"/>
      <c r="BO26" s="256"/>
      <c r="BP26" s="256"/>
      <c r="BQ26" s="256"/>
      <c r="BR26" s="288"/>
      <c r="BS26" s="228"/>
      <c r="BT26" s="257"/>
      <c r="BU26" s="257"/>
      <c r="BV26" s="258"/>
      <c r="BW26" s="259"/>
      <c r="BY26" s="158"/>
      <c r="BZ26" s="228"/>
    </row>
    <row r="27" ht="15" customHeight="1" spans="1:78">
      <c r="A27" s="327"/>
      <c r="B27" s="1374"/>
      <c r="C27" s="256"/>
      <c r="D27" s="256"/>
      <c r="E27" s="256"/>
      <c r="F27" s="256"/>
      <c r="G27" s="256" t="str">
        <f t="shared" si="0"/>
        <v/>
      </c>
      <c r="BA27" s="256"/>
      <c r="BB27" s="256"/>
      <c r="BC27" s="256"/>
      <c r="BD27" s="256"/>
      <c r="BE27" s="256"/>
      <c r="BF27" s="256"/>
      <c r="BG27" s="256"/>
      <c r="BH27" s="256"/>
      <c r="BJ27" s="256"/>
      <c r="BK27" s="256"/>
      <c r="BL27" s="256"/>
      <c r="BM27" s="256"/>
      <c r="BN27" s="256"/>
      <c r="BO27" s="256"/>
      <c r="BP27" s="256"/>
      <c r="BQ27" s="256"/>
      <c r="BR27" s="288"/>
      <c r="BS27" s="228"/>
      <c r="BT27" s="257"/>
      <c r="BU27" s="257"/>
      <c r="BV27" s="258"/>
      <c r="BW27" s="259"/>
      <c r="BY27" s="158"/>
      <c r="BZ27" s="228"/>
    </row>
    <row r="28" s="271" customFormat="1" ht="15" customHeight="1" spans="1:78">
      <c r="A28" s="1375" t="str">
        <f>流动资总!A7</f>
        <v>3-1</v>
      </c>
      <c r="B28" s="1376" t="s">
        <v>1628</v>
      </c>
      <c r="C28" s="266">
        <f>SUM(C7:C27)</f>
        <v>0</v>
      </c>
      <c r="D28" s="266">
        <f>SUM(D7:D27)</f>
        <v>0</v>
      </c>
      <c r="E28" s="266">
        <f>SUM(E7:E27)</f>
        <v>0</v>
      </c>
      <c r="F28" s="266">
        <f>SUM(F7:F27)</f>
        <v>0</v>
      </c>
      <c r="G28" s="266" t="str">
        <f t="shared" si="0"/>
        <v/>
      </c>
      <c r="BA28" s="256">
        <f t="shared" ref="BA28:BH28" si="18">SUM(BA7:BA27)</f>
        <v>0</v>
      </c>
      <c r="BB28" s="256">
        <f t="shared" si="18"/>
        <v>0</v>
      </c>
      <c r="BC28" s="256">
        <f t="shared" si="18"/>
        <v>0</v>
      </c>
      <c r="BD28" s="256">
        <f t="shared" si="18"/>
        <v>0</v>
      </c>
      <c r="BE28" s="256">
        <f t="shared" si="18"/>
        <v>0</v>
      </c>
      <c r="BF28" s="256">
        <f t="shared" si="18"/>
        <v>0</v>
      </c>
      <c r="BG28" s="256">
        <f t="shared" si="18"/>
        <v>0</v>
      </c>
      <c r="BH28" s="256">
        <f t="shared" si="18"/>
        <v>0</v>
      </c>
      <c r="BI28" s="1377"/>
      <c r="BJ28" s="256">
        <f>SUM(BJ7:BJ27)</f>
        <v>0</v>
      </c>
      <c r="BK28" s="256">
        <f>SUM(BK7:BK27)</f>
        <v>0</v>
      </c>
      <c r="BL28" s="256">
        <f t="shared" ref="BL28:BQ28" si="19">SUM(BL7:BL27)</f>
        <v>0</v>
      </c>
      <c r="BM28" s="256">
        <f t="shared" si="19"/>
        <v>0</v>
      </c>
      <c r="BN28" s="256">
        <f t="shared" si="19"/>
        <v>0</v>
      </c>
      <c r="BO28" s="256">
        <f t="shared" si="19"/>
        <v>0</v>
      </c>
      <c r="BP28" s="256">
        <f t="shared" si="19"/>
        <v>0</v>
      </c>
      <c r="BQ28" s="256">
        <f t="shared" si="19"/>
        <v>0</v>
      </c>
      <c r="BR28" s="289"/>
      <c r="BS28" s="268" t="str">
        <f>IF(F28&gt;0,"增值",IF(F28=0,"无增减值","减值"))</f>
        <v>无增减值</v>
      </c>
      <c r="BT28" s="269">
        <f>ABS(F28)</f>
        <v>0</v>
      </c>
      <c r="BU28" s="269">
        <f>IFERROR(ABS(G28),0)</f>
        <v>0</v>
      </c>
      <c r="BV28" s="270"/>
      <c r="BW28" s="247"/>
      <c r="BX28" s="247"/>
      <c r="BY28" s="268">
        <f>SUM(BY7:BY27)</f>
        <v>0</v>
      </c>
      <c r="BZ28" s="247"/>
    </row>
    <row r="29" ht="15" customHeight="1" spans="1:78">
      <c r="A29" s="229" t="str">
        <f>参数表!F$6</f>
        <v>产权持有单位填表人：贾广东</v>
      </c>
      <c r="B29" s="288"/>
      <c r="C29" s="288"/>
      <c r="D29" s="288"/>
      <c r="E29" s="288" t="str">
        <f>"评估人员："&amp;封面!G20</f>
        <v>评估人员：栗祥宁</v>
      </c>
      <c r="F29" s="1378"/>
      <c r="G29" s="1379"/>
    </row>
    <row r="30" ht="15" customHeight="1" spans="1:78">
      <c r="A30" s="229" t="str">
        <f>参数表!F$7</f>
        <v>填表日期：2025年9月20日</v>
      </c>
      <c r="B30" s="288"/>
      <c r="C30" s="288"/>
      <c r="D30" s="288"/>
      <c r="E30" s="288"/>
      <c r="F30" s="288"/>
    </row>
    <row r="31" customHeight="1" spans="1:78">
      <c r="A31" s="288"/>
      <c r="B31" s="288"/>
      <c r="C31" s="288"/>
      <c r="D31" s="288"/>
      <c r="E31" s="288"/>
      <c r="F31" s="288"/>
    </row>
    <row r="32" customHeight="1" spans="1:78">
      <c r="A32" s="288"/>
      <c r="B32" s="288"/>
      <c r="C32" s="288"/>
      <c r="D32" s="288"/>
      <c r="E32" s="288"/>
      <c r="F32" s="288"/>
    </row>
    <row r="33" customHeight="1" spans="1:6">
      <c r="A33" s="288"/>
      <c r="B33" s="288"/>
      <c r="C33" s="288"/>
      <c r="D33" s="288"/>
      <c r="E33" s="288"/>
      <c r="F33" s="288"/>
    </row>
    <row r="34" customHeight="1" spans="1:6">
      <c r="A34" s="288"/>
      <c r="B34" s="288"/>
      <c r="C34" s="288"/>
      <c r="D34" s="288"/>
      <c r="E34" s="288"/>
      <c r="F34" s="288"/>
    </row>
    <row r="35" customHeight="1" spans="1:6">
      <c r="A35" s="288"/>
      <c r="B35" s="288"/>
      <c r="C35" s="288"/>
      <c r="D35" s="288"/>
      <c r="E35" s="288"/>
      <c r="F35" s="288"/>
    </row>
    <row r="36" customHeight="1" spans="1:6">
      <c r="A36" s="288"/>
      <c r="B36" s="288"/>
      <c r="C36" s="288"/>
      <c r="D36" s="288"/>
      <c r="E36" s="288"/>
      <c r="F36" s="288"/>
    </row>
  </sheetData>
  <sheetProtection autoFilter="0"/>
  <mergeCells count="8">
    <mergeCell ref="A2:G2"/>
    <mergeCell ref="A3:G3"/>
    <mergeCell ref="BA4:BH4"/>
    <mergeCell ref="BJ4:BQ4"/>
    <mergeCell ref="BA5:BD5"/>
    <mergeCell ref="BE5:BH5"/>
    <mergeCell ref="BJ5:BM5"/>
    <mergeCell ref="BN5:BQ5"/>
  </mergeCells>
  <conditionalFormatting sqref="C7:G27">
    <cfRule type="expression" dxfId="3" priority="2">
      <formula>$D7+$E7=0</formula>
    </cfRule>
  </conditionalFormatting>
  <hyperlinks>
    <hyperlink ref="B7" location="现金!B1" display="现金"/>
    <hyperlink ref="A1" location="索引目录!C6" display="返回索引页"/>
    <hyperlink ref="B1" location="流动资产汇总表!B7" display="返回"/>
    <hyperlink ref="B8" location="银行存款!B1" display="银行存款"/>
    <hyperlink ref="B9" location="其他货币资金!B1" display="其他货币资金"/>
  </hyperlinks>
  <printOptions horizontalCentered="1"/>
  <pageMargins left="0.393700787401575" right="0.393700787401575" top="0.984251968503937" bottom="0.393700787401575" header="0.984251968503937" footer="0.393700787401575"/>
  <pageSetup paperSize="9" orientation="landscape"/>
  <headerFooter alignWithMargins="0">
    <oddHeader>&amp;R&amp;"宋体,常规"&amp;11共&amp;"Times New Roman,常规"&amp;N&amp;"宋体,常规"页，第&amp;"Times New Roman,常规"&amp;P&amp;"宋体,常规"页&amp;"Times New Roman,常规"</oddHead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BT66"/>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1314" customWidth="1"/>
    <col min="2" max="2" width="23.5" style="77" customWidth="1"/>
    <col min="3" max="4" width="6.6" style="77" customWidth="1"/>
    <col min="5" max="5" width="8.6" style="77" customWidth="1"/>
    <col min="6" max="6" width="16.6" style="77" customWidth="1" outlineLevel="1"/>
    <col min="7" max="7" width="16.6" style="1315" customWidth="1" outlineLevel="1"/>
    <col min="8" max="9" width="16.6" style="77" customWidth="1"/>
    <col min="10" max="11" width="8.6" style="77" customWidth="1"/>
    <col min="12" max="12" width="10.6" style="77" customWidth="1"/>
    <col min="13" max="52" width="9" style="77" hidden="1" customWidth="1" outlineLevel="1"/>
    <col min="53" max="53" width="14.7" style="77" customWidth="1" collapsed="1"/>
    <col min="54" max="54" width="6.7" style="77" customWidth="1"/>
    <col min="55" max="55" width="4.7" style="78" customWidth="1"/>
    <col min="56" max="56" width="5.1" style="77" customWidth="1"/>
    <col min="57" max="57" width="8.7" style="77" customWidth="1"/>
    <col min="58" max="59" width="9.6" style="77" customWidth="1"/>
    <col min="60" max="60" width="4.7" style="77" customWidth="1"/>
    <col min="61" max="63" width="9" style="77"/>
    <col min="64" max="64" width="1.6" style="77" customWidth="1"/>
    <col min="65" max="65" width="10.6" style="78" customWidth="1"/>
    <col min="66" max="66" width="10.6" style="77" customWidth="1"/>
    <col min="67" max="67" width="4.6" style="78" customWidth="1"/>
    <col min="68" max="68" width="10.6" style="78" customWidth="1"/>
    <col min="69" max="70" width="4.6" style="78" customWidth="1"/>
    <col min="71" max="71" width="10.6" style="78" customWidth="1"/>
    <col min="72" max="72" width="5" style="77" customWidth="1"/>
    <col min="73" max="16384" width="9" style="77"/>
  </cols>
  <sheetData>
    <row r="1" s="87" customFormat="1" ht="13.8" spans="1:72">
      <c r="A1" s="1316" t="s">
        <v>1591</v>
      </c>
      <c r="B1" s="1317" t="s">
        <v>1592</v>
      </c>
      <c r="C1" s="88"/>
      <c r="D1" s="88"/>
      <c r="E1" s="88"/>
      <c r="F1" s="88"/>
      <c r="G1" s="1318"/>
      <c r="H1" s="88"/>
      <c r="I1" s="88"/>
      <c r="J1" s="88"/>
      <c r="K1" s="88"/>
      <c r="BA1" s="1319" t="str">
        <f>参数表!BA1</f>
        <v>注意：补充特殊事项、作价等均从BA列开始填写</v>
      </c>
      <c r="BB1" s="1320"/>
      <c r="BC1" s="88"/>
      <c r="BM1" s="88"/>
      <c r="BO1" s="88"/>
      <c r="BP1" s="88"/>
      <c r="BQ1" s="88"/>
      <c r="BR1" s="88"/>
      <c r="BS1" s="88"/>
    </row>
    <row r="2" s="92" customFormat="1" ht="30" customHeight="1" spans="1:72">
      <c r="A2" s="294" t="s">
        <v>1629</v>
      </c>
      <c r="B2" s="294"/>
      <c r="C2" s="294"/>
      <c r="D2" s="294"/>
      <c r="E2" s="294"/>
      <c r="F2" s="294"/>
      <c r="G2" s="294"/>
      <c r="H2" s="294"/>
      <c r="I2" s="294"/>
      <c r="J2" s="294"/>
      <c r="K2" s="294"/>
      <c r="L2" s="294"/>
      <c r="BA2" s="1321" t="str">
        <f>参数表!BA2</f>
        <v>评估基准日：</v>
      </c>
      <c r="BB2" s="1352" t="str">
        <f>参数表!BB2</f>
        <v>2025年7月31日</v>
      </c>
      <c r="BC2" s="93"/>
      <c r="BM2" s="93"/>
      <c r="BO2" s="93"/>
      <c r="BP2" s="93"/>
      <c r="BQ2" s="93"/>
      <c r="BR2" s="93"/>
      <c r="BS2" s="93"/>
    </row>
    <row r="3" ht="15" customHeight="1" spans="1:72">
      <c r="A3" s="296" t="str">
        <f>参数表!F5</f>
        <v>评估基准日：2025年7月31日</v>
      </c>
      <c r="B3" s="296"/>
      <c r="C3" s="296"/>
      <c r="D3" s="296"/>
      <c r="E3" s="296"/>
      <c r="F3" s="296"/>
      <c r="G3" s="296"/>
      <c r="H3" s="296"/>
      <c r="I3" s="296"/>
      <c r="J3" s="296"/>
      <c r="K3" s="296"/>
      <c r="L3" s="296"/>
      <c r="BA3" s="1321" t="str">
        <f>参数表!BA3</f>
        <v>是否显示评估值：</v>
      </c>
      <c r="BB3" s="1353" t="str">
        <f>参数表!BB3</f>
        <v>是</v>
      </c>
    </row>
    <row r="4" ht="15" customHeight="1" spans="1:72">
      <c r="A4" s="297"/>
      <c r="B4" s="296"/>
      <c r="C4" s="296"/>
      <c r="D4" s="296"/>
      <c r="E4" s="296"/>
      <c r="F4" s="296"/>
      <c r="G4" s="1323"/>
      <c r="H4" s="296"/>
      <c r="I4" s="162"/>
      <c r="J4" s="162"/>
      <c r="K4" s="300"/>
      <c r="L4" s="300" t="str">
        <f>"表"&amp;$BA4</f>
        <v>表3-1-1</v>
      </c>
      <c r="BA4" s="162" t="str">
        <f>货币资金总!A7</f>
        <v>3-1-1</v>
      </c>
      <c r="BB4" s="100">
        <f>MAX(COUNTA(A7:A26),COUNTA(B7:B26),COUNTA(F7:F26),COUNTA(H7:H26))</f>
        <v>20</v>
      </c>
      <c r="BC4" s="101">
        <f>ROW(A6)+1</f>
        <v>7</v>
      </c>
      <c r="BN4" s="78"/>
    </row>
    <row r="5" ht="15" customHeight="1" spans="1:72">
      <c r="A5" s="299" t="str">
        <f>参数表!F3</f>
        <v>产权持有单位:中煤第五建设有限公司</v>
      </c>
      <c r="B5" s="107"/>
      <c r="C5" s="107"/>
      <c r="D5" s="107"/>
      <c r="E5" s="107"/>
      <c r="F5" s="107"/>
      <c r="G5" s="966"/>
      <c r="H5" s="107"/>
      <c r="I5" s="107"/>
      <c r="J5" s="107"/>
      <c r="K5" s="300"/>
      <c r="L5" s="300" t="s">
        <v>236</v>
      </c>
      <c r="BA5" s="107"/>
      <c r="BB5" s="105" t="str">
        <f ca="1">判断表!C7</f>
        <v>中煤第五建设有限公司第三工程处拟处置实物资产项目\[0000-3基础法明细表.xlsx]现金</v>
      </c>
      <c r="BC5" s="106">
        <f>IFERROR(SUMIF(BC7:BC26,"√",H7:H26)/H27,0)</f>
        <v>0</v>
      </c>
      <c r="BD5" s="107"/>
      <c r="BE5" s="107"/>
      <c r="BF5" s="284">
        <f>分类汇总!I8</f>
        <v>0</v>
      </c>
      <c r="BG5" s="284">
        <f>分类汇总!K8</f>
        <v>0</v>
      </c>
      <c r="BH5" s="119"/>
      <c r="BI5" s="111"/>
      <c r="BJ5" s="111"/>
      <c r="BK5" s="111"/>
      <c r="BL5" s="111"/>
      <c r="BN5" s="78"/>
      <c r="BR5" s="194"/>
      <c r="BS5" s="194"/>
      <c r="BT5" s="111"/>
    </row>
    <row r="6" s="119" customFormat="1" ht="25.2" customHeight="1" spans="1:72">
      <c r="A6" s="301" t="s">
        <v>305</v>
      </c>
      <c r="B6" s="114" t="s">
        <v>1630</v>
      </c>
      <c r="C6" s="114" t="s">
        <v>1631</v>
      </c>
      <c r="D6" s="115" t="s">
        <v>1632</v>
      </c>
      <c r="E6" s="115" t="s">
        <v>1633</v>
      </c>
      <c r="F6" s="114" t="s">
        <v>1549</v>
      </c>
      <c r="G6" s="313" t="s">
        <v>1634</v>
      </c>
      <c r="H6" s="114" t="s">
        <v>1523</v>
      </c>
      <c r="I6" s="114" t="s">
        <v>1550</v>
      </c>
      <c r="J6" s="114" t="s">
        <v>1525</v>
      </c>
      <c r="K6" s="115" t="s">
        <v>1551</v>
      </c>
      <c r="L6" s="114" t="s">
        <v>308</v>
      </c>
      <c r="BA6" s="100" t="s">
        <v>1545</v>
      </c>
      <c r="BB6" s="100" t="s">
        <v>1635</v>
      </c>
      <c r="BC6" s="100" t="s">
        <v>1636</v>
      </c>
      <c r="BD6" s="100" t="s">
        <v>1637</v>
      </c>
      <c r="BE6" s="100" t="s">
        <v>1638</v>
      </c>
      <c r="BF6" s="115" t="s">
        <v>1639</v>
      </c>
      <c r="BG6" s="115" t="s">
        <v>1640</v>
      </c>
      <c r="BH6" s="1328" t="s">
        <v>1641</v>
      </c>
      <c r="BI6" s="1328" t="s">
        <v>1642</v>
      </c>
      <c r="BJ6" s="1328" t="s">
        <v>1643</v>
      </c>
      <c r="BK6" s="1328" t="s">
        <v>1644</v>
      </c>
      <c r="BM6" s="120" t="s">
        <v>1645</v>
      </c>
      <c r="BN6" s="121" t="s">
        <v>1646</v>
      </c>
      <c r="BO6" s="121" t="s">
        <v>1647</v>
      </c>
      <c r="BP6" s="121" t="s">
        <v>1648</v>
      </c>
      <c r="BQ6" s="121" t="s">
        <v>1647</v>
      </c>
      <c r="BR6" s="121" t="s">
        <v>1647</v>
      </c>
      <c r="BS6" s="121" t="s">
        <v>1649</v>
      </c>
      <c r="BT6" s="122" t="s">
        <v>1650</v>
      </c>
    </row>
    <row r="7" ht="15" customHeight="1" spans="1:72">
      <c r="A7" s="1329" t="str">
        <f>IF(B7="","",COUNT(A$6:A6)+1)</f>
        <v/>
      </c>
      <c r="B7" s="1330"/>
      <c r="C7" s="127"/>
      <c r="D7" s="127" t="str">
        <f>IFERROR(VLOOKUP(C7,参数表!$H$2:$I$50,2,FALSE),"")</f>
        <v/>
      </c>
      <c r="E7" s="128" t="str">
        <f>IFERROR(IF(OR(C7="人民币",C7=""),"",H7/D7),"")</f>
        <v/>
      </c>
      <c r="F7" s="1332"/>
      <c r="G7" s="1333"/>
      <c r="H7" s="1332" t="str">
        <f t="shared" ref="H7:H26" si="0">IF(B7="","",F7+G7)</f>
        <v/>
      </c>
      <c r="I7" s="1332" t="str">
        <f t="shared" ref="I7:I26" si="1">IF(B7="","",IF($BB$3="是",H7,""))</f>
        <v/>
      </c>
      <c r="J7" s="1332" t="str">
        <f>IFERROR(I7-H7,"")</f>
        <v/>
      </c>
      <c r="K7" s="1332" t="str">
        <f>IFERROR(J7/H7*100,"")</f>
        <v/>
      </c>
      <c r="L7" s="1334"/>
      <c r="BA7" s="78"/>
      <c r="BB7" s="132" t="s">
        <v>1651</v>
      </c>
      <c r="BC7" s="133"/>
      <c r="BD7" s="132" t="str">
        <f>IF(OR(B7="",BC7=""),"",COUNTIF(BC$7:BC7,"√"))</f>
        <v/>
      </c>
      <c r="BE7" s="134" t="str">
        <f t="shared" ref="BE7:BE26" si="2">IF(BC7="","",BB7&amp;"︱"&amp;B7&amp;"︱"&amp;TEXT(F7,"#,##0.00"))</f>
        <v/>
      </c>
      <c r="BF7" s="1335" t="str">
        <f>IF($B7="","",IF(BF$5=0,"OK","出错"))</f>
        <v/>
      </c>
      <c r="BG7" s="1335" t="str">
        <f>IF($B7="","",IF(BG$5=0,"OK","出错"))</f>
        <v/>
      </c>
      <c r="BH7" s="1336"/>
      <c r="BI7" s="1337"/>
      <c r="BJ7" s="1337"/>
      <c r="BK7" s="1337"/>
      <c r="BM7" s="134" t="str">
        <f>IF(COUNTIF(BM$6:BM6,C7)&gt;0,"",C7)&amp;""</f>
        <v/>
      </c>
      <c r="BN7" s="138">
        <f>SUMIF(C$7:C$26,BM7,H$7:H$26)</f>
        <v>0</v>
      </c>
      <c r="BO7" s="132">
        <f t="shared" ref="BO7" si="3">RANK(BN7,BN$7:BN$26)</f>
        <v>1</v>
      </c>
      <c r="BP7" s="138">
        <f>SUMIF(C$7:C$26,BM7,I$7:I$26)</f>
        <v>0</v>
      </c>
      <c r="BQ7" s="132">
        <f>RANK(BP7,BP$7:BP$26)</f>
        <v>1</v>
      </c>
      <c r="BR7" s="138">
        <f>SUM(BN7:BN26)</f>
        <v>0</v>
      </c>
      <c r="BS7" s="138"/>
      <c r="BT7" s="138"/>
    </row>
    <row r="8" ht="15" customHeight="1" spans="1:72">
      <c r="A8" s="1329" t="str">
        <f>IF(B8="","",COUNT(A$6:A7)+1)</f>
        <v/>
      </c>
      <c r="B8" s="1340"/>
      <c r="C8" s="142"/>
      <c r="D8" s="127" t="str">
        <f>IFERROR(VLOOKUP(C8,参数表!$H$2:$I$50,2,FALSE),"")</f>
        <v/>
      </c>
      <c r="E8" s="128" t="str">
        <f t="shared" ref="E8:E26" si="4">IFERROR(IF(OR(C8="人民币",C8=""),"",H8/D8),"")</f>
        <v/>
      </c>
      <c r="F8" s="1342"/>
      <c r="G8" s="1343"/>
      <c r="H8" s="1332" t="str">
        <f t="shared" si="0"/>
        <v/>
      </c>
      <c r="I8" s="1332" t="str">
        <f t="shared" si="1"/>
        <v/>
      </c>
      <c r="J8" s="1332" t="str">
        <f t="shared" ref="J8:J27" si="5">IFERROR(I8-H8,"")</f>
        <v/>
      </c>
      <c r="K8" s="1332" t="str">
        <f t="shared" ref="K8:K27" si="6">IFERROR(J8/H8*100,"")</f>
        <v/>
      </c>
      <c r="L8" s="1339"/>
      <c r="M8" s="1354"/>
      <c r="BA8" s="78"/>
      <c r="BB8" s="132" t="s">
        <v>1652</v>
      </c>
      <c r="BC8" s="133"/>
      <c r="BD8" s="132" t="str">
        <f>IF(OR(B8="",BC8=""),"",COUNTIF(BC$7:BC8,"√"))</f>
        <v/>
      </c>
      <c r="BE8" s="134" t="str">
        <f t="shared" si="2"/>
        <v/>
      </c>
      <c r="BF8" s="1335" t="str">
        <f t="shared" ref="BF8:BF26" si="7">IF(B8="","",IF(BF$5=0,"OK","出错"))</f>
        <v/>
      </c>
      <c r="BG8" s="1335" t="str">
        <f t="shared" ref="BG8:BG26" si="8">IF($B8="","",IF(BG$5=0,"OK","出错"))</f>
        <v/>
      </c>
      <c r="BH8" s="1336"/>
      <c r="BI8" s="1337"/>
      <c r="BJ8" s="1339"/>
      <c r="BK8" s="1337"/>
      <c r="BM8" s="134" t="str">
        <f>IF(COUNTIF(BM$6:BM7,C8)&gt;0,"",C8)&amp;""</f>
        <v/>
      </c>
      <c r="BN8" s="138">
        <f t="shared" ref="BN8:BN26" si="9">SUMIF(C$7:C$26,BM8,H$7:H$26)</f>
        <v>0</v>
      </c>
      <c r="BO8" s="132">
        <f t="shared" ref="BO8:BO26" si="10">RANK(BN8,BN$7:BN$26)</f>
        <v>1</v>
      </c>
      <c r="BP8" s="138">
        <f t="shared" ref="BP8:BP26" si="11">SUMIF(C$7:C$26,BM8,I$7:I$26)</f>
        <v>0</v>
      </c>
      <c r="BQ8" s="132">
        <f t="shared" ref="BQ8:BQ26" si="12">RANK(BP8,BP$7:BP$26)</f>
        <v>1</v>
      </c>
      <c r="BR8" s="138">
        <f>SUM(BP7:BP26)</f>
        <v>0</v>
      </c>
      <c r="BS8" s="138"/>
      <c r="BT8" s="138"/>
    </row>
    <row r="9" ht="15" customHeight="1" spans="1:72">
      <c r="A9" s="1329" t="str">
        <f>IF(B9="","",COUNT(A$6:A8)+1)</f>
        <v/>
      </c>
      <c r="B9" s="1340"/>
      <c r="C9" s="142"/>
      <c r="D9" s="127" t="str">
        <f>IFERROR(VLOOKUP(C9,参数表!$H$2:$I$50,2,FALSE),"")</f>
        <v/>
      </c>
      <c r="E9" s="128" t="str">
        <f t="shared" si="4"/>
        <v/>
      </c>
      <c r="F9" s="1342"/>
      <c r="G9" s="1343"/>
      <c r="H9" s="1332" t="str">
        <f t="shared" si="0"/>
        <v/>
      </c>
      <c r="I9" s="1332" t="str">
        <f t="shared" si="1"/>
        <v/>
      </c>
      <c r="J9" s="1332" t="str">
        <f t="shared" si="5"/>
        <v/>
      </c>
      <c r="K9" s="1332" t="str">
        <f t="shared" si="6"/>
        <v/>
      </c>
      <c r="L9" s="1339"/>
      <c r="BA9" s="78"/>
      <c r="BB9" s="132" t="s">
        <v>1653</v>
      </c>
      <c r="BC9" s="133"/>
      <c r="BD9" s="132" t="str">
        <f>IF(OR(B9="",BC9=""),"",COUNTIF(BC$7:BC9,"√"))</f>
        <v/>
      </c>
      <c r="BE9" s="134" t="str">
        <f t="shared" si="2"/>
        <v/>
      </c>
      <c r="BF9" s="1335" t="str">
        <f t="shared" si="7"/>
        <v/>
      </c>
      <c r="BG9" s="1335" t="str">
        <f t="shared" si="8"/>
        <v/>
      </c>
      <c r="BH9" s="1336"/>
      <c r="BI9" s="1337"/>
      <c r="BJ9" s="1339"/>
      <c r="BK9" s="1337"/>
      <c r="BM9" s="134" t="str">
        <f>IF(COUNTIF(BM$6:BM8,C9)&gt;0,"",C9)&amp;""</f>
        <v/>
      </c>
      <c r="BN9" s="138">
        <f t="shared" si="9"/>
        <v>0</v>
      </c>
      <c r="BO9" s="132">
        <f t="shared" si="10"/>
        <v>1</v>
      </c>
      <c r="BP9" s="138">
        <f t="shared" si="11"/>
        <v>0</v>
      </c>
      <c r="BQ9" s="132">
        <f t="shared" si="12"/>
        <v>1</v>
      </c>
      <c r="BR9" s="132">
        <v>1</v>
      </c>
      <c r="BS9" s="134" t="str">
        <f>IFERROR(INDEX(BM$7:BM$26,MATCH(BR9,IF(BR$7=0,BQ$7:BQ$26,BO$7:BO$26),0))&amp;"","")</f>
        <v/>
      </c>
      <c r="BT9" s="146" t="str">
        <f>IF(BS10="","",IF(BS11="","和","、"))</f>
        <v/>
      </c>
    </row>
    <row r="10" ht="15" customHeight="1" spans="1:72">
      <c r="A10" s="1329" t="str">
        <f>IF(B10="","",COUNT(A$6:A9)+1)</f>
        <v/>
      </c>
      <c r="B10" s="1340"/>
      <c r="C10" s="142"/>
      <c r="D10" s="127" t="str">
        <f>IFERROR(VLOOKUP(C10,参数表!$H$2:$I$50,2,FALSE),"")</f>
        <v/>
      </c>
      <c r="E10" s="128" t="str">
        <f t="shared" si="4"/>
        <v/>
      </c>
      <c r="F10" s="1342"/>
      <c r="G10" s="1343"/>
      <c r="H10" s="1332" t="str">
        <f t="shared" si="0"/>
        <v/>
      </c>
      <c r="I10" s="1332" t="str">
        <f t="shared" si="1"/>
        <v/>
      </c>
      <c r="J10" s="1332" t="str">
        <f t="shared" si="5"/>
        <v/>
      </c>
      <c r="K10" s="1332" t="str">
        <f t="shared" si="6"/>
        <v/>
      </c>
      <c r="L10" s="1339"/>
      <c r="BA10" s="78"/>
      <c r="BB10" s="132" t="s">
        <v>1654</v>
      </c>
      <c r="BC10" s="133"/>
      <c r="BD10" s="132" t="str">
        <f>IF(OR(B10="",BC10=""),"",COUNTIF(BC$7:BC10,"√"))</f>
        <v/>
      </c>
      <c r="BE10" s="134" t="str">
        <f t="shared" si="2"/>
        <v/>
      </c>
      <c r="BF10" s="1335" t="str">
        <f t="shared" si="7"/>
        <v/>
      </c>
      <c r="BG10" s="1335" t="str">
        <f t="shared" si="8"/>
        <v/>
      </c>
      <c r="BH10" s="1336"/>
      <c r="BI10" s="1337"/>
      <c r="BJ10" s="1339"/>
      <c r="BK10" s="1337"/>
      <c r="BM10" s="134" t="str">
        <f>IF(COUNTIF(BM$6:BM9,C10)&gt;0,"",C10)&amp;""</f>
        <v/>
      </c>
      <c r="BN10" s="138">
        <f t="shared" si="9"/>
        <v>0</v>
      </c>
      <c r="BO10" s="132">
        <f t="shared" si="10"/>
        <v>1</v>
      </c>
      <c r="BP10" s="138">
        <f t="shared" si="11"/>
        <v>0</v>
      </c>
      <c r="BQ10" s="132">
        <f t="shared" si="12"/>
        <v>1</v>
      </c>
      <c r="BR10" s="132">
        <v>2</v>
      </c>
      <c r="BS10" s="134" t="str">
        <f>IFERROR(INDEX(BM$7:BM$26,MATCH(BR10,IF(BR$7=0,BQ$7:BQ$26,BO$7:BO$26),0))&amp;"","")</f>
        <v/>
      </c>
      <c r="BT10" s="146" t="str">
        <f t="shared" ref="BT10:BT11" si="13">IF(BS11="","",IF(BS12="","和","、"))</f>
        <v/>
      </c>
    </row>
    <row r="11" ht="15" customHeight="1" spans="1:72">
      <c r="A11" s="1329" t="str">
        <f>IF(B11="","",COUNT(A$6:A10)+1)</f>
        <v/>
      </c>
      <c r="B11" s="1340"/>
      <c r="C11" s="142"/>
      <c r="D11" s="127" t="str">
        <f>IFERROR(VLOOKUP(C11,参数表!$H$2:$I$50,2,FALSE),"")</f>
        <v/>
      </c>
      <c r="E11" s="128" t="str">
        <f t="shared" si="4"/>
        <v/>
      </c>
      <c r="F11" s="1342"/>
      <c r="G11" s="1343"/>
      <c r="H11" s="1332" t="str">
        <f t="shared" si="0"/>
        <v/>
      </c>
      <c r="I11" s="1332" t="str">
        <f t="shared" si="1"/>
        <v/>
      </c>
      <c r="J11" s="1332" t="str">
        <f t="shared" si="5"/>
        <v/>
      </c>
      <c r="K11" s="1332" t="str">
        <f t="shared" si="6"/>
        <v/>
      </c>
      <c r="L11" s="1339"/>
      <c r="BA11" s="78"/>
      <c r="BB11" s="132" t="s">
        <v>1655</v>
      </c>
      <c r="BC11" s="133"/>
      <c r="BD11" s="132" t="str">
        <f>IF(OR(B11="",BC11=""),"",COUNTIF(BC$7:BC11,"√"))</f>
        <v/>
      </c>
      <c r="BE11" s="134" t="str">
        <f t="shared" si="2"/>
        <v/>
      </c>
      <c r="BF11" s="1335" t="str">
        <f t="shared" si="7"/>
        <v/>
      </c>
      <c r="BG11" s="1335" t="str">
        <f t="shared" si="8"/>
        <v/>
      </c>
      <c r="BH11" s="1336"/>
      <c r="BI11" s="1337"/>
      <c r="BJ11" s="1339"/>
      <c r="BK11" s="1337"/>
      <c r="BM11" s="134" t="str">
        <f>IF(COUNTIF(BM$6:BM10,C11)&gt;0,"",C11)&amp;""</f>
        <v/>
      </c>
      <c r="BN11" s="138">
        <f t="shared" si="9"/>
        <v>0</v>
      </c>
      <c r="BO11" s="132">
        <f t="shared" si="10"/>
        <v>1</v>
      </c>
      <c r="BP11" s="138">
        <f t="shared" si="11"/>
        <v>0</v>
      </c>
      <c r="BQ11" s="132">
        <f t="shared" si="12"/>
        <v>1</v>
      </c>
      <c r="BR11" s="132">
        <v>3</v>
      </c>
      <c r="BS11" s="134" t="str">
        <f t="shared" ref="BS11:BS13" si="14">IFERROR(INDEX(BM$7:BM$26,MATCH(BR11,IF(BR$7=0,BQ$7:BQ$26,BO$7:BO$26),0))&amp;"","")</f>
        <v/>
      </c>
      <c r="BT11" s="146" t="str">
        <f t="shared" si="13"/>
        <v/>
      </c>
    </row>
    <row r="12" ht="15" customHeight="1" spans="1:72">
      <c r="A12" s="1329" t="str">
        <f>IF(B12="","",COUNT(A$6:A11)+1)</f>
        <v/>
      </c>
      <c r="B12" s="1340"/>
      <c r="C12" s="142"/>
      <c r="D12" s="127" t="str">
        <f>IFERROR(VLOOKUP(C12,参数表!$H$2:$I$50,2,FALSE),"")</f>
        <v/>
      </c>
      <c r="E12" s="128" t="str">
        <f t="shared" si="4"/>
        <v/>
      </c>
      <c r="F12" s="1342"/>
      <c r="G12" s="1343"/>
      <c r="H12" s="1332" t="str">
        <f t="shared" si="0"/>
        <v/>
      </c>
      <c r="I12" s="1332" t="str">
        <f t="shared" si="1"/>
        <v/>
      </c>
      <c r="J12" s="1332" t="str">
        <f t="shared" si="5"/>
        <v/>
      </c>
      <c r="K12" s="1332" t="str">
        <f t="shared" si="6"/>
        <v/>
      </c>
      <c r="L12" s="1339"/>
      <c r="BA12" s="78"/>
      <c r="BB12" s="132" t="s">
        <v>1656</v>
      </c>
      <c r="BC12" s="133"/>
      <c r="BD12" s="132" t="str">
        <f>IF(OR(B12="",BC12=""),"",COUNTIF(BC$7:BC12,"√"))</f>
        <v/>
      </c>
      <c r="BE12" s="134" t="str">
        <f t="shared" si="2"/>
        <v/>
      </c>
      <c r="BF12" s="1335" t="str">
        <f t="shared" si="7"/>
        <v/>
      </c>
      <c r="BG12" s="1335" t="str">
        <f t="shared" si="8"/>
        <v/>
      </c>
      <c r="BH12" s="1336"/>
      <c r="BI12" s="1337"/>
      <c r="BJ12" s="1339"/>
      <c r="BK12" s="1337"/>
      <c r="BM12" s="134" t="str">
        <f>IF(COUNTIF(BM$6:BM11,C12)&gt;0,"",C12)&amp;""</f>
        <v/>
      </c>
      <c r="BN12" s="138">
        <f t="shared" si="9"/>
        <v>0</v>
      </c>
      <c r="BO12" s="132">
        <f t="shared" si="10"/>
        <v>1</v>
      </c>
      <c r="BP12" s="138">
        <f t="shared" si="11"/>
        <v>0</v>
      </c>
      <c r="BQ12" s="132">
        <f t="shared" si="12"/>
        <v>1</v>
      </c>
      <c r="BR12" s="132">
        <v>4</v>
      </c>
      <c r="BS12" s="134" t="str">
        <f t="shared" si="14"/>
        <v/>
      </c>
      <c r="BT12" s="146" t="str">
        <f>IF(BS13="","","和")</f>
        <v/>
      </c>
    </row>
    <row r="13" ht="15" customHeight="1" spans="1:72">
      <c r="A13" s="1329" t="str">
        <f>IF(B13="","",COUNT(A$6:A12)+1)</f>
        <v/>
      </c>
      <c r="B13" s="1340"/>
      <c r="C13" s="142"/>
      <c r="D13" s="127" t="str">
        <f>IFERROR(VLOOKUP(C13,参数表!$H$2:$I$50,2,FALSE),"")</f>
        <v/>
      </c>
      <c r="E13" s="128" t="str">
        <f t="shared" si="4"/>
        <v/>
      </c>
      <c r="F13" s="1342"/>
      <c r="G13" s="1343"/>
      <c r="H13" s="1332" t="str">
        <f t="shared" si="0"/>
        <v/>
      </c>
      <c r="I13" s="1332" t="str">
        <f t="shared" si="1"/>
        <v/>
      </c>
      <c r="J13" s="1332" t="str">
        <f t="shared" si="5"/>
        <v/>
      </c>
      <c r="K13" s="1332" t="str">
        <f t="shared" si="6"/>
        <v/>
      </c>
      <c r="L13" s="1339"/>
      <c r="BA13" s="78"/>
      <c r="BB13" s="132" t="s">
        <v>1657</v>
      </c>
      <c r="BC13" s="133"/>
      <c r="BD13" s="132" t="str">
        <f>IF(OR(B13="",BC13=""),"",COUNTIF(BC$7:BC13,"√"))</f>
        <v/>
      </c>
      <c r="BE13" s="134" t="str">
        <f t="shared" si="2"/>
        <v/>
      </c>
      <c r="BF13" s="1335" t="str">
        <f t="shared" si="7"/>
        <v/>
      </c>
      <c r="BG13" s="1335" t="str">
        <f t="shared" si="8"/>
        <v/>
      </c>
      <c r="BH13" s="1336"/>
      <c r="BI13" s="1337"/>
      <c r="BJ13" s="1339"/>
      <c r="BK13" s="1337"/>
      <c r="BM13" s="134" t="str">
        <f>IF(COUNTIF(BM$6:BM12,C13)&gt;0,"",C13)&amp;""</f>
        <v/>
      </c>
      <c r="BN13" s="138">
        <f t="shared" si="9"/>
        <v>0</v>
      </c>
      <c r="BO13" s="132">
        <f t="shared" si="10"/>
        <v>1</v>
      </c>
      <c r="BP13" s="138">
        <f t="shared" si="11"/>
        <v>0</v>
      </c>
      <c r="BQ13" s="132">
        <f t="shared" si="12"/>
        <v>1</v>
      </c>
      <c r="BR13" s="132">
        <v>5</v>
      </c>
      <c r="BS13" s="134" t="str">
        <f t="shared" si="14"/>
        <v/>
      </c>
      <c r="BT13" s="146"/>
    </row>
    <row r="14" ht="15" customHeight="1" spans="1:72">
      <c r="A14" s="1329" t="str">
        <f>IF(B14="","",COUNT(A$6:A13)+1)</f>
        <v/>
      </c>
      <c r="B14" s="1340"/>
      <c r="C14" s="142"/>
      <c r="D14" s="127" t="str">
        <f>IFERROR(VLOOKUP(C14,参数表!$H$2:$I$50,2,FALSE),"")</f>
        <v/>
      </c>
      <c r="E14" s="128" t="str">
        <f t="shared" si="4"/>
        <v/>
      </c>
      <c r="F14" s="1342"/>
      <c r="G14" s="1343"/>
      <c r="H14" s="1332" t="str">
        <f t="shared" si="0"/>
        <v/>
      </c>
      <c r="I14" s="1332" t="str">
        <f t="shared" si="1"/>
        <v/>
      </c>
      <c r="J14" s="1332" t="str">
        <f t="shared" si="5"/>
        <v/>
      </c>
      <c r="K14" s="1332" t="str">
        <f t="shared" si="6"/>
        <v/>
      </c>
      <c r="L14" s="1339"/>
      <c r="BA14" s="78"/>
      <c r="BB14" s="132" t="s">
        <v>1658</v>
      </c>
      <c r="BC14" s="133"/>
      <c r="BD14" s="132" t="str">
        <f>IF(OR(B14="",BC14=""),"",COUNTIF(BC$7:BC14,"√"))</f>
        <v/>
      </c>
      <c r="BE14" s="134" t="str">
        <f t="shared" si="2"/>
        <v/>
      </c>
      <c r="BF14" s="1335" t="str">
        <f t="shared" si="7"/>
        <v/>
      </c>
      <c r="BG14" s="1335" t="str">
        <f t="shared" si="8"/>
        <v/>
      </c>
      <c r="BH14" s="1336"/>
      <c r="BI14" s="1337"/>
      <c r="BJ14" s="1339"/>
      <c r="BK14" s="1337"/>
      <c r="BM14" s="134" t="str">
        <f>IF(COUNTIF(BM$6:BM13,C14)&gt;0,"",C14)&amp;""</f>
        <v/>
      </c>
      <c r="BN14" s="138">
        <f t="shared" si="9"/>
        <v>0</v>
      </c>
      <c r="BO14" s="132">
        <f t="shared" si="10"/>
        <v>1</v>
      </c>
      <c r="BP14" s="138">
        <f t="shared" si="11"/>
        <v>0</v>
      </c>
      <c r="BQ14" s="132">
        <f t="shared" si="12"/>
        <v>1</v>
      </c>
      <c r="BR14" s="147" t="s">
        <v>1659</v>
      </c>
      <c r="BS14" s="132" t="str">
        <f>CONCATENATE(BS9,BT9,BS10,BT10,BS11,BT11,BS12,BT12,BS13)</f>
        <v/>
      </c>
      <c r="BT14" s="132"/>
    </row>
    <row r="15" ht="15" customHeight="1" spans="1:72">
      <c r="A15" s="1329" t="str">
        <f>IF(B15="","",COUNT(A$6:A14)+1)</f>
        <v/>
      </c>
      <c r="B15" s="1340"/>
      <c r="C15" s="142"/>
      <c r="D15" s="127" t="str">
        <f>IFERROR(VLOOKUP(C15,参数表!$H$2:$I$50,2,FALSE),"")</f>
        <v/>
      </c>
      <c r="E15" s="128" t="str">
        <f t="shared" si="4"/>
        <v/>
      </c>
      <c r="F15" s="1342"/>
      <c r="G15" s="1343"/>
      <c r="H15" s="1332" t="str">
        <f t="shared" si="0"/>
        <v/>
      </c>
      <c r="I15" s="1332" t="str">
        <f t="shared" si="1"/>
        <v/>
      </c>
      <c r="J15" s="1332" t="str">
        <f t="shared" si="5"/>
        <v/>
      </c>
      <c r="K15" s="1332" t="str">
        <f t="shared" si="6"/>
        <v/>
      </c>
      <c r="L15" s="1339"/>
      <c r="BA15" s="78"/>
      <c r="BB15" s="132" t="s">
        <v>1660</v>
      </c>
      <c r="BC15" s="133"/>
      <c r="BD15" s="132" t="str">
        <f>IF(OR(B15="",BC15=""),"",COUNTIF(BC$7:BC15,"√"))</f>
        <v/>
      </c>
      <c r="BE15" s="134" t="str">
        <f t="shared" si="2"/>
        <v/>
      </c>
      <c r="BF15" s="1335" t="str">
        <f t="shared" si="7"/>
        <v/>
      </c>
      <c r="BG15" s="1335" t="str">
        <f t="shared" si="8"/>
        <v/>
      </c>
      <c r="BH15" s="1336"/>
      <c r="BI15" s="1337"/>
      <c r="BJ15" s="1339"/>
      <c r="BK15" s="1337"/>
      <c r="BM15" s="134" t="str">
        <f>IF(COUNTIF(BM$6:BM14,C15)&gt;0,"",C15)&amp;""</f>
        <v/>
      </c>
      <c r="BN15" s="138">
        <f t="shared" si="9"/>
        <v>0</v>
      </c>
      <c r="BO15" s="132">
        <f t="shared" si="10"/>
        <v>1</v>
      </c>
      <c r="BP15" s="138">
        <f t="shared" si="11"/>
        <v>0</v>
      </c>
      <c r="BQ15" s="132">
        <f t="shared" si="12"/>
        <v>1</v>
      </c>
      <c r="BR15" s="133"/>
      <c r="BS15" s="133"/>
    </row>
    <row r="16" ht="15" customHeight="1" spans="1:72">
      <c r="A16" s="1329" t="str">
        <f>IF(B16="","",COUNT(A$6:A15)+1)</f>
        <v/>
      </c>
      <c r="B16" s="1340"/>
      <c r="C16" s="142"/>
      <c r="D16" s="127" t="str">
        <f>IFERROR(VLOOKUP(C16,参数表!$H$2:$I$50,2,FALSE),"")</f>
        <v/>
      </c>
      <c r="E16" s="128" t="str">
        <f t="shared" si="4"/>
        <v/>
      </c>
      <c r="F16" s="1342"/>
      <c r="G16" s="1343"/>
      <c r="H16" s="1332" t="str">
        <f t="shared" si="0"/>
        <v/>
      </c>
      <c r="I16" s="1332" t="str">
        <f t="shared" si="1"/>
        <v/>
      </c>
      <c r="J16" s="1332" t="str">
        <f t="shared" si="5"/>
        <v/>
      </c>
      <c r="K16" s="1332" t="str">
        <f t="shared" si="6"/>
        <v/>
      </c>
      <c r="L16" s="1339"/>
      <c r="BA16" s="78"/>
      <c r="BB16" s="132" t="s">
        <v>1661</v>
      </c>
      <c r="BC16" s="133"/>
      <c r="BD16" s="132" t="str">
        <f>IF(OR(B16="",BC16=""),"",COUNTIF(BC$7:BC16,"√"))</f>
        <v/>
      </c>
      <c r="BE16" s="134" t="str">
        <f t="shared" si="2"/>
        <v/>
      </c>
      <c r="BF16" s="1335" t="str">
        <f t="shared" si="7"/>
        <v/>
      </c>
      <c r="BG16" s="1335" t="str">
        <f t="shared" si="8"/>
        <v/>
      </c>
      <c r="BH16" s="1336"/>
      <c r="BI16" s="1337"/>
      <c r="BJ16" s="1339"/>
      <c r="BK16" s="1337"/>
      <c r="BM16" s="134" t="str">
        <f>IF(COUNTIF(BM$6:BM15,C16)&gt;0,"",C16)&amp;""</f>
        <v/>
      </c>
      <c r="BN16" s="138">
        <f t="shared" si="9"/>
        <v>0</v>
      </c>
      <c r="BO16" s="132">
        <f t="shared" si="10"/>
        <v>1</v>
      </c>
      <c r="BP16" s="138">
        <f t="shared" si="11"/>
        <v>0</v>
      </c>
      <c r="BQ16" s="132">
        <f t="shared" si="12"/>
        <v>1</v>
      </c>
      <c r="BR16" s="133"/>
      <c r="BS16" s="148"/>
    </row>
    <row r="17" ht="15" customHeight="1" spans="1:71">
      <c r="A17" s="1329" t="str">
        <f>IF(B17="","",COUNT(A$6:A16)+1)</f>
        <v/>
      </c>
      <c r="B17" s="1340"/>
      <c r="C17" s="142"/>
      <c r="D17" s="127" t="str">
        <f>IFERROR(VLOOKUP(C17,参数表!$H$2:$I$50,2,FALSE),"")</f>
        <v/>
      </c>
      <c r="E17" s="128" t="str">
        <f t="shared" si="4"/>
        <v/>
      </c>
      <c r="F17" s="1342"/>
      <c r="G17" s="1343"/>
      <c r="H17" s="1332" t="str">
        <f t="shared" si="0"/>
        <v/>
      </c>
      <c r="I17" s="1332" t="str">
        <f t="shared" si="1"/>
        <v/>
      </c>
      <c r="J17" s="1332" t="str">
        <f t="shared" si="5"/>
        <v/>
      </c>
      <c r="K17" s="1332" t="str">
        <f t="shared" si="6"/>
        <v/>
      </c>
      <c r="L17" s="1339"/>
      <c r="BA17" s="78"/>
      <c r="BB17" s="132" t="s">
        <v>1662</v>
      </c>
      <c r="BC17" s="133"/>
      <c r="BD17" s="132" t="str">
        <f>IF(OR(B17="",BC17=""),"",COUNTIF(BC$7:BC17,"√"))</f>
        <v/>
      </c>
      <c r="BE17" s="134" t="str">
        <f t="shared" si="2"/>
        <v/>
      </c>
      <c r="BF17" s="1335" t="str">
        <f t="shared" si="7"/>
        <v/>
      </c>
      <c r="BG17" s="1335" t="str">
        <f t="shared" si="8"/>
        <v/>
      </c>
      <c r="BH17" s="1336"/>
      <c r="BI17" s="1337"/>
      <c r="BJ17" s="1339"/>
      <c r="BK17" s="1337"/>
      <c r="BM17" s="134" t="str">
        <f>IF(COUNTIF(BM$6:BM16,C17)&gt;0,"",C17)&amp;""</f>
        <v/>
      </c>
      <c r="BN17" s="138">
        <f t="shared" si="9"/>
        <v>0</v>
      </c>
      <c r="BO17" s="132">
        <f t="shared" si="10"/>
        <v>1</v>
      </c>
      <c r="BP17" s="138">
        <f t="shared" si="11"/>
        <v>0</v>
      </c>
      <c r="BQ17" s="132">
        <f t="shared" si="12"/>
        <v>1</v>
      </c>
      <c r="BR17" s="133"/>
      <c r="BS17" s="133"/>
    </row>
    <row r="18" ht="15" customHeight="1" spans="1:71">
      <c r="A18" s="1329" t="str">
        <f>IF(B18="","",COUNT(A$6:A17)+1)</f>
        <v/>
      </c>
      <c r="B18" s="1340"/>
      <c r="C18" s="142"/>
      <c r="D18" s="127" t="str">
        <f>IFERROR(VLOOKUP(C18,参数表!$H$2:$I$50,2,FALSE),"")</f>
        <v/>
      </c>
      <c r="E18" s="128" t="str">
        <f t="shared" si="4"/>
        <v/>
      </c>
      <c r="F18" s="1342"/>
      <c r="G18" s="1343"/>
      <c r="H18" s="1332" t="str">
        <f t="shared" si="0"/>
        <v/>
      </c>
      <c r="I18" s="1332" t="str">
        <f t="shared" si="1"/>
        <v/>
      </c>
      <c r="J18" s="1332" t="str">
        <f t="shared" si="5"/>
        <v/>
      </c>
      <c r="K18" s="1332" t="str">
        <f t="shared" si="6"/>
        <v/>
      </c>
      <c r="L18" s="1339"/>
      <c r="BA18" s="78"/>
      <c r="BB18" s="132" t="s">
        <v>1663</v>
      </c>
      <c r="BC18" s="133"/>
      <c r="BD18" s="132" t="str">
        <f>IF(OR(B18="",BC18=""),"",COUNTIF(BC$7:BC18,"√"))</f>
        <v/>
      </c>
      <c r="BE18" s="134" t="str">
        <f t="shared" si="2"/>
        <v/>
      </c>
      <c r="BF18" s="1335" t="str">
        <f t="shared" si="7"/>
        <v/>
      </c>
      <c r="BG18" s="1335" t="str">
        <f t="shared" si="8"/>
        <v/>
      </c>
      <c r="BH18" s="1336"/>
      <c r="BI18" s="1337"/>
      <c r="BJ18" s="1339"/>
      <c r="BK18" s="1337"/>
      <c r="BM18" s="134" t="str">
        <f>IF(COUNTIF(BM$6:BM17,C18)&gt;0,"",C18)&amp;""</f>
        <v/>
      </c>
      <c r="BN18" s="138">
        <f t="shared" si="9"/>
        <v>0</v>
      </c>
      <c r="BO18" s="132">
        <f t="shared" si="10"/>
        <v>1</v>
      </c>
      <c r="BP18" s="138">
        <f t="shared" si="11"/>
        <v>0</v>
      </c>
      <c r="BQ18" s="132">
        <f t="shared" si="12"/>
        <v>1</v>
      </c>
      <c r="BR18" s="133"/>
      <c r="BS18" s="133"/>
    </row>
    <row r="19" ht="15" customHeight="1" spans="1:71">
      <c r="A19" s="1329" t="str">
        <f>IF(B19="","",COUNT(A$6:A18)+1)</f>
        <v/>
      </c>
      <c r="B19" s="1340"/>
      <c r="C19" s="142"/>
      <c r="D19" s="127" t="str">
        <f>IFERROR(VLOOKUP(C19,参数表!$H$2:$I$50,2,FALSE),"")</f>
        <v/>
      </c>
      <c r="E19" s="128" t="str">
        <f t="shared" si="4"/>
        <v/>
      </c>
      <c r="F19" s="1342"/>
      <c r="G19" s="1343"/>
      <c r="H19" s="1332" t="str">
        <f t="shared" si="0"/>
        <v/>
      </c>
      <c r="I19" s="1332" t="str">
        <f t="shared" si="1"/>
        <v/>
      </c>
      <c r="J19" s="1332" t="str">
        <f t="shared" ref="J19:J25" si="15">IFERROR(I19-H19,"")</f>
        <v/>
      </c>
      <c r="K19" s="1332" t="str">
        <f t="shared" ref="K19:K25" si="16">IFERROR(J19/H19*100,"")</f>
        <v/>
      </c>
      <c r="L19" s="1339"/>
      <c r="BA19" s="78"/>
      <c r="BB19" s="132" t="s">
        <v>1664</v>
      </c>
      <c r="BC19" s="133"/>
      <c r="BD19" s="132" t="str">
        <f>IF(OR(B19="",BC19=""),"",COUNTIF(BC$7:BC19,"√"))</f>
        <v/>
      </c>
      <c r="BE19" s="134" t="str">
        <f t="shared" si="2"/>
        <v/>
      </c>
      <c r="BF19" s="1335" t="str">
        <f t="shared" si="7"/>
        <v/>
      </c>
      <c r="BG19" s="1335" t="str">
        <f t="shared" si="8"/>
        <v/>
      </c>
      <c r="BH19" s="1336"/>
      <c r="BI19" s="1337"/>
      <c r="BJ19" s="1339"/>
      <c r="BK19" s="1337"/>
      <c r="BM19" s="134" t="str">
        <f>IF(COUNTIF(BM$6:BM18,C19)&gt;0,"",C19)&amp;""</f>
        <v/>
      </c>
      <c r="BN19" s="138">
        <f t="shared" si="9"/>
        <v>0</v>
      </c>
      <c r="BO19" s="132">
        <f t="shared" si="10"/>
        <v>1</v>
      </c>
      <c r="BP19" s="138">
        <f t="shared" si="11"/>
        <v>0</v>
      </c>
      <c r="BQ19" s="132">
        <f t="shared" si="12"/>
        <v>1</v>
      </c>
      <c r="BR19" s="133"/>
      <c r="BS19" s="133"/>
    </row>
    <row r="20" ht="15" customHeight="1" spans="1:71">
      <c r="A20" s="1329" t="str">
        <f>IF(B20="","",COUNT(A$6:A19)+1)</f>
        <v/>
      </c>
      <c r="B20" s="1340"/>
      <c r="C20" s="142"/>
      <c r="D20" s="127" t="str">
        <f>IFERROR(VLOOKUP(C20,参数表!$H$2:$I$50,2,FALSE),"")</f>
        <v/>
      </c>
      <c r="E20" s="128" t="str">
        <f t="shared" si="4"/>
        <v/>
      </c>
      <c r="F20" s="1342"/>
      <c r="G20" s="1343"/>
      <c r="H20" s="1332" t="str">
        <f t="shared" si="0"/>
        <v/>
      </c>
      <c r="I20" s="1332" t="str">
        <f t="shared" si="1"/>
        <v/>
      </c>
      <c r="J20" s="1332" t="str">
        <f t="shared" si="15"/>
        <v/>
      </c>
      <c r="K20" s="1332" t="str">
        <f t="shared" si="16"/>
        <v/>
      </c>
      <c r="L20" s="1339"/>
      <c r="BA20" s="78"/>
      <c r="BB20" s="132" t="s">
        <v>1665</v>
      </c>
      <c r="BC20" s="133"/>
      <c r="BD20" s="132" t="str">
        <f>IF(OR(B20="",BC20=""),"",COUNTIF(BC$7:BC20,"√"))</f>
        <v/>
      </c>
      <c r="BE20" s="134" t="str">
        <f t="shared" si="2"/>
        <v/>
      </c>
      <c r="BF20" s="1335" t="str">
        <f t="shared" si="7"/>
        <v/>
      </c>
      <c r="BG20" s="1335" t="str">
        <f t="shared" si="8"/>
        <v/>
      </c>
      <c r="BH20" s="1336"/>
      <c r="BI20" s="1337"/>
      <c r="BJ20" s="1339"/>
      <c r="BK20" s="1337"/>
      <c r="BM20" s="134" t="str">
        <f>IF(COUNTIF(BM$6:BM19,C20)&gt;0,"",C20)&amp;""</f>
        <v/>
      </c>
      <c r="BN20" s="138">
        <f t="shared" si="9"/>
        <v>0</v>
      </c>
      <c r="BO20" s="132">
        <f t="shared" si="10"/>
        <v>1</v>
      </c>
      <c r="BP20" s="138">
        <f t="shared" si="11"/>
        <v>0</v>
      </c>
      <c r="BQ20" s="132">
        <f t="shared" si="12"/>
        <v>1</v>
      </c>
      <c r="BR20" s="133"/>
      <c r="BS20" s="133"/>
    </row>
    <row r="21" ht="15" customHeight="1" spans="1:71">
      <c r="A21" s="1329" t="str">
        <f>IF(B21="","",COUNT(A$6:A20)+1)</f>
        <v/>
      </c>
      <c r="B21" s="1340"/>
      <c r="C21" s="142"/>
      <c r="D21" s="127" t="str">
        <f>IFERROR(VLOOKUP(C21,参数表!$H$2:$I$50,2,FALSE),"")</f>
        <v/>
      </c>
      <c r="E21" s="128" t="str">
        <f t="shared" si="4"/>
        <v/>
      </c>
      <c r="F21" s="1342"/>
      <c r="G21" s="1343"/>
      <c r="H21" s="1332" t="str">
        <f t="shared" si="0"/>
        <v/>
      </c>
      <c r="I21" s="1332" t="str">
        <f t="shared" si="1"/>
        <v/>
      </c>
      <c r="J21" s="1332" t="str">
        <f t="shared" si="15"/>
        <v/>
      </c>
      <c r="K21" s="1332" t="str">
        <f t="shared" si="16"/>
        <v/>
      </c>
      <c r="L21" s="1339"/>
      <c r="BA21" s="78"/>
      <c r="BB21" s="132" t="s">
        <v>1666</v>
      </c>
      <c r="BC21" s="133"/>
      <c r="BD21" s="132" t="str">
        <f>IF(OR(B21="",BC21=""),"",COUNTIF(BC$7:BC21,"√"))</f>
        <v/>
      </c>
      <c r="BE21" s="134" t="str">
        <f t="shared" si="2"/>
        <v/>
      </c>
      <c r="BF21" s="1335" t="str">
        <f t="shared" si="7"/>
        <v/>
      </c>
      <c r="BG21" s="1335" t="str">
        <f t="shared" si="8"/>
        <v/>
      </c>
      <c r="BH21" s="1336"/>
      <c r="BI21" s="1337"/>
      <c r="BJ21" s="1339"/>
      <c r="BK21" s="1337"/>
      <c r="BM21" s="134" t="str">
        <f>IF(COUNTIF(BM$6:BM20,C21)&gt;0,"",C21)&amp;""</f>
        <v/>
      </c>
      <c r="BN21" s="138">
        <f t="shared" si="9"/>
        <v>0</v>
      </c>
      <c r="BO21" s="132">
        <f t="shared" si="10"/>
        <v>1</v>
      </c>
      <c r="BP21" s="138">
        <f t="shared" si="11"/>
        <v>0</v>
      </c>
      <c r="BQ21" s="132">
        <f t="shared" si="12"/>
        <v>1</v>
      </c>
      <c r="BR21" s="133"/>
      <c r="BS21" s="133"/>
    </row>
    <row r="22" ht="15" customHeight="1" spans="1:71">
      <c r="A22" s="1329" t="str">
        <f>IF(B22="","",COUNT(A$6:A21)+1)</f>
        <v/>
      </c>
      <c r="B22" s="1340"/>
      <c r="C22" s="142"/>
      <c r="D22" s="127" t="str">
        <f>IFERROR(VLOOKUP(C22,参数表!$H$2:$I$50,2,FALSE),"")</f>
        <v/>
      </c>
      <c r="E22" s="128" t="str">
        <f t="shared" si="4"/>
        <v/>
      </c>
      <c r="F22" s="1342"/>
      <c r="G22" s="1343"/>
      <c r="H22" s="1332" t="str">
        <f t="shared" si="0"/>
        <v/>
      </c>
      <c r="I22" s="1332" t="str">
        <f t="shared" si="1"/>
        <v/>
      </c>
      <c r="J22" s="1332" t="str">
        <f t="shared" si="15"/>
        <v/>
      </c>
      <c r="K22" s="1332" t="str">
        <f t="shared" si="16"/>
        <v/>
      </c>
      <c r="L22" s="1339"/>
      <c r="BA22" s="78"/>
      <c r="BB22" s="132" t="s">
        <v>1667</v>
      </c>
      <c r="BC22" s="133"/>
      <c r="BD22" s="132" t="str">
        <f>IF(OR(B22="",BC22=""),"",COUNTIF(BC$7:BC22,"√"))</f>
        <v/>
      </c>
      <c r="BE22" s="134" t="str">
        <f t="shared" si="2"/>
        <v/>
      </c>
      <c r="BF22" s="1335" t="str">
        <f t="shared" si="7"/>
        <v/>
      </c>
      <c r="BG22" s="1335" t="str">
        <f t="shared" si="8"/>
        <v/>
      </c>
      <c r="BH22" s="1336"/>
      <c r="BI22" s="1337"/>
      <c r="BJ22" s="1339"/>
      <c r="BK22" s="1337"/>
      <c r="BM22" s="134" t="str">
        <f>IF(COUNTIF(BM$6:BM21,C22)&gt;0,"",C22)&amp;""</f>
        <v/>
      </c>
      <c r="BN22" s="138">
        <f t="shared" si="9"/>
        <v>0</v>
      </c>
      <c r="BO22" s="132">
        <f t="shared" si="10"/>
        <v>1</v>
      </c>
      <c r="BP22" s="138">
        <f t="shared" si="11"/>
        <v>0</v>
      </c>
      <c r="BQ22" s="132">
        <f t="shared" si="12"/>
        <v>1</v>
      </c>
      <c r="BR22" s="133"/>
      <c r="BS22" s="133"/>
    </row>
    <row r="23" ht="15" customHeight="1" spans="1:71">
      <c r="A23" s="1329" t="str">
        <f>IF(B23="","",COUNT(A$6:A22)+1)</f>
        <v/>
      </c>
      <c r="B23" s="1340"/>
      <c r="C23" s="142"/>
      <c r="D23" s="127" t="str">
        <f>IFERROR(VLOOKUP(C23,参数表!$H$2:$I$50,2,FALSE),"")</f>
        <v/>
      </c>
      <c r="E23" s="128" t="str">
        <f t="shared" si="4"/>
        <v/>
      </c>
      <c r="F23" s="1342"/>
      <c r="G23" s="1343"/>
      <c r="H23" s="1332" t="str">
        <f t="shared" si="0"/>
        <v/>
      </c>
      <c r="I23" s="1332" t="str">
        <f t="shared" si="1"/>
        <v/>
      </c>
      <c r="J23" s="1332" t="str">
        <f t="shared" si="15"/>
        <v/>
      </c>
      <c r="K23" s="1332" t="str">
        <f t="shared" si="16"/>
        <v/>
      </c>
      <c r="L23" s="1339"/>
      <c r="BA23" s="78"/>
      <c r="BB23" s="132" t="s">
        <v>1668</v>
      </c>
      <c r="BC23" s="133"/>
      <c r="BD23" s="132" t="str">
        <f>IF(OR(B23="",BC23=""),"",COUNTIF(BC$7:BC23,"√"))</f>
        <v/>
      </c>
      <c r="BE23" s="134" t="str">
        <f t="shared" si="2"/>
        <v/>
      </c>
      <c r="BF23" s="1335" t="str">
        <f t="shared" si="7"/>
        <v/>
      </c>
      <c r="BG23" s="1335" t="str">
        <f t="shared" si="8"/>
        <v/>
      </c>
      <c r="BH23" s="1336"/>
      <c r="BI23" s="1337"/>
      <c r="BJ23" s="1339"/>
      <c r="BK23" s="1337"/>
      <c r="BM23" s="134" t="str">
        <f>IF(COUNTIF(BM$6:BM22,C23)&gt;0,"",C23)&amp;""</f>
        <v/>
      </c>
      <c r="BN23" s="138">
        <f t="shared" si="9"/>
        <v>0</v>
      </c>
      <c r="BO23" s="132">
        <f t="shared" si="10"/>
        <v>1</v>
      </c>
      <c r="BP23" s="138">
        <f t="shared" si="11"/>
        <v>0</v>
      </c>
      <c r="BQ23" s="132">
        <f t="shared" si="12"/>
        <v>1</v>
      </c>
      <c r="BR23" s="133"/>
      <c r="BS23" s="133"/>
    </row>
    <row r="24" ht="15" customHeight="1" spans="1:71">
      <c r="A24" s="1329" t="str">
        <f>IF(B24="","",COUNT(A$6:A23)+1)</f>
        <v/>
      </c>
      <c r="B24" s="1340"/>
      <c r="C24" s="142"/>
      <c r="D24" s="127" t="str">
        <f>IFERROR(VLOOKUP(C24,参数表!$H$2:$I$50,2,FALSE),"")</f>
        <v/>
      </c>
      <c r="E24" s="128" t="str">
        <f t="shared" si="4"/>
        <v/>
      </c>
      <c r="F24" s="1342"/>
      <c r="G24" s="1343"/>
      <c r="H24" s="1332" t="str">
        <f t="shared" si="0"/>
        <v/>
      </c>
      <c r="I24" s="1332" t="str">
        <f t="shared" si="1"/>
        <v/>
      </c>
      <c r="J24" s="1332" t="str">
        <f t="shared" si="15"/>
        <v/>
      </c>
      <c r="K24" s="1332" t="str">
        <f t="shared" si="16"/>
        <v/>
      </c>
      <c r="L24" s="1339"/>
      <c r="BA24" s="78"/>
      <c r="BB24" s="132" t="s">
        <v>1669</v>
      </c>
      <c r="BC24" s="133"/>
      <c r="BD24" s="132" t="str">
        <f>IF(OR(B24="",BC24=""),"",COUNTIF(BC$7:BC24,"√"))</f>
        <v/>
      </c>
      <c r="BE24" s="134" t="str">
        <f t="shared" si="2"/>
        <v/>
      </c>
      <c r="BF24" s="1335" t="str">
        <f t="shared" si="7"/>
        <v/>
      </c>
      <c r="BG24" s="1335" t="str">
        <f t="shared" si="8"/>
        <v/>
      </c>
      <c r="BH24" s="1336"/>
      <c r="BI24" s="1337"/>
      <c r="BJ24" s="1339"/>
      <c r="BK24" s="1337"/>
      <c r="BM24" s="134" t="str">
        <f>IF(COUNTIF(BM$6:BM23,C24)&gt;0,"",C24)&amp;""</f>
        <v/>
      </c>
      <c r="BN24" s="138">
        <f t="shared" si="9"/>
        <v>0</v>
      </c>
      <c r="BO24" s="132">
        <f t="shared" si="10"/>
        <v>1</v>
      </c>
      <c r="BP24" s="138">
        <f t="shared" si="11"/>
        <v>0</v>
      </c>
      <c r="BQ24" s="132">
        <f t="shared" si="12"/>
        <v>1</v>
      </c>
      <c r="BR24" s="133"/>
      <c r="BS24" s="133"/>
    </row>
    <row r="25" ht="15" customHeight="1" spans="1:71">
      <c r="A25" s="1329" t="str">
        <f>IF(B25="","",COUNT(A$6:A24)+1)</f>
        <v/>
      </c>
      <c r="B25" s="1340"/>
      <c r="C25" s="142"/>
      <c r="D25" s="127" t="str">
        <f>IFERROR(VLOOKUP(C25,参数表!$H$2:$I$50,2,FALSE),"")</f>
        <v/>
      </c>
      <c r="E25" s="128" t="str">
        <f t="shared" si="4"/>
        <v/>
      </c>
      <c r="F25" s="1342"/>
      <c r="G25" s="1343"/>
      <c r="H25" s="1332" t="str">
        <f t="shared" si="0"/>
        <v/>
      </c>
      <c r="I25" s="1332" t="str">
        <f t="shared" si="1"/>
        <v/>
      </c>
      <c r="J25" s="1332" t="str">
        <f t="shared" si="15"/>
        <v/>
      </c>
      <c r="K25" s="1332" t="str">
        <f t="shared" si="16"/>
        <v/>
      </c>
      <c r="L25" s="1339"/>
      <c r="BA25" s="78"/>
      <c r="BB25" s="132" t="s">
        <v>1670</v>
      </c>
      <c r="BC25" s="133"/>
      <c r="BD25" s="132" t="str">
        <f>IF(OR(B25="",BC25=""),"",COUNTIF(BC$7:BC25,"√"))</f>
        <v/>
      </c>
      <c r="BE25" s="134" t="str">
        <f t="shared" si="2"/>
        <v/>
      </c>
      <c r="BF25" s="1335" t="str">
        <f t="shared" si="7"/>
        <v/>
      </c>
      <c r="BG25" s="1335" t="str">
        <f t="shared" si="8"/>
        <v/>
      </c>
      <c r="BH25" s="1336"/>
      <c r="BI25" s="1337"/>
      <c r="BJ25" s="1339"/>
      <c r="BK25" s="1337"/>
      <c r="BM25" s="134" t="str">
        <f>IF(COUNTIF(BM$6:BM24,C25)&gt;0,"",C25)&amp;""</f>
        <v/>
      </c>
      <c r="BN25" s="138">
        <f t="shared" si="9"/>
        <v>0</v>
      </c>
      <c r="BO25" s="132">
        <f t="shared" si="10"/>
        <v>1</v>
      </c>
      <c r="BP25" s="138">
        <f t="shared" si="11"/>
        <v>0</v>
      </c>
      <c r="BQ25" s="132">
        <f t="shared" si="12"/>
        <v>1</v>
      </c>
      <c r="BR25" s="133"/>
      <c r="BS25" s="133"/>
    </row>
    <row r="26" ht="15" customHeight="1" spans="1:71">
      <c r="A26" s="1329" t="str">
        <f>IF(B26="","",COUNT(A$6:A25)+1)</f>
        <v/>
      </c>
      <c r="B26" s="1330"/>
      <c r="C26" s="127"/>
      <c r="D26" s="127" t="str">
        <f>IFERROR(VLOOKUP(C26,参数表!$H$2:$I$50,2,FALSE),"")</f>
        <v/>
      </c>
      <c r="E26" s="128" t="str">
        <f t="shared" si="4"/>
        <v/>
      </c>
      <c r="F26" s="1332"/>
      <c r="G26" s="1333"/>
      <c r="H26" s="1332" t="str">
        <f t="shared" si="0"/>
        <v/>
      </c>
      <c r="I26" s="1332" t="str">
        <f t="shared" si="1"/>
        <v/>
      </c>
      <c r="J26" s="1332" t="str">
        <f t="shared" si="5"/>
        <v/>
      </c>
      <c r="K26" s="1332" t="str">
        <f t="shared" si="6"/>
        <v/>
      </c>
      <c r="L26" s="1334"/>
      <c r="BA26" s="78"/>
      <c r="BB26" s="132" t="s">
        <v>1671</v>
      </c>
      <c r="BC26" s="133"/>
      <c r="BD26" s="132" t="str">
        <f>IF(OR(B26="",BC26=""),"",COUNTIF(BC$7:BC26,"√"))</f>
        <v/>
      </c>
      <c r="BE26" s="134" t="str">
        <f t="shared" si="2"/>
        <v/>
      </c>
      <c r="BF26" s="1335" t="str">
        <f t="shared" si="7"/>
        <v/>
      </c>
      <c r="BG26" s="1335" t="str">
        <f t="shared" si="8"/>
        <v/>
      </c>
      <c r="BH26" s="1336"/>
      <c r="BI26" s="1337"/>
      <c r="BJ26" s="1339"/>
      <c r="BK26" s="1337"/>
      <c r="BM26" s="134" t="str">
        <f>IF(COUNTIF(BM$6:BM25,C26)&gt;0,"",C26)&amp;""</f>
        <v/>
      </c>
      <c r="BN26" s="138">
        <f t="shared" si="9"/>
        <v>0</v>
      </c>
      <c r="BO26" s="132">
        <f t="shared" si="10"/>
        <v>1</v>
      </c>
      <c r="BP26" s="138">
        <f t="shared" si="11"/>
        <v>0</v>
      </c>
      <c r="BQ26" s="132">
        <f t="shared" si="12"/>
        <v>1</v>
      </c>
      <c r="BR26" s="133"/>
      <c r="BS26" s="133"/>
    </row>
    <row r="27" s="111" customFormat="1" ht="15" customHeight="1" spans="1:71">
      <c r="A27" s="328" t="s">
        <v>1672</v>
      </c>
      <c r="B27" s="328"/>
      <c r="C27" s="332"/>
      <c r="D27" s="330"/>
      <c r="E27" s="330"/>
      <c r="F27" s="331">
        <f>SUM(F7:F26)</f>
        <v>0</v>
      </c>
      <c r="G27" s="1345"/>
      <c r="H27" s="331">
        <f>SUM(H7:H26)</f>
        <v>0</v>
      </c>
      <c r="I27" s="331">
        <f>SUM(I7:I26)</f>
        <v>0</v>
      </c>
      <c r="J27" s="331">
        <f t="shared" si="5"/>
        <v>0</v>
      </c>
      <c r="K27" s="331" t="str">
        <f t="shared" si="6"/>
        <v/>
      </c>
      <c r="L27" s="332"/>
      <c r="BH27" s="119"/>
      <c r="BM27" s="119"/>
      <c r="BN27" s="77"/>
      <c r="BO27" s="77"/>
      <c r="BP27" s="77"/>
      <c r="BQ27" s="119"/>
      <c r="BR27" s="119"/>
      <c r="BS27" s="119"/>
    </row>
    <row r="28" customHeight="1" spans="1:71">
      <c r="A28" s="299" t="str">
        <f>参数表!F$6</f>
        <v>产权持有单位填表人：贾广东</v>
      </c>
      <c r="B28" s="1346"/>
      <c r="C28" s="1346"/>
      <c r="D28" s="1346"/>
      <c r="E28" s="1346"/>
      <c r="F28" s="1346"/>
      <c r="G28" s="966"/>
      <c r="H28" s="107"/>
      <c r="I28" s="107" t="str">
        <f>"评估人员："&amp;封面!$G$20</f>
        <v>评估人员：栗祥宁</v>
      </c>
      <c r="J28" s="107"/>
      <c r="K28" s="107"/>
      <c r="L28" s="107"/>
      <c r="BC28" s="77"/>
      <c r="BH28" s="78"/>
    </row>
    <row r="29" customHeight="1" spans="1:71">
      <c r="A29" s="299" t="str">
        <f>参数表!F$7</f>
        <v>填表日期：2025年9月20日</v>
      </c>
      <c r="B29" s="1346"/>
      <c r="C29" s="1346"/>
      <c r="D29" s="1346"/>
      <c r="E29" s="1346"/>
      <c r="F29" s="1346"/>
      <c r="G29" s="966"/>
      <c r="H29" s="107"/>
      <c r="I29" s="107"/>
      <c r="J29" s="107"/>
      <c r="K29" s="107"/>
      <c r="L29" s="107"/>
      <c r="BC29" s="77"/>
      <c r="BH29" s="78"/>
    </row>
    <row r="30" hidden="1" customHeight="1" outlineLevel="1" spans="1:71">
      <c r="A30" s="1347"/>
      <c r="B30" s="154" t="s">
        <v>1673</v>
      </c>
      <c r="C30" s="1301"/>
      <c r="D30" s="1301"/>
      <c r="E30" s="1301"/>
      <c r="F30" s="1355">
        <f>SUMIF($BA7:$BA26,$BA30,F7:F26)</f>
        <v>0</v>
      </c>
      <c r="G30" s="1349"/>
      <c r="H30" s="1355">
        <f>SUMIF($BA7:$BA26,$BA30,H7:H26)</f>
        <v>0</v>
      </c>
      <c r="I30" s="1355">
        <f>SUMIF($BA7:$BA26,$BA30,I7:I26)</f>
        <v>0</v>
      </c>
      <c r="BA30" s="161" t="s">
        <v>1674</v>
      </c>
      <c r="BC30" s="77"/>
      <c r="BH30" s="161" t="s">
        <v>1675</v>
      </c>
    </row>
    <row r="31" hidden="1" customHeight="1" outlineLevel="1" spans="1:71">
      <c r="A31" s="1347"/>
      <c r="B31" s="154" t="s">
        <v>1676</v>
      </c>
      <c r="C31" s="1301"/>
      <c r="D31" s="1301"/>
      <c r="E31" s="1301"/>
      <c r="F31" s="1355">
        <f>F27-F30</f>
        <v>0</v>
      </c>
      <c r="G31" s="1349"/>
      <c r="H31" s="1355">
        <f>H27-H30</f>
        <v>0</v>
      </c>
      <c r="I31" s="1355">
        <f>I27-I30</f>
        <v>0</v>
      </c>
      <c r="BA31" s="161" t="s">
        <v>1677</v>
      </c>
      <c r="BC31" s="77"/>
      <c r="BH31" s="161" t="s">
        <v>1678</v>
      </c>
    </row>
    <row r="32" customHeight="1" collapsed="1" spans="1:71">
      <c r="A32" s="1347"/>
      <c r="B32" s="1301"/>
      <c r="C32" s="1301"/>
      <c r="D32" s="1301"/>
      <c r="E32" s="1301"/>
      <c r="F32" s="1301"/>
      <c r="BC32" s="77"/>
      <c r="BH32" s="78"/>
    </row>
    <row r="33" customHeight="1" spans="1:60">
      <c r="A33" s="1347"/>
      <c r="B33" s="1301"/>
      <c r="C33" s="1301"/>
      <c r="D33" s="1301"/>
      <c r="E33" s="1301"/>
      <c r="F33" s="1301"/>
      <c r="BC33" s="77"/>
      <c r="BH33" s="78"/>
    </row>
    <row r="34" customHeight="1" spans="1:60">
      <c r="A34" s="1347"/>
      <c r="B34" s="1301"/>
      <c r="C34" s="1301"/>
      <c r="D34" s="1301"/>
      <c r="E34" s="1301"/>
      <c r="F34" s="1301"/>
      <c r="BC34" s="77"/>
      <c r="BH34" s="78"/>
    </row>
    <row r="35" customHeight="1" spans="1:60">
      <c r="A35" s="1347"/>
      <c r="B35" s="1301"/>
      <c r="C35" s="1301"/>
      <c r="D35" s="1301"/>
      <c r="E35" s="1301"/>
      <c r="F35" s="1301"/>
      <c r="BC35" s="77"/>
      <c r="BH35" s="78"/>
    </row>
    <row r="36" customHeight="1" spans="1:60">
      <c r="A36" s="1347"/>
      <c r="B36" s="1301"/>
      <c r="C36" s="1301"/>
      <c r="D36" s="1301"/>
      <c r="E36" s="1301"/>
      <c r="F36" s="1301"/>
      <c r="BC36" s="77"/>
      <c r="BH36" s="78"/>
    </row>
    <row r="37" customHeight="1" spans="1:60">
      <c r="C37" s="1301"/>
      <c r="BC37" s="77"/>
      <c r="BH37" s="78"/>
    </row>
    <row r="38" customHeight="1" spans="1:60">
      <c r="C38" s="1301"/>
      <c r="BC38" s="77"/>
      <c r="BH38" s="78"/>
    </row>
    <row r="39" customHeight="1" spans="1:60">
      <c r="C39" s="1301"/>
      <c r="BC39" s="77"/>
      <c r="BH39" s="78"/>
    </row>
    <row r="40" customHeight="1" spans="1:60">
      <c r="C40" s="1301"/>
      <c r="BC40" s="77"/>
      <c r="BH40" s="78"/>
    </row>
    <row r="41" customHeight="1" spans="1:60">
      <c r="C41" s="1301"/>
      <c r="BC41" s="77"/>
      <c r="BH41" s="78"/>
    </row>
    <row r="42" customHeight="1" spans="1:60">
      <c r="C42" s="1301"/>
      <c r="BC42" s="77"/>
      <c r="BH42" s="78"/>
    </row>
    <row r="43" customHeight="1" spans="1:60">
      <c r="C43" s="1301"/>
      <c r="BC43" s="77"/>
      <c r="BH43" s="78"/>
    </row>
    <row r="44" customHeight="1" spans="1:60">
      <c r="C44" s="1301"/>
      <c r="BC44" s="77"/>
      <c r="BH44" s="78"/>
    </row>
    <row r="45" customHeight="1" spans="1:60">
      <c r="C45" s="1301"/>
      <c r="BC45" s="77"/>
      <c r="BH45" s="78"/>
    </row>
    <row r="46" customHeight="1" spans="1:60">
      <c r="C46" s="1301"/>
      <c r="BC46" s="77"/>
      <c r="BH46" s="78"/>
    </row>
    <row r="47" customHeight="1" spans="1:60">
      <c r="C47" s="1301"/>
      <c r="BC47" s="77"/>
      <c r="BH47" s="78"/>
    </row>
    <row r="48" customHeight="1" spans="1:60">
      <c r="C48" s="1301"/>
      <c r="BC48" s="77"/>
      <c r="BH48" s="78"/>
    </row>
    <row r="49" customHeight="1" spans="3:60">
      <c r="C49" s="1301"/>
      <c r="BC49" s="77"/>
      <c r="BH49" s="78"/>
    </row>
    <row r="50" customHeight="1" spans="3:60">
      <c r="C50" s="1301"/>
      <c r="BC50" s="77"/>
      <c r="BH50" s="78"/>
    </row>
    <row r="51" customHeight="1" spans="3:60">
      <c r="C51" s="1301"/>
      <c r="BC51" s="77"/>
      <c r="BH51" s="78"/>
    </row>
    <row r="52" customHeight="1" spans="3:60">
      <c r="C52" s="1301"/>
      <c r="BC52" s="77"/>
      <c r="BH52" s="78"/>
    </row>
    <row r="53" customHeight="1" spans="3:60">
      <c r="C53" s="1301"/>
      <c r="BC53" s="77"/>
      <c r="BH53" s="78"/>
    </row>
    <row r="54" customHeight="1" spans="3:60">
      <c r="C54" s="1301"/>
      <c r="BC54" s="77"/>
      <c r="BH54" s="78"/>
    </row>
    <row r="55" customHeight="1" spans="3:60">
      <c r="C55" s="1301"/>
      <c r="BC55" s="77"/>
      <c r="BH55" s="78"/>
    </row>
    <row r="56" customHeight="1" spans="3:60">
      <c r="C56" s="1301"/>
    </row>
    <row r="57" customHeight="1" spans="3:60">
      <c r="C57" s="1301"/>
    </row>
    <row r="58" customHeight="1" spans="3:60">
      <c r="C58" s="1301"/>
    </row>
    <row r="59" customHeight="1" spans="3:60">
      <c r="C59" s="1301"/>
    </row>
    <row r="60" customHeight="1" spans="3:60">
      <c r="C60" s="1301"/>
    </row>
    <row r="61" customHeight="1" spans="3:60">
      <c r="C61" s="1301"/>
    </row>
    <row r="62" customHeight="1" spans="3:60">
      <c r="C62" s="1301"/>
    </row>
    <row r="63" customHeight="1" spans="3:60">
      <c r="C63" s="1301"/>
    </row>
    <row r="64" customHeight="1" spans="3:60">
      <c r="C64" s="1301"/>
    </row>
    <row r="65" customHeight="1" spans="3:3">
      <c r="C65" s="1301"/>
    </row>
    <row r="66" customHeight="1" spans="3:3">
      <c r="C66" s="1301"/>
    </row>
  </sheetData>
  <sheetProtection autoFilter="0"/>
  <mergeCells count="6">
    <mergeCell ref="A2:L2"/>
    <mergeCell ref="A3:L3"/>
    <mergeCell ref="BR7:BT7"/>
    <mergeCell ref="BR8:BT8"/>
    <mergeCell ref="BS14:BT14"/>
    <mergeCell ref="A27:B27"/>
  </mergeCells>
  <conditionalFormatting sqref="BH7:BH26">
    <cfRule type="expression" dxfId="5" priority="2" stopIfTrue="1">
      <formula>AND(B7&lt;&gt;"",BH7="")</formula>
    </cfRule>
  </conditionalFormatting>
  <conditionalFormatting sqref="BF7:BG26">
    <cfRule type="containsText" dxfId="6" priority="7" stopIfTrue="1" operator="between" text="出错">
      <formula>NOT(ISERROR(SEARCH("出错",BF7)))</formula>
    </cfRule>
  </conditionalFormatting>
  <conditionalFormatting sqref="BI7:BI26 BK7:BK26">
    <cfRule type="expression" dxfId="5" priority="6" stopIfTrue="1">
      <formula>AND(BH7="有",BI7="")</formula>
    </cfRule>
  </conditionalFormatting>
  <dataValidations count="4">
    <dataValidation type="list" allowBlank="1" showInputMessage="1" showErrorMessage="1" sqref="C7:C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formula1>BH$30:BH$31</formula1>
    </dataValidation>
  </dataValidations>
  <hyperlinks>
    <hyperlink ref="B1" location="货币资金汇总表!B7" display="返回"/>
    <hyperlink ref="A1" location="索引目录!E6" display="返回索引页"/>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&amp;R&amp;"宋体,常规"&amp;11共&amp;"Times New Roman,常规"&amp;N&amp;"宋体,常规"页，第&amp;"Times New Roman,常规"&amp;P&amp;"宋体,常规"页&amp;"Times New Roman,常规"</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C000"/>
  </sheetPr>
  <dimension ref="A1:BB41"/>
  <sheetViews>
    <sheetView workbookViewId="0">
      <selection activeCell="G18" sqref="G18:M18"/>
    </sheetView>
  </sheetViews>
  <sheetFormatPr defaultColWidth="8.7" defaultRowHeight="15.6"/>
  <cols>
    <col min="1" max="1" width="1.7" style="279" customWidth="1"/>
    <col min="2" max="2" width="3.2" style="279" customWidth="1"/>
    <col min="3" max="3" width="2.7" style="279" customWidth="1"/>
    <col min="4" max="4" width="15.2" style="279" customWidth="1"/>
    <col min="5" max="5" width="12" style="279" customWidth="1"/>
    <col min="6" max="6" width="5.6" style="279" customWidth="1"/>
    <col min="7" max="8" width="3.2" style="279" customWidth="1"/>
    <col min="9" max="9" width="2.5" style="279" customWidth="1"/>
    <col min="10" max="10" width="4.1" style="279" customWidth="1"/>
    <col min="11" max="11" width="2.2" style="279" customWidth="1"/>
    <col min="12" max="12" width="5.7" style="279" customWidth="1"/>
    <col min="13" max="13" width="6.1" style="279" customWidth="1"/>
    <col min="14" max="14" width="3.6" style="279" customWidth="1"/>
    <col min="15" max="15" width="3.2" style="279" customWidth="1"/>
    <col min="16" max="16" width="8.7" style="279"/>
    <col min="17" max="52" width="8.7" style="279" hidden="1" customWidth="1" outlineLevel="1"/>
    <col min="53" max="53" width="8.7" style="279" collapsed="1"/>
    <col min="54" max="16384" width="8.7" style="279"/>
  </cols>
  <sheetData>
    <row r="1" s="232" customFormat="1" ht="10.95" spans="1:53">
      <c r="A1" s="2022" t="s">
        <v>0</v>
      </c>
      <c r="B1" s="2022"/>
    </row>
    <row r="2" ht="18" customHeight="1" spans="1:53">
      <c r="B2" s="2023"/>
      <c r="C2" s="2024"/>
      <c r="D2" s="2024"/>
      <c r="E2" s="2024"/>
      <c r="F2" s="2024"/>
      <c r="G2" s="2024"/>
      <c r="H2" s="2024"/>
      <c r="I2" s="2024"/>
      <c r="J2" s="2024"/>
      <c r="K2" s="2024"/>
      <c r="L2" s="2024"/>
      <c r="M2" s="2024"/>
      <c r="N2" s="2024"/>
      <c r="O2" s="2025"/>
    </row>
    <row r="3" ht="25.95" hidden="1" spans="1:53">
      <c r="B3" s="2026"/>
      <c r="C3" s="2027"/>
      <c r="D3" s="2028"/>
      <c r="E3" s="2028"/>
      <c r="F3" s="2028"/>
      <c r="G3" s="2028"/>
      <c r="H3" s="2028"/>
      <c r="I3" s="2028"/>
      <c r="J3" s="2028"/>
      <c r="K3" s="2028"/>
      <c r="L3" s="2028"/>
      <c r="M3" s="2028"/>
      <c r="N3" s="2029"/>
      <c r="O3" s="2030"/>
      <c r="P3" s="1430"/>
      <c r="Q3" s="1430"/>
      <c r="R3" s="1430"/>
      <c r="S3" s="1430"/>
      <c r="T3" s="1430"/>
      <c r="U3" s="1430"/>
      <c r="V3" s="1430"/>
      <c r="W3" s="1430"/>
      <c r="X3" s="1430"/>
      <c r="Y3" s="1430"/>
      <c r="Z3" s="1430"/>
      <c r="AA3" s="1430"/>
      <c r="AB3" s="1430"/>
      <c r="AC3" s="1430"/>
      <c r="AD3" s="1430"/>
      <c r="AE3" s="1430"/>
      <c r="AF3" s="1430"/>
      <c r="AG3" s="1430"/>
      <c r="AH3" s="1430"/>
      <c r="AI3" s="1430"/>
      <c r="AJ3" s="1430"/>
    </row>
    <row r="4" ht="43.5" customHeight="1" spans="1:53">
      <c r="B4" s="2026"/>
      <c r="C4" s="2031" t="s">
        <v>1</v>
      </c>
      <c r="D4" s="2032"/>
      <c r="E4" s="2032"/>
      <c r="F4" s="2032"/>
      <c r="G4" s="2032"/>
      <c r="H4" s="2032"/>
      <c r="I4" s="2032"/>
      <c r="J4" s="2032"/>
      <c r="K4" s="2032"/>
      <c r="L4" s="2032"/>
      <c r="M4" s="2032"/>
      <c r="N4" s="2033"/>
      <c r="O4" s="2030"/>
      <c r="BA4" s="1023"/>
    </row>
    <row r="5" ht="16.35" spans="1:53">
      <c r="B5" s="2026"/>
      <c r="C5" s="2034"/>
      <c r="D5" s="2035" t="s">
        <v>2</v>
      </c>
      <c r="E5" s="2035"/>
      <c r="F5" s="2035"/>
      <c r="G5" s="2035"/>
      <c r="H5" s="2035"/>
      <c r="I5" s="2035"/>
      <c r="J5" s="2035"/>
      <c r="K5" s="2035"/>
      <c r="L5" s="2035"/>
      <c r="M5" s="2035"/>
      <c r="N5" s="2036"/>
      <c r="O5" s="2030"/>
    </row>
    <row r="6" ht="31.35" hidden="1" spans="1:53">
      <c r="B6" s="2026"/>
      <c r="C6" s="2034"/>
      <c r="D6" s="2037"/>
      <c r="E6" s="2037"/>
      <c r="F6" s="2037"/>
      <c r="G6" s="2037"/>
      <c r="H6" s="2037"/>
      <c r="I6" s="2037"/>
      <c r="J6" s="2037"/>
      <c r="K6" s="2037"/>
      <c r="L6" s="2037"/>
      <c r="M6" s="2037"/>
      <c r="N6" s="2036"/>
      <c r="O6" s="2030"/>
    </row>
    <row r="7" s="229" customFormat="1" ht="18" customHeight="1" spans="1:53">
      <c r="B7" s="2026"/>
      <c r="C7" s="2034"/>
      <c r="D7" s="2038" t="str">
        <f>参数表!C3</f>
        <v>产权持有单位:</v>
      </c>
      <c r="E7" s="2039" t="str">
        <f>$E$15&amp;"单位："</f>
        <v>单位：</v>
      </c>
      <c r="F7" s="2040" t="s">
        <v>3</v>
      </c>
      <c r="G7" s="2041"/>
      <c r="H7" s="2041"/>
      <c r="I7" s="2041"/>
      <c r="J7" s="2041"/>
      <c r="K7" s="2041"/>
      <c r="L7" s="2041"/>
      <c r="M7" s="2042"/>
      <c r="N7" s="2036"/>
      <c r="O7" s="2030"/>
    </row>
    <row r="8" s="229" customFormat="1" ht="10.2" customHeight="1" spans="1:53">
      <c r="B8" s="2026"/>
      <c r="C8" s="2034"/>
      <c r="D8" s="2043"/>
      <c r="E8" s="2044"/>
      <c r="F8" s="2044"/>
      <c r="G8" s="2044"/>
      <c r="H8" s="2044"/>
      <c r="I8" s="2044"/>
      <c r="J8" s="2044"/>
      <c r="K8" s="2044"/>
      <c r="L8" s="2044"/>
      <c r="M8" s="2045"/>
      <c r="N8" s="2036"/>
      <c r="O8" s="2030"/>
    </row>
    <row r="9" s="229" customFormat="1" ht="18" customHeight="1" spans="1:53">
      <c r="B9" s="2026"/>
      <c r="C9" s="2034"/>
      <c r="D9" s="2038" t="s">
        <v>4</v>
      </c>
      <c r="E9" s="2039"/>
      <c r="F9" s="2046" t="s">
        <v>5</v>
      </c>
      <c r="G9" s="2047" t="s">
        <v>6</v>
      </c>
      <c r="H9" s="2046" t="s">
        <v>7</v>
      </c>
      <c r="I9" s="2047" t="s">
        <v>8</v>
      </c>
      <c r="J9" s="2046" t="s">
        <v>9</v>
      </c>
      <c r="K9" s="2047" t="s">
        <v>10</v>
      </c>
      <c r="L9" s="2048"/>
      <c r="M9" s="2049"/>
      <c r="N9" s="2036"/>
      <c r="O9" s="2030"/>
    </row>
    <row r="10" s="229" customFormat="1" ht="10.2" customHeight="1" spans="1:53">
      <c r="B10" s="2026"/>
      <c r="C10" s="2034"/>
      <c r="D10" s="2050"/>
      <c r="E10" s="2051"/>
      <c r="F10" s="2052"/>
      <c r="G10" s="2052"/>
      <c r="H10" s="2052"/>
      <c r="I10" s="2052"/>
      <c r="J10" s="2052"/>
      <c r="K10" s="2052"/>
      <c r="L10" s="2051"/>
      <c r="M10" s="2053"/>
      <c r="N10" s="2036"/>
      <c r="O10" s="2030"/>
    </row>
    <row r="11" s="229" customFormat="1" ht="18" customHeight="1" spans="1:53">
      <c r="B11" s="2026"/>
      <c r="C11" s="2034"/>
      <c r="D11" s="2038"/>
      <c r="E11" s="2039"/>
      <c r="F11" s="2054" t="s">
        <v>11</v>
      </c>
      <c r="G11" s="2041"/>
      <c r="H11" s="2041"/>
      <c r="I11" s="2041"/>
      <c r="J11" s="2041"/>
      <c r="K11" s="2041"/>
      <c r="L11" s="2041"/>
      <c r="M11" s="2042"/>
      <c r="N11" s="2036"/>
      <c r="O11" s="2030"/>
    </row>
    <row r="12" s="229" customFormat="1" ht="10.2" customHeight="1" spans="1:53">
      <c r="B12" s="2026"/>
      <c r="C12" s="2034"/>
      <c r="D12" s="2055"/>
      <c r="E12" s="2056"/>
      <c r="F12" s="2056"/>
      <c r="G12" s="2056"/>
      <c r="H12" s="2056"/>
      <c r="I12" s="2056"/>
      <c r="J12" s="2056"/>
      <c r="K12" s="2056"/>
      <c r="L12" s="2056"/>
      <c r="M12" s="2057"/>
      <c r="N12" s="2036"/>
      <c r="O12" s="2030"/>
    </row>
    <row r="13" s="229" customFormat="1" ht="18" customHeight="1" spans="1:53">
      <c r="B13" s="2026"/>
      <c r="C13" s="2034"/>
      <c r="D13" s="2058" t="s">
        <v>12</v>
      </c>
      <c r="E13" s="2059"/>
      <c r="F13" s="2046" t="s">
        <v>5</v>
      </c>
      <c r="G13" s="2060" t="s">
        <v>6</v>
      </c>
      <c r="H13" s="2061" t="s">
        <v>13</v>
      </c>
      <c r="I13" s="2060" t="s">
        <v>8</v>
      </c>
      <c r="J13" s="2061" t="s">
        <v>14</v>
      </c>
      <c r="K13" s="2060" t="s">
        <v>10</v>
      </c>
      <c r="L13" s="2062"/>
      <c r="M13" s="2063"/>
      <c r="N13" s="2036"/>
      <c r="O13" s="2030"/>
    </row>
    <row r="14" spans="1:53">
      <c r="B14" s="2026"/>
      <c r="C14" s="2034"/>
      <c r="D14" s="2064"/>
      <c r="E14" s="2064"/>
      <c r="F14" s="2064"/>
      <c r="G14" s="2064"/>
      <c r="H14" s="2064"/>
      <c r="I14" s="2064"/>
      <c r="J14" s="2064"/>
      <c r="K14" s="2064"/>
      <c r="L14" s="2064"/>
      <c r="M14" s="2064"/>
      <c r="N14" s="2036"/>
      <c r="O14" s="2030"/>
    </row>
    <row r="15" ht="16.35" spans="1:53">
      <c r="B15" s="2026"/>
      <c r="C15" s="2034"/>
      <c r="D15" s="2035" t="s">
        <v>15</v>
      </c>
      <c r="E15" s="2035"/>
      <c r="F15" s="2035"/>
      <c r="G15" s="2035"/>
      <c r="H15" s="2035"/>
      <c r="I15" s="2035"/>
      <c r="J15" s="2035"/>
      <c r="K15" s="2035"/>
      <c r="L15" s="2035"/>
      <c r="M15" s="2035"/>
      <c r="N15" s="2036"/>
      <c r="O15" s="2030"/>
    </row>
    <row r="16" s="229" customFormat="1" ht="18" customHeight="1" spans="1:53">
      <c r="B16" s="2026"/>
      <c r="C16" s="2034"/>
      <c r="D16" s="2065" t="s">
        <v>16</v>
      </c>
      <c r="E16" s="2066"/>
      <c r="F16" s="2041"/>
      <c r="G16" s="2067"/>
      <c r="H16" s="2067"/>
      <c r="I16" s="2067"/>
      <c r="J16" s="2067"/>
      <c r="K16" s="2067"/>
      <c r="L16" s="2067"/>
      <c r="M16" s="2068"/>
      <c r="N16" s="2036"/>
      <c r="O16" s="2030"/>
    </row>
    <row r="17" s="229" customFormat="1" ht="10.2" customHeight="1" spans="2:54">
      <c r="B17" s="2026"/>
      <c r="C17" s="2034"/>
      <c r="D17" s="2069"/>
      <c r="E17" s="2070"/>
      <c r="F17" s="2070"/>
      <c r="G17" s="2070"/>
      <c r="H17" s="2070"/>
      <c r="I17" s="2070"/>
      <c r="J17" s="2070"/>
      <c r="K17" s="2070"/>
      <c r="L17" s="2070"/>
      <c r="M17" s="2071"/>
      <c r="N17" s="2036"/>
      <c r="O17" s="2030"/>
    </row>
    <row r="18" s="229" customFormat="1" ht="18" customHeight="1" spans="2:54">
      <c r="B18" s="2026"/>
      <c r="C18" s="2034"/>
      <c r="D18" s="2072" t="s">
        <v>17</v>
      </c>
      <c r="E18" s="2073"/>
      <c r="F18" s="2073"/>
      <c r="G18" s="2074"/>
      <c r="H18" s="2074"/>
      <c r="I18" s="2074"/>
      <c r="J18" s="2074"/>
      <c r="K18" s="2074"/>
      <c r="L18" s="2074"/>
      <c r="M18" s="2075"/>
      <c r="N18" s="2036"/>
      <c r="O18" s="2030"/>
    </row>
    <row r="19" s="229" customFormat="1" ht="10.2" customHeight="1" spans="2:54">
      <c r="B19" s="2026"/>
      <c r="C19" s="2034"/>
      <c r="D19" s="2069"/>
      <c r="E19" s="2070"/>
      <c r="F19" s="2070"/>
      <c r="G19" s="2070"/>
      <c r="H19" s="2070"/>
      <c r="I19" s="2070"/>
      <c r="J19" s="2070"/>
      <c r="K19" s="2070"/>
      <c r="L19" s="2070"/>
      <c r="M19" s="2071"/>
      <c r="N19" s="2036"/>
      <c r="O19" s="2030"/>
    </row>
    <row r="20" s="229" customFormat="1" ht="18" customHeight="1" spans="2:54">
      <c r="B20" s="2026"/>
      <c r="C20" s="2034"/>
      <c r="D20" s="2072" t="s">
        <v>18</v>
      </c>
      <c r="E20" s="2073"/>
      <c r="F20" s="2073"/>
      <c r="G20" s="2076" t="s">
        <v>19</v>
      </c>
      <c r="H20" s="2074"/>
      <c r="I20" s="2074"/>
      <c r="J20" s="2074"/>
      <c r="K20" s="2074"/>
      <c r="L20" s="2074"/>
      <c r="M20" s="2075"/>
      <c r="N20" s="2036"/>
      <c r="O20" s="2030"/>
      <c r="BB20" s="2077"/>
    </row>
    <row r="21" s="229" customFormat="1" ht="10.2" customHeight="1" spans="2:54">
      <c r="B21" s="2026"/>
      <c r="C21" s="2034"/>
      <c r="D21" s="2069"/>
      <c r="E21" s="2070"/>
      <c r="F21" s="2070"/>
      <c r="G21" s="2070"/>
      <c r="H21" s="2070"/>
      <c r="I21" s="2070"/>
      <c r="J21" s="2070"/>
      <c r="K21" s="2070"/>
      <c r="L21" s="2070"/>
      <c r="M21" s="2071"/>
      <c r="N21" s="2036"/>
      <c r="O21" s="2030"/>
      <c r="BB21" s="2077"/>
    </row>
    <row r="22" s="229" customFormat="1" ht="18" customHeight="1" spans="2:54">
      <c r="B22" s="2026"/>
      <c r="C22" s="2034"/>
      <c r="D22" s="2072" t="s">
        <v>20</v>
      </c>
      <c r="E22" s="2073"/>
      <c r="F22" s="2073"/>
      <c r="G22" s="2074"/>
      <c r="H22" s="2074"/>
      <c r="I22" s="2074"/>
      <c r="J22" s="2074"/>
      <c r="K22" s="2074"/>
      <c r="L22" s="2074"/>
      <c r="M22" s="2075"/>
      <c r="N22" s="2036"/>
      <c r="O22" s="2030"/>
      <c r="BB22" s="2077"/>
    </row>
    <row r="23" s="229" customFormat="1" ht="10.2" customHeight="1" spans="2:54">
      <c r="B23" s="2026"/>
      <c r="C23" s="2034"/>
      <c r="D23" s="2069"/>
      <c r="E23" s="2070"/>
      <c r="F23" s="2070"/>
      <c r="G23" s="2070"/>
      <c r="H23" s="2070"/>
      <c r="I23" s="2070"/>
      <c r="J23" s="2070"/>
      <c r="K23" s="2070"/>
      <c r="L23" s="2070"/>
      <c r="M23" s="2071"/>
      <c r="N23" s="2036"/>
      <c r="O23" s="2030"/>
      <c r="BB23" s="2077"/>
    </row>
    <row r="24" s="229" customFormat="1" ht="18" customHeight="1" spans="2:54">
      <c r="B24" s="2026"/>
      <c r="C24" s="2034"/>
      <c r="D24" s="2072" t="s">
        <v>21</v>
      </c>
      <c r="E24" s="2073"/>
      <c r="F24" s="2073"/>
      <c r="G24" s="2074"/>
      <c r="H24" s="2074"/>
      <c r="I24" s="2074"/>
      <c r="J24" s="2074"/>
      <c r="K24" s="2074"/>
      <c r="L24" s="2074"/>
      <c r="M24" s="2075"/>
      <c r="N24" s="2036"/>
      <c r="O24" s="2030"/>
      <c r="BB24" s="2077"/>
    </row>
    <row r="25" s="229" customFormat="1" ht="10.2" customHeight="1" spans="2:54">
      <c r="B25" s="2026"/>
      <c r="C25" s="2034"/>
      <c r="D25" s="2069"/>
      <c r="E25" s="2070"/>
      <c r="F25" s="2070"/>
      <c r="G25" s="2070"/>
      <c r="H25" s="2070"/>
      <c r="I25" s="2070"/>
      <c r="J25" s="2070"/>
      <c r="K25" s="2070"/>
      <c r="L25" s="2070"/>
      <c r="M25" s="2071"/>
      <c r="N25" s="2036"/>
      <c r="O25" s="2030"/>
      <c r="BB25" s="2077"/>
    </row>
    <row r="26" s="229" customFormat="1" ht="18" customHeight="1" spans="2:54">
      <c r="B26" s="2026"/>
      <c r="C26" s="2034"/>
      <c r="D26" s="2072" t="s">
        <v>22</v>
      </c>
      <c r="E26" s="2073"/>
      <c r="F26" s="2073"/>
      <c r="G26" s="2076" t="s">
        <v>19</v>
      </c>
      <c r="H26" s="2074"/>
      <c r="I26" s="2074"/>
      <c r="J26" s="2074"/>
      <c r="K26" s="2074"/>
      <c r="L26" s="2074"/>
      <c r="M26" s="2075"/>
      <c r="N26" s="2036"/>
      <c r="O26" s="2030"/>
      <c r="BB26" s="2077"/>
    </row>
    <row r="27" s="229" customFormat="1" ht="10.2" customHeight="1" spans="2:54">
      <c r="B27" s="2026"/>
      <c r="C27" s="2034"/>
      <c r="D27" s="2069"/>
      <c r="E27" s="2070"/>
      <c r="F27" s="2070"/>
      <c r="G27" s="2070"/>
      <c r="H27" s="2070"/>
      <c r="I27" s="2070"/>
      <c r="J27" s="2070"/>
      <c r="K27" s="2070"/>
      <c r="L27" s="2070"/>
      <c r="M27" s="2071"/>
      <c r="N27" s="2036"/>
      <c r="O27" s="2030"/>
      <c r="BB27" s="2077"/>
    </row>
    <row r="28" s="229" customFormat="1" ht="18" customHeight="1" spans="2:54">
      <c r="B28" s="2026"/>
      <c r="C28" s="2034"/>
      <c r="D28" s="2072" t="s">
        <v>23</v>
      </c>
      <c r="E28" s="2073"/>
      <c r="F28" s="2073"/>
      <c r="G28" s="2074"/>
      <c r="H28" s="2074"/>
      <c r="I28" s="2074"/>
      <c r="J28" s="2074"/>
      <c r="K28" s="2074"/>
      <c r="L28" s="2074"/>
      <c r="M28" s="2075"/>
      <c r="N28" s="2036"/>
      <c r="O28" s="2030"/>
      <c r="BB28" s="2077"/>
    </row>
    <row r="29" s="229" customFormat="1" ht="10.2" customHeight="1" spans="2:54">
      <c r="B29" s="2026"/>
      <c r="C29" s="2034"/>
      <c r="D29" s="2069"/>
      <c r="E29" s="2070"/>
      <c r="F29" s="2070"/>
      <c r="G29" s="2070"/>
      <c r="H29" s="2070"/>
      <c r="I29" s="2070"/>
      <c r="J29" s="2070"/>
      <c r="K29" s="2070"/>
      <c r="L29" s="2070"/>
      <c r="M29" s="2071"/>
      <c r="N29" s="2036"/>
      <c r="O29" s="2030"/>
      <c r="BB29" s="2077"/>
    </row>
    <row r="30" s="229" customFormat="1" ht="18" customHeight="1" spans="2:54">
      <c r="B30" s="2026"/>
      <c r="C30" s="2034"/>
      <c r="D30" s="2072" t="s">
        <v>24</v>
      </c>
      <c r="E30" s="2073"/>
      <c r="F30" s="2073"/>
      <c r="G30" s="2074"/>
      <c r="H30" s="2074"/>
      <c r="I30" s="2074"/>
      <c r="J30" s="2074"/>
      <c r="K30" s="2074"/>
      <c r="L30" s="2074"/>
      <c r="M30" s="2075"/>
      <c r="N30" s="2036"/>
      <c r="O30" s="2030"/>
      <c r="BB30" s="2077"/>
    </row>
    <row r="31" s="229" customFormat="1" ht="10.2" customHeight="1" spans="2:54">
      <c r="B31" s="2026"/>
      <c r="C31" s="2034"/>
      <c r="D31" s="2069"/>
      <c r="E31" s="2070"/>
      <c r="F31" s="2070"/>
      <c r="G31" s="2070"/>
      <c r="H31" s="2070"/>
      <c r="I31" s="2070"/>
      <c r="J31" s="2070"/>
      <c r="K31" s="2070"/>
      <c r="L31" s="2070"/>
      <c r="M31" s="2071"/>
      <c r="N31" s="2036"/>
      <c r="O31" s="2030"/>
      <c r="BB31" s="2077"/>
    </row>
    <row r="32" s="229" customFormat="1" ht="18" customHeight="1" spans="2:54">
      <c r="B32" s="2026"/>
      <c r="C32" s="2034"/>
      <c r="D32" s="2072" t="s">
        <v>25</v>
      </c>
      <c r="E32" s="2073"/>
      <c r="F32" s="2073"/>
      <c r="G32" s="2074"/>
      <c r="H32" s="2074"/>
      <c r="I32" s="2074"/>
      <c r="J32" s="2074"/>
      <c r="K32" s="2074"/>
      <c r="L32" s="2074"/>
      <c r="M32" s="2075"/>
      <c r="N32" s="2036"/>
      <c r="O32" s="2030"/>
      <c r="BB32" s="2077"/>
    </row>
    <row r="33" s="229" customFormat="1" ht="10.2" customHeight="1" spans="2:54">
      <c r="B33" s="2026"/>
      <c r="C33" s="2034"/>
      <c r="D33" s="2069"/>
      <c r="E33" s="2070"/>
      <c r="F33" s="2070"/>
      <c r="G33" s="2070"/>
      <c r="H33" s="2070"/>
      <c r="I33" s="2070"/>
      <c r="J33" s="2070"/>
      <c r="K33" s="2070"/>
      <c r="L33" s="2070"/>
      <c r="M33" s="2071"/>
      <c r="N33" s="2036"/>
      <c r="O33" s="2030"/>
      <c r="BB33" s="2077"/>
    </row>
    <row r="34" s="229" customFormat="1" ht="18" customHeight="1" spans="2:54">
      <c r="B34" s="2026"/>
      <c r="C34" s="2034"/>
      <c r="D34" s="2072" t="s">
        <v>26</v>
      </c>
      <c r="E34" s="2073"/>
      <c r="F34" s="2073"/>
      <c r="G34" s="2074"/>
      <c r="H34" s="2074"/>
      <c r="I34" s="2074"/>
      <c r="J34" s="2074"/>
      <c r="K34" s="2074"/>
      <c r="L34" s="2074"/>
      <c r="M34" s="2075"/>
      <c r="N34" s="2036"/>
      <c r="O34" s="2030"/>
      <c r="BB34" s="2077"/>
    </row>
    <row r="35" s="229" customFormat="1" ht="10.2" customHeight="1" spans="2:54">
      <c r="B35" s="2026"/>
      <c r="C35" s="2034"/>
      <c r="D35" s="2069"/>
      <c r="E35" s="2070"/>
      <c r="F35" s="2070"/>
      <c r="G35" s="2070"/>
      <c r="H35" s="2070"/>
      <c r="I35" s="2070"/>
      <c r="J35" s="2070"/>
      <c r="K35" s="2070"/>
      <c r="L35" s="2070"/>
      <c r="M35" s="2071"/>
      <c r="N35" s="2036"/>
      <c r="O35" s="2030"/>
      <c r="BB35" s="2077"/>
    </row>
    <row r="36" s="229" customFormat="1" ht="18" customHeight="1" spans="2:54">
      <c r="B36" s="2026"/>
      <c r="C36" s="2034"/>
      <c r="D36" s="2072" t="s">
        <v>27</v>
      </c>
      <c r="E36" s="2073"/>
      <c r="F36" s="2073"/>
      <c r="G36" s="2074"/>
      <c r="H36" s="2074"/>
      <c r="I36" s="2074"/>
      <c r="J36" s="2074"/>
      <c r="K36" s="2074"/>
      <c r="L36" s="2074"/>
      <c r="M36" s="2075"/>
      <c r="N36" s="2036"/>
      <c r="O36" s="2030"/>
      <c r="BB36" s="2077"/>
    </row>
    <row r="37" s="229" customFormat="1" ht="10.2" customHeight="1" spans="2:54">
      <c r="B37" s="2026"/>
      <c r="C37" s="2034"/>
      <c r="D37" s="2069"/>
      <c r="E37" s="2070"/>
      <c r="F37" s="2070"/>
      <c r="G37" s="2070"/>
      <c r="H37" s="2070"/>
      <c r="I37" s="2070"/>
      <c r="J37" s="2070"/>
      <c r="K37" s="2070"/>
      <c r="L37" s="2070"/>
      <c r="M37" s="2071"/>
      <c r="N37" s="2036"/>
      <c r="O37" s="2030"/>
      <c r="BB37" s="2077"/>
    </row>
    <row r="38" s="229" customFormat="1" ht="18" customHeight="1" spans="2:54">
      <c r="B38" s="2026"/>
      <c r="C38" s="2034"/>
      <c r="D38" s="2058" t="s">
        <v>28</v>
      </c>
      <c r="E38" s="2059"/>
      <c r="F38" s="2059"/>
      <c r="G38" s="2078"/>
      <c r="H38" s="2078"/>
      <c r="I38" s="2078"/>
      <c r="J38" s="2078"/>
      <c r="K38" s="2078"/>
      <c r="L38" s="2078"/>
      <c r="M38" s="2079"/>
      <c r="N38" s="2036"/>
      <c r="O38" s="2030"/>
      <c r="BB38" s="2077"/>
    </row>
    <row r="39" ht="8.1" customHeight="1" spans="2:54">
      <c r="B39" s="2026"/>
      <c r="C39" s="2034"/>
      <c r="D39" s="2080"/>
      <c r="E39" s="2080"/>
      <c r="F39" s="2080"/>
      <c r="G39" s="2080"/>
      <c r="H39" s="2080"/>
      <c r="I39" s="2080"/>
      <c r="J39" s="2080"/>
      <c r="K39" s="2080"/>
      <c r="L39" s="2080"/>
      <c r="M39" s="2080"/>
      <c r="N39" s="2036"/>
      <c r="O39" s="2030"/>
    </row>
    <row r="40" ht="18" customHeight="1" spans="2:54">
      <c r="B40" s="2081"/>
      <c r="C40" s="2082"/>
      <c r="D40" s="2082"/>
      <c r="E40" s="2082"/>
      <c r="F40" s="2082"/>
      <c r="G40" s="2082"/>
      <c r="H40" s="2082"/>
      <c r="I40" s="2082"/>
      <c r="J40" s="2082"/>
      <c r="K40" s="2082"/>
      <c r="L40" s="2082"/>
      <c r="M40" s="2082"/>
      <c r="N40" s="2082"/>
      <c r="O40" s="2083"/>
    </row>
    <row r="41" ht="16.35"/>
  </sheetData>
  <sheetProtection selectLockedCells="1" autoFilter="0"/>
  <mergeCells count="42">
    <mergeCell ref="A1:B1"/>
    <mergeCell ref="B2:O2"/>
    <mergeCell ref="C3:N3"/>
    <mergeCell ref="C4:N4"/>
    <mergeCell ref="D5:M5"/>
    <mergeCell ref="D6:M6"/>
    <mergeCell ref="D7:E7"/>
    <mergeCell ref="F7:M7"/>
    <mergeCell ref="D9:E9"/>
    <mergeCell ref="D11:E11"/>
    <mergeCell ref="F11:M11"/>
    <mergeCell ref="D13:E13"/>
    <mergeCell ref="D14:M14"/>
    <mergeCell ref="D15:M15"/>
    <mergeCell ref="D16:E16"/>
    <mergeCell ref="F16:M16"/>
    <mergeCell ref="D18:F18"/>
    <mergeCell ref="G18:M18"/>
    <mergeCell ref="D20:F20"/>
    <mergeCell ref="G20:M20"/>
    <mergeCell ref="D22:F22"/>
    <mergeCell ref="G22:M22"/>
    <mergeCell ref="D24:F24"/>
    <mergeCell ref="G24:M24"/>
    <mergeCell ref="D26:F26"/>
    <mergeCell ref="G26:M26"/>
    <mergeCell ref="D28:F28"/>
    <mergeCell ref="G28:M28"/>
    <mergeCell ref="D30:F30"/>
    <mergeCell ref="G30:M30"/>
    <mergeCell ref="D32:F32"/>
    <mergeCell ref="G32:M32"/>
    <mergeCell ref="D34:F34"/>
    <mergeCell ref="G34:M34"/>
    <mergeCell ref="D36:F36"/>
    <mergeCell ref="G36:M36"/>
    <mergeCell ref="D38:F38"/>
    <mergeCell ref="G38:M38"/>
    <mergeCell ref="B3:B39"/>
    <mergeCell ref="C5:C39"/>
    <mergeCell ref="N5:N39"/>
    <mergeCell ref="O3:O39"/>
  </mergeCells>
  <dataValidations count="4">
    <dataValidation allowBlank="1" showInputMessage="1" showErrorMessage="1" sqref="D7 F7 D9 D10:M10"/>
    <dataValidation type="list" allowBlank="1" showInputMessage="1" showErrorMessage="1" sqref="H9 H13">
      <formula1>"1,2,3,4,5,6,7,8,9,10,11,12"</formula1>
    </dataValidation>
    <dataValidation type="list" allowBlank="1" showInputMessage="1" showErrorMessage="1" sqref="J9 J13">
      <formula1>"1,2,3,4,5,6,7,8,9,10,11,12,13,14,15,16,17,18,19,20,21,22,23,24,25,26,27,28,29,30,31"</formula1>
    </dataValidation>
    <dataValidation allowBlank="1" showInputMessage="1" showErrorMessage="1" sqref="D11 D13" errorStyle="information"/>
  </dataValidations>
  <hyperlinks>
    <hyperlink ref="A1:B1" location="索引目录!B2" display="索引页"/>
  </hyperlinks>
  <printOptions horizontalCentered="1" verticalCentered="1"/>
  <pageMargins left="0.748031496062992" right="0.748031496062992" top="0.984251968503937" bottom="0.984251968503937" header="0.511811023622047" footer="0.511811023622047"/>
  <pageSetup paperSize="9" scale="108" orientation="portrait"/>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BX55"/>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1314" customWidth="1"/>
    <col min="2" max="2" width="20.2" style="77" customWidth="1"/>
    <col min="3" max="3" width="16.3" style="77" customWidth="1"/>
    <col min="4" max="5" width="6.6" style="77" customWidth="1"/>
    <col min="6" max="6" width="8.6" style="77" customWidth="1"/>
    <col min="7" max="7" width="13.6" style="77" customWidth="1" outlineLevel="1"/>
    <col min="8" max="8" width="13.6" style="1315" customWidth="1" outlineLevel="1"/>
    <col min="9" max="10" width="13.6" style="77" customWidth="1"/>
    <col min="11" max="11" width="6" style="77" customWidth="1"/>
    <col min="12" max="12" width="5.2" style="77" customWidth="1"/>
    <col min="13" max="13" width="8.8" style="77" customWidth="1"/>
    <col min="14" max="51" width="9" style="77" hidden="1" customWidth="1" outlineLevel="1"/>
    <col min="52" max="52" width="9" style="77" hidden="1" customWidth="1" outlineLevel="1" collapsed="1"/>
    <col min="53" max="53" width="14.7" style="77" customWidth="1" collapsed="1"/>
    <col min="54" max="54" width="6.7" style="77" customWidth="1"/>
    <col min="55" max="55" width="4.7" style="78" customWidth="1"/>
    <col min="56" max="56" width="4.7" style="77" customWidth="1"/>
    <col min="57" max="57" width="8.7" style="77" customWidth="1"/>
    <col min="58" max="59" width="9.6" style="78" customWidth="1"/>
    <col min="60" max="60" width="6.7" style="78" customWidth="1"/>
    <col min="61" max="61" width="10.3" style="77" customWidth="1"/>
    <col min="62" max="62" width="8.7" style="77" customWidth="1"/>
    <col min="63" max="63" width="6.8" style="77" customWidth="1"/>
    <col min="64" max="64" width="4.7" style="77" customWidth="1"/>
    <col min="65" max="65" width="6.8" style="77" customWidth="1"/>
    <col min="66" max="66" width="10.3" style="77" customWidth="1"/>
    <col min="67" max="67" width="9" style="77"/>
    <col min="68" max="68" width="1.6" style="77" customWidth="1"/>
    <col min="69" max="69" width="10.6" style="78" customWidth="1"/>
    <col min="70" max="70" width="10.6" style="77" customWidth="1"/>
    <col min="71" max="71" width="4.6" style="78" customWidth="1"/>
    <col min="72" max="72" width="10.6" style="78" customWidth="1"/>
    <col min="73" max="74" width="4.6" style="78" customWidth="1"/>
    <col min="75" max="75" width="10.6" style="78" customWidth="1"/>
    <col min="76" max="76" width="5" style="77" customWidth="1"/>
    <col min="77" max="16384" width="9" style="77"/>
  </cols>
  <sheetData>
    <row r="1" s="87" customFormat="1" ht="13.8" spans="1:76">
      <c r="A1" s="1316" t="s">
        <v>1591</v>
      </c>
      <c r="B1" s="1317" t="s">
        <v>1592</v>
      </c>
      <c r="C1" s="88"/>
      <c r="D1" s="88"/>
      <c r="E1" s="88"/>
      <c r="F1" s="88"/>
      <c r="G1" s="88"/>
      <c r="H1" s="1318"/>
      <c r="I1" s="88"/>
      <c r="J1" s="88"/>
      <c r="K1" s="88"/>
      <c r="L1" s="88"/>
      <c r="BA1" s="1319" t="str">
        <f>参数表!BA1</f>
        <v>注意：补充特殊事项、作价等均从BA列开始填写</v>
      </c>
      <c r="BB1" s="1320"/>
      <c r="BC1" s="88"/>
      <c r="BF1" s="88"/>
      <c r="BG1" s="88"/>
      <c r="BH1" s="88"/>
      <c r="BQ1" s="88"/>
      <c r="BS1" s="88"/>
      <c r="BT1" s="88"/>
      <c r="BU1" s="88"/>
      <c r="BV1" s="88"/>
      <c r="BW1" s="88"/>
    </row>
    <row r="2" s="92" customFormat="1" ht="30" customHeight="1" spans="1:76">
      <c r="A2" s="294" t="s">
        <v>1679</v>
      </c>
      <c r="B2" s="294"/>
      <c r="C2" s="294"/>
      <c r="D2" s="294"/>
      <c r="E2" s="294"/>
      <c r="F2" s="294"/>
      <c r="G2" s="294"/>
      <c r="H2" s="294"/>
      <c r="I2" s="294"/>
      <c r="J2" s="294"/>
      <c r="K2" s="294"/>
      <c r="L2" s="294"/>
      <c r="M2" s="294"/>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1321" t="str">
        <f>参数表!BA2</f>
        <v>评估基准日：</v>
      </c>
      <c r="BB2" s="1322" t="str">
        <f>参数表!BB2</f>
        <v>2025年7月31日</v>
      </c>
      <c r="BC2" s="93"/>
      <c r="BF2" s="93"/>
      <c r="BG2" s="93"/>
      <c r="BH2" s="93"/>
      <c r="BQ2" s="93"/>
      <c r="BS2" s="93"/>
      <c r="BT2" s="93"/>
      <c r="BU2" s="93"/>
      <c r="BV2" s="93"/>
      <c r="BW2" s="93"/>
    </row>
    <row r="3" ht="15" customHeight="1" spans="1:76">
      <c r="A3" s="296" t="str">
        <f>参数表!F5</f>
        <v>评估基准日：2025年7月31日</v>
      </c>
      <c r="B3" s="296"/>
      <c r="C3" s="296"/>
      <c r="D3" s="296"/>
      <c r="E3" s="296"/>
      <c r="F3" s="296"/>
      <c r="G3" s="296"/>
      <c r="H3" s="296"/>
      <c r="I3" s="296"/>
      <c r="J3" s="296"/>
      <c r="K3" s="296"/>
      <c r="L3" s="296"/>
      <c r="M3" s="296"/>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1321" t="str">
        <f>参数表!BA3</f>
        <v>是否显示评估值：</v>
      </c>
      <c r="BB3" s="1321" t="str">
        <f>参数表!BB3</f>
        <v>是</v>
      </c>
    </row>
    <row r="4" ht="15" customHeight="1" spans="1:76">
      <c r="A4" s="297"/>
      <c r="B4" s="296"/>
      <c r="C4" s="296"/>
      <c r="D4" s="296"/>
      <c r="E4" s="296"/>
      <c r="F4" s="296"/>
      <c r="G4" s="296"/>
      <c r="H4" s="1323"/>
      <c r="I4" s="296"/>
      <c r="J4" s="162"/>
      <c r="K4" s="162"/>
      <c r="L4" s="300"/>
      <c r="M4" s="300" t="str">
        <f>"表"&amp;$BA4</f>
        <v>表3-1-2</v>
      </c>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162" t="str">
        <f>货币资金总!A8</f>
        <v>3-1-2</v>
      </c>
      <c r="BB4" s="1324">
        <f>MAX(COUNTA(A7:A26),COUNTA(B7:B26),COUNTA(G7:G26),COUNTA(I7:I26))</f>
        <v>20</v>
      </c>
      <c r="BC4" s="101">
        <f>ROW(A6)+1</f>
        <v>7</v>
      </c>
      <c r="BR4" s="78"/>
    </row>
    <row r="5" ht="15" customHeight="1" spans="1:76">
      <c r="A5" s="299" t="str">
        <f>参数表!F3</f>
        <v>产权持有单位:中煤第五建设有限公司</v>
      </c>
      <c r="B5" s="107"/>
      <c r="C5" s="107"/>
      <c r="D5" s="107"/>
      <c r="E5" s="107"/>
      <c r="F5" s="107"/>
      <c r="G5" s="107"/>
      <c r="H5" s="966"/>
      <c r="I5" s="107"/>
      <c r="J5" s="107"/>
      <c r="K5" s="107"/>
      <c r="L5" s="300"/>
      <c r="M5" s="300" t="s">
        <v>236</v>
      </c>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107"/>
      <c r="BB5" s="105" t="str">
        <f ca="1">判断表!C8</f>
        <v>中煤第五建设有限公司第三工程处拟处置实物资产项目\[0000-3基础法明细表.xlsx]银行存款</v>
      </c>
      <c r="BC5" s="106">
        <f>IFERROR(SUMIF(BC7:BC26,"√",I7:I26)/I27,0)</f>
        <v>0</v>
      </c>
      <c r="BD5" s="107"/>
      <c r="BE5" s="146"/>
      <c r="BF5" s="284">
        <f>现金!BF5</f>
        <v>0</v>
      </c>
      <c r="BG5" s="284">
        <f>现金!BG5</f>
        <v>0</v>
      </c>
      <c r="BK5" s="78"/>
      <c r="BL5" s="78"/>
      <c r="BM5" s="78"/>
      <c r="BP5" s="111"/>
      <c r="BR5" s="78"/>
      <c r="BV5" s="194"/>
      <c r="BW5" s="194"/>
      <c r="BX5" s="111"/>
    </row>
    <row r="6" s="119" customFormat="1" ht="25.2" customHeight="1" spans="1:76">
      <c r="A6" s="301" t="s">
        <v>305</v>
      </c>
      <c r="B6" s="114" t="s">
        <v>1680</v>
      </c>
      <c r="C6" s="114" t="s">
        <v>1681</v>
      </c>
      <c r="D6" s="114" t="s">
        <v>1631</v>
      </c>
      <c r="E6" s="115" t="s">
        <v>1632</v>
      </c>
      <c r="F6" s="115" t="s">
        <v>1633</v>
      </c>
      <c r="G6" s="114" t="s">
        <v>1549</v>
      </c>
      <c r="H6" s="313" t="s">
        <v>1634</v>
      </c>
      <c r="I6" s="114" t="s">
        <v>1523</v>
      </c>
      <c r="J6" s="114" t="s">
        <v>1550</v>
      </c>
      <c r="K6" s="114" t="s">
        <v>1525</v>
      </c>
      <c r="L6" s="115" t="s">
        <v>1551</v>
      </c>
      <c r="M6" s="114" t="s">
        <v>308</v>
      </c>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100" t="s">
        <v>1545</v>
      </c>
      <c r="BB6" s="100" t="s">
        <v>1635</v>
      </c>
      <c r="BC6" s="1327" t="s">
        <v>1636</v>
      </c>
      <c r="BD6" s="1327" t="s">
        <v>1637</v>
      </c>
      <c r="BE6" s="1327" t="s">
        <v>1638</v>
      </c>
      <c r="BF6" s="115" t="s">
        <v>1639</v>
      </c>
      <c r="BG6" s="115" t="s">
        <v>1640</v>
      </c>
      <c r="BH6" s="1328" t="s">
        <v>1682</v>
      </c>
      <c r="BI6" s="1328" t="s">
        <v>1683</v>
      </c>
      <c r="BJ6" s="1328" t="s">
        <v>1684</v>
      </c>
      <c r="BK6" s="1328" t="s">
        <v>1685</v>
      </c>
      <c r="BL6" s="1328" t="s">
        <v>1686</v>
      </c>
      <c r="BM6" s="1328" t="s">
        <v>1687</v>
      </c>
      <c r="BN6" s="1328" t="s">
        <v>1688</v>
      </c>
      <c r="BO6" s="1328" t="s">
        <v>1644</v>
      </c>
      <c r="BQ6" s="120" t="s">
        <v>1645</v>
      </c>
      <c r="BR6" s="121" t="s">
        <v>1646</v>
      </c>
      <c r="BS6" s="121" t="s">
        <v>1647</v>
      </c>
      <c r="BT6" s="121" t="s">
        <v>1648</v>
      </c>
      <c r="BU6" s="121" t="s">
        <v>1647</v>
      </c>
      <c r="BV6" s="121" t="s">
        <v>1647</v>
      </c>
      <c r="BW6" s="121" t="s">
        <v>1649</v>
      </c>
      <c r="BX6" s="122" t="s">
        <v>1650</v>
      </c>
    </row>
    <row r="7" ht="15" customHeight="1" spans="1:76">
      <c r="A7" s="1329" t="str">
        <f>IF(B7="","",COUNT(A$6:A6)+1)</f>
        <v/>
      </c>
      <c r="B7" s="1330"/>
      <c r="C7" s="1331"/>
      <c r="D7" s="127"/>
      <c r="E7" s="127" t="str">
        <f>IFERROR(VLOOKUP(D7,参数表!$H$2:$I$50,2,FALSE),"")</f>
        <v/>
      </c>
      <c r="F7" s="128" t="str">
        <f>IFERROR(IF(OR(D7="人民币",D7=""),"",I7/E7),"")</f>
        <v/>
      </c>
      <c r="G7" s="1332"/>
      <c r="H7" s="1333"/>
      <c r="I7" s="1332" t="str">
        <f>IF(B7="","",G7+H7)</f>
        <v/>
      </c>
      <c r="J7" s="1332" t="str">
        <f>IF(B7="","",IF($BB$3="是",I7,""))</f>
        <v/>
      </c>
      <c r="K7" s="1332" t="str">
        <f t="shared" ref="K7:K27" si="0">IFERROR(J7-I7,"")</f>
        <v/>
      </c>
      <c r="L7" s="1332" t="str">
        <f>IFERROR(K7/I7*100,"")</f>
        <v/>
      </c>
      <c r="M7" s="1334"/>
      <c r="BA7" s="78"/>
      <c r="BB7" s="132" t="s">
        <v>1689</v>
      </c>
      <c r="BC7" s="133"/>
      <c r="BD7" s="132" t="str">
        <f>IF(OR(B7="",BC7=""),"",COUNTIF(BC$7:BC7,"√"))</f>
        <v/>
      </c>
      <c r="BE7" s="134" t="str">
        <f>IF(BC7="","",BB7&amp;"︱"&amp;B7&amp;"︱"&amp;TEXT(G7,"#,##0.00"))</f>
        <v/>
      </c>
      <c r="BF7" s="127" t="str">
        <f t="shared" ref="BF7:BF26" si="1">IF(B7="","",IF(BF$5=0,"OK","出错"))</f>
        <v/>
      </c>
      <c r="BG7" s="1335" t="str">
        <f>IF(B7="","",IF(BG$5=0,"OK","出错"))</f>
        <v/>
      </c>
      <c r="BH7" s="1336"/>
      <c r="BI7" s="1337"/>
      <c r="BJ7" s="1338">
        <f>IFERROR(ABS(I7-BI7),0)</f>
        <v>0</v>
      </c>
      <c r="BK7" s="1336"/>
      <c r="BL7" s="1336"/>
      <c r="BM7" s="1336"/>
      <c r="BN7" s="1339"/>
      <c r="BO7" s="1339"/>
      <c r="BQ7" s="134" t="str">
        <f>IF(COUNTIF(BQ$6:BQ6,D7)&gt;0,"",D7)&amp;""</f>
        <v/>
      </c>
      <c r="BR7" s="138">
        <f>SUMIF(D$7:D$26,BQ7,I$7:I$26)</f>
        <v>0</v>
      </c>
      <c r="BS7" s="132">
        <f t="shared" ref="BS7" si="2">RANK(BR7,BR$7:BR$26)</f>
        <v>1</v>
      </c>
      <c r="BT7" s="138">
        <f>SUMIF(D$7:D$26,BQ7,J$7:J$26)</f>
        <v>0</v>
      </c>
      <c r="BU7" s="132">
        <f>RANK(BT7,BT$7:BT$26)</f>
        <v>1</v>
      </c>
      <c r="BV7" s="138">
        <f>SUM(BR7:BR26)</f>
        <v>0</v>
      </c>
      <c r="BW7" s="138"/>
      <c r="BX7" s="138"/>
    </row>
    <row r="8" ht="15" customHeight="1" spans="1:76">
      <c r="A8" s="1329" t="str">
        <f>IF(B8="","",COUNT(A$6:A7)+1)</f>
        <v/>
      </c>
      <c r="B8" s="1340"/>
      <c r="C8" s="1341"/>
      <c r="D8" s="142"/>
      <c r="E8" s="127" t="str">
        <f>IFERROR(VLOOKUP(D8,参数表!$H$2:$I$50,2,FALSE),"")</f>
        <v/>
      </c>
      <c r="F8" s="128" t="str">
        <f t="shared" ref="F8:F26" si="3">IFERROR(IF(OR(D8="人民币",D8=""),"",I8/E8),"")</f>
        <v/>
      </c>
      <c r="G8" s="1342"/>
      <c r="H8" s="1343"/>
      <c r="I8" s="1332" t="str">
        <f t="shared" ref="I8:I26" si="4">IF(B8="","",G8+H8)</f>
        <v/>
      </c>
      <c r="J8" s="1332" t="str">
        <f t="shared" ref="J8:J26" si="5">IF(B8="","",IF($BB$3="是",I8,""))</f>
        <v/>
      </c>
      <c r="K8" s="1332" t="str">
        <f t="shared" si="0"/>
        <v/>
      </c>
      <c r="L8" s="1332" t="str">
        <f t="shared" ref="L8:L27" si="6">IFERROR(K8/I8*100,"")</f>
        <v/>
      </c>
      <c r="M8" s="1339"/>
      <c r="BA8" s="78"/>
      <c r="BB8" s="132" t="s">
        <v>1690</v>
      </c>
      <c r="BC8" s="133"/>
      <c r="BD8" s="132" t="str">
        <f>IF(OR(B8="",BC8=""),"",COUNTIF(BC$7:BC8,"√"))</f>
        <v/>
      </c>
      <c r="BE8" s="134" t="str">
        <f t="shared" ref="BE8:BE26" si="7">IF(BC8="","",BB8&amp;"︱"&amp;B8&amp;"︱"&amp;TEXT(G8,"#,##0.00"))</f>
        <v/>
      </c>
      <c r="BF8" s="127" t="str">
        <f t="shared" si="1"/>
        <v/>
      </c>
      <c r="BG8" s="1335" t="str">
        <f t="shared" ref="BG8:BG26" si="8">IF(B8="","",IF(BG$5=0,"OK","出错"))</f>
        <v/>
      </c>
      <c r="BH8" s="1336"/>
      <c r="BI8" s="1337"/>
      <c r="BJ8" s="1338">
        <f t="shared" ref="BJ8:BJ26" si="9">IFERROR(ABS(I8-BI8),0)</f>
        <v>0</v>
      </c>
      <c r="BK8" s="1336"/>
      <c r="BL8" s="1336"/>
      <c r="BM8" s="1336"/>
      <c r="BN8" s="1339"/>
      <c r="BO8" s="1339"/>
      <c r="BQ8" s="134" t="str">
        <f>IF(COUNTIF(BQ$6:BQ7,D8)&gt;0,"",D8)&amp;""</f>
        <v/>
      </c>
      <c r="BR8" s="138">
        <f t="shared" ref="BR8:BR26" si="10">SUMIF(D$7:D$26,BQ8,I$7:I$26)</f>
        <v>0</v>
      </c>
      <c r="BS8" s="132">
        <f t="shared" ref="BS8:BS26" si="11">RANK(BR8,BR$7:BR$26)</f>
        <v>1</v>
      </c>
      <c r="BT8" s="138">
        <f t="shared" ref="BT8:BT26" si="12">SUMIF(D$7:D$26,BQ8,J$7:J$26)</f>
        <v>0</v>
      </c>
      <c r="BU8" s="132">
        <f t="shared" ref="BU8:BU26" si="13">RANK(BT8,BT$7:BT$26)</f>
        <v>1</v>
      </c>
      <c r="BV8" s="138">
        <f>SUM(BT7:BT26)</f>
        <v>0</v>
      </c>
      <c r="BW8" s="138"/>
      <c r="BX8" s="138"/>
    </row>
    <row r="9" ht="15" customHeight="1" spans="1:76">
      <c r="A9" s="1329" t="str">
        <f>IF(B9="","",COUNT(A$6:A8)+1)</f>
        <v/>
      </c>
      <c r="B9" s="1340"/>
      <c r="C9" s="1341"/>
      <c r="D9" s="142"/>
      <c r="E9" s="127" t="str">
        <f>IFERROR(VLOOKUP(D9,参数表!$H$2:$I$50,2,FALSE),"")</f>
        <v/>
      </c>
      <c r="F9" s="128" t="str">
        <f t="shared" si="3"/>
        <v/>
      </c>
      <c r="G9" s="1342"/>
      <c r="H9" s="1343"/>
      <c r="I9" s="1332" t="str">
        <f t="shared" si="4"/>
        <v/>
      </c>
      <c r="J9" s="1332" t="str">
        <f t="shared" si="5"/>
        <v/>
      </c>
      <c r="K9" s="1332" t="str">
        <f t="shared" si="0"/>
        <v/>
      </c>
      <c r="L9" s="1332" t="str">
        <f t="shared" si="6"/>
        <v/>
      </c>
      <c r="M9" s="1339"/>
      <c r="BA9" s="78"/>
      <c r="BB9" s="132" t="s">
        <v>1691</v>
      </c>
      <c r="BC9" s="133"/>
      <c r="BD9" s="132" t="str">
        <f>IF(OR(B9="",BC9=""),"",COUNTIF(BC$7:BC9,"√"))</f>
        <v/>
      </c>
      <c r="BE9" s="134" t="str">
        <f t="shared" si="7"/>
        <v/>
      </c>
      <c r="BF9" s="127" t="str">
        <f t="shared" si="1"/>
        <v/>
      </c>
      <c r="BG9" s="1335" t="str">
        <f t="shared" si="8"/>
        <v/>
      </c>
      <c r="BH9" s="1336"/>
      <c r="BI9" s="1337"/>
      <c r="BJ9" s="1338">
        <f t="shared" si="9"/>
        <v>0</v>
      </c>
      <c r="BK9" s="1336"/>
      <c r="BL9" s="1336"/>
      <c r="BM9" s="1336"/>
      <c r="BN9" s="1339"/>
      <c r="BO9" s="1339"/>
      <c r="BQ9" s="134" t="str">
        <f>IF(COUNTIF(BQ$6:BQ8,D9)&gt;0,"",D9)&amp;""</f>
        <v/>
      </c>
      <c r="BR9" s="138">
        <f t="shared" si="10"/>
        <v>0</v>
      </c>
      <c r="BS9" s="132">
        <f t="shared" si="11"/>
        <v>1</v>
      </c>
      <c r="BT9" s="138">
        <f t="shared" si="12"/>
        <v>0</v>
      </c>
      <c r="BU9" s="132">
        <f t="shared" si="13"/>
        <v>1</v>
      </c>
      <c r="BV9" s="132">
        <v>1</v>
      </c>
      <c r="BW9" s="134" t="str">
        <f>IFERROR(INDEX(BQ$7:BQ$26,MATCH(BV9,IF(BV$7=0,BU$7:BU$26,BS$7:BS$26),0))&amp;"","")</f>
        <v/>
      </c>
      <c r="BX9" s="146" t="str">
        <f>IF(BW10="","",IF(BW11="","和","、"))</f>
        <v/>
      </c>
    </row>
    <row r="10" ht="15" customHeight="1" spans="1:76">
      <c r="A10" s="1329" t="str">
        <f>IF(B10="","",COUNT(A$6:A9)+1)</f>
        <v/>
      </c>
      <c r="B10" s="1340"/>
      <c r="C10" s="1341"/>
      <c r="D10" s="142"/>
      <c r="E10" s="127" t="str">
        <f>IFERROR(VLOOKUP(D10,参数表!$H$2:$I$50,2,FALSE),"")</f>
        <v/>
      </c>
      <c r="F10" s="128" t="str">
        <f t="shared" si="3"/>
        <v/>
      </c>
      <c r="G10" s="1342"/>
      <c r="H10" s="1343"/>
      <c r="I10" s="1332" t="str">
        <f t="shared" si="4"/>
        <v/>
      </c>
      <c r="J10" s="1332" t="str">
        <f t="shared" si="5"/>
        <v/>
      </c>
      <c r="K10" s="1332" t="str">
        <f t="shared" si="0"/>
        <v/>
      </c>
      <c r="L10" s="1332" t="str">
        <f t="shared" si="6"/>
        <v/>
      </c>
      <c r="M10" s="1339"/>
      <c r="BA10" s="78"/>
      <c r="BB10" s="132" t="s">
        <v>1692</v>
      </c>
      <c r="BC10" s="133"/>
      <c r="BD10" s="132" t="str">
        <f>IF(OR(B10="",BC10=""),"",COUNTIF(BC$7:BC10,"√"))</f>
        <v/>
      </c>
      <c r="BE10" s="134" t="str">
        <f t="shared" si="7"/>
        <v/>
      </c>
      <c r="BF10" s="127" t="str">
        <f t="shared" si="1"/>
        <v/>
      </c>
      <c r="BG10" s="1335" t="str">
        <f t="shared" si="8"/>
        <v/>
      </c>
      <c r="BH10" s="1336"/>
      <c r="BI10" s="1337"/>
      <c r="BJ10" s="1338">
        <f t="shared" si="9"/>
        <v>0</v>
      </c>
      <c r="BK10" s="1336"/>
      <c r="BL10" s="1336"/>
      <c r="BM10" s="1336"/>
      <c r="BN10" s="1339"/>
      <c r="BO10" s="1339"/>
      <c r="BQ10" s="134" t="str">
        <f>IF(COUNTIF(BQ$6:BQ9,D10)&gt;0,"",D10)&amp;""</f>
        <v/>
      </c>
      <c r="BR10" s="138">
        <f t="shared" si="10"/>
        <v>0</v>
      </c>
      <c r="BS10" s="132">
        <f t="shared" si="11"/>
        <v>1</v>
      </c>
      <c r="BT10" s="138">
        <f t="shared" si="12"/>
        <v>0</v>
      </c>
      <c r="BU10" s="132">
        <f t="shared" si="13"/>
        <v>1</v>
      </c>
      <c r="BV10" s="132">
        <v>2</v>
      </c>
      <c r="BW10" s="134" t="str">
        <f t="shared" ref="BW10:BW13" si="14">IFERROR(INDEX(BQ$7:BQ$26,MATCH(BV10,IF(BV$7=0,BU$7:BU$26,BS$7:BS$26),0))&amp;"","")</f>
        <v/>
      </c>
      <c r="BX10" s="146" t="str">
        <f t="shared" ref="BX10:BX11" si="15">IF(BW11="","",IF(BW12="","和","、"))</f>
        <v/>
      </c>
    </row>
    <row r="11" ht="15" customHeight="1" spans="1:76">
      <c r="A11" s="1329" t="str">
        <f>IF(B11="","",COUNT(A$6:A10)+1)</f>
        <v/>
      </c>
      <c r="B11" s="1340"/>
      <c r="C11" s="1341"/>
      <c r="D11" s="142"/>
      <c r="E11" s="127" t="str">
        <f>IFERROR(VLOOKUP(D11,参数表!$H$2:$I$50,2,FALSE),"")</f>
        <v/>
      </c>
      <c r="F11" s="128" t="str">
        <f t="shared" si="3"/>
        <v/>
      </c>
      <c r="G11" s="1342"/>
      <c r="H11" s="1343"/>
      <c r="I11" s="1332" t="str">
        <f t="shared" si="4"/>
        <v/>
      </c>
      <c r="J11" s="1332" t="str">
        <f t="shared" si="5"/>
        <v/>
      </c>
      <c r="K11" s="1332" t="str">
        <f t="shared" si="0"/>
        <v/>
      </c>
      <c r="L11" s="1332" t="str">
        <f t="shared" si="6"/>
        <v/>
      </c>
      <c r="M11" s="1339"/>
      <c r="BA11" s="78"/>
      <c r="BB11" s="132" t="s">
        <v>1693</v>
      </c>
      <c r="BC11" s="133"/>
      <c r="BD11" s="132" t="str">
        <f>IF(OR(B11="",BC11=""),"",COUNTIF(BC$7:BC11,"√"))</f>
        <v/>
      </c>
      <c r="BE11" s="134" t="str">
        <f t="shared" si="7"/>
        <v/>
      </c>
      <c r="BF11" s="127" t="str">
        <f t="shared" si="1"/>
        <v/>
      </c>
      <c r="BG11" s="1335" t="str">
        <f t="shared" si="8"/>
        <v/>
      </c>
      <c r="BH11" s="1336"/>
      <c r="BI11" s="1337"/>
      <c r="BJ11" s="1338">
        <f t="shared" si="9"/>
        <v>0</v>
      </c>
      <c r="BK11" s="1336"/>
      <c r="BL11" s="1336"/>
      <c r="BM11" s="1336"/>
      <c r="BN11" s="1339"/>
      <c r="BO11" s="1339"/>
      <c r="BQ11" s="134" t="str">
        <f>IF(COUNTIF(BQ$6:BQ10,D11)&gt;0,"",D11)&amp;""</f>
        <v/>
      </c>
      <c r="BR11" s="138">
        <f t="shared" si="10"/>
        <v>0</v>
      </c>
      <c r="BS11" s="132">
        <f t="shared" si="11"/>
        <v>1</v>
      </c>
      <c r="BT11" s="138">
        <f t="shared" si="12"/>
        <v>0</v>
      </c>
      <c r="BU11" s="132">
        <f t="shared" si="13"/>
        <v>1</v>
      </c>
      <c r="BV11" s="132">
        <v>3</v>
      </c>
      <c r="BW11" s="134" t="str">
        <f t="shared" si="14"/>
        <v/>
      </c>
      <c r="BX11" s="146" t="str">
        <f t="shared" si="15"/>
        <v/>
      </c>
    </row>
    <row r="12" ht="15" customHeight="1" spans="1:76">
      <c r="A12" s="1329" t="str">
        <f>IF(B12="","",COUNT(A$6:A11)+1)</f>
        <v/>
      </c>
      <c r="B12" s="1340"/>
      <c r="C12" s="1341"/>
      <c r="D12" s="142"/>
      <c r="E12" s="127" t="str">
        <f>IFERROR(VLOOKUP(D12,参数表!$H$2:$I$50,2,FALSE),"")</f>
        <v/>
      </c>
      <c r="F12" s="128" t="str">
        <f t="shared" si="3"/>
        <v/>
      </c>
      <c r="G12" s="1342"/>
      <c r="H12" s="1343"/>
      <c r="I12" s="1332" t="str">
        <f t="shared" si="4"/>
        <v/>
      </c>
      <c r="J12" s="1332" t="str">
        <f t="shared" si="5"/>
        <v/>
      </c>
      <c r="K12" s="1332" t="str">
        <f t="shared" si="0"/>
        <v/>
      </c>
      <c r="L12" s="1332" t="str">
        <f t="shared" si="6"/>
        <v/>
      </c>
      <c r="M12" s="1339"/>
      <c r="BA12" s="78"/>
      <c r="BB12" s="132" t="s">
        <v>1694</v>
      </c>
      <c r="BC12" s="133"/>
      <c r="BD12" s="132" t="str">
        <f>IF(OR(B12="",BC12=""),"",COUNTIF(BC$7:BC12,"√"))</f>
        <v/>
      </c>
      <c r="BE12" s="134" t="str">
        <f t="shared" si="7"/>
        <v/>
      </c>
      <c r="BF12" s="127" t="str">
        <f t="shared" si="1"/>
        <v/>
      </c>
      <c r="BG12" s="1335" t="str">
        <f t="shared" si="8"/>
        <v/>
      </c>
      <c r="BH12" s="1336"/>
      <c r="BI12" s="1337"/>
      <c r="BJ12" s="1338">
        <f t="shared" si="9"/>
        <v>0</v>
      </c>
      <c r="BK12" s="1336"/>
      <c r="BL12" s="1336"/>
      <c r="BM12" s="1336"/>
      <c r="BN12" s="1339"/>
      <c r="BO12" s="1339"/>
      <c r="BQ12" s="134" t="str">
        <f>IF(COUNTIF(BQ$6:BQ11,D12)&gt;0,"",D12)&amp;""</f>
        <v/>
      </c>
      <c r="BR12" s="138">
        <f t="shared" si="10"/>
        <v>0</v>
      </c>
      <c r="BS12" s="132">
        <f t="shared" si="11"/>
        <v>1</v>
      </c>
      <c r="BT12" s="138">
        <f t="shared" si="12"/>
        <v>0</v>
      </c>
      <c r="BU12" s="132">
        <f t="shared" si="13"/>
        <v>1</v>
      </c>
      <c r="BV12" s="132">
        <v>4</v>
      </c>
      <c r="BW12" s="134" t="str">
        <f t="shared" si="14"/>
        <v/>
      </c>
      <c r="BX12" s="146" t="str">
        <f>IF(BW13="","","和")</f>
        <v/>
      </c>
    </row>
    <row r="13" ht="15" customHeight="1" spans="1:76">
      <c r="A13" s="1329" t="str">
        <f>IF(B13="","",COUNT(A$6:A12)+1)</f>
        <v/>
      </c>
      <c r="B13" s="1340"/>
      <c r="C13" s="1341"/>
      <c r="D13" s="142"/>
      <c r="E13" s="127" t="str">
        <f>IFERROR(VLOOKUP(D13,参数表!$H$2:$I$50,2,FALSE),"")</f>
        <v/>
      </c>
      <c r="F13" s="128" t="str">
        <f t="shared" si="3"/>
        <v/>
      </c>
      <c r="G13" s="1342"/>
      <c r="H13" s="1343"/>
      <c r="I13" s="1332" t="str">
        <f t="shared" si="4"/>
        <v/>
      </c>
      <c r="J13" s="1332" t="str">
        <f t="shared" si="5"/>
        <v/>
      </c>
      <c r="K13" s="1332" t="str">
        <f t="shared" si="0"/>
        <v/>
      </c>
      <c r="L13" s="1332" t="str">
        <f t="shared" si="6"/>
        <v/>
      </c>
      <c r="M13" s="1339"/>
      <c r="BA13" s="78"/>
      <c r="BB13" s="132" t="s">
        <v>1695</v>
      </c>
      <c r="BC13" s="133"/>
      <c r="BD13" s="132" t="str">
        <f>IF(OR(B13="",BC13=""),"",COUNTIF(BC$7:BC13,"√"))</f>
        <v/>
      </c>
      <c r="BE13" s="134" t="str">
        <f t="shared" si="7"/>
        <v/>
      </c>
      <c r="BF13" s="127" t="str">
        <f t="shared" si="1"/>
        <v/>
      </c>
      <c r="BG13" s="1335" t="str">
        <f t="shared" si="8"/>
        <v/>
      </c>
      <c r="BH13" s="1336"/>
      <c r="BI13" s="1337"/>
      <c r="BJ13" s="1338">
        <f t="shared" si="9"/>
        <v>0</v>
      </c>
      <c r="BK13" s="1336"/>
      <c r="BL13" s="1336"/>
      <c r="BM13" s="1336"/>
      <c r="BN13" s="1339"/>
      <c r="BO13" s="1339"/>
      <c r="BQ13" s="134" t="str">
        <f>IF(COUNTIF(BQ$6:BQ12,D13)&gt;0,"",D13)&amp;""</f>
        <v/>
      </c>
      <c r="BR13" s="138">
        <f t="shared" si="10"/>
        <v>0</v>
      </c>
      <c r="BS13" s="132">
        <f t="shared" si="11"/>
        <v>1</v>
      </c>
      <c r="BT13" s="138">
        <f t="shared" si="12"/>
        <v>0</v>
      </c>
      <c r="BU13" s="132">
        <f t="shared" si="13"/>
        <v>1</v>
      </c>
      <c r="BV13" s="132">
        <v>5</v>
      </c>
      <c r="BW13" s="134" t="str">
        <f t="shared" si="14"/>
        <v/>
      </c>
      <c r="BX13" s="146"/>
    </row>
    <row r="14" ht="15" customHeight="1" spans="1:76">
      <c r="A14" s="1329" t="str">
        <f>IF(B14="","",COUNT(A$6:A13)+1)</f>
        <v/>
      </c>
      <c r="B14" s="1340"/>
      <c r="C14" s="1341"/>
      <c r="D14" s="142"/>
      <c r="E14" s="127" t="str">
        <f>IFERROR(VLOOKUP(D14,参数表!$H$2:$I$50,2,FALSE),"")</f>
        <v/>
      </c>
      <c r="F14" s="128" t="str">
        <f t="shared" si="3"/>
        <v/>
      </c>
      <c r="G14" s="1342"/>
      <c r="H14" s="1343"/>
      <c r="I14" s="1332" t="str">
        <f t="shared" si="4"/>
        <v/>
      </c>
      <c r="J14" s="1332" t="str">
        <f t="shared" si="5"/>
        <v/>
      </c>
      <c r="K14" s="1332" t="str">
        <f t="shared" si="0"/>
        <v/>
      </c>
      <c r="L14" s="1332" t="str">
        <f t="shared" si="6"/>
        <v/>
      </c>
      <c r="M14" s="1339"/>
      <c r="BA14" s="78"/>
      <c r="BB14" s="132" t="s">
        <v>1696</v>
      </c>
      <c r="BC14" s="133"/>
      <c r="BD14" s="132" t="str">
        <f>IF(OR(B14="",BC14=""),"",COUNTIF(BC$7:BC14,"√"))</f>
        <v/>
      </c>
      <c r="BE14" s="134" t="str">
        <f t="shared" si="7"/>
        <v/>
      </c>
      <c r="BF14" s="127" t="str">
        <f t="shared" si="1"/>
        <v/>
      </c>
      <c r="BG14" s="1335" t="str">
        <f t="shared" si="8"/>
        <v/>
      </c>
      <c r="BH14" s="1336"/>
      <c r="BI14" s="1337"/>
      <c r="BJ14" s="1338">
        <f t="shared" si="9"/>
        <v>0</v>
      </c>
      <c r="BK14" s="1336"/>
      <c r="BL14" s="1336"/>
      <c r="BM14" s="1336"/>
      <c r="BN14" s="1339"/>
      <c r="BO14" s="1339"/>
      <c r="BQ14" s="134" t="str">
        <f>IF(COUNTIF(BQ$6:BQ13,D14)&gt;0,"",D14)&amp;""</f>
        <v/>
      </c>
      <c r="BR14" s="138">
        <f t="shared" si="10"/>
        <v>0</v>
      </c>
      <c r="BS14" s="132">
        <f t="shared" si="11"/>
        <v>1</v>
      </c>
      <c r="BT14" s="138">
        <f t="shared" si="12"/>
        <v>0</v>
      </c>
      <c r="BU14" s="132">
        <f t="shared" si="13"/>
        <v>1</v>
      </c>
      <c r="BV14" s="147" t="s">
        <v>1659</v>
      </c>
      <c r="BW14" s="132" t="str">
        <f>CONCATENATE(BW9,BX9,BW10,BX10,BW11,BX11,BW12,BX12,BW13)</f>
        <v/>
      </c>
      <c r="BX14" s="132"/>
    </row>
    <row r="15" ht="15" customHeight="1" spans="1:76">
      <c r="A15" s="1329" t="str">
        <f>IF(B15="","",COUNT(A$6:A14)+1)</f>
        <v/>
      </c>
      <c r="B15" s="1340"/>
      <c r="C15" s="1341"/>
      <c r="D15" s="142"/>
      <c r="E15" s="127" t="str">
        <f>IFERROR(VLOOKUP(D15,参数表!$H$2:$I$50,2,FALSE),"")</f>
        <v/>
      </c>
      <c r="F15" s="128" t="str">
        <f t="shared" si="3"/>
        <v/>
      </c>
      <c r="G15" s="1342"/>
      <c r="H15" s="1343"/>
      <c r="I15" s="1332" t="str">
        <f t="shared" si="4"/>
        <v/>
      </c>
      <c r="J15" s="1332" t="str">
        <f t="shared" si="5"/>
        <v/>
      </c>
      <c r="K15" s="1332" t="str">
        <f t="shared" si="0"/>
        <v/>
      </c>
      <c r="L15" s="1332" t="str">
        <f t="shared" si="6"/>
        <v/>
      </c>
      <c r="M15" s="1339"/>
      <c r="BA15" s="78"/>
      <c r="BB15" s="132" t="s">
        <v>1697</v>
      </c>
      <c r="BC15" s="133"/>
      <c r="BD15" s="132" t="str">
        <f>IF(OR(B15="",BC15=""),"",COUNTIF(BC$7:BC15,"√"))</f>
        <v/>
      </c>
      <c r="BE15" s="134" t="str">
        <f t="shared" si="7"/>
        <v/>
      </c>
      <c r="BF15" s="127" t="str">
        <f t="shared" si="1"/>
        <v/>
      </c>
      <c r="BG15" s="1335" t="str">
        <f t="shared" si="8"/>
        <v/>
      </c>
      <c r="BH15" s="1336"/>
      <c r="BI15" s="1337"/>
      <c r="BJ15" s="1338">
        <f t="shared" si="9"/>
        <v>0</v>
      </c>
      <c r="BK15" s="1336"/>
      <c r="BL15" s="1336"/>
      <c r="BM15" s="1336"/>
      <c r="BN15" s="1339"/>
      <c r="BO15" s="1339"/>
      <c r="BQ15" s="134" t="str">
        <f>IF(COUNTIF(BQ$6:BQ14,D15)&gt;0,"",D15)&amp;""</f>
        <v/>
      </c>
      <c r="BR15" s="138">
        <f t="shared" si="10"/>
        <v>0</v>
      </c>
      <c r="BS15" s="132">
        <f t="shared" si="11"/>
        <v>1</v>
      </c>
      <c r="BT15" s="138">
        <f t="shared" si="12"/>
        <v>0</v>
      </c>
      <c r="BU15" s="132">
        <f t="shared" si="13"/>
        <v>1</v>
      </c>
      <c r="BV15" s="133"/>
      <c r="BW15" s="133"/>
    </row>
    <row r="16" ht="15" customHeight="1" spans="1:76">
      <c r="A16" s="1329" t="str">
        <f>IF(B16="","",COUNT(A$6:A15)+1)</f>
        <v/>
      </c>
      <c r="B16" s="1340"/>
      <c r="C16" s="1341"/>
      <c r="D16" s="142"/>
      <c r="E16" s="127" t="str">
        <f>IFERROR(VLOOKUP(D16,参数表!$H$2:$I$50,2,FALSE),"")</f>
        <v/>
      </c>
      <c r="F16" s="128" t="str">
        <f t="shared" si="3"/>
        <v/>
      </c>
      <c r="G16" s="1342"/>
      <c r="H16" s="1343"/>
      <c r="I16" s="1332" t="str">
        <f t="shared" si="4"/>
        <v/>
      </c>
      <c r="J16" s="1332" t="str">
        <f t="shared" si="5"/>
        <v/>
      </c>
      <c r="K16" s="1332" t="str">
        <f t="shared" si="0"/>
        <v/>
      </c>
      <c r="L16" s="1332" t="str">
        <f t="shared" si="6"/>
        <v/>
      </c>
      <c r="M16" s="1339"/>
      <c r="BA16" s="78"/>
      <c r="BB16" s="132" t="s">
        <v>1698</v>
      </c>
      <c r="BC16" s="133"/>
      <c r="BD16" s="132" t="str">
        <f>IF(OR(B16="",BC16=""),"",COUNTIF(BC$7:BC16,"√"))</f>
        <v/>
      </c>
      <c r="BE16" s="134" t="str">
        <f t="shared" si="7"/>
        <v/>
      </c>
      <c r="BF16" s="127" t="str">
        <f t="shared" si="1"/>
        <v/>
      </c>
      <c r="BG16" s="1335" t="str">
        <f t="shared" si="8"/>
        <v/>
      </c>
      <c r="BH16" s="1336"/>
      <c r="BI16" s="1337"/>
      <c r="BJ16" s="1338">
        <f t="shared" si="9"/>
        <v>0</v>
      </c>
      <c r="BK16" s="1336"/>
      <c r="BL16" s="1336"/>
      <c r="BM16" s="1336"/>
      <c r="BN16" s="1339"/>
      <c r="BO16" s="1339"/>
      <c r="BQ16" s="134" t="str">
        <f>IF(COUNTIF(BQ$6:BQ15,D16)&gt;0,"",D16)&amp;""</f>
        <v/>
      </c>
      <c r="BR16" s="138">
        <f t="shared" si="10"/>
        <v>0</v>
      </c>
      <c r="BS16" s="132">
        <f t="shared" si="11"/>
        <v>1</v>
      </c>
      <c r="BT16" s="138">
        <f t="shared" si="12"/>
        <v>0</v>
      </c>
      <c r="BU16" s="132">
        <f t="shared" si="13"/>
        <v>1</v>
      </c>
      <c r="BV16" s="133"/>
      <c r="BW16" s="148"/>
    </row>
    <row r="17" ht="15" customHeight="1" spans="1:75">
      <c r="A17" s="1329" t="str">
        <f>IF(B17="","",COUNT(A$6:A16)+1)</f>
        <v/>
      </c>
      <c r="B17" s="1340"/>
      <c r="C17" s="1341"/>
      <c r="D17" s="142"/>
      <c r="E17" s="127" t="str">
        <f>IFERROR(VLOOKUP(D17,参数表!$H$2:$I$50,2,FALSE),"")</f>
        <v/>
      </c>
      <c r="F17" s="128" t="str">
        <f t="shared" si="3"/>
        <v/>
      </c>
      <c r="G17" s="1342"/>
      <c r="H17" s="1343"/>
      <c r="I17" s="1332" t="str">
        <f t="shared" si="4"/>
        <v/>
      </c>
      <c r="J17" s="1332" t="str">
        <f t="shared" si="5"/>
        <v/>
      </c>
      <c r="K17" s="1332" t="str">
        <f t="shared" si="0"/>
        <v/>
      </c>
      <c r="L17" s="1332" t="str">
        <f t="shared" si="6"/>
        <v/>
      </c>
      <c r="M17" s="1339"/>
      <c r="BA17" s="78"/>
      <c r="BB17" s="132" t="s">
        <v>1699</v>
      </c>
      <c r="BC17" s="133"/>
      <c r="BD17" s="132" t="str">
        <f>IF(OR(B17="",BC17=""),"",COUNTIF(BC$7:BC17,"√"))</f>
        <v/>
      </c>
      <c r="BE17" s="134" t="str">
        <f t="shared" si="7"/>
        <v/>
      </c>
      <c r="BF17" s="127" t="str">
        <f t="shared" si="1"/>
        <v/>
      </c>
      <c r="BG17" s="1335" t="str">
        <f t="shared" si="8"/>
        <v/>
      </c>
      <c r="BH17" s="1336"/>
      <c r="BI17" s="1337"/>
      <c r="BJ17" s="1338">
        <f t="shared" si="9"/>
        <v>0</v>
      </c>
      <c r="BK17" s="1336"/>
      <c r="BL17" s="1336"/>
      <c r="BM17" s="1336"/>
      <c r="BN17" s="1339"/>
      <c r="BO17" s="1339"/>
      <c r="BQ17" s="134" t="str">
        <f>IF(COUNTIF(BQ$6:BQ16,D17)&gt;0,"",D17)&amp;""</f>
        <v/>
      </c>
      <c r="BR17" s="138">
        <f t="shared" si="10"/>
        <v>0</v>
      </c>
      <c r="BS17" s="132">
        <f t="shared" si="11"/>
        <v>1</v>
      </c>
      <c r="BT17" s="138">
        <f t="shared" si="12"/>
        <v>0</v>
      </c>
      <c r="BU17" s="132">
        <f t="shared" si="13"/>
        <v>1</v>
      </c>
      <c r="BV17" s="133"/>
      <c r="BW17" s="133"/>
    </row>
    <row r="18" ht="15" customHeight="1" spans="1:75">
      <c r="A18" s="1329" t="str">
        <f>IF(B18="","",COUNT(A$6:A17)+1)</f>
        <v/>
      </c>
      <c r="B18" s="1340"/>
      <c r="C18" s="1341"/>
      <c r="D18" s="142"/>
      <c r="E18" s="127" t="str">
        <f>IFERROR(VLOOKUP(D18,参数表!$H$2:$I$50,2,FALSE),"")</f>
        <v/>
      </c>
      <c r="F18" s="128" t="str">
        <f t="shared" si="3"/>
        <v/>
      </c>
      <c r="G18" s="1342"/>
      <c r="H18" s="1343"/>
      <c r="I18" s="1332" t="str">
        <f t="shared" si="4"/>
        <v/>
      </c>
      <c r="J18" s="1332" t="str">
        <f t="shared" si="5"/>
        <v/>
      </c>
      <c r="K18" s="1332" t="str">
        <f t="shared" si="0"/>
        <v/>
      </c>
      <c r="L18" s="1332" t="str">
        <f t="shared" si="6"/>
        <v/>
      </c>
      <c r="M18" s="1339"/>
      <c r="BA18" s="78"/>
      <c r="BB18" s="132" t="s">
        <v>1700</v>
      </c>
      <c r="BC18" s="133"/>
      <c r="BD18" s="132" t="str">
        <f>IF(OR(B18="",BC18=""),"",COUNTIF(BC$7:BC18,"√"))</f>
        <v/>
      </c>
      <c r="BE18" s="134" t="str">
        <f t="shared" si="7"/>
        <v/>
      </c>
      <c r="BF18" s="127" t="str">
        <f t="shared" si="1"/>
        <v/>
      </c>
      <c r="BG18" s="1335" t="str">
        <f t="shared" si="8"/>
        <v/>
      </c>
      <c r="BH18" s="1336"/>
      <c r="BI18" s="1337"/>
      <c r="BJ18" s="1338">
        <f t="shared" si="9"/>
        <v>0</v>
      </c>
      <c r="BK18" s="1336"/>
      <c r="BL18" s="1336"/>
      <c r="BM18" s="1336"/>
      <c r="BN18" s="1339"/>
      <c r="BO18" s="1339"/>
      <c r="BQ18" s="134" t="str">
        <f>IF(COUNTIF(BQ$6:BQ17,D18)&gt;0,"",D18)&amp;""</f>
        <v/>
      </c>
      <c r="BR18" s="138">
        <f t="shared" si="10"/>
        <v>0</v>
      </c>
      <c r="BS18" s="132">
        <f t="shared" si="11"/>
        <v>1</v>
      </c>
      <c r="BT18" s="138">
        <f t="shared" si="12"/>
        <v>0</v>
      </c>
      <c r="BU18" s="132">
        <f t="shared" si="13"/>
        <v>1</v>
      </c>
      <c r="BV18" s="133"/>
      <c r="BW18" s="133"/>
    </row>
    <row r="19" ht="15" customHeight="1" spans="1:75">
      <c r="A19" s="1329" t="str">
        <f>IF(B19="","",COUNT(A$6:A18)+1)</f>
        <v/>
      </c>
      <c r="B19" s="1340"/>
      <c r="C19" s="1341"/>
      <c r="D19" s="142"/>
      <c r="E19" s="127" t="str">
        <f>IFERROR(VLOOKUP(D19,参数表!$H$2:$I$50,2,FALSE),"")</f>
        <v/>
      </c>
      <c r="F19" s="128" t="str">
        <f t="shared" si="3"/>
        <v/>
      </c>
      <c r="G19" s="1342"/>
      <c r="H19" s="1343"/>
      <c r="I19" s="1332" t="str">
        <f t="shared" si="4"/>
        <v/>
      </c>
      <c r="J19" s="1332" t="str">
        <f t="shared" si="5"/>
        <v/>
      </c>
      <c r="K19" s="1332" t="str">
        <f t="shared" ref="K19:K25" si="16">IFERROR(J19-I19,"")</f>
        <v/>
      </c>
      <c r="L19" s="1332" t="str">
        <f t="shared" ref="L19:L25" si="17">IFERROR(K19/I19*100,"")</f>
        <v/>
      </c>
      <c r="M19" s="1339"/>
      <c r="BA19" s="78"/>
      <c r="BB19" s="132" t="s">
        <v>1701</v>
      </c>
      <c r="BC19" s="133"/>
      <c r="BD19" s="132" t="str">
        <f>IF(OR(B19="",BC19=""),"",COUNTIF(BC$7:BC19,"√"))</f>
        <v/>
      </c>
      <c r="BE19" s="134" t="str">
        <f t="shared" si="7"/>
        <v/>
      </c>
      <c r="BF19" s="127" t="str">
        <f t="shared" ref="BF19:BF25" si="18">IF(B19="","",IF(BF$5=0,"OK","出错"))</f>
        <v/>
      </c>
      <c r="BG19" s="1335" t="str">
        <f t="shared" ref="BG19:BG25" si="19">IF(B19="","",IF(BG$5=0,"OK","出错"))</f>
        <v/>
      </c>
      <c r="BH19" s="1336"/>
      <c r="BI19" s="1337"/>
      <c r="BJ19" s="1338">
        <f t="shared" si="9"/>
        <v>0</v>
      </c>
      <c r="BK19" s="1336"/>
      <c r="BL19" s="1336"/>
      <c r="BM19" s="1336"/>
      <c r="BN19" s="1339"/>
      <c r="BO19" s="1339"/>
      <c r="BQ19" s="134" t="str">
        <f>IF(COUNTIF(BQ$6:BQ18,D19)&gt;0,"",D19)&amp;""</f>
        <v/>
      </c>
      <c r="BR19" s="138">
        <f t="shared" si="10"/>
        <v>0</v>
      </c>
      <c r="BS19" s="132">
        <f t="shared" si="11"/>
        <v>1</v>
      </c>
      <c r="BT19" s="138">
        <f t="shared" si="12"/>
        <v>0</v>
      </c>
      <c r="BU19" s="132">
        <f t="shared" si="13"/>
        <v>1</v>
      </c>
      <c r="BV19" s="133"/>
      <c r="BW19" s="133"/>
    </row>
    <row r="20" ht="15" customHeight="1" spans="1:75">
      <c r="A20" s="1329" t="str">
        <f>IF(B20="","",COUNT(A$6:A19)+1)</f>
        <v/>
      </c>
      <c r="B20" s="1340"/>
      <c r="C20" s="1341"/>
      <c r="D20" s="142"/>
      <c r="E20" s="127" t="str">
        <f>IFERROR(VLOOKUP(D20,参数表!$H$2:$I$50,2,FALSE),"")</f>
        <v/>
      </c>
      <c r="F20" s="128" t="str">
        <f t="shared" si="3"/>
        <v/>
      </c>
      <c r="G20" s="1342"/>
      <c r="H20" s="1343"/>
      <c r="I20" s="1332" t="str">
        <f t="shared" si="4"/>
        <v/>
      </c>
      <c r="J20" s="1332" t="str">
        <f t="shared" si="5"/>
        <v/>
      </c>
      <c r="K20" s="1332" t="str">
        <f t="shared" si="16"/>
        <v/>
      </c>
      <c r="L20" s="1332" t="str">
        <f t="shared" si="17"/>
        <v/>
      </c>
      <c r="M20" s="1339"/>
      <c r="BA20" s="78"/>
      <c r="BB20" s="132" t="s">
        <v>1702</v>
      </c>
      <c r="BC20" s="133"/>
      <c r="BD20" s="132" t="str">
        <f>IF(OR(B20="",BC20=""),"",COUNTIF(BC$7:BC20,"√"))</f>
        <v/>
      </c>
      <c r="BE20" s="134" t="str">
        <f t="shared" si="7"/>
        <v/>
      </c>
      <c r="BF20" s="127" t="str">
        <f t="shared" si="18"/>
        <v/>
      </c>
      <c r="BG20" s="1335" t="str">
        <f t="shared" si="19"/>
        <v/>
      </c>
      <c r="BH20" s="1336"/>
      <c r="BI20" s="1337"/>
      <c r="BJ20" s="1338">
        <f t="shared" si="9"/>
        <v>0</v>
      </c>
      <c r="BK20" s="1336"/>
      <c r="BL20" s="1336"/>
      <c r="BM20" s="1336"/>
      <c r="BN20" s="1339"/>
      <c r="BO20" s="1339"/>
      <c r="BQ20" s="134" t="str">
        <f>IF(COUNTIF(BQ$6:BQ19,D20)&gt;0,"",D20)&amp;""</f>
        <v/>
      </c>
      <c r="BR20" s="138">
        <f t="shared" si="10"/>
        <v>0</v>
      </c>
      <c r="BS20" s="132">
        <f t="shared" si="11"/>
        <v>1</v>
      </c>
      <c r="BT20" s="138">
        <f t="shared" si="12"/>
        <v>0</v>
      </c>
      <c r="BU20" s="132">
        <f t="shared" si="13"/>
        <v>1</v>
      </c>
      <c r="BV20" s="133"/>
      <c r="BW20" s="133"/>
    </row>
    <row r="21" ht="15" customHeight="1" spans="1:75">
      <c r="A21" s="1329" t="str">
        <f>IF(B21="","",COUNT(A$6:A20)+1)</f>
        <v/>
      </c>
      <c r="B21" s="1340"/>
      <c r="C21" s="1341"/>
      <c r="D21" s="142"/>
      <c r="E21" s="127" t="str">
        <f>IFERROR(VLOOKUP(D21,参数表!$H$2:$I$50,2,FALSE),"")</f>
        <v/>
      </c>
      <c r="F21" s="128" t="str">
        <f t="shared" si="3"/>
        <v/>
      </c>
      <c r="G21" s="1342"/>
      <c r="H21" s="1343"/>
      <c r="I21" s="1332" t="str">
        <f t="shared" si="4"/>
        <v/>
      </c>
      <c r="J21" s="1332" t="str">
        <f t="shared" si="5"/>
        <v/>
      </c>
      <c r="K21" s="1332" t="str">
        <f t="shared" si="16"/>
        <v/>
      </c>
      <c r="L21" s="1332" t="str">
        <f t="shared" si="17"/>
        <v/>
      </c>
      <c r="M21" s="1339"/>
      <c r="BA21" s="78"/>
      <c r="BB21" s="132" t="s">
        <v>1703</v>
      </c>
      <c r="BC21" s="133"/>
      <c r="BD21" s="132" t="str">
        <f>IF(OR(B21="",BC21=""),"",COUNTIF(BC$7:BC21,"√"))</f>
        <v/>
      </c>
      <c r="BE21" s="134" t="str">
        <f t="shared" si="7"/>
        <v/>
      </c>
      <c r="BF21" s="127" t="str">
        <f t="shared" si="18"/>
        <v/>
      </c>
      <c r="BG21" s="1335" t="str">
        <f t="shared" si="19"/>
        <v/>
      </c>
      <c r="BH21" s="1336"/>
      <c r="BI21" s="1337"/>
      <c r="BJ21" s="1338">
        <f t="shared" si="9"/>
        <v>0</v>
      </c>
      <c r="BK21" s="1336"/>
      <c r="BL21" s="1336"/>
      <c r="BM21" s="1336"/>
      <c r="BN21" s="1339"/>
      <c r="BO21" s="1339"/>
      <c r="BQ21" s="134" t="str">
        <f>IF(COUNTIF(BQ$6:BQ20,D21)&gt;0,"",D21)&amp;""</f>
        <v/>
      </c>
      <c r="BR21" s="138">
        <f t="shared" si="10"/>
        <v>0</v>
      </c>
      <c r="BS21" s="132">
        <f t="shared" si="11"/>
        <v>1</v>
      </c>
      <c r="BT21" s="138">
        <f t="shared" si="12"/>
        <v>0</v>
      </c>
      <c r="BU21" s="132">
        <f t="shared" si="13"/>
        <v>1</v>
      </c>
      <c r="BV21" s="133"/>
      <c r="BW21" s="133"/>
    </row>
    <row r="22" ht="15" customHeight="1" spans="1:75">
      <c r="A22" s="1329" t="str">
        <f>IF(B22="","",COUNT(A$6:A21)+1)</f>
        <v/>
      </c>
      <c r="B22" s="1340"/>
      <c r="C22" s="1341"/>
      <c r="D22" s="142"/>
      <c r="E22" s="127" t="str">
        <f>IFERROR(VLOOKUP(D22,参数表!$H$2:$I$50,2,FALSE),"")</f>
        <v/>
      </c>
      <c r="F22" s="128" t="str">
        <f t="shared" si="3"/>
        <v/>
      </c>
      <c r="G22" s="1342"/>
      <c r="H22" s="1343"/>
      <c r="I22" s="1332" t="str">
        <f t="shared" si="4"/>
        <v/>
      </c>
      <c r="J22" s="1332" t="str">
        <f t="shared" si="5"/>
        <v/>
      </c>
      <c r="K22" s="1332" t="str">
        <f t="shared" si="16"/>
        <v/>
      </c>
      <c r="L22" s="1332" t="str">
        <f t="shared" si="17"/>
        <v/>
      </c>
      <c r="M22" s="1339"/>
      <c r="BA22" s="78"/>
      <c r="BB22" s="132" t="s">
        <v>1704</v>
      </c>
      <c r="BC22" s="133"/>
      <c r="BD22" s="132" t="str">
        <f>IF(OR(B22="",BC22=""),"",COUNTIF(BC$7:BC22,"√"))</f>
        <v/>
      </c>
      <c r="BE22" s="134" t="str">
        <f t="shared" si="7"/>
        <v/>
      </c>
      <c r="BF22" s="127" t="str">
        <f t="shared" si="18"/>
        <v/>
      </c>
      <c r="BG22" s="1335" t="str">
        <f t="shared" si="19"/>
        <v/>
      </c>
      <c r="BH22" s="1336"/>
      <c r="BI22" s="1337"/>
      <c r="BJ22" s="1338">
        <f t="shared" si="9"/>
        <v>0</v>
      </c>
      <c r="BK22" s="1336"/>
      <c r="BL22" s="1336"/>
      <c r="BM22" s="1336"/>
      <c r="BN22" s="1339"/>
      <c r="BO22" s="1339"/>
      <c r="BQ22" s="134" t="str">
        <f>IF(COUNTIF(BQ$6:BQ21,D22)&gt;0,"",D22)&amp;""</f>
        <v/>
      </c>
      <c r="BR22" s="138">
        <f t="shared" si="10"/>
        <v>0</v>
      </c>
      <c r="BS22" s="132">
        <f t="shared" si="11"/>
        <v>1</v>
      </c>
      <c r="BT22" s="138">
        <f t="shared" si="12"/>
        <v>0</v>
      </c>
      <c r="BU22" s="132">
        <f t="shared" si="13"/>
        <v>1</v>
      </c>
      <c r="BV22" s="133"/>
      <c r="BW22" s="133"/>
    </row>
    <row r="23" ht="15" customHeight="1" spans="1:75">
      <c r="A23" s="1329" t="str">
        <f>IF(B23="","",COUNT(A$6:A22)+1)</f>
        <v/>
      </c>
      <c r="B23" s="1340"/>
      <c r="C23" s="1341"/>
      <c r="D23" s="142"/>
      <c r="E23" s="127" t="str">
        <f>IFERROR(VLOOKUP(D23,参数表!$H$2:$I$50,2,FALSE),"")</f>
        <v/>
      </c>
      <c r="F23" s="128" t="str">
        <f t="shared" si="3"/>
        <v/>
      </c>
      <c r="G23" s="1342"/>
      <c r="H23" s="1343"/>
      <c r="I23" s="1332" t="str">
        <f t="shared" si="4"/>
        <v/>
      </c>
      <c r="J23" s="1332" t="str">
        <f t="shared" si="5"/>
        <v/>
      </c>
      <c r="K23" s="1332" t="str">
        <f t="shared" si="16"/>
        <v/>
      </c>
      <c r="L23" s="1332" t="str">
        <f t="shared" si="17"/>
        <v/>
      </c>
      <c r="M23" s="1339"/>
      <c r="BA23" s="78"/>
      <c r="BB23" s="132" t="s">
        <v>1705</v>
      </c>
      <c r="BC23" s="133"/>
      <c r="BD23" s="132" t="str">
        <f>IF(OR(B23="",BC23=""),"",COUNTIF(BC$7:BC23,"√"))</f>
        <v/>
      </c>
      <c r="BE23" s="134" t="str">
        <f t="shared" si="7"/>
        <v/>
      </c>
      <c r="BF23" s="127" t="str">
        <f t="shared" si="18"/>
        <v/>
      </c>
      <c r="BG23" s="1335" t="str">
        <f t="shared" si="19"/>
        <v/>
      </c>
      <c r="BH23" s="1336"/>
      <c r="BI23" s="1337"/>
      <c r="BJ23" s="1338">
        <f t="shared" si="9"/>
        <v>0</v>
      </c>
      <c r="BK23" s="1336"/>
      <c r="BL23" s="1336"/>
      <c r="BM23" s="1336"/>
      <c r="BN23" s="1339"/>
      <c r="BO23" s="1339"/>
      <c r="BQ23" s="134" t="str">
        <f>IF(COUNTIF(BQ$6:BQ22,D23)&gt;0,"",D23)&amp;""</f>
        <v/>
      </c>
      <c r="BR23" s="138">
        <f t="shared" si="10"/>
        <v>0</v>
      </c>
      <c r="BS23" s="132">
        <f t="shared" si="11"/>
        <v>1</v>
      </c>
      <c r="BT23" s="138">
        <f t="shared" si="12"/>
        <v>0</v>
      </c>
      <c r="BU23" s="132">
        <f t="shared" si="13"/>
        <v>1</v>
      </c>
      <c r="BV23" s="133"/>
      <c r="BW23" s="133"/>
    </row>
    <row r="24" ht="15" customHeight="1" spans="1:75">
      <c r="A24" s="1329" t="str">
        <f>IF(B24="","",COUNT(A$6:A23)+1)</f>
        <v/>
      </c>
      <c r="B24" s="1340"/>
      <c r="C24" s="1341"/>
      <c r="D24" s="142"/>
      <c r="E24" s="127" t="str">
        <f>IFERROR(VLOOKUP(D24,参数表!$H$2:$I$50,2,FALSE),"")</f>
        <v/>
      </c>
      <c r="F24" s="128" t="str">
        <f t="shared" si="3"/>
        <v/>
      </c>
      <c r="G24" s="1342"/>
      <c r="H24" s="1343"/>
      <c r="I24" s="1332" t="str">
        <f t="shared" si="4"/>
        <v/>
      </c>
      <c r="J24" s="1332" t="str">
        <f t="shared" si="5"/>
        <v/>
      </c>
      <c r="K24" s="1332" t="str">
        <f t="shared" si="16"/>
        <v/>
      </c>
      <c r="L24" s="1332" t="str">
        <f t="shared" si="17"/>
        <v/>
      </c>
      <c r="M24" s="1339"/>
      <c r="BA24" s="78"/>
      <c r="BB24" s="132" t="s">
        <v>1706</v>
      </c>
      <c r="BC24" s="133"/>
      <c r="BD24" s="132" t="str">
        <f>IF(OR(B24="",BC24=""),"",COUNTIF(BC$7:BC24,"√"))</f>
        <v/>
      </c>
      <c r="BE24" s="134" t="str">
        <f t="shared" si="7"/>
        <v/>
      </c>
      <c r="BF24" s="127" t="str">
        <f t="shared" si="18"/>
        <v/>
      </c>
      <c r="BG24" s="1335" t="str">
        <f t="shared" si="19"/>
        <v/>
      </c>
      <c r="BH24" s="1336"/>
      <c r="BI24" s="1337"/>
      <c r="BJ24" s="1338">
        <f t="shared" si="9"/>
        <v>0</v>
      </c>
      <c r="BK24" s="1336"/>
      <c r="BL24" s="1336"/>
      <c r="BM24" s="1336"/>
      <c r="BN24" s="1339"/>
      <c r="BO24" s="1339"/>
      <c r="BQ24" s="134" t="str">
        <f>IF(COUNTIF(BQ$6:BQ23,D24)&gt;0,"",D24)&amp;""</f>
        <v/>
      </c>
      <c r="BR24" s="138">
        <f t="shared" si="10"/>
        <v>0</v>
      </c>
      <c r="BS24" s="132">
        <f t="shared" si="11"/>
        <v>1</v>
      </c>
      <c r="BT24" s="138">
        <f t="shared" si="12"/>
        <v>0</v>
      </c>
      <c r="BU24" s="132">
        <f t="shared" si="13"/>
        <v>1</v>
      </c>
      <c r="BV24" s="133"/>
      <c r="BW24" s="133"/>
    </row>
    <row r="25" ht="15" customHeight="1" spans="1:75">
      <c r="A25" s="1329" t="str">
        <f>IF(B25="","",COUNT(A$6:A24)+1)</f>
        <v/>
      </c>
      <c r="B25" s="1340"/>
      <c r="C25" s="1341"/>
      <c r="D25" s="142"/>
      <c r="E25" s="127" t="str">
        <f>IFERROR(VLOOKUP(D25,参数表!$H$2:$I$50,2,FALSE),"")</f>
        <v/>
      </c>
      <c r="F25" s="128" t="str">
        <f t="shared" si="3"/>
        <v/>
      </c>
      <c r="G25" s="1342"/>
      <c r="H25" s="1343"/>
      <c r="I25" s="1332" t="str">
        <f t="shared" si="4"/>
        <v/>
      </c>
      <c r="J25" s="1332" t="str">
        <f t="shared" si="5"/>
        <v/>
      </c>
      <c r="K25" s="1332" t="str">
        <f t="shared" si="16"/>
        <v/>
      </c>
      <c r="L25" s="1332" t="str">
        <f t="shared" si="17"/>
        <v/>
      </c>
      <c r="M25" s="1339"/>
      <c r="BA25" s="78"/>
      <c r="BB25" s="132" t="s">
        <v>1707</v>
      </c>
      <c r="BC25" s="133"/>
      <c r="BD25" s="132" t="str">
        <f>IF(OR(B25="",BC25=""),"",COUNTIF(BC$7:BC25,"√"))</f>
        <v/>
      </c>
      <c r="BE25" s="134" t="str">
        <f t="shared" si="7"/>
        <v/>
      </c>
      <c r="BF25" s="127" t="str">
        <f t="shared" si="18"/>
        <v/>
      </c>
      <c r="BG25" s="1335" t="str">
        <f t="shared" si="19"/>
        <v/>
      </c>
      <c r="BH25" s="1336"/>
      <c r="BI25" s="1337"/>
      <c r="BJ25" s="1338">
        <f t="shared" si="9"/>
        <v>0</v>
      </c>
      <c r="BK25" s="1336"/>
      <c r="BL25" s="1336"/>
      <c r="BM25" s="1336"/>
      <c r="BN25" s="1339"/>
      <c r="BO25" s="1339"/>
      <c r="BQ25" s="134" t="str">
        <f>IF(COUNTIF(BQ$6:BQ24,D25)&gt;0,"",D25)&amp;""</f>
        <v/>
      </c>
      <c r="BR25" s="138">
        <f t="shared" si="10"/>
        <v>0</v>
      </c>
      <c r="BS25" s="132">
        <f t="shared" si="11"/>
        <v>1</v>
      </c>
      <c r="BT25" s="138">
        <f t="shared" si="12"/>
        <v>0</v>
      </c>
      <c r="BU25" s="132">
        <f t="shared" si="13"/>
        <v>1</v>
      </c>
      <c r="BV25" s="133"/>
      <c r="BW25" s="133"/>
    </row>
    <row r="26" ht="15" customHeight="1" spans="1:75">
      <c r="A26" s="1329" t="str">
        <f>IF(B26="","",COUNT(A$6:A25)+1)</f>
        <v/>
      </c>
      <c r="B26" s="1330"/>
      <c r="C26" s="1331"/>
      <c r="D26" s="127"/>
      <c r="E26" s="127" t="str">
        <f>IFERROR(VLOOKUP(D26,参数表!$H$2:$I$50,2,FALSE),"")</f>
        <v/>
      </c>
      <c r="F26" s="128" t="str">
        <f t="shared" si="3"/>
        <v/>
      </c>
      <c r="G26" s="1332"/>
      <c r="H26" s="1333"/>
      <c r="I26" s="1332" t="str">
        <f t="shared" si="4"/>
        <v/>
      </c>
      <c r="J26" s="1332" t="str">
        <f t="shared" si="5"/>
        <v/>
      </c>
      <c r="K26" s="1332" t="str">
        <f t="shared" si="0"/>
        <v/>
      </c>
      <c r="L26" s="1332" t="str">
        <f t="shared" si="6"/>
        <v/>
      </c>
      <c r="M26" s="1334"/>
      <c r="BA26" s="78"/>
      <c r="BB26" s="132" t="s">
        <v>1708</v>
      </c>
      <c r="BC26" s="133"/>
      <c r="BD26" s="132" t="str">
        <f>IF(OR(B26="",BC26=""),"",COUNTIF(BC$7:BC26,"√"))</f>
        <v/>
      </c>
      <c r="BE26" s="134" t="str">
        <f t="shared" si="7"/>
        <v/>
      </c>
      <c r="BF26" s="127" t="str">
        <f t="shared" si="1"/>
        <v/>
      </c>
      <c r="BG26" s="1335" t="str">
        <f t="shared" si="8"/>
        <v/>
      </c>
      <c r="BH26" s="1336"/>
      <c r="BI26" s="1337"/>
      <c r="BJ26" s="1338">
        <f t="shared" si="9"/>
        <v>0</v>
      </c>
      <c r="BK26" s="1336"/>
      <c r="BL26" s="1336"/>
      <c r="BM26" s="1336"/>
      <c r="BN26" s="1339"/>
      <c r="BO26" s="1339"/>
      <c r="BQ26" s="134" t="str">
        <f>IF(COUNTIF(BQ$6:BQ25,D26)&gt;0,"",D26)&amp;""</f>
        <v/>
      </c>
      <c r="BR26" s="138">
        <f t="shared" si="10"/>
        <v>0</v>
      </c>
      <c r="BS26" s="132">
        <f t="shared" si="11"/>
        <v>1</v>
      </c>
      <c r="BT26" s="138">
        <f t="shared" si="12"/>
        <v>0</v>
      </c>
      <c r="BU26" s="132">
        <f t="shared" si="13"/>
        <v>1</v>
      </c>
      <c r="BV26" s="133"/>
      <c r="BW26" s="133"/>
    </row>
    <row r="27" s="111" customFormat="1" ht="15" customHeight="1" spans="1:75">
      <c r="A27" s="328" t="s">
        <v>1672</v>
      </c>
      <c r="B27" s="328"/>
      <c r="C27" s="332"/>
      <c r="D27" s="332"/>
      <c r="E27" s="330"/>
      <c r="F27" s="328"/>
      <c r="G27" s="331">
        <f>SUM(G7:G26)</f>
        <v>0</v>
      </c>
      <c r="H27" s="1345"/>
      <c r="I27" s="331">
        <f>SUM(I7:I26)</f>
        <v>0</v>
      </c>
      <c r="J27" s="331">
        <f>SUM(J7:J26)</f>
        <v>0</v>
      </c>
      <c r="K27" s="331">
        <f t="shared" si="0"/>
        <v>0</v>
      </c>
      <c r="L27" s="331" t="str">
        <f t="shared" si="6"/>
        <v/>
      </c>
      <c r="M27" s="332"/>
      <c r="BH27" s="119"/>
      <c r="BK27" s="119"/>
      <c r="BL27" s="119"/>
      <c r="BM27" s="119"/>
      <c r="BQ27" s="119"/>
      <c r="BR27" s="77"/>
      <c r="BS27" s="77"/>
      <c r="BT27" s="77"/>
      <c r="BU27" s="119"/>
      <c r="BV27" s="119"/>
      <c r="BW27" s="119"/>
    </row>
    <row r="28" customHeight="1" spans="1:75">
      <c r="A28" s="299" t="str">
        <f>参数表!F$6</f>
        <v>产权持有单位填表人：贾广东</v>
      </c>
      <c r="B28" s="1302"/>
      <c r="C28" s="1302"/>
      <c r="D28" s="1302"/>
      <c r="E28" s="1302"/>
      <c r="F28" s="1302"/>
      <c r="G28" s="146"/>
      <c r="H28" s="1350"/>
      <c r="I28" s="146"/>
      <c r="J28" s="146" t="str">
        <f>"评估人员："&amp;封面!$G$20</f>
        <v>评估人员：栗祥宁</v>
      </c>
      <c r="K28" s="146"/>
      <c r="L28" s="146"/>
      <c r="M28" s="146"/>
      <c r="BC28" s="77"/>
      <c r="BF28" s="77"/>
      <c r="BG28" s="77"/>
      <c r="BK28" s="78"/>
      <c r="BL28" s="78"/>
      <c r="BM28" s="78"/>
    </row>
    <row r="29" customHeight="1" spans="1:75">
      <c r="A29" s="1351" t="str">
        <f>参数表!F$7</f>
        <v>填表日期：2025年9月20日</v>
      </c>
      <c r="B29" s="1302"/>
      <c r="C29" s="1302"/>
      <c r="D29" s="1302"/>
      <c r="E29" s="1302"/>
      <c r="F29" s="1302"/>
      <c r="G29" s="146"/>
      <c r="H29" s="1350"/>
      <c r="I29" s="146"/>
      <c r="J29" s="146"/>
      <c r="K29" s="146"/>
      <c r="L29" s="146"/>
      <c r="M29" s="146"/>
      <c r="BC29" s="77"/>
      <c r="BF29" s="77"/>
      <c r="BG29" s="77"/>
      <c r="BK29" s="78"/>
      <c r="BL29" s="78"/>
      <c r="BM29" s="78"/>
    </row>
    <row r="30" hidden="1" customHeight="1" outlineLevel="1" spans="1:75">
      <c r="A30" s="1347"/>
      <c r="B30" s="154" t="s">
        <v>1673</v>
      </c>
      <c r="C30" s="1301"/>
      <c r="D30" s="1315"/>
      <c r="E30" s="1301"/>
      <c r="F30" s="1301"/>
      <c r="G30" s="1348">
        <f>SUMIF($BA7:$BA26,$BA30,G7:G26)</f>
        <v>0</v>
      </c>
      <c r="H30" s="1349"/>
      <c r="I30" s="1348">
        <f>SUMIF($BA7:$BA26,$BA30,I7:I26)</f>
        <v>0</v>
      </c>
      <c r="J30" s="1348">
        <f>SUMIF($BA7:$BA26,$BA30,J7:J26)</f>
        <v>0</v>
      </c>
      <c r="BA30" s="161" t="s">
        <v>1674</v>
      </c>
      <c r="BC30" s="77"/>
      <c r="BF30" s="77"/>
      <c r="BG30" s="77"/>
      <c r="BH30" s="161" t="s">
        <v>1675</v>
      </c>
      <c r="BK30" s="161" t="s">
        <v>1675</v>
      </c>
      <c r="BL30" s="161" t="s">
        <v>1674</v>
      </c>
      <c r="BM30" s="161" t="s">
        <v>1674</v>
      </c>
    </row>
    <row r="31" hidden="1" customHeight="1" outlineLevel="1" spans="1:75">
      <c r="A31" s="1347"/>
      <c r="B31" s="154" t="s">
        <v>1676</v>
      </c>
      <c r="C31" s="1301"/>
      <c r="D31" s="1315"/>
      <c r="E31" s="1301"/>
      <c r="F31" s="1301"/>
      <c r="G31" s="1348">
        <f>G27-G30</f>
        <v>0</v>
      </c>
      <c r="H31" s="1349"/>
      <c r="I31" s="1348">
        <f>I27-I30</f>
        <v>0</v>
      </c>
      <c r="J31" s="1348">
        <f>J27-J30</f>
        <v>0</v>
      </c>
      <c r="BA31" s="161" t="s">
        <v>1677</v>
      </c>
      <c r="BC31" s="77"/>
      <c r="BF31" s="77"/>
      <c r="BG31" s="77"/>
      <c r="BH31" s="161" t="s">
        <v>1678</v>
      </c>
      <c r="BK31" s="161" t="s">
        <v>1678</v>
      </c>
      <c r="BL31" s="161" t="s">
        <v>1677</v>
      </c>
      <c r="BM31" s="161" t="s">
        <v>1677</v>
      </c>
    </row>
    <row r="32" customHeight="1" collapsed="1" spans="1:75">
      <c r="A32" s="1347"/>
      <c r="B32" s="1301"/>
      <c r="C32" s="1301"/>
      <c r="D32" s="1315"/>
      <c r="E32" s="1301"/>
      <c r="F32" s="1301"/>
      <c r="BC32" s="77"/>
      <c r="BF32" s="77"/>
      <c r="BG32" s="77"/>
      <c r="BK32" s="78"/>
      <c r="BL32" s="78"/>
      <c r="BM32" s="78"/>
    </row>
    <row r="33" customHeight="1" spans="1:65">
      <c r="A33" s="1347"/>
      <c r="B33" s="1301"/>
      <c r="C33" s="1301"/>
      <c r="D33" s="1315"/>
      <c r="E33" s="1301"/>
      <c r="F33" s="1301"/>
      <c r="BC33" s="77"/>
      <c r="BF33" s="77"/>
      <c r="BG33" s="77"/>
      <c r="BK33" s="78"/>
      <c r="BL33" s="78"/>
      <c r="BM33" s="78"/>
    </row>
    <row r="34" customHeight="1" spans="1:65">
      <c r="A34" s="1347"/>
      <c r="B34" s="1301"/>
      <c r="C34" s="1301"/>
      <c r="D34" s="1315"/>
      <c r="E34" s="1301"/>
      <c r="F34" s="1301"/>
      <c r="BC34" s="77"/>
      <c r="BF34" s="77"/>
      <c r="BG34" s="77"/>
      <c r="BK34" s="78"/>
      <c r="BL34" s="78"/>
      <c r="BM34" s="78"/>
    </row>
    <row r="35" customHeight="1" spans="1:65">
      <c r="A35" s="1347"/>
      <c r="B35" s="1301"/>
      <c r="C35" s="1301"/>
      <c r="D35" s="1315"/>
      <c r="E35" s="1301"/>
      <c r="F35" s="1301"/>
      <c r="BC35" s="77"/>
      <c r="BF35" s="77"/>
      <c r="BG35" s="77"/>
      <c r="BK35" s="78"/>
      <c r="BL35" s="78"/>
      <c r="BM35" s="78"/>
    </row>
    <row r="36" customHeight="1" spans="1:65">
      <c r="A36" s="1347"/>
      <c r="B36" s="1301"/>
      <c r="C36" s="1301"/>
      <c r="D36" s="1315"/>
      <c r="E36" s="1301"/>
      <c r="F36" s="1301"/>
      <c r="BC36" s="77"/>
      <c r="BF36" s="77"/>
      <c r="BG36" s="77"/>
      <c r="BK36" s="78"/>
      <c r="BL36" s="78"/>
      <c r="BM36" s="78"/>
    </row>
    <row r="37" customHeight="1" spans="1:65">
      <c r="A37" s="1347"/>
      <c r="B37" s="1301"/>
      <c r="C37" s="1301"/>
      <c r="D37" s="1315"/>
      <c r="E37" s="1301"/>
      <c r="F37" s="1301"/>
      <c r="BC37" s="77"/>
      <c r="BF37" s="77"/>
      <c r="BG37" s="77"/>
      <c r="BK37" s="78"/>
      <c r="BL37" s="78"/>
      <c r="BM37" s="78"/>
    </row>
    <row r="38" customHeight="1" spans="1:65">
      <c r="D38" s="1315"/>
      <c r="BC38" s="77"/>
      <c r="BF38" s="77"/>
      <c r="BG38" s="77"/>
      <c r="BK38" s="78"/>
      <c r="BL38" s="78"/>
      <c r="BM38" s="78"/>
    </row>
    <row r="39" customHeight="1" spans="1:65">
      <c r="D39" s="1315"/>
      <c r="BC39" s="77"/>
      <c r="BF39" s="77"/>
      <c r="BG39" s="77"/>
      <c r="BK39" s="78"/>
      <c r="BL39" s="78"/>
      <c r="BM39" s="78"/>
    </row>
    <row r="40" customHeight="1" spans="1:65">
      <c r="D40" s="1315"/>
      <c r="BC40" s="77"/>
      <c r="BF40" s="77"/>
      <c r="BG40" s="77"/>
      <c r="BK40" s="78"/>
      <c r="BL40" s="78"/>
      <c r="BM40" s="78"/>
    </row>
    <row r="41" customHeight="1" spans="1:65">
      <c r="D41" s="1315"/>
      <c r="BC41" s="77"/>
      <c r="BF41" s="77"/>
      <c r="BG41" s="77"/>
      <c r="BK41" s="78"/>
      <c r="BL41" s="78"/>
      <c r="BM41" s="78"/>
    </row>
    <row r="42" customHeight="1" spans="1:65">
      <c r="D42" s="1315"/>
      <c r="BC42" s="77"/>
      <c r="BF42" s="77"/>
      <c r="BG42" s="77"/>
      <c r="BK42" s="78"/>
      <c r="BL42" s="78"/>
      <c r="BM42" s="78"/>
    </row>
    <row r="43" customHeight="1" spans="1:65">
      <c r="D43" s="1315"/>
      <c r="BC43" s="77"/>
      <c r="BF43" s="77"/>
      <c r="BG43" s="77"/>
      <c r="BK43" s="78"/>
      <c r="BL43" s="78"/>
      <c r="BM43" s="78"/>
    </row>
    <row r="44" customHeight="1" spans="1:65">
      <c r="D44" s="1315"/>
      <c r="BC44" s="77"/>
      <c r="BF44" s="77"/>
      <c r="BG44" s="77"/>
      <c r="BK44" s="78"/>
      <c r="BL44" s="78"/>
      <c r="BM44" s="78"/>
    </row>
    <row r="45" customHeight="1" spans="1:65">
      <c r="D45" s="1315"/>
      <c r="BC45" s="77"/>
      <c r="BF45" s="77"/>
      <c r="BG45" s="77"/>
      <c r="BK45" s="78"/>
      <c r="BL45" s="78"/>
      <c r="BM45" s="78"/>
    </row>
    <row r="46" customHeight="1" spans="1:65">
      <c r="D46" s="1315"/>
      <c r="BC46" s="77"/>
      <c r="BF46" s="77"/>
      <c r="BG46" s="77"/>
      <c r="BK46" s="78"/>
      <c r="BL46" s="78"/>
      <c r="BM46" s="78"/>
    </row>
    <row r="47" customHeight="1" spans="1:65">
      <c r="D47" s="1315"/>
      <c r="BC47" s="77"/>
      <c r="BF47" s="77"/>
      <c r="BG47" s="77"/>
      <c r="BK47" s="78"/>
      <c r="BL47" s="78"/>
      <c r="BM47" s="78"/>
    </row>
    <row r="48" customHeight="1" spans="1:65">
      <c r="D48" s="1315"/>
      <c r="BC48" s="77"/>
      <c r="BF48" s="77"/>
      <c r="BG48" s="77"/>
      <c r="BK48" s="78"/>
      <c r="BL48" s="78"/>
      <c r="BM48" s="78"/>
    </row>
    <row r="49" customHeight="1" spans="4:65">
      <c r="D49" s="1315"/>
      <c r="BC49" s="77"/>
      <c r="BF49" s="77"/>
      <c r="BG49" s="77"/>
      <c r="BK49" s="78"/>
      <c r="BL49" s="78"/>
      <c r="BM49" s="78"/>
    </row>
    <row r="50" customHeight="1" spans="4:65">
      <c r="D50" s="1315"/>
      <c r="BC50" s="77"/>
      <c r="BF50" s="77"/>
      <c r="BG50" s="77"/>
      <c r="BK50" s="78"/>
      <c r="BL50" s="78"/>
      <c r="BM50" s="78"/>
    </row>
    <row r="51" customHeight="1" spans="4:65">
      <c r="D51" s="1315"/>
      <c r="BC51" s="77"/>
      <c r="BF51" s="77"/>
      <c r="BG51" s="77"/>
      <c r="BK51" s="78"/>
      <c r="BL51" s="78"/>
      <c r="BM51" s="78"/>
    </row>
    <row r="52" customHeight="1" spans="4:65">
      <c r="D52" s="1315"/>
      <c r="BC52" s="77"/>
      <c r="BF52" s="77"/>
      <c r="BG52" s="77"/>
      <c r="BK52" s="78"/>
      <c r="BL52" s="78"/>
      <c r="BM52" s="78"/>
    </row>
    <row r="53" customHeight="1" spans="4:65">
      <c r="D53" s="1315"/>
      <c r="BC53" s="77"/>
      <c r="BF53" s="77"/>
      <c r="BG53" s="77"/>
      <c r="BK53" s="78"/>
      <c r="BL53" s="78"/>
      <c r="BM53" s="78"/>
    </row>
    <row r="54" customHeight="1" spans="4:65">
      <c r="D54" s="1315"/>
      <c r="BC54" s="77"/>
      <c r="BF54" s="77"/>
      <c r="BG54" s="77"/>
      <c r="BK54" s="78"/>
      <c r="BL54" s="78"/>
      <c r="BM54" s="78"/>
    </row>
    <row r="55" customHeight="1" spans="4:65">
      <c r="BC55" s="77"/>
      <c r="BF55" s="77"/>
      <c r="BG55" s="77"/>
      <c r="BK55" s="78"/>
      <c r="BL55" s="78"/>
      <c r="BM55" s="78"/>
    </row>
  </sheetData>
  <sheetProtection autoFilter="0"/>
  <mergeCells count="6">
    <mergeCell ref="A2:M2"/>
    <mergeCell ref="A3:M3"/>
    <mergeCell ref="BV7:BX7"/>
    <mergeCell ref="BV8:BX8"/>
    <mergeCell ref="BW14:BX14"/>
    <mergeCell ref="A27:B27"/>
  </mergeCells>
  <conditionalFormatting sqref="BI7:BI26">
    <cfRule type="expression" dxfId="5" priority="7" stopIfTrue="1">
      <formula>AND(BH7="有",BI7="")</formula>
    </cfRule>
  </conditionalFormatting>
  <conditionalFormatting sqref="BN7:BN26">
    <cfRule type="expression" dxfId="5" priority="3" stopIfTrue="1">
      <formula>AND(BL7="无",BN7="")</formula>
    </cfRule>
  </conditionalFormatting>
  <conditionalFormatting sqref="BF7:BG26">
    <cfRule type="containsText" dxfId="6" priority="8" stopIfTrue="1" operator="between" text="出错">
      <formula>NOT(ISERROR(SEARCH("出错",BF7)))</formula>
    </cfRule>
  </conditionalFormatting>
  <conditionalFormatting sqref="BH7:BH26 BK7:BM26">
    <cfRule type="expression" dxfId="5" priority="4" stopIfTrue="1">
      <formula>AND($B7&lt;&gt;"",BH7="")</formula>
    </cfRule>
  </conditionalFormatting>
  <dataValidations count="4">
    <dataValidation type="list" allowBlank="1" showInputMessage="1" showErrorMessage="1" sqref="D7:D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K7:BM26">
      <formula1>BH$30:BH$31</formula1>
    </dataValidation>
  </dataValidations>
  <hyperlinks>
    <hyperlink ref="B1" location="货币资金汇总表!B8" display="返回"/>
    <hyperlink ref="A1" location="索引目录!E7" display="返回索引页"/>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&amp;R&amp;"宋体,常规"&amp;11共&amp;"Times New Roman,常规"&amp;N&amp;"宋体,常规"页，第&amp;"Times New Roman,常规"&amp;P&amp;"宋体,常规"页&amp;"Times New Roman,常规"</oddHead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BY55"/>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1314" customWidth="1"/>
    <col min="2" max="3" width="16.5" style="77" customWidth="1"/>
    <col min="4" max="4" width="8.5" style="77" customWidth="1"/>
    <col min="5" max="6" width="6.6" style="77" customWidth="1"/>
    <col min="7" max="7" width="8.6" style="77" customWidth="1"/>
    <col min="8" max="8" width="13.1" style="77" customWidth="1" outlineLevel="1"/>
    <col min="9" max="9" width="13.1" style="1315" customWidth="1" outlineLevel="1"/>
    <col min="10" max="11" width="13.1" style="77" customWidth="1"/>
    <col min="12" max="12" width="5.7" style="77" customWidth="1"/>
    <col min="13" max="13" width="4.8" style="77" customWidth="1"/>
    <col min="14" max="14" width="9" style="77"/>
    <col min="15" max="52" width="9" style="77" hidden="1" customWidth="1" outlineLevel="1"/>
    <col min="53" max="53" width="14.7" style="77" customWidth="1" collapsed="1"/>
    <col min="54" max="54" width="6.7" style="77" customWidth="1"/>
    <col min="55" max="55" width="4.7" style="78" customWidth="1"/>
    <col min="56" max="56" width="4.7" style="77" customWidth="1"/>
    <col min="57" max="57" width="8.7" style="77" customWidth="1"/>
    <col min="58" max="59" width="9.6" style="78" customWidth="1"/>
    <col min="60" max="60" width="6.7" style="78" customWidth="1"/>
    <col min="61" max="61" width="10.3" style="77" customWidth="1"/>
    <col min="62" max="62" width="6.7" style="78" customWidth="1"/>
    <col min="63" max="63" width="6.7" style="77" customWidth="1"/>
    <col min="64" max="64" width="4.7" style="77" customWidth="1"/>
    <col min="65" max="65" width="6.7" style="77" customWidth="1"/>
    <col min="66" max="66" width="10.3" style="77" customWidth="1"/>
    <col min="67" max="67" width="4.7" style="77" customWidth="1"/>
    <col min="68" max="68" width="9" style="77"/>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7"/>
  </cols>
  <sheetData>
    <row r="1" s="87" customFormat="1" ht="13.8" spans="1:77">
      <c r="A1" s="1316" t="s">
        <v>1591</v>
      </c>
      <c r="B1" s="1317" t="s">
        <v>1592</v>
      </c>
      <c r="C1" s="1317"/>
      <c r="D1" s="88"/>
      <c r="E1" s="88"/>
      <c r="F1" s="88"/>
      <c r="G1" s="88"/>
      <c r="H1" s="88"/>
      <c r="I1" s="1318"/>
      <c r="J1" s="88"/>
      <c r="K1" s="88"/>
      <c r="L1" s="88"/>
      <c r="M1" s="88"/>
      <c r="N1" s="88"/>
      <c r="BA1" s="1319" t="str">
        <f>参数表!BA1</f>
        <v>注意：补充特殊事项、作价等均从BA列开始填写</v>
      </c>
      <c r="BB1" s="1320"/>
      <c r="BC1" s="88"/>
      <c r="BF1" s="88"/>
      <c r="BG1" s="88"/>
      <c r="BH1" s="88"/>
      <c r="BJ1" s="88"/>
      <c r="BR1" s="88"/>
      <c r="BT1" s="88"/>
      <c r="BU1" s="88"/>
      <c r="BV1" s="88"/>
      <c r="BW1" s="88"/>
      <c r="BX1" s="88"/>
    </row>
    <row r="2" s="92" customFormat="1" ht="30" customHeight="1" spans="1:77">
      <c r="A2" s="294" t="s">
        <v>1709</v>
      </c>
      <c r="B2" s="294"/>
      <c r="C2" s="294"/>
      <c r="D2" s="294"/>
      <c r="E2" s="294"/>
      <c r="F2" s="294"/>
      <c r="G2" s="294"/>
      <c r="H2" s="294"/>
      <c r="I2" s="294"/>
      <c r="J2" s="294"/>
      <c r="K2" s="294"/>
      <c r="L2" s="294"/>
      <c r="M2" s="294"/>
      <c r="N2" s="294"/>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1321" t="str">
        <f>参数表!BA2</f>
        <v>评估基准日：</v>
      </c>
      <c r="BB2" s="1322" t="str">
        <f>参数表!BB2</f>
        <v>2025年7月31日</v>
      </c>
      <c r="BC2" s="93"/>
      <c r="BF2" s="93"/>
      <c r="BG2" s="93"/>
      <c r="BH2" s="93"/>
      <c r="BJ2" s="93"/>
      <c r="BR2" s="93"/>
      <c r="BT2" s="93"/>
      <c r="BU2" s="93"/>
      <c r="BV2" s="93"/>
      <c r="BW2" s="93"/>
      <c r="BX2" s="93"/>
    </row>
    <row r="3" ht="15" customHeight="1" spans="1:77">
      <c r="A3" s="296" t="str">
        <f>参数表!F5</f>
        <v>评估基准日：2025年7月31日</v>
      </c>
      <c r="B3" s="296"/>
      <c r="C3" s="296"/>
      <c r="D3" s="296"/>
      <c r="E3" s="296"/>
      <c r="F3" s="296"/>
      <c r="G3" s="296"/>
      <c r="H3" s="296"/>
      <c r="I3" s="296"/>
      <c r="J3" s="296"/>
      <c r="K3" s="162"/>
      <c r="L3" s="162"/>
      <c r="M3" s="162"/>
      <c r="N3" s="162"/>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1321" t="str">
        <f>参数表!BA3</f>
        <v>是否显示评估值：</v>
      </c>
      <c r="BB3" s="1321" t="str">
        <f>参数表!BB3</f>
        <v>是</v>
      </c>
    </row>
    <row r="4" ht="15" customHeight="1" spans="1:77">
      <c r="A4" s="297"/>
      <c r="B4" s="296"/>
      <c r="C4" s="296"/>
      <c r="D4" s="296"/>
      <c r="E4" s="296"/>
      <c r="F4" s="296"/>
      <c r="G4" s="296"/>
      <c r="H4" s="296"/>
      <c r="I4" s="1323"/>
      <c r="J4" s="296"/>
      <c r="K4" s="162"/>
      <c r="L4" s="162"/>
      <c r="M4" s="162"/>
      <c r="N4" s="300" t="str">
        <f>"表"&amp;$BA4</f>
        <v>表3-1-3</v>
      </c>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162" t="str">
        <f>货币资金总!A9</f>
        <v>3-1-3</v>
      </c>
      <c r="BB4" s="1324">
        <f>MAX(COUNTA(A7:A26),COUNTA(B7:B26),COUNTA(H7:H26),COUNTA(G7:G26))</f>
        <v>20</v>
      </c>
      <c r="BC4" s="101">
        <f>ROW(A6)+1</f>
        <v>7</v>
      </c>
      <c r="BS4" s="78"/>
    </row>
    <row r="5" ht="15" customHeight="1" spans="1:77">
      <c r="A5" s="299" t="str">
        <f>参数表!F3</f>
        <v>产权持有单位:中煤第五建设有限公司</v>
      </c>
      <c r="B5" s="107"/>
      <c r="C5" s="107"/>
      <c r="D5" s="107"/>
      <c r="E5" s="107"/>
      <c r="F5" s="107"/>
      <c r="G5" s="107"/>
      <c r="H5" s="107"/>
      <c r="I5" s="966"/>
      <c r="J5" s="107"/>
      <c r="K5" s="107"/>
      <c r="L5" s="107"/>
      <c r="M5" s="107"/>
      <c r="N5" s="300" t="s">
        <v>236</v>
      </c>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107"/>
      <c r="BB5" s="105" t="str">
        <f ca="1">判断表!C9</f>
        <v>中煤第五建设有限公司第三工程处拟处置实物资产项目\[0000-3基础法明细表.xlsx]其他货币</v>
      </c>
      <c r="BC5" s="106">
        <f>IFERROR(SUMIF(BC7:BC26,"√",J7:J26)/J27,0)</f>
        <v>0</v>
      </c>
      <c r="BD5" s="107"/>
      <c r="BE5" s="146"/>
      <c r="BF5" s="284">
        <f>现金!BF5</f>
        <v>0</v>
      </c>
      <c r="BG5" s="284">
        <f>现金!BG5</f>
        <v>0</v>
      </c>
      <c r="BJ5" s="77"/>
      <c r="BK5" s="78"/>
      <c r="BL5" s="78"/>
      <c r="BM5" s="78"/>
      <c r="BO5" s="78"/>
      <c r="BQ5" s="111"/>
      <c r="BS5" s="78"/>
      <c r="BW5" s="194"/>
      <c r="BX5" s="194"/>
      <c r="BY5" s="111"/>
    </row>
    <row r="6" s="119" customFormat="1" ht="25.2" customHeight="1" spans="1:77">
      <c r="A6" s="301" t="s">
        <v>305</v>
      </c>
      <c r="B6" s="114" t="s">
        <v>1710</v>
      </c>
      <c r="C6" s="114" t="s">
        <v>1681</v>
      </c>
      <c r="D6" s="114" t="s">
        <v>1711</v>
      </c>
      <c r="E6" s="114" t="s">
        <v>1631</v>
      </c>
      <c r="F6" s="115" t="s">
        <v>1632</v>
      </c>
      <c r="G6" s="115" t="s">
        <v>1633</v>
      </c>
      <c r="H6" s="1325" t="s">
        <v>1549</v>
      </c>
      <c r="I6" s="1326" t="s">
        <v>1634</v>
      </c>
      <c r="J6" s="114" t="s">
        <v>1523</v>
      </c>
      <c r="K6" s="114" t="s">
        <v>1550</v>
      </c>
      <c r="L6" s="114" t="s">
        <v>1525</v>
      </c>
      <c r="M6" s="115" t="s">
        <v>1551</v>
      </c>
      <c r="N6" s="114" t="s">
        <v>308</v>
      </c>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100" t="s">
        <v>1545</v>
      </c>
      <c r="BB6" s="100" t="s">
        <v>1635</v>
      </c>
      <c r="BC6" s="1327" t="s">
        <v>1636</v>
      </c>
      <c r="BD6" s="1327" t="s">
        <v>1637</v>
      </c>
      <c r="BE6" s="1327" t="s">
        <v>1638</v>
      </c>
      <c r="BF6" s="115" t="s">
        <v>1639</v>
      </c>
      <c r="BG6" s="115" t="s">
        <v>1640</v>
      </c>
      <c r="BH6" s="1328" t="s">
        <v>1682</v>
      </c>
      <c r="BI6" s="1328" t="s">
        <v>1683</v>
      </c>
      <c r="BJ6" s="1328" t="s">
        <v>1684</v>
      </c>
      <c r="BK6" s="1328" t="s">
        <v>1685</v>
      </c>
      <c r="BL6" s="1328" t="s">
        <v>1686</v>
      </c>
      <c r="BM6" s="1328" t="s">
        <v>1687</v>
      </c>
      <c r="BN6" s="1328" t="s">
        <v>1688</v>
      </c>
      <c r="BO6" s="1328" t="s">
        <v>1712</v>
      </c>
      <c r="BP6" s="1328" t="s">
        <v>1644</v>
      </c>
      <c r="BR6" s="120" t="s">
        <v>1645</v>
      </c>
      <c r="BS6" s="121" t="s">
        <v>1646</v>
      </c>
      <c r="BT6" s="121" t="s">
        <v>1647</v>
      </c>
      <c r="BU6" s="121" t="s">
        <v>1648</v>
      </c>
      <c r="BV6" s="121" t="s">
        <v>1647</v>
      </c>
      <c r="BW6" s="121" t="s">
        <v>1647</v>
      </c>
      <c r="BX6" s="121" t="s">
        <v>1649</v>
      </c>
      <c r="BY6" s="122" t="s">
        <v>1650</v>
      </c>
    </row>
    <row r="7" ht="15" customHeight="1" spans="1:77">
      <c r="A7" s="1329" t="str">
        <f>IF(B7="","",COUNT(A$6:A6)+1)</f>
        <v/>
      </c>
      <c r="B7" s="1330"/>
      <c r="C7" s="1331"/>
      <c r="D7" s="1330"/>
      <c r="E7" s="127"/>
      <c r="F7" s="127" t="str">
        <f>IFERROR(VLOOKUP(E7,参数表!$H$2:$I$50,2,FALSE),"")</f>
        <v/>
      </c>
      <c r="G7" s="128" t="str">
        <f>IFERROR(IF(OR(E7="人民币",E7=""),"",J7/F7),"")</f>
        <v/>
      </c>
      <c r="H7" s="1332"/>
      <c r="I7" s="1333"/>
      <c r="J7" s="1332" t="str">
        <f>IF(B7="","",H7+I7)</f>
        <v/>
      </c>
      <c r="K7" s="1332" t="str">
        <f>IF(B7="","",IF(BB$3="是",J7,""))</f>
        <v/>
      </c>
      <c r="L7" s="1332" t="str">
        <f t="shared" ref="L7:L27" si="0">IFERROR(K7-J7,"")</f>
        <v/>
      </c>
      <c r="M7" s="1332" t="str">
        <f t="shared" ref="M7:M27" si="1">IFERROR(L7/J7*100,"")</f>
        <v/>
      </c>
      <c r="N7" s="1334"/>
      <c r="BA7" s="78"/>
      <c r="BB7" s="132" t="s">
        <v>1713</v>
      </c>
      <c r="BC7" s="133"/>
      <c r="BD7" s="132" t="str">
        <f>IF(OR(B7="",BC7=""),"",COUNTIF(BC$7:BC7,"√"))</f>
        <v/>
      </c>
      <c r="BE7" s="134" t="str">
        <f>IF(BC7="","",BB7&amp;"︱"&amp;B7&amp;"︱"&amp;TEXT(H7,"#,##0.00"))</f>
        <v/>
      </c>
      <c r="BF7" s="127" t="str">
        <f t="shared" ref="BF7:BF12" si="2">IF(B7="","",IF(BF$5=0,"OK","出错"))</f>
        <v/>
      </c>
      <c r="BG7" s="1335" t="str">
        <f t="shared" ref="BG7:BG12" si="3">IF(B7="","",IF(BG$5=0,"OK","出错"))</f>
        <v/>
      </c>
      <c r="BH7" s="1336"/>
      <c r="BI7" s="1337"/>
      <c r="BJ7" s="1338">
        <f>IFERROR(ABS(J7-BI7),0)</f>
        <v>0</v>
      </c>
      <c r="BK7" s="1336"/>
      <c r="BL7" s="1336"/>
      <c r="BM7" s="1336"/>
      <c r="BN7" s="1339"/>
      <c r="BO7" s="1336"/>
      <c r="BP7" s="1339"/>
      <c r="BR7" s="134" t="str">
        <f>IF(COUNTIF(BR$6:BR6,B7)&gt;0,"",B7)&amp;""</f>
        <v/>
      </c>
      <c r="BS7" s="138">
        <f>SUMIF(B$7:B$26,BR7,J$7:J$26)</f>
        <v>0</v>
      </c>
      <c r="BT7" s="132">
        <f t="shared" ref="BT7" si="4">RANK(BS7,BS$7:BS$26)</f>
        <v>1</v>
      </c>
      <c r="BU7" s="138">
        <f>SUMIF(B$7:B$26,BR7,K$7:K$26)</f>
        <v>0</v>
      </c>
      <c r="BV7" s="132">
        <f>RANK(BU7,BU$7:BU$26)</f>
        <v>1</v>
      </c>
      <c r="BW7" s="138">
        <f>SUM(BS7:BS26)</f>
        <v>0</v>
      </c>
      <c r="BX7" s="138"/>
      <c r="BY7" s="138"/>
    </row>
    <row r="8" ht="15" customHeight="1" spans="1:77">
      <c r="A8" s="1329" t="str">
        <f>IF(B8="","",COUNT(A$6:A7)+1)</f>
        <v/>
      </c>
      <c r="B8" s="1340"/>
      <c r="C8" s="1341"/>
      <c r="D8" s="1340"/>
      <c r="E8" s="142"/>
      <c r="F8" s="127" t="str">
        <f>IFERROR(VLOOKUP(E8,参数表!$H$2:$I$50,2,FALSE),"")</f>
        <v/>
      </c>
      <c r="G8" s="128" t="str">
        <f t="shared" ref="G8:G26" si="5">IFERROR(IF(OR(E8="人民币",E8=""),"",J8/F8),"")</f>
        <v/>
      </c>
      <c r="H8" s="1342"/>
      <c r="I8" s="1343"/>
      <c r="J8" s="1332" t="str">
        <f t="shared" ref="J8:J26" si="6">IF(B8="","",H8+I8)</f>
        <v/>
      </c>
      <c r="K8" s="1332" t="str">
        <f t="shared" ref="K8:K26" si="7">IF(B8="","",IF(BB$3="是",J8,""))</f>
        <v/>
      </c>
      <c r="L8" s="1332" t="str">
        <f t="shared" si="0"/>
        <v/>
      </c>
      <c r="M8" s="1332" t="str">
        <f t="shared" si="1"/>
        <v/>
      </c>
      <c r="N8" s="1339"/>
      <c r="BA8" s="78"/>
      <c r="BB8" s="132" t="s">
        <v>1714</v>
      </c>
      <c r="BC8" s="133"/>
      <c r="BD8" s="132" t="str">
        <f>IF(OR(B8="",BC8=""),"",COUNTIF(BC$7:BC8,"√"))</f>
        <v/>
      </c>
      <c r="BE8" s="134" t="str">
        <f t="shared" ref="BE8:BE26" si="8">IF(BC8="","",BB8&amp;"︱"&amp;B8&amp;"︱"&amp;TEXT(H8,"#,##0.00"))</f>
        <v/>
      </c>
      <c r="BF8" s="127" t="str">
        <f t="shared" si="2"/>
        <v/>
      </c>
      <c r="BG8" s="1335" t="str">
        <f t="shared" si="3"/>
        <v/>
      </c>
      <c r="BH8" s="1336"/>
      <c r="BI8" s="1337"/>
      <c r="BJ8" s="1338">
        <f t="shared" ref="BJ8:BJ26" si="9">IFERROR(ABS(J8-BI8),0)</f>
        <v>0</v>
      </c>
      <c r="BK8" s="1336"/>
      <c r="BL8" s="1336"/>
      <c r="BM8" s="1336"/>
      <c r="BN8" s="1339"/>
      <c r="BO8" s="1336"/>
      <c r="BP8" s="1339"/>
      <c r="BR8" s="134" t="str">
        <f>IF(COUNTIF(BR$6:BR7,B8)&gt;0,"",B8)&amp;""</f>
        <v/>
      </c>
      <c r="BS8" s="138">
        <f t="shared" ref="BS8:BS26" si="10">SUMIF(B$7:B$26,BR8,J$7:J$26)</f>
        <v>0</v>
      </c>
      <c r="BT8" s="132">
        <f t="shared" ref="BT8:BT26" si="11">RANK(BS8,BS$7:BS$26)</f>
        <v>1</v>
      </c>
      <c r="BU8" s="138">
        <f t="shared" ref="BU8:BU26" si="12">SUMIF(B$7:B$26,BR8,K$7:K$26)</f>
        <v>0</v>
      </c>
      <c r="BV8" s="132">
        <f t="shared" ref="BV8:BV26" si="13">RANK(BU8,BU$7:BU$26)</f>
        <v>1</v>
      </c>
      <c r="BW8" s="138">
        <f>SUM(BU7:BU26)</f>
        <v>0</v>
      </c>
      <c r="BX8" s="138"/>
      <c r="BY8" s="138"/>
    </row>
    <row r="9" ht="15" customHeight="1" spans="1:77">
      <c r="A9" s="1329" t="str">
        <f>IF(B9="","",COUNT(A$6:A8)+1)</f>
        <v/>
      </c>
      <c r="B9" s="1340"/>
      <c r="C9" s="1341"/>
      <c r="D9" s="1340"/>
      <c r="E9" s="142"/>
      <c r="F9" s="127" t="str">
        <f>IFERROR(VLOOKUP(E9,参数表!$H$2:$I$50,2,FALSE),"")</f>
        <v/>
      </c>
      <c r="G9" s="128" t="str">
        <f t="shared" si="5"/>
        <v/>
      </c>
      <c r="H9" s="1342"/>
      <c r="I9" s="1343"/>
      <c r="J9" s="1332" t="str">
        <f t="shared" si="6"/>
        <v/>
      </c>
      <c r="K9" s="1332" t="str">
        <f t="shared" si="7"/>
        <v/>
      </c>
      <c r="L9" s="1332" t="str">
        <f t="shared" si="0"/>
        <v/>
      </c>
      <c r="M9" s="1332" t="str">
        <f t="shared" si="1"/>
        <v/>
      </c>
      <c r="N9" s="1339"/>
      <c r="BA9" s="78"/>
      <c r="BB9" s="132" t="s">
        <v>1715</v>
      </c>
      <c r="BC9" s="133"/>
      <c r="BD9" s="132" t="str">
        <f>IF(OR(B9="",BC9=""),"",COUNTIF(BC$7:BC9,"√"))</f>
        <v/>
      </c>
      <c r="BE9" s="134" t="str">
        <f t="shared" si="8"/>
        <v/>
      </c>
      <c r="BF9" s="127" t="str">
        <f t="shared" si="2"/>
        <v/>
      </c>
      <c r="BG9" s="1335" t="str">
        <f t="shared" si="3"/>
        <v/>
      </c>
      <c r="BH9" s="1336"/>
      <c r="BI9" s="1337"/>
      <c r="BJ9" s="1338">
        <f t="shared" si="9"/>
        <v>0</v>
      </c>
      <c r="BK9" s="1336"/>
      <c r="BL9" s="1336"/>
      <c r="BM9" s="1336"/>
      <c r="BN9" s="1339"/>
      <c r="BO9" s="1336"/>
      <c r="BP9" s="1339"/>
      <c r="BR9" s="134" t="str">
        <f>IF(COUNTIF(BR$6:BR8,B9)&gt;0,"",B9)&amp;""</f>
        <v/>
      </c>
      <c r="BS9" s="138">
        <f t="shared" si="10"/>
        <v>0</v>
      </c>
      <c r="BT9" s="132">
        <f t="shared" si="11"/>
        <v>1</v>
      </c>
      <c r="BU9" s="138">
        <f t="shared" si="12"/>
        <v>0</v>
      </c>
      <c r="BV9" s="132">
        <f t="shared" si="13"/>
        <v>1</v>
      </c>
      <c r="BW9" s="132">
        <v>1</v>
      </c>
      <c r="BX9" s="134" t="str">
        <f>IFERROR(INDEX(BR$7:BR$26,MATCH(BW9,IF(BW$7=0,BV$7:BV$26,BT$7:BT$26),0))&amp;"","")</f>
        <v/>
      </c>
      <c r="BY9" s="146" t="str">
        <f>IF(BX10="","",IF(BX11="","和","、"))</f>
        <v/>
      </c>
    </row>
    <row r="10" ht="15" customHeight="1" spans="1:77">
      <c r="A10" s="1329" t="str">
        <f>IF(B10="","",COUNT(A$6:A9)+1)</f>
        <v/>
      </c>
      <c r="B10" s="1340"/>
      <c r="C10" s="1341"/>
      <c r="D10" s="1340"/>
      <c r="E10" s="142"/>
      <c r="F10" s="127" t="str">
        <f>IFERROR(VLOOKUP(E10,参数表!$H$2:$I$50,2,FALSE),"")</f>
        <v/>
      </c>
      <c r="G10" s="128" t="str">
        <f t="shared" si="5"/>
        <v/>
      </c>
      <c r="H10" s="1342"/>
      <c r="I10" s="1343"/>
      <c r="J10" s="1332" t="str">
        <f t="shared" si="6"/>
        <v/>
      </c>
      <c r="K10" s="1332" t="str">
        <f t="shared" si="7"/>
        <v/>
      </c>
      <c r="L10" s="1332" t="str">
        <f t="shared" si="0"/>
        <v/>
      </c>
      <c r="M10" s="1332" t="str">
        <f t="shared" si="1"/>
        <v/>
      </c>
      <c r="N10" s="1339"/>
      <c r="BA10" s="78"/>
      <c r="BB10" s="132" t="s">
        <v>1716</v>
      </c>
      <c r="BC10" s="133"/>
      <c r="BD10" s="132" t="str">
        <f>IF(OR(B10="",BC10=""),"",COUNTIF(BC$7:BC10,"√"))</f>
        <v/>
      </c>
      <c r="BE10" s="134" t="str">
        <f t="shared" si="8"/>
        <v/>
      </c>
      <c r="BF10" s="127" t="str">
        <f t="shared" si="2"/>
        <v/>
      </c>
      <c r="BG10" s="1335" t="str">
        <f t="shared" si="3"/>
        <v/>
      </c>
      <c r="BH10" s="1336"/>
      <c r="BI10" s="1337"/>
      <c r="BJ10" s="1338">
        <f t="shared" si="9"/>
        <v>0</v>
      </c>
      <c r="BK10" s="1336"/>
      <c r="BL10" s="1336"/>
      <c r="BM10" s="1336"/>
      <c r="BN10" s="1339"/>
      <c r="BO10" s="1336"/>
      <c r="BP10" s="1339"/>
      <c r="BR10" s="134" t="str">
        <f>IF(COUNTIF(BR$6:BR9,B10)&gt;0,"",B10)&amp;""</f>
        <v/>
      </c>
      <c r="BS10" s="138">
        <f t="shared" si="10"/>
        <v>0</v>
      </c>
      <c r="BT10" s="132">
        <f t="shared" si="11"/>
        <v>1</v>
      </c>
      <c r="BU10" s="138">
        <f t="shared" si="12"/>
        <v>0</v>
      </c>
      <c r="BV10" s="132">
        <f t="shared" si="13"/>
        <v>1</v>
      </c>
      <c r="BW10" s="132">
        <v>2</v>
      </c>
      <c r="BX10" s="134" t="str">
        <f t="shared" ref="BX10:BX13" si="14">IFERROR(INDEX(BR$7:BR$26,MATCH(BW10,IF(BW$7=0,BV$7:BV$26,BT$7:BT$26),0))&amp;"","")</f>
        <v/>
      </c>
      <c r="BY10" s="146" t="str">
        <f t="shared" ref="BY10:BY11" si="15">IF(BX11="","",IF(BX12="","和","、"))</f>
        <v/>
      </c>
    </row>
    <row r="11" ht="15" customHeight="1" spans="1:77">
      <c r="A11" s="1329" t="str">
        <f>IF(B11="","",COUNT(A$6:A10)+1)</f>
        <v/>
      </c>
      <c r="B11" s="1340"/>
      <c r="C11" s="1341"/>
      <c r="D11" s="1340"/>
      <c r="E11" s="142"/>
      <c r="F11" s="127" t="str">
        <f>IFERROR(VLOOKUP(E11,参数表!$H$2:$I$50,2,FALSE),"")</f>
        <v/>
      </c>
      <c r="G11" s="128" t="str">
        <f t="shared" si="5"/>
        <v/>
      </c>
      <c r="H11" s="1342"/>
      <c r="I11" s="1343"/>
      <c r="J11" s="1332" t="str">
        <f t="shared" si="6"/>
        <v/>
      </c>
      <c r="K11" s="1332" t="str">
        <f t="shared" si="7"/>
        <v/>
      </c>
      <c r="L11" s="1332" t="str">
        <f t="shared" si="0"/>
        <v/>
      </c>
      <c r="M11" s="1332" t="str">
        <f t="shared" si="1"/>
        <v/>
      </c>
      <c r="N11" s="1339"/>
      <c r="BA11" s="78"/>
      <c r="BB11" s="132" t="s">
        <v>1717</v>
      </c>
      <c r="BC11" s="133"/>
      <c r="BD11" s="132" t="str">
        <f>IF(OR(B11="",BC11=""),"",COUNTIF(BC$7:BC11,"√"))</f>
        <v/>
      </c>
      <c r="BE11" s="134" t="str">
        <f t="shared" si="8"/>
        <v/>
      </c>
      <c r="BF11" s="127" t="str">
        <f t="shared" si="2"/>
        <v/>
      </c>
      <c r="BG11" s="1335" t="str">
        <f t="shared" si="3"/>
        <v/>
      </c>
      <c r="BH11" s="1336"/>
      <c r="BI11" s="1337"/>
      <c r="BJ11" s="1338">
        <f t="shared" si="9"/>
        <v>0</v>
      </c>
      <c r="BK11" s="1336"/>
      <c r="BL11" s="1336"/>
      <c r="BM11" s="1336"/>
      <c r="BN11" s="1339"/>
      <c r="BO11" s="1336"/>
      <c r="BP11" s="1339"/>
      <c r="BR11" s="134" t="str">
        <f>IF(COUNTIF(BR$6:BR10,B11)&gt;0,"",B11)&amp;""</f>
        <v/>
      </c>
      <c r="BS11" s="138">
        <f t="shared" si="10"/>
        <v>0</v>
      </c>
      <c r="BT11" s="132">
        <f t="shared" si="11"/>
        <v>1</v>
      </c>
      <c r="BU11" s="138">
        <f t="shared" si="12"/>
        <v>0</v>
      </c>
      <c r="BV11" s="132">
        <f t="shared" si="13"/>
        <v>1</v>
      </c>
      <c r="BW11" s="132">
        <v>3</v>
      </c>
      <c r="BX11" s="134" t="str">
        <f t="shared" si="14"/>
        <v/>
      </c>
      <c r="BY11" s="146" t="str">
        <f t="shared" si="15"/>
        <v/>
      </c>
    </row>
    <row r="12" ht="15" customHeight="1" spans="1:77">
      <c r="A12" s="1329" t="str">
        <f>IF(B12="","",COUNT(A$6:A11)+1)</f>
        <v/>
      </c>
      <c r="B12" s="1340"/>
      <c r="C12" s="1341"/>
      <c r="D12" s="1340"/>
      <c r="E12" s="142"/>
      <c r="F12" s="127" t="str">
        <f>IFERROR(VLOOKUP(E12,参数表!$H$2:$I$50,2,FALSE),"")</f>
        <v/>
      </c>
      <c r="G12" s="128" t="str">
        <f t="shared" si="5"/>
        <v/>
      </c>
      <c r="H12" s="1342"/>
      <c r="I12" s="1343"/>
      <c r="J12" s="1332" t="str">
        <f t="shared" si="6"/>
        <v/>
      </c>
      <c r="K12" s="1332" t="str">
        <f t="shared" si="7"/>
        <v/>
      </c>
      <c r="L12" s="1332" t="str">
        <f t="shared" si="0"/>
        <v/>
      </c>
      <c r="M12" s="1332" t="str">
        <f t="shared" si="1"/>
        <v/>
      </c>
      <c r="N12" s="1339"/>
      <c r="BA12" s="78"/>
      <c r="BB12" s="132" t="s">
        <v>1718</v>
      </c>
      <c r="BC12" s="133"/>
      <c r="BD12" s="132" t="str">
        <f>IF(OR(B12="",BC12=""),"",COUNTIF(BC$7:BC12,"√"))</f>
        <v/>
      </c>
      <c r="BE12" s="134" t="str">
        <f t="shared" si="8"/>
        <v/>
      </c>
      <c r="BF12" s="127" t="str">
        <f t="shared" si="2"/>
        <v/>
      </c>
      <c r="BG12" s="1335" t="str">
        <f t="shared" si="3"/>
        <v/>
      </c>
      <c r="BH12" s="1336"/>
      <c r="BI12" s="1337"/>
      <c r="BJ12" s="1338">
        <f t="shared" si="9"/>
        <v>0</v>
      </c>
      <c r="BK12" s="1336"/>
      <c r="BL12" s="1336"/>
      <c r="BM12" s="1336"/>
      <c r="BN12" s="1339"/>
      <c r="BO12" s="1336"/>
      <c r="BP12" s="1339"/>
      <c r="BR12" s="134" t="str">
        <f>IF(COUNTIF(BR$6:BR11,B12)&gt;0,"",B12)&amp;""</f>
        <v/>
      </c>
      <c r="BS12" s="138">
        <f t="shared" si="10"/>
        <v>0</v>
      </c>
      <c r="BT12" s="132">
        <f t="shared" si="11"/>
        <v>1</v>
      </c>
      <c r="BU12" s="138">
        <f t="shared" si="12"/>
        <v>0</v>
      </c>
      <c r="BV12" s="132">
        <f t="shared" si="13"/>
        <v>1</v>
      </c>
      <c r="BW12" s="132">
        <v>4</v>
      </c>
      <c r="BX12" s="134" t="str">
        <f t="shared" si="14"/>
        <v/>
      </c>
      <c r="BY12" s="146" t="str">
        <f>IF(BX13="","","和")</f>
        <v/>
      </c>
    </row>
    <row r="13" ht="15" customHeight="1" spans="1:77">
      <c r="A13" s="1329" t="str">
        <f>IF(B13="","",COUNT(A$6:A12)+1)</f>
        <v/>
      </c>
      <c r="B13" s="1340"/>
      <c r="C13" s="1341"/>
      <c r="D13" s="1340"/>
      <c r="E13" s="142"/>
      <c r="F13" s="127" t="str">
        <f>IFERROR(VLOOKUP(E13,参数表!$H$2:$I$50,2,FALSE),"")</f>
        <v/>
      </c>
      <c r="G13" s="128" t="str">
        <f t="shared" si="5"/>
        <v/>
      </c>
      <c r="H13" s="1342"/>
      <c r="I13" s="1343"/>
      <c r="J13" s="1332" t="str">
        <f t="shared" si="6"/>
        <v/>
      </c>
      <c r="K13" s="1332" t="str">
        <f t="shared" si="7"/>
        <v/>
      </c>
      <c r="L13" s="1332" t="str">
        <f t="shared" si="0"/>
        <v/>
      </c>
      <c r="M13" s="1332" t="str">
        <f t="shared" si="1"/>
        <v/>
      </c>
      <c r="N13" s="1339"/>
      <c r="BA13" s="78"/>
      <c r="BB13" s="132" t="s">
        <v>1719</v>
      </c>
      <c r="BC13" s="133"/>
      <c r="BD13" s="132" t="str">
        <f>IF(OR(B13="",BC13=""),"",COUNTIF(BC$7:BC13,"√"))</f>
        <v/>
      </c>
      <c r="BE13" s="134" t="str">
        <f t="shared" ref="BE13:BE16" si="16">IF(BC13="","",BB13&amp;"︱"&amp;B13&amp;"︱"&amp;TEXT(H13,"#,##0.00"))</f>
        <v/>
      </c>
      <c r="BF13" s="127" t="str">
        <f t="shared" ref="BF13:BF16" si="17">IF(B13="","",IF(BF$5=0,"OK","出错"))</f>
        <v/>
      </c>
      <c r="BG13" s="1335" t="str">
        <f t="shared" ref="BG13:BG16" si="18">IF(B13="","",IF(BG$5=0,"OK","出错"))</f>
        <v/>
      </c>
      <c r="BH13" s="1336"/>
      <c r="BI13" s="1337"/>
      <c r="BJ13" s="1338">
        <f t="shared" ref="BJ13:BJ16" si="19">IFERROR(ABS(J13-BI13),0)</f>
        <v>0</v>
      </c>
      <c r="BK13" s="1336"/>
      <c r="BL13" s="1336"/>
      <c r="BM13" s="1336"/>
      <c r="BN13" s="1339"/>
      <c r="BO13" s="1336"/>
      <c r="BP13" s="1339"/>
      <c r="BR13" s="134" t="str">
        <f>IF(COUNTIF(BR$6:BR12,B13)&gt;0,"",B13)&amp;""</f>
        <v/>
      </c>
      <c r="BS13" s="138">
        <f t="shared" si="10"/>
        <v>0</v>
      </c>
      <c r="BT13" s="132">
        <f t="shared" si="11"/>
        <v>1</v>
      </c>
      <c r="BU13" s="138">
        <f t="shared" si="12"/>
        <v>0</v>
      </c>
      <c r="BV13" s="132">
        <f t="shared" si="13"/>
        <v>1</v>
      </c>
      <c r="BW13" s="132">
        <v>5</v>
      </c>
      <c r="BX13" s="134" t="str">
        <f t="shared" si="14"/>
        <v/>
      </c>
      <c r="BY13" s="146"/>
    </row>
    <row r="14" ht="15" customHeight="1" spans="1:77">
      <c r="A14" s="1329" t="str">
        <f>IF(B14="","",COUNT(A$6:A13)+1)</f>
        <v/>
      </c>
      <c r="B14" s="1340"/>
      <c r="C14" s="1341"/>
      <c r="D14" s="1340"/>
      <c r="E14" s="142"/>
      <c r="F14" s="127" t="str">
        <f>IFERROR(VLOOKUP(E14,参数表!$H$2:$I$50,2,FALSE),"")</f>
        <v/>
      </c>
      <c r="G14" s="128" t="str">
        <f t="shared" si="5"/>
        <v/>
      </c>
      <c r="H14" s="1342"/>
      <c r="I14" s="1343"/>
      <c r="J14" s="1332" t="str">
        <f t="shared" ref="J14:J16" si="20">IF(B14="","",H14+I14)</f>
        <v/>
      </c>
      <c r="K14" s="1332" t="str">
        <f t="shared" ref="K14:K16" si="21">IF(B14="","",IF(BB$3="是",J14,""))</f>
        <v/>
      </c>
      <c r="L14" s="1332" t="str">
        <f t="shared" ref="L14:L16" si="22">IFERROR(K14-J14,"")</f>
        <v/>
      </c>
      <c r="M14" s="1332" t="str">
        <f t="shared" ref="M14:M16" si="23">IFERROR(L14/J14*100,"")</f>
        <v/>
      </c>
      <c r="N14" s="1339"/>
      <c r="BA14" s="78"/>
      <c r="BB14" s="132" t="s">
        <v>1720</v>
      </c>
      <c r="BC14" s="133"/>
      <c r="BD14" s="132" t="str">
        <f>IF(OR(B14="",BC14=""),"",COUNTIF(BC$7:BC14,"√"))</f>
        <v/>
      </c>
      <c r="BE14" s="134" t="str">
        <f t="shared" si="16"/>
        <v/>
      </c>
      <c r="BF14" s="127" t="str">
        <f t="shared" si="17"/>
        <v/>
      </c>
      <c r="BG14" s="1335" t="str">
        <f t="shared" si="18"/>
        <v/>
      </c>
      <c r="BH14" s="1336"/>
      <c r="BI14" s="1337"/>
      <c r="BJ14" s="1338">
        <f t="shared" si="19"/>
        <v>0</v>
      </c>
      <c r="BK14" s="1336"/>
      <c r="BL14" s="1336"/>
      <c r="BM14" s="1336"/>
      <c r="BN14" s="1339"/>
      <c r="BO14" s="1336"/>
      <c r="BP14" s="1339"/>
      <c r="BR14" s="134" t="str">
        <f>IF(COUNTIF(BR$6:BR13,B14)&gt;0,"",B14)&amp;""</f>
        <v/>
      </c>
      <c r="BS14" s="138">
        <f t="shared" si="10"/>
        <v>0</v>
      </c>
      <c r="BT14" s="132">
        <f t="shared" si="11"/>
        <v>1</v>
      </c>
      <c r="BU14" s="138">
        <f t="shared" si="12"/>
        <v>0</v>
      </c>
      <c r="BV14" s="132">
        <f t="shared" si="13"/>
        <v>1</v>
      </c>
      <c r="BW14" s="147" t="s">
        <v>1659</v>
      </c>
      <c r="BX14" s="132" t="str">
        <f>CONCATENATE(BX9,BY9,BX10,BY10,BX11,BY11,BX12,BY12,BX13)</f>
        <v/>
      </c>
      <c r="BY14" s="132"/>
    </row>
    <row r="15" ht="15" customHeight="1" spans="1:77">
      <c r="A15" s="1329" t="str">
        <f>IF(B15="","",COUNT(A$6:A14)+1)</f>
        <v/>
      </c>
      <c r="B15" s="1340"/>
      <c r="C15" s="1341"/>
      <c r="D15" s="1340"/>
      <c r="E15" s="142"/>
      <c r="F15" s="127" t="str">
        <f>IFERROR(VLOOKUP(E15,参数表!$H$2:$I$50,2,FALSE),"")</f>
        <v/>
      </c>
      <c r="G15" s="128" t="str">
        <f t="shared" si="5"/>
        <v/>
      </c>
      <c r="H15" s="1342"/>
      <c r="I15" s="1343"/>
      <c r="J15" s="1332" t="str">
        <f t="shared" si="20"/>
        <v/>
      </c>
      <c r="K15" s="1332" t="str">
        <f t="shared" si="21"/>
        <v/>
      </c>
      <c r="L15" s="1332" t="str">
        <f t="shared" si="22"/>
        <v/>
      </c>
      <c r="M15" s="1332" t="str">
        <f t="shared" si="23"/>
        <v/>
      </c>
      <c r="N15" s="1339"/>
      <c r="BA15" s="78"/>
      <c r="BB15" s="132" t="s">
        <v>1721</v>
      </c>
      <c r="BC15" s="133"/>
      <c r="BD15" s="132" t="str">
        <f>IF(OR(B15="",BC15=""),"",COUNTIF(BC$7:BC15,"√"))</f>
        <v/>
      </c>
      <c r="BE15" s="134" t="str">
        <f t="shared" si="16"/>
        <v/>
      </c>
      <c r="BF15" s="127" t="str">
        <f t="shared" si="17"/>
        <v/>
      </c>
      <c r="BG15" s="1335" t="str">
        <f t="shared" si="18"/>
        <v/>
      </c>
      <c r="BH15" s="1336"/>
      <c r="BI15" s="1337"/>
      <c r="BJ15" s="1338">
        <f t="shared" si="19"/>
        <v>0</v>
      </c>
      <c r="BK15" s="1336"/>
      <c r="BL15" s="1336"/>
      <c r="BM15" s="1336"/>
      <c r="BN15" s="1339"/>
      <c r="BO15" s="1336"/>
      <c r="BP15" s="1339"/>
      <c r="BR15" s="134" t="str">
        <f>IF(COUNTIF(BR$6:BR14,B15)&gt;0,"",B15)&amp;""</f>
        <v/>
      </c>
      <c r="BS15" s="138">
        <f t="shared" si="10"/>
        <v>0</v>
      </c>
      <c r="BT15" s="132">
        <f t="shared" si="11"/>
        <v>1</v>
      </c>
      <c r="BU15" s="138">
        <f t="shared" si="12"/>
        <v>0</v>
      </c>
      <c r="BV15" s="132">
        <f t="shared" si="13"/>
        <v>1</v>
      </c>
      <c r="BW15" s="133"/>
      <c r="BX15" s="133"/>
    </row>
    <row r="16" ht="15" customHeight="1" spans="1:77">
      <c r="A16" s="1329" t="str">
        <f>IF(B16="","",COUNT(A$6:A15)+1)</f>
        <v/>
      </c>
      <c r="B16" s="1340"/>
      <c r="C16" s="1341"/>
      <c r="D16" s="1340"/>
      <c r="E16" s="142"/>
      <c r="F16" s="127" t="str">
        <f>IFERROR(VLOOKUP(E16,参数表!$H$2:$I$50,2,FALSE),"")</f>
        <v/>
      </c>
      <c r="G16" s="128" t="str">
        <f t="shared" si="5"/>
        <v/>
      </c>
      <c r="H16" s="1342"/>
      <c r="I16" s="1343"/>
      <c r="J16" s="1332" t="str">
        <f t="shared" si="20"/>
        <v/>
      </c>
      <c r="K16" s="1332" t="str">
        <f t="shared" si="21"/>
        <v/>
      </c>
      <c r="L16" s="1332" t="str">
        <f t="shared" si="22"/>
        <v/>
      </c>
      <c r="M16" s="1332" t="str">
        <f t="shared" si="23"/>
        <v/>
      </c>
      <c r="N16" s="1339"/>
      <c r="BA16" s="78"/>
      <c r="BB16" s="132" t="s">
        <v>1722</v>
      </c>
      <c r="BC16" s="133"/>
      <c r="BD16" s="132" t="str">
        <f>IF(OR(B16="",BC16=""),"",COUNTIF(BC$7:BC16,"√"))</f>
        <v/>
      </c>
      <c r="BE16" s="134" t="str">
        <f t="shared" si="16"/>
        <v/>
      </c>
      <c r="BF16" s="127" t="str">
        <f t="shared" si="17"/>
        <v/>
      </c>
      <c r="BG16" s="1335" t="str">
        <f t="shared" si="18"/>
        <v/>
      </c>
      <c r="BH16" s="1336"/>
      <c r="BI16" s="1337"/>
      <c r="BJ16" s="1338">
        <f t="shared" si="19"/>
        <v>0</v>
      </c>
      <c r="BK16" s="1336"/>
      <c r="BL16" s="1336"/>
      <c r="BM16" s="1336"/>
      <c r="BN16" s="1339"/>
      <c r="BO16" s="1336"/>
      <c r="BP16" s="1339"/>
      <c r="BR16" s="134" t="str">
        <f>IF(COUNTIF(BR$6:BR15,B16)&gt;0,"",B16)&amp;""</f>
        <v/>
      </c>
      <c r="BS16" s="138">
        <f t="shared" si="10"/>
        <v>0</v>
      </c>
      <c r="BT16" s="132">
        <f t="shared" si="11"/>
        <v>1</v>
      </c>
      <c r="BU16" s="138">
        <f t="shared" si="12"/>
        <v>0</v>
      </c>
      <c r="BV16" s="132">
        <f t="shared" si="13"/>
        <v>1</v>
      </c>
      <c r="BW16" s="133"/>
      <c r="BX16" s="148"/>
    </row>
    <row r="17" ht="15" customHeight="1" spans="1:76">
      <c r="A17" s="1329" t="str">
        <f>IF(B17="","",COUNT(A$6:A16)+1)</f>
        <v/>
      </c>
      <c r="B17" s="1340"/>
      <c r="C17" s="1341"/>
      <c r="D17" s="1340"/>
      <c r="E17" s="142"/>
      <c r="F17" s="127" t="str">
        <f>IFERROR(VLOOKUP(E17,参数表!$H$2:$I$50,2,FALSE),"")</f>
        <v/>
      </c>
      <c r="G17" s="128" t="str">
        <f t="shared" si="5"/>
        <v/>
      </c>
      <c r="H17" s="1342"/>
      <c r="I17" s="1343"/>
      <c r="J17" s="1332" t="str">
        <f t="shared" si="6"/>
        <v/>
      </c>
      <c r="K17" s="1332" t="str">
        <f t="shared" si="7"/>
        <v/>
      </c>
      <c r="L17" s="1332" t="str">
        <f t="shared" ref="L17:L25" si="24">IFERROR(K17-J17,"")</f>
        <v/>
      </c>
      <c r="M17" s="1332" t="str">
        <f t="shared" ref="M17:M25" si="25">IFERROR(L17/J17*100,"")</f>
        <v/>
      </c>
      <c r="N17" s="1339"/>
      <c r="BA17" s="78"/>
      <c r="BB17" s="132" t="s">
        <v>1723</v>
      </c>
      <c r="BC17" s="133"/>
      <c r="BD17" s="132" t="str">
        <f>IF(OR(B17="",BC17=""),"",COUNTIF(BC$7:BC17,"√"))</f>
        <v/>
      </c>
      <c r="BE17" s="134" t="str">
        <f t="shared" si="8"/>
        <v/>
      </c>
      <c r="BF17" s="127" t="str">
        <f t="shared" ref="BF17:BF26" si="26">IF(B17="","",IF(BF$5=0,"OK","出错"))</f>
        <v/>
      </c>
      <c r="BG17" s="1335" t="str">
        <f t="shared" ref="BG17:BG26" si="27">IF(B17="","",IF(BG$5=0,"OK","出错"))</f>
        <v/>
      </c>
      <c r="BH17" s="1336"/>
      <c r="BI17" s="1337"/>
      <c r="BJ17" s="1338">
        <f t="shared" si="9"/>
        <v>0</v>
      </c>
      <c r="BK17" s="1336"/>
      <c r="BL17" s="1336"/>
      <c r="BM17" s="1336"/>
      <c r="BN17" s="1339"/>
      <c r="BO17" s="1336"/>
      <c r="BP17" s="1339"/>
      <c r="BR17" s="134" t="str">
        <f>IF(COUNTIF(BR$6:BR16,B17)&gt;0,"",B17)&amp;""</f>
        <v/>
      </c>
      <c r="BS17" s="138">
        <f t="shared" si="10"/>
        <v>0</v>
      </c>
      <c r="BT17" s="132">
        <f t="shared" si="11"/>
        <v>1</v>
      </c>
      <c r="BU17" s="138">
        <f t="shared" si="12"/>
        <v>0</v>
      </c>
      <c r="BV17" s="132">
        <f t="shared" si="13"/>
        <v>1</v>
      </c>
      <c r="BW17" s="133"/>
      <c r="BX17" s="133"/>
    </row>
    <row r="18" ht="15" customHeight="1" spans="1:76">
      <c r="A18" s="1329" t="str">
        <f>IF(B18="","",COUNT(A$6:A17)+1)</f>
        <v/>
      </c>
      <c r="B18" s="1340"/>
      <c r="C18" s="1341"/>
      <c r="D18" s="1340"/>
      <c r="E18" s="142"/>
      <c r="F18" s="127" t="str">
        <f>IFERROR(VLOOKUP(E18,参数表!$H$2:$I$50,2,FALSE),"")</f>
        <v/>
      </c>
      <c r="G18" s="128" t="str">
        <f t="shared" si="5"/>
        <v/>
      </c>
      <c r="H18" s="1342"/>
      <c r="I18" s="1343"/>
      <c r="J18" s="1332" t="str">
        <f t="shared" si="6"/>
        <v/>
      </c>
      <c r="K18" s="1332" t="str">
        <f t="shared" si="7"/>
        <v/>
      </c>
      <c r="L18" s="1332" t="str">
        <f t="shared" si="24"/>
        <v/>
      </c>
      <c r="M18" s="1332" t="str">
        <f t="shared" si="25"/>
        <v/>
      </c>
      <c r="N18" s="1339"/>
      <c r="BA18" s="78"/>
      <c r="BB18" s="132" t="s">
        <v>1724</v>
      </c>
      <c r="BC18" s="133"/>
      <c r="BD18" s="132" t="str">
        <f>IF(OR(B18="",BC18=""),"",COUNTIF(BC$7:BC18,"√"))</f>
        <v/>
      </c>
      <c r="BE18" s="134" t="str">
        <f t="shared" si="8"/>
        <v/>
      </c>
      <c r="BF18" s="127" t="str">
        <f t="shared" si="26"/>
        <v/>
      </c>
      <c r="BG18" s="1335" t="str">
        <f t="shared" si="27"/>
        <v/>
      </c>
      <c r="BH18" s="1336"/>
      <c r="BI18" s="1337"/>
      <c r="BJ18" s="1338">
        <f t="shared" si="9"/>
        <v>0</v>
      </c>
      <c r="BK18" s="1336"/>
      <c r="BL18" s="1336"/>
      <c r="BM18" s="1336"/>
      <c r="BN18" s="1339"/>
      <c r="BO18" s="1336"/>
      <c r="BP18" s="1339"/>
      <c r="BR18" s="134" t="str">
        <f>IF(COUNTIF(BR$6:BR17,B18)&gt;0,"",B18)&amp;""</f>
        <v/>
      </c>
      <c r="BS18" s="138">
        <f t="shared" si="10"/>
        <v>0</v>
      </c>
      <c r="BT18" s="132">
        <f t="shared" si="11"/>
        <v>1</v>
      </c>
      <c r="BU18" s="138">
        <f t="shared" si="12"/>
        <v>0</v>
      </c>
      <c r="BV18" s="132">
        <f t="shared" si="13"/>
        <v>1</v>
      </c>
      <c r="BW18" s="133"/>
      <c r="BX18" s="133"/>
    </row>
    <row r="19" ht="15" customHeight="1" spans="1:76">
      <c r="A19" s="1329" t="str">
        <f>IF(B19="","",COUNT(A$6:A18)+1)</f>
        <v/>
      </c>
      <c r="B19" s="1340"/>
      <c r="C19" s="1341"/>
      <c r="D19" s="1340"/>
      <c r="E19" s="142"/>
      <c r="F19" s="127" t="str">
        <f>IFERROR(VLOOKUP(E19,参数表!$H$2:$I$50,2,FALSE),"")</f>
        <v/>
      </c>
      <c r="G19" s="128" t="str">
        <f t="shared" si="5"/>
        <v/>
      </c>
      <c r="H19" s="1342"/>
      <c r="I19" s="1343"/>
      <c r="J19" s="1332" t="str">
        <f t="shared" si="6"/>
        <v/>
      </c>
      <c r="K19" s="1332" t="str">
        <f t="shared" si="7"/>
        <v/>
      </c>
      <c r="L19" s="1332" t="str">
        <f t="shared" si="24"/>
        <v/>
      </c>
      <c r="M19" s="1332" t="str">
        <f t="shared" si="25"/>
        <v/>
      </c>
      <c r="N19" s="1339"/>
      <c r="BA19" s="78"/>
      <c r="BB19" s="132" t="s">
        <v>1725</v>
      </c>
      <c r="BC19" s="133"/>
      <c r="BD19" s="132" t="str">
        <f>IF(OR(B19="",BC19=""),"",COUNTIF(BC$7:BC19,"√"))</f>
        <v/>
      </c>
      <c r="BE19" s="134" t="str">
        <f t="shared" si="8"/>
        <v/>
      </c>
      <c r="BF19" s="127" t="str">
        <f t="shared" si="26"/>
        <v/>
      </c>
      <c r="BG19" s="1335" t="str">
        <f t="shared" si="27"/>
        <v/>
      </c>
      <c r="BH19" s="1336"/>
      <c r="BI19" s="1337"/>
      <c r="BJ19" s="1338">
        <f t="shared" si="9"/>
        <v>0</v>
      </c>
      <c r="BK19" s="1336"/>
      <c r="BL19" s="1336"/>
      <c r="BM19" s="1336"/>
      <c r="BN19" s="1339"/>
      <c r="BO19" s="1336"/>
      <c r="BP19" s="1339"/>
      <c r="BR19" s="134" t="str">
        <f>IF(COUNTIF(BR$6:BR18,B19)&gt;0,"",B19)&amp;""</f>
        <v/>
      </c>
      <c r="BS19" s="138">
        <f t="shared" si="10"/>
        <v>0</v>
      </c>
      <c r="BT19" s="132">
        <f t="shared" si="11"/>
        <v>1</v>
      </c>
      <c r="BU19" s="138">
        <f t="shared" si="12"/>
        <v>0</v>
      </c>
      <c r="BV19" s="132">
        <f t="shared" si="13"/>
        <v>1</v>
      </c>
      <c r="BW19" s="133"/>
      <c r="BX19" s="133"/>
    </row>
    <row r="20" ht="15" customHeight="1" spans="1:76">
      <c r="A20" s="1329" t="str">
        <f>IF(B20="","",COUNT(A$6:A19)+1)</f>
        <v/>
      </c>
      <c r="B20" s="1340"/>
      <c r="C20" s="1341"/>
      <c r="D20" s="1340"/>
      <c r="E20" s="142"/>
      <c r="F20" s="127" t="str">
        <f>IFERROR(VLOOKUP(E20,参数表!$H$2:$I$50,2,FALSE),"")</f>
        <v/>
      </c>
      <c r="G20" s="128" t="str">
        <f t="shared" si="5"/>
        <v/>
      </c>
      <c r="H20" s="1342"/>
      <c r="I20" s="1343"/>
      <c r="J20" s="1332" t="str">
        <f t="shared" si="6"/>
        <v/>
      </c>
      <c r="K20" s="1332" t="str">
        <f t="shared" si="7"/>
        <v/>
      </c>
      <c r="L20" s="1332" t="str">
        <f t="shared" si="24"/>
        <v/>
      </c>
      <c r="M20" s="1332" t="str">
        <f t="shared" si="25"/>
        <v/>
      </c>
      <c r="N20" s="1339"/>
      <c r="BA20" s="78"/>
      <c r="BB20" s="132" t="s">
        <v>1726</v>
      </c>
      <c r="BC20" s="133"/>
      <c r="BD20" s="132" t="str">
        <f>IF(OR(B20="",BC20=""),"",COUNTIF(BC$7:BC20,"√"))</f>
        <v/>
      </c>
      <c r="BE20" s="134" t="str">
        <f t="shared" si="8"/>
        <v/>
      </c>
      <c r="BF20" s="127" t="str">
        <f t="shared" si="26"/>
        <v/>
      </c>
      <c r="BG20" s="1335" t="str">
        <f t="shared" si="27"/>
        <v/>
      </c>
      <c r="BH20" s="1336"/>
      <c r="BI20" s="1337"/>
      <c r="BJ20" s="1338">
        <f t="shared" si="9"/>
        <v>0</v>
      </c>
      <c r="BK20" s="1336"/>
      <c r="BL20" s="1336"/>
      <c r="BM20" s="1336"/>
      <c r="BN20" s="1339"/>
      <c r="BO20" s="1336"/>
      <c r="BP20" s="1339"/>
      <c r="BR20" s="134" t="str">
        <f>IF(COUNTIF(BR$6:BR19,B20)&gt;0,"",B20)&amp;""</f>
        <v/>
      </c>
      <c r="BS20" s="138">
        <f t="shared" si="10"/>
        <v>0</v>
      </c>
      <c r="BT20" s="132">
        <f t="shared" si="11"/>
        <v>1</v>
      </c>
      <c r="BU20" s="138">
        <f t="shared" si="12"/>
        <v>0</v>
      </c>
      <c r="BV20" s="132">
        <f t="shared" si="13"/>
        <v>1</v>
      </c>
      <c r="BW20" s="133"/>
      <c r="BX20" s="133"/>
    </row>
    <row r="21" ht="15" customHeight="1" spans="1:76">
      <c r="A21" s="1329" t="str">
        <f>IF(B21="","",COUNT(A$6:A20)+1)</f>
        <v/>
      </c>
      <c r="B21" s="1340"/>
      <c r="C21" s="1341"/>
      <c r="D21" s="1340"/>
      <c r="E21" s="142"/>
      <c r="F21" s="127" t="str">
        <f>IFERROR(VLOOKUP(E21,参数表!$H$2:$I$50,2,FALSE),"")</f>
        <v/>
      </c>
      <c r="G21" s="128" t="str">
        <f t="shared" si="5"/>
        <v/>
      </c>
      <c r="H21" s="1342"/>
      <c r="I21" s="1343"/>
      <c r="J21" s="1332" t="str">
        <f t="shared" si="6"/>
        <v/>
      </c>
      <c r="K21" s="1332" t="str">
        <f t="shared" si="7"/>
        <v/>
      </c>
      <c r="L21" s="1332" t="str">
        <f t="shared" si="24"/>
        <v/>
      </c>
      <c r="M21" s="1332" t="str">
        <f t="shared" si="25"/>
        <v/>
      </c>
      <c r="N21" s="1339"/>
      <c r="BA21" s="78"/>
      <c r="BB21" s="132" t="s">
        <v>1727</v>
      </c>
      <c r="BC21" s="133"/>
      <c r="BD21" s="132" t="str">
        <f>IF(OR(B21="",BC21=""),"",COUNTIF(BC$7:BC21,"√"))</f>
        <v/>
      </c>
      <c r="BE21" s="134" t="str">
        <f t="shared" si="8"/>
        <v/>
      </c>
      <c r="BF21" s="127" t="str">
        <f t="shared" si="26"/>
        <v/>
      </c>
      <c r="BG21" s="1335" t="str">
        <f t="shared" si="27"/>
        <v/>
      </c>
      <c r="BH21" s="1336"/>
      <c r="BI21" s="1337"/>
      <c r="BJ21" s="1338">
        <f t="shared" si="9"/>
        <v>0</v>
      </c>
      <c r="BK21" s="1336"/>
      <c r="BL21" s="1336"/>
      <c r="BM21" s="1336"/>
      <c r="BN21" s="1339"/>
      <c r="BO21" s="1336"/>
      <c r="BP21" s="1339"/>
      <c r="BR21" s="134" t="str">
        <f>IF(COUNTIF(BR$6:BR20,B21)&gt;0,"",B21)&amp;""</f>
        <v/>
      </c>
      <c r="BS21" s="138">
        <f t="shared" si="10"/>
        <v>0</v>
      </c>
      <c r="BT21" s="132">
        <f t="shared" si="11"/>
        <v>1</v>
      </c>
      <c r="BU21" s="138">
        <f t="shared" si="12"/>
        <v>0</v>
      </c>
      <c r="BV21" s="132">
        <f t="shared" si="13"/>
        <v>1</v>
      </c>
      <c r="BW21" s="133"/>
      <c r="BX21" s="133"/>
    </row>
    <row r="22" ht="15" customHeight="1" spans="1:76">
      <c r="A22" s="1329" t="str">
        <f>IF(B22="","",COUNT(A$6:A21)+1)</f>
        <v/>
      </c>
      <c r="B22" s="1340"/>
      <c r="C22" s="1341"/>
      <c r="D22" s="1340"/>
      <c r="E22" s="142"/>
      <c r="F22" s="127" t="str">
        <f>IFERROR(VLOOKUP(E22,参数表!$H$2:$I$50,2,FALSE),"")</f>
        <v/>
      </c>
      <c r="G22" s="128" t="str">
        <f t="shared" si="5"/>
        <v/>
      </c>
      <c r="H22" s="1342"/>
      <c r="I22" s="1343"/>
      <c r="J22" s="1332" t="str">
        <f t="shared" si="6"/>
        <v/>
      </c>
      <c r="K22" s="1332" t="str">
        <f t="shared" si="7"/>
        <v/>
      </c>
      <c r="L22" s="1332" t="str">
        <f t="shared" si="24"/>
        <v/>
      </c>
      <c r="M22" s="1332" t="str">
        <f t="shared" si="25"/>
        <v/>
      </c>
      <c r="N22" s="1339"/>
      <c r="BA22" s="78"/>
      <c r="BB22" s="132" t="s">
        <v>1728</v>
      </c>
      <c r="BC22" s="133"/>
      <c r="BD22" s="132" t="str">
        <f>IF(OR(B22="",BC22=""),"",COUNTIF(BC$7:BC22,"√"))</f>
        <v/>
      </c>
      <c r="BE22" s="134" t="str">
        <f t="shared" si="8"/>
        <v/>
      </c>
      <c r="BF22" s="127" t="str">
        <f t="shared" si="26"/>
        <v/>
      </c>
      <c r="BG22" s="1335" t="str">
        <f t="shared" si="27"/>
        <v/>
      </c>
      <c r="BH22" s="1336"/>
      <c r="BI22" s="1337"/>
      <c r="BJ22" s="1338">
        <f t="shared" si="9"/>
        <v>0</v>
      </c>
      <c r="BK22" s="1336"/>
      <c r="BL22" s="1336"/>
      <c r="BM22" s="1336"/>
      <c r="BN22" s="1339"/>
      <c r="BO22" s="1336"/>
      <c r="BP22" s="1339"/>
      <c r="BR22" s="134" t="str">
        <f>IF(COUNTIF(BR$6:BR21,B22)&gt;0,"",B22)&amp;""</f>
        <v/>
      </c>
      <c r="BS22" s="138">
        <f t="shared" si="10"/>
        <v>0</v>
      </c>
      <c r="BT22" s="132">
        <f t="shared" si="11"/>
        <v>1</v>
      </c>
      <c r="BU22" s="138">
        <f t="shared" si="12"/>
        <v>0</v>
      </c>
      <c r="BV22" s="132">
        <f t="shared" si="13"/>
        <v>1</v>
      </c>
      <c r="BW22" s="133"/>
      <c r="BX22" s="133"/>
    </row>
    <row r="23" ht="15" customHeight="1" spans="1:76">
      <c r="A23" s="1329" t="str">
        <f>IF(B23="","",COUNT(A$6:A22)+1)</f>
        <v/>
      </c>
      <c r="B23" s="1340"/>
      <c r="C23" s="1341"/>
      <c r="D23" s="1340"/>
      <c r="E23" s="142"/>
      <c r="F23" s="127" t="str">
        <f>IFERROR(VLOOKUP(E23,参数表!$H$2:$I$50,2,FALSE),"")</f>
        <v/>
      </c>
      <c r="G23" s="128" t="str">
        <f t="shared" si="5"/>
        <v/>
      </c>
      <c r="H23" s="1342"/>
      <c r="I23" s="1343"/>
      <c r="J23" s="1332" t="str">
        <f t="shared" si="6"/>
        <v/>
      </c>
      <c r="K23" s="1332" t="str">
        <f t="shared" si="7"/>
        <v/>
      </c>
      <c r="L23" s="1332" t="str">
        <f t="shared" si="24"/>
        <v/>
      </c>
      <c r="M23" s="1332" t="str">
        <f t="shared" si="25"/>
        <v/>
      </c>
      <c r="N23" s="1339"/>
      <c r="BA23" s="78"/>
      <c r="BB23" s="132" t="s">
        <v>1729</v>
      </c>
      <c r="BC23" s="133"/>
      <c r="BD23" s="132" t="str">
        <f>IF(OR(B23="",BC23=""),"",COUNTIF(BC$7:BC23,"√"))</f>
        <v/>
      </c>
      <c r="BE23" s="134" t="str">
        <f t="shared" si="8"/>
        <v/>
      </c>
      <c r="BF23" s="127" t="str">
        <f t="shared" si="26"/>
        <v/>
      </c>
      <c r="BG23" s="1335" t="str">
        <f t="shared" si="27"/>
        <v/>
      </c>
      <c r="BH23" s="1336"/>
      <c r="BI23" s="1337"/>
      <c r="BJ23" s="1338">
        <f t="shared" si="9"/>
        <v>0</v>
      </c>
      <c r="BK23" s="1336"/>
      <c r="BL23" s="1336"/>
      <c r="BM23" s="1336"/>
      <c r="BN23" s="1339"/>
      <c r="BO23" s="1336"/>
      <c r="BP23" s="1339"/>
      <c r="BR23" s="134" t="str">
        <f>IF(COUNTIF(BR$6:BR22,B23)&gt;0,"",B23)&amp;""</f>
        <v/>
      </c>
      <c r="BS23" s="138">
        <f t="shared" si="10"/>
        <v>0</v>
      </c>
      <c r="BT23" s="132">
        <f t="shared" si="11"/>
        <v>1</v>
      </c>
      <c r="BU23" s="138">
        <f t="shared" si="12"/>
        <v>0</v>
      </c>
      <c r="BV23" s="132">
        <f t="shared" si="13"/>
        <v>1</v>
      </c>
      <c r="BW23" s="133"/>
      <c r="BX23" s="133"/>
    </row>
    <row r="24" ht="15" customHeight="1" spans="1:76">
      <c r="A24" s="1329" t="str">
        <f>IF(B24="","",COUNT(A$6:A23)+1)</f>
        <v/>
      </c>
      <c r="B24" s="1340"/>
      <c r="C24" s="1341"/>
      <c r="D24" s="1340"/>
      <c r="E24" s="142"/>
      <c r="F24" s="127" t="str">
        <f>IFERROR(VLOOKUP(E24,参数表!$H$2:$I$50,2,FALSE),"")</f>
        <v/>
      </c>
      <c r="G24" s="128" t="str">
        <f t="shared" si="5"/>
        <v/>
      </c>
      <c r="H24" s="1342"/>
      <c r="I24" s="1343"/>
      <c r="J24" s="1332" t="str">
        <f t="shared" si="6"/>
        <v/>
      </c>
      <c r="K24" s="1332" t="str">
        <f t="shared" si="7"/>
        <v/>
      </c>
      <c r="L24" s="1332" t="str">
        <f t="shared" si="24"/>
        <v/>
      </c>
      <c r="M24" s="1332" t="str">
        <f t="shared" si="25"/>
        <v/>
      </c>
      <c r="N24" s="1339"/>
      <c r="BA24" s="78"/>
      <c r="BB24" s="132" t="s">
        <v>1730</v>
      </c>
      <c r="BC24" s="133"/>
      <c r="BD24" s="132" t="str">
        <f>IF(OR(B24="",BC24=""),"",COUNTIF(BC$7:BC24,"√"))</f>
        <v/>
      </c>
      <c r="BE24" s="134" t="str">
        <f t="shared" si="8"/>
        <v/>
      </c>
      <c r="BF24" s="127" t="str">
        <f t="shared" si="26"/>
        <v/>
      </c>
      <c r="BG24" s="1335" t="str">
        <f t="shared" si="27"/>
        <v/>
      </c>
      <c r="BH24" s="1336"/>
      <c r="BI24" s="1337"/>
      <c r="BJ24" s="1338">
        <f t="shared" si="9"/>
        <v>0</v>
      </c>
      <c r="BK24" s="1336"/>
      <c r="BL24" s="1336"/>
      <c r="BM24" s="1336"/>
      <c r="BN24" s="1339"/>
      <c r="BO24" s="1336"/>
      <c r="BP24" s="1339"/>
      <c r="BR24" s="134" t="str">
        <f>IF(COUNTIF(BR$6:BR23,B24)&gt;0,"",B24)&amp;""</f>
        <v/>
      </c>
      <c r="BS24" s="138">
        <f t="shared" si="10"/>
        <v>0</v>
      </c>
      <c r="BT24" s="132">
        <f t="shared" si="11"/>
        <v>1</v>
      </c>
      <c r="BU24" s="138">
        <f t="shared" si="12"/>
        <v>0</v>
      </c>
      <c r="BV24" s="132">
        <f t="shared" si="13"/>
        <v>1</v>
      </c>
      <c r="BW24" s="133"/>
      <c r="BX24" s="133"/>
    </row>
    <row r="25" ht="15" customHeight="1" spans="1:76">
      <c r="A25" s="1329" t="str">
        <f>IF(B25="","",COUNT(A$6:A24)+1)</f>
        <v/>
      </c>
      <c r="B25" s="1340"/>
      <c r="C25" s="1341"/>
      <c r="D25" s="1340"/>
      <c r="E25" s="142"/>
      <c r="F25" s="127" t="str">
        <f>IFERROR(VLOOKUP(E25,参数表!$H$2:$I$50,2,FALSE),"")</f>
        <v/>
      </c>
      <c r="G25" s="128" t="str">
        <f t="shared" si="5"/>
        <v/>
      </c>
      <c r="H25" s="1342"/>
      <c r="I25" s="1343"/>
      <c r="J25" s="1332" t="str">
        <f t="shared" si="6"/>
        <v/>
      </c>
      <c r="K25" s="1332" t="str">
        <f t="shared" si="7"/>
        <v/>
      </c>
      <c r="L25" s="1332" t="str">
        <f t="shared" si="24"/>
        <v/>
      </c>
      <c r="M25" s="1332" t="str">
        <f t="shared" si="25"/>
        <v/>
      </c>
      <c r="N25" s="1339"/>
      <c r="BA25" s="78"/>
      <c r="BB25" s="132" t="s">
        <v>1731</v>
      </c>
      <c r="BC25" s="133"/>
      <c r="BD25" s="132" t="str">
        <f>IF(OR(B25="",BC25=""),"",COUNTIF(BC$7:BC25,"√"))</f>
        <v/>
      </c>
      <c r="BE25" s="134" t="str">
        <f t="shared" si="8"/>
        <v/>
      </c>
      <c r="BF25" s="127" t="str">
        <f t="shared" si="26"/>
        <v/>
      </c>
      <c r="BG25" s="1335" t="str">
        <f t="shared" si="27"/>
        <v/>
      </c>
      <c r="BH25" s="1336"/>
      <c r="BI25" s="1337"/>
      <c r="BJ25" s="1338">
        <f t="shared" si="9"/>
        <v>0</v>
      </c>
      <c r="BK25" s="1336"/>
      <c r="BL25" s="1336"/>
      <c r="BM25" s="1336"/>
      <c r="BN25" s="1339"/>
      <c r="BO25" s="1336"/>
      <c r="BP25" s="1339"/>
      <c r="BR25" s="134" t="str">
        <f>IF(COUNTIF(BR$6:BR24,B25)&gt;0,"",B25)&amp;""</f>
        <v/>
      </c>
      <c r="BS25" s="138">
        <f t="shared" si="10"/>
        <v>0</v>
      </c>
      <c r="BT25" s="132">
        <f t="shared" si="11"/>
        <v>1</v>
      </c>
      <c r="BU25" s="138">
        <f t="shared" si="12"/>
        <v>0</v>
      </c>
      <c r="BV25" s="132">
        <f t="shared" si="13"/>
        <v>1</v>
      </c>
      <c r="BW25" s="133"/>
      <c r="BX25" s="133"/>
    </row>
    <row r="26" ht="15" customHeight="1" spans="1:76">
      <c r="A26" s="1329" t="str">
        <f>IF(B26="","",COUNT(A$6:A25)+1)</f>
        <v/>
      </c>
      <c r="B26" s="1330"/>
      <c r="C26" s="1331"/>
      <c r="D26" s="1330"/>
      <c r="E26" s="127"/>
      <c r="F26" s="127" t="str">
        <f>IFERROR(VLOOKUP(E26,参数表!$H$2:$I$50,2,FALSE),"")</f>
        <v/>
      </c>
      <c r="G26" s="128" t="str">
        <f t="shared" si="5"/>
        <v/>
      </c>
      <c r="H26" s="1332"/>
      <c r="I26" s="1333"/>
      <c r="J26" s="1332" t="str">
        <f t="shared" si="6"/>
        <v/>
      </c>
      <c r="K26" s="1332" t="str">
        <f t="shared" si="7"/>
        <v/>
      </c>
      <c r="L26" s="1332" t="str">
        <f t="shared" si="0"/>
        <v/>
      </c>
      <c r="M26" s="1332" t="str">
        <f t="shared" si="1"/>
        <v/>
      </c>
      <c r="N26" s="1334"/>
      <c r="BA26" s="78"/>
      <c r="BB26" s="132" t="s">
        <v>1732</v>
      </c>
      <c r="BC26" s="133"/>
      <c r="BD26" s="132" t="str">
        <f>IF(OR(B26="",BC26=""),"",COUNTIF(BC$7:BC26,"√"))</f>
        <v/>
      </c>
      <c r="BE26" s="134" t="str">
        <f t="shared" si="8"/>
        <v/>
      </c>
      <c r="BF26" s="127" t="str">
        <f t="shared" si="26"/>
        <v/>
      </c>
      <c r="BG26" s="1335" t="str">
        <f t="shared" si="27"/>
        <v/>
      </c>
      <c r="BH26" s="1336"/>
      <c r="BI26" s="1337"/>
      <c r="BJ26" s="1338">
        <f t="shared" si="9"/>
        <v>0</v>
      </c>
      <c r="BK26" s="1336"/>
      <c r="BL26" s="1336"/>
      <c r="BM26" s="1336"/>
      <c r="BN26" s="1339"/>
      <c r="BO26" s="1336"/>
      <c r="BP26" s="1339"/>
      <c r="BR26" s="134" t="str">
        <f>IF(COUNTIF(BR$6:BR25,B26)&gt;0,"",B26)&amp;""</f>
        <v/>
      </c>
      <c r="BS26" s="138">
        <f t="shared" si="10"/>
        <v>0</v>
      </c>
      <c r="BT26" s="132">
        <f t="shared" si="11"/>
        <v>1</v>
      </c>
      <c r="BU26" s="138">
        <f t="shared" si="12"/>
        <v>0</v>
      </c>
      <c r="BV26" s="132">
        <f t="shared" si="13"/>
        <v>1</v>
      </c>
      <c r="BW26" s="133"/>
      <c r="BX26" s="133"/>
    </row>
    <row r="27" s="111" customFormat="1" ht="15" customHeight="1" spans="1:76">
      <c r="A27" s="328" t="s">
        <v>1672</v>
      </c>
      <c r="B27" s="328"/>
      <c r="C27" s="328"/>
      <c r="D27" s="332"/>
      <c r="E27" s="332"/>
      <c r="F27" s="1344"/>
      <c r="G27" s="332"/>
      <c r="H27" s="331">
        <f>SUM(H7:H26)</f>
        <v>0</v>
      </c>
      <c r="I27" s="1345"/>
      <c r="J27" s="331">
        <f>SUM(J7:J26)</f>
        <v>0</v>
      </c>
      <c r="K27" s="331">
        <f>SUM(K7:K26)</f>
        <v>0</v>
      </c>
      <c r="L27" s="331">
        <f t="shared" si="0"/>
        <v>0</v>
      </c>
      <c r="M27" s="331" t="str">
        <f t="shared" si="1"/>
        <v/>
      </c>
      <c r="N27" s="332"/>
      <c r="BH27" s="119"/>
      <c r="BK27" s="119"/>
      <c r="BL27" s="119"/>
      <c r="BM27" s="119"/>
      <c r="BO27" s="119"/>
      <c r="BR27" s="119"/>
      <c r="BS27" s="77"/>
      <c r="BT27" s="77"/>
      <c r="BU27" s="77"/>
      <c r="BV27" s="119"/>
      <c r="BW27" s="119"/>
      <c r="BX27" s="119"/>
    </row>
    <row r="28" customHeight="1" spans="1:76">
      <c r="A28" s="299" t="str">
        <f>参数表!F$6</f>
        <v>产权持有单位填表人：贾广东</v>
      </c>
      <c r="B28" s="1346"/>
      <c r="C28" s="1346"/>
      <c r="D28" s="1346"/>
      <c r="E28" s="1346"/>
      <c r="F28" s="1346"/>
      <c r="G28" s="107"/>
      <c r="H28" s="966"/>
      <c r="I28" s="107"/>
      <c r="J28" s="107"/>
      <c r="K28" s="107" t="str">
        <f>"评估人员："&amp;封面!$G$20</f>
        <v>评估人员：栗祥宁</v>
      </c>
      <c r="L28" s="107"/>
      <c r="M28" s="107"/>
      <c r="N28" s="107"/>
      <c r="BC28" s="77"/>
      <c r="BF28" s="77"/>
      <c r="BG28" s="77"/>
      <c r="BJ28" s="77"/>
      <c r="BK28" s="78"/>
      <c r="BL28" s="78"/>
      <c r="BM28" s="78"/>
      <c r="BO28" s="78"/>
    </row>
    <row r="29" customHeight="1" spans="1:76">
      <c r="A29" s="299" t="str">
        <f>参数表!F$7</f>
        <v>填表日期：2025年9月20日</v>
      </c>
      <c r="B29" s="1346"/>
      <c r="C29" s="1346"/>
      <c r="D29" s="1346"/>
      <c r="E29" s="1346"/>
      <c r="F29" s="1346"/>
      <c r="G29" s="107"/>
      <c r="H29" s="966"/>
      <c r="I29" s="107"/>
      <c r="J29" s="107"/>
      <c r="K29" s="107"/>
      <c r="L29" s="107"/>
      <c r="M29" s="107"/>
      <c r="N29" s="107"/>
      <c r="BC29" s="77"/>
      <c r="BF29" s="77"/>
      <c r="BG29" s="77"/>
      <c r="BJ29" s="77"/>
      <c r="BK29" s="78"/>
      <c r="BL29" s="78"/>
      <c r="BM29" s="78"/>
      <c r="BO29" s="78"/>
    </row>
    <row r="30" hidden="1" customHeight="1" outlineLevel="1" spans="1:76">
      <c r="A30" s="1347"/>
      <c r="B30" s="154" t="s">
        <v>1673</v>
      </c>
      <c r="C30" s="1301"/>
      <c r="D30" s="1301"/>
      <c r="E30" s="1315"/>
      <c r="F30" s="1301"/>
      <c r="H30" s="1348">
        <f>SUMIF($BA7:$BA26,$BA30,H7:H26)</f>
        <v>0</v>
      </c>
      <c r="I30" s="1349"/>
      <c r="J30" s="1348">
        <f>SUMIF($BA7:$BA26,$BA30,J7:J26)</f>
        <v>0</v>
      </c>
      <c r="K30" s="1348">
        <f>SUMIF($BA7:$BA26,$BA30,K7:K26)</f>
        <v>0</v>
      </c>
      <c r="BA30" s="161" t="s">
        <v>1674</v>
      </c>
      <c r="BC30" s="77"/>
      <c r="BF30" s="77"/>
      <c r="BG30" s="77"/>
      <c r="BH30" s="161" t="s">
        <v>1675</v>
      </c>
      <c r="BJ30" s="77"/>
      <c r="BK30" s="161" t="s">
        <v>1675</v>
      </c>
      <c r="BL30" s="161" t="s">
        <v>1674</v>
      </c>
      <c r="BM30" s="161" t="s">
        <v>1674</v>
      </c>
      <c r="BO30" s="161" t="s">
        <v>1675</v>
      </c>
    </row>
    <row r="31" hidden="1" customHeight="1" outlineLevel="1" spans="1:76">
      <c r="A31" s="1347"/>
      <c r="B31" s="154" t="s">
        <v>1676</v>
      </c>
      <c r="C31" s="1301"/>
      <c r="D31" s="1301"/>
      <c r="E31" s="1315"/>
      <c r="F31" s="1301"/>
      <c r="H31" s="1348">
        <f>H27-H30</f>
        <v>0</v>
      </c>
      <c r="I31" s="1349"/>
      <c r="J31" s="1348">
        <f>J27-J30</f>
        <v>0</v>
      </c>
      <c r="K31" s="1348">
        <f>K27-K30</f>
        <v>0</v>
      </c>
      <c r="BA31" s="161" t="s">
        <v>1677</v>
      </c>
      <c r="BC31" s="77"/>
      <c r="BF31" s="77"/>
      <c r="BG31" s="77"/>
      <c r="BH31" s="161" t="s">
        <v>1678</v>
      </c>
      <c r="BJ31" s="77"/>
      <c r="BK31" s="161" t="s">
        <v>1678</v>
      </c>
      <c r="BL31" s="161" t="s">
        <v>1677</v>
      </c>
      <c r="BM31" s="161" t="s">
        <v>1677</v>
      </c>
      <c r="BO31" s="161" t="s">
        <v>1678</v>
      </c>
    </row>
    <row r="32" customHeight="1" collapsed="1" spans="1:76">
      <c r="A32" s="1347"/>
      <c r="B32" s="1301"/>
      <c r="C32" s="1301"/>
      <c r="D32" s="1301"/>
      <c r="E32" s="1315"/>
      <c r="F32" s="1301"/>
      <c r="BC32" s="77"/>
      <c r="BF32" s="77"/>
      <c r="BG32" s="77"/>
      <c r="BJ32" s="77"/>
      <c r="BK32" s="78"/>
      <c r="BL32" s="78"/>
      <c r="BM32" s="78"/>
      <c r="BO32" s="78"/>
    </row>
    <row r="33" customHeight="1" spans="1:67">
      <c r="A33" s="1347"/>
      <c r="B33" s="1301"/>
      <c r="C33" s="1301"/>
      <c r="D33" s="1301"/>
      <c r="E33" s="1315"/>
      <c r="F33" s="1301"/>
      <c r="BC33" s="77"/>
      <c r="BF33" s="77"/>
      <c r="BG33" s="77"/>
      <c r="BJ33" s="77"/>
      <c r="BK33" s="78"/>
      <c r="BL33" s="78"/>
      <c r="BM33" s="78"/>
      <c r="BO33" s="78"/>
    </row>
    <row r="34" customHeight="1" spans="1:67">
      <c r="A34" s="1347"/>
      <c r="B34" s="1301"/>
      <c r="C34" s="1301"/>
      <c r="D34" s="1301"/>
      <c r="E34" s="1315"/>
      <c r="F34" s="1301"/>
      <c r="BC34" s="77"/>
      <c r="BF34" s="77"/>
      <c r="BG34" s="77"/>
      <c r="BJ34" s="77"/>
      <c r="BK34" s="78"/>
      <c r="BL34" s="78"/>
      <c r="BM34" s="78"/>
      <c r="BO34" s="78"/>
    </row>
    <row r="35" customHeight="1" spans="1:67">
      <c r="A35" s="1347"/>
      <c r="B35" s="1301"/>
      <c r="C35" s="1301"/>
      <c r="D35" s="1301"/>
      <c r="E35" s="1315"/>
      <c r="F35" s="1301"/>
      <c r="BC35" s="77"/>
      <c r="BF35" s="77"/>
      <c r="BG35" s="77"/>
      <c r="BJ35" s="77"/>
      <c r="BK35" s="78"/>
      <c r="BL35" s="78"/>
      <c r="BM35" s="78"/>
      <c r="BO35" s="78"/>
    </row>
    <row r="36" customHeight="1" spans="1:67">
      <c r="A36" s="1347"/>
      <c r="B36" s="1301"/>
      <c r="C36" s="1301"/>
      <c r="D36" s="1301"/>
      <c r="E36" s="1315"/>
      <c r="F36" s="1301"/>
      <c r="BC36" s="77"/>
      <c r="BF36" s="77"/>
      <c r="BG36" s="77"/>
      <c r="BJ36" s="77"/>
      <c r="BK36" s="78"/>
      <c r="BL36" s="78"/>
      <c r="BM36" s="78"/>
      <c r="BO36" s="78"/>
    </row>
    <row r="37" customHeight="1" spans="1:67">
      <c r="A37" s="1347"/>
      <c r="B37" s="1301"/>
      <c r="C37" s="1301"/>
      <c r="D37" s="1301"/>
      <c r="E37" s="1315"/>
      <c r="F37" s="1301"/>
      <c r="BC37" s="77"/>
      <c r="BF37" s="77"/>
      <c r="BG37" s="77"/>
      <c r="BJ37" s="77"/>
      <c r="BK37" s="78"/>
      <c r="BL37" s="78"/>
      <c r="BM37" s="78"/>
      <c r="BO37" s="78"/>
    </row>
    <row r="38" customHeight="1" spans="1:67">
      <c r="E38" s="1315"/>
      <c r="BC38" s="77"/>
      <c r="BF38" s="77"/>
      <c r="BG38" s="77"/>
      <c r="BJ38" s="77"/>
      <c r="BK38" s="78"/>
      <c r="BL38" s="78"/>
      <c r="BM38" s="78"/>
      <c r="BO38" s="78"/>
    </row>
    <row r="39" customHeight="1" spans="1:67">
      <c r="E39" s="1315"/>
      <c r="BC39" s="77"/>
      <c r="BF39" s="77"/>
      <c r="BG39" s="77"/>
      <c r="BJ39" s="77"/>
      <c r="BK39" s="78"/>
      <c r="BL39" s="78"/>
      <c r="BM39" s="78"/>
      <c r="BO39" s="78"/>
    </row>
    <row r="40" customHeight="1" spans="1:67">
      <c r="E40" s="1315"/>
      <c r="BC40" s="77"/>
      <c r="BF40" s="77"/>
      <c r="BG40" s="77"/>
      <c r="BJ40" s="77"/>
      <c r="BK40" s="78"/>
      <c r="BL40" s="78"/>
      <c r="BM40" s="78"/>
      <c r="BO40" s="78"/>
    </row>
    <row r="41" customHeight="1" spans="1:67">
      <c r="E41" s="1315"/>
      <c r="BC41" s="77"/>
      <c r="BF41" s="77"/>
      <c r="BG41" s="77"/>
      <c r="BJ41" s="77"/>
      <c r="BK41" s="78"/>
      <c r="BL41" s="78"/>
      <c r="BM41" s="78"/>
      <c r="BO41" s="78"/>
    </row>
    <row r="42" customHeight="1" spans="1:67">
      <c r="E42" s="1315"/>
      <c r="BC42" s="77"/>
      <c r="BF42" s="77"/>
      <c r="BG42" s="77"/>
      <c r="BJ42" s="77"/>
      <c r="BK42" s="78"/>
      <c r="BL42" s="78"/>
      <c r="BM42" s="78"/>
      <c r="BO42" s="78"/>
    </row>
    <row r="43" customHeight="1" spans="1:67">
      <c r="E43" s="1315"/>
      <c r="BC43" s="77"/>
      <c r="BF43" s="77"/>
      <c r="BG43" s="77"/>
      <c r="BJ43" s="77"/>
      <c r="BK43" s="78"/>
      <c r="BL43" s="78"/>
      <c r="BM43" s="78"/>
      <c r="BO43" s="78"/>
    </row>
    <row r="44" customHeight="1" spans="1:67">
      <c r="E44" s="1315"/>
      <c r="BC44" s="77"/>
      <c r="BF44" s="77"/>
      <c r="BG44" s="77"/>
      <c r="BJ44" s="77"/>
      <c r="BK44" s="78"/>
      <c r="BL44" s="78"/>
      <c r="BM44" s="78"/>
      <c r="BO44" s="78"/>
    </row>
    <row r="45" customHeight="1" spans="1:67">
      <c r="E45" s="1315"/>
      <c r="BC45" s="77"/>
      <c r="BF45" s="77"/>
      <c r="BG45" s="77"/>
      <c r="BJ45" s="77"/>
      <c r="BK45" s="78"/>
      <c r="BL45" s="78"/>
      <c r="BM45" s="78"/>
      <c r="BO45" s="78"/>
    </row>
    <row r="46" customHeight="1" spans="1:67">
      <c r="E46" s="1315"/>
      <c r="BC46" s="77"/>
      <c r="BF46" s="77"/>
      <c r="BG46" s="77"/>
      <c r="BJ46" s="77"/>
      <c r="BK46" s="78"/>
      <c r="BL46" s="78"/>
      <c r="BM46" s="78"/>
      <c r="BO46" s="78"/>
    </row>
    <row r="47" customHeight="1" spans="1:67">
      <c r="E47" s="1315"/>
      <c r="BC47" s="77"/>
      <c r="BF47" s="77"/>
      <c r="BG47" s="77"/>
      <c r="BJ47" s="77"/>
      <c r="BK47" s="78"/>
      <c r="BL47" s="78"/>
      <c r="BM47" s="78"/>
      <c r="BO47" s="78"/>
    </row>
    <row r="48" customHeight="1" spans="1:67">
      <c r="E48" s="1315"/>
      <c r="BC48" s="77"/>
      <c r="BF48" s="77"/>
      <c r="BG48" s="77"/>
      <c r="BJ48" s="77"/>
      <c r="BK48" s="78"/>
      <c r="BL48" s="78"/>
      <c r="BM48" s="78"/>
      <c r="BO48" s="78"/>
    </row>
    <row r="49" customHeight="1" spans="5:67">
      <c r="E49" s="1315"/>
      <c r="BC49" s="77"/>
      <c r="BF49" s="77"/>
      <c r="BG49" s="77"/>
      <c r="BJ49" s="77"/>
      <c r="BK49" s="78"/>
      <c r="BL49" s="78"/>
      <c r="BM49" s="78"/>
      <c r="BO49" s="78"/>
    </row>
    <row r="50" customHeight="1" spans="5:67">
      <c r="E50" s="1315"/>
      <c r="BC50" s="77"/>
      <c r="BF50" s="77"/>
      <c r="BG50" s="77"/>
      <c r="BJ50" s="77"/>
      <c r="BK50" s="78"/>
      <c r="BL50" s="78"/>
      <c r="BM50" s="78"/>
      <c r="BO50" s="78"/>
    </row>
    <row r="51" customHeight="1" spans="5:67">
      <c r="E51" s="1315"/>
      <c r="BC51" s="77"/>
      <c r="BF51" s="77"/>
      <c r="BG51" s="77"/>
      <c r="BJ51" s="77"/>
      <c r="BK51" s="78"/>
      <c r="BL51" s="78"/>
      <c r="BM51" s="78"/>
      <c r="BO51" s="78"/>
    </row>
    <row r="52" customHeight="1" spans="5:67">
      <c r="E52" s="1315"/>
      <c r="BC52" s="77"/>
      <c r="BF52" s="77"/>
      <c r="BG52" s="77"/>
      <c r="BJ52" s="77"/>
      <c r="BK52" s="78"/>
      <c r="BL52" s="78"/>
      <c r="BM52" s="78"/>
      <c r="BO52" s="78"/>
    </row>
    <row r="53" customHeight="1" spans="5:67">
      <c r="E53" s="1315"/>
      <c r="BC53" s="77"/>
      <c r="BF53" s="77"/>
      <c r="BG53" s="77"/>
      <c r="BJ53" s="77"/>
      <c r="BK53" s="78"/>
      <c r="BL53" s="78"/>
      <c r="BM53" s="78"/>
      <c r="BO53" s="78"/>
    </row>
    <row r="54" customHeight="1" spans="5:67">
      <c r="E54" s="1315"/>
      <c r="BC54" s="77"/>
      <c r="BF54" s="77"/>
      <c r="BG54" s="77"/>
      <c r="BJ54" s="77"/>
      <c r="BK54" s="78"/>
      <c r="BL54" s="78"/>
      <c r="BM54" s="78"/>
      <c r="BO54" s="78"/>
    </row>
    <row r="55" customHeight="1" spans="5:67">
      <c r="BC55" s="77"/>
      <c r="BF55" s="77"/>
      <c r="BG55" s="77"/>
      <c r="BJ55" s="77"/>
      <c r="BK55" s="78"/>
      <c r="BL55" s="78"/>
      <c r="BM55" s="78"/>
      <c r="BO55" s="78"/>
    </row>
  </sheetData>
  <sheetProtection autoFilter="0"/>
  <mergeCells count="6">
    <mergeCell ref="A2:N2"/>
    <mergeCell ref="A3:N3"/>
    <mergeCell ref="BW7:BY7"/>
    <mergeCell ref="BW8:BY8"/>
    <mergeCell ref="BX14:BY14"/>
    <mergeCell ref="A27:B27"/>
  </mergeCells>
  <conditionalFormatting sqref="BI7:BI26">
    <cfRule type="expression" dxfId="5" priority="8" stopIfTrue="1">
      <formula>AND(BH7="有",BI7="")</formula>
    </cfRule>
  </conditionalFormatting>
  <conditionalFormatting sqref="BN7:BN26">
    <cfRule type="expression" dxfId="5" priority="4" stopIfTrue="1">
      <formula>AND(BL7="无",BN7="")</formula>
    </cfRule>
  </conditionalFormatting>
  <conditionalFormatting sqref="BF7:BG26">
    <cfRule type="containsText" dxfId="6" priority="9" stopIfTrue="1" operator="between" text="出错">
      <formula>NOT(ISERROR(SEARCH("出错",BF7)))</formula>
    </cfRule>
  </conditionalFormatting>
  <conditionalFormatting sqref="BH7:BH26 BK7:BM26 BO7:BO26">
    <cfRule type="expression" dxfId="5" priority="6" stopIfTrue="1">
      <formula>AND($B7&lt;&gt;"",BH7="")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H26 BO7:BO26 BK7:BM26">
      <formula1>BH$30:BH$31</formula1>
    </dataValidation>
  </dataValidations>
  <hyperlinks>
    <hyperlink ref="B1" location="货币资金汇总表!B9" display="返回"/>
    <hyperlink ref="A1" location="索引目录!E8" display="返回索引页"/>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FF0000"/>
  </sheetPr>
  <dimension ref="A1:CE40"/>
  <sheetViews>
    <sheetView zoomScale="90" zoomScaleNormal="90" workbookViewId="0">
      <pane xSplit="2" ySplit="7" topLeftCell="D8" activePane="bottomRight" state="frozen"/>
      <selection/>
      <selection pane="topRight"/>
      <selection pane="bottomLeft"/>
      <selection pane="bottomRight" activeCell="E45" sqref="E45"/>
    </sheetView>
  </sheetViews>
  <sheetFormatPr defaultColWidth="9" defaultRowHeight="15.75" customHeight="1"/>
  <cols>
    <col min="1" max="1" width="8.7" style="75" customWidth="1"/>
    <col min="2" max="2" width="34.6" style="75" customWidth="1"/>
    <col min="3" max="3" width="20.6" style="75" hidden="1" customWidth="1" outlineLevel="1"/>
    <col min="4" max="4" width="20.6" style="75" customWidth="1" collapsed="1"/>
    <col min="5" max="7" width="20.6" style="75" customWidth="1"/>
    <col min="8" max="52" width="9" style="75" hidden="1" customWidth="1" outlineLevel="1"/>
    <col min="53" max="53" width="10.6" style="227" customWidth="1" collapsed="1"/>
    <col min="54" max="58" width="10.6" style="227" customWidth="1"/>
    <col min="59" max="60" width="10.6" style="1296" customWidth="1"/>
    <col min="61" max="61" width="1.6" style="1296" customWidth="1"/>
    <col min="62" max="62" width="10.6" style="1296" customWidth="1"/>
    <col min="63"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80" t="s">
        <v>1591</v>
      </c>
      <c r="B1" s="80" t="s">
        <v>1592</v>
      </c>
      <c r="C1" s="81"/>
      <c r="D1" s="81"/>
      <c r="E1" s="81"/>
      <c r="F1" s="81"/>
      <c r="G1" s="81"/>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337" t="s">
        <v>1733</v>
      </c>
      <c r="B2" s="233"/>
      <c r="C2" s="233"/>
      <c r="D2" s="233"/>
      <c r="E2" s="233"/>
      <c r="F2" s="233"/>
      <c r="G2" s="233"/>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5" customHeight="1" spans="1:83">
      <c r="A3" s="238" t="str">
        <f>参数表!F5</f>
        <v>评估基准日：2025年7月31日</v>
      </c>
      <c r="B3" s="238"/>
      <c r="C3" s="238"/>
      <c r="D3" s="238"/>
      <c r="E3" s="238"/>
      <c r="F3" s="238"/>
      <c r="G3" s="238"/>
      <c r="BA3" s="230" t="str">
        <f>参数表!BA3</f>
        <v>是否显示评估值：</v>
      </c>
      <c r="BB3" s="230" t="str">
        <f>参数表!BB3</f>
        <v>是</v>
      </c>
      <c r="BG3" s="227"/>
      <c r="BH3" s="227"/>
      <c r="BI3" s="227"/>
      <c r="BJ3" s="227"/>
    </row>
    <row r="4" ht="15" customHeight="1" spans="1:83">
      <c r="A4" s="238"/>
      <c r="B4" s="238"/>
      <c r="C4" s="238"/>
      <c r="D4" s="238"/>
      <c r="E4" s="238"/>
      <c r="F4" s="238"/>
      <c r="G4" s="338" t="str">
        <f>"表"&amp;A28</f>
        <v>表3-2</v>
      </c>
      <c r="BA4" s="240" t="s">
        <v>1595</v>
      </c>
      <c r="BB4" s="241"/>
      <c r="BC4" s="241"/>
      <c r="BD4" s="241"/>
      <c r="BE4" s="241"/>
      <c r="BF4" s="241"/>
      <c r="BG4" s="241"/>
      <c r="BH4" s="241"/>
      <c r="BI4" s="242"/>
      <c r="BJ4" s="241" t="s">
        <v>1545</v>
      </c>
      <c r="BK4" s="241"/>
      <c r="BL4" s="241"/>
      <c r="BM4" s="241"/>
      <c r="BN4" s="241"/>
      <c r="BO4" s="241"/>
      <c r="BP4" s="241"/>
      <c r="BQ4" s="241"/>
      <c r="BR4" s="158"/>
      <c r="BS4" s="228" t="str">
        <f>LEFT(A2,LEN(A2)-5)</f>
        <v>以公允价值计量且其变动计入当期损益的金融资产</v>
      </c>
    </row>
    <row r="5" ht="15" customHeight="1" spans="1:83">
      <c r="A5" s="243" t="str">
        <f>参数表!F3</f>
        <v>产权持有单位:中煤第五建设有限公司</v>
      </c>
      <c r="G5" s="244" t="s">
        <v>236</v>
      </c>
      <c r="BA5" s="245" t="s">
        <v>1523</v>
      </c>
      <c r="BB5" s="245"/>
      <c r="BC5" s="245"/>
      <c r="BD5" s="245"/>
      <c r="BE5" s="246" t="s">
        <v>1524</v>
      </c>
      <c r="BF5" s="246"/>
      <c r="BG5" s="246"/>
      <c r="BH5" s="246"/>
      <c r="BI5" s="242"/>
      <c r="BJ5" s="245" t="s">
        <v>1523</v>
      </c>
      <c r="BK5" s="245"/>
      <c r="BL5" s="245"/>
      <c r="BM5" s="245"/>
      <c r="BN5" s="246" t="s">
        <v>1524</v>
      </c>
      <c r="BO5" s="246"/>
      <c r="BP5" s="246"/>
      <c r="BQ5" s="246"/>
      <c r="BR5" s="158"/>
      <c r="BS5" s="247" t="str">
        <f>BS4&amp;IF(BY28&lt;2,"为：","包括：")</f>
        <v>以公允价值计量且其变动计入当期损益的金融资产为：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1525</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R6" s="268"/>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339" t="str">
        <f>A$28&amp;"-"&amp;SUBTOTAL(3,B$7:B7)</f>
        <v>3-2-1</v>
      </c>
      <c r="B7" s="261" t="s">
        <v>1736</v>
      </c>
      <c r="C7" s="256">
        <f>'公允资-股票'!K27</f>
        <v>0</v>
      </c>
      <c r="D7" s="256">
        <f>'公允资-股票'!M27</f>
        <v>0</v>
      </c>
      <c r="E7" s="256">
        <f>'公允资-股票'!O27</f>
        <v>0</v>
      </c>
      <c r="F7" s="256">
        <f>E7-D7</f>
        <v>0</v>
      </c>
      <c r="G7" s="256" t="str">
        <f>IF(D7=0,"",F7/D7*100)</f>
        <v/>
      </c>
      <c r="BA7" s="256">
        <f>BB7</f>
        <v>0</v>
      </c>
      <c r="BB7" s="256">
        <f>D7</f>
        <v>0</v>
      </c>
      <c r="BC7" s="256">
        <f>0</f>
        <v>0</v>
      </c>
      <c r="BD7" s="256">
        <f>BB7-BC7</f>
        <v>0</v>
      </c>
      <c r="BE7" s="256">
        <f>BF7</f>
        <v>0</v>
      </c>
      <c r="BF7" s="256">
        <f>E7</f>
        <v>0</v>
      </c>
      <c r="BG7" s="256">
        <f>0</f>
        <v>0</v>
      </c>
      <c r="BH7" s="256">
        <f>BF7-BG7</f>
        <v>0</v>
      </c>
      <c r="BI7" s="242"/>
      <c r="BJ7" s="256">
        <f t="shared" ref="BJ7:BJ9" si="0">BK7</f>
        <v>0</v>
      </c>
      <c r="BK7" s="143">
        <f>'公允资-股票'!M30</f>
        <v>0</v>
      </c>
      <c r="BL7" s="256">
        <f>0</f>
        <v>0</v>
      </c>
      <c r="BM7" s="256">
        <f>BK7-BL7</f>
        <v>0</v>
      </c>
      <c r="BN7" s="256">
        <f>BO7</f>
        <v>0</v>
      </c>
      <c r="BO7" s="143">
        <f>'公允资-股票'!O30</f>
        <v>0</v>
      </c>
      <c r="BP7" s="256">
        <f>0</f>
        <v>0</v>
      </c>
      <c r="BQ7" s="256">
        <f>BO7-BP7</f>
        <v>0</v>
      </c>
      <c r="BR7" s="158"/>
      <c r="BS7" s="228" t="str">
        <f t="shared" ref="BS7:BS9" si="1">IF(F7&gt;0,"增值",IF(F7=0,"无增减值","减值"))</f>
        <v>无增减值</v>
      </c>
      <c r="BT7" s="257">
        <f t="shared" ref="BT7:BT9" si="2">ABS(F7)</f>
        <v>0</v>
      </c>
      <c r="BU7" s="257">
        <f t="shared" ref="BU7:BU9" si="3">IFERROR(ABS(G7),0)</f>
        <v>0</v>
      </c>
      <c r="BV7" s="258">
        <f t="shared" ref="BV7:BV9" si="4">IFERROR(FIND("-",B7),0)</f>
        <v>7</v>
      </c>
      <c r="BW7" s="259" t="str">
        <f>IF(SUM(BA7:BH7)=0,"",RIGHT(B7,LEN(B7)-BV7))</f>
        <v/>
      </c>
      <c r="BX7" s="158" t="str">
        <f>IF(BY7="","",IF(BZ7&gt;1,"、",IF(BZ7=1,"和","")))</f>
        <v/>
      </c>
      <c r="BY7" s="158" t="str">
        <f>IF(BW7="","",1)</f>
        <v/>
      </c>
      <c r="BZ7" s="228">
        <f>COUNT(BY8:BY$27)</f>
        <v>0</v>
      </c>
    </row>
    <row r="8" ht="15" customHeight="1" spans="1:83">
      <c r="A8" s="339" t="str">
        <f>A$28&amp;"-"&amp;SUBTOTAL(3,B$7:B8)</f>
        <v>3-2-2</v>
      </c>
      <c r="B8" s="261" t="s">
        <v>1737</v>
      </c>
      <c r="C8" s="256">
        <f>'公允资-债券'!L27</f>
        <v>0</v>
      </c>
      <c r="D8" s="256">
        <f>'公允资-债券'!N27</f>
        <v>0</v>
      </c>
      <c r="E8" s="256">
        <f>'公允资-债券'!O27</f>
        <v>0</v>
      </c>
      <c r="F8" s="256">
        <f>E8-D8</f>
        <v>0</v>
      </c>
      <c r="G8" s="256" t="str">
        <f>IF(D8=0,"",F8/D8*100)</f>
        <v/>
      </c>
      <c r="BA8" s="256">
        <f t="shared" ref="BA8:BA9" si="5">BB8</f>
        <v>0</v>
      </c>
      <c r="BB8" s="256">
        <f t="shared" ref="BB8:BB9" si="6">D8</f>
        <v>0</v>
      </c>
      <c r="BC8" s="256">
        <f>0</f>
        <v>0</v>
      </c>
      <c r="BD8" s="256">
        <f t="shared" ref="BD8:BD9" si="7">BB8-BC8</f>
        <v>0</v>
      </c>
      <c r="BE8" s="256">
        <f t="shared" ref="BE8:BE9" si="8">BF8</f>
        <v>0</v>
      </c>
      <c r="BF8" s="256">
        <f t="shared" ref="BF8:BF9" si="9">E8</f>
        <v>0</v>
      </c>
      <c r="BG8" s="256">
        <f>0</f>
        <v>0</v>
      </c>
      <c r="BH8" s="256">
        <f t="shared" ref="BH8:BH9" si="10">BF8-BG8</f>
        <v>0</v>
      </c>
      <c r="BI8" s="242"/>
      <c r="BJ8" s="256">
        <f t="shared" si="0"/>
        <v>0</v>
      </c>
      <c r="BK8" s="143">
        <f>'公允资-债券'!N30</f>
        <v>0</v>
      </c>
      <c r="BL8" s="256">
        <f>0</f>
        <v>0</v>
      </c>
      <c r="BM8" s="256">
        <f t="shared" ref="BM8:BM9" si="11">BK8-BL8</f>
        <v>0</v>
      </c>
      <c r="BN8" s="256">
        <f t="shared" ref="BN8:BN9" si="12">BO8</f>
        <v>0</v>
      </c>
      <c r="BO8" s="143">
        <f>'公允资-债券'!O30</f>
        <v>0</v>
      </c>
      <c r="BP8" s="256">
        <f>0</f>
        <v>0</v>
      </c>
      <c r="BQ8" s="256">
        <f t="shared" ref="BQ8:BQ9" si="13">BO8-BP8</f>
        <v>0</v>
      </c>
      <c r="BR8" s="158"/>
      <c r="BS8" s="228" t="str">
        <f t="shared" si="1"/>
        <v>无增减值</v>
      </c>
      <c r="BT8" s="257">
        <f t="shared" si="2"/>
        <v>0</v>
      </c>
      <c r="BU8" s="257">
        <f t="shared" si="3"/>
        <v>0</v>
      </c>
      <c r="BV8" s="258">
        <f t="shared" si="4"/>
        <v>7</v>
      </c>
      <c r="BW8" s="259" t="str">
        <f t="shared" ref="BW8:BW9" si="14">IF(SUM(BA8:BH8)=0,"",RIGHT(B8,LEN(B8)-BV8))</f>
        <v/>
      </c>
      <c r="BX8" s="158" t="str">
        <f t="shared" ref="BX8:BX9" si="15">IF(BY8="","",IF(BZ8&gt;1,"、",IF(BZ8=1,"和","")))</f>
        <v/>
      </c>
      <c r="BY8" s="158" t="str">
        <f t="shared" ref="BY8:BY9" si="16">IF(BW8="","",1)</f>
        <v/>
      </c>
      <c r="BZ8" s="228">
        <f>COUNT(BY9:BY$27)</f>
        <v>0</v>
      </c>
    </row>
    <row r="9" ht="15" customHeight="1" spans="1:83">
      <c r="A9" s="339" t="str">
        <f>A$28&amp;"-"&amp;SUBTOTAL(3,B$7:B9)</f>
        <v>3-2-3</v>
      </c>
      <c r="B9" s="261" t="s">
        <v>1738</v>
      </c>
      <c r="C9" s="256">
        <f>'公允资-基金'!K27</f>
        <v>0</v>
      </c>
      <c r="D9" s="256">
        <f>'公允资-基金'!M27</f>
        <v>0</v>
      </c>
      <c r="E9" s="256">
        <f>'公允资-基金'!O27</f>
        <v>0</v>
      </c>
      <c r="F9" s="256">
        <f>E9-D9</f>
        <v>0</v>
      </c>
      <c r="G9" s="256" t="str">
        <f>IF(D9=0,"",F9/D9*100)</f>
        <v/>
      </c>
      <c r="BA9" s="256">
        <f t="shared" si="5"/>
        <v>0</v>
      </c>
      <c r="BB9" s="256">
        <f t="shared" si="6"/>
        <v>0</v>
      </c>
      <c r="BC9" s="256">
        <f>0</f>
        <v>0</v>
      </c>
      <c r="BD9" s="256">
        <f t="shared" si="7"/>
        <v>0</v>
      </c>
      <c r="BE9" s="256">
        <f t="shared" si="8"/>
        <v>0</v>
      </c>
      <c r="BF9" s="256">
        <f t="shared" si="9"/>
        <v>0</v>
      </c>
      <c r="BG9" s="256">
        <f>0</f>
        <v>0</v>
      </c>
      <c r="BH9" s="256">
        <f t="shared" si="10"/>
        <v>0</v>
      </c>
      <c r="BI9" s="242"/>
      <c r="BJ9" s="256">
        <f t="shared" si="0"/>
        <v>0</v>
      </c>
      <c r="BK9" s="143">
        <f>'公允资-基金'!M30</f>
        <v>0</v>
      </c>
      <c r="BL9" s="256">
        <f>0</f>
        <v>0</v>
      </c>
      <c r="BM9" s="256">
        <f t="shared" si="11"/>
        <v>0</v>
      </c>
      <c r="BN9" s="256">
        <f t="shared" si="12"/>
        <v>0</v>
      </c>
      <c r="BO9" s="143">
        <f>'公允资-基金'!O30</f>
        <v>0</v>
      </c>
      <c r="BP9" s="256">
        <f>0</f>
        <v>0</v>
      </c>
      <c r="BQ9" s="256">
        <f t="shared" si="13"/>
        <v>0</v>
      </c>
      <c r="BR9" s="158"/>
      <c r="BS9" s="228" t="str">
        <f t="shared" si="1"/>
        <v>无增减值</v>
      </c>
      <c r="BT9" s="257">
        <f t="shared" si="2"/>
        <v>0</v>
      </c>
      <c r="BU9" s="257">
        <f t="shared" si="3"/>
        <v>0</v>
      </c>
      <c r="BV9" s="258">
        <f t="shared" si="4"/>
        <v>7</v>
      </c>
      <c r="BW9" s="259" t="str">
        <f t="shared" si="14"/>
        <v/>
      </c>
      <c r="BX9" s="158" t="str">
        <f t="shared" si="15"/>
        <v/>
      </c>
      <c r="BY9" s="158" t="str">
        <f t="shared" si="16"/>
        <v/>
      </c>
      <c r="BZ9" s="228">
        <f>COUNT(BY10:BY$27)</f>
        <v>0</v>
      </c>
    </row>
    <row r="10" ht="15" customHeight="1" spans="1:83">
      <c r="A10" s="141"/>
      <c r="B10" s="145"/>
      <c r="C10" s="256"/>
      <c r="D10" s="256"/>
      <c r="E10" s="256"/>
      <c r="F10" s="256"/>
      <c r="G10" s="256"/>
      <c r="BA10" s="256"/>
      <c r="BB10" s="256"/>
      <c r="BC10" s="256"/>
      <c r="BD10" s="256"/>
      <c r="BE10" s="256"/>
      <c r="BF10" s="256"/>
      <c r="BG10" s="256"/>
      <c r="BH10" s="256"/>
      <c r="BI10" s="242"/>
      <c r="BJ10" s="256"/>
      <c r="BK10" s="256"/>
      <c r="BL10" s="256"/>
      <c r="BM10" s="256"/>
      <c r="BN10" s="256"/>
      <c r="BO10" s="256"/>
      <c r="BP10" s="256"/>
      <c r="BQ10" s="256"/>
      <c r="BR10" s="158"/>
      <c r="BS10" s="228"/>
      <c r="BT10" s="257"/>
      <c r="BU10" s="257"/>
      <c r="BV10" s="258"/>
      <c r="BW10" s="259"/>
      <c r="BY10" s="158"/>
      <c r="BZ10" s="228"/>
    </row>
    <row r="11" ht="15" customHeight="1" spans="1:83">
      <c r="A11" s="141"/>
      <c r="B11" s="145"/>
      <c r="C11" s="256"/>
      <c r="D11" s="256"/>
      <c r="E11" s="256"/>
      <c r="F11" s="256"/>
      <c r="G11" s="256"/>
      <c r="BA11" s="256"/>
      <c r="BB11" s="256"/>
      <c r="BC11" s="256"/>
      <c r="BD11" s="256"/>
      <c r="BE11" s="256"/>
      <c r="BF11" s="256"/>
      <c r="BG11" s="256"/>
      <c r="BH11" s="256"/>
      <c r="BI11" s="242"/>
      <c r="BJ11" s="256"/>
      <c r="BK11" s="256"/>
      <c r="BL11" s="256"/>
      <c r="BM11" s="256"/>
      <c r="BN11" s="256"/>
      <c r="BO11" s="256"/>
      <c r="BP11" s="256"/>
      <c r="BQ11" s="256"/>
      <c r="BR11" s="158"/>
      <c r="BS11" s="228"/>
      <c r="BT11" s="257"/>
      <c r="BU11" s="257"/>
      <c r="BV11" s="258"/>
      <c r="BW11" s="259"/>
      <c r="BY11" s="158"/>
      <c r="BZ11" s="228"/>
    </row>
    <row r="12" ht="15" customHeight="1" spans="1:83">
      <c r="A12" s="141"/>
      <c r="B12" s="145"/>
      <c r="C12" s="256"/>
      <c r="D12" s="256"/>
      <c r="E12" s="256"/>
      <c r="F12" s="256"/>
      <c r="G12" s="256"/>
      <c r="BA12" s="256"/>
      <c r="BB12" s="256"/>
      <c r="BC12" s="256"/>
      <c r="BD12" s="256"/>
      <c r="BE12" s="256"/>
      <c r="BF12" s="256"/>
      <c r="BG12" s="256"/>
      <c r="BH12" s="256"/>
      <c r="BI12" s="242"/>
      <c r="BJ12" s="256"/>
      <c r="BK12" s="256"/>
      <c r="BL12" s="256"/>
      <c r="BM12" s="256"/>
      <c r="BN12" s="256"/>
      <c r="BO12" s="256"/>
      <c r="BP12" s="256"/>
      <c r="BQ12" s="256"/>
      <c r="BR12" s="158"/>
      <c r="BS12" s="228"/>
      <c r="BT12" s="257"/>
      <c r="BU12" s="257"/>
      <c r="BV12" s="258"/>
      <c r="BW12" s="259"/>
      <c r="BY12" s="158"/>
      <c r="BZ12" s="228"/>
    </row>
    <row r="13" ht="15" customHeight="1" spans="1:83">
      <c r="A13" s="141"/>
      <c r="B13" s="145"/>
      <c r="C13" s="256"/>
      <c r="D13" s="256"/>
      <c r="E13" s="256"/>
      <c r="F13" s="256"/>
      <c r="G13" s="256"/>
      <c r="BA13" s="256"/>
      <c r="BB13" s="256"/>
      <c r="BC13" s="256"/>
      <c r="BD13" s="256"/>
      <c r="BE13" s="256"/>
      <c r="BF13" s="256"/>
      <c r="BG13" s="256"/>
      <c r="BH13" s="256"/>
      <c r="BI13" s="242"/>
      <c r="BJ13" s="256"/>
      <c r="BK13" s="256"/>
      <c r="BL13" s="256"/>
      <c r="BM13" s="256"/>
      <c r="BN13" s="256"/>
      <c r="BO13" s="256"/>
      <c r="BP13" s="256"/>
      <c r="BQ13" s="256"/>
      <c r="BR13" s="158"/>
      <c r="BS13" s="228"/>
      <c r="BT13" s="257"/>
      <c r="BU13" s="257"/>
      <c r="BV13" s="258"/>
      <c r="BW13" s="259"/>
      <c r="BY13" s="158"/>
      <c r="BZ13" s="228"/>
    </row>
    <row r="14" ht="15" customHeight="1" spans="1:83">
      <c r="A14" s="141"/>
      <c r="B14" s="145"/>
      <c r="C14" s="256"/>
      <c r="D14" s="256"/>
      <c r="E14" s="256"/>
      <c r="F14" s="256"/>
      <c r="G14" s="256"/>
      <c r="BA14" s="256"/>
      <c r="BB14" s="256"/>
      <c r="BC14" s="256"/>
      <c r="BD14" s="256"/>
      <c r="BE14" s="256"/>
      <c r="BF14" s="256"/>
      <c r="BG14" s="256"/>
      <c r="BH14" s="256"/>
      <c r="BI14" s="242"/>
      <c r="BJ14" s="256"/>
      <c r="BK14" s="256"/>
      <c r="BL14" s="256"/>
      <c r="BM14" s="256"/>
      <c r="BN14" s="256"/>
      <c r="BO14" s="256"/>
      <c r="BP14" s="256"/>
      <c r="BQ14" s="256"/>
      <c r="BR14" s="158"/>
      <c r="BS14" s="228"/>
      <c r="BT14" s="257"/>
      <c r="BU14" s="257"/>
      <c r="BV14" s="258"/>
      <c r="BW14" s="259"/>
      <c r="BY14" s="158"/>
      <c r="BZ14" s="228"/>
    </row>
    <row r="15" ht="15" customHeight="1" spans="1:83">
      <c r="A15" s="141"/>
      <c r="B15" s="145"/>
      <c r="C15" s="256"/>
      <c r="D15" s="256"/>
      <c r="E15" s="256"/>
      <c r="F15" s="256"/>
      <c r="G15" s="256"/>
      <c r="BA15" s="256"/>
      <c r="BB15" s="256"/>
      <c r="BC15" s="256"/>
      <c r="BD15" s="256"/>
      <c r="BE15" s="256"/>
      <c r="BF15" s="256"/>
      <c r="BG15" s="256"/>
      <c r="BH15" s="256"/>
      <c r="BI15" s="242"/>
      <c r="BJ15" s="256"/>
      <c r="BK15" s="256"/>
      <c r="BL15" s="256"/>
      <c r="BM15" s="256"/>
      <c r="BN15" s="256"/>
      <c r="BO15" s="256"/>
      <c r="BP15" s="256"/>
      <c r="BQ15" s="256"/>
      <c r="BR15" s="158"/>
      <c r="BS15" s="228"/>
      <c r="BT15" s="257"/>
      <c r="BU15" s="257"/>
      <c r="BV15" s="258"/>
      <c r="BW15" s="259"/>
      <c r="BY15" s="158"/>
      <c r="BZ15" s="228"/>
    </row>
    <row r="16" ht="15" customHeight="1" spans="1:83">
      <c r="A16" s="141"/>
      <c r="B16" s="145"/>
      <c r="C16" s="256"/>
      <c r="D16" s="256"/>
      <c r="E16" s="256"/>
      <c r="F16" s="256"/>
      <c r="G16" s="256"/>
      <c r="BA16" s="256"/>
      <c r="BB16" s="256"/>
      <c r="BC16" s="256"/>
      <c r="BD16" s="256"/>
      <c r="BE16" s="256"/>
      <c r="BF16" s="256"/>
      <c r="BG16" s="256"/>
      <c r="BH16" s="256"/>
      <c r="BI16" s="242"/>
      <c r="BJ16" s="256"/>
      <c r="BK16" s="256"/>
      <c r="BL16" s="256"/>
      <c r="BM16" s="256"/>
      <c r="BN16" s="256"/>
      <c r="BO16" s="256"/>
      <c r="BP16" s="256"/>
      <c r="BQ16" s="256"/>
      <c r="BR16" s="158"/>
      <c r="BS16" s="228"/>
      <c r="BT16" s="257"/>
      <c r="BU16" s="257"/>
      <c r="BV16" s="258"/>
      <c r="BW16" s="259"/>
      <c r="BY16" s="158"/>
      <c r="BZ16" s="228"/>
    </row>
    <row r="17" ht="15" customHeight="1" spans="1:83">
      <c r="A17" s="141"/>
      <c r="B17" s="145"/>
      <c r="C17" s="256"/>
      <c r="D17" s="256"/>
      <c r="E17" s="256"/>
      <c r="F17" s="256"/>
      <c r="G17" s="256"/>
      <c r="BA17" s="256"/>
      <c r="BB17" s="256"/>
      <c r="BC17" s="256"/>
      <c r="BD17" s="256"/>
      <c r="BE17" s="256"/>
      <c r="BF17" s="256"/>
      <c r="BG17" s="256"/>
      <c r="BH17" s="256"/>
      <c r="BI17" s="242"/>
      <c r="BJ17" s="256"/>
      <c r="BK17" s="256"/>
      <c r="BL17" s="256"/>
      <c r="BM17" s="256"/>
      <c r="BN17" s="256"/>
      <c r="BO17" s="256"/>
      <c r="BP17" s="256"/>
      <c r="BQ17" s="256"/>
      <c r="BR17" s="158"/>
      <c r="BS17" s="228"/>
      <c r="BT17" s="257"/>
      <c r="BU17" s="257"/>
      <c r="BV17" s="258"/>
      <c r="BW17" s="259"/>
      <c r="BY17" s="158"/>
      <c r="BZ17" s="228"/>
    </row>
    <row r="18" ht="15" customHeight="1" spans="1:83">
      <c r="A18" s="141"/>
      <c r="B18" s="145"/>
      <c r="C18" s="256"/>
      <c r="D18" s="256"/>
      <c r="E18" s="256"/>
      <c r="F18" s="256"/>
      <c r="G18" s="256"/>
      <c r="BA18" s="256"/>
      <c r="BB18" s="256"/>
      <c r="BC18" s="256"/>
      <c r="BD18" s="256"/>
      <c r="BE18" s="256"/>
      <c r="BF18" s="256"/>
      <c r="BG18" s="256"/>
      <c r="BH18" s="256"/>
      <c r="BI18" s="242"/>
      <c r="BJ18" s="256"/>
      <c r="BK18" s="256"/>
      <c r="BL18" s="256"/>
      <c r="BM18" s="256"/>
      <c r="BN18" s="256"/>
      <c r="BO18" s="256"/>
      <c r="BP18" s="256"/>
      <c r="BQ18" s="256"/>
      <c r="BR18" s="158"/>
      <c r="BS18" s="228"/>
      <c r="BT18" s="257"/>
      <c r="BU18" s="257"/>
      <c r="BV18" s="258"/>
      <c r="BW18" s="259"/>
      <c r="BY18" s="158"/>
      <c r="BZ18" s="228"/>
    </row>
    <row r="19" ht="15" customHeight="1" spans="1:83">
      <c r="A19" s="141"/>
      <c r="B19" s="145"/>
      <c r="C19" s="256"/>
      <c r="D19" s="256"/>
      <c r="E19" s="256"/>
      <c r="F19" s="256"/>
      <c r="G19" s="256"/>
      <c r="BA19" s="256"/>
      <c r="BB19" s="256"/>
      <c r="BC19" s="256"/>
      <c r="BD19" s="256"/>
      <c r="BE19" s="256"/>
      <c r="BF19" s="256"/>
      <c r="BG19" s="256"/>
      <c r="BH19" s="256"/>
      <c r="BI19" s="242"/>
      <c r="BJ19" s="256"/>
      <c r="BK19" s="256"/>
      <c r="BL19" s="256"/>
      <c r="BM19" s="256"/>
      <c r="BN19" s="256"/>
      <c r="BO19" s="256"/>
      <c r="BP19" s="256"/>
      <c r="BQ19" s="256"/>
      <c r="BR19" s="158"/>
      <c r="BS19" s="228"/>
      <c r="BT19" s="257"/>
      <c r="BU19" s="257"/>
      <c r="BV19" s="258"/>
      <c r="BW19" s="259"/>
      <c r="BY19" s="158"/>
      <c r="BZ19" s="228"/>
    </row>
    <row r="20" ht="15" customHeight="1" spans="1:83">
      <c r="A20" s="141"/>
      <c r="B20" s="145"/>
      <c r="C20" s="256"/>
      <c r="D20" s="256"/>
      <c r="E20" s="256"/>
      <c r="F20" s="256"/>
      <c r="G20" s="256"/>
      <c r="BA20" s="256"/>
      <c r="BB20" s="256"/>
      <c r="BC20" s="256"/>
      <c r="BD20" s="256"/>
      <c r="BE20" s="256"/>
      <c r="BF20" s="256"/>
      <c r="BG20" s="256"/>
      <c r="BH20" s="256"/>
      <c r="BI20" s="242"/>
      <c r="BJ20" s="256"/>
      <c r="BK20" s="256"/>
      <c r="BL20" s="256"/>
      <c r="BM20" s="256"/>
      <c r="BN20" s="256"/>
      <c r="BO20" s="256"/>
      <c r="BP20" s="256"/>
      <c r="BQ20" s="256"/>
      <c r="BR20" s="158"/>
      <c r="BS20" s="228"/>
      <c r="BT20" s="257"/>
      <c r="BU20" s="257"/>
      <c r="BV20" s="258"/>
      <c r="BW20" s="259"/>
      <c r="BY20" s="158"/>
      <c r="BZ20" s="228"/>
    </row>
    <row r="21" ht="15" customHeight="1" spans="1:83">
      <c r="A21" s="141"/>
      <c r="B21" s="145"/>
      <c r="C21" s="256"/>
      <c r="D21" s="256"/>
      <c r="E21" s="256"/>
      <c r="F21" s="256"/>
      <c r="G21" s="256"/>
      <c r="BA21" s="256"/>
      <c r="BB21" s="256"/>
      <c r="BC21" s="256"/>
      <c r="BD21" s="256"/>
      <c r="BE21" s="256"/>
      <c r="BF21" s="256"/>
      <c r="BG21" s="256"/>
      <c r="BH21" s="256"/>
      <c r="BI21" s="242"/>
      <c r="BJ21" s="256"/>
      <c r="BK21" s="256"/>
      <c r="BL21" s="256"/>
      <c r="BM21" s="256"/>
      <c r="BN21" s="256"/>
      <c r="BO21" s="256"/>
      <c r="BP21" s="256"/>
      <c r="BQ21" s="256"/>
      <c r="BR21" s="158"/>
      <c r="BS21" s="228"/>
      <c r="BT21" s="257"/>
      <c r="BU21" s="257"/>
      <c r="BV21" s="258"/>
      <c r="BW21" s="259"/>
      <c r="BY21" s="158"/>
      <c r="BZ21" s="228"/>
    </row>
    <row r="22" ht="15" customHeight="1" spans="1:83">
      <c r="A22" s="141"/>
      <c r="B22" s="145"/>
      <c r="C22" s="256"/>
      <c r="D22" s="256"/>
      <c r="E22" s="256"/>
      <c r="F22" s="256"/>
      <c r="G22" s="256"/>
      <c r="BA22" s="256"/>
      <c r="BB22" s="256"/>
      <c r="BC22" s="256"/>
      <c r="BD22" s="256"/>
      <c r="BE22" s="256"/>
      <c r="BF22" s="256"/>
      <c r="BG22" s="256"/>
      <c r="BH22" s="256"/>
      <c r="BI22" s="242"/>
      <c r="BJ22" s="256"/>
      <c r="BK22" s="256"/>
      <c r="BL22" s="256"/>
      <c r="BM22" s="256"/>
      <c r="BN22" s="256"/>
      <c r="BO22" s="256"/>
      <c r="BP22" s="256"/>
      <c r="BQ22" s="256"/>
      <c r="BR22" s="158"/>
      <c r="BS22" s="228"/>
      <c r="BT22" s="257"/>
      <c r="BU22" s="257"/>
      <c r="BV22" s="258"/>
      <c r="BW22" s="259"/>
      <c r="BY22" s="158"/>
      <c r="BZ22" s="228"/>
    </row>
    <row r="23" ht="15" customHeight="1" spans="1:83">
      <c r="A23" s="141"/>
      <c r="B23" s="145"/>
      <c r="C23" s="256"/>
      <c r="D23" s="256"/>
      <c r="E23" s="256"/>
      <c r="F23" s="256"/>
      <c r="G23" s="256"/>
      <c r="BA23" s="256"/>
      <c r="BB23" s="256"/>
      <c r="BC23" s="256"/>
      <c r="BD23" s="256"/>
      <c r="BE23" s="256"/>
      <c r="BF23" s="256"/>
      <c r="BG23" s="256"/>
      <c r="BH23" s="256"/>
      <c r="BI23" s="242"/>
      <c r="BJ23" s="256"/>
      <c r="BK23" s="256"/>
      <c r="BL23" s="256"/>
      <c r="BM23" s="256"/>
      <c r="BN23" s="256"/>
      <c r="BO23" s="256"/>
      <c r="BP23" s="256"/>
      <c r="BQ23" s="256"/>
      <c r="BR23" s="158"/>
      <c r="BS23" s="228"/>
      <c r="BT23" s="257"/>
      <c r="BU23" s="257"/>
      <c r="BV23" s="258"/>
      <c r="BW23" s="259"/>
      <c r="BY23" s="158"/>
      <c r="BZ23" s="228"/>
    </row>
    <row r="24" ht="15" customHeight="1" spans="1:83">
      <c r="A24" s="141"/>
      <c r="B24" s="145"/>
      <c r="C24" s="256"/>
      <c r="D24" s="256"/>
      <c r="E24" s="256"/>
      <c r="F24" s="256"/>
      <c r="G24" s="256"/>
      <c r="BA24" s="256"/>
      <c r="BB24" s="256"/>
      <c r="BC24" s="256"/>
      <c r="BD24" s="256"/>
      <c r="BE24" s="256"/>
      <c r="BF24" s="256"/>
      <c r="BG24" s="256"/>
      <c r="BH24" s="256"/>
      <c r="BI24" s="242"/>
      <c r="BJ24" s="256"/>
      <c r="BK24" s="256"/>
      <c r="BL24" s="256"/>
      <c r="BM24" s="256"/>
      <c r="BN24" s="256"/>
      <c r="BO24" s="256"/>
      <c r="BP24" s="256"/>
      <c r="BQ24" s="256"/>
      <c r="BR24" s="158"/>
      <c r="BS24" s="228"/>
      <c r="BT24" s="257"/>
      <c r="BU24" s="257"/>
      <c r="BV24" s="258"/>
      <c r="BW24" s="259"/>
      <c r="BY24" s="158"/>
      <c r="BZ24" s="228"/>
    </row>
    <row r="25" ht="15" customHeight="1" spans="1:83">
      <c r="A25" s="141"/>
      <c r="B25" s="145"/>
      <c r="C25" s="256"/>
      <c r="D25" s="256"/>
      <c r="E25" s="256"/>
      <c r="F25" s="256"/>
      <c r="G25" s="256"/>
      <c r="BA25" s="256"/>
      <c r="BB25" s="256"/>
      <c r="BC25" s="256"/>
      <c r="BD25" s="256"/>
      <c r="BE25" s="256"/>
      <c r="BF25" s="256"/>
      <c r="BG25" s="256"/>
      <c r="BH25" s="256"/>
      <c r="BI25" s="242"/>
      <c r="BJ25" s="256"/>
      <c r="BK25" s="256"/>
      <c r="BL25" s="256"/>
      <c r="BM25" s="256"/>
      <c r="BN25" s="256"/>
      <c r="BO25" s="256"/>
      <c r="BP25" s="256"/>
      <c r="BQ25" s="256"/>
      <c r="BR25" s="158"/>
      <c r="BS25" s="228"/>
      <c r="BT25" s="257"/>
      <c r="BU25" s="257"/>
      <c r="BV25" s="258"/>
      <c r="BW25" s="259"/>
      <c r="BY25" s="158"/>
      <c r="BZ25" s="228"/>
    </row>
    <row r="26" ht="15" customHeight="1" spans="1:83">
      <c r="A26" s="141"/>
      <c r="B26" s="145"/>
      <c r="C26" s="256"/>
      <c r="D26" s="256"/>
      <c r="E26" s="256"/>
      <c r="F26" s="256"/>
      <c r="G26" s="256"/>
      <c r="BA26" s="256"/>
      <c r="BB26" s="256"/>
      <c r="BC26" s="256"/>
      <c r="BD26" s="256"/>
      <c r="BE26" s="256"/>
      <c r="BF26" s="256"/>
      <c r="BG26" s="256"/>
      <c r="BH26" s="256"/>
      <c r="BI26" s="242"/>
      <c r="BJ26" s="256"/>
      <c r="BK26" s="256"/>
      <c r="BL26" s="256"/>
      <c r="BM26" s="256"/>
      <c r="BN26" s="256"/>
      <c r="BO26" s="256"/>
      <c r="BP26" s="256"/>
      <c r="BQ26" s="256"/>
      <c r="BR26" s="158"/>
      <c r="BS26" s="228"/>
      <c r="BT26" s="257"/>
      <c r="BU26" s="257"/>
      <c r="BV26" s="258"/>
      <c r="BW26" s="259"/>
      <c r="BY26" s="158"/>
      <c r="BZ26" s="228"/>
    </row>
    <row r="27" ht="15" customHeight="1" spans="1:83">
      <c r="A27" s="141"/>
      <c r="B27" s="145"/>
      <c r="C27" s="256"/>
      <c r="D27" s="256"/>
      <c r="E27" s="256"/>
      <c r="F27" s="256"/>
      <c r="G27" s="256"/>
      <c r="BA27" s="256"/>
      <c r="BB27" s="256"/>
      <c r="BC27" s="256"/>
      <c r="BD27" s="256"/>
      <c r="BE27" s="256"/>
      <c r="BF27" s="256"/>
      <c r="BG27" s="256"/>
      <c r="BH27" s="256"/>
      <c r="BI27" s="242"/>
      <c r="BJ27" s="256"/>
      <c r="BK27" s="256"/>
      <c r="BL27" s="256"/>
      <c r="BM27" s="256"/>
      <c r="BN27" s="256"/>
      <c r="BO27" s="256"/>
      <c r="BP27" s="256"/>
      <c r="BQ27" s="256"/>
      <c r="BR27" s="158"/>
      <c r="BS27" s="228"/>
      <c r="BT27" s="257"/>
      <c r="BU27" s="257"/>
      <c r="BV27" s="258"/>
      <c r="BW27" s="259"/>
      <c r="BY27" s="158"/>
      <c r="BZ27" s="228"/>
    </row>
    <row r="28" s="73" customFormat="1" ht="15" customHeight="1" spans="1:83">
      <c r="A28" s="341" t="str">
        <f>流动资总!A8</f>
        <v>3-2</v>
      </c>
      <c r="B28" s="342" t="s">
        <v>1739</v>
      </c>
      <c r="C28" s="266">
        <f>SUM(C7:C27)</f>
        <v>0</v>
      </c>
      <c r="D28" s="266">
        <f>SUM(D7:D27)</f>
        <v>0</v>
      </c>
      <c r="E28" s="266">
        <f>SUM(E7:E27)</f>
        <v>0</v>
      </c>
      <c r="F28" s="266">
        <f>SUM(F7:F27)</f>
        <v>0</v>
      </c>
      <c r="G28" s="266" t="str">
        <f>IF(D28=0,"",F28/D28*100)</f>
        <v/>
      </c>
      <c r="BA28" s="256">
        <f t="shared" ref="BA28:BH28" si="17">SUM(BA7:BA27)</f>
        <v>0</v>
      </c>
      <c r="BB28" s="256">
        <f t="shared" si="17"/>
        <v>0</v>
      </c>
      <c r="BC28" s="256">
        <f t="shared" si="17"/>
        <v>0</v>
      </c>
      <c r="BD28" s="256">
        <f t="shared" si="17"/>
        <v>0</v>
      </c>
      <c r="BE28" s="256">
        <f t="shared" si="17"/>
        <v>0</v>
      </c>
      <c r="BF28" s="256">
        <f t="shared" si="17"/>
        <v>0</v>
      </c>
      <c r="BG28" s="256">
        <f t="shared" si="17"/>
        <v>0</v>
      </c>
      <c r="BH28" s="256">
        <f t="shared" si="17"/>
        <v>0</v>
      </c>
      <c r="BI28" s="267"/>
      <c r="BJ28" s="256">
        <f>SUM(BJ7:BJ27)</f>
        <v>0</v>
      </c>
      <c r="BK28" s="256">
        <f>SUM(BK7:BK27)</f>
        <v>0</v>
      </c>
      <c r="BL28" s="256">
        <f t="shared" ref="BL28:BQ28" si="18">SUM(BL7:BL27)</f>
        <v>0</v>
      </c>
      <c r="BM28" s="256">
        <f t="shared" si="18"/>
        <v>0</v>
      </c>
      <c r="BN28" s="256">
        <f t="shared" si="18"/>
        <v>0</v>
      </c>
      <c r="BO28" s="256">
        <f t="shared" si="18"/>
        <v>0</v>
      </c>
      <c r="BP28" s="256">
        <f t="shared" si="18"/>
        <v>0</v>
      </c>
      <c r="BQ28" s="256">
        <f t="shared" si="18"/>
        <v>0</v>
      </c>
      <c r="BR28" s="247"/>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ht="15" customHeight="1" spans="1:83">
      <c r="A29" s="75" t="str">
        <f>参数表!F$6</f>
        <v>产权持有单位填表人：贾广东</v>
      </c>
      <c r="B29" s="158"/>
      <c r="C29" s="158"/>
      <c r="D29" s="158"/>
      <c r="E29" s="158" t="str">
        <f>"评估人员："&amp;封面!$G$20</f>
        <v>评估人员：栗祥宁</v>
      </c>
      <c r="F29" s="158"/>
      <c r="G29" s="277"/>
    </row>
    <row r="30" ht="15" customHeight="1" spans="1:83">
      <c r="A30" s="75" t="str">
        <f>参数表!F$7</f>
        <v>填表日期：2025年9月20日</v>
      </c>
      <c r="B30" s="158"/>
      <c r="C30" s="158"/>
      <c r="D30" s="158"/>
      <c r="E30" s="158"/>
      <c r="F30" s="158"/>
    </row>
    <row r="31" customHeight="1" spans="1:83">
      <c r="A31" s="158"/>
      <c r="B31" s="158"/>
      <c r="C31" s="158"/>
      <c r="D31" s="158"/>
      <c r="E31" s="158"/>
      <c r="F31" s="158"/>
    </row>
    <row r="32" s="73" customFormat="1" customHeight="1" spans="1:83">
      <c r="A32" s="247"/>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257"/>
      <c r="BB32" s="738"/>
      <c r="BC32" s="738"/>
      <c r="BD32" s="738"/>
      <c r="BE32" s="738"/>
      <c r="BF32" s="738"/>
      <c r="BG32" s="1298"/>
      <c r="BH32" s="1298"/>
      <c r="BI32" s="1298"/>
      <c r="BJ32" s="1298"/>
      <c r="BK32" s="738"/>
      <c r="BL32" s="738"/>
      <c r="BM32" s="738"/>
      <c r="BN32" s="738"/>
      <c r="BO32" s="738"/>
      <c r="BP32" s="738"/>
      <c r="BQ32" s="738"/>
      <c r="BS32" s="158"/>
      <c r="BT32" s="158"/>
      <c r="BU32" s="158"/>
      <c r="BV32" s="158"/>
      <c r="BW32" s="158"/>
      <c r="BX32" s="158"/>
      <c r="BY32" s="228"/>
      <c r="BZ32" s="158"/>
      <c r="CA32" s="75"/>
      <c r="CB32" s="75"/>
      <c r="CC32" s="75"/>
      <c r="CD32" s="229"/>
      <c r="CE32" s="229"/>
    </row>
    <row r="33" customHeight="1" spans="1:53">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257"/>
    </row>
    <row r="34" customHeight="1" spans="1:53">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257"/>
    </row>
    <row r="35" customHeight="1" spans="1:53">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257"/>
    </row>
    <row r="36" customHeight="1" spans="1:53">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257"/>
    </row>
    <row r="37" customHeight="1" spans="1:53">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257"/>
    </row>
    <row r="38" customHeight="1" spans="1:53">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257"/>
    </row>
    <row r="39" customHeight="1" spans="1:53">
      <c r="A39" s="158"/>
      <c r="B39" s="158"/>
      <c r="C39" s="158"/>
      <c r="D39" s="158"/>
      <c r="E39" s="158"/>
      <c r="F39" s="158"/>
    </row>
    <row r="40" customHeight="1" spans="1:53">
      <c r="A40" s="158"/>
      <c r="B40" s="158"/>
      <c r="C40" s="158"/>
      <c r="D40" s="158"/>
      <c r="E40" s="158"/>
      <c r="F40" s="158"/>
    </row>
  </sheetData>
  <sheetProtection autoFilter="0"/>
  <mergeCells count="8">
    <mergeCell ref="A2:G2"/>
    <mergeCell ref="A3:G3"/>
    <mergeCell ref="BA4:BH4"/>
    <mergeCell ref="BJ4:BQ4"/>
    <mergeCell ref="BA5:BD5"/>
    <mergeCell ref="BE5:BH5"/>
    <mergeCell ref="BJ5:BM5"/>
    <mergeCell ref="BN5:BQ5"/>
  </mergeCells>
  <conditionalFormatting sqref="C7:G27">
    <cfRule type="expression" dxfId="3" priority="2">
      <formula>$D7+$E7=0</formula>
    </cfRule>
  </conditionalFormatting>
  <hyperlinks>
    <hyperlink ref="A1" location="索引目录!D9" display="返回索引页"/>
    <hyperlink ref="B1" location="流动资产汇总表!B8" display="返回"/>
    <hyperlink ref="B9" location="'交易性-基金'!B1" display="公允价值计量-基金投资"/>
    <hyperlink ref="B8" location="'交易性-债券'!B1" display="公允价值计量-债券投资"/>
    <hyperlink ref="B7" location="'交易性-股票'!B1" display="公允价值计量-股票投资"/>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dimension ref="A1:BT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18.2" style="75" customWidth="1"/>
    <col min="3" max="3" width="9" style="75"/>
    <col min="4" max="4" width="8.7" style="75" customWidth="1"/>
    <col min="5" max="5" width="8.6" style="75" customWidth="1"/>
    <col min="6" max="7" width="4.6" style="75" customWidth="1" outlineLevel="1"/>
    <col min="8" max="9" width="6.1" style="75" customWidth="1" outlineLevel="1"/>
    <col min="10" max="10" width="13.6" style="75" customWidth="1"/>
    <col min="11" max="11" width="13.6" style="75" customWidth="1" outlineLevel="1"/>
    <col min="12" max="12" width="13.6" style="76" customWidth="1" outlineLevel="1"/>
    <col min="13" max="13" width="13.6" style="75" customWidth="1"/>
    <col min="14" max="14" width="9.1" style="75" customWidth="1"/>
    <col min="15" max="15" width="13.6" style="75" customWidth="1"/>
    <col min="16" max="17" width="8.6" style="75" customWidth="1"/>
    <col min="18" max="18" width="9.5" style="75" customWidth="1"/>
    <col min="19" max="52" width="9" style="75" hidden="1" customWidth="1" outlineLevel="1"/>
    <col min="53" max="53" width="14.7" style="75" customWidth="1" collapsed="1"/>
    <col min="54" max="54" width="6.7" style="75" customWidth="1"/>
    <col min="55" max="56" width="4.7" style="165" customWidth="1"/>
    <col min="57" max="57" width="8.7" style="165" customWidth="1"/>
    <col min="58" max="59" width="9.6" style="75" customWidth="1"/>
    <col min="60" max="61" width="4.7" style="1310" customWidth="1"/>
    <col min="62" max="62" width="4.7" style="75" customWidth="1"/>
    <col min="63" max="63" width="8.7" style="75" customWidth="1"/>
    <col min="64" max="64" width="1.6" style="77" customWidth="1"/>
    <col min="65" max="65" width="10.6" style="78" customWidth="1"/>
    <col min="66" max="66" width="10.6" style="77" customWidth="1"/>
    <col min="67" max="67" width="4.6" style="78" customWidth="1"/>
    <col min="68" max="68" width="10.6" style="78" customWidth="1"/>
    <col min="69" max="70" width="4.6" style="78" customWidth="1"/>
    <col min="71" max="71" width="10.6" style="78" customWidth="1"/>
    <col min="72" max="72" width="5" style="77" customWidth="1"/>
    <col min="73" max="16384" width="9" style="75"/>
  </cols>
  <sheetData>
    <row r="1" s="86" customFormat="1" ht="13.8" spans="1:72">
      <c r="A1" s="203" t="s">
        <v>1591</v>
      </c>
      <c r="B1" s="204" t="s">
        <v>1592</v>
      </c>
      <c r="C1" s="82"/>
      <c r="D1" s="82"/>
      <c r="E1" s="82"/>
      <c r="F1" s="82"/>
      <c r="G1" s="82"/>
      <c r="H1" s="82"/>
      <c r="I1" s="82"/>
      <c r="J1" s="82"/>
      <c r="K1" s="82"/>
      <c r="L1" s="205"/>
      <c r="M1" s="82"/>
      <c r="N1" s="82"/>
      <c r="O1" s="82"/>
      <c r="P1" s="82"/>
      <c r="Q1" s="82"/>
      <c r="BA1" s="84" t="str">
        <f>参数表!BA1</f>
        <v>注意：补充特殊事项、作价等均从BA列开始填写</v>
      </c>
      <c r="BB1" s="85"/>
      <c r="BC1" s="82"/>
      <c r="BD1" s="82"/>
      <c r="BE1" s="82"/>
      <c r="BH1" s="1311"/>
      <c r="BI1" s="1311"/>
      <c r="BL1" s="87"/>
      <c r="BM1" s="88"/>
      <c r="BN1" s="87"/>
      <c r="BO1" s="88"/>
      <c r="BP1" s="88"/>
      <c r="BQ1" s="88"/>
      <c r="BR1" s="88"/>
      <c r="BS1" s="88"/>
      <c r="BT1" s="87"/>
    </row>
    <row r="2" s="71" customFormat="1" ht="30" customHeight="1" spans="1:72">
      <c r="A2" s="89" t="s">
        <v>1740</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C2" s="171"/>
      <c r="BD2" s="171"/>
      <c r="BE2" s="171"/>
      <c r="BH2" s="906"/>
      <c r="BI2" s="906"/>
      <c r="BL2" s="92"/>
      <c r="BM2" s="93"/>
      <c r="BN2" s="92"/>
      <c r="BO2" s="93"/>
      <c r="BP2" s="93"/>
      <c r="BQ2" s="93"/>
      <c r="BR2" s="93"/>
      <c r="BS2" s="93"/>
      <c r="BT2" s="92"/>
    </row>
    <row r="3" ht="15" customHeight="1" spans="1:72">
      <c r="A3" s="94" t="str">
        <f>参数表!F5</f>
        <v>评估基准日：2025年7月31日</v>
      </c>
      <c r="B3" s="94"/>
      <c r="C3" s="94"/>
      <c r="D3" s="94"/>
      <c r="E3" s="94"/>
      <c r="F3" s="94"/>
      <c r="G3" s="94"/>
      <c r="H3" s="94"/>
      <c r="I3" s="94"/>
      <c r="J3" s="94"/>
      <c r="K3" s="94"/>
      <c r="L3" s="94"/>
      <c r="M3" s="94"/>
      <c r="N3" s="94"/>
      <c r="O3" s="94"/>
      <c r="P3" s="94"/>
      <c r="Q3" s="94"/>
      <c r="R3" s="94"/>
      <c r="BA3" s="90" t="str">
        <f>参数表!BA3</f>
        <v>是否显示评估值：</v>
      </c>
      <c r="BB3" s="90" t="str">
        <f>参数表!BB3</f>
        <v>是</v>
      </c>
    </row>
    <row r="4" ht="15" customHeight="1" spans="1:72">
      <c r="A4" s="96"/>
      <c r="B4" s="94"/>
      <c r="C4" s="94"/>
      <c r="D4" s="94"/>
      <c r="E4" s="94"/>
      <c r="F4" s="94"/>
      <c r="G4" s="94"/>
      <c r="H4" s="94"/>
      <c r="I4" s="94"/>
      <c r="J4" s="94"/>
      <c r="K4" s="94"/>
      <c r="L4" s="97"/>
      <c r="M4" s="94"/>
      <c r="N4" s="95"/>
      <c r="O4" s="95"/>
      <c r="P4" s="95"/>
      <c r="Q4" s="95"/>
      <c r="R4" s="98" t="str">
        <f>"表"&amp;$BA4</f>
        <v>表3-2-1</v>
      </c>
      <c r="BA4" s="95" t="str">
        <f>公允计量金资总!A7</f>
        <v>3-2-1</v>
      </c>
      <c r="BB4" s="100">
        <f>MAX(COUNTA(A7:A26),COUNTA(B7:B26),COUNTA(K7:K26),COUNTA(M7:M26))</f>
        <v>20</v>
      </c>
      <c r="BC4" s="101">
        <f>ROW(A6)+1</f>
        <v>7</v>
      </c>
      <c r="BD4" s="77"/>
      <c r="BE4" s="77"/>
      <c r="BN4" s="78"/>
    </row>
    <row r="5" ht="15" customHeight="1" spans="1:72">
      <c r="A5" s="102" t="str">
        <f>参数表!F3</f>
        <v>产权持有单位:中煤第五建设有限公司</v>
      </c>
      <c r="B5" s="103"/>
      <c r="C5" s="103"/>
      <c r="D5" s="103"/>
      <c r="E5" s="103"/>
      <c r="F5" s="103"/>
      <c r="G5" s="103"/>
      <c r="H5" s="103"/>
      <c r="I5" s="103"/>
      <c r="J5" s="103"/>
      <c r="K5" s="103"/>
      <c r="L5" s="104"/>
      <c r="M5" s="103"/>
      <c r="N5" s="103"/>
      <c r="O5" s="103"/>
      <c r="P5" s="103"/>
      <c r="Q5" s="103"/>
      <c r="R5" s="98" t="s">
        <v>236</v>
      </c>
      <c r="BA5" s="103"/>
      <c r="BB5" s="105" t="str">
        <f ca="1">判断表!C11</f>
        <v>中煤第五建设有限公司第三工程处拟处置实物资产项目\[0000-3基础法明细表.xlsx]公允资-股票</v>
      </c>
      <c r="BC5" s="106">
        <f>IFERROR(SUMIF(BC7:BC26,"√",M7:M26)/M27,0)</f>
        <v>0</v>
      </c>
      <c r="BD5" s="107"/>
      <c r="BE5" s="107"/>
      <c r="BF5" s="284">
        <f>分类汇总!I9</f>
        <v>0</v>
      </c>
      <c r="BG5" s="284">
        <f>分类汇总!K9</f>
        <v>0</v>
      </c>
      <c r="BH5" s="901"/>
      <c r="BI5" s="901"/>
      <c r="BJ5" s="165"/>
      <c r="BL5" s="111"/>
      <c r="BN5" s="78"/>
      <c r="BR5" s="194"/>
      <c r="BS5" s="194"/>
      <c r="BT5" s="111"/>
    </row>
    <row r="6" s="72" customFormat="1" ht="25.2" customHeight="1" spans="1:72">
      <c r="A6" s="112" t="s">
        <v>305</v>
      </c>
      <c r="B6" s="113" t="s">
        <v>1741</v>
      </c>
      <c r="C6" s="113" t="s">
        <v>1742</v>
      </c>
      <c r="D6" s="113" t="s">
        <v>1743</v>
      </c>
      <c r="E6" s="113" t="s">
        <v>1744</v>
      </c>
      <c r="F6" s="114" t="s">
        <v>1631</v>
      </c>
      <c r="G6" s="115" t="s">
        <v>1632</v>
      </c>
      <c r="H6" s="116" t="s">
        <v>1745</v>
      </c>
      <c r="I6" s="115" t="s">
        <v>1633</v>
      </c>
      <c r="J6" s="113" t="s">
        <v>1746</v>
      </c>
      <c r="K6" s="113" t="s">
        <v>1549</v>
      </c>
      <c r="L6" s="117" t="s">
        <v>1634</v>
      </c>
      <c r="M6" s="113" t="s">
        <v>1523</v>
      </c>
      <c r="N6" s="118" t="s">
        <v>1747</v>
      </c>
      <c r="O6" s="113" t="s">
        <v>1550</v>
      </c>
      <c r="P6" s="113" t="s">
        <v>1525</v>
      </c>
      <c r="Q6" s="113" t="s">
        <v>1551</v>
      </c>
      <c r="R6" s="113" t="s">
        <v>308</v>
      </c>
      <c r="BA6" s="100" t="s">
        <v>1545</v>
      </c>
      <c r="BB6" s="100" t="s">
        <v>1635</v>
      </c>
      <c r="BC6" s="100" t="s">
        <v>1636</v>
      </c>
      <c r="BD6" s="100" t="s">
        <v>1637</v>
      </c>
      <c r="BE6" s="100" t="s">
        <v>1638</v>
      </c>
      <c r="BF6" s="115" t="s">
        <v>1639</v>
      </c>
      <c r="BG6" s="115" t="s">
        <v>1640</v>
      </c>
      <c r="BH6" s="118" t="s">
        <v>1748</v>
      </c>
      <c r="BI6" s="118" t="s">
        <v>1749</v>
      </c>
      <c r="BJ6" s="118" t="s">
        <v>1750</v>
      </c>
      <c r="BK6" s="113" t="s">
        <v>1644</v>
      </c>
      <c r="BL6" s="119"/>
      <c r="BM6" s="120" t="s">
        <v>1645</v>
      </c>
      <c r="BN6" s="121" t="s">
        <v>1646</v>
      </c>
      <c r="BO6" s="121" t="s">
        <v>1647</v>
      </c>
      <c r="BP6" s="121" t="s">
        <v>1648</v>
      </c>
      <c r="BQ6" s="121" t="s">
        <v>1647</v>
      </c>
      <c r="BR6" s="121" t="s">
        <v>1647</v>
      </c>
      <c r="BS6" s="121" t="s">
        <v>1649</v>
      </c>
      <c r="BT6" s="122" t="s">
        <v>1650</v>
      </c>
    </row>
    <row r="7" ht="15" customHeight="1" spans="1:72">
      <c r="A7" s="123" t="str">
        <f>IF(B7="","",COUNT(A$6:A6)+1)</f>
        <v/>
      </c>
      <c r="B7" s="124"/>
      <c r="C7" s="126"/>
      <c r="D7" s="125"/>
      <c r="E7" s="199"/>
      <c r="F7" s="127"/>
      <c r="G7" s="127" t="str">
        <f>IFERROR(VLOOKUP(F7,参数表!$H$2:$I$50,2,FALSE),"")</f>
        <v/>
      </c>
      <c r="H7" s="128" t="str">
        <f>IFERROR(IF(OR(F7="人民币",F7=""),"",J7/G7),"")</f>
        <v/>
      </c>
      <c r="I7" s="128" t="str">
        <f>IFERROR(IF(OR(F7="人民币",F7=""),"",M7/G7),"")</f>
        <v/>
      </c>
      <c r="J7" s="129"/>
      <c r="K7" s="129"/>
      <c r="L7" s="130"/>
      <c r="M7" s="129" t="str">
        <f>IF(C7="","",K7+L7)</f>
        <v/>
      </c>
      <c r="N7" s="129"/>
      <c r="O7" s="129" t="str">
        <f>IF(C7="","",IF(BB$3="是",E7*N7,""))</f>
        <v/>
      </c>
      <c r="P7" s="129" t="str">
        <f>IFERROR(O7-M7,"")</f>
        <v/>
      </c>
      <c r="Q7" s="129" t="str">
        <f>IFERROR(P7/M7*100,"")</f>
        <v/>
      </c>
      <c r="R7" s="131"/>
      <c r="BA7" s="78"/>
      <c r="BB7" s="132" t="s">
        <v>1751</v>
      </c>
      <c r="BC7" s="133"/>
      <c r="BD7" s="132" t="str">
        <f>IF(OR(B7="",BC7=""),"",COUNTIF(BC$7:BC7,"√"))</f>
        <v/>
      </c>
      <c r="BE7" s="134" t="str">
        <f t="shared" ref="BE7:BE26" si="0">IF(BC7="","",BB7&amp;"︱"&amp;B7&amp;"︱"&amp;TEXT(K7,"#,##0.00"))</f>
        <v/>
      </c>
      <c r="BF7" s="135" t="str">
        <f>IF($B7="","",IF(BF$5=0,"OK","出错"))</f>
        <v/>
      </c>
      <c r="BG7" s="135" t="str">
        <f>IF($B7="","",IF(BG$5=0,"OK","出错"))</f>
        <v/>
      </c>
      <c r="BH7" s="1312"/>
      <c r="BI7" s="1312"/>
      <c r="BJ7" s="1312"/>
      <c r="BK7" s="137"/>
      <c r="BM7" s="134" t="str">
        <f>IF(COUNTIF(BM$6:BM6,C7)&gt;0,"",C7)&amp;""</f>
        <v/>
      </c>
      <c r="BN7" s="138">
        <f>SUMIF(C$7:C$26,BM7,M$7:M$26)</f>
        <v>0</v>
      </c>
      <c r="BO7" s="132">
        <f t="shared" ref="BO7" si="1">RANK(BN7,BN$7:BN$26)</f>
        <v>1</v>
      </c>
      <c r="BP7" s="138">
        <f>SUMIF(C$7:C$26,BM7,O$7:O$26)</f>
        <v>0</v>
      </c>
      <c r="BQ7" s="132">
        <f>RANK(BP7,BP$7:BP$26)</f>
        <v>1</v>
      </c>
      <c r="BR7" s="138">
        <f>SUM(BN7:BN26)</f>
        <v>0</v>
      </c>
      <c r="BS7" s="138"/>
      <c r="BT7" s="138"/>
    </row>
    <row r="8" ht="15" customHeight="1" spans="1:72">
      <c r="A8" s="123" t="str">
        <f>IF(B8="","",COUNT(A$6:A7)+1)</f>
        <v/>
      </c>
      <c r="B8" s="139"/>
      <c r="C8" s="141"/>
      <c r="D8" s="140"/>
      <c r="E8" s="200"/>
      <c r="F8" s="142"/>
      <c r="G8" s="127" t="str">
        <f>IFERROR(VLOOKUP(F8,参数表!$H$2:$I$50,2,FALSE),"")</f>
        <v/>
      </c>
      <c r="H8" s="128" t="str">
        <f t="shared" ref="H8:H26" si="2">IFERROR(IF(OR(F8="人民币",F8=""),"",J8/G8),"")</f>
        <v/>
      </c>
      <c r="I8" s="128" t="str">
        <f t="shared" ref="I8:I26" si="3">IFERROR(IF(OR(F8="人民币",F8=""),"",M8/G8),"")</f>
        <v/>
      </c>
      <c r="J8" s="143"/>
      <c r="K8" s="143"/>
      <c r="L8" s="144"/>
      <c r="M8" s="129" t="str">
        <f t="shared" ref="M8:M26" si="4">IF(C8="","",K8+L8)</f>
        <v/>
      </c>
      <c r="N8" s="143"/>
      <c r="O8" s="129" t="str">
        <f t="shared" ref="O8:O26" si="5">IF(C8="","",IF(BB$3="是",E8*N8,""))</f>
        <v/>
      </c>
      <c r="P8" s="129" t="str">
        <f t="shared" ref="P8:P27" si="6">IFERROR(O8-M8,"")</f>
        <v/>
      </c>
      <c r="Q8" s="129" t="str">
        <f t="shared" ref="Q8:Q27" si="7">IFERROR(P8/M8*100,"")</f>
        <v/>
      </c>
      <c r="R8" s="145"/>
      <c r="BA8" s="78"/>
      <c r="BB8" s="132" t="s">
        <v>1752</v>
      </c>
      <c r="BC8" s="133"/>
      <c r="BD8" s="132" t="str">
        <f>IF(OR(B8="",BC8=""),"",COUNTIF(BC$7:BC8,"√"))</f>
        <v/>
      </c>
      <c r="BE8" s="134" t="str">
        <f t="shared" si="0"/>
        <v/>
      </c>
      <c r="BF8" s="135" t="str">
        <f t="shared" ref="BF8:BF26" si="8">IF(B8="","",IF(BF$5=0,"OK","出错"))</f>
        <v/>
      </c>
      <c r="BG8" s="135" t="str">
        <f t="shared" ref="BG8:BG26" si="9">IF($B8="","",IF(BG$5=0,"OK","出错"))</f>
        <v/>
      </c>
      <c r="BH8" s="1312"/>
      <c r="BI8" s="1312"/>
      <c r="BJ8" s="1312"/>
      <c r="BK8" s="137"/>
      <c r="BM8" s="134" t="str">
        <f>IF(COUNTIF(BM$6:BM7,C8)&gt;0,"",C8)&amp;""</f>
        <v/>
      </c>
      <c r="BN8" s="138">
        <f t="shared" ref="BN8:BN26" si="10">SUMIF(C$7:C$26,BM8,M$7:M$26)</f>
        <v>0</v>
      </c>
      <c r="BO8" s="132">
        <f t="shared" ref="BO8:BO26" si="11">RANK(BN8,BN$7:BN$26)</f>
        <v>1</v>
      </c>
      <c r="BP8" s="138">
        <f t="shared" ref="BP8:BP26" si="12">SUMIF(C$7:C$26,BM8,O$7:O$26)</f>
        <v>0</v>
      </c>
      <c r="BQ8" s="132">
        <f t="shared" ref="BQ8:BQ26" si="13">RANK(BP8,BP$7:BP$26)</f>
        <v>1</v>
      </c>
      <c r="BR8" s="138">
        <f>SUM(BP7:BP26)</f>
        <v>0</v>
      </c>
      <c r="BS8" s="138"/>
      <c r="BT8" s="138"/>
    </row>
    <row r="9" ht="15" customHeight="1" spans="1:72">
      <c r="A9" s="123" t="str">
        <f>IF(B9="","",COUNT(A$6:A8)+1)</f>
        <v/>
      </c>
      <c r="B9" s="139"/>
      <c r="C9" s="141"/>
      <c r="D9" s="140"/>
      <c r="E9" s="200"/>
      <c r="F9" s="142"/>
      <c r="G9" s="127" t="str">
        <f>IFERROR(VLOOKUP(F9,参数表!$H$2:$I$50,2,FALSE),"")</f>
        <v/>
      </c>
      <c r="H9" s="128" t="str">
        <f t="shared" si="2"/>
        <v/>
      </c>
      <c r="I9" s="128" t="str">
        <f t="shared" si="3"/>
        <v/>
      </c>
      <c r="J9" s="143"/>
      <c r="K9" s="143"/>
      <c r="L9" s="144"/>
      <c r="M9" s="129" t="str">
        <f t="shared" si="4"/>
        <v/>
      </c>
      <c r="N9" s="143"/>
      <c r="O9" s="129" t="str">
        <f t="shared" si="5"/>
        <v/>
      </c>
      <c r="P9" s="129" t="str">
        <f t="shared" si="6"/>
        <v/>
      </c>
      <c r="Q9" s="129" t="str">
        <f t="shared" si="7"/>
        <v/>
      </c>
      <c r="R9" s="145"/>
      <c r="BA9" s="78"/>
      <c r="BB9" s="132" t="s">
        <v>1753</v>
      </c>
      <c r="BC9" s="133"/>
      <c r="BD9" s="132" t="str">
        <f>IF(OR(B9="",BC9=""),"",COUNTIF(BC$7:BC9,"√"))</f>
        <v/>
      </c>
      <c r="BE9" s="134" t="str">
        <f t="shared" si="0"/>
        <v/>
      </c>
      <c r="BF9" s="135" t="str">
        <f t="shared" si="8"/>
        <v/>
      </c>
      <c r="BG9" s="135" t="str">
        <f t="shared" si="9"/>
        <v/>
      </c>
      <c r="BH9" s="1312"/>
      <c r="BI9" s="1312"/>
      <c r="BJ9" s="1312"/>
      <c r="BK9" s="137"/>
      <c r="BM9" s="134" t="str">
        <f>IF(COUNTIF(BM$6:BM8,C9)&gt;0,"",C9)&amp;""</f>
        <v/>
      </c>
      <c r="BN9" s="138">
        <f t="shared" si="10"/>
        <v>0</v>
      </c>
      <c r="BO9" s="132">
        <f t="shared" si="11"/>
        <v>1</v>
      </c>
      <c r="BP9" s="138">
        <f t="shared" si="12"/>
        <v>0</v>
      </c>
      <c r="BQ9" s="132">
        <f t="shared" si="13"/>
        <v>1</v>
      </c>
      <c r="BR9" s="132">
        <v>1</v>
      </c>
      <c r="BS9" s="134" t="str">
        <f>IFERROR(INDEX(BM$7:BM$26,MATCH(BR9,IF(BR$7=0,BQ$7:BQ$26,BO$7:BO$26),0))&amp;"","")</f>
        <v/>
      </c>
      <c r="BT9" s="146" t="str">
        <f>IF(BS10="","",IF(BS11="","和","、"))</f>
        <v/>
      </c>
    </row>
    <row r="10" ht="15" customHeight="1" spans="1:72">
      <c r="A10" s="123" t="str">
        <f>IF(B10="","",COUNT(A$6:A9)+1)</f>
        <v/>
      </c>
      <c r="B10" s="139"/>
      <c r="C10" s="141"/>
      <c r="D10" s="140"/>
      <c r="E10" s="200"/>
      <c r="F10" s="142"/>
      <c r="G10" s="127" t="str">
        <f>IFERROR(VLOOKUP(F10,参数表!$H$2:$I$50,2,FALSE),"")</f>
        <v/>
      </c>
      <c r="H10" s="128" t="str">
        <f t="shared" si="2"/>
        <v/>
      </c>
      <c r="I10" s="128" t="str">
        <f t="shared" si="3"/>
        <v/>
      </c>
      <c r="J10" s="143"/>
      <c r="K10" s="143"/>
      <c r="L10" s="144"/>
      <c r="M10" s="129" t="str">
        <f t="shared" si="4"/>
        <v/>
      </c>
      <c r="N10" s="143"/>
      <c r="O10" s="129" t="str">
        <f t="shared" si="5"/>
        <v/>
      </c>
      <c r="P10" s="129" t="str">
        <f t="shared" si="6"/>
        <v/>
      </c>
      <c r="Q10" s="129" t="str">
        <f t="shared" si="7"/>
        <v/>
      </c>
      <c r="R10" s="145"/>
      <c r="BA10" s="78"/>
      <c r="BB10" s="132" t="s">
        <v>1754</v>
      </c>
      <c r="BC10" s="133"/>
      <c r="BD10" s="132" t="str">
        <f>IF(OR(B10="",BC10=""),"",COUNTIF(BC$7:BC10,"√"))</f>
        <v/>
      </c>
      <c r="BE10" s="134" t="str">
        <f t="shared" si="0"/>
        <v/>
      </c>
      <c r="BF10" s="135" t="str">
        <f t="shared" si="8"/>
        <v/>
      </c>
      <c r="BG10" s="135" t="str">
        <f t="shared" si="9"/>
        <v/>
      </c>
      <c r="BH10" s="1312"/>
      <c r="BI10" s="1312"/>
      <c r="BJ10" s="1312"/>
      <c r="BK10" s="137"/>
      <c r="BM10" s="134" t="str">
        <f>IF(COUNTIF(BM$6:BM9,C10)&gt;0,"",C10)&amp;""</f>
        <v/>
      </c>
      <c r="BN10" s="138">
        <f t="shared" si="10"/>
        <v>0</v>
      </c>
      <c r="BO10" s="132">
        <f t="shared" si="11"/>
        <v>1</v>
      </c>
      <c r="BP10" s="138">
        <f t="shared" si="12"/>
        <v>0</v>
      </c>
      <c r="BQ10" s="132">
        <f t="shared" si="13"/>
        <v>1</v>
      </c>
      <c r="BR10" s="132">
        <v>2</v>
      </c>
      <c r="BS10" s="134" t="str">
        <f t="shared" ref="BS10:BS13" si="14">IFERROR(INDEX(BM$7:BM$26,MATCH(BR10,IF(BR$7=0,BQ$7:BQ$26,BO$7:BO$26),0))&amp;"","")</f>
        <v/>
      </c>
      <c r="BT10" s="146" t="str">
        <f t="shared" ref="BT10:BT11" si="15">IF(BS11="","",IF(BS12="","和","、"))</f>
        <v/>
      </c>
    </row>
    <row r="11" ht="15" customHeight="1" spans="1:72">
      <c r="A11" s="123" t="str">
        <f>IF(B11="","",COUNT(A$6:A10)+1)</f>
        <v/>
      </c>
      <c r="B11" s="139"/>
      <c r="C11" s="141"/>
      <c r="D11" s="140"/>
      <c r="E11" s="200"/>
      <c r="F11" s="142"/>
      <c r="G11" s="127" t="str">
        <f>IFERROR(VLOOKUP(F11,参数表!$H$2:$I$50,2,FALSE),"")</f>
        <v/>
      </c>
      <c r="H11" s="128" t="str">
        <f t="shared" si="2"/>
        <v/>
      </c>
      <c r="I11" s="128" t="str">
        <f t="shared" si="3"/>
        <v/>
      </c>
      <c r="J11" s="143"/>
      <c r="K11" s="143"/>
      <c r="L11" s="144"/>
      <c r="M11" s="129" t="str">
        <f t="shared" si="4"/>
        <v/>
      </c>
      <c r="N11" s="143"/>
      <c r="O11" s="129" t="str">
        <f t="shared" si="5"/>
        <v/>
      </c>
      <c r="P11" s="129" t="str">
        <f t="shared" si="6"/>
        <v/>
      </c>
      <c r="Q11" s="129" t="str">
        <f t="shared" si="7"/>
        <v/>
      </c>
      <c r="R11" s="145"/>
      <c r="BA11" s="78"/>
      <c r="BB11" s="132" t="s">
        <v>1755</v>
      </c>
      <c r="BC11" s="133"/>
      <c r="BD11" s="132" t="str">
        <f>IF(OR(B11="",BC11=""),"",COUNTIF(BC$7:BC11,"√"))</f>
        <v/>
      </c>
      <c r="BE11" s="134" t="str">
        <f t="shared" si="0"/>
        <v/>
      </c>
      <c r="BF11" s="135" t="str">
        <f t="shared" si="8"/>
        <v/>
      </c>
      <c r="BG11" s="135" t="str">
        <f t="shared" si="9"/>
        <v/>
      </c>
      <c r="BH11" s="1312"/>
      <c r="BI11" s="1312"/>
      <c r="BJ11" s="1312"/>
      <c r="BK11" s="137"/>
      <c r="BM11" s="134" t="str">
        <f>IF(COUNTIF(BM$6:BM10,C11)&gt;0,"",C11)&amp;""</f>
        <v/>
      </c>
      <c r="BN11" s="138">
        <f t="shared" si="10"/>
        <v>0</v>
      </c>
      <c r="BO11" s="132">
        <f t="shared" si="11"/>
        <v>1</v>
      </c>
      <c r="BP11" s="138">
        <f t="shared" si="12"/>
        <v>0</v>
      </c>
      <c r="BQ11" s="132">
        <f t="shared" si="13"/>
        <v>1</v>
      </c>
      <c r="BR11" s="132">
        <v>3</v>
      </c>
      <c r="BS11" s="134" t="str">
        <f t="shared" si="14"/>
        <v/>
      </c>
      <c r="BT11" s="146" t="str">
        <f t="shared" si="15"/>
        <v/>
      </c>
    </row>
    <row r="12" ht="15" customHeight="1" spans="1:72">
      <c r="A12" s="123" t="str">
        <f>IF(B12="","",COUNT(A$6:A11)+1)</f>
        <v/>
      </c>
      <c r="B12" s="139"/>
      <c r="C12" s="141"/>
      <c r="D12" s="140"/>
      <c r="E12" s="200"/>
      <c r="F12" s="142"/>
      <c r="G12" s="127" t="str">
        <f>IFERROR(VLOOKUP(F12,参数表!$H$2:$I$50,2,FALSE),"")</f>
        <v/>
      </c>
      <c r="H12" s="128" t="str">
        <f t="shared" si="2"/>
        <v/>
      </c>
      <c r="I12" s="128" t="str">
        <f t="shared" si="3"/>
        <v/>
      </c>
      <c r="J12" s="143"/>
      <c r="K12" s="143"/>
      <c r="L12" s="144"/>
      <c r="M12" s="129" t="str">
        <f t="shared" si="4"/>
        <v/>
      </c>
      <c r="N12" s="143"/>
      <c r="O12" s="129" t="str">
        <f t="shared" si="5"/>
        <v/>
      </c>
      <c r="P12" s="129" t="str">
        <f t="shared" si="6"/>
        <v/>
      </c>
      <c r="Q12" s="129" t="str">
        <f t="shared" si="7"/>
        <v/>
      </c>
      <c r="R12" s="145"/>
      <c r="BA12" s="78"/>
      <c r="BB12" s="132" t="s">
        <v>1756</v>
      </c>
      <c r="BC12" s="133"/>
      <c r="BD12" s="132" t="str">
        <f>IF(OR(B12="",BC12=""),"",COUNTIF(BC$7:BC12,"√"))</f>
        <v/>
      </c>
      <c r="BE12" s="134" t="str">
        <f t="shared" si="0"/>
        <v/>
      </c>
      <c r="BF12" s="135" t="str">
        <f t="shared" si="8"/>
        <v/>
      </c>
      <c r="BG12" s="135" t="str">
        <f t="shared" si="9"/>
        <v/>
      </c>
      <c r="BH12" s="1312"/>
      <c r="BI12" s="1312"/>
      <c r="BJ12" s="1312"/>
      <c r="BK12" s="137"/>
      <c r="BM12" s="134" t="str">
        <f>IF(COUNTIF(BM$6:BM11,C12)&gt;0,"",C12)&amp;""</f>
        <v/>
      </c>
      <c r="BN12" s="138">
        <f t="shared" si="10"/>
        <v>0</v>
      </c>
      <c r="BO12" s="132">
        <f t="shared" si="11"/>
        <v>1</v>
      </c>
      <c r="BP12" s="138">
        <f t="shared" si="12"/>
        <v>0</v>
      </c>
      <c r="BQ12" s="132">
        <f t="shared" si="13"/>
        <v>1</v>
      </c>
      <c r="BR12" s="132">
        <v>4</v>
      </c>
      <c r="BS12" s="134" t="str">
        <f t="shared" si="14"/>
        <v/>
      </c>
      <c r="BT12" s="146" t="str">
        <f>IF(BS13="","","和")</f>
        <v/>
      </c>
    </row>
    <row r="13" ht="15" customHeight="1" spans="1:72">
      <c r="A13" s="123" t="str">
        <f>IF(B13="","",COUNT(A$6:A12)+1)</f>
        <v/>
      </c>
      <c r="B13" s="139"/>
      <c r="C13" s="141"/>
      <c r="D13" s="140"/>
      <c r="E13" s="200"/>
      <c r="F13" s="142"/>
      <c r="G13" s="127" t="str">
        <f>IFERROR(VLOOKUP(F13,参数表!$H$2:$I$50,2,FALSE),"")</f>
        <v/>
      </c>
      <c r="H13" s="128" t="str">
        <f t="shared" si="2"/>
        <v/>
      </c>
      <c r="I13" s="128" t="str">
        <f t="shared" si="3"/>
        <v/>
      </c>
      <c r="J13" s="143"/>
      <c r="K13" s="143"/>
      <c r="L13" s="144"/>
      <c r="M13" s="129" t="str">
        <f t="shared" si="4"/>
        <v/>
      </c>
      <c r="N13" s="143"/>
      <c r="O13" s="129" t="str">
        <f t="shared" si="5"/>
        <v/>
      </c>
      <c r="P13" s="129" t="str">
        <f t="shared" si="6"/>
        <v/>
      </c>
      <c r="Q13" s="129" t="str">
        <f t="shared" si="7"/>
        <v/>
      </c>
      <c r="R13" s="145"/>
      <c r="BA13" s="78"/>
      <c r="BB13" s="132" t="s">
        <v>1757</v>
      </c>
      <c r="BC13" s="133"/>
      <c r="BD13" s="132" t="str">
        <f>IF(OR(B13="",BC13=""),"",COUNTIF(BC$7:BC13,"√"))</f>
        <v/>
      </c>
      <c r="BE13" s="134" t="str">
        <f t="shared" si="0"/>
        <v/>
      </c>
      <c r="BF13" s="135" t="str">
        <f t="shared" si="8"/>
        <v/>
      </c>
      <c r="BG13" s="135" t="str">
        <f t="shared" si="9"/>
        <v/>
      </c>
      <c r="BH13" s="1312"/>
      <c r="BI13" s="1312"/>
      <c r="BJ13" s="1312"/>
      <c r="BK13" s="137"/>
      <c r="BM13" s="134" t="str">
        <f>IF(COUNTIF(BM$6:BM12,C13)&gt;0,"",C13)&amp;""</f>
        <v/>
      </c>
      <c r="BN13" s="138">
        <f t="shared" si="10"/>
        <v>0</v>
      </c>
      <c r="BO13" s="132">
        <f t="shared" si="11"/>
        <v>1</v>
      </c>
      <c r="BP13" s="138">
        <f t="shared" si="12"/>
        <v>0</v>
      </c>
      <c r="BQ13" s="132">
        <f t="shared" si="13"/>
        <v>1</v>
      </c>
      <c r="BR13" s="132">
        <v>5</v>
      </c>
      <c r="BS13" s="134" t="str">
        <f t="shared" si="14"/>
        <v/>
      </c>
      <c r="BT13" s="146"/>
    </row>
    <row r="14" ht="15" customHeight="1" spans="1:72">
      <c r="A14" s="123" t="str">
        <f>IF(B14="","",COUNT(A$6:A13)+1)</f>
        <v/>
      </c>
      <c r="B14" s="139"/>
      <c r="C14" s="141"/>
      <c r="D14" s="140"/>
      <c r="E14" s="200"/>
      <c r="F14" s="142"/>
      <c r="G14" s="127" t="str">
        <f>IFERROR(VLOOKUP(F14,参数表!$H$2:$I$50,2,FALSE),"")</f>
        <v/>
      </c>
      <c r="H14" s="128" t="str">
        <f t="shared" si="2"/>
        <v/>
      </c>
      <c r="I14" s="128" t="str">
        <f t="shared" si="3"/>
        <v/>
      </c>
      <c r="J14" s="143"/>
      <c r="K14" s="143"/>
      <c r="L14" s="144"/>
      <c r="M14" s="129" t="str">
        <f t="shared" si="4"/>
        <v/>
      </c>
      <c r="N14" s="143"/>
      <c r="O14" s="129" t="str">
        <f t="shared" si="5"/>
        <v/>
      </c>
      <c r="P14" s="129" t="str">
        <f t="shared" si="6"/>
        <v/>
      </c>
      <c r="Q14" s="129" t="str">
        <f t="shared" si="7"/>
        <v/>
      </c>
      <c r="R14" s="145"/>
      <c r="BA14" s="78"/>
      <c r="BB14" s="132" t="s">
        <v>1758</v>
      </c>
      <c r="BC14" s="133"/>
      <c r="BD14" s="132" t="str">
        <f>IF(OR(B14="",BC14=""),"",COUNTIF(BC$7:BC14,"√"))</f>
        <v/>
      </c>
      <c r="BE14" s="134" t="str">
        <f t="shared" si="0"/>
        <v/>
      </c>
      <c r="BF14" s="135" t="str">
        <f t="shared" si="8"/>
        <v/>
      </c>
      <c r="BG14" s="135" t="str">
        <f t="shared" si="9"/>
        <v/>
      </c>
      <c r="BH14" s="1312"/>
      <c r="BI14" s="1312"/>
      <c r="BJ14" s="1312"/>
      <c r="BK14" s="137"/>
      <c r="BM14" s="134" t="str">
        <f>IF(COUNTIF(BM$6:BM13,C14)&gt;0,"",C14)&amp;""</f>
        <v/>
      </c>
      <c r="BN14" s="138">
        <f t="shared" si="10"/>
        <v>0</v>
      </c>
      <c r="BO14" s="132">
        <f t="shared" si="11"/>
        <v>1</v>
      </c>
      <c r="BP14" s="138">
        <f t="shared" si="12"/>
        <v>0</v>
      </c>
      <c r="BQ14" s="132">
        <f t="shared" si="13"/>
        <v>1</v>
      </c>
      <c r="BR14" s="147" t="s">
        <v>1659</v>
      </c>
      <c r="BS14" s="132" t="str">
        <f>CONCATENATE(BS9,BT9,BS10,BT10,BS11,BT11,BS12,BT12,BS13)</f>
        <v/>
      </c>
      <c r="BT14" s="132"/>
    </row>
    <row r="15" ht="15" customHeight="1" spans="1:72">
      <c r="A15" s="123" t="str">
        <f>IF(B15="","",COUNT(A$6:A14)+1)</f>
        <v/>
      </c>
      <c r="B15" s="139"/>
      <c r="C15" s="141"/>
      <c r="D15" s="140"/>
      <c r="E15" s="200"/>
      <c r="F15" s="142"/>
      <c r="G15" s="127" t="str">
        <f>IFERROR(VLOOKUP(F15,参数表!$H$2:$I$50,2,FALSE),"")</f>
        <v/>
      </c>
      <c r="H15" s="128" t="str">
        <f t="shared" si="2"/>
        <v/>
      </c>
      <c r="I15" s="128" t="str">
        <f t="shared" si="3"/>
        <v/>
      </c>
      <c r="J15" s="143"/>
      <c r="K15" s="143"/>
      <c r="L15" s="144"/>
      <c r="M15" s="129" t="str">
        <f t="shared" si="4"/>
        <v/>
      </c>
      <c r="N15" s="143"/>
      <c r="O15" s="129" t="str">
        <f t="shared" si="5"/>
        <v/>
      </c>
      <c r="P15" s="129" t="str">
        <f t="shared" si="6"/>
        <v/>
      </c>
      <c r="Q15" s="129" t="str">
        <f t="shared" si="7"/>
        <v/>
      </c>
      <c r="R15" s="145"/>
      <c r="BA15" s="78"/>
      <c r="BB15" s="132" t="s">
        <v>1759</v>
      </c>
      <c r="BC15" s="133"/>
      <c r="BD15" s="132" t="str">
        <f>IF(OR(B15="",BC15=""),"",COUNTIF(BC$7:BC15,"√"))</f>
        <v/>
      </c>
      <c r="BE15" s="134" t="str">
        <f t="shared" si="0"/>
        <v/>
      </c>
      <c r="BF15" s="135" t="str">
        <f t="shared" si="8"/>
        <v/>
      </c>
      <c r="BG15" s="135" t="str">
        <f t="shared" si="9"/>
        <v/>
      </c>
      <c r="BH15" s="1312"/>
      <c r="BI15" s="1312"/>
      <c r="BJ15" s="1312"/>
      <c r="BK15" s="137"/>
      <c r="BM15" s="134" t="str">
        <f>IF(COUNTIF(BM$6:BM14,C15)&gt;0,"",C15)&amp;""</f>
        <v/>
      </c>
      <c r="BN15" s="138">
        <f t="shared" si="10"/>
        <v>0</v>
      </c>
      <c r="BO15" s="132">
        <f t="shared" si="11"/>
        <v>1</v>
      </c>
      <c r="BP15" s="138">
        <f t="shared" si="12"/>
        <v>0</v>
      </c>
      <c r="BQ15" s="132">
        <f t="shared" si="13"/>
        <v>1</v>
      </c>
      <c r="BR15" s="133"/>
      <c r="BS15" s="133"/>
    </row>
    <row r="16" ht="15" customHeight="1" spans="1:72">
      <c r="A16" s="123" t="str">
        <f>IF(B16="","",COUNT(A$6:A15)+1)</f>
        <v/>
      </c>
      <c r="B16" s="139"/>
      <c r="C16" s="141"/>
      <c r="D16" s="140"/>
      <c r="E16" s="200"/>
      <c r="F16" s="142"/>
      <c r="G16" s="127" t="str">
        <f>IFERROR(VLOOKUP(F16,参数表!$H$2:$I$50,2,FALSE),"")</f>
        <v/>
      </c>
      <c r="H16" s="128" t="str">
        <f t="shared" si="2"/>
        <v/>
      </c>
      <c r="I16" s="128" t="str">
        <f t="shared" si="3"/>
        <v/>
      </c>
      <c r="J16" s="143"/>
      <c r="K16" s="143"/>
      <c r="L16" s="144"/>
      <c r="M16" s="129" t="str">
        <f t="shared" si="4"/>
        <v/>
      </c>
      <c r="N16" s="143"/>
      <c r="O16" s="129" t="str">
        <f t="shared" si="5"/>
        <v/>
      </c>
      <c r="P16" s="129" t="str">
        <f t="shared" si="6"/>
        <v/>
      </c>
      <c r="Q16" s="129" t="str">
        <f t="shared" si="7"/>
        <v/>
      </c>
      <c r="R16" s="145"/>
      <c r="BA16" s="78"/>
      <c r="BB16" s="132" t="s">
        <v>1760</v>
      </c>
      <c r="BC16" s="133"/>
      <c r="BD16" s="132" t="str">
        <f>IF(OR(B16="",BC16=""),"",COUNTIF(BC$7:BC16,"√"))</f>
        <v/>
      </c>
      <c r="BE16" s="134" t="str">
        <f t="shared" si="0"/>
        <v/>
      </c>
      <c r="BF16" s="135" t="str">
        <f t="shared" si="8"/>
        <v/>
      </c>
      <c r="BG16" s="135" t="str">
        <f t="shared" si="9"/>
        <v/>
      </c>
      <c r="BH16" s="1312"/>
      <c r="BI16" s="1312"/>
      <c r="BJ16" s="1312"/>
      <c r="BK16" s="137"/>
      <c r="BM16" s="134" t="str">
        <f>IF(COUNTIF(BM$6:BM15,C16)&gt;0,"",C16)&amp;""</f>
        <v/>
      </c>
      <c r="BN16" s="138">
        <f t="shared" si="10"/>
        <v>0</v>
      </c>
      <c r="BO16" s="132">
        <f t="shared" si="11"/>
        <v>1</v>
      </c>
      <c r="BP16" s="138">
        <f t="shared" si="12"/>
        <v>0</v>
      </c>
      <c r="BQ16" s="132">
        <f t="shared" si="13"/>
        <v>1</v>
      </c>
      <c r="BR16" s="133"/>
      <c r="BS16" s="148"/>
    </row>
    <row r="17" ht="15" customHeight="1" spans="1:72">
      <c r="A17" s="123" t="str">
        <f>IF(B17="","",COUNT(A$6:A16)+1)</f>
        <v/>
      </c>
      <c r="B17" s="139"/>
      <c r="C17" s="141"/>
      <c r="D17" s="140"/>
      <c r="E17" s="200"/>
      <c r="F17" s="142"/>
      <c r="G17" s="127" t="str">
        <f>IFERROR(VLOOKUP(F17,参数表!$H$2:$I$50,2,FALSE),"")</f>
        <v/>
      </c>
      <c r="H17" s="128" t="str">
        <f t="shared" si="2"/>
        <v/>
      </c>
      <c r="I17" s="128" t="str">
        <f t="shared" si="3"/>
        <v/>
      </c>
      <c r="J17" s="143"/>
      <c r="K17" s="143"/>
      <c r="L17" s="144"/>
      <c r="M17" s="129" t="str">
        <f t="shared" si="4"/>
        <v/>
      </c>
      <c r="N17" s="143"/>
      <c r="O17" s="129" t="str">
        <f t="shared" si="5"/>
        <v/>
      </c>
      <c r="P17" s="129" t="str">
        <f t="shared" si="6"/>
        <v/>
      </c>
      <c r="Q17" s="129" t="str">
        <f t="shared" si="7"/>
        <v/>
      </c>
      <c r="R17" s="145"/>
      <c r="BA17" s="78"/>
      <c r="BB17" s="132" t="s">
        <v>1761</v>
      </c>
      <c r="BC17" s="133"/>
      <c r="BD17" s="132" t="str">
        <f>IF(OR(B17="",BC17=""),"",COUNTIF(BC$7:BC17,"√"))</f>
        <v/>
      </c>
      <c r="BE17" s="134" t="str">
        <f t="shared" si="0"/>
        <v/>
      </c>
      <c r="BF17" s="135" t="str">
        <f t="shared" si="8"/>
        <v/>
      </c>
      <c r="BG17" s="135" t="str">
        <f t="shared" si="9"/>
        <v/>
      </c>
      <c r="BH17" s="1312"/>
      <c r="BI17" s="1312"/>
      <c r="BJ17" s="1312"/>
      <c r="BK17" s="137"/>
      <c r="BM17" s="134" t="str">
        <f>IF(COUNTIF(BM$6:BM16,C17)&gt;0,"",C17)&amp;""</f>
        <v/>
      </c>
      <c r="BN17" s="138">
        <f t="shared" si="10"/>
        <v>0</v>
      </c>
      <c r="BO17" s="132">
        <f t="shared" si="11"/>
        <v>1</v>
      </c>
      <c r="BP17" s="138">
        <f t="shared" si="12"/>
        <v>0</v>
      </c>
      <c r="BQ17" s="132">
        <f t="shared" si="13"/>
        <v>1</v>
      </c>
      <c r="BR17" s="133"/>
      <c r="BS17" s="133"/>
    </row>
    <row r="18" ht="15" customHeight="1" spans="1:72">
      <c r="A18" s="123" t="str">
        <f>IF(B18="","",COUNT(A$6:A17)+1)</f>
        <v/>
      </c>
      <c r="B18" s="139"/>
      <c r="C18" s="141"/>
      <c r="D18" s="140"/>
      <c r="E18" s="200"/>
      <c r="F18" s="142"/>
      <c r="G18" s="127" t="str">
        <f>IFERROR(VLOOKUP(F18,参数表!$H$2:$I$50,2,FALSE),"")</f>
        <v/>
      </c>
      <c r="H18" s="128" t="str">
        <f t="shared" si="2"/>
        <v/>
      </c>
      <c r="I18" s="128" t="str">
        <f t="shared" si="3"/>
        <v/>
      </c>
      <c r="J18" s="143"/>
      <c r="K18" s="143"/>
      <c r="L18" s="144"/>
      <c r="M18" s="129" t="str">
        <f t="shared" si="4"/>
        <v/>
      </c>
      <c r="N18" s="143"/>
      <c r="O18" s="129" t="str">
        <f t="shared" si="5"/>
        <v/>
      </c>
      <c r="P18" s="129" t="str">
        <f t="shared" si="6"/>
        <v/>
      </c>
      <c r="Q18" s="129" t="str">
        <f t="shared" si="7"/>
        <v/>
      </c>
      <c r="R18" s="145"/>
      <c r="BA18" s="78"/>
      <c r="BB18" s="132" t="s">
        <v>1762</v>
      </c>
      <c r="BC18" s="133"/>
      <c r="BD18" s="132" t="str">
        <f>IF(OR(B18="",BC18=""),"",COUNTIF(BC$7:BC18,"√"))</f>
        <v/>
      </c>
      <c r="BE18" s="134" t="str">
        <f t="shared" si="0"/>
        <v/>
      </c>
      <c r="BF18" s="135" t="str">
        <f t="shared" si="8"/>
        <v/>
      </c>
      <c r="BG18" s="135" t="str">
        <f t="shared" si="9"/>
        <v/>
      </c>
      <c r="BH18" s="1312"/>
      <c r="BI18" s="1312"/>
      <c r="BJ18" s="1312"/>
      <c r="BK18" s="137"/>
      <c r="BM18" s="134" t="str">
        <f>IF(COUNTIF(BM$6:BM17,C18)&gt;0,"",C18)&amp;""</f>
        <v/>
      </c>
      <c r="BN18" s="138">
        <f t="shared" si="10"/>
        <v>0</v>
      </c>
      <c r="BO18" s="132">
        <f t="shared" si="11"/>
        <v>1</v>
      </c>
      <c r="BP18" s="138">
        <f t="shared" si="12"/>
        <v>0</v>
      </c>
      <c r="BQ18" s="132">
        <f t="shared" si="13"/>
        <v>1</v>
      </c>
      <c r="BR18" s="133"/>
      <c r="BS18" s="133"/>
    </row>
    <row r="19" ht="15" customHeight="1" spans="1:72">
      <c r="A19" s="123" t="str">
        <f>IF(B19="","",COUNT(A$6:A18)+1)</f>
        <v/>
      </c>
      <c r="B19" s="139"/>
      <c r="C19" s="141"/>
      <c r="D19" s="140"/>
      <c r="E19" s="200"/>
      <c r="F19" s="142"/>
      <c r="G19" s="127" t="str">
        <f>IFERROR(VLOOKUP(F19,参数表!$H$2:$I$50,2,FALSE),"")</f>
        <v/>
      </c>
      <c r="H19" s="128" t="str">
        <f t="shared" si="2"/>
        <v/>
      </c>
      <c r="I19" s="128" t="str">
        <f t="shared" si="3"/>
        <v/>
      </c>
      <c r="J19" s="143"/>
      <c r="K19" s="143"/>
      <c r="L19" s="144"/>
      <c r="M19" s="129" t="str">
        <f t="shared" si="4"/>
        <v/>
      </c>
      <c r="N19" s="143"/>
      <c r="O19" s="129" t="str">
        <f t="shared" si="5"/>
        <v/>
      </c>
      <c r="P19" s="129" t="str">
        <f t="shared" si="6"/>
        <v/>
      </c>
      <c r="Q19" s="129" t="str">
        <f t="shared" si="7"/>
        <v/>
      </c>
      <c r="R19" s="145"/>
      <c r="BA19" s="78"/>
      <c r="BB19" s="132" t="s">
        <v>1763</v>
      </c>
      <c r="BC19" s="133"/>
      <c r="BD19" s="132" t="str">
        <f>IF(OR(B19="",BC19=""),"",COUNTIF(BC$7:BC19,"√"))</f>
        <v/>
      </c>
      <c r="BE19" s="134" t="str">
        <f t="shared" si="0"/>
        <v/>
      </c>
      <c r="BF19" s="135" t="str">
        <f t="shared" si="8"/>
        <v/>
      </c>
      <c r="BG19" s="135" t="str">
        <f t="shared" si="9"/>
        <v/>
      </c>
      <c r="BH19" s="1312"/>
      <c r="BI19" s="1312"/>
      <c r="BJ19" s="1312"/>
      <c r="BK19" s="137"/>
      <c r="BM19" s="134" t="str">
        <f>IF(COUNTIF(BM$6:BM18,C19)&gt;0,"",C19)&amp;""</f>
        <v/>
      </c>
      <c r="BN19" s="138">
        <f t="shared" si="10"/>
        <v>0</v>
      </c>
      <c r="BO19" s="132">
        <f t="shared" si="11"/>
        <v>1</v>
      </c>
      <c r="BP19" s="138">
        <f t="shared" si="12"/>
        <v>0</v>
      </c>
      <c r="BQ19" s="132">
        <f t="shared" si="13"/>
        <v>1</v>
      </c>
      <c r="BR19" s="133"/>
      <c r="BS19" s="133"/>
    </row>
    <row r="20" ht="15" customHeight="1" spans="1:72">
      <c r="A20" s="123" t="str">
        <f>IF(B20="","",COUNT(A$6:A19)+1)</f>
        <v/>
      </c>
      <c r="B20" s="139"/>
      <c r="C20" s="141"/>
      <c r="D20" s="140"/>
      <c r="E20" s="200"/>
      <c r="F20" s="142"/>
      <c r="G20" s="127" t="str">
        <f>IFERROR(VLOOKUP(F20,参数表!$H$2:$I$50,2,FALSE),"")</f>
        <v/>
      </c>
      <c r="H20" s="128" t="str">
        <f t="shared" si="2"/>
        <v/>
      </c>
      <c r="I20" s="128" t="str">
        <f t="shared" si="3"/>
        <v/>
      </c>
      <c r="J20" s="143"/>
      <c r="K20" s="143"/>
      <c r="L20" s="144"/>
      <c r="M20" s="129" t="str">
        <f t="shared" si="4"/>
        <v/>
      </c>
      <c r="N20" s="143"/>
      <c r="O20" s="129" t="str">
        <f t="shared" si="5"/>
        <v/>
      </c>
      <c r="P20" s="129" t="str">
        <f t="shared" si="6"/>
        <v/>
      </c>
      <c r="Q20" s="129" t="str">
        <f t="shared" si="7"/>
        <v/>
      </c>
      <c r="R20" s="145"/>
      <c r="BA20" s="78"/>
      <c r="BB20" s="132" t="s">
        <v>1764</v>
      </c>
      <c r="BC20" s="133"/>
      <c r="BD20" s="132" t="str">
        <f>IF(OR(B20="",BC20=""),"",COUNTIF(BC$7:BC20,"√"))</f>
        <v/>
      </c>
      <c r="BE20" s="134" t="str">
        <f t="shared" si="0"/>
        <v/>
      </c>
      <c r="BF20" s="135" t="str">
        <f t="shared" si="8"/>
        <v/>
      </c>
      <c r="BG20" s="135" t="str">
        <f t="shared" si="9"/>
        <v/>
      </c>
      <c r="BH20" s="1312"/>
      <c r="BI20" s="1312"/>
      <c r="BJ20" s="1312"/>
      <c r="BK20" s="137"/>
      <c r="BM20" s="134" t="str">
        <f>IF(COUNTIF(BM$6:BM19,C20)&gt;0,"",C20)&amp;""</f>
        <v/>
      </c>
      <c r="BN20" s="138">
        <f t="shared" si="10"/>
        <v>0</v>
      </c>
      <c r="BO20" s="132">
        <f t="shared" si="11"/>
        <v>1</v>
      </c>
      <c r="BP20" s="138">
        <f t="shared" si="12"/>
        <v>0</v>
      </c>
      <c r="BQ20" s="132">
        <f t="shared" si="13"/>
        <v>1</v>
      </c>
      <c r="BR20" s="133"/>
      <c r="BS20" s="133"/>
    </row>
    <row r="21" ht="15" customHeight="1" spans="1:72">
      <c r="A21" s="123" t="str">
        <f>IF(B21="","",COUNT(A$6:A20)+1)</f>
        <v/>
      </c>
      <c r="B21" s="139"/>
      <c r="C21" s="141"/>
      <c r="D21" s="140"/>
      <c r="E21" s="200"/>
      <c r="F21" s="142"/>
      <c r="G21" s="127" t="str">
        <f>IFERROR(VLOOKUP(F21,参数表!$H$2:$I$50,2,FALSE),"")</f>
        <v/>
      </c>
      <c r="H21" s="128" t="str">
        <f t="shared" si="2"/>
        <v/>
      </c>
      <c r="I21" s="128" t="str">
        <f t="shared" si="3"/>
        <v/>
      </c>
      <c r="J21" s="143"/>
      <c r="K21" s="143"/>
      <c r="L21" s="144"/>
      <c r="M21" s="129" t="str">
        <f t="shared" si="4"/>
        <v/>
      </c>
      <c r="N21" s="143"/>
      <c r="O21" s="129" t="str">
        <f t="shared" si="5"/>
        <v/>
      </c>
      <c r="P21" s="129" t="str">
        <f t="shared" si="6"/>
        <v/>
      </c>
      <c r="Q21" s="129" t="str">
        <f t="shared" si="7"/>
        <v/>
      </c>
      <c r="R21" s="145"/>
      <c r="BA21" s="78"/>
      <c r="BB21" s="132" t="s">
        <v>1765</v>
      </c>
      <c r="BC21" s="133"/>
      <c r="BD21" s="132" t="str">
        <f>IF(OR(B21="",BC21=""),"",COUNTIF(BC$7:BC21,"√"))</f>
        <v/>
      </c>
      <c r="BE21" s="134" t="str">
        <f t="shared" si="0"/>
        <v/>
      </c>
      <c r="BF21" s="135" t="str">
        <f t="shared" si="8"/>
        <v/>
      </c>
      <c r="BG21" s="135" t="str">
        <f t="shared" si="9"/>
        <v/>
      </c>
      <c r="BH21" s="1312"/>
      <c r="BI21" s="1312"/>
      <c r="BJ21" s="1312"/>
      <c r="BK21" s="137"/>
      <c r="BM21" s="134" t="str">
        <f>IF(COUNTIF(BM$6:BM20,C21)&gt;0,"",C21)&amp;""</f>
        <v/>
      </c>
      <c r="BN21" s="138">
        <f t="shared" si="10"/>
        <v>0</v>
      </c>
      <c r="BO21" s="132">
        <f t="shared" si="11"/>
        <v>1</v>
      </c>
      <c r="BP21" s="138">
        <f t="shared" si="12"/>
        <v>0</v>
      </c>
      <c r="BQ21" s="132">
        <f t="shared" si="13"/>
        <v>1</v>
      </c>
      <c r="BR21" s="133"/>
      <c r="BS21" s="133"/>
    </row>
    <row r="22" ht="15" customHeight="1" spans="1:72">
      <c r="A22" s="123" t="str">
        <f>IF(B22="","",COUNT(A$6:A21)+1)</f>
        <v/>
      </c>
      <c r="B22" s="139"/>
      <c r="C22" s="141"/>
      <c r="D22" s="140"/>
      <c r="E22" s="200"/>
      <c r="F22" s="142"/>
      <c r="G22" s="127" t="str">
        <f>IFERROR(VLOOKUP(F22,参数表!$H$2:$I$50,2,FALSE),"")</f>
        <v/>
      </c>
      <c r="H22" s="128" t="str">
        <f t="shared" si="2"/>
        <v/>
      </c>
      <c r="I22" s="128" t="str">
        <f t="shared" si="3"/>
        <v/>
      </c>
      <c r="J22" s="143"/>
      <c r="K22" s="143"/>
      <c r="L22" s="144"/>
      <c r="M22" s="129" t="str">
        <f t="shared" si="4"/>
        <v/>
      </c>
      <c r="N22" s="143"/>
      <c r="O22" s="129" t="str">
        <f t="shared" si="5"/>
        <v/>
      </c>
      <c r="P22" s="129" t="str">
        <f t="shared" si="6"/>
        <v/>
      </c>
      <c r="Q22" s="129" t="str">
        <f t="shared" si="7"/>
        <v/>
      </c>
      <c r="R22" s="145"/>
      <c r="BA22" s="78"/>
      <c r="BB22" s="132" t="s">
        <v>1766</v>
      </c>
      <c r="BC22" s="133"/>
      <c r="BD22" s="132" t="str">
        <f>IF(OR(B22="",BC22=""),"",COUNTIF(BC$7:BC22,"√"))</f>
        <v/>
      </c>
      <c r="BE22" s="134" t="str">
        <f t="shared" si="0"/>
        <v/>
      </c>
      <c r="BF22" s="135" t="str">
        <f t="shared" si="8"/>
        <v/>
      </c>
      <c r="BG22" s="135" t="str">
        <f t="shared" si="9"/>
        <v/>
      </c>
      <c r="BH22" s="1312"/>
      <c r="BI22" s="1312"/>
      <c r="BJ22" s="1312"/>
      <c r="BK22" s="137"/>
      <c r="BM22" s="134" t="str">
        <f>IF(COUNTIF(BM$6:BM21,C22)&gt;0,"",C22)&amp;""</f>
        <v/>
      </c>
      <c r="BN22" s="138">
        <f t="shared" si="10"/>
        <v>0</v>
      </c>
      <c r="BO22" s="132">
        <f t="shared" si="11"/>
        <v>1</v>
      </c>
      <c r="BP22" s="138">
        <f t="shared" si="12"/>
        <v>0</v>
      </c>
      <c r="BQ22" s="132">
        <f t="shared" si="13"/>
        <v>1</v>
      </c>
      <c r="BR22" s="133"/>
      <c r="BS22" s="133"/>
    </row>
    <row r="23" ht="15" customHeight="1" spans="1:72">
      <c r="A23" s="123" t="str">
        <f>IF(B23="","",COUNT(A$6:A22)+1)</f>
        <v/>
      </c>
      <c r="B23" s="139"/>
      <c r="C23" s="141"/>
      <c r="D23" s="140"/>
      <c r="E23" s="200"/>
      <c r="F23" s="142"/>
      <c r="G23" s="127" t="str">
        <f>IFERROR(VLOOKUP(F23,参数表!$H$2:$I$50,2,FALSE),"")</f>
        <v/>
      </c>
      <c r="H23" s="128" t="str">
        <f t="shared" si="2"/>
        <v/>
      </c>
      <c r="I23" s="128" t="str">
        <f t="shared" si="3"/>
        <v/>
      </c>
      <c r="J23" s="143"/>
      <c r="K23" s="143"/>
      <c r="L23" s="144"/>
      <c r="M23" s="129" t="str">
        <f t="shared" si="4"/>
        <v/>
      </c>
      <c r="N23" s="143"/>
      <c r="O23" s="129" t="str">
        <f t="shared" si="5"/>
        <v/>
      </c>
      <c r="P23" s="129" t="str">
        <f t="shared" si="6"/>
        <v/>
      </c>
      <c r="Q23" s="129" t="str">
        <f t="shared" si="7"/>
        <v/>
      </c>
      <c r="R23" s="145"/>
      <c r="BA23" s="78"/>
      <c r="BB23" s="132" t="s">
        <v>1767</v>
      </c>
      <c r="BC23" s="133"/>
      <c r="BD23" s="132" t="str">
        <f>IF(OR(B23="",BC23=""),"",COUNTIF(BC$7:BC23,"√"))</f>
        <v/>
      </c>
      <c r="BE23" s="134" t="str">
        <f t="shared" si="0"/>
        <v/>
      </c>
      <c r="BF23" s="135" t="str">
        <f t="shared" si="8"/>
        <v/>
      </c>
      <c r="BG23" s="135" t="str">
        <f t="shared" si="9"/>
        <v/>
      </c>
      <c r="BH23" s="1312"/>
      <c r="BI23" s="1312"/>
      <c r="BJ23" s="1312"/>
      <c r="BK23" s="137"/>
      <c r="BM23" s="134" t="str">
        <f>IF(COUNTIF(BM$6:BM22,C23)&gt;0,"",C23)&amp;""</f>
        <v/>
      </c>
      <c r="BN23" s="138">
        <f t="shared" si="10"/>
        <v>0</v>
      </c>
      <c r="BO23" s="132">
        <f t="shared" si="11"/>
        <v>1</v>
      </c>
      <c r="BP23" s="138">
        <f t="shared" si="12"/>
        <v>0</v>
      </c>
      <c r="BQ23" s="132">
        <f t="shared" si="13"/>
        <v>1</v>
      </c>
      <c r="BR23" s="133"/>
      <c r="BS23" s="133"/>
    </row>
    <row r="24" ht="15" customHeight="1" spans="1:72">
      <c r="A24" s="123" t="str">
        <f>IF(B24="","",COUNT(A$6:A23)+1)</f>
        <v/>
      </c>
      <c r="B24" s="139"/>
      <c r="C24" s="141"/>
      <c r="D24" s="140"/>
      <c r="E24" s="200"/>
      <c r="F24" s="142"/>
      <c r="G24" s="127" t="str">
        <f>IFERROR(VLOOKUP(F24,参数表!$H$2:$I$50,2,FALSE),"")</f>
        <v/>
      </c>
      <c r="H24" s="128" t="str">
        <f t="shared" si="2"/>
        <v/>
      </c>
      <c r="I24" s="128" t="str">
        <f t="shared" si="3"/>
        <v/>
      </c>
      <c r="J24" s="143"/>
      <c r="K24" s="143"/>
      <c r="L24" s="144"/>
      <c r="M24" s="129" t="str">
        <f t="shared" si="4"/>
        <v/>
      </c>
      <c r="N24" s="143"/>
      <c r="O24" s="129" t="str">
        <f t="shared" si="5"/>
        <v/>
      </c>
      <c r="P24" s="129" t="str">
        <f t="shared" si="6"/>
        <v/>
      </c>
      <c r="Q24" s="129" t="str">
        <f t="shared" si="7"/>
        <v/>
      </c>
      <c r="R24" s="145"/>
      <c r="BA24" s="78"/>
      <c r="BB24" s="132" t="s">
        <v>1768</v>
      </c>
      <c r="BC24" s="133"/>
      <c r="BD24" s="132" t="str">
        <f>IF(OR(B24="",BC24=""),"",COUNTIF(BC$7:BC24,"√"))</f>
        <v/>
      </c>
      <c r="BE24" s="134" t="str">
        <f t="shared" si="0"/>
        <v/>
      </c>
      <c r="BF24" s="135" t="str">
        <f t="shared" si="8"/>
        <v/>
      </c>
      <c r="BG24" s="135" t="str">
        <f t="shared" si="9"/>
        <v/>
      </c>
      <c r="BH24" s="1312"/>
      <c r="BI24" s="1312"/>
      <c r="BJ24" s="1312"/>
      <c r="BK24" s="137"/>
      <c r="BM24" s="134" t="str">
        <f>IF(COUNTIF(BM$6:BM23,C24)&gt;0,"",C24)&amp;""</f>
        <v/>
      </c>
      <c r="BN24" s="138">
        <f t="shared" si="10"/>
        <v>0</v>
      </c>
      <c r="BO24" s="132">
        <f t="shared" si="11"/>
        <v>1</v>
      </c>
      <c r="BP24" s="138">
        <f t="shared" si="12"/>
        <v>0</v>
      </c>
      <c r="BQ24" s="132">
        <f t="shared" si="13"/>
        <v>1</v>
      </c>
      <c r="BR24" s="133"/>
      <c r="BS24" s="133"/>
    </row>
    <row r="25" ht="15" customHeight="1" spans="1:72">
      <c r="A25" s="123" t="str">
        <f>IF(B25="","",COUNT(A$6:A24)+1)</f>
        <v/>
      </c>
      <c r="B25" s="139"/>
      <c r="C25" s="141"/>
      <c r="D25" s="140"/>
      <c r="E25" s="200"/>
      <c r="F25" s="142"/>
      <c r="G25" s="127" t="str">
        <f>IFERROR(VLOOKUP(F25,参数表!$H$2:$I$50,2,FALSE),"")</f>
        <v/>
      </c>
      <c r="H25" s="128" t="str">
        <f t="shared" si="2"/>
        <v/>
      </c>
      <c r="I25" s="128" t="str">
        <f t="shared" si="3"/>
        <v/>
      </c>
      <c r="J25" s="143"/>
      <c r="K25" s="143"/>
      <c r="L25" s="144"/>
      <c r="M25" s="129" t="str">
        <f t="shared" si="4"/>
        <v/>
      </c>
      <c r="N25" s="143"/>
      <c r="O25" s="129" t="str">
        <f t="shared" si="5"/>
        <v/>
      </c>
      <c r="P25" s="129" t="str">
        <f t="shared" si="6"/>
        <v/>
      </c>
      <c r="Q25" s="129" t="str">
        <f t="shared" si="7"/>
        <v/>
      </c>
      <c r="R25" s="145"/>
      <c r="BA25" s="78"/>
      <c r="BB25" s="132" t="s">
        <v>1769</v>
      </c>
      <c r="BC25" s="133"/>
      <c r="BD25" s="132" t="str">
        <f>IF(OR(B25="",BC25=""),"",COUNTIF(BC$7:BC25,"√"))</f>
        <v/>
      </c>
      <c r="BE25" s="134" t="str">
        <f t="shared" si="0"/>
        <v/>
      </c>
      <c r="BF25" s="135" t="str">
        <f t="shared" si="8"/>
        <v/>
      </c>
      <c r="BG25" s="135" t="str">
        <f t="shared" si="9"/>
        <v/>
      </c>
      <c r="BH25" s="1312"/>
      <c r="BI25" s="1312"/>
      <c r="BJ25" s="1312"/>
      <c r="BK25" s="137"/>
      <c r="BM25" s="134" t="str">
        <f>IF(COUNTIF(BM$6:BM24,C25)&gt;0,"",C25)&amp;""</f>
        <v/>
      </c>
      <c r="BN25" s="138">
        <f t="shared" si="10"/>
        <v>0</v>
      </c>
      <c r="BO25" s="132">
        <f t="shared" si="11"/>
        <v>1</v>
      </c>
      <c r="BP25" s="138">
        <f t="shared" si="12"/>
        <v>0</v>
      </c>
      <c r="BQ25" s="132">
        <f t="shared" si="13"/>
        <v>1</v>
      </c>
      <c r="BR25" s="133"/>
      <c r="BS25" s="133"/>
    </row>
    <row r="26" ht="15" customHeight="1" spans="1:72">
      <c r="A26" s="123" t="str">
        <f>IF(B26="","",COUNT(A$6:A25)+1)</f>
        <v/>
      </c>
      <c r="B26" s="124"/>
      <c r="C26" s="126"/>
      <c r="D26" s="125"/>
      <c r="E26" s="199"/>
      <c r="F26" s="127"/>
      <c r="G26" s="127" t="str">
        <f>IFERROR(VLOOKUP(F26,参数表!$H$2:$I$50,2,FALSE),"")</f>
        <v/>
      </c>
      <c r="H26" s="128" t="str">
        <f t="shared" si="2"/>
        <v/>
      </c>
      <c r="I26" s="128" t="str">
        <f t="shared" si="3"/>
        <v/>
      </c>
      <c r="J26" s="129"/>
      <c r="K26" s="129"/>
      <c r="L26" s="129"/>
      <c r="M26" s="129" t="str">
        <f t="shared" si="4"/>
        <v/>
      </c>
      <c r="N26" s="129"/>
      <c r="O26" s="129" t="str">
        <f t="shared" si="5"/>
        <v/>
      </c>
      <c r="P26" s="129" t="str">
        <f t="shared" si="6"/>
        <v/>
      </c>
      <c r="Q26" s="129" t="str">
        <f t="shared" si="7"/>
        <v/>
      </c>
      <c r="R26" s="131"/>
      <c r="BA26" s="78"/>
      <c r="BB26" s="132" t="s">
        <v>1770</v>
      </c>
      <c r="BC26" s="133"/>
      <c r="BD26" s="132" t="str">
        <f>IF(OR(B26="",BC26=""),"",COUNTIF(BC$7:BC26,"√"))</f>
        <v/>
      </c>
      <c r="BE26" s="134" t="str">
        <f t="shared" si="0"/>
        <v/>
      </c>
      <c r="BF26" s="135" t="str">
        <f t="shared" si="8"/>
        <v/>
      </c>
      <c r="BG26" s="135" t="str">
        <f t="shared" si="9"/>
        <v/>
      </c>
      <c r="BH26" s="1312"/>
      <c r="BI26" s="1312"/>
      <c r="BJ26" s="1312"/>
      <c r="BK26" s="137"/>
      <c r="BM26" s="134" t="str">
        <f>IF(COUNTIF(BM$6:BM25,C26)&gt;0,"",C26)&amp;""</f>
        <v/>
      </c>
      <c r="BN26" s="138">
        <f t="shared" si="10"/>
        <v>0</v>
      </c>
      <c r="BO26" s="132">
        <f t="shared" si="11"/>
        <v>1</v>
      </c>
      <c r="BP26" s="138">
        <f t="shared" si="12"/>
        <v>0</v>
      </c>
      <c r="BQ26" s="132">
        <f t="shared" si="13"/>
        <v>1</v>
      </c>
      <c r="BR26" s="133"/>
      <c r="BS26" s="133"/>
    </row>
    <row r="27" s="73" customFormat="1" ht="15" customHeight="1" spans="1:72">
      <c r="A27" s="149" t="s">
        <v>1771</v>
      </c>
      <c r="B27" s="149"/>
      <c r="C27" s="151"/>
      <c r="D27" s="356"/>
      <c r="E27" s="151"/>
      <c r="F27" s="151"/>
      <c r="G27" s="151"/>
      <c r="H27" s="151"/>
      <c r="I27" s="151"/>
      <c r="J27" s="152"/>
      <c r="K27" s="1289">
        <f>SUM(K7:K26)</f>
        <v>0</v>
      </c>
      <c r="L27" s="1289"/>
      <c r="M27" s="152">
        <f>SUM(M7:M26)</f>
        <v>0</v>
      </c>
      <c r="N27" s="1289"/>
      <c r="O27" s="152">
        <f>SUM(O7:O26)</f>
        <v>0</v>
      </c>
      <c r="P27" s="1289">
        <f t="shared" si="6"/>
        <v>0</v>
      </c>
      <c r="Q27" s="1289" t="str">
        <f t="shared" si="7"/>
        <v/>
      </c>
      <c r="R27" s="1291"/>
      <c r="BC27" s="72"/>
      <c r="BD27" s="72"/>
      <c r="BE27" s="72"/>
      <c r="BH27" s="1313"/>
      <c r="BI27" s="1313"/>
      <c r="BL27" s="111"/>
      <c r="BM27" s="119"/>
      <c r="BN27" s="77"/>
      <c r="BO27" s="77"/>
      <c r="BP27" s="77"/>
      <c r="BQ27" s="119"/>
      <c r="BR27" s="119"/>
      <c r="BS27" s="119"/>
      <c r="BT27" s="111"/>
    </row>
    <row r="28" customHeight="1" spans="1:72">
      <c r="A28" s="102" t="str">
        <f>参数表!F$6</f>
        <v>产权持有单位填表人：贾广东</v>
      </c>
      <c r="B28" s="154"/>
      <c r="C28" s="154"/>
      <c r="D28" s="154"/>
      <c r="E28" s="154"/>
      <c r="F28" s="154"/>
      <c r="G28" s="154"/>
      <c r="H28" s="154"/>
      <c r="I28" s="154"/>
      <c r="J28" s="154"/>
      <c r="K28" s="103"/>
      <c r="L28" s="103"/>
      <c r="M28" s="103"/>
      <c r="N28" s="103"/>
      <c r="O28" s="103" t="str">
        <f>"评估人员："&amp;封面!$G$20</f>
        <v>评估人员：栗祥宁</v>
      </c>
      <c r="P28" s="103"/>
      <c r="Q28" s="103"/>
      <c r="R28" s="103"/>
    </row>
    <row r="29" customHeight="1" spans="1:72">
      <c r="A29" s="102" t="str">
        <f>参数表!F$7</f>
        <v>填表日期：2025年9月20日</v>
      </c>
      <c r="B29" s="154"/>
      <c r="C29" s="154"/>
      <c r="D29" s="154"/>
      <c r="E29" s="154"/>
      <c r="F29" s="154"/>
      <c r="G29" s="154"/>
      <c r="H29" s="154"/>
      <c r="I29" s="154"/>
      <c r="J29" s="154"/>
      <c r="K29" s="103"/>
      <c r="L29" s="103"/>
      <c r="M29" s="103"/>
      <c r="N29" s="103"/>
      <c r="O29" s="103"/>
      <c r="P29" s="103"/>
      <c r="Q29" s="103"/>
      <c r="R29" s="103"/>
    </row>
    <row r="30" hidden="1" customHeight="1" outlineLevel="1" spans="1:72">
      <c r="A30" s="157"/>
      <c r="B30" s="154" t="s">
        <v>1673</v>
      </c>
      <c r="C30" s="158"/>
      <c r="D30" s="158"/>
      <c r="E30" s="158"/>
      <c r="F30" s="158"/>
      <c r="G30" s="158"/>
      <c r="H30" s="158"/>
      <c r="I30" s="158"/>
      <c r="J30" s="158"/>
      <c r="K30" s="159">
        <f>SUMIF($BA7:$BA26,$BA30,K7:K26)</f>
        <v>0</v>
      </c>
      <c r="L30" s="202"/>
      <c r="M30" s="159">
        <f>SUMIF($BA7:$BA26,$BA30,M7:M26)</f>
        <v>0</v>
      </c>
      <c r="N30" s="176"/>
      <c r="O30" s="159">
        <f>SUMIF($BA7:$BA26,$BA30,O7:O26)</f>
        <v>0</v>
      </c>
      <c r="BA30" s="161" t="s">
        <v>1674</v>
      </c>
      <c r="BH30" s="95" t="s">
        <v>1675</v>
      </c>
      <c r="BI30" s="95" t="s">
        <v>1675</v>
      </c>
      <c r="BJ30" s="95" t="s">
        <v>1675</v>
      </c>
    </row>
    <row r="31" hidden="1" customHeight="1" outlineLevel="1" spans="1:72">
      <c r="A31" s="157"/>
      <c r="B31" s="154" t="s">
        <v>1676</v>
      </c>
      <c r="C31" s="158"/>
      <c r="D31" s="158"/>
      <c r="E31" s="158"/>
      <c r="F31" s="158"/>
      <c r="G31" s="158"/>
      <c r="H31" s="158"/>
      <c r="I31" s="158"/>
      <c r="J31" s="158"/>
      <c r="K31" s="159">
        <f>K27-K30</f>
        <v>0</v>
      </c>
      <c r="L31" s="202"/>
      <c r="M31" s="159">
        <f>M27-M30</f>
        <v>0</v>
      </c>
      <c r="N31" s="176"/>
      <c r="O31" s="159">
        <f>O27-O30</f>
        <v>0</v>
      </c>
      <c r="BA31" s="161" t="s">
        <v>1677</v>
      </c>
      <c r="BH31" s="95" t="s">
        <v>1678</v>
      </c>
      <c r="BI31" s="95" t="s">
        <v>1678</v>
      </c>
      <c r="BJ31" s="95" t="s">
        <v>1678</v>
      </c>
    </row>
    <row r="32" customHeight="1" collapsed="1" spans="1:72">
      <c r="A32" s="157"/>
      <c r="B32" s="158"/>
      <c r="C32" s="158"/>
      <c r="D32" s="158"/>
      <c r="E32" s="158"/>
      <c r="F32" s="158"/>
      <c r="G32" s="158"/>
      <c r="H32" s="158"/>
      <c r="I32" s="158"/>
      <c r="J32" s="158"/>
    </row>
    <row r="33" customHeight="1" spans="1:10">
      <c r="A33" s="157"/>
      <c r="B33" s="158"/>
      <c r="C33" s="158"/>
      <c r="D33" s="158"/>
      <c r="E33" s="158"/>
      <c r="F33" s="158"/>
      <c r="G33" s="158"/>
      <c r="H33" s="158"/>
      <c r="I33" s="158"/>
      <c r="J33" s="158"/>
    </row>
    <row r="34" customHeight="1" spans="1:10">
      <c r="A34" s="157"/>
      <c r="B34" s="158"/>
      <c r="C34" s="158"/>
      <c r="D34" s="158"/>
      <c r="E34" s="158"/>
      <c r="F34" s="158"/>
      <c r="G34" s="158"/>
      <c r="H34" s="158"/>
      <c r="I34" s="158"/>
      <c r="J34" s="158"/>
    </row>
    <row r="35" customHeight="1" spans="1:10">
      <c r="A35" s="157"/>
      <c r="B35" s="158"/>
      <c r="C35" s="158"/>
      <c r="D35" s="158"/>
      <c r="E35" s="158"/>
      <c r="F35" s="158"/>
      <c r="G35" s="158"/>
      <c r="H35" s="158"/>
      <c r="I35" s="158"/>
      <c r="J35" s="158"/>
    </row>
    <row r="36" customHeight="1" spans="1:10">
      <c r="A36" s="157"/>
      <c r="B36" s="158"/>
      <c r="C36" s="158"/>
      <c r="D36" s="158"/>
      <c r="E36" s="158"/>
      <c r="F36" s="158"/>
      <c r="G36" s="158"/>
      <c r="H36" s="158"/>
      <c r="I36" s="158"/>
      <c r="J36" s="158"/>
    </row>
    <row r="37" customHeight="1" spans="1:10">
      <c r="A37" s="157"/>
      <c r="B37" s="158"/>
      <c r="C37" s="158"/>
      <c r="D37" s="158"/>
      <c r="E37" s="158"/>
      <c r="F37" s="158"/>
      <c r="G37" s="158"/>
      <c r="H37" s="158"/>
      <c r="I37" s="158"/>
      <c r="J37" s="158"/>
    </row>
  </sheetData>
  <sheetProtection autoFilter="0"/>
  <mergeCells count="6">
    <mergeCell ref="A2:R2"/>
    <mergeCell ref="A3:R3"/>
    <mergeCell ref="BR7:BT7"/>
    <mergeCell ref="BR8:BT8"/>
    <mergeCell ref="BS14:BT14"/>
    <mergeCell ref="A27:B27"/>
  </mergeCells>
  <conditionalFormatting sqref="BF7:BG26">
    <cfRule type="containsText" dxfId="6" priority="4" stopIfTrue="1" operator="between" text="出错">
      <formula>NOT(ISERROR(SEARCH("出错",BF7)))</formula>
    </cfRule>
  </conditionalFormatting>
  <conditionalFormatting sqref="BH7:BJ26">
    <cfRule type="expression" dxfId="5" priority="3" stopIfTrue="1">
      <formula>AND($B7&lt;&gt;"",BH7="")</formula>
    </cfRule>
  </conditionalFormatting>
  <dataValidations count="4">
    <dataValidation type="list" allowBlank="1" showInputMessage="1" showErrorMessage="1" sqref="F7:F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J26">
      <formula1>BH$30:BH$31</formula1>
    </dataValidation>
  </dataValidations>
  <hyperlinks>
    <hyperlink ref="A1" location="索引目录!E9" display="返回索引页"/>
    <hyperlink ref="B1" location="交易性金融资产汇总!B7"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18.1" style="75" customWidth="1"/>
    <col min="3" max="3" width="9" style="75"/>
    <col min="4" max="4" width="9.1" style="75" customWidth="1"/>
    <col min="5" max="5" width="8.2" style="75" customWidth="1"/>
    <col min="6" max="6" width="6.6" style="75" customWidth="1"/>
    <col min="7" max="8" width="4.6" style="75" customWidth="1" outlineLevel="1"/>
    <col min="9" max="10" width="6.1" style="75" customWidth="1" outlineLevel="1"/>
    <col min="11" max="11" width="13.6" style="75" customWidth="1"/>
    <col min="12" max="12" width="13.6" style="75" customWidth="1" outlineLevel="1"/>
    <col min="13" max="13" width="13.6" style="76" customWidth="1" outlineLevel="1"/>
    <col min="14" max="15" width="13.6" style="75" customWidth="1"/>
    <col min="16" max="17" width="8.6" style="75" customWidth="1"/>
    <col min="18" max="18" width="9" style="75"/>
    <col min="19" max="52" width="9" style="75" hidden="1" customWidth="1" outlineLevel="1"/>
    <col min="53" max="53" width="14.7" style="75" customWidth="1" collapsed="1"/>
    <col min="54" max="54" width="6.7" style="75" customWidth="1"/>
    <col min="55" max="56" width="5.1" style="75" customWidth="1"/>
    <col min="57" max="57" width="8.7" style="75" customWidth="1"/>
    <col min="58" max="59" width="9.6" style="75" customWidth="1"/>
    <col min="60" max="62" width="5" style="165" customWidth="1"/>
    <col min="63" max="63" width="8.7" style="75" customWidth="1"/>
    <col min="64" max="64" width="9.7" style="165" customWidth="1"/>
    <col min="65" max="65" width="8.6" style="75" customWidth="1"/>
    <col min="66" max="66" width="14.3" style="75" customWidth="1"/>
    <col min="67" max="67" width="5" style="75" customWidth="1"/>
    <col min="68" max="68" width="6.7"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86" customFormat="1" ht="13.8" spans="1:77">
      <c r="A1" s="203" t="s">
        <v>1591</v>
      </c>
      <c r="B1" s="204" t="s">
        <v>1592</v>
      </c>
      <c r="C1" s="82"/>
      <c r="D1" s="82"/>
      <c r="E1" s="82"/>
      <c r="F1" s="82"/>
      <c r="G1" s="82"/>
      <c r="H1" s="82"/>
      <c r="I1" s="82"/>
      <c r="J1" s="82"/>
      <c r="K1" s="82"/>
      <c r="L1" s="82"/>
      <c r="M1" s="205"/>
      <c r="N1" s="82"/>
      <c r="O1" s="82"/>
      <c r="P1" s="82"/>
      <c r="Q1" s="82"/>
      <c r="BA1" s="84" t="str">
        <f>参数表!BA1</f>
        <v>注意：补充特殊事项、作价等均从BA列开始填写</v>
      </c>
      <c r="BB1" s="85"/>
      <c r="BH1" s="82"/>
      <c r="BI1" s="82"/>
      <c r="BJ1" s="82"/>
      <c r="BL1" s="82"/>
      <c r="BQ1" s="87"/>
      <c r="BR1" s="88"/>
      <c r="BS1" s="87"/>
      <c r="BT1" s="88"/>
      <c r="BU1" s="88"/>
      <c r="BV1" s="88"/>
      <c r="BW1" s="88"/>
      <c r="BX1" s="88"/>
      <c r="BY1" s="87"/>
    </row>
    <row r="2" s="71" customFormat="1" ht="30" customHeight="1" spans="1:77">
      <c r="A2" s="89" t="s">
        <v>1772</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H2" s="171"/>
      <c r="BI2" s="171"/>
      <c r="BJ2" s="171"/>
      <c r="BL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4"/>
      <c r="M3" s="94"/>
      <c r="N3" s="94"/>
      <c r="O3" s="94"/>
      <c r="P3" s="94"/>
      <c r="Q3" s="94"/>
      <c r="R3" s="94"/>
      <c r="BA3" s="90" t="str">
        <f>参数表!BA3</f>
        <v>是否显示评估值：</v>
      </c>
      <c r="BB3" s="90" t="str">
        <f>参数表!BB3</f>
        <v>是</v>
      </c>
      <c r="BS3" s="78"/>
    </row>
    <row r="4" ht="15" customHeight="1" spans="1:77">
      <c r="A4" s="96"/>
      <c r="B4" s="94"/>
      <c r="C4" s="94"/>
      <c r="D4" s="94"/>
      <c r="E4" s="94"/>
      <c r="F4" s="94"/>
      <c r="G4" s="94"/>
      <c r="H4" s="94"/>
      <c r="I4" s="94"/>
      <c r="J4" s="94"/>
      <c r="K4" s="94"/>
      <c r="L4" s="94"/>
      <c r="M4" s="97"/>
      <c r="N4" s="94"/>
      <c r="O4" s="95"/>
      <c r="P4" s="95"/>
      <c r="Q4" s="95"/>
      <c r="R4" s="98" t="str">
        <f>"表"&amp;$BA4</f>
        <v>表3-2-2</v>
      </c>
      <c r="BA4" s="95" t="str">
        <f>公允计量金资总!A8</f>
        <v>3-2-2</v>
      </c>
      <c r="BB4" s="100">
        <f>MAX(COUNTA(A7:A26),COUNTA(B7:B26),COUNTA(L7:L26),COUNTA(N7:N26))</f>
        <v>20</v>
      </c>
      <c r="BC4" s="101">
        <f>ROW(A6)+1</f>
        <v>7</v>
      </c>
      <c r="BD4" s="77"/>
      <c r="BE4" s="77"/>
      <c r="BS4" s="78"/>
    </row>
    <row r="5" ht="15" customHeight="1" spans="1:77">
      <c r="A5" s="102" t="str">
        <f>参数表!F3</f>
        <v>产权持有单位:中煤第五建设有限公司</v>
      </c>
      <c r="B5" s="103"/>
      <c r="C5" s="103"/>
      <c r="D5" s="103"/>
      <c r="E5" s="103"/>
      <c r="F5" s="103"/>
      <c r="G5" s="103"/>
      <c r="H5" s="103"/>
      <c r="I5" s="103"/>
      <c r="J5" s="103"/>
      <c r="K5" s="103"/>
      <c r="L5" s="103"/>
      <c r="M5" s="104"/>
      <c r="N5" s="103"/>
      <c r="O5" s="103"/>
      <c r="P5" s="103"/>
      <c r="Q5" s="103"/>
      <c r="R5" s="98" t="s">
        <v>236</v>
      </c>
      <c r="BA5" s="103"/>
      <c r="BB5" s="105" t="str">
        <f ca="1">判断表!C12</f>
        <v>中煤第五建设有限公司第三工程处拟处置实物资产项目\[0000-3基础法明细表.xlsx]公允资-债券</v>
      </c>
      <c r="BC5" s="106">
        <f>IFERROR(SUMIF(BC7:BC26,"√",N7:N26)/N27,0)</f>
        <v>0</v>
      </c>
      <c r="BD5" s="107"/>
      <c r="BE5" s="107"/>
      <c r="BF5" s="284">
        <f>'公允资-股票'!BF5</f>
        <v>0</v>
      </c>
      <c r="BG5" s="284">
        <f>'公允资-股票'!BG5</f>
        <v>0</v>
      </c>
      <c r="BL5" s="95"/>
      <c r="BM5" s="103"/>
      <c r="BQ5" s="111"/>
      <c r="BS5" s="78"/>
      <c r="BW5" s="194"/>
      <c r="BX5" s="194"/>
      <c r="BY5" s="111"/>
    </row>
    <row r="6" s="72" customFormat="1" ht="25.2" customHeight="1" spans="1:77">
      <c r="A6" s="112" t="s">
        <v>305</v>
      </c>
      <c r="B6" s="113" t="s">
        <v>1741</v>
      </c>
      <c r="C6" s="113" t="s">
        <v>1773</v>
      </c>
      <c r="D6" s="113" t="s">
        <v>1774</v>
      </c>
      <c r="E6" s="113" t="s">
        <v>1743</v>
      </c>
      <c r="F6" s="118" t="s">
        <v>1775</v>
      </c>
      <c r="G6" s="114" t="s">
        <v>1631</v>
      </c>
      <c r="H6" s="115" t="s">
        <v>1632</v>
      </c>
      <c r="I6" s="116" t="s">
        <v>1745</v>
      </c>
      <c r="J6" s="115" t="s">
        <v>1633</v>
      </c>
      <c r="K6" s="113" t="s">
        <v>1746</v>
      </c>
      <c r="L6" s="113" t="s">
        <v>1549</v>
      </c>
      <c r="M6" s="117" t="s">
        <v>1634</v>
      </c>
      <c r="N6" s="113" t="s">
        <v>1523</v>
      </c>
      <c r="O6" s="113" t="s">
        <v>1550</v>
      </c>
      <c r="P6" s="113" t="s">
        <v>1525</v>
      </c>
      <c r="Q6" s="113" t="s">
        <v>1551</v>
      </c>
      <c r="R6" s="113" t="s">
        <v>308</v>
      </c>
      <c r="BA6" s="100" t="s">
        <v>1545</v>
      </c>
      <c r="BB6" s="100" t="s">
        <v>1635</v>
      </c>
      <c r="BC6" s="100" t="s">
        <v>1636</v>
      </c>
      <c r="BD6" s="100" t="s">
        <v>1637</v>
      </c>
      <c r="BE6" s="100" t="s">
        <v>1638</v>
      </c>
      <c r="BF6" s="115" t="s">
        <v>1639</v>
      </c>
      <c r="BG6" s="115" t="s">
        <v>1640</v>
      </c>
      <c r="BH6" s="113" t="s">
        <v>1748</v>
      </c>
      <c r="BI6" s="113" t="s">
        <v>1749</v>
      </c>
      <c r="BJ6" s="118" t="s">
        <v>1750</v>
      </c>
      <c r="BK6" s="113" t="s">
        <v>1644</v>
      </c>
      <c r="BL6" s="224" t="s">
        <v>1776</v>
      </c>
      <c r="BM6" s="191" t="s">
        <v>1777</v>
      </c>
      <c r="BN6" s="191" t="s">
        <v>1778</v>
      </c>
      <c r="BO6" s="191" t="s">
        <v>1779</v>
      </c>
      <c r="BP6" s="191" t="s">
        <v>1524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6"/>
      <c r="D7" s="1308"/>
      <c r="E7" s="125"/>
      <c r="F7" s="225"/>
      <c r="G7" s="127"/>
      <c r="H7" s="127" t="str">
        <f>IFERROR(VLOOKUP(G7,参数表!$H$2:$I$50,2,FALSE),"")</f>
        <v/>
      </c>
      <c r="I7" s="128" t="str">
        <f>IFERROR(IF(OR(G7="人民币",G7=""),"",K7/H7),"")</f>
        <v/>
      </c>
      <c r="J7" s="128" t="str">
        <f>IFERROR(IF(OR(G7="人民币",G7=""),"",N7/H7),"")</f>
        <v/>
      </c>
      <c r="K7" s="129"/>
      <c r="L7" s="129"/>
      <c r="M7" s="130"/>
      <c r="N7" s="129" t="str">
        <f>IF(C7="","",L7+M7)</f>
        <v/>
      </c>
      <c r="O7" s="129" t="str">
        <f>IF(C7="","",IF(BB$3="是",N7,""))</f>
        <v/>
      </c>
      <c r="P7" s="129" t="str">
        <f>IFERROR(O7-N7,"")</f>
        <v/>
      </c>
      <c r="Q7" s="129" t="str">
        <f>IFERROR(P7/N7*100,"")</f>
        <v/>
      </c>
      <c r="R7" s="131"/>
      <c r="BA7" s="78"/>
      <c r="BB7" s="132" t="s">
        <v>1780</v>
      </c>
      <c r="BC7" s="133"/>
      <c r="BD7" s="132" t="str">
        <f>IF(OR(B7="",BC7=""),"",COUNTIF(BC$7:BC7,"√"))</f>
        <v/>
      </c>
      <c r="BE7" s="134" t="str">
        <f t="shared" ref="BE7:BE26" si="0">IF(BC7="","",BB7&amp;"︱"&amp;B7&amp;"︱"&amp;TEXT(L7,"#,##0.00"))</f>
        <v/>
      </c>
      <c r="BF7" s="135" t="str">
        <f>IF($B7="","",IF(BF$5=0,"OK","出错"))</f>
        <v/>
      </c>
      <c r="BG7" s="135" t="str">
        <f>IF($B7="","",IF(BG$5=0,"OK","出错"))</f>
        <v/>
      </c>
      <c r="BH7" s="136"/>
      <c r="BI7" s="136"/>
      <c r="BJ7" s="136"/>
      <c r="BK7" s="137"/>
      <c r="BL7" s="165" t="s">
        <v>1677</v>
      </c>
      <c r="BM7" s="1217"/>
      <c r="BN7" s="1217">
        <f t="shared" ref="BN7:BN26" si="1">(BB$2-D7)/365</f>
        <v>125.668493150685</v>
      </c>
      <c r="BO7" s="1217">
        <f t="shared" ref="BO7:BO26" si="2">IF(BL7="否",BM7*BN7*F7/100,0)</f>
        <v>0</v>
      </c>
      <c r="BP7" s="1217">
        <f>BM7+BO7</f>
        <v>0</v>
      </c>
      <c r="BR7" s="134" t="str">
        <f>IF(COUNTIF(BR$6:BR6,C7)&gt;0,"",C7)&amp;""</f>
        <v/>
      </c>
      <c r="BS7" s="138">
        <f>SUMIF(C$7:C$26,BR7,N$7:N$26)</f>
        <v>0</v>
      </c>
      <c r="BT7" s="132">
        <f t="shared" ref="BT7" si="3">RANK(BS7,BS$7:BS$26)</f>
        <v>1</v>
      </c>
      <c r="BU7" s="138">
        <f>SUMIF(C$7:C$26,BR7,O$7:O$26)</f>
        <v>0</v>
      </c>
      <c r="BV7" s="132">
        <f>RANK(BU7,BU$7:BU$26)</f>
        <v>1</v>
      </c>
      <c r="BW7" s="138">
        <f>SUM(BS7:BS26)</f>
        <v>0</v>
      </c>
      <c r="BX7" s="138"/>
      <c r="BY7" s="138"/>
    </row>
    <row r="8" ht="15" customHeight="1" spans="1:77">
      <c r="A8" s="123" t="str">
        <f>IF(B8="","",COUNT(A$6:A7)+1)</f>
        <v/>
      </c>
      <c r="B8" s="139"/>
      <c r="C8" s="141"/>
      <c r="D8" s="1309"/>
      <c r="E8" s="140"/>
      <c r="F8" s="255"/>
      <c r="G8" s="142"/>
      <c r="H8" s="127" t="str">
        <f>IFERROR(VLOOKUP(G8,参数表!$H$2:$I$50,2,FALSE),"")</f>
        <v/>
      </c>
      <c r="I8" s="128" t="str">
        <f t="shared" ref="I8:I26" si="4">IFERROR(IF(OR(G8="人民币",G8=""),"",K8/H8),"")</f>
        <v/>
      </c>
      <c r="J8" s="128" t="str">
        <f t="shared" ref="J8:J26" si="5">IFERROR(IF(OR(G8="人民币",G8=""),"",N8/H8),"")</f>
        <v/>
      </c>
      <c r="K8" s="143"/>
      <c r="L8" s="143"/>
      <c r="M8" s="144"/>
      <c r="N8" s="129" t="str">
        <f t="shared" ref="N8:N26" si="6">IF(C8="","",L8+M8)</f>
        <v/>
      </c>
      <c r="O8" s="129" t="str">
        <f t="shared" ref="O8:O26" si="7">IF(C8="","",IF(BB$3="是",N8,""))</f>
        <v/>
      </c>
      <c r="P8" s="129" t="str">
        <f t="shared" ref="P8:P27" si="8">IFERROR(O8-N8,"")</f>
        <v/>
      </c>
      <c r="Q8" s="129" t="str">
        <f t="shared" ref="Q8:Q27" si="9">IFERROR(P8/N8*100,"")</f>
        <v/>
      </c>
      <c r="R8" s="145"/>
      <c r="BA8" s="78"/>
      <c r="BB8" s="132" t="s">
        <v>1781</v>
      </c>
      <c r="BD8" s="132" t="str">
        <f>IF(OR(B8="",BC8=""),"",COUNTIF(BC$7:BC8,"√"))</f>
        <v/>
      </c>
      <c r="BE8" s="134" t="str">
        <f t="shared" si="0"/>
        <v/>
      </c>
      <c r="BF8" s="135" t="str">
        <f t="shared" ref="BF8:BG26" si="10">IF($B8="","",IF(BF$5=0,"OK","出错"))</f>
        <v/>
      </c>
      <c r="BG8" s="135" t="str">
        <f t="shared" si="10"/>
        <v/>
      </c>
      <c r="BH8" s="136"/>
      <c r="BI8" s="136"/>
      <c r="BJ8" s="136"/>
      <c r="BK8" s="137"/>
      <c r="BL8" s="165" t="s">
        <v>1677</v>
      </c>
      <c r="BM8" s="1217"/>
      <c r="BN8" s="1217">
        <f t="shared" si="1"/>
        <v>125.668493150685</v>
      </c>
      <c r="BO8" s="1217">
        <f t="shared" si="2"/>
        <v>0</v>
      </c>
      <c r="BP8" s="1217">
        <f t="shared" ref="BP8:BP26" si="11">BM8+BO8</f>
        <v>0</v>
      </c>
      <c r="BR8" s="134" t="str">
        <f>IF(COUNTIF(BR$6:BR7,C8)&gt;0,"",C8)&amp;""</f>
        <v/>
      </c>
      <c r="BS8" s="138">
        <f t="shared" ref="BS8:BS26" si="12">SUMIF(C$7:C$26,BR8,N$7:N$26)</f>
        <v>0</v>
      </c>
      <c r="BT8" s="132">
        <f t="shared" ref="BT8:BT26" si="13">RANK(BS8,BS$7:BS$26)</f>
        <v>1</v>
      </c>
      <c r="BU8" s="138">
        <f t="shared" ref="BU8:BU26" si="14">SUMIF(C$7:C$26,BR8,O$7:O$26)</f>
        <v>0</v>
      </c>
      <c r="BV8" s="132">
        <f t="shared" ref="BV8:BV26" si="15">RANK(BU8,BU$7:BU$26)</f>
        <v>1</v>
      </c>
      <c r="BW8" s="138">
        <f>SUM(BU7:BU26)</f>
        <v>0</v>
      </c>
      <c r="BX8" s="138"/>
      <c r="BY8" s="138"/>
    </row>
    <row r="9" ht="15" customHeight="1" spans="1:77">
      <c r="A9" s="123" t="str">
        <f>IF(B9="","",COUNT(A$6:A8)+1)</f>
        <v/>
      </c>
      <c r="B9" s="139"/>
      <c r="C9" s="141"/>
      <c r="D9" s="1309"/>
      <c r="E9" s="140"/>
      <c r="F9" s="255"/>
      <c r="G9" s="142"/>
      <c r="H9" s="127" t="str">
        <f>IFERROR(VLOOKUP(G9,参数表!$H$2:$I$50,2,FALSE),"")</f>
        <v/>
      </c>
      <c r="I9" s="128" t="str">
        <f t="shared" si="4"/>
        <v/>
      </c>
      <c r="J9" s="128" t="str">
        <f t="shared" si="5"/>
        <v/>
      </c>
      <c r="K9" s="143"/>
      <c r="L9" s="143"/>
      <c r="M9" s="144"/>
      <c r="N9" s="129" t="str">
        <f t="shared" si="6"/>
        <v/>
      </c>
      <c r="O9" s="129" t="str">
        <f t="shared" si="7"/>
        <v/>
      </c>
      <c r="P9" s="129" t="str">
        <f t="shared" si="8"/>
        <v/>
      </c>
      <c r="Q9" s="129" t="str">
        <f t="shared" si="9"/>
        <v/>
      </c>
      <c r="R9" s="145"/>
      <c r="BA9" s="78"/>
      <c r="BB9" s="132" t="s">
        <v>1782</v>
      </c>
      <c r="BD9" s="132" t="str">
        <f>IF(OR(B9="",BC9=""),"",COUNTIF(BC$7:BC9,"√"))</f>
        <v/>
      </c>
      <c r="BE9" s="134" t="str">
        <f t="shared" si="0"/>
        <v/>
      </c>
      <c r="BF9" s="135" t="str">
        <f t="shared" si="10"/>
        <v/>
      </c>
      <c r="BG9" s="135" t="str">
        <f t="shared" si="10"/>
        <v/>
      </c>
      <c r="BH9" s="136"/>
      <c r="BI9" s="136"/>
      <c r="BJ9" s="136"/>
      <c r="BK9" s="137"/>
      <c r="BL9" s="165" t="s">
        <v>1677</v>
      </c>
      <c r="BM9" s="1217"/>
      <c r="BN9" s="1217">
        <f t="shared" si="1"/>
        <v>125.668493150685</v>
      </c>
      <c r="BO9" s="1217">
        <f t="shared" si="2"/>
        <v>0</v>
      </c>
      <c r="BP9" s="1217">
        <f t="shared" si="11"/>
        <v>0</v>
      </c>
      <c r="BR9" s="134" t="str">
        <f>IF(COUNTIF(BR$6:BR8,C9)&gt;0,"",C9)&amp;""</f>
        <v/>
      </c>
      <c r="BS9" s="138">
        <f t="shared" si="12"/>
        <v>0</v>
      </c>
      <c r="BT9" s="132">
        <f t="shared" si="13"/>
        <v>1</v>
      </c>
      <c r="BU9" s="138">
        <f t="shared" si="14"/>
        <v>0</v>
      </c>
      <c r="BV9" s="132">
        <f t="shared" si="15"/>
        <v>1</v>
      </c>
      <c r="BW9" s="132">
        <v>1</v>
      </c>
      <c r="BX9" s="134" t="str">
        <f>IFERROR(INDEX(BR$7:BR$26,MATCH(BW9,IF(BW$7=0,BV$7:BV$26,BT$7:BT$26),0))&amp;"","")</f>
        <v/>
      </c>
      <c r="BY9" s="146" t="str">
        <f>IF(BX10="","",IF(BX11="","和","、"))</f>
        <v/>
      </c>
    </row>
    <row r="10" ht="15" customHeight="1" spans="1:77">
      <c r="A10" s="123" t="str">
        <f>IF(B10="","",COUNT(A$6:A9)+1)</f>
        <v/>
      </c>
      <c r="B10" s="139"/>
      <c r="C10" s="141"/>
      <c r="D10" s="1309"/>
      <c r="E10" s="140"/>
      <c r="F10" s="255"/>
      <c r="G10" s="142"/>
      <c r="H10" s="127" t="str">
        <f>IFERROR(VLOOKUP(G10,参数表!$H$2:$I$50,2,FALSE),"")</f>
        <v/>
      </c>
      <c r="I10" s="128" t="str">
        <f t="shared" si="4"/>
        <v/>
      </c>
      <c r="J10" s="128" t="str">
        <f t="shared" si="5"/>
        <v/>
      </c>
      <c r="K10" s="143"/>
      <c r="L10" s="143"/>
      <c r="M10" s="144"/>
      <c r="N10" s="129" t="str">
        <f t="shared" si="6"/>
        <v/>
      </c>
      <c r="O10" s="129" t="str">
        <f t="shared" si="7"/>
        <v/>
      </c>
      <c r="P10" s="129" t="str">
        <f t="shared" si="8"/>
        <v/>
      </c>
      <c r="Q10" s="129" t="str">
        <f t="shared" si="9"/>
        <v/>
      </c>
      <c r="R10" s="145"/>
      <c r="BA10" s="78"/>
      <c r="BB10" s="132" t="s">
        <v>1783</v>
      </c>
      <c r="BD10" s="132" t="str">
        <f>IF(OR(B10="",BC10=""),"",COUNTIF(BC$7:BC10,"√"))</f>
        <v/>
      </c>
      <c r="BE10" s="134" t="str">
        <f t="shared" si="0"/>
        <v/>
      </c>
      <c r="BF10" s="135" t="str">
        <f t="shared" si="10"/>
        <v/>
      </c>
      <c r="BG10" s="135" t="str">
        <f t="shared" si="10"/>
        <v/>
      </c>
      <c r="BH10" s="136"/>
      <c r="BI10" s="136"/>
      <c r="BJ10" s="136"/>
      <c r="BK10" s="137"/>
      <c r="BL10" s="165" t="s">
        <v>1677</v>
      </c>
      <c r="BM10" s="1217"/>
      <c r="BN10" s="1217">
        <f t="shared" si="1"/>
        <v>125.668493150685</v>
      </c>
      <c r="BO10" s="1217">
        <f t="shared" si="2"/>
        <v>0</v>
      </c>
      <c r="BP10" s="1217">
        <f t="shared" si="11"/>
        <v>0</v>
      </c>
      <c r="BR10" s="134" t="str">
        <f>IF(COUNTIF(BR$6:BR9,C10)&gt;0,"",C10)&amp;""</f>
        <v/>
      </c>
      <c r="BS10" s="138">
        <f t="shared" si="12"/>
        <v>0</v>
      </c>
      <c r="BT10" s="132">
        <f t="shared" si="13"/>
        <v>1</v>
      </c>
      <c r="BU10" s="138">
        <f t="shared" si="14"/>
        <v>0</v>
      </c>
      <c r="BV10" s="132">
        <f t="shared" si="15"/>
        <v>1</v>
      </c>
      <c r="BW10" s="132">
        <v>2</v>
      </c>
      <c r="BX10" s="134" t="str">
        <f t="shared" ref="BX10:BX13" si="16">IFERROR(INDEX(BR$7:BR$26,MATCH(BW10,IF(BW$7=0,BV$7:BV$26,BT$7:BT$26),0))&amp;"","")</f>
        <v/>
      </c>
      <c r="BY10" s="146" t="str">
        <f t="shared" ref="BY10:BY11" si="17">IF(BX11="","",IF(BX12="","和","、"))</f>
        <v/>
      </c>
    </row>
    <row r="11" ht="15" customHeight="1" spans="1:77">
      <c r="A11" s="123" t="str">
        <f>IF(B11="","",COUNT(A$6:A10)+1)</f>
        <v/>
      </c>
      <c r="B11" s="139"/>
      <c r="C11" s="141"/>
      <c r="D11" s="1309"/>
      <c r="E11" s="140"/>
      <c r="F11" s="255"/>
      <c r="G11" s="142"/>
      <c r="H11" s="127" t="str">
        <f>IFERROR(VLOOKUP(G11,参数表!$H$2:$I$50,2,FALSE),"")</f>
        <v/>
      </c>
      <c r="I11" s="128" t="str">
        <f t="shared" si="4"/>
        <v/>
      </c>
      <c r="J11" s="128" t="str">
        <f t="shared" si="5"/>
        <v/>
      </c>
      <c r="K11" s="143"/>
      <c r="L11" s="143"/>
      <c r="M11" s="144"/>
      <c r="N11" s="129" t="str">
        <f t="shared" si="6"/>
        <v/>
      </c>
      <c r="O11" s="129" t="str">
        <f t="shared" si="7"/>
        <v/>
      </c>
      <c r="P11" s="129" t="str">
        <f t="shared" si="8"/>
        <v/>
      </c>
      <c r="Q11" s="129" t="str">
        <f t="shared" si="9"/>
        <v/>
      </c>
      <c r="R11" s="145"/>
      <c r="BA11" s="78"/>
      <c r="BB11" s="132" t="s">
        <v>1784</v>
      </c>
      <c r="BD11" s="132" t="str">
        <f>IF(OR(B11="",BC11=""),"",COUNTIF(BC$7:BC11,"√"))</f>
        <v/>
      </c>
      <c r="BE11" s="134" t="str">
        <f t="shared" si="0"/>
        <v/>
      </c>
      <c r="BF11" s="135" t="str">
        <f t="shared" si="10"/>
        <v/>
      </c>
      <c r="BG11" s="135" t="str">
        <f t="shared" si="10"/>
        <v/>
      </c>
      <c r="BH11" s="136"/>
      <c r="BI11" s="136"/>
      <c r="BJ11" s="136"/>
      <c r="BK11" s="137"/>
      <c r="BL11" s="165" t="s">
        <v>1677</v>
      </c>
      <c r="BM11" s="1217"/>
      <c r="BN11" s="1217">
        <f t="shared" si="1"/>
        <v>125.668493150685</v>
      </c>
      <c r="BO11" s="1217">
        <f t="shared" si="2"/>
        <v>0</v>
      </c>
      <c r="BP11" s="1217">
        <f t="shared" si="11"/>
        <v>0</v>
      </c>
      <c r="BR11" s="134" t="str">
        <f>IF(COUNTIF(BR$6:BR10,C11)&gt;0,"",C11)&amp;""</f>
        <v/>
      </c>
      <c r="BS11" s="138">
        <f t="shared" si="12"/>
        <v>0</v>
      </c>
      <c r="BT11" s="132">
        <f t="shared" si="13"/>
        <v>1</v>
      </c>
      <c r="BU11" s="138">
        <f t="shared" si="14"/>
        <v>0</v>
      </c>
      <c r="BV11" s="132">
        <f t="shared" si="15"/>
        <v>1</v>
      </c>
      <c r="BW11" s="132">
        <v>3</v>
      </c>
      <c r="BX11" s="134" t="str">
        <f t="shared" si="16"/>
        <v/>
      </c>
      <c r="BY11" s="146" t="str">
        <f t="shared" si="17"/>
        <v/>
      </c>
    </row>
    <row r="12" ht="15" customHeight="1" spans="1:77">
      <c r="A12" s="123" t="str">
        <f>IF(B12="","",COUNT(A$6:A11)+1)</f>
        <v/>
      </c>
      <c r="B12" s="139"/>
      <c r="C12" s="141"/>
      <c r="D12" s="1309"/>
      <c r="E12" s="140"/>
      <c r="F12" s="255"/>
      <c r="G12" s="142"/>
      <c r="H12" s="127" t="str">
        <f>IFERROR(VLOOKUP(G12,参数表!$H$2:$I$50,2,FALSE),"")</f>
        <v/>
      </c>
      <c r="I12" s="128" t="str">
        <f t="shared" si="4"/>
        <v/>
      </c>
      <c r="J12" s="128" t="str">
        <f t="shared" si="5"/>
        <v/>
      </c>
      <c r="K12" s="143"/>
      <c r="L12" s="143"/>
      <c r="M12" s="144"/>
      <c r="N12" s="129" t="str">
        <f t="shared" si="6"/>
        <v/>
      </c>
      <c r="O12" s="129" t="str">
        <f t="shared" si="7"/>
        <v/>
      </c>
      <c r="P12" s="129" t="str">
        <f t="shared" si="8"/>
        <v/>
      </c>
      <c r="Q12" s="129" t="str">
        <f t="shared" si="9"/>
        <v/>
      </c>
      <c r="R12" s="145"/>
      <c r="BA12" s="78"/>
      <c r="BB12" s="132" t="s">
        <v>1785</v>
      </c>
      <c r="BD12" s="132" t="str">
        <f>IF(OR(B12="",BC12=""),"",COUNTIF(BC$7:BC12,"√"))</f>
        <v/>
      </c>
      <c r="BE12" s="134" t="str">
        <f t="shared" si="0"/>
        <v/>
      </c>
      <c r="BF12" s="135" t="str">
        <f t="shared" si="10"/>
        <v/>
      </c>
      <c r="BG12" s="135" t="str">
        <f t="shared" si="10"/>
        <v/>
      </c>
      <c r="BH12" s="136"/>
      <c r="BI12" s="136"/>
      <c r="BJ12" s="136"/>
      <c r="BK12" s="137"/>
      <c r="BL12" s="165" t="s">
        <v>1677</v>
      </c>
      <c r="BM12" s="1217"/>
      <c r="BN12" s="1217">
        <f t="shared" si="1"/>
        <v>125.668493150685</v>
      </c>
      <c r="BO12" s="1217">
        <f t="shared" si="2"/>
        <v>0</v>
      </c>
      <c r="BP12" s="1217">
        <f t="shared" si="11"/>
        <v>0</v>
      </c>
      <c r="BR12" s="134" t="str">
        <f>IF(COUNTIF(BR$6:BR11,C12)&gt;0,"",C12)&amp;""</f>
        <v/>
      </c>
      <c r="BS12" s="138">
        <f t="shared" si="12"/>
        <v>0</v>
      </c>
      <c r="BT12" s="132">
        <f t="shared" si="13"/>
        <v>1</v>
      </c>
      <c r="BU12" s="138">
        <f t="shared" si="14"/>
        <v>0</v>
      </c>
      <c r="BV12" s="132">
        <f t="shared" si="15"/>
        <v>1</v>
      </c>
      <c r="BW12" s="132">
        <v>4</v>
      </c>
      <c r="BX12" s="134" t="str">
        <f t="shared" si="16"/>
        <v/>
      </c>
      <c r="BY12" s="146" t="str">
        <f>IF(BX13="","","和")</f>
        <v/>
      </c>
    </row>
    <row r="13" ht="15" customHeight="1" spans="1:77">
      <c r="A13" s="123" t="str">
        <f>IF(B13="","",COUNT(A$6:A12)+1)</f>
        <v/>
      </c>
      <c r="B13" s="139"/>
      <c r="C13" s="141"/>
      <c r="D13" s="1309"/>
      <c r="E13" s="140"/>
      <c r="F13" s="255"/>
      <c r="G13" s="142"/>
      <c r="H13" s="127" t="str">
        <f>IFERROR(VLOOKUP(G13,参数表!$H$2:$I$50,2,FALSE),"")</f>
        <v/>
      </c>
      <c r="I13" s="128" t="str">
        <f t="shared" si="4"/>
        <v/>
      </c>
      <c r="J13" s="128" t="str">
        <f t="shared" si="5"/>
        <v/>
      </c>
      <c r="K13" s="143"/>
      <c r="L13" s="143"/>
      <c r="M13" s="144"/>
      <c r="N13" s="129" t="str">
        <f t="shared" si="6"/>
        <v/>
      </c>
      <c r="O13" s="129" t="str">
        <f t="shared" si="7"/>
        <v/>
      </c>
      <c r="P13" s="129" t="str">
        <f t="shared" si="8"/>
        <v/>
      </c>
      <c r="Q13" s="129" t="str">
        <f t="shared" si="9"/>
        <v/>
      </c>
      <c r="R13" s="145"/>
      <c r="BA13" s="78"/>
      <c r="BB13" s="132" t="s">
        <v>1786</v>
      </c>
      <c r="BD13" s="132" t="str">
        <f>IF(OR(B13="",BC13=""),"",COUNTIF(BC$7:BC13,"√"))</f>
        <v/>
      </c>
      <c r="BE13" s="134" t="str">
        <f t="shared" si="0"/>
        <v/>
      </c>
      <c r="BF13" s="135" t="str">
        <f t="shared" si="10"/>
        <v/>
      </c>
      <c r="BG13" s="135" t="str">
        <f t="shared" si="10"/>
        <v/>
      </c>
      <c r="BH13" s="136"/>
      <c r="BI13" s="136"/>
      <c r="BJ13" s="136"/>
      <c r="BK13" s="137"/>
      <c r="BL13" s="165" t="s">
        <v>1677</v>
      </c>
      <c r="BM13" s="1217"/>
      <c r="BN13" s="1217">
        <f t="shared" si="1"/>
        <v>125.668493150685</v>
      </c>
      <c r="BO13" s="1217">
        <f t="shared" si="2"/>
        <v>0</v>
      </c>
      <c r="BP13" s="1217">
        <f t="shared" si="11"/>
        <v>0</v>
      </c>
      <c r="BR13" s="134" t="str">
        <f>IF(COUNTIF(BR$6:BR12,C13)&gt;0,"",C13)&amp;""</f>
        <v/>
      </c>
      <c r="BS13" s="138">
        <f t="shared" si="12"/>
        <v>0</v>
      </c>
      <c r="BT13" s="132">
        <f t="shared" si="13"/>
        <v>1</v>
      </c>
      <c r="BU13" s="138">
        <f t="shared" si="14"/>
        <v>0</v>
      </c>
      <c r="BV13" s="132">
        <f t="shared" si="15"/>
        <v>1</v>
      </c>
      <c r="BW13" s="132">
        <v>5</v>
      </c>
      <c r="BX13" s="134" t="str">
        <f t="shared" si="16"/>
        <v/>
      </c>
      <c r="BY13" s="146"/>
    </row>
    <row r="14" ht="15" customHeight="1" spans="1:77">
      <c r="A14" s="123" t="str">
        <f>IF(B14="","",COUNT(A$6:A13)+1)</f>
        <v/>
      </c>
      <c r="B14" s="139"/>
      <c r="C14" s="141"/>
      <c r="D14" s="1309"/>
      <c r="E14" s="140"/>
      <c r="F14" s="255"/>
      <c r="G14" s="142"/>
      <c r="H14" s="127" t="str">
        <f>IFERROR(VLOOKUP(G14,参数表!$H$2:$I$50,2,FALSE),"")</f>
        <v/>
      </c>
      <c r="I14" s="128" t="str">
        <f t="shared" si="4"/>
        <v/>
      </c>
      <c r="J14" s="128" t="str">
        <f t="shared" si="5"/>
        <v/>
      </c>
      <c r="K14" s="143"/>
      <c r="L14" s="143"/>
      <c r="M14" s="144"/>
      <c r="N14" s="129" t="str">
        <f t="shared" si="6"/>
        <v/>
      </c>
      <c r="O14" s="129" t="str">
        <f t="shared" si="7"/>
        <v/>
      </c>
      <c r="P14" s="129" t="str">
        <f t="shared" si="8"/>
        <v/>
      </c>
      <c r="Q14" s="129" t="str">
        <f t="shared" si="9"/>
        <v/>
      </c>
      <c r="R14" s="145"/>
      <c r="BA14" s="78"/>
      <c r="BB14" s="132" t="s">
        <v>1787</v>
      </c>
      <c r="BD14" s="132" t="str">
        <f>IF(OR(B14="",BC14=""),"",COUNTIF(BC$7:BC14,"√"))</f>
        <v/>
      </c>
      <c r="BE14" s="134" t="str">
        <f t="shared" si="0"/>
        <v/>
      </c>
      <c r="BF14" s="135" t="str">
        <f t="shared" si="10"/>
        <v/>
      </c>
      <c r="BG14" s="135" t="str">
        <f t="shared" si="10"/>
        <v/>
      </c>
      <c r="BH14" s="136"/>
      <c r="BI14" s="136"/>
      <c r="BJ14" s="136"/>
      <c r="BK14" s="137"/>
      <c r="BL14" s="165" t="s">
        <v>1677</v>
      </c>
      <c r="BM14" s="1217"/>
      <c r="BN14" s="1217">
        <f t="shared" si="1"/>
        <v>125.668493150685</v>
      </c>
      <c r="BO14" s="1217">
        <f t="shared" si="2"/>
        <v>0</v>
      </c>
      <c r="BP14" s="1217">
        <f t="shared" si="11"/>
        <v>0</v>
      </c>
      <c r="BR14" s="134" t="str">
        <f>IF(COUNTIF(BR$6:BR13,C14)&gt;0,"",C14)&amp;""</f>
        <v/>
      </c>
      <c r="BS14" s="138">
        <f t="shared" si="12"/>
        <v>0</v>
      </c>
      <c r="BT14" s="132">
        <f t="shared" si="13"/>
        <v>1</v>
      </c>
      <c r="BU14" s="138">
        <f t="shared" si="14"/>
        <v>0</v>
      </c>
      <c r="BV14" s="132">
        <f t="shared" si="15"/>
        <v>1</v>
      </c>
      <c r="BW14" s="147" t="s">
        <v>1659</v>
      </c>
      <c r="BX14" s="132" t="str">
        <f>CONCATENATE(BX9,BY9,BX10,BY10,BX11,BY11,BX12,BY12,BX13)</f>
        <v/>
      </c>
      <c r="BY14" s="132"/>
    </row>
    <row r="15" ht="15" customHeight="1" spans="1:77">
      <c r="A15" s="123" t="str">
        <f>IF(B15="","",COUNT(A$6:A14)+1)</f>
        <v/>
      </c>
      <c r="B15" s="139"/>
      <c r="C15" s="141"/>
      <c r="D15" s="1309"/>
      <c r="E15" s="140"/>
      <c r="F15" s="255"/>
      <c r="G15" s="142"/>
      <c r="H15" s="127" t="str">
        <f>IFERROR(VLOOKUP(G15,参数表!$H$2:$I$50,2,FALSE),"")</f>
        <v/>
      </c>
      <c r="I15" s="128" t="str">
        <f t="shared" si="4"/>
        <v/>
      </c>
      <c r="J15" s="128" t="str">
        <f t="shared" si="5"/>
        <v/>
      </c>
      <c r="K15" s="143"/>
      <c r="L15" s="143"/>
      <c r="M15" s="144"/>
      <c r="N15" s="129" t="str">
        <f t="shared" si="6"/>
        <v/>
      </c>
      <c r="O15" s="129" t="str">
        <f t="shared" si="7"/>
        <v/>
      </c>
      <c r="P15" s="129" t="str">
        <f t="shared" si="8"/>
        <v/>
      </c>
      <c r="Q15" s="129" t="str">
        <f t="shared" si="9"/>
        <v/>
      </c>
      <c r="R15" s="145"/>
      <c r="BA15" s="78"/>
      <c r="BB15" s="132" t="s">
        <v>1788</v>
      </c>
      <c r="BD15" s="132" t="str">
        <f>IF(OR(B15="",BC15=""),"",COUNTIF(BC$7:BC15,"√"))</f>
        <v/>
      </c>
      <c r="BE15" s="134" t="str">
        <f t="shared" si="0"/>
        <v/>
      </c>
      <c r="BF15" s="135" t="str">
        <f t="shared" si="10"/>
        <v/>
      </c>
      <c r="BG15" s="135" t="str">
        <f t="shared" si="10"/>
        <v/>
      </c>
      <c r="BH15" s="136"/>
      <c r="BI15" s="136"/>
      <c r="BJ15" s="136"/>
      <c r="BK15" s="137"/>
      <c r="BL15" s="165" t="s">
        <v>1677</v>
      </c>
      <c r="BM15" s="1217"/>
      <c r="BN15" s="1217">
        <f t="shared" si="1"/>
        <v>125.668493150685</v>
      </c>
      <c r="BO15" s="1217">
        <f t="shared" si="2"/>
        <v>0</v>
      </c>
      <c r="BP15" s="1217">
        <f t="shared" si="11"/>
        <v>0</v>
      </c>
      <c r="BR15" s="134" t="str">
        <f>IF(COUNTIF(BR$6:BR14,C15)&gt;0,"",C15)&amp;""</f>
        <v/>
      </c>
      <c r="BS15" s="138">
        <f t="shared" si="12"/>
        <v>0</v>
      </c>
      <c r="BT15" s="132">
        <f t="shared" si="13"/>
        <v>1</v>
      </c>
      <c r="BU15" s="138">
        <f t="shared" si="14"/>
        <v>0</v>
      </c>
      <c r="BV15" s="132">
        <f t="shared" si="15"/>
        <v>1</v>
      </c>
      <c r="BW15" s="133"/>
      <c r="BX15" s="133"/>
    </row>
    <row r="16" ht="15" customHeight="1" spans="1:77">
      <c r="A16" s="123" t="str">
        <f>IF(B16="","",COUNT(A$6:A15)+1)</f>
        <v/>
      </c>
      <c r="B16" s="139"/>
      <c r="C16" s="141"/>
      <c r="D16" s="1309"/>
      <c r="E16" s="140"/>
      <c r="F16" s="255"/>
      <c r="G16" s="142"/>
      <c r="H16" s="127" t="str">
        <f>IFERROR(VLOOKUP(G16,参数表!$H$2:$I$50,2,FALSE),"")</f>
        <v/>
      </c>
      <c r="I16" s="128" t="str">
        <f t="shared" si="4"/>
        <v/>
      </c>
      <c r="J16" s="128" t="str">
        <f t="shared" si="5"/>
        <v/>
      </c>
      <c r="K16" s="143"/>
      <c r="L16" s="143"/>
      <c r="M16" s="144"/>
      <c r="N16" s="129" t="str">
        <f t="shared" si="6"/>
        <v/>
      </c>
      <c r="O16" s="129" t="str">
        <f t="shared" si="7"/>
        <v/>
      </c>
      <c r="P16" s="129" t="str">
        <f t="shared" si="8"/>
        <v/>
      </c>
      <c r="Q16" s="129" t="str">
        <f t="shared" si="9"/>
        <v/>
      </c>
      <c r="R16" s="145"/>
      <c r="BA16" s="78"/>
      <c r="BB16" s="132" t="s">
        <v>1789</v>
      </c>
      <c r="BD16" s="132" t="str">
        <f>IF(OR(B16="",BC16=""),"",COUNTIF(BC$7:BC16,"√"))</f>
        <v/>
      </c>
      <c r="BE16" s="134" t="str">
        <f t="shared" si="0"/>
        <v/>
      </c>
      <c r="BF16" s="135" t="str">
        <f t="shared" si="10"/>
        <v/>
      </c>
      <c r="BG16" s="135" t="str">
        <f t="shared" si="10"/>
        <v/>
      </c>
      <c r="BH16" s="136"/>
      <c r="BI16" s="136"/>
      <c r="BJ16" s="136"/>
      <c r="BK16" s="137"/>
      <c r="BL16" s="165" t="s">
        <v>1677</v>
      </c>
      <c r="BM16" s="1217"/>
      <c r="BN16" s="1217">
        <f t="shared" si="1"/>
        <v>125.668493150685</v>
      </c>
      <c r="BO16" s="1217">
        <f t="shared" si="2"/>
        <v>0</v>
      </c>
      <c r="BP16" s="1217">
        <f t="shared" si="11"/>
        <v>0</v>
      </c>
      <c r="BR16" s="134" t="str">
        <f>IF(COUNTIF(BR$6:BR15,C16)&gt;0,"",C16)&amp;""</f>
        <v/>
      </c>
      <c r="BS16" s="138">
        <f t="shared" si="12"/>
        <v>0</v>
      </c>
      <c r="BT16" s="132">
        <f t="shared" si="13"/>
        <v>1</v>
      </c>
      <c r="BU16" s="138">
        <f t="shared" si="14"/>
        <v>0</v>
      </c>
      <c r="BV16" s="132">
        <f t="shared" si="15"/>
        <v>1</v>
      </c>
      <c r="BW16" s="133"/>
      <c r="BX16" s="148"/>
    </row>
    <row r="17" ht="15" customHeight="1" spans="1:77">
      <c r="A17" s="123" t="str">
        <f>IF(B17="","",COUNT(A$6:A16)+1)</f>
        <v/>
      </c>
      <c r="B17" s="139"/>
      <c r="C17" s="141"/>
      <c r="D17" s="1309"/>
      <c r="E17" s="140"/>
      <c r="F17" s="255"/>
      <c r="G17" s="142"/>
      <c r="H17" s="127" t="str">
        <f>IFERROR(VLOOKUP(G17,参数表!$H$2:$I$50,2,FALSE),"")</f>
        <v/>
      </c>
      <c r="I17" s="128" t="str">
        <f t="shared" si="4"/>
        <v/>
      </c>
      <c r="J17" s="128" t="str">
        <f t="shared" si="5"/>
        <v/>
      </c>
      <c r="K17" s="143"/>
      <c r="L17" s="143"/>
      <c r="M17" s="144"/>
      <c r="N17" s="129" t="str">
        <f t="shared" si="6"/>
        <v/>
      </c>
      <c r="O17" s="129" t="str">
        <f t="shared" si="7"/>
        <v/>
      </c>
      <c r="P17" s="129" t="str">
        <f t="shared" si="8"/>
        <v/>
      </c>
      <c r="Q17" s="129" t="str">
        <f t="shared" si="9"/>
        <v/>
      </c>
      <c r="R17" s="145"/>
      <c r="BA17" s="78"/>
      <c r="BB17" s="132" t="s">
        <v>1790</v>
      </c>
      <c r="BD17" s="132" t="str">
        <f>IF(OR(B17="",BC17=""),"",COUNTIF(BC$7:BC17,"√"))</f>
        <v/>
      </c>
      <c r="BE17" s="134" t="str">
        <f t="shared" si="0"/>
        <v/>
      </c>
      <c r="BF17" s="135" t="str">
        <f t="shared" si="10"/>
        <v/>
      </c>
      <c r="BG17" s="135" t="str">
        <f t="shared" si="10"/>
        <v/>
      </c>
      <c r="BH17" s="136"/>
      <c r="BI17" s="136"/>
      <c r="BJ17" s="136"/>
      <c r="BK17" s="137"/>
      <c r="BL17" s="165" t="s">
        <v>1677</v>
      </c>
      <c r="BM17" s="1217"/>
      <c r="BN17" s="1217">
        <f t="shared" si="1"/>
        <v>125.668493150685</v>
      </c>
      <c r="BO17" s="1217">
        <f t="shared" si="2"/>
        <v>0</v>
      </c>
      <c r="BP17" s="1217">
        <f t="shared" si="11"/>
        <v>0</v>
      </c>
      <c r="BR17" s="134" t="str">
        <f>IF(COUNTIF(BR$6:BR16,C17)&gt;0,"",C17)&amp;""</f>
        <v/>
      </c>
      <c r="BS17" s="138">
        <f t="shared" si="12"/>
        <v>0</v>
      </c>
      <c r="BT17" s="132">
        <f t="shared" si="13"/>
        <v>1</v>
      </c>
      <c r="BU17" s="138">
        <f t="shared" si="14"/>
        <v>0</v>
      </c>
      <c r="BV17" s="132">
        <f t="shared" si="15"/>
        <v>1</v>
      </c>
      <c r="BW17" s="133"/>
      <c r="BX17" s="133"/>
    </row>
    <row r="18" ht="15" customHeight="1" spans="1:77">
      <c r="A18" s="123" t="str">
        <f>IF(B18="","",COUNT(A$6:A17)+1)</f>
        <v/>
      </c>
      <c r="B18" s="139"/>
      <c r="C18" s="141"/>
      <c r="D18" s="1309"/>
      <c r="E18" s="140"/>
      <c r="F18" s="255"/>
      <c r="G18" s="142"/>
      <c r="H18" s="127" t="str">
        <f>IFERROR(VLOOKUP(G18,参数表!$H$2:$I$50,2,FALSE),"")</f>
        <v/>
      </c>
      <c r="I18" s="128" t="str">
        <f t="shared" si="4"/>
        <v/>
      </c>
      <c r="J18" s="128" t="str">
        <f t="shared" si="5"/>
        <v/>
      </c>
      <c r="K18" s="143"/>
      <c r="L18" s="143"/>
      <c r="M18" s="144"/>
      <c r="N18" s="129" t="str">
        <f t="shared" si="6"/>
        <v/>
      </c>
      <c r="O18" s="129" t="str">
        <f t="shared" si="7"/>
        <v/>
      </c>
      <c r="P18" s="129" t="str">
        <f t="shared" si="8"/>
        <v/>
      </c>
      <c r="Q18" s="129" t="str">
        <f t="shared" si="9"/>
        <v/>
      </c>
      <c r="R18" s="145"/>
      <c r="BA18" s="78"/>
      <c r="BB18" s="132" t="s">
        <v>1791</v>
      </c>
      <c r="BD18" s="132" t="str">
        <f>IF(OR(B18="",BC18=""),"",COUNTIF(BC$7:BC18,"√"))</f>
        <v/>
      </c>
      <c r="BE18" s="134" t="str">
        <f t="shared" si="0"/>
        <v/>
      </c>
      <c r="BF18" s="135" t="str">
        <f t="shared" si="10"/>
        <v/>
      </c>
      <c r="BG18" s="135" t="str">
        <f t="shared" si="10"/>
        <v/>
      </c>
      <c r="BH18" s="136"/>
      <c r="BI18" s="136"/>
      <c r="BJ18" s="136"/>
      <c r="BK18" s="137"/>
      <c r="BL18" s="165" t="s">
        <v>1677</v>
      </c>
      <c r="BM18" s="1217"/>
      <c r="BN18" s="1217">
        <f t="shared" si="1"/>
        <v>125.668493150685</v>
      </c>
      <c r="BO18" s="1217">
        <f t="shared" si="2"/>
        <v>0</v>
      </c>
      <c r="BP18" s="1217">
        <f t="shared" si="11"/>
        <v>0</v>
      </c>
      <c r="BR18" s="134" t="str">
        <f>IF(COUNTIF(BR$6:BR17,C18)&gt;0,"",C18)&amp;""</f>
        <v/>
      </c>
      <c r="BS18" s="138">
        <f t="shared" si="12"/>
        <v>0</v>
      </c>
      <c r="BT18" s="132">
        <f t="shared" si="13"/>
        <v>1</v>
      </c>
      <c r="BU18" s="138">
        <f t="shared" si="14"/>
        <v>0</v>
      </c>
      <c r="BV18" s="132">
        <f t="shared" si="15"/>
        <v>1</v>
      </c>
      <c r="BW18" s="133"/>
      <c r="BX18" s="133"/>
    </row>
    <row r="19" ht="15" customHeight="1" spans="1:77">
      <c r="A19" s="123" t="str">
        <f>IF(B19="","",COUNT(A$6:A18)+1)</f>
        <v/>
      </c>
      <c r="B19" s="139"/>
      <c r="C19" s="141"/>
      <c r="D19" s="1309"/>
      <c r="E19" s="140"/>
      <c r="F19" s="255"/>
      <c r="G19" s="142"/>
      <c r="H19" s="127" t="str">
        <f>IFERROR(VLOOKUP(G19,参数表!$H$2:$I$50,2,FALSE),"")</f>
        <v/>
      </c>
      <c r="I19" s="128" t="str">
        <f t="shared" si="4"/>
        <v/>
      </c>
      <c r="J19" s="128" t="str">
        <f t="shared" si="5"/>
        <v/>
      </c>
      <c r="K19" s="143"/>
      <c r="L19" s="143"/>
      <c r="M19" s="144"/>
      <c r="N19" s="129" t="str">
        <f t="shared" si="6"/>
        <v/>
      </c>
      <c r="O19" s="129" t="str">
        <f t="shared" si="7"/>
        <v/>
      </c>
      <c r="P19" s="129" t="str">
        <f t="shared" si="8"/>
        <v/>
      </c>
      <c r="Q19" s="129" t="str">
        <f t="shared" si="9"/>
        <v/>
      </c>
      <c r="R19" s="145"/>
      <c r="BA19" s="78"/>
      <c r="BB19" s="132" t="s">
        <v>1792</v>
      </c>
      <c r="BD19" s="132" t="str">
        <f>IF(OR(B19="",BC19=""),"",COUNTIF(BC$7:BC19,"√"))</f>
        <v/>
      </c>
      <c r="BE19" s="134" t="str">
        <f t="shared" si="0"/>
        <v/>
      </c>
      <c r="BF19" s="135" t="str">
        <f t="shared" si="10"/>
        <v/>
      </c>
      <c r="BG19" s="135" t="str">
        <f>IF($B19="","",IF(BG$5=0,"OK","出错"))</f>
        <v/>
      </c>
      <c r="BH19" s="136"/>
      <c r="BI19" s="136"/>
      <c r="BJ19" s="136"/>
      <c r="BK19" s="137"/>
      <c r="BL19" s="165" t="s">
        <v>1677</v>
      </c>
      <c r="BM19" s="1217"/>
      <c r="BN19" s="1217">
        <f t="shared" si="1"/>
        <v>125.668493150685</v>
      </c>
      <c r="BO19" s="1217">
        <f t="shared" si="2"/>
        <v>0</v>
      </c>
      <c r="BP19" s="1217">
        <f t="shared" si="11"/>
        <v>0</v>
      </c>
      <c r="BR19" s="134" t="str">
        <f>IF(COUNTIF(BR$6:BR18,C19)&gt;0,"",C19)&amp;""</f>
        <v/>
      </c>
      <c r="BS19" s="138">
        <f t="shared" si="12"/>
        <v>0</v>
      </c>
      <c r="BT19" s="132">
        <f t="shared" si="13"/>
        <v>1</v>
      </c>
      <c r="BU19" s="138">
        <f t="shared" si="14"/>
        <v>0</v>
      </c>
      <c r="BV19" s="132">
        <f t="shared" si="15"/>
        <v>1</v>
      </c>
      <c r="BW19" s="133"/>
      <c r="BX19" s="133"/>
    </row>
    <row r="20" ht="15" customHeight="1" spans="1:77">
      <c r="A20" s="123" t="str">
        <f>IF(B20="","",COUNT(A$6:A19)+1)</f>
        <v/>
      </c>
      <c r="B20" s="139"/>
      <c r="C20" s="141"/>
      <c r="D20" s="1309"/>
      <c r="E20" s="140"/>
      <c r="F20" s="255"/>
      <c r="G20" s="142"/>
      <c r="H20" s="127" t="str">
        <f>IFERROR(VLOOKUP(G20,参数表!$H$2:$I$50,2,FALSE),"")</f>
        <v/>
      </c>
      <c r="I20" s="128" t="str">
        <f t="shared" si="4"/>
        <v/>
      </c>
      <c r="J20" s="128" t="str">
        <f t="shared" si="5"/>
        <v/>
      </c>
      <c r="K20" s="143"/>
      <c r="L20" s="143"/>
      <c r="M20" s="144"/>
      <c r="N20" s="129" t="str">
        <f t="shared" si="6"/>
        <v/>
      </c>
      <c r="O20" s="129" t="str">
        <f t="shared" si="7"/>
        <v/>
      </c>
      <c r="P20" s="129" t="str">
        <f t="shared" si="8"/>
        <v/>
      </c>
      <c r="Q20" s="129" t="str">
        <f t="shared" si="9"/>
        <v/>
      </c>
      <c r="R20" s="145"/>
      <c r="BA20" s="78"/>
      <c r="BB20" s="132" t="s">
        <v>1793</v>
      </c>
      <c r="BD20" s="132" t="str">
        <f>IF(OR(B20="",BC20=""),"",COUNTIF(BC$7:BC20,"√"))</f>
        <v/>
      </c>
      <c r="BE20" s="134" t="str">
        <f t="shared" si="0"/>
        <v/>
      </c>
      <c r="BF20" s="135" t="str">
        <f t="shared" si="10"/>
        <v/>
      </c>
      <c r="BG20" s="135" t="str">
        <f t="shared" si="10"/>
        <v/>
      </c>
      <c r="BH20" s="136"/>
      <c r="BI20" s="136"/>
      <c r="BJ20" s="136"/>
      <c r="BK20" s="137"/>
      <c r="BL20" s="165" t="s">
        <v>1677</v>
      </c>
      <c r="BM20" s="1217"/>
      <c r="BN20" s="1217">
        <f t="shared" si="1"/>
        <v>125.668493150685</v>
      </c>
      <c r="BO20" s="1217">
        <f t="shared" si="2"/>
        <v>0</v>
      </c>
      <c r="BP20" s="1217">
        <f t="shared" si="11"/>
        <v>0</v>
      </c>
      <c r="BR20" s="134" t="str">
        <f>IF(COUNTIF(BR$6:BR19,C20)&gt;0,"",C20)&amp;""</f>
        <v/>
      </c>
      <c r="BS20" s="138">
        <f t="shared" si="12"/>
        <v>0</v>
      </c>
      <c r="BT20" s="132">
        <f t="shared" si="13"/>
        <v>1</v>
      </c>
      <c r="BU20" s="138">
        <f t="shared" si="14"/>
        <v>0</v>
      </c>
      <c r="BV20" s="132">
        <f t="shared" si="15"/>
        <v>1</v>
      </c>
      <c r="BW20" s="133"/>
      <c r="BX20" s="133"/>
    </row>
    <row r="21" ht="15" customHeight="1" spans="1:77">
      <c r="A21" s="123" t="str">
        <f>IF(B21="","",COUNT(A$6:A20)+1)</f>
        <v/>
      </c>
      <c r="B21" s="139"/>
      <c r="C21" s="141"/>
      <c r="D21" s="1309"/>
      <c r="E21" s="140"/>
      <c r="F21" s="255"/>
      <c r="G21" s="142"/>
      <c r="H21" s="127" t="str">
        <f>IFERROR(VLOOKUP(G21,参数表!$H$2:$I$50,2,FALSE),"")</f>
        <v/>
      </c>
      <c r="I21" s="128" t="str">
        <f t="shared" si="4"/>
        <v/>
      </c>
      <c r="J21" s="128" t="str">
        <f t="shared" si="5"/>
        <v/>
      </c>
      <c r="K21" s="143"/>
      <c r="L21" s="143"/>
      <c r="M21" s="144"/>
      <c r="N21" s="129" t="str">
        <f t="shared" si="6"/>
        <v/>
      </c>
      <c r="O21" s="129" t="str">
        <f t="shared" si="7"/>
        <v/>
      </c>
      <c r="P21" s="129" t="str">
        <f t="shared" si="8"/>
        <v/>
      </c>
      <c r="Q21" s="129" t="str">
        <f t="shared" si="9"/>
        <v/>
      </c>
      <c r="R21" s="145"/>
      <c r="BA21" s="78"/>
      <c r="BB21" s="132" t="s">
        <v>1794</v>
      </c>
      <c r="BD21" s="132" t="str">
        <f>IF(OR(B21="",BC21=""),"",COUNTIF(BC$7:BC21,"√"))</f>
        <v/>
      </c>
      <c r="BE21" s="134" t="str">
        <f t="shared" si="0"/>
        <v/>
      </c>
      <c r="BF21" s="135" t="str">
        <f t="shared" si="10"/>
        <v/>
      </c>
      <c r="BG21" s="135" t="str">
        <f t="shared" si="10"/>
        <v/>
      </c>
      <c r="BH21" s="136"/>
      <c r="BI21" s="136"/>
      <c r="BJ21" s="136"/>
      <c r="BK21" s="137"/>
      <c r="BL21" s="165" t="s">
        <v>1677</v>
      </c>
      <c r="BM21" s="1217"/>
      <c r="BN21" s="1217">
        <f t="shared" si="1"/>
        <v>125.668493150685</v>
      </c>
      <c r="BO21" s="1217">
        <f t="shared" si="2"/>
        <v>0</v>
      </c>
      <c r="BP21" s="1217">
        <f t="shared" si="11"/>
        <v>0</v>
      </c>
      <c r="BR21" s="134" t="str">
        <f>IF(COUNTIF(BR$6:BR20,C21)&gt;0,"",C21)&amp;""</f>
        <v/>
      </c>
      <c r="BS21" s="138">
        <f t="shared" si="12"/>
        <v>0</v>
      </c>
      <c r="BT21" s="132">
        <f t="shared" si="13"/>
        <v>1</v>
      </c>
      <c r="BU21" s="138">
        <f t="shared" si="14"/>
        <v>0</v>
      </c>
      <c r="BV21" s="132">
        <f t="shared" si="15"/>
        <v>1</v>
      </c>
      <c r="BW21" s="133"/>
      <c r="BX21" s="133"/>
    </row>
    <row r="22" ht="15" customHeight="1" spans="1:77">
      <c r="A22" s="123" t="str">
        <f>IF(B22="","",COUNT(A$6:A21)+1)</f>
        <v/>
      </c>
      <c r="B22" s="139"/>
      <c r="C22" s="141"/>
      <c r="D22" s="1309"/>
      <c r="E22" s="140"/>
      <c r="F22" s="255"/>
      <c r="G22" s="142"/>
      <c r="H22" s="127" t="str">
        <f>IFERROR(VLOOKUP(G22,参数表!$H$2:$I$50,2,FALSE),"")</f>
        <v/>
      </c>
      <c r="I22" s="128" t="str">
        <f t="shared" si="4"/>
        <v/>
      </c>
      <c r="J22" s="128" t="str">
        <f t="shared" si="5"/>
        <v/>
      </c>
      <c r="K22" s="143"/>
      <c r="L22" s="143"/>
      <c r="M22" s="144"/>
      <c r="N22" s="129" t="str">
        <f t="shared" si="6"/>
        <v/>
      </c>
      <c r="O22" s="129" t="str">
        <f t="shared" si="7"/>
        <v/>
      </c>
      <c r="P22" s="129" t="str">
        <f t="shared" si="8"/>
        <v/>
      </c>
      <c r="Q22" s="129" t="str">
        <f t="shared" si="9"/>
        <v/>
      </c>
      <c r="R22" s="145"/>
      <c r="BA22" s="78"/>
      <c r="BB22" s="132" t="s">
        <v>1795</v>
      </c>
      <c r="BD22" s="132" t="str">
        <f>IF(OR(B22="",BC22=""),"",COUNTIF(BC$7:BC22,"√"))</f>
        <v/>
      </c>
      <c r="BE22" s="134" t="str">
        <f t="shared" si="0"/>
        <v/>
      </c>
      <c r="BF22" s="135" t="str">
        <f t="shared" si="10"/>
        <v/>
      </c>
      <c r="BG22" s="135" t="str">
        <f t="shared" si="10"/>
        <v/>
      </c>
      <c r="BH22" s="136"/>
      <c r="BI22" s="136"/>
      <c r="BJ22" s="136"/>
      <c r="BK22" s="137"/>
      <c r="BL22" s="165" t="s">
        <v>1677</v>
      </c>
      <c r="BM22" s="1217"/>
      <c r="BN22" s="1217">
        <f t="shared" si="1"/>
        <v>125.668493150685</v>
      </c>
      <c r="BO22" s="1217">
        <f t="shared" si="2"/>
        <v>0</v>
      </c>
      <c r="BP22" s="1217">
        <f t="shared" si="11"/>
        <v>0</v>
      </c>
      <c r="BR22" s="134" t="str">
        <f>IF(COUNTIF(BR$6:BR21,C22)&gt;0,"",C22)&amp;""</f>
        <v/>
      </c>
      <c r="BS22" s="138">
        <f t="shared" si="12"/>
        <v>0</v>
      </c>
      <c r="BT22" s="132">
        <f t="shared" si="13"/>
        <v>1</v>
      </c>
      <c r="BU22" s="138">
        <f t="shared" si="14"/>
        <v>0</v>
      </c>
      <c r="BV22" s="132">
        <f t="shared" si="15"/>
        <v>1</v>
      </c>
      <c r="BW22" s="133"/>
      <c r="BX22" s="133"/>
    </row>
    <row r="23" ht="15" customHeight="1" spans="1:77">
      <c r="A23" s="123" t="str">
        <f>IF(B23="","",COUNT(A$6:A22)+1)</f>
        <v/>
      </c>
      <c r="B23" s="139"/>
      <c r="C23" s="141"/>
      <c r="D23" s="1309"/>
      <c r="E23" s="140"/>
      <c r="F23" s="255"/>
      <c r="G23" s="142"/>
      <c r="H23" s="127" t="str">
        <f>IFERROR(VLOOKUP(G23,参数表!$H$2:$I$50,2,FALSE),"")</f>
        <v/>
      </c>
      <c r="I23" s="128" t="str">
        <f t="shared" si="4"/>
        <v/>
      </c>
      <c r="J23" s="128" t="str">
        <f t="shared" si="5"/>
        <v/>
      </c>
      <c r="K23" s="143"/>
      <c r="L23" s="143"/>
      <c r="M23" s="144"/>
      <c r="N23" s="129" t="str">
        <f t="shared" si="6"/>
        <v/>
      </c>
      <c r="O23" s="129" t="str">
        <f t="shared" si="7"/>
        <v/>
      </c>
      <c r="P23" s="129" t="str">
        <f t="shared" si="8"/>
        <v/>
      </c>
      <c r="Q23" s="129" t="str">
        <f t="shared" si="9"/>
        <v/>
      </c>
      <c r="R23" s="145"/>
      <c r="BA23" s="78"/>
      <c r="BB23" s="132" t="s">
        <v>1796</v>
      </c>
      <c r="BD23" s="132" t="str">
        <f>IF(OR(B23="",BC23=""),"",COUNTIF(BC$7:BC23,"√"))</f>
        <v/>
      </c>
      <c r="BE23" s="134" t="str">
        <f t="shared" si="0"/>
        <v/>
      </c>
      <c r="BF23" s="135" t="str">
        <f t="shared" si="10"/>
        <v/>
      </c>
      <c r="BG23" s="135" t="str">
        <f t="shared" si="10"/>
        <v/>
      </c>
      <c r="BH23" s="136"/>
      <c r="BI23" s="136"/>
      <c r="BJ23" s="136"/>
      <c r="BK23" s="137"/>
      <c r="BL23" s="165" t="s">
        <v>1677</v>
      </c>
      <c r="BM23" s="1217"/>
      <c r="BN23" s="1217">
        <f t="shared" si="1"/>
        <v>125.668493150685</v>
      </c>
      <c r="BO23" s="1217">
        <f t="shared" si="2"/>
        <v>0</v>
      </c>
      <c r="BP23" s="1217">
        <f t="shared" si="11"/>
        <v>0</v>
      </c>
      <c r="BR23" s="134" t="str">
        <f>IF(COUNTIF(BR$6:BR22,C23)&gt;0,"",C23)&amp;""</f>
        <v/>
      </c>
      <c r="BS23" s="138">
        <f t="shared" si="12"/>
        <v>0</v>
      </c>
      <c r="BT23" s="132">
        <f t="shared" si="13"/>
        <v>1</v>
      </c>
      <c r="BU23" s="138">
        <f t="shared" si="14"/>
        <v>0</v>
      </c>
      <c r="BV23" s="132">
        <f t="shared" si="15"/>
        <v>1</v>
      </c>
      <c r="BW23" s="133"/>
      <c r="BX23" s="133"/>
    </row>
    <row r="24" ht="15" customHeight="1" spans="1:77">
      <c r="A24" s="123" t="str">
        <f>IF(B24="","",COUNT(A$6:A23)+1)</f>
        <v/>
      </c>
      <c r="B24" s="139"/>
      <c r="C24" s="141"/>
      <c r="D24" s="1309"/>
      <c r="E24" s="140"/>
      <c r="F24" s="255"/>
      <c r="G24" s="142"/>
      <c r="H24" s="127" t="str">
        <f>IFERROR(VLOOKUP(G24,参数表!$H$2:$I$50,2,FALSE),"")</f>
        <v/>
      </c>
      <c r="I24" s="128" t="str">
        <f t="shared" si="4"/>
        <v/>
      </c>
      <c r="J24" s="128" t="str">
        <f t="shared" si="5"/>
        <v/>
      </c>
      <c r="K24" s="143"/>
      <c r="L24" s="143"/>
      <c r="M24" s="144"/>
      <c r="N24" s="129" t="str">
        <f t="shared" si="6"/>
        <v/>
      </c>
      <c r="O24" s="129" t="str">
        <f t="shared" si="7"/>
        <v/>
      </c>
      <c r="P24" s="129" t="str">
        <f t="shared" si="8"/>
        <v/>
      </c>
      <c r="Q24" s="129" t="str">
        <f t="shared" si="9"/>
        <v/>
      </c>
      <c r="R24" s="145"/>
      <c r="BA24" s="78"/>
      <c r="BB24" s="132" t="s">
        <v>1797</v>
      </c>
      <c r="BD24" s="132" t="str">
        <f>IF(OR(B24="",BC24=""),"",COUNTIF(BC$7:BC24,"√"))</f>
        <v/>
      </c>
      <c r="BE24" s="134" t="str">
        <f t="shared" si="0"/>
        <v/>
      </c>
      <c r="BF24" s="135" t="str">
        <f t="shared" si="10"/>
        <v/>
      </c>
      <c r="BG24" s="135" t="str">
        <f t="shared" si="10"/>
        <v/>
      </c>
      <c r="BH24" s="136"/>
      <c r="BI24" s="136"/>
      <c r="BJ24" s="136"/>
      <c r="BK24" s="137"/>
      <c r="BL24" s="165" t="s">
        <v>1677</v>
      </c>
      <c r="BM24" s="1217"/>
      <c r="BN24" s="1217">
        <f t="shared" si="1"/>
        <v>125.668493150685</v>
      </c>
      <c r="BO24" s="1217">
        <f t="shared" si="2"/>
        <v>0</v>
      </c>
      <c r="BP24" s="1217">
        <f t="shared" si="11"/>
        <v>0</v>
      </c>
      <c r="BR24" s="134" t="str">
        <f>IF(COUNTIF(BR$6:BR23,C24)&gt;0,"",C24)&amp;""</f>
        <v/>
      </c>
      <c r="BS24" s="138">
        <f t="shared" si="12"/>
        <v>0</v>
      </c>
      <c r="BT24" s="132">
        <f t="shared" si="13"/>
        <v>1</v>
      </c>
      <c r="BU24" s="138">
        <f t="shared" si="14"/>
        <v>0</v>
      </c>
      <c r="BV24" s="132">
        <f t="shared" si="15"/>
        <v>1</v>
      </c>
      <c r="BW24" s="133"/>
      <c r="BX24" s="133"/>
    </row>
    <row r="25" ht="15" customHeight="1" spans="1:77">
      <c r="A25" s="123" t="str">
        <f>IF(B25="","",COUNT(A$6:A24)+1)</f>
        <v/>
      </c>
      <c r="B25" s="139"/>
      <c r="C25" s="141"/>
      <c r="D25" s="1309"/>
      <c r="E25" s="140"/>
      <c r="F25" s="255"/>
      <c r="G25" s="142"/>
      <c r="H25" s="127" t="str">
        <f>IFERROR(VLOOKUP(G25,参数表!$H$2:$I$50,2,FALSE),"")</f>
        <v/>
      </c>
      <c r="I25" s="128" t="str">
        <f t="shared" si="4"/>
        <v/>
      </c>
      <c r="J25" s="128" t="str">
        <f t="shared" si="5"/>
        <v/>
      </c>
      <c r="K25" s="143"/>
      <c r="L25" s="143"/>
      <c r="M25" s="144"/>
      <c r="N25" s="129" t="str">
        <f t="shared" si="6"/>
        <v/>
      </c>
      <c r="O25" s="129" t="str">
        <f t="shared" si="7"/>
        <v/>
      </c>
      <c r="P25" s="129" t="str">
        <f t="shared" si="8"/>
        <v/>
      </c>
      <c r="Q25" s="129" t="str">
        <f t="shared" si="9"/>
        <v/>
      </c>
      <c r="R25" s="145"/>
      <c r="BA25" s="78"/>
      <c r="BB25" s="132" t="s">
        <v>1798</v>
      </c>
      <c r="BD25" s="132" t="str">
        <f>IF(OR(B25="",BC25=""),"",COUNTIF(BC$7:BC25,"√"))</f>
        <v/>
      </c>
      <c r="BE25" s="134" t="str">
        <f t="shared" si="0"/>
        <v/>
      </c>
      <c r="BF25" s="135" t="str">
        <f t="shared" si="10"/>
        <v/>
      </c>
      <c r="BG25" s="135" t="str">
        <f t="shared" si="10"/>
        <v/>
      </c>
      <c r="BH25" s="136"/>
      <c r="BI25" s="136"/>
      <c r="BJ25" s="136"/>
      <c r="BK25" s="137"/>
      <c r="BL25" s="165" t="s">
        <v>1677</v>
      </c>
      <c r="BM25" s="1217"/>
      <c r="BN25" s="1217">
        <f t="shared" si="1"/>
        <v>125.668493150685</v>
      </c>
      <c r="BO25" s="1217">
        <f t="shared" si="2"/>
        <v>0</v>
      </c>
      <c r="BP25" s="1217">
        <f t="shared" si="11"/>
        <v>0</v>
      </c>
      <c r="BR25" s="134" t="str">
        <f>IF(COUNTIF(BR$6:BR24,C25)&gt;0,"",C25)&amp;""</f>
        <v/>
      </c>
      <c r="BS25" s="138">
        <f t="shared" si="12"/>
        <v>0</v>
      </c>
      <c r="BT25" s="132">
        <f t="shared" si="13"/>
        <v>1</v>
      </c>
      <c r="BU25" s="138">
        <f t="shared" si="14"/>
        <v>0</v>
      </c>
      <c r="BV25" s="132">
        <f t="shared" si="15"/>
        <v>1</v>
      </c>
      <c r="BW25" s="133"/>
      <c r="BX25" s="133"/>
    </row>
    <row r="26" ht="15" customHeight="1" spans="1:77">
      <c r="A26" s="123" t="str">
        <f>IF(B26="","",COUNT(A$6:A25)+1)</f>
        <v/>
      </c>
      <c r="B26" s="124"/>
      <c r="C26" s="126"/>
      <c r="D26" s="1308"/>
      <c r="E26" s="125"/>
      <c r="F26" s="225"/>
      <c r="G26" s="127"/>
      <c r="H26" s="127" t="str">
        <f>IFERROR(VLOOKUP(G26,参数表!$H$2:$I$50,2,FALSE),"")</f>
        <v/>
      </c>
      <c r="I26" s="128" t="str">
        <f t="shared" si="4"/>
        <v/>
      </c>
      <c r="J26" s="128" t="str">
        <f t="shared" si="5"/>
        <v/>
      </c>
      <c r="K26" s="129"/>
      <c r="L26" s="129"/>
      <c r="M26" s="130"/>
      <c r="N26" s="129" t="str">
        <f t="shared" si="6"/>
        <v/>
      </c>
      <c r="O26" s="129" t="str">
        <f t="shared" si="7"/>
        <v/>
      </c>
      <c r="P26" s="129" t="str">
        <f t="shared" si="8"/>
        <v/>
      </c>
      <c r="Q26" s="129" t="str">
        <f t="shared" si="9"/>
        <v/>
      </c>
      <c r="R26" s="131"/>
      <c r="BA26" s="78"/>
      <c r="BB26" s="132" t="s">
        <v>1799</v>
      </c>
      <c r="BD26" s="132" t="str">
        <f>IF(OR(B26="",BC26=""),"",COUNTIF(BC$7:BC26,"√"))</f>
        <v/>
      </c>
      <c r="BE26" s="134" t="str">
        <f t="shared" si="0"/>
        <v/>
      </c>
      <c r="BF26" s="135" t="str">
        <f t="shared" si="10"/>
        <v/>
      </c>
      <c r="BG26" s="135" t="str">
        <f t="shared" si="10"/>
        <v/>
      </c>
      <c r="BH26" s="136"/>
      <c r="BI26" s="136"/>
      <c r="BJ26" s="136"/>
      <c r="BK26" s="137"/>
      <c r="BL26" s="165" t="s">
        <v>1677</v>
      </c>
      <c r="BM26" s="1217"/>
      <c r="BN26" s="1217">
        <f t="shared" si="1"/>
        <v>125.668493150685</v>
      </c>
      <c r="BO26" s="1217">
        <f t="shared" si="2"/>
        <v>0</v>
      </c>
      <c r="BP26" s="1217">
        <f t="shared" si="11"/>
        <v>0</v>
      </c>
      <c r="BR26" s="134" t="str">
        <f>IF(COUNTIF(BR$6:BR25,C26)&gt;0,"",C26)&amp;""</f>
        <v/>
      </c>
      <c r="BS26" s="138">
        <f t="shared" si="12"/>
        <v>0</v>
      </c>
      <c r="BT26" s="132">
        <f t="shared" si="13"/>
        <v>1</v>
      </c>
      <c r="BU26" s="138">
        <f t="shared" si="14"/>
        <v>0</v>
      </c>
      <c r="BV26" s="132">
        <f t="shared" si="15"/>
        <v>1</v>
      </c>
      <c r="BW26" s="133"/>
      <c r="BX26" s="133"/>
    </row>
    <row r="27" s="73" customFormat="1" ht="15" customHeight="1" spans="1:77">
      <c r="A27" s="149" t="s">
        <v>1771</v>
      </c>
      <c r="B27" s="149"/>
      <c r="C27" s="151"/>
      <c r="D27" s="226"/>
      <c r="E27" s="226"/>
      <c r="F27" s="275"/>
      <c r="G27" s="275"/>
      <c r="H27" s="275"/>
      <c r="I27" s="275"/>
      <c r="J27" s="275"/>
      <c r="K27" s="152"/>
      <c r="L27" s="152">
        <f>SUM(L7:L26)</f>
        <v>0</v>
      </c>
      <c r="M27" s="153"/>
      <c r="N27" s="152">
        <f>SUM(N7:N26)</f>
        <v>0</v>
      </c>
      <c r="O27" s="152">
        <f>SUM(O7:O26)</f>
        <v>0</v>
      </c>
      <c r="P27" s="152">
        <f t="shared" si="8"/>
        <v>0</v>
      </c>
      <c r="Q27" s="152" t="str">
        <f t="shared" si="9"/>
        <v/>
      </c>
      <c r="R27" s="151"/>
      <c r="BH27" s="72"/>
      <c r="BI27" s="72"/>
      <c r="BJ27" s="72"/>
      <c r="BL27" s="72"/>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4"/>
      <c r="J28" s="154"/>
      <c r="K28" s="103"/>
      <c r="L28" s="103"/>
      <c r="M28" s="104"/>
      <c r="N28" s="103"/>
      <c r="O28" s="103" t="str">
        <f>"评估人员："&amp;封面!$G$20</f>
        <v>评估人员：栗祥宁</v>
      </c>
      <c r="P28" s="103"/>
      <c r="Q28" s="103"/>
      <c r="R28" s="103"/>
    </row>
    <row r="29" customHeight="1" spans="1:77">
      <c r="A29" s="102" t="str">
        <f>参数表!F$7</f>
        <v>填表日期：2025年9月20日</v>
      </c>
      <c r="B29" s="154"/>
      <c r="C29" s="154"/>
      <c r="D29" s="154"/>
      <c r="E29" s="154"/>
      <c r="F29" s="154"/>
      <c r="G29" s="154"/>
      <c r="H29" s="154"/>
      <c r="I29" s="154"/>
      <c r="J29" s="154"/>
      <c r="K29" s="103"/>
      <c r="L29" s="103"/>
      <c r="M29" s="104"/>
      <c r="N29" s="103"/>
      <c r="O29" s="103"/>
      <c r="P29" s="103"/>
      <c r="Q29" s="103"/>
      <c r="R29" s="103"/>
    </row>
    <row r="30" hidden="1" customHeight="1" outlineLevel="1" spans="1:77">
      <c r="A30" s="157"/>
      <c r="B30" s="154" t="s">
        <v>1673</v>
      </c>
      <c r="C30" s="158"/>
      <c r="D30" s="158"/>
      <c r="E30" s="158"/>
      <c r="F30" s="158"/>
      <c r="G30" s="158"/>
      <c r="H30" s="158"/>
      <c r="I30" s="158"/>
      <c r="J30" s="158"/>
      <c r="L30" s="159">
        <f>SUMIF($BA7:$BA26,$BA30,L7:L26)</f>
        <v>0</v>
      </c>
      <c r="M30" s="202"/>
      <c r="N30" s="159">
        <f>SUMIF($BA7:$BA26,$BA30,N7:N26)</f>
        <v>0</v>
      </c>
      <c r="O30" s="159">
        <f>SUMIF($BA7:$BA26,$BA30,O7:O26)</f>
        <v>0</v>
      </c>
      <c r="BA30" s="161" t="s">
        <v>1674</v>
      </c>
      <c r="BH30" s="95" t="s">
        <v>1675</v>
      </c>
      <c r="BI30" s="95" t="s">
        <v>1675</v>
      </c>
      <c r="BJ30" s="95" t="s">
        <v>1675</v>
      </c>
      <c r="BL30" s="95" t="s">
        <v>1674</v>
      </c>
    </row>
    <row r="31" hidden="1" customHeight="1" outlineLevel="1" spans="1:77">
      <c r="A31" s="157"/>
      <c r="B31" s="154" t="s">
        <v>1676</v>
      </c>
      <c r="C31" s="158"/>
      <c r="D31" s="158"/>
      <c r="E31" s="158"/>
      <c r="F31" s="158"/>
      <c r="G31" s="158"/>
      <c r="H31" s="158"/>
      <c r="I31" s="158"/>
      <c r="J31" s="158"/>
      <c r="L31" s="159">
        <f>L27-L30</f>
        <v>0</v>
      </c>
      <c r="M31" s="202"/>
      <c r="N31" s="159">
        <f>N27-N30</f>
        <v>0</v>
      </c>
      <c r="O31" s="159">
        <f>O27-O30</f>
        <v>0</v>
      </c>
      <c r="BA31" s="161" t="s">
        <v>1677</v>
      </c>
      <c r="BH31" s="95" t="s">
        <v>1678</v>
      </c>
      <c r="BI31" s="95" t="s">
        <v>1678</v>
      </c>
      <c r="BJ31" s="95" t="s">
        <v>1678</v>
      </c>
      <c r="BL31" s="95" t="s">
        <v>1677</v>
      </c>
    </row>
    <row r="32" customHeight="1" collapsed="1" spans="1:77">
      <c r="A32" s="157"/>
      <c r="B32" s="158"/>
      <c r="C32" s="158"/>
      <c r="D32" s="158"/>
      <c r="E32" s="158"/>
      <c r="F32" s="158"/>
      <c r="G32" s="158"/>
      <c r="H32" s="158"/>
      <c r="I32" s="158"/>
      <c r="J32" s="158"/>
    </row>
    <row r="33" customHeight="1" spans="1:10">
      <c r="A33" s="157"/>
      <c r="B33" s="158"/>
      <c r="C33" s="158"/>
      <c r="D33" s="158"/>
      <c r="E33" s="158"/>
      <c r="F33" s="158"/>
      <c r="G33" s="158"/>
      <c r="H33" s="158"/>
      <c r="I33" s="158"/>
      <c r="J33" s="158"/>
    </row>
    <row r="34" customHeight="1" spans="1:10">
      <c r="A34" s="157"/>
      <c r="B34" s="158"/>
      <c r="C34" s="158"/>
      <c r="D34" s="158"/>
      <c r="E34" s="158"/>
      <c r="F34" s="158"/>
      <c r="G34" s="158"/>
      <c r="H34" s="158"/>
      <c r="I34" s="158"/>
      <c r="J34" s="158"/>
    </row>
    <row r="35" customHeight="1" spans="1:10">
      <c r="A35" s="157"/>
      <c r="B35" s="158"/>
      <c r="C35" s="158"/>
      <c r="D35" s="158"/>
      <c r="E35" s="158"/>
      <c r="F35" s="158"/>
      <c r="G35" s="158"/>
      <c r="H35" s="158"/>
      <c r="I35" s="158"/>
      <c r="J35" s="158"/>
    </row>
    <row r="36" customHeight="1" spans="1:10">
      <c r="A36" s="157"/>
      <c r="B36" s="158"/>
      <c r="C36" s="158"/>
      <c r="D36" s="158"/>
      <c r="E36" s="158"/>
      <c r="F36" s="158"/>
      <c r="G36" s="158"/>
      <c r="H36" s="158"/>
      <c r="I36" s="158"/>
      <c r="J36" s="158"/>
    </row>
    <row r="37" customHeight="1" spans="1:10">
      <c r="A37" s="157"/>
      <c r="B37" s="158"/>
      <c r="C37" s="158"/>
      <c r="D37" s="158"/>
      <c r="E37" s="158"/>
      <c r="F37" s="158"/>
      <c r="G37" s="158"/>
      <c r="H37" s="158"/>
      <c r="I37" s="158"/>
      <c r="J37" s="158"/>
    </row>
  </sheetData>
  <sheetProtection autoFilter="0"/>
  <mergeCells count="6">
    <mergeCell ref="A2:R2"/>
    <mergeCell ref="A3:R3"/>
    <mergeCell ref="BW7:BY7"/>
    <mergeCell ref="BW8:BY8"/>
    <mergeCell ref="BX14:BY14"/>
    <mergeCell ref="A27:B27"/>
  </mergeCells>
  <conditionalFormatting sqref="BF7:BG26">
    <cfRule type="containsText" dxfId="6" priority="1" stopIfTrue="1" operator="between" text="出错">
      <formula>NOT(ISERROR(SEARCH("出错",BF7)))</formula>
    </cfRule>
    <cfRule type="containsText" priority="2" stopIfTrue="1" operator="between" text="出错">
      <formula>NOT(ISERROR(SEARCH("出错",BF7)))</formula>
    </cfRule>
  </conditionalFormatting>
  <conditionalFormatting sqref="BH7:BJ26">
    <cfRule type="expression" dxfId="5" priority="5" stopIfTrue="1">
      <formula>AND($B7&lt;&gt;"",BH7="")</formula>
    </cfRule>
  </conditionalFormatting>
  <dataValidations count="4">
    <dataValidation type="list" allowBlank="1" showInputMessage="1" showErrorMessage="1" sqref="BC7">
      <formula1>"  ,√"</formula1>
    </dataValidation>
    <dataValidation type="list" allowBlank="1" showInputMessage="1" showErrorMessage="1" sqref="G7:G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L7:BL26 BH7:BJ26">
      <formula1>BH$30:BH$31</formula1>
    </dataValidation>
  </dataValidations>
  <hyperlinks>
    <hyperlink ref="A1" location="索引目录!E10" display="返回索引页"/>
    <hyperlink ref="B1" location="交易性金融资产汇总!B8"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BW36"/>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16.6" style="75" customWidth="1"/>
    <col min="3" max="3" width="11.6" style="75" customWidth="1"/>
    <col min="4" max="5" width="8.2" style="75" customWidth="1"/>
    <col min="6" max="7" width="4.6" style="75" customWidth="1" outlineLevel="1"/>
    <col min="8" max="9" width="6.1" style="75" customWidth="1" outlineLevel="1"/>
    <col min="10" max="10" width="13.6" style="75" customWidth="1"/>
    <col min="11" max="11" width="13.6" style="75" customWidth="1" outlineLevel="1"/>
    <col min="12" max="12" width="13.6" style="76" customWidth="1" outlineLevel="1"/>
    <col min="13" max="13" width="13.6" style="75" customWidth="1"/>
    <col min="14" max="14" width="6.8" style="75" customWidth="1"/>
    <col min="15" max="15" width="13.6" style="75" customWidth="1"/>
    <col min="16" max="17" width="8.6" style="75" customWidth="1"/>
    <col min="18" max="18" width="9" style="75"/>
    <col min="19" max="52" width="9" style="75" hidden="1" customWidth="1" outlineLevel="1"/>
    <col min="53" max="53" width="14.7" style="75" customWidth="1" collapsed="1"/>
    <col min="54" max="54" width="6.7" style="75" customWidth="1"/>
    <col min="55" max="56" width="5" style="75" customWidth="1"/>
    <col min="57" max="57" width="8.6" style="165" customWidth="1"/>
    <col min="58" max="59" width="9.6" style="75" customWidth="1"/>
    <col min="60" max="62" width="5" style="75" customWidth="1"/>
    <col min="63" max="64" width="8.6" style="75" customWidth="1"/>
    <col min="65" max="65" width="7.3" style="75" customWidth="1"/>
    <col min="66" max="66" width="6.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82"/>
      <c r="D1" s="82"/>
      <c r="E1" s="82"/>
      <c r="F1" s="82"/>
      <c r="G1" s="82"/>
      <c r="H1" s="82"/>
      <c r="I1" s="82"/>
      <c r="J1" s="82"/>
      <c r="K1" s="82"/>
      <c r="L1" s="205"/>
      <c r="M1" s="82"/>
      <c r="N1" s="82"/>
      <c r="O1" s="82"/>
      <c r="P1" s="82"/>
      <c r="Q1" s="82"/>
      <c r="BA1" s="84" t="str">
        <f>参数表!BA1</f>
        <v>注意：补充特殊事项、作价等均从BA列开始填写</v>
      </c>
      <c r="BB1" s="85"/>
      <c r="BE1" s="82"/>
      <c r="BO1" s="87"/>
      <c r="BP1" s="88"/>
      <c r="BQ1" s="87"/>
      <c r="BR1" s="88"/>
      <c r="BS1" s="88"/>
      <c r="BT1" s="88"/>
      <c r="BU1" s="88"/>
      <c r="BV1" s="88"/>
      <c r="BW1" s="87"/>
    </row>
    <row r="2" s="71" customFormat="1" ht="30" customHeight="1" spans="1:75">
      <c r="A2" s="89" t="s">
        <v>1800</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E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4"/>
      <c r="L3" s="94"/>
      <c r="M3" s="94"/>
      <c r="N3" s="94"/>
      <c r="O3" s="94"/>
      <c r="P3" s="94"/>
      <c r="Q3" s="94"/>
      <c r="R3" s="94"/>
      <c r="BA3" s="90" t="str">
        <f>参数表!BA3</f>
        <v>是否显示评估值：</v>
      </c>
      <c r="BB3" s="90" t="str">
        <f>参数表!BB3</f>
        <v>是</v>
      </c>
      <c r="BP3" s="93"/>
      <c r="BQ3" s="93"/>
      <c r="BR3" s="93"/>
      <c r="BS3" s="93"/>
      <c r="BT3" s="93"/>
      <c r="BU3" s="93"/>
    </row>
    <row r="4" ht="15" customHeight="1" spans="1:75">
      <c r="A4" s="96"/>
      <c r="B4" s="94"/>
      <c r="C4" s="94"/>
      <c r="D4" s="94"/>
      <c r="E4" s="94"/>
      <c r="F4" s="94"/>
      <c r="G4" s="94"/>
      <c r="H4" s="94"/>
      <c r="I4" s="94"/>
      <c r="J4" s="94"/>
      <c r="K4" s="94"/>
      <c r="L4" s="97"/>
      <c r="M4" s="94"/>
      <c r="N4" s="95"/>
      <c r="O4" s="95"/>
      <c r="P4" s="95"/>
      <c r="Q4" s="95"/>
      <c r="R4" s="98" t="str">
        <f>"表"&amp;$BA4</f>
        <v>表3-2-3</v>
      </c>
      <c r="BA4" s="95" t="str">
        <f>公允计量金资总!A9</f>
        <v>3-2-3</v>
      </c>
      <c r="BB4" s="100">
        <f>MAX(COUNTA(A7:A26),COUNTA(B7:B26),COUNTA(K7:K26),COUNTA(M7:M26))</f>
        <v>20</v>
      </c>
      <c r="BC4" s="101">
        <f>ROW(A6)+1</f>
        <v>7</v>
      </c>
      <c r="BD4" s="77"/>
      <c r="BE4" s="77"/>
      <c r="BP4" s="93"/>
      <c r="BQ4" s="93"/>
      <c r="BR4" s="93"/>
      <c r="BS4" s="93"/>
      <c r="BT4" s="93"/>
      <c r="BU4" s="93"/>
    </row>
    <row r="5" ht="15" customHeight="1" spans="1:75">
      <c r="A5" s="102" t="str">
        <f>参数表!F3</f>
        <v>产权持有单位:中煤第五建设有限公司</v>
      </c>
      <c r="B5" s="103"/>
      <c r="C5" s="103"/>
      <c r="D5" s="103"/>
      <c r="E5" s="103"/>
      <c r="F5" s="103"/>
      <c r="G5" s="103"/>
      <c r="H5" s="103"/>
      <c r="I5" s="103"/>
      <c r="J5" s="103"/>
      <c r="K5" s="103"/>
      <c r="L5" s="104"/>
      <c r="M5" s="103"/>
      <c r="N5" s="103"/>
      <c r="O5" s="103"/>
      <c r="P5" s="103"/>
      <c r="Q5" s="103"/>
      <c r="R5" s="98" t="s">
        <v>236</v>
      </c>
      <c r="BA5" s="103"/>
      <c r="BB5" s="105" t="str">
        <f ca="1">判断表!C13</f>
        <v>中煤第五建设有限公司第三工程处拟处置实物资产项目\[0000-3基础法明细表.xlsx]公允资-基金</v>
      </c>
      <c r="BC5" s="106">
        <f>IFERROR(SUMIF(BC7:BC26,"√",M7:M26)/M27,0)</f>
        <v>0</v>
      </c>
      <c r="BD5" s="107"/>
      <c r="BE5" s="107"/>
      <c r="BF5" s="284">
        <f>'公允资-股票'!BF5</f>
        <v>0</v>
      </c>
      <c r="BG5" s="284">
        <f>'公允资-股票'!BG5</f>
        <v>0</v>
      </c>
      <c r="BO5" s="111"/>
      <c r="BP5" s="93"/>
      <c r="BQ5" s="93"/>
      <c r="BR5" s="93"/>
      <c r="BS5" s="93"/>
      <c r="BT5" s="93"/>
      <c r="BU5" s="93"/>
      <c r="BV5" s="194"/>
      <c r="BW5" s="111"/>
    </row>
    <row r="6" s="72" customFormat="1" ht="25.2" customHeight="1" spans="1:75">
      <c r="A6" s="112" t="s">
        <v>305</v>
      </c>
      <c r="B6" s="113" t="s">
        <v>1801</v>
      </c>
      <c r="C6" s="113" t="s">
        <v>1802</v>
      </c>
      <c r="D6" s="113" t="s">
        <v>1803</v>
      </c>
      <c r="E6" s="113" t="s">
        <v>1743</v>
      </c>
      <c r="F6" s="114" t="s">
        <v>1631</v>
      </c>
      <c r="G6" s="115" t="s">
        <v>1632</v>
      </c>
      <c r="H6" s="116" t="s">
        <v>1745</v>
      </c>
      <c r="I6" s="115" t="s">
        <v>1633</v>
      </c>
      <c r="J6" s="113" t="s">
        <v>1746</v>
      </c>
      <c r="K6" s="113" t="s">
        <v>1549</v>
      </c>
      <c r="L6" s="117" t="s">
        <v>1634</v>
      </c>
      <c r="M6" s="113" t="s">
        <v>1523</v>
      </c>
      <c r="N6" s="118" t="s">
        <v>1804</v>
      </c>
      <c r="O6" s="113" t="s">
        <v>1550</v>
      </c>
      <c r="P6" s="113" t="s">
        <v>1525</v>
      </c>
      <c r="Q6" s="113" t="s">
        <v>1551</v>
      </c>
      <c r="R6" s="113" t="s">
        <v>308</v>
      </c>
      <c r="BA6" s="100" t="s">
        <v>1545</v>
      </c>
      <c r="BB6" s="100" t="s">
        <v>1635</v>
      </c>
      <c r="BC6" s="100" t="s">
        <v>1636</v>
      </c>
      <c r="BD6" s="100" t="s">
        <v>1637</v>
      </c>
      <c r="BE6" s="100" t="s">
        <v>1638</v>
      </c>
      <c r="BF6" s="115" t="s">
        <v>1639</v>
      </c>
      <c r="BG6" s="115" t="s">
        <v>1640</v>
      </c>
      <c r="BH6" s="113" t="s">
        <v>1748</v>
      </c>
      <c r="BI6" s="113" t="s">
        <v>1749</v>
      </c>
      <c r="BJ6" s="118" t="s">
        <v>1750</v>
      </c>
      <c r="BK6" s="113" t="s">
        <v>1644</v>
      </c>
      <c r="BL6" s="184" t="s">
        <v>1805</v>
      </c>
      <c r="BM6" s="184" t="str">
        <f t="shared" ref="BM6:BM26" si="0">N6</f>
        <v>基准日净值/份</v>
      </c>
      <c r="BN6" s="184" t="s">
        <v>1524</v>
      </c>
      <c r="BO6" s="119"/>
      <c r="BP6" s="120" t="s">
        <v>1645</v>
      </c>
      <c r="BQ6" s="121" t="s">
        <v>1646</v>
      </c>
      <c r="BR6" s="121" t="s">
        <v>1647</v>
      </c>
      <c r="BS6" s="121" t="s">
        <v>1648</v>
      </c>
      <c r="BT6" s="121" t="s">
        <v>1647</v>
      </c>
      <c r="BU6" s="121" t="s">
        <v>1647</v>
      </c>
      <c r="BV6" s="121" t="s">
        <v>1649</v>
      </c>
      <c r="BW6" s="122" t="s">
        <v>1650</v>
      </c>
    </row>
    <row r="7" ht="15" customHeight="1" spans="1:75">
      <c r="A7" s="123" t="str">
        <f>IF(B7="","",COUNT(A$6:A6)+1)</f>
        <v/>
      </c>
      <c r="B7" s="124"/>
      <c r="C7" s="126"/>
      <c r="D7" s="126"/>
      <c r="E7" s="125"/>
      <c r="F7" s="127"/>
      <c r="G7" s="127" t="str">
        <f>IFERROR(VLOOKUP(F7,参数表!$H$2:$I$50,2,FALSE),"")</f>
        <v/>
      </c>
      <c r="H7" s="128" t="str">
        <f>IFERROR(IF(OR(F7="人民币",F7=""),"",J7/G7),"")</f>
        <v/>
      </c>
      <c r="I7" s="128" t="str">
        <f>IFERROR(IF(OR(F7="人民币",F7=""),"",M7/G7),"")</f>
        <v/>
      </c>
      <c r="J7" s="129"/>
      <c r="K7" s="129"/>
      <c r="L7" s="130"/>
      <c r="M7" s="129" t="str">
        <f>IF(C7="","",K7+L7)</f>
        <v/>
      </c>
      <c r="N7" s="129"/>
      <c r="O7" s="129" t="str">
        <f>IF(C7="","",IF(BB$3="是",BN7,""))</f>
        <v/>
      </c>
      <c r="P7" s="129" t="str">
        <f>IFERROR(O7-M7,"")</f>
        <v/>
      </c>
      <c r="Q7" s="129" t="str">
        <f>IFERROR(P7/M7*100,"")</f>
        <v/>
      </c>
      <c r="R7" s="131"/>
      <c r="BA7" s="78"/>
      <c r="BB7" s="132" t="s">
        <v>1806</v>
      </c>
      <c r="BC7" s="133"/>
      <c r="BD7" s="132" t="str">
        <f>IF(OR(B7="",BC7=""),"",COUNTIF(BC$7:BC7,"√"))</f>
        <v/>
      </c>
      <c r="BE7" s="134" t="str">
        <f t="shared" ref="BE7:BE26" si="1">IF(BC7="","",BB7&amp;"︱"&amp;B7&amp;"︱"&amp;TEXT(K7,"#,##0.00"))</f>
        <v/>
      </c>
      <c r="BF7" s="135" t="str">
        <f>IF($B7="","",IF(BF$5=0,"OK","出错"))</f>
        <v/>
      </c>
      <c r="BG7" s="135" t="str">
        <f>IF($B7="","",IF(BG$5=0,"OK","出错"))</f>
        <v/>
      </c>
      <c r="BH7" s="136"/>
      <c r="BI7" s="136"/>
      <c r="BJ7" s="136"/>
      <c r="BK7" s="137"/>
      <c r="BM7" s="347">
        <f t="shared" si="0"/>
        <v>0</v>
      </c>
      <c r="BN7" s="347">
        <f>BL7*BM7</f>
        <v>0</v>
      </c>
      <c r="BP7" s="134" t="str">
        <f>IF(COUNTIF(BP$6:BP6,D7)&gt;0,"",D7)&amp;""</f>
        <v/>
      </c>
      <c r="BQ7" s="138">
        <f>SUMIF(D$7:D$26,BP7,M$7:M$26)</f>
        <v>0</v>
      </c>
      <c r="BR7" s="132">
        <f t="shared" ref="BR7" si="2">RANK(BQ7,BQ$7:BQ$26)</f>
        <v>1</v>
      </c>
      <c r="BS7" s="138">
        <f>SUMIF(D$7:D$26,BP7,O$7:O$26)</f>
        <v>0</v>
      </c>
      <c r="BT7" s="132">
        <f>RANK(BS7,BS$7:BS$26)</f>
        <v>1</v>
      </c>
      <c r="BU7" s="138">
        <f>SUM(BQ7:BQ26)</f>
        <v>0</v>
      </c>
      <c r="BV7" s="138"/>
      <c r="BW7" s="138"/>
    </row>
    <row r="8" ht="15" customHeight="1" spans="1:75">
      <c r="A8" s="123" t="str">
        <f>IF(B8="","",COUNT(A$6:A7)+1)</f>
        <v/>
      </c>
      <c r="B8" s="139"/>
      <c r="C8" s="141"/>
      <c r="D8" s="141"/>
      <c r="E8" s="140"/>
      <c r="F8" s="142"/>
      <c r="G8" s="127" t="str">
        <f>IFERROR(VLOOKUP(F8,参数表!$H$2:$I$50,2,FALSE),"")</f>
        <v/>
      </c>
      <c r="H8" s="128" t="str">
        <f t="shared" ref="H8:H26" si="3">IFERROR(IF(OR(F8="人民币",F8=""),"",J8/G8),"")</f>
        <v/>
      </c>
      <c r="I8" s="128" t="str">
        <f t="shared" ref="I8:I26" si="4">IFERROR(IF(OR(F8="人民币",F8=""),"",M8/G8),"")</f>
        <v/>
      </c>
      <c r="J8" s="143"/>
      <c r="K8" s="143"/>
      <c r="L8" s="144"/>
      <c r="M8" s="129" t="str">
        <f t="shared" ref="M8:M26" si="5">IF(C8="","",K8+L8)</f>
        <v/>
      </c>
      <c r="N8" s="143"/>
      <c r="O8" s="129" t="str">
        <f t="shared" ref="O8:O26" si="6">IF(C8="","",IF(BB$3="是",BN8,""))</f>
        <v/>
      </c>
      <c r="P8" s="129" t="str">
        <f t="shared" ref="P8:P27" si="7">IFERROR(O8-M8,"")</f>
        <v/>
      </c>
      <c r="Q8" s="129" t="str">
        <f t="shared" ref="Q8:Q27" si="8">IFERROR(P8/M8*100,"")</f>
        <v/>
      </c>
      <c r="R8" s="145"/>
      <c r="BA8" s="78"/>
      <c r="BB8" s="132" t="s">
        <v>1807</v>
      </c>
      <c r="BC8" s="133"/>
      <c r="BD8" s="132" t="str">
        <f>IF(OR(B8="",BC8=""),"",COUNTIF(BC$7:BC8,"√"))</f>
        <v/>
      </c>
      <c r="BE8" s="134" t="str">
        <f t="shared" si="1"/>
        <v/>
      </c>
      <c r="BF8" s="135" t="str">
        <f t="shared" ref="BF8:BG26" si="9">IF($B8="","",IF(BF$5=0,"OK","出错"))</f>
        <v/>
      </c>
      <c r="BG8" s="135" t="str">
        <f t="shared" si="9"/>
        <v/>
      </c>
      <c r="BH8" s="136"/>
      <c r="BI8" s="136"/>
      <c r="BJ8" s="136"/>
      <c r="BK8" s="137"/>
      <c r="BM8" s="347">
        <f t="shared" si="0"/>
        <v>0</v>
      </c>
      <c r="BN8" s="347">
        <f t="shared" ref="BN8:BN26" si="10">BL8*BM8</f>
        <v>0</v>
      </c>
      <c r="BP8" s="134" t="str">
        <f>IF(COUNTIF(BP$6:BP7,D8)&gt;0,"",D8)&amp;""</f>
        <v/>
      </c>
      <c r="BQ8" s="138">
        <f t="shared" ref="BQ8:BQ26" si="11">SUMIF(D$7:D$26,BP8,M$7:M$26)</f>
        <v>0</v>
      </c>
      <c r="BR8" s="132">
        <f t="shared" ref="BR8:BR26" si="12">RANK(BQ8,BQ$7:BQ$26)</f>
        <v>1</v>
      </c>
      <c r="BS8" s="138">
        <f t="shared" ref="BS8:BS26" si="13">SUMIF(D$7:D$26,BP8,O$7:O$26)</f>
        <v>0</v>
      </c>
      <c r="BT8" s="132">
        <f t="shared" ref="BT8:BT26" si="14">RANK(BS8,BS$7:BS$26)</f>
        <v>1</v>
      </c>
      <c r="BU8" s="138">
        <f>SUM(BS7:BS26)</f>
        <v>0</v>
      </c>
      <c r="BV8" s="138"/>
      <c r="BW8" s="138"/>
    </row>
    <row r="9" ht="15" customHeight="1" spans="1:75">
      <c r="A9" s="123" t="str">
        <f>IF(B9="","",COUNT(A$6:A8)+1)</f>
        <v/>
      </c>
      <c r="B9" s="139"/>
      <c r="C9" s="141"/>
      <c r="D9" s="141"/>
      <c r="E9" s="140"/>
      <c r="F9" s="142"/>
      <c r="G9" s="127" t="str">
        <f>IFERROR(VLOOKUP(F9,参数表!$H$2:$I$50,2,FALSE),"")</f>
        <v/>
      </c>
      <c r="H9" s="128" t="str">
        <f t="shared" si="3"/>
        <v/>
      </c>
      <c r="I9" s="128" t="str">
        <f t="shared" si="4"/>
        <v/>
      </c>
      <c r="J9" s="143"/>
      <c r="K9" s="143"/>
      <c r="L9" s="144"/>
      <c r="M9" s="129" t="str">
        <f t="shared" si="5"/>
        <v/>
      </c>
      <c r="N9" s="143"/>
      <c r="O9" s="129" t="str">
        <f t="shared" si="6"/>
        <v/>
      </c>
      <c r="P9" s="129" t="str">
        <f t="shared" si="7"/>
        <v/>
      </c>
      <c r="Q9" s="129" t="str">
        <f t="shared" si="8"/>
        <v/>
      </c>
      <c r="R9" s="145"/>
      <c r="BA9" s="78"/>
      <c r="BB9" s="132" t="s">
        <v>1808</v>
      </c>
      <c r="BC9" s="133"/>
      <c r="BD9" s="132" t="str">
        <f>IF(OR(B9="",BC9=""),"",COUNTIF(BC$7:BC9,"√"))</f>
        <v/>
      </c>
      <c r="BE9" s="134" t="str">
        <f t="shared" si="1"/>
        <v/>
      </c>
      <c r="BF9" s="135" t="str">
        <f t="shared" si="9"/>
        <v/>
      </c>
      <c r="BG9" s="135" t="str">
        <f t="shared" si="9"/>
        <v/>
      </c>
      <c r="BH9" s="136"/>
      <c r="BI9" s="136"/>
      <c r="BJ9" s="136"/>
      <c r="BK9" s="137"/>
      <c r="BM9" s="347">
        <f t="shared" si="0"/>
        <v>0</v>
      </c>
      <c r="BN9" s="347">
        <f t="shared" si="10"/>
        <v>0</v>
      </c>
      <c r="BP9" s="134" t="str">
        <f>IF(COUNTIF(BP$6:BP8,D9)&gt;0,"",D9)&amp;""</f>
        <v/>
      </c>
      <c r="BQ9" s="138">
        <f t="shared" si="11"/>
        <v>0</v>
      </c>
      <c r="BR9" s="132">
        <f t="shared" si="12"/>
        <v>1</v>
      </c>
      <c r="BS9" s="138">
        <f t="shared" si="13"/>
        <v>0</v>
      </c>
      <c r="BT9" s="132">
        <f t="shared" si="14"/>
        <v>1</v>
      </c>
      <c r="BU9" s="132">
        <v>1</v>
      </c>
      <c r="BV9" s="134" t="str">
        <f>IFERROR(INDEX(BP$7:BP$26,MATCH(BU9,IF(BU$7=0,BT$7:BT$26,BR$7:BR$26),0))&amp;"","")</f>
        <v/>
      </c>
      <c r="BW9" s="146" t="str">
        <f>IF(BV10="","",IF(BV11="","和","、"))</f>
        <v/>
      </c>
    </row>
    <row r="10" ht="15" customHeight="1" spans="1:75">
      <c r="A10" s="123" t="str">
        <f>IF(B10="","",COUNT(A$6:A9)+1)</f>
        <v/>
      </c>
      <c r="B10" s="139"/>
      <c r="C10" s="141"/>
      <c r="D10" s="141"/>
      <c r="E10" s="140"/>
      <c r="F10" s="142"/>
      <c r="G10" s="127" t="str">
        <f>IFERROR(VLOOKUP(F10,参数表!$H$2:$I$50,2,FALSE),"")</f>
        <v/>
      </c>
      <c r="H10" s="128" t="str">
        <f t="shared" si="3"/>
        <v/>
      </c>
      <c r="I10" s="128" t="str">
        <f t="shared" si="4"/>
        <v/>
      </c>
      <c r="J10" s="143"/>
      <c r="K10" s="143"/>
      <c r="L10" s="144"/>
      <c r="M10" s="129" t="str">
        <f t="shared" si="5"/>
        <v/>
      </c>
      <c r="N10" s="143"/>
      <c r="O10" s="129" t="str">
        <f t="shared" si="6"/>
        <v/>
      </c>
      <c r="P10" s="129" t="str">
        <f t="shared" si="7"/>
        <v/>
      </c>
      <c r="Q10" s="129" t="str">
        <f t="shared" si="8"/>
        <v/>
      </c>
      <c r="R10" s="145"/>
      <c r="BA10" s="78"/>
      <c r="BB10" s="132" t="s">
        <v>1809</v>
      </c>
      <c r="BC10" s="133"/>
      <c r="BD10" s="132" t="str">
        <f>IF(OR(B10="",BC10=""),"",COUNTIF(BC$7:BC10,"√"))</f>
        <v/>
      </c>
      <c r="BE10" s="134" t="str">
        <f t="shared" si="1"/>
        <v/>
      </c>
      <c r="BF10" s="135" t="str">
        <f t="shared" si="9"/>
        <v/>
      </c>
      <c r="BG10" s="135" t="str">
        <f t="shared" si="9"/>
        <v/>
      </c>
      <c r="BH10" s="136"/>
      <c r="BI10" s="136"/>
      <c r="BJ10" s="136"/>
      <c r="BK10" s="137"/>
      <c r="BM10" s="347">
        <f t="shared" si="0"/>
        <v>0</v>
      </c>
      <c r="BN10" s="347">
        <f t="shared" si="10"/>
        <v>0</v>
      </c>
      <c r="BP10" s="134" t="str">
        <f>IF(COUNTIF(BP$6:BP9,D10)&gt;0,"",D10)&amp;""</f>
        <v/>
      </c>
      <c r="BQ10" s="138">
        <f t="shared" si="11"/>
        <v>0</v>
      </c>
      <c r="BR10" s="132">
        <f t="shared" si="12"/>
        <v>1</v>
      </c>
      <c r="BS10" s="138">
        <f t="shared" si="13"/>
        <v>0</v>
      </c>
      <c r="BT10" s="132">
        <f t="shared" si="14"/>
        <v>1</v>
      </c>
      <c r="BU10" s="132">
        <v>2</v>
      </c>
      <c r="BV10" s="134" t="str">
        <f t="shared" ref="BV10:BV13" si="15">IFERROR(INDEX(BP$7:BP$26,MATCH(BU10,IF(BU$7=0,BT$7:BT$26,BR$7:BR$26),0))&amp;"","")</f>
        <v/>
      </c>
      <c r="BW10" s="146" t="str">
        <f t="shared" ref="BW10:BW11" si="16">IF(BV11="","",IF(BV12="","和","、"))</f>
        <v/>
      </c>
    </row>
    <row r="11" ht="15" customHeight="1" spans="1:75">
      <c r="A11" s="123" t="str">
        <f>IF(B11="","",COUNT(A$6:A10)+1)</f>
        <v/>
      </c>
      <c r="B11" s="139"/>
      <c r="C11" s="141"/>
      <c r="D11" s="141"/>
      <c r="E11" s="140"/>
      <c r="F11" s="142"/>
      <c r="G11" s="127" t="str">
        <f>IFERROR(VLOOKUP(F11,参数表!$H$2:$I$50,2,FALSE),"")</f>
        <v/>
      </c>
      <c r="H11" s="128" t="str">
        <f t="shared" si="3"/>
        <v/>
      </c>
      <c r="I11" s="128" t="str">
        <f t="shared" si="4"/>
        <v/>
      </c>
      <c r="J11" s="143"/>
      <c r="K11" s="143"/>
      <c r="L11" s="144"/>
      <c r="M11" s="129" t="str">
        <f t="shared" si="5"/>
        <v/>
      </c>
      <c r="N11" s="143"/>
      <c r="O11" s="129" t="str">
        <f t="shared" si="6"/>
        <v/>
      </c>
      <c r="P11" s="129" t="str">
        <f t="shared" si="7"/>
        <v/>
      </c>
      <c r="Q11" s="129" t="str">
        <f t="shared" si="8"/>
        <v/>
      </c>
      <c r="R11" s="145"/>
      <c r="BA11" s="78"/>
      <c r="BB11" s="132" t="s">
        <v>1810</v>
      </c>
      <c r="BC11" s="133"/>
      <c r="BD11" s="132" t="str">
        <f>IF(OR(B11="",BC11=""),"",COUNTIF(BC$7:BC11,"√"))</f>
        <v/>
      </c>
      <c r="BE11" s="134" t="str">
        <f t="shared" si="1"/>
        <v/>
      </c>
      <c r="BF11" s="135" t="str">
        <f t="shared" si="9"/>
        <v/>
      </c>
      <c r="BG11" s="135" t="str">
        <f t="shared" si="9"/>
        <v/>
      </c>
      <c r="BH11" s="136"/>
      <c r="BI11" s="136"/>
      <c r="BJ11" s="136"/>
      <c r="BK11" s="137"/>
      <c r="BM11" s="347">
        <f t="shared" si="0"/>
        <v>0</v>
      </c>
      <c r="BN11" s="347">
        <f t="shared" si="10"/>
        <v>0</v>
      </c>
      <c r="BP11" s="134" t="str">
        <f>IF(COUNTIF(BP$6:BP10,D11)&gt;0,"",D11)&amp;""</f>
        <v/>
      </c>
      <c r="BQ11" s="138">
        <f t="shared" si="11"/>
        <v>0</v>
      </c>
      <c r="BR11" s="132">
        <f t="shared" si="12"/>
        <v>1</v>
      </c>
      <c r="BS11" s="138">
        <f t="shared" si="13"/>
        <v>0</v>
      </c>
      <c r="BT11" s="132">
        <f t="shared" si="14"/>
        <v>1</v>
      </c>
      <c r="BU11" s="132">
        <v>3</v>
      </c>
      <c r="BV11" s="134" t="str">
        <f t="shared" si="15"/>
        <v/>
      </c>
      <c r="BW11" s="146" t="str">
        <f t="shared" si="16"/>
        <v/>
      </c>
    </row>
    <row r="12" ht="15" customHeight="1" spans="1:75">
      <c r="A12" s="123" t="str">
        <f>IF(B12="","",COUNT(A$6:A11)+1)</f>
        <v/>
      </c>
      <c r="B12" s="139"/>
      <c r="C12" s="141"/>
      <c r="D12" s="141"/>
      <c r="E12" s="140"/>
      <c r="F12" s="142"/>
      <c r="G12" s="127" t="str">
        <f>IFERROR(VLOOKUP(F12,参数表!$H$2:$I$50,2,FALSE),"")</f>
        <v/>
      </c>
      <c r="H12" s="128" t="str">
        <f t="shared" si="3"/>
        <v/>
      </c>
      <c r="I12" s="128" t="str">
        <f t="shared" si="4"/>
        <v/>
      </c>
      <c r="J12" s="143"/>
      <c r="K12" s="143"/>
      <c r="L12" s="144"/>
      <c r="M12" s="129" t="str">
        <f t="shared" si="5"/>
        <v/>
      </c>
      <c r="N12" s="143"/>
      <c r="O12" s="129" t="str">
        <f t="shared" si="6"/>
        <v/>
      </c>
      <c r="P12" s="129" t="str">
        <f t="shared" si="7"/>
        <v/>
      </c>
      <c r="Q12" s="129" t="str">
        <f t="shared" si="8"/>
        <v/>
      </c>
      <c r="R12" s="145"/>
      <c r="BA12" s="78"/>
      <c r="BB12" s="132" t="s">
        <v>1811</v>
      </c>
      <c r="BC12" s="133"/>
      <c r="BD12" s="132" t="str">
        <f>IF(OR(B12="",BC12=""),"",COUNTIF(BC$7:BC12,"√"))</f>
        <v/>
      </c>
      <c r="BE12" s="134" t="str">
        <f t="shared" si="1"/>
        <v/>
      </c>
      <c r="BF12" s="135" t="str">
        <f t="shared" si="9"/>
        <v/>
      </c>
      <c r="BG12" s="135" t="str">
        <f t="shared" si="9"/>
        <v/>
      </c>
      <c r="BH12" s="136"/>
      <c r="BI12" s="136"/>
      <c r="BJ12" s="136"/>
      <c r="BK12" s="137"/>
      <c r="BM12" s="347">
        <f t="shared" si="0"/>
        <v>0</v>
      </c>
      <c r="BN12" s="347">
        <f t="shared" si="10"/>
        <v>0</v>
      </c>
      <c r="BP12" s="134" t="str">
        <f>IF(COUNTIF(BP$6:BP11,D12)&gt;0,"",D12)&amp;""</f>
        <v/>
      </c>
      <c r="BQ12" s="138">
        <f t="shared" si="11"/>
        <v>0</v>
      </c>
      <c r="BR12" s="132">
        <f t="shared" si="12"/>
        <v>1</v>
      </c>
      <c r="BS12" s="138">
        <f t="shared" si="13"/>
        <v>0</v>
      </c>
      <c r="BT12" s="132">
        <f t="shared" si="14"/>
        <v>1</v>
      </c>
      <c r="BU12" s="132">
        <v>4</v>
      </c>
      <c r="BV12" s="134" t="str">
        <f t="shared" si="15"/>
        <v/>
      </c>
      <c r="BW12" s="146" t="str">
        <f>IF(BV13="","","和")</f>
        <v/>
      </c>
    </row>
    <row r="13" ht="15" customHeight="1" spans="1:75">
      <c r="A13" s="123" t="str">
        <f>IF(B13="","",COUNT(A$6:A12)+1)</f>
        <v/>
      </c>
      <c r="B13" s="139"/>
      <c r="C13" s="141"/>
      <c r="D13" s="141"/>
      <c r="E13" s="140"/>
      <c r="F13" s="142"/>
      <c r="G13" s="127" t="str">
        <f>IFERROR(VLOOKUP(F13,参数表!$H$2:$I$50,2,FALSE),"")</f>
        <v/>
      </c>
      <c r="H13" s="128" t="str">
        <f t="shared" si="3"/>
        <v/>
      </c>
      <c r="I13" s="128" t="str">
        <f t="shared" si="4"/>
        <v/>
      </c>
      <c r="J13" s="143"/>
      <c r="K13" s="143"/>
      <c r="L13" s="144"/>
      <c r="M13" s="129" t="str">
        <f t="shared" si="5"/>
        <v/>
      </c>
      <c r="N13" s="143"/>
      <c r="O13" s="129" t="str">
        <f t="shared" si="6"/>
        <v/>
      </c>
      <c r="P13" s="129" t="str">
        <f t="shared" si="7"/>
        <v/>
      </c>
      <c r="Q13" s="129" t="str">
        <f t="shared" si="8"/>
        <v/>
      </c>
      <c r="R13" s="145"/>
      <c r="BA13" s="78"/>
      <c r="BB13" s="132" t="s">
        <v>1812</v>
      </c>
      <c r="BC13" s="133"/>
      <c r="BD13" s="132" t="str">
        <f>IF(OR(B13="",BC13=""),"",COUNTIF(BC$7:BC13,"√"))</f>
        <v/>
      </c>
      <c r="BE13" s="134" t="str">
        <f t="shared" si="1"/>
        <v/>
      </c>
      <c r="BF13" s="135" t="str">
        <f t="shared" si="9"/>
        <v/>
      </c>
      <c r="BG13" s="135" t="str">
        <f t="shared" si="9"/>
        <v/>
      </c>
      <c r="BH13" s="136"/>
      <c r="BI13" s="136"/>
      <c r="BJ13" s="136"/>
      <c r="BK13" s="137"/>
      <c r="BM13" s="347">
        <f t="shared" si="0"/>
        <v>0</v>
      </c>
      <c r="BN13" s="347">
        <f t="shared" si="10"/>
        <v>0</v>
      </c>
      <c r="BP13" s="134" t="str">
        <f>IF(COUNTIF(BP$6:BP12,D13)&gt;0,"",D13)&amp;""</f>
        <v/>
      </c>
      <c r="BQ13" s="138">
        <f t="shared" si="11"/>
        <v>0</v>
      </c>
      <c r="BR13" s="132">
        <f t="shared" si="12"/>
        <v>1</v>
      </c>
      <c r="BS13" s="138">
        <f t="shared" si="13"/>
        <v>0</v>
      </c>
      <c r="BT13" s="132">
        <f t="shared" si="14"/>
        <v>1</v>
      </c>
      <c r="BU13" s="132">
        <v>5</v>
      </c>
      <c r="BV13" s="134" t="str">
        <f t="shared" si="15"/>
        <v/>
      </c>
      <c r="BW13" s="146"/>
    </row>
    <row r="14" ht="15" customHeight="1" spans="1:75">
      <c r="A14" s="123" t="str">
        <f>IF(B14="","",COUNT(A$6:A13)+1)</f>
        <v/>
      </c>
      <c r="B14" s="139"/>
      <c r="C14" s="141"/>
      <c r="D14" s="141"/>
      <c r="E14" s="140"/>
      <c r="F14" s="142"/>
      <c r="G14" s="127" t="str">
        <f>IFERROR(VLOOKUP(F14,参数表!$H$2:$I$50,2,FALSE),"")</f>
        <v/>
      </c>
      <c r="H14" s="128" t="str">
        <f t="shared" si="3"/>
        <v/>
      </c>
      <c r="I14" s="128" t="str">
        <f t="shared" si="4"/>
        <v/>
      </c>
      <c r="J14" s="143"/>
      <c r="K14" s="143"/>
      <c r="L14" s="144"/>
      <c r="M14" s="129" t="str">
        <f t="shared" si="5"/>
        <v/>
      </c>
      <c r="N14" s="143"/>
      <c r="O14" s="129" t="str">
        <f t="shared" si="6"/>
        <v/>
      </c>
      <c r="P14" s="129" t="str">
        <f t="shared" si="7"/>
        <v/>
      </c>
      <c r="Q14" s="129" t="str">
        <f t="shared" si="8"/>
        <v/>
      </c>
      <c r="R14" s="145"/>
      <c r="BA14" s="78"/>
      <c r="BB14" s="132" t="s">
        <v>1813</v>
      </c>
      <c r="BC14" s="133"/>
      <c r="BD14" s="132" t="str">
        <f>IF(OR(B14="",BC14=""),"",COUNTIF(BC$7:BC14,"√"))</f>
        <v/>
      </c>
      <c r="BE14" s="134" t="str">
        <f t="shared" si="1"/>
        <v/>
      </c>
      <c r="BF14" s="135" t="str">
        <f t="shared" si="9"/>
        <v/>
      </c>
      <c r="BG14" s="135" t="str">
        <f t="shared" si="9"/>
        <v/>
      </c>
      <c r="BH14" s="136"/>
      <c r="BI14" s="136"/>
      <c r="BJ14" s="136"/>
      <c r="BK14" s="137"/>
      <c r="BM14" s="347">
        <f t="shared" si="0"/>
        <v>0</v>
      </c>
      <c r="BN14" s="347">
        <f t="shared" si="10"/>
        <v>0</v>
      </c>
      <c r="BP14" s="134" t="str">
        <f>IF(COUNTIF(BP$6:BP13,D14)&gt;0,"",D14)&amp;""</f>
        <v/>
      </c>
      <c r="BQ14" s="138">
        <f t="shared" si="11"/>
        <v>0</v>
      </c>
      <c r="BR14" s="132">
        <f t="shared" si="12"/>
        <v>1</v>
      </c>
      <c r="BS14" s="138">
        <f t="shared" si="13"/>
        <v>0</v>
      </c>
      <c r="BT14" s="132">
        <f t="shared" si="14"/>
        <v>1</v>
      </c>
      <c r="BU14" s="147" t="s">
        <v>1659</v>
      </c>
      <c r="BV14" s="132" t="str">
        <f>CONCATENATE(BV9,BW9,BV10,BW10,BV11,BW11,BV12,BW12,BV13)</f>
        <v/>
      </c>
      <c r="BW14" s="132"/>
    </row>
    <row r="15" ht="15" customHeight="1" spans="1:75">
      <c r="A15" s="123" t="str">
        <f>IF(B15="","",COUNT(A$6:A14)+1)</f>
        <v/>
      </c>
      <c r="B15" s="139"/>
      <c r="C15" s="141"/>
      <c r="D15" s="141"/>
      <c r="E15" s="140"/>
      <c r="F15" s="142"/>
      <c r="G15" s="127" t="str">
        <f>IFERROR(VLOOKUP(F15,参数表!$H$2:$I$50,2,FALSE),"")</f>
        <v/>
      </c>
      <c r="H15" s="128" t="str">
        <f t="shared" si="3"/>
        <v/>
      </c>
      <c r="I15" s="128" t="str">
        <f t="shared" si="4"/>
        <v/>
      </c>
      <c r="J15" s="143"/>
      <c r="K15" s="143"/>
      <c r="L15" s="144"/>
      <c r="M15" s="129" t="str">
        <f t="shared" si="5"/>
        <v/>
      </c>
      <c r="N15" s="143"/>
      <c r="O15" s="129" t="str">
        <f t="shared" si="6"/>
        <v/>
      </c>
      <c r="P15" s="129" t="str">
        <f t="shared" si="7"/>
        <v/>
      </c>
      <c r="Q15" s="129" t="str">
        <f t="shared" si="8"/>
        <v/>
      </c>
      <c r="R15" s="145"/>
      <c r="BA15" s="78"/>
      <c r="BB15" s="132" t="s">
        <v>1814</v>
      </c>
      <c r="BC15" s="133"/>
      <c r="BD15" s="132" t="str">
        <f>IF(OR(B15="",BC15=""),"",COUNTIF(BC$7:BC15,"√"))</f>
        <v/>
      </c>
      <c r="BE15" s="134" t="str">
        <f t="shared" si="1"/>
        <v/>
      </c>
      <c r="BF15" s="135" t="str">
        <f t="shared" si="9"/>
        <v/>
      </c>
      <c r="BG15" s="135" t="str">
        <f t="shared" si="9"/>
        <v/>
      </c>
      <c r="BH15" s="136"/>
      <c r="BI15" s="136"/>
      <c r="BJ15" s="136"/>
      <c r="BK15" s="137"/>
      <c r="BM15" s="347">
        <f t="shared" si="0"/>
        <v>0</v>
      </c>
      <c r="BN15" s="347">
        <f t="shared" si="10"/>
        <v>0</v>
      </c>
      <c r="BP15" s="134" t="str">
        <f>IF(COUNTIF(BP$6:BP14,D15)&gt;0,"",D15)&amp;""</f>
        <v/>
      </c>
      <c r="BQ15" s="138">
        <f t="shared" si="11"/>
        <v>0</v>
      </c>
      <c r="BR15" s="132">
        <f t="shared" si="12"/>
        <v>1</v>
      </c>
      <c r="BS15" s="138">
        <f t="shared" si="13"/>
        <v>0</v>
      </c>
      <c r="BT15" s="132">
        <f t="shared" si="14"/>
        <v>1</v>
      </c>
      <c r="BU15" s="133"/>
      <c r="BV15" s="133"/>
    </row>
    <row r="16" ht="15" customHeight="1" spans="1:75">
      <c r="A16" s="123" t="str">
        <f>IF(B16="","",COUNT(A$6:A15)+1)</f>
        <v/>
      </c>
      <c r="B16" s="139"/>
      <c r="C16" s="141"/>
      <c r="D16" s="141"/>
      <c r="E16" s="140"/>
      <c r="F16" s="142"/>
      <c r="G16" s="127" t="str">
        <f>IFERROR(VLOOKUP(F16,参数表!$H$2:$I$50,2,FALSE),"")</f>
        <v/>
      </c>
      <c r="H16" s="128" t="str">
        <f t="shared" si="3"/>
        <v/>
      </c>
      <c r="I16" s="128" t="str">
        <f t="shared" si="4"/>
        <v/>
      </c>
      <c r="J16" s="143"/>
      <c r="K16" s="143"/>
      <c r="L16" s="144"/>
      <c r="M16" s="129" t="str">
        <f t="shared" si="5"/>
        <v/>
      </c>
      <c r="N16" s="143"/>
      <c r="O16" s="129" t="str">
        <f t="shared" si="6"/>
        <v/>
      </c>
      <c r="P16" s="129" t="str">
        <f t="shared" si="7"/>
        <v/>
      </c>
      <c r="Q16" s="129" t="str">
        <f t="shared" si="8"/>
        <v/>
      </c>
      <c r="R16" s="145"/>
      <c r="BA16" s="78"/>
      <c r="BB16" s="132" t="s">
        <v>1815</v>
      </c>
      <c r="BC16" s="133"/>
      <c r="BD16" s="132" t="str">
        <f>IF(OR(B16="",BC16=""),"",COUNTIF(BC$7:BC16,"√"))</f>
        <v/>
      </c>
      <c r="BE16" s="134" t="str">
        <f t="shared" si="1"/>
        <v/>
      </c>
      <c r="BF16" s="135" t="str">
        <f t="shared" si="9"/>
        <v/>
      </c>
      <c r="BG16" s="135" t="str">
        <f t="shared" si="9"/>
        <v/>
      </c>
      <c r="BH16" s="136"/>
      <c r="BI16" s="136"/>
      <c r="BJ16" s="136"/>
      <c r="BK16" s="137"/>
      <c r="BM16" s="347">
        <f t="shared" si="0"/>
        <v>0</v>
      </c>
      <c r="BN16" s="347">
        <f t="shared" si="10"/>
        <v>0</v>
      </c>
      <c r="BP16" s="134" t="str">
        <f>IF(COUNTIF(BP$6:BP15,D16)&gt;0,"",D16)&amp;""</f>
        <v/>
      </c>
      <c r="BQ16" s="138">
        <f t="shared" si="11"/>
        <v>0</v>
      </c>
      <c r="BR16" s="132">
        <f t="shared" si="12"/>
        <v>1</v>
      </c>
      <c r="BS16" s="138">
        <f t="shared" si="13"/>
        <v>0</v>
      </c>
      <c r="BT16" s="132">
        <f t="shared" si="14"/>
        <v>1</v>
      </c>
      <c r="BU16" s="133"/>
      <c r="BV16" s="148"/>
    </row>
    <row r="17" ht="15" customHeight="1" spans="1:75">
      <c r="A17" s="123" t="str">
        <f>IF(B17="","",COUNT(A$6:A16)+1)</f>
        <v/>
      </c>
      <c r="B17" s="139"/>
      <c r="C17" s="141"/>
      <c r="D17" s="141"/>
      <c r="E17" s="140"/>
      <c r="F17" s="142"/>
      <c r="G17" s="127" t="str">
        <f>IFERROR(VLOOKUP(F17,参数表!$H$2:$I$50,2,FALSE),"")</f>
        <v/>
      </c>
      <c r="H17" s="128" t="str">
        <f t="shared" si="3"/>
        <v/>
      </c>
      <c r="I17" s="128" t="str">
        <f t="shared" si="4"/>
        <v/>
      </c>
      <c r="J17" s="143"/>
      <c r="K17" s="143"/>
      <c r="L17" s="144"/>
      <c r="M17" s="129" t="str">
        <f t="shared" si="5"/>
        <v/>
      </c>
      <c r="N17" s="143"/>
      <c r="O17" s="129" t="str">
        <f t="shared" si="6"/>
        <v/>
      </c>
      <c r="P17" s="129" t="str">
        <f t="shared" si="7"/>
        <v/>
      </c>
      <c r="Q17" s="129" t="str">
        <f t="shared" si="8"/>
        <v/>
      </c>
      <c r="R17" s="145"/>
      <c r="BA17" s="78"/>
      <c r="BB17" s="132" t="s">
        <v>1816</v>
      </c>
      <c r="BC17" s="133"/>
      <c r="BD17" s="132" t="str">
        <f>IF(OR(B17="",BC17=""),"",COUNTIF(BC$7:BC17,"√"))</f>
        <v/>
      </c>
      <c r="BE17" s="134" t="str">
        <f t="shared" si="1"/>
        <v/>
      </c>
      <c r="BF17" s="135" t="str">
        <f t="shared" si="9"/>
        <v/>
      </c>
      <c r="BG17" s="135" t="str">
        <f t="shared" si="9"/>
        <v/>
      </c>
      <c r="BH17" s="136"/>
      <c r="BI17" s="136"/>
      <c r="BJ17" s="136"/>
      <c r="BK17" s="137"/>
      <c r="BM17" s="347">
        <f t="shared" si="0"/>
        <v>0</v>
      </c>
      <c r="BN17" s="347">
        <f t="shared" si="10"/>
        <v>0</v>
      </c>
      <c r="BP17" s="134" t="str">
        <f>IF(COUNTIF(BP$6:BP16,D17)&gt;0,"",D17)&amp;""</f>
        <v/>
      </c>
      <c r="BQ17" s="138">
        <f t="shared" si="11"/>
        <v>0</v>
      </c>
      <c r="BR17" s="132">
        <f t="shared" si="12"/>
        <v>1</v>
      </c>
      <c r="BS17" s="138">
        <f t="shared" si="13"/>
        <v>0</v>
      </c>
      <c r="BT17" s="132">
        <f t="shared" si="14"/>
        <v>1</v>
      </c>
      <c r="BU17" s="133"/>
      <c r="BV17" s="133"/>
    </row>
    <row r="18" ht="15" customHeight="1" spans="1:75">
      <c r="A18" s="123" t="str">
        <f>IF(B18="","",COUNT(A$6:A17)+1)</f>
        <v/>
      </c>
      <c r="B18" s="139"/>
      <c r="C18" s="141"/>
      <c r="D18" s="141"/>
      <c r="E18" s="140"/>
      <c r="F18" s="142"/>
      <c r="G18" s="127" t="str">
        <f>IFERROR(VLOOKUP(F18,参数表!$H$2:$I$50,2,FALSE),"")</f>
        <v/>
      </c>
      <c r="H18" s="128" t="str">
        <f t="shared" si="3"/>
        <v/>
      </c>
      <c r="I18" s="128" t="str">
        <f t="shared" si="4"/>
        <v/>
      </c>
      <c r="J18" s="143"/>
      <c r="K18" s="143"/>
      <c r="L18" s="144"/>
      <c r="M18" s="129" t="str">
        <f t="shared" si="5"/>
        <v/>
      </c>
      <c r="N18" s="143"/>
      <c r="O18" s="129" t="str">
        <f t="shared" si="6"/>
        <v/>
      </c>
      <c r="P18" s="129" t="str">
        <f t="shared" si="7"/>
        <v/>
      </c>
      <c r="Q18" s="129" t="str">
        <f t="shared" si="8"/>
        <v/>
      </c>
      <c r="R18" s="145"/>
      <c r="BA18" s="78"/>
      <c r="BB18" s="132" t="s">
        <v>1817</v>
      </c>
      <c r="BC18" s="133"/>
      <c r="BD18" s="132" t="str">
        <f>IF(OR(B18="",BC18=""),"",COUNTIF(BC$7:BC18,"√"))</f>
        <v/>
      </c>
      <c r="BE18" s="134" t="str">
        <f t="shared" si="1"/>
        <v/>
      </c>
      <c r="BF18" s="135" t="str">
        <f t="shared" si="9"/>
        <v/>
      </c>
      <c r="BG18" s="135" t="str">
        <f t="shared" si="9"/>
        <v/>
      </c>
      <c r="BH18" s="136"/>
      <c r="BI18" s="136"/>
      <c r="BJ18" s="136"/>
      <c r="BK18" s="137"/>
      <c r="BM18" s="347">
        <f t="shared" si="0"/>
        <v>0</v>
      </c>
      <c r="BN18" s="347">
        <f t="shared" si="10"/>
        <v>0</v>
      </c>
      <c r="BP18" s="134" t="str">
        <f>IF(COUNTIF(BP$6:BP17,D18)&gt;0,"",D18)&amp;""</f>
        <v/>
      </c>
      <c r="BQ18" s="138">
        <f t="shared" si="11"/>
        <v>0</v>
      </c>
      <c r="BR18" s="132">
        <f t="shared" si="12"/>
        <v>1</v>
      </c>
      <c r="BS18" s="138">
        <f t="shared" si="13"/>
        <v>0</v>
      </c>
      <c r="BT18" s="132">
        <f t="shared" si="14"/>
        <v>1</v>
      </c>
      <c r="BU18" s="133"/>
      <c r="BV18" s="133"/>
    </row>
    <row r="19" ht="15" customHeight="1" spans="1:75">
      <c r="A19" s="123" t="str">
        <f>IF(B19="","",COUNT(A$6:A18)+1)</f>
        <v/>
      </c>
      <c r="B19" s="139"/>
      <c r="C19" s="141"/>
      <c r="D19" s="141"/>
      <c r="E19" s="140"/>
      <c r="F19" s="142"/>
      <c r="G19" s="127" t="str">
        <f>IFERROR(VLOOKUP(F19,参数表!$H$2:$I$50,2,FALSE),"")</f>
        <v/>
      </c>
      <c r="H19" s="128" t="str">
        <f t="shared" si="3"/>
        <v/>
      </c>
      <c r="I19" s="128" t="str">
        <f t="shared" si="4"/>
        <v/>
      </c>
      <c r="J19" s="143"/>
      <c r="K19" s="143"/>
      <c r="L19" s="144"/>
      <c r="M19" s="129" t="str">
        <f t="shared" si="5"/>
        <v/>
      </c>
      <c r="N19" s="143"/>
      <c r="O19" s="129" t="str">
        <f t="shared" si="6"/>
        <v/>
      </c>
      <c r="P19" s="129" t="str">
        <f t="shared" si="7"/>
        <v/>
      </c>
      <c r="Q19" s="129" t="str">
        <f t="shared" si="8"/>
        <v/>
      </c>
      <c r="R19" s="145"/>
      <c r="BA19" s="78"/>
      <c r="BB19" s="132" t="s">
        <v>1818</v>
      </c>
      <c r="BC19" s="133"/>
      <c r="BD19" s="132" t="str">
        <f>IF(OR(B19="",BC19=""),"",COUNTIF(BC$7:BC19,"√"))</f>
        <v/>
      </c>
      <c r="BE19" s="134" t="str">
        <f t="shared" si="1"/>
        <v/>
      </c>
      <c r="BF19" s="135" t="str">
        <f t="shared" si="9"/>
        <v/>
      </c>
      <c r="BG19" s="135" t="str">
        <f t="shared" si="9"/>
        <v/>
      </c>
      <c r="BH19" s="136"/>
      <c r="BI19" s="136"/>
      <c r="BJ19" s="136"/>
      <c r="BK19" s="137"/>
      <c r="BM19" s="347">
        <f t="shared" si="0"/>
        <v>0</v>
      </c>
      <c r="BN19" s="347">
        <f t="shared" si="10"/>
        <v>0</v>
      </c>
      <c r="BP19" s="134" t="str">
        <f>IF(COUNTIF(BP$6:BP18,D19)&gt;0,"",D19)&amp;""</f>
        <v/>
      </c>
      <c r="BQ19" s="138">
        <f t="shared" si="11"/>
        <v>0</v>
      </c>
      <c r="BR19" s="132">
        <f t="shared" si="12"/>
        <v>1</v>
      </c>
      <c r="BS19" s="138">
        <f t="shared" si="13"/>
        <v>0</v>
      </c>
      <c r="BT19" s="132">
        <f t="shared" si="14"/>
        <v>1</v>
      </c>
      <c r="BU19" s="133"/>
      <c r="BV19" s="133"/>
    </row>
    <row r="20" ht="15" customHeight="1" spans="1:75">
      <c r="A20" s="123" t="str">
        <f>IF(B20="","",COUNT(A$6:A19)+1)</f>
        <v/>
      </c>
      <c r="B20" s="139"/>
      <c r="C20" s="141"/>
      <c r="D20" s="141"/>
      <c r="E20" s="140"/>
      <c r="F20" s="142"/>
      <c r="G20" s="127" t="str">
        <f>IFERROR(VLOOKUP(F20,参数表!$H$2:$I$50,2,FALSE),"")</f>
        <v/>
      </c>
      <c r="H20" s="128" t="str">
        <f t="shared" si="3"/>
        <v/>
      </c>
      <c r="I20" s="128" t="str">
        <f t="shared" si="4"/>
        <v/>
      </c>
      <c r="J20" s="143"/>
      <c r="K20" s="143"/>
      <c r="L20" s="144"/>
      <c r="M20" s="129" t="str">
        <f t="shared" si="5"/>
        <v/>
      </c>
      <c r="N20" s="143"/>
      <c r="O20" s="129" t="str">
        <f t="shared" si="6"/>
        <v/>
      </c>
      <c r="P20" s="129" t="str">
        <f t="shared" si="7"/>
        <v/>
      </c>
      <c r="Q20" s="129" t="str">
        <f t="shared" si="8"/>
        <v/>
      </c>
      <c r="R20" s="145"/>
      <c r="BA20" s="78"/>
      <c r="BB20" s="132" t="s">
        <v>1819</v>
      </c>
      <c r="BC20" s="133"/>
      <c r="BD20" s="132" t="str">
        <f>IF(OR(B20="",BC20=""),"",COUNTIF(BC$7:BC20,"√"))</f>
        <v/>
      </c>
      <c r="BE20" s="134" t="str">
        <f t="shared" si="1"/>
        <v/>
      </c>
      <c r="BF20" s="135" t="str">
        <f t="shared" si="9"/>
        <v/>
      </c>
      <c r="BG20" s="135" t="str">
        <f t="shared" si="9"/>
        <v/>
      </c>
      <c r="BH20" s="136"/>
      <c r="BI20" s="136"/>
      <c r="BJ20" s="136"/>
      <c r="BK20" s="137"/>
      <c r="BM20" s="347">
        <f t="shared" si="0"/>
        <v>0</v>
      </c>
      <c r="BN20" s="347">
        <f t="shared" si="10"/>
        <v>0</v>
      </c>
      <c r="BP20" s="134" t="str">
        <f>IF(COUNTIF(BP$6:BP19,D20)&gt;0,"",D20)&amp;""</f>
        <v/>
      </c>
      <c r="BQ20" s="138">
        <f t="shared" si="11"/>
        <v>0</v>
      </c>
      <c r="BR20" s="132">
        <f t="shared" si="12"/>
        <v>1</v>
      </c>
      <c r="BS20" s="138">
        <f t="shared" si="13"/>
        <v>0</v>
      </c>
      <c r="BT20" s="132">
        <f t="shared" si="14"/>
        <v>1</v>
      </c>
      <c r="BU20" s="133"/>
      <c r="BV20" s="133"/>
    </row>
    <row r="21" ht="15" customHeight="1" spans="1:75">
      <c r="A21" s="123" t="str">
        <f>IF(B21="","",COUNT(A$6:A20)+1)</f>
        <v/>
      </c>
      <c r="B21" s="139"/>
      <c r="C21" s="141"/>
      <c r="D21" s="141"/>
      <c r="E21" s="140"/>
      <c r="F21" s="142"/>
      <c r="G21" s="127" t="str">
        <f>IFERROR(VLOOKUP(F21,参数表!$H$2:$I$50,2,FALSE),"")</f>
        <v/>
      </c>
      <c r="H21" s="128" t="str">
        <f t="shared" si="3"/>
        <v/>
      </c>
      <c r="I21" s="128" t="str">
        <f t="shared" si="4"/>
        <v/>
      </c>
      <c r="J21" s="143"/>
      <c r="K21" s="143"/>
      <c r="L21" s="144"/>
      <c r="M21" s="129" t="str">
        <f t="shared" si="5"/>
        <v/>
      </c>
      <c r="N21" s="143"/>
      <c r="O21" s="129" t="str">
        <f t="shared" si="6"/>
        <v/>
      </c>
      <c r="P21" s="129" t="str">
        <f t="shared" si="7"/>
        <v/>
      </c>
      <c r="Q21" s="129" t="str">
        <f t="shared" si="8"/>
        <v/>
      </c>
      <c r="R21" s="145"/>
      <c r="BA21" s="78"/>
      <c r="BB21" s="132" t="s">
        <v>1820</v>
      </c>
      <c r="BC21" s="133"/>
      <c r="BD21" s="132" t="str">
        <f>IF(OR(B21="",BC21=""),"",COUNTIF(BC$7:BC21,"√"))</f>
        <v/>
      </c>
      <c r="BE21" s="134" t="str">
        <f t="shared" si="1"/>
        <v/>
      </c>
      <c r="BF21" s="135" t="str">
        <f t="shared" si="9"/>
        <v/>
      </c>
      <c r="BG21" s="135" t="str">
        <f t="shared" si="9"/>
        <v/>
      </c>
      <c r="BH21" s="136"/>
      <c r="BI21" s="136"/>
      <c r="BJ21" s="136"/>
      <c r="BK21" s="137"/>
      <c r="BM21" s="347">
        <f t="shared" si="0"/>
        <v>0</v>
      </c>
      <c r="BN21" s="347">
        <f t="shared" si="10"/>
        <v>0</v>
      </c>
      <c r="BP21" s="134" t="str">
        <f>IF(COUNTIF(BP$6:BP20,D21)&gt;0,"",D21)&amp;""</f>
        <v/>
      </c>
      <c r="BQ21" s="138">
        <f t="shared" si="11"/>
        <v>0</v>
      </c>
      <c r="BR21" s="132">
        <f t="shared" si="12"/>
        <v>1</v>
      </c>
      <c r="BS21" s="138">
        <f t="shared" si="13"/>
        <v>0</v>
      </c>
      <c r="BT21" s="132">
        <f t="shared" si="14"/>
        <v>1</v>
      </c>
      <c r="BU21" s="133"/>
      <c r="BV21" s="133"/>
    </row>
    <row r="22" ht="15" customHeight="1" spans="1:75">
      <c r="A22" s="123" t="str">
        <f>IF(B22="","",COUNT(A$6:A21)+1)</f>
        <v/>
      </c>
      <c r="B22" s="139"/>
      <c r="C22" s="141"/>
      <c r="D22" s="141"/>
      <c r="E22" s="140"/>
      <c r="F22" s="142"/>
      <c r="G22" s="127" t="str">
        <f>IFERROR(VLOOKUP(F22,参数表!$H$2:$I$50,2,FALSE),"")</f>
        <v/>
      </c>
      <c r="H22" s="128" t="str">
        <f t="shared" si="3"/>
        <v/>
      </c>
      <c r="I22" s="128" t="str">
        <f t="shared" si="4"/>
        <v/>
      </c>
      <c r="J22" s="143"/>
      <c r="K22" s="143"/>
      <c r="L22" s="144"/>
      <c r="M22" s="129" t="str">
        <f t="shared" si="5"/>
        <v/>
      </c>
      <c r="N22" s="143"/>
      <c r="O22" s="129" t="str">
        <f t="shared" si="6"/>
        <v/>
      </c>
      <c r="P22" s="129" t="str">
        <f t="shared" si="7"/>
        <v/>
      </c>
      <c r="Q22" s="129" t="str">
        <f t="shared" si="8"/>
        <v/>
      </c>
      <c r="R22" s="145"/>
      <c r="BA22" s="78"/>
      <c r="BB22" s="132" t="s">
        <v>1821</v>
      </c>
      <c r="BC22" s="133"/>
      <c r="BD22" s="132" t="str">
        <f>IF(OR(B22="",BC22=""),"",COUNTIF(BC$7:BC22,"√"))</f>
        <v/>
      </c>
      <c r="BE22" s="134" t="str">
        <f t="shared" si="1"/>
        <v/>
      </c>
      <c r="BF22" s="135" t="str">
        <f t="shared" si="9"/>
        <v/>
      </c>
      <c r="BG22" s="135" t="str">
        <f t="shared" si="9"/>
        <v/>
      </c>
      <c r="BH22" s="136"/>
      <c r="BI22" s="136"/>
      <c r="BJ22" s="136"/>
      <c r="BK22" s="137"/>
      <c r="BM22" s="347">
        <f t="shared" si="0"/>
        <v>0</v>
      </c>
      <c r="BN22" s="347">
        <f t="shared" si="10"/>
        <v>0</v>
      </c>
      <c r="BP22" s="134" t="str">
        <f>IF(COUNTIF(BP$6:BP21,D22)&gt;0,"",D22)&amp;""</f>
        <v/>
      </c>
      <c r="BQ22" s="138">
        <f t="shared" si="11"/>
        <v>0</v>
      </c>
      <c r="BR22" s="132">
        <f t="shared" si="12"/>
        <v>1</v>
      </c>
      <c r="BS22" s="138">
        <f t="shared" si="13"/>
        <v>0</v>
      </c>
      <c r="BT22" s="132">
        <f t="shared" si="14"/>
        <v>1</v>
      </c>
      <c r="BU22" s="133"/>
      <c r="BV22" s="133"/>
    </row>
    <row r="23" ht="15" customHeight="1" spans="1:75">
      <c r="A23" s="123" t="str">
        <f>IF(B23="","",COUNT(A$6:A22)+1)</f>
        <v/>
      </c>
      <c r="B23" s="139"/>
      <c r="C23" s="141"/>
      <c r="D23" s="141"/>
      <c r="E23" s="140"/>
      <c r="F23" s="142"/>
      <c r="G23" s="127" t="str">
        <f>IFERROR(VLOOKUP(F23,参数表!$H$2:$I$50,2,FALSE),"")</f>
        <v/>
      </c>
      <c r="H23" s="128" t="str">
        <f t="shared" si="3"/>
        <v/>
      </c>
      <c r="I23" s="128" t="str">
        <f t="shared" si="4"/>
        <v/>
      </c>
      <c r="J23" s="143"/>
      <c r="K23" s="143"/>
      <c r="L23" s="144"/>
      <c r="M23" s="129" t="str">
        <f t="shared" si="5"/>
        <v/>
      </c>
      <c r="N23" s="143"/>
      <c r="O23" s="129" t="str">
        <f t="shared" si="6"/>
        <v/>
      </c>
      <c r="P23" s="129" t="str">
        <f t="shared" si="7"/>
        <v/>
      </c>
      <c r="Q23" s="129" t="str">
        <f t="shared" si="8"/>
        <v/>
      </c>
      <c r="R23" s="145"/>
      <c r="BA23" s="78"/>
      <c r="BB23" s="132" t="s">
        <v>1822</v>
      </c>
      <c r="BC23" s="133"/>
      <c r="BD23" s="132" t="str">
        <f>IF(OR(B23="",BC23=""),"",COUNTIF(BC$7:BC23,"√"))</f>
        <v/>
      </c>
      <c r="BE23" s="134" t="str">
        <f t="shared" si="1"/>
        <v/>
      </c>
      <c r="BF23" s="135" t="str">
        <f t="shared" si="9"/>
        <v/>
      </c>
      <c r="BG23" s="135" t="str">
        <f t="shared" si="9"/>
        <v/>
      </c>
      <c r="BH23" s="136"/>
      <c r="BI23" s="136"/>
      <c r="BJ23" s="136"/>
      <c r="BK23" s="137"/>
      <c r="BM23" s="347">
        <f t="shared" si="0"/>
        <v>0</v>
      </c>
      <c r="BN23" s="347">
        <f t="shared" si="10"/>
        <v>0</v>
      </c>
      <c r="BP23" s="134" t="str">
        <f>IF(COUNTIF(BP$6:BP22,D23)&gt;0,"",D23)&amp;""</f>
        <v/>
      </c>
      <c r="BQ23" s="138">
        <f t="shared" si="11"/>
        <v>0</v>
      </c>
      <c r="BR23" s="132">
        <f t="shared" si="12"/>
        <v>1</v>
      </c>
      <c r="BS23" s="138">
        <f t="shared" si="13"/>
        <v>0</v>
      </c>
      <c r="BT23" s="132">
        <f t="shared" si="14"/>
        <v>1</v>
      </c>
      <c r="BU23" s="133"/>
      <c r="BV23" s="133"/>
    </row>
    <row r="24" ht="15" customHeight="1" spans="1:75">
      <c r="A24" s="123" t="str">
        <f>IF(B24="","",COUNT(A$6:A23)+1)</f>
        <v/>
      </c>
      <c r="B24" s="139"/>
      <c r="C24" s="141"/>
      <c r="D24" s="141"/>
      <c r="E24" s="140"/>
      <c r="F24" s="142"/>
      <c r="G24" s="127" t="str">
        <f>IFERROR(VLOOKUP(F24,参数表!$H$2:$I$50,2,FALSE),"")</f>
        <v/>
      </c>
      <c r="H24" s="128" t="str">
        <f t="shared" si="3"/>
        <v/>
      </c>
      <c r="I24" s="128" t="str">
        <f t="shared" si="4"/>
        <v/>
      </c>
      <c r="J24" s="143"/>
      <c r="K24" s="143"/>
      <c r="L24" s="144"/>
      <c r="M24" s="129" t="str">
        <f t="shared" si="5"/>
        <v/>
      </c>
      <c r="N24" s="143"/>
      <c r="O24" s="129" t="str">
        <f t="shared" si="6"/>
        <v/>
      </c>
      <c r="P24" s="129" t="str">
        <f t="shared" si="7"/>
        <v/>
      </c>
      <c r="Q24" s="129" t="str">
        <f t="shared" si="8"/>
        <v/>
      </c>
      <c r="R24" s="145"/>
      <c r="BA24" s="78"/>
      <c r="BB24" s="132" t="s">
        <v>1823</v>
      </c>
      <c r="BC24" s="133"/>
      <c r="BD24" s="132" t="str">
        <f>IF(OR(B24="",BC24=""),"",COUNTIF(BC$7:BC24,"√"))</f>
        <v/>
      </c>
      <c r="BE24" s="134" t="str">
        <f t="shared" si="1"/>
        <v/>
      </c>
      <c r="BF24" s="135" t="str">
        <f t="shared" si="9"/>
        <v/>
      </c>
      <c r="BG24" s="135" t="str">
        <f t="shared" si="9"/>
        <v/>
      </c>
      <c r="BH24" s="136"/>
      <c r="BI24" s="136"/>
      <c r="BJ24" s="136"/>
      <c r="BK24" s="137"/>
      <c r="BM24" s="347">
        <f t="shared" si="0"/>
        <v>0</v>
      </c>
      <c r="BN24" s="347">
        <f t="shared" si="10"/>
        <v>0</v>
      </c>
      <c r="BP24" s="134" t="str">
        <f>IF(COUNTIF(BP$6:BP23,D24)&gt;0,"",D24)&amp;""</f>
        <v/>
      </c>
      <c r="BQ24" s="138">
        <f t="shared" si="11"/>
        <v>0</v>
      </c>
      <c r="BR24" s="132">
        <f t="shared" si="12"/>
        <v>1</v>
      </c>
      <c r="BS24" s="138">
        <f t="shared" si="13"/>
        <v>0</v>
      </c>
      <c r="BT24" s="132">
        <f t="shared" si="14"/>
        <v>1</v>
      </c>
      <c r="BU24" s="133"/>
      <c r="BV24" s="133"/>
    </row>
    <row r="25" ht="15" customHeight="1" spans="1:75">
      <c r="A25" s="123" t="str">
        <f>IF(B25="","",COUNT(A$6:A24)+1)</f>
        <v/>
      </c>
      <c r="B25" s="139"/>
      <c r="C25" s="141"/>
      <c r="D25" s="141"/>
      <c r="E25" s="140"/>
      <c r="F25" s="142"/>
      <c r="G25" s="127" t="str">
        <f>IFERROR(VLOOKUP(F25,参数表!$H$2:$I$50,2,FALSE),"")</f>
        <v/>
      </c>
      <c r="H25" s="128" t="str">
        <f t="shared" si="3"/>
        <v/>
      </c>
      <c r="I25" s="128" t="str">
        <f t="shared" si="4"/>
        <v/>
      </c>
      <c r="J25" s="143"/>
      <c r="K25" s="143"/>
      <c r="L25" s="144"/>
      <c r="M25" s="129" t="str">
        <f t="shared" si="5"/>
        <v/>
      </c>
      <c r="N25" s="143"/>
      <c r="O25" s="129" t="str">
        <f t="shared" si="6"/>
        <v/>
      </c>
      <c r="P25" s="129" t="str">
        <f t="shared" si="7"/>
        <v/>
      </c>
      <c r="Q25" s="129" t="str">
        <f t="shared" si="8"/>
        <v/>
      </c>
      <c r="R25" s="145"/>
      <c r="BA25" s="78"/>
      <c r="BB25" s="132" t="s">
        <v>1824</v>
      </c>
      <c r="BC25" s="133"/>
      <c r="BD25" s="132" t="str">
        <f>IF(OR(B25="",BC25=""),"",COUNTIF(BC$7:BC25,"√"))</f>
        <v/>
      </c>
      <c r="BE25" s="134" t="str">
        <f t="shared" si="1"/>
        <v/>
      </c>
      <c r="BF25" s="135" t="str">
        <f t="shared" si="9"/>
        <v/>
      </c>
      <c r="BG25" s="135" t="str">
        <f t="shared" si="9"/>
        <v/>
      </c>
      <c r="BH25" s="136"/>
      <c r="BI25" s="136"/>
      <c r="BJ25" s="136"/>
      <c r="BK25" s="137"/>
      <c r="BM25" s="347">
        <f t="shared" si="0"/>
        <v>0</v>
      </c>
      <c r="BN25" s="347">
        <f t="shared" si="10"/>
        <v>0</v>
      </c>
      <c r="BP25" s="134" t="str">
        <f>IF(COUNTIF(BP$6:BP24,D25)&gt;0,"",D25)&amp;""</f>
        <v/>
      </c>
      <c r="BQ25" s="138">
        <f t="shared" si="11"/>
        <v>0</v>
      </c>
      <c r="BR25" s="132">
        <f t="shared" si="12"/>
        <v>1</v>
      </c>
      <c r="BS25" s="138">
        <f t="shared" si="13"/>
        <v>0</v>
      </c>
      <c r="BT25" s="132">
        <f t="shared" si="14"/>
        <v>1</v>
      </c>
      <c r="BU25" s="133"/>
      <c r="BV25" s="133"/>
    </row>
    <row r="26" ht="15" customHeight="1" spans="1:75">
      <c r="A26" s="123" t="str">
        <f>IF(B26="","",COUNT(A$6:A25)+1)</f>
        <v/>
      </c>
      <c r="B26" s="124"/>
      <c r="C26" s="126"/>
      <c r="D26" s="126"/>
      <c r="E26" s="125"/>
      <c r="F26" s="127"/>
      <c r="G26" s="127" t="str">
        <f>IFERROR(VLOOKUP(F26,参数表!$H$2:$I$50,2,FALSE),"")</f>
        <v/>
      </c>
      <c r="H26" s="128" t="str">
        <f t="shared" si="3"/>
        <v/>
      </c>
      <c r="I26" s="128" t="str">
        <f t="shared" si="4"/>
        <v/>
      </c>
      <c r="J26" s="129"/>
      <c r="K26" s="129"/>
      <c r="L26" s="130"/>
      <c r="M26" s="129" t="str">
        <f t="shared" si="5"/>
        <v/>
      </c>
      <c r="N26" s="129"/>
      <c r="O26" s="129" t="str">
        <f t="shared" si="6"/>
        <v/>
      </c>
      <c r="P26" s="129" t="str">
        <f t="shared" si="7"/>
        <v/>
      </c>
      <c r="Q26" s="129" t="str">
        <f t="shared" si="8"/>
        <v/>
      </c>
      <c r="R26" s="131"/>
      <c r="BA26" s="78"/>
      <c r="BB26" s="132" t="s">
        <v>1825</v>
      </c>
      <c r="BC26" s="133"/>
      <c r="BD26" s="132" t="str">
        <f>IF(OR(B26="",BC26=""),"",COUNTIF(BC$7:BC26,"√"))</f>
        <v/>
      </c>
      <c r="BE26" s="134" t="str">
        <f t="shared" si="1"/>
        <v/>
      </c>
      <c r="BF26" s="135" t="str">
        <f t="shared" si="9"/>
        <v/>
      </c>
      <c r="BG26" s="135" t="str">
        <f t="shared" si="9"/>
        <v/>
      </c>
      <c r="BH26" s="136"/>
      <c r="BI26" s="136"/>
      <c r="BJ26" s="136"/>
      <c r="BK26" s="137"/>
      <c r="BM26" s="347">
        <f t="shared" si="0"/>
        <v>0</v>
      </c>
      <c r="BN26" s="347">
        <f t="shared" si="10"/>
        <v>0</v>
      </c>
      <c r="BP26" s="134" t="str">
        <f>IF(COUNTIF(BP$6:BP25,D26)&gt;0,"",D26)&amp;""</f>
        <v/>
      </c>
      <c r="BQ26" s="138">
        <f t="shared" si="11"/>
        <v>0</v>
      </c>
      <c r="BR26" s="132">
        <f t="shared" si="12"/>
        <v>1</v>
      </c>
      <c r="BS26" s="138">
        <f t="shared" si="13"/>
        <v>0</v>
      </c>
      <c r="BT26" s="132">
        <f t="shared" si="14"/>
        <v>1</v>
      </c>
      <c r="BU26" s="133"/>
      <c r="BV26" s="133"/>
    </row>
    <row r="27" s="73" customFormat="1" ht="15" customHeight="1" spans="1:75">
      <c r="A27" s="149" t="s">
        <v>1771</v>
      </c>
      <c r="B27" s="149"/>
      <c r="C27" s="151"/>
      <c r="D27" s="356"/>
      <c r="E27" s="151"/>
      <c r="F27" s="151"/>
      <c r="G27" s="151"/>
      <c r="H27" s="151"/>
      <c r="I27" s="151"/>
      <c r="J27" s="152"/>
      <c r="K27" s="152">
        <f>SUM(K7:K26)</f>
        <v>0</v>
      </c>
      <c r="L27" s="153"/>
      <c r="M27" s="152">
        <f>SUM(M7:M26)</f>
        <v>0</v>
      </c>
      <c r="N27" s="152"/>
      <c r="O27" s="152">
        <f>SUM(O7:O26)</f>
        <v>0</v>
      </c>
      <c r="P27" s="152">
        <f t="shared" si="7"/>
        <v>0</v>
      </c>
      <c r="Q27" s="152" t="str">
        <f t="shared" si="8"/>
        <v/>
      </c>
      <c r="R27" s="151"/>
      <c r="BH27" s="72"/>
      <c r="BO27" s="111"/>
      <c r="BP27" s="119"/>
      <c r="BQ27" s="77"/>
      <c r="BR27" s="77"/>
      <c r="BS27" s="77"/>
      <c r="BT27" s="119"/>
      <c r="BU27" s="119"/>
      <c r="BV27" s="119"/>
      <c r="BW27" s="111"/>
    </row>
    <row r="28" customHeight="1" spans="1:75">
      <c r="A28" s="102" t="str">
        <f>参数表!F$6</f>
        <v>产权持有单位填表人：贾广东</v>
      </c>
      <c r="B28" s="154"/>
      <c r="C28" s="154"/>
      <c r="D28" s="154"/>
      <c r="E28" s="154"/>
      <c r="F28" s="154"/>
      <c r="G28" s="154"/>
      <c r="H28" s="154"/>
      <c r="I28" s="154"/>
      <c r="J28" s="154"/>
      <c r="K28" s="103"/>
      <c r="L28" s="104"/>
      <c r="M28" s="103"/>
      <c r="N28" s="103"/>
      <c r="O28" s="103" t="str">
        <f>"评估人员："&amp;封面!$G$20</f>
        <v>评估人员：栗祥宁</v>
      </c>
      <c r="P28" s="103"/>
      <c r="Q28" s="103"/>
      <c r="R28" s="103"/>
      <c r="BE28" s="75"/>
      <c r="BH28" s="165"/>
    </row>
    <row r="29" customHeight="1" spans="1:75">
      <c r="A29" s="102" t="str">
        <f>参数表!F$7</f>
        <v>填表日期：2025年9月20日</v>
      </c>
      <c r="B29" s="154"/>
      <c r="C29" s="154"/>
      <c r="D29" s="154"/>
      <c r="E29" s="154"/>
      <c r="F29" s="154"/>
      <c r="G29" s="154"/>
      <c r="H29" s="154"/>
      <c r="I29" s="154"/>
      <c r="J29" s="154"/>
      <c r="K29" s="103"/>
      <c r="L29" s="104"/>
      <c r="M29" s="103"/>
      <c r="N29" s="103"/>
      <c r="O29" s="103"/>
      <c r="P29" s="103"/>
      <c r="Q29" s="103"/>
      <c r="R29" s="103"/>
      <c r="BE29" s="75"/>
      <c r="BH29" s="165"/>
    </row>
    <row r="30" hidden="1" customHeight="1" outlineLevel="1" spans="1:75">
      <c r="A30" s="157"/>
      <c r="B30" s="154" t="s">
        <v>1673</v>
      </c>
      <c r="D30" s="1283" t="s">
        <v>1826</v>
      </c>
      <c r="E30" s="158"/>
      <c r="F30" s="158"/>
      <c r="G30" s="158"/>
      <c r="H30" s="158"/>
      <c r="I30" s="158"/>
      <c r="J30" s="158"/>
      <c r="K30" s="159">
        <f>SUMIF($BA7:$BA26,$BA30,K7:K26)</f>
        <v>0</v>
      </c>
      <c r="L30" s="202"/>
      <c r="M30" s="159">
        <f>SUMIF($BA7:$BA26,$BA30,M7:M26)</f>
        <v>0</v>
      </c>
      <c r="N30" s="176"/>
      <c r="O30" s="159">
        <f>SUMIF($BA7:$BA26,$BA30,O7:O26)</f>
        <v>0</v>
      </c>
      <c r="BA30" s="161" t="s">
        <v>1674</v>
      </c>
      <c r="BE30" s="75"/>
      <c r="BH30" s="95" t="s">
        <v>1675</v>
      </c>
      <c r="BI30" s="95" t="s">
        <v>1675</v>
      </c>
      <c r="BJ30" s="95" t="s">
        <v>1675</v>
      </c>
    </row>
    <row r="31" hidden="1" customHeight="1" outlineLevel="1" spans="1:75">
      <c r="A31" s="157"/>
      <c r="B31" s="154" t="s">
        <v>1676</v>
      </c>
      <c r="D31" s="1283" t="s">
        <v>1827</v>
      </c>
      <c r="E31" s="158"/>
      <c r="F31" s="158"/>
      <c r="G31" s="158"/>
      <c r="H31" s="158"/>
      <c r="I31" s="158"/>
      <c r="J31" s="158"/>
      <c r="K31" s="159">
        <f>K27-K30</f>
        <v>0</v>
      </c>
      <c r="L31" s="202"/>
      <c r="M31" s="159">
        <f>M27-M30</f>
        <v>0</v>
      </c>
      <c r="N31" s="176"/>
      <c r="O31" s="159">
        <f>O27-O30</f>
        <v>0</v>
      </c>
      <c r="BA31" s="161" t="s">
        <v>1677</v>
      </c>
      <c r="BE31" s="75"/>
      <c r="BH31" s="95" t="s">
        <v>1678</v>
      </c>
      <c r="BI31" s="95" t="s">
        <v>1678</v>
      </c>
      <c r="BJ31" s="95" t="s">
        <v>1678</v>
      </c>
    </row>
    <row r="32" customHeight="1" collapsed="1" spans="1:75">
      <c r="A32" s="157"/>
      <c r="B32" s="158"/>
      <c r="C32" s="158"/>
      <c r="D32" s="158"/>
      <c r="E32" s="158"/>
      <c r="F32" s="158"/>
      <c r="G32" s="158"/>
      <c r="H32" s="158"/>
      <c r="I32" s="158"/>
      <c r="J32" s="158"/>
      <c r="BE32" s="75"/>
      <c r="BH32" s="165"/>
    </row>
    <row r="33" customHeight="1" spans="1:10">
      <c r="A33" s="157"/>
      <c r="B33" s="158"/>
      <c r="C33" s="158"/>
      <c r="D33" s="158"/>
      <c r="E33" s="158"/>
      <c r="F33" s="158"/>
      <c r="G33" s="158"/>
      <c r="H33" s="158"/>
      <c r="I33" s="158"/>
      <c r="J33" s="158"/>
    </row>
    <row r="34" customHeight="1" spans="1:10">
      <c r="A34" s="157"/>
      <c r="B34" s="158"/>
      <c r="C34" s="158"/>
      <c r="D34" s="158"/>
      <c r="E34" s="158"/>
      <c r="F34" s="158"/>
      <c r="G34" s="158"/>
      <c r="H34" s="158"/>
      <c r="I34" s="158"/>
      <c r="J34" s="158"/>
    </row>
    <row r="35" customHeight="1" spans="1:10">
      <c r="A35" s="157"/>
      <c r="B35" s="158"/>
      <c r="C35" s="158"/>
      <c r="D35" s="158"/>
      <c r="E35" s="158"/>
      <c r="F35" s="158"/>
      <c r="G35" s="158"/>
      <c r="H35" s="158"/>
      <c r="I35" s="158"/>
      <c r="J35" s="158"/>
    </row>
    <row r="36" customHeight="1" spans="1:10">
      <c r="A36" s="157"/>
      <c r="B36" s="158"/>
      <c r="C36" s="158"/>
      <c r="D36" s="158"/>
      <c r="E36" s="158"/>
      <c r="F36" s="158"/>
      <c r="G36" s="158"/>
      <c r="H36" s="158"/>
      <c r="I36" s="158"/>
      <c r="J36" s="158"/>
    </row>
  </sheetData>
  <sheetProtection autoFilter="0"/>
  <mergeCells count="6">
    <mergeCell ref="A2:R2"/>
    <mergeCell ref="A3:R3"/>
    <mergeCell ref="BU7:BW7"/>
    <mergeCell ref="BU8:BW8"/>
    <mergeCell ref="BV14:BW14"/>
    <mergeCell ref="A27:B27"/>
  </mergeCells>
  <conditionalFormatting sqref="BF7:BG26">
    <cfRule type="containsText" dxfId="6" priority="1" stopIfTrue="1" operator="between" text="出错">
      <formula>NOT(ISERROR(SEARCH("出错",BF7)))</formula>
    </cfRule>
  </conditionalFormatting>
  <conditionalFormatting sqref="BH7:BJ26">
    <cfRule type="expression" dxfId="5" priority="5" stopIfTrue="1">
      <formula>AND($B7&lt;&gt;"",BH7="")</formula>
    </cfRule>
  </conditionalFormatting>
  <dataValidations count="5">
    <dataValidation type="list" allowBlank="1" showInputMessage="1" showErrorMessage="1" sqref="D7:D26">
      <formula1>$D$30:$D$31</formula1>
    </dataValidation>
    <dataValidation type="list" allowBlank="1" showInputMessage="1" showErrorMessage="1" sqref="F7:F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J26">
      <formula1>BH$30:BH$31</formula1>
    </dataValidation>
  </dataValidations>
  <hyperlinks>
    <hyperlink ref="B1" location="交易性金融资产汇总!B9" display="返回"/>
    <hyperlink ref="A1" location="索引目录!E11" display="返回索引页"/>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CE40"/>
  <sheetViews>
    <sheetView zoomScale="90" zoomScaleNormal="90" workbookViewId="0">
      <pane xSplit="2" ySplit="7" topLeftCell="D8" activePane="bottomRight" state="frozen"/>
      <selection/>
      <selection pane="topRight"/>
      <selection pane="bottomLeft"/>
      <selection pane="bottomRight" activeCell="E45" sqref="E45"/>
    </sheetView>
  </sheetViews>
  <sheetFormatPr defaultColWidth="9" defaultRowHeight="15.75" customHeight="1"/>
  <cols>
    <col min="1" max="1" width="8.7" style="75" customWidth="1"/>
    <col min="2" max="2" width="34.6" style="75" customWidth="1"/>
    <col min="3" max="3" width="20.6" style="75" hidden="1" customWidth="1" outlineLevel="1"/>
    <col min="4" max="4" width="20.6" style="75" customWidth="1" collapsed="1"/>
    <col min="5" max="7" width="20.6" style="75" customWidth="1"/>
    <col min="8" max="52" width="9" style="75" hidden="1" customWidth="1" outlineLevel="1"/>
    <col min="53" max="53" width="10.6" style="227" customWidth="1" collapsed="1"/>
    <col min="54" max="58" width="10.6" style="227" customWidth="1"/>
    <col min="59" max="60" width="10.6" style="1296" customWidth="1"/>
    <col min="61" max="61" width="1.6" style="1296" customWidth="1"/>
    <col min="62" max="62" width="10.6" style="1296" customWidth="1"/>
    <col min="63"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1297" t="s">
        <v>1591</v>
      </c>
      <c r="B1" s="1297" t="s">
        <v>1592</v>
      </c>
      <c r="C1" s="81"/>
      <c r="D1" s="81"/>
      <c r="E1" s="81"/>
      <c r="F1" s="81"/>
      <c r="G1" s="81"/>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337" t="s">
        <v>1828</v>
      </c>
      <c r="B2" s="233"/>
      <c r="C2" s="233"/>
      <c r="D2" s="233"/>
      <c r="E2" s="233"/>
      <c r="F2" s="233"/>
      <c r="G2" s="233"/>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5" customHeight="1" spans="1:83">
      <c r="A3" s="238" t="str">
        <f>参数表!F5</f>
        <v>评估基准日：2025年7月31日</v>
      </c>
      <c r="B3" s="238"/>
      <c r="C3" s="238"/>
      <c r="D3" s="238"/>
      <c r="E3" s="238"/>
      <c r="F3" s="238"/>
      <c r="G3" s="238"/>
      <c r="BA3" s="230" t="str">
        <f>参数表!BA3</f>
        <v>是否显示评估值：</v>
      </c>
      <c r="BB3" s="230" t="str">
        <f>参数表!BB3</f>
        <v>是</v>
      </c>
      <c r="BG3" s="227"/>
      <c r="BH3" s="227"/>
      <c r="BI3" s="227"/>
      <c r="BJ3" s="227"/>
    </row>
    <row r="4" ht="15" customHeight="1" spans="1:83">
      <c r="A4" s="238"/>
      <c r="B4" s="238"/>
      <c r="C4" s="238"/>
      <c r="D4" s="238"/>
      <c r="E4" s="238"/>
      <c r="F4" s="238"/>
      <c r="G4" s="338" t="str">
        <f>"表"&amp;A28</f>
        <v>表3-3</v>
      </c>
      <c r="BA4" s="240" t="s">
        <v>1595</v>
      </c>
      <c r="BB4" s="241"/>
      <c r="BC4" s="241"/>
      <c r="BD4" s="241"/>
      <c r="BE4" s="241"/>
      <c r="BF4" s="241"/>
      <c r="BG4" s="241"/>
      <c r="BH4" s="241"/>
      <c r="BI4" s="242"/>
      <c r="BJ4" s="241" t="s">
        <v>1545</v>
      </c>
      <c r="BK4" s="241"/>
      <c r="BL4" s="241"/>
      <c r="BM4" s="241"/>
      <c r="BN4" s="241"/>
      <c r="BO4" s="241"/>
      <c r="BP4" s="241"/>
      <c r="BQ4" s="241"/>
      <c r="BS4" s="228" t="str">
        <f>LEFT(A2,LEN(A2)-5)</f>
        <v>交易性金融资产</v>
      </c>
    </row>
    <row r="5" ht="15" customHeight="1" spans="1:83">
      <c r="A5" s="243" t="str">
        <f>参数表!F3</f>
        <v>产权持有单位:中煤第五建设有限公司</v>
      </c>
      <c r="G5" s="244" t="s">
        <v>236</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交易性金融资产为：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1525</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339" t="str">
        <f>A$28&amp;"-"&amp;SUBTOTAL(3,B$7:B7)</f>
        <v>3-3-1</v>
      </c>
      <c r="B7" s="261" t="s">
        <v>1829</v>
      </c>
      <c r="C7" s="143">
        <f>'交易性-股票'!K27</f>
        <v>0</v>
      </c>
      <c r="D7" s="143">
        <f>'交易性-股票'!M27</f>
        <v>0</v>
      </c>
      <c r="E7" s="143">
        <f>'交易性-股票'!O27</f>
        <v>0</v>
      </c>
      <c r="F7" s="143">
        <f>E7-D7</f>
        <v>0</v>
      </c>
      <c r="G7" s="343" t="str">
        <f>IF(D7=0,"",F7/D7*100)</f>
        <v/>
      </c>
      <c r="BA7" s="256">
        <f>BB7</f>
        <v>0</v>
      </c>
      <c r="BB7" s="256">
        <f>D7</f>
        <v>0</v>
      </c>
      <c r="BC7" s="256">
        <f>0</f>
        <v>0</v>
      </c>
      <c r="BD7" s="256">
        <f>BB7-BC7</f>
        <v>0</v>
      </c>
      <c r="BE7" s="256">
        <f>BF7</f>
        <v>0</v>
      </c>
      <c r="BF7" s="256">
        <f>E7</f>
        <v>0</v>
      </c>
      <c r="BG7" s="256">
        <f>0</f>
        <v>0</v>
      </c>
      <c r="BH7" s="256">
        <f>BF7-BG7</f>
        <v>0</v>
      </c>
      <c r="BI7" s="242"/>
      <c r="BJ7" s="256">
        <f>BK7</f>
        <v>0</v>
      </c>
      <c r="BK7" s="143">
        <f>'交易性-股票'!M30</f>
        <v>0</v>
      </c>
      <c r="BL7" s="256">
        <f>0</f>
        <v>0</v>
      </c>
      <c r="BM7" s="256">
        <f>BK7-BL7</f>
        <v>0</v>
      </c>
      <c r="BN7" s="256">
        <f>BO7</f>
        <v>0</v>
      </c>
      <c r="BO7" s="143">
        <f>'交易性-股票'!O30</f>
        <v>0</v>
      </c>
      <c r="BP7" s="256">
        <f>0</f>
        <v>0</v>
      </c>
      <c r="BQ7" s="256">
        <f>BO7-BP7</f>
        <v>0</v>
      </c>
      <c r="BS7" s="228" t="str">
        <f t="shared" ref="BS7:BS9" si="0">IF(F7&gt;0,"增值",IF(F7=0,"无增减值","减值"))</f>
        <v>无增减值</v>
      </c>
      <c r="BT7" s="257">
        <f t="shared" ref="BT7:BT9" si="1">ABS(F7)</f>
        <v>0</v>
      </c>
      <c r="BU7" s="257">
        <f t="shared" ref="BU7:BU9" si="2">IFERROR(ABS(G7),0)</f>
        <v>0</v>
      </c>
      <c r="BV7" s="258">
        <f t="shared" ref="BV7:BV9" si="3">IFERROR(FIND("-",B7),0)</f>
        <v>4</v>
      </c>
      <c r="BW7" s="259" t="str">
        <f>IF(SUM(BA7:BH7)=0,"",RIGHT(B7,LEN(B7)-BV7))</f>
        <v/>
      </c>
      <c r="BX7" s="158" t="str">
        <f>IF(BY7="","",IF(BZ7&gt;1,"、",IF(BZ7=1,"和","")))</f>
        <v/>
      </c>
      <c r="BY7" s="158" t="str">
        <f>IF(BW7="","",1)</f>
        <v/>
      </c>
      <c r="BZ7" s="228">
        <f>COUNT(BY8:BY$27)</f>
        <v>0</v>
      </c>
    </row>
    <row r="8" ht="15" customHeight="1" spans="1:83">
      <c r="A8" s="339" t="str">
        <f>A$28&amp;"-"&amp;SUBTOTAL(3,B$7:B8)</f>
        <v>3-3-2</v>
      </c>
      <c r="B8" s="261" t="s">
        <v>1830</v>
      </c>
      <c r="C8" s="143">
        <f>'交易性-债券'!L27</f>
        <v>0</v>
      </c>
      <c r="D8" s="143">
        <f>'交易性-债券'!N27</f>
        <v>0</v>
      </c>
      <c r="E8" s="143">
        <f>'交易性-债券'!O27</f>
        <v>0</v>
      </c>
      <c r="F8" s="143">
        <f>E8-D8</f>
        <v>0</v>
      </c>
      <c r="G8" s="143" t="str">
        <f>IF(D8=0,"",F8/D8*100)</f>
        <v/>
      </c>
      <c r="BA8" s="256">
        <f t="shared" ref="BA8:BA9" si="4">BB8</f>
        <v>0</v>
      </c>
      <c r="BB8" s="256">
        <f t="shared" ref="BB8:BB9" si="5">D8</f>
        <v>0</v>
      </c>
      <c r="BC8" s="256">
        <f>0</f>
        <v>0</v>
      </c>
      <c r="BD8" s="256">
        <f t="shared" ref="BD8:BD9" si="6">BB8-BC8</f>
        <v>0</v>
      </c>
      <c r="BE8" s="256">
        <f t="shared" ref="BE8:BE9" si="7">BF8</f>
        <v>0</v>
      </c>
      <c r="BF8" s="256">
        <f t="shared" ref="BF8:BF9" si="8">E8</f>
        <v>0</v>
      </c>
      <c r="BG8" s="256">
        <f>0</f>
        <v>0</v>
      </c>
      <c r="BH8" s="256">
        <f t="shared" ref="BH8:BH9" si="9">BF8-BG8</f>
        <v>0</v>
      </c>
      <c r="BI8" s="242"/>
      <c r="BJ8" s="256">
        <f t="shared" ref="BJ8:BJ9" si="10">BK8</f>
        <v>0</v>
      </c>
      <c r="BK8" s="143">
        <f>'交易性-债券'!N30</f>
        <v>0</v>
      </c>
      <c r="BL8" s="256">
        <f>0</f>
        <v>0</v>
      </c>
      <c r="BM8" s="256">
        <f t="shared" ref="BM8:BM9" si="11">BK8-BL8</f>
        <v>0</v>
      </c>
      <c r="BN8" s="256">
        <f t="shared" ref="BN8:BN9" si="12">BO8</f>
        <v>0</v>
      </c>
      <c r="BO8" s="143">
        <f>'交易性-债券'!O30</f>
        <v>0</v>
      </c>
      <c r="BP8" s="256">
        <f>0</f>
        <v>0</v>
      </c>
      <c r="BQ8" s="256">
        <f t="shared" ref="BQ8:BQ9" si="13">BO8-BP8</f>
        <v>0</v>
      </c>
      <c r="BS8" s="228" t="str">
        <f t="shared" si="0"/>
        <v>无增减值</v>
      </c>
      <c r="BT8" s="257">
        <f t="shared" si="1"/>
        <v>0</v>
      </c>
      <c r="BU8" s="257">
        <f t="shared" si="2"/>
        <v>0</v>
      </c>
      <c r="BV8" s="258">
        <f t="shared" si="3"/>
        <v>4</v>
      </c>
      <c r="BW8" s="259" t="str">
        <f t="shared" ref="BW8:BW9" si="14">IF(SUM(BA8:BH8)=0,"",RIGHT(B8,LEN(B8)-BV8))</f>
        <v/>
      </c>
      <c r="BX8" s="158" t="str">
        <f t="shared" ref="BX8:BX9" si="15">IF(BY8="","",IF(BZ8&gt;1,"、",IF(BZ8=1,"和","")))</f>
        <v/>
      </c>
      <c r="BY8" s="158" t="str">
        <f t="shared" ref="BY8:BY9" si="16">IF(BW8="","",1)</f>
        <v/>
      </c>
      <c r="BZ8" s="228">
        <f>COUNT(BY9:BY$27)</f>
        <v>0</v>
      </c>
    </row>
    <row r="9" ht="15" customHeight="1" spans="1:83">
      <c r="A9" s="339" t="str">
        <f>A$28&amp;"-"&amp;SUBTOTAL(3,B$7:B9)</f>
        <v>3-3-3</v>
      </c>
      <c r="B9" s="261" t="s">
        <v>1831</v>
      </c>
      <c r="C9" s="143">
        <f>'交易性-基金'!K27</f>
        <v>0</v>
      </c>
      <c r="D9" s="143">
        <f>'交易性-基金'!M27</f>
        <v>0</v>
      </c>
      <c r="E9" s="143">
        <f>'交易性-基金'!O27</f>
        <v>0</v>
      </c>
      <c r="F9" s="143">
        <f>E9-D9</f>
        <v>0</v>
      </c>
      <c r="G9" s="143" t="str">
        <f>IF(D9=0,"",F9/D9*100)</f>
        <v/>
      </c>
      <c r="BA9" s="256">
        <f t="shared" si="4"/>
        <v>0</v>
      </c>
      <c r="BB9" s="256">
        <f t="shared" si="5"/>
        <v>0</v>
      </c>
      <c r="BC9" s="256">
        <f>0</f>
        <v>0</v>
      </c>
      <c r="BD9" s="256">
        <f t="shared" si="6"/>
        <v>0</v>
      </c>
      <c r="BE9" s="256">
        <f t="shared" si="7"/>
        <v>0</v>
      </c>
      <c r="BF9" s="256">
        <f t="shared" si="8"/>
        <v>0</v>
      </c>
      <c r="BG9" s="256">
        <f>0</f>
        <v>0</v>
      </c>
      <c r="BH9" s="256">
        <f t="shared" si="9"/>
        <v>0</v>
      </c>
      <c r="BI9" s="242"/>
      <c r="BJ9" s="256">
        <f t="shared" si="10"/>
        <v>0</v>
      </c>
      <c r="BK9" s="143">
        <f>'交易性-基金'!M30</f>
        <v>0</v>
      </c>
      <c r="BL9" s="256">
        <f>0</f>
        <v>0</v>
      </c>
      <c r="BM9" s="256">
        <f t="shared" si="11"/>
        <v>0</v>
      </c>
      <c r="BN9" s="256">
        <f t="shared" si="12"/>
        <v>0</v>
      </c>
      <c r="BO9" s="143">
        <f>'交易性-基金'!O30</f>
        <v>0</v>
      </c>
      <c r="BP9" s="256">
        <f>0</f>
        <v>0</v>
      </c>
      <c r="BQ9" s="256">
        <f t="shared" si="13"/>
        <v>0</v>
      </c>
      <c r="BS9" s="228" t="str">
        <f t="shared" si="0"/>
        <v>无增减值</v>
      </c>
      <c r="BT9" s="257">
        <f t="shared" si="1"/>
        <v>0</v>
      </c>
      <c r="BU9" s="257">
        <f t="shared" si="2"/>
        <v>0</v>
      </c>
      <c r="BV9" s="258">
        <f t="shared" si="3"/>
        <v>4</v>
      </c>
      <c r="BW9" s="259" t="str">
        <f t="shared" si="14"/>
        <v/>
      </c>
      <c r="BX9" s="158" t="str">
        <f t="shared" si="15"/>
        <v/>
      </c>
      <c r="BY9" s="158" t="str">
        <f t="shared" si="16"/>
        <v/>
      </c>
      <c r="BZ9" s="228">
        <f>COUNT(BY10:BY$27)</f>
        <v>0</v>
      </c>
    </row>
    <row r="10" ht="15" customHeight="1" spans="1:83">
      <c r="A10" s="141"/>
      <c r="B10" s="145"/>
      <c r="C10" s="143"/>
      <c r="D10" s="143"/>
      <c r="E10" s="143"/>
      <c r="F10" s="143"/>
      <c r="G10" s="143"/>
      <c r="BA10" s="256"/>
      <c r="BB10" s="256"/>
      <c r="BC10" s="256"/>
      <c r="BD10" s="256"/>
      <c r="BE10" s="256"/>
      <c r="BF10" s="256"/>
      <c r="BG10" s="256"/>
      <c r="BH10" s="256"/>
      <c r="BI10" s="242"/>
      <c r="BJ10" s="256"/>
      <c r="BK10" s="256"/>
      <c r="BL10" s="256"/>
      <c r="BM10" s="256"/>
      <c r="BN10" s="256"/>
      <c r="BO10" s="256"/>
      <c r="BP10" s="256"/>
      <c r="BQ10" s="256"/>
      <c r="BS10" s="228"/>
      <c r="BT10" s="257"/>
      <c r="BU10" s="257"/>
      <c r="BV10" s="258"/>
      <c r="BW10" s="259"/>
      <c r="BY10" s="158"/>
      <c r="BZ10" s="228"/>
    </row>
    <row r="11" ht="15" customHeight="1" spans="1:83">
      <c r="A11" s="141"/>
      <c r="B11" s="145"/>
      <c r="C11" s="143"/>
      <c r="D11" s="143"/>
      <c r="E11" s="143"/>
      <c r="F11" s="143"/>
      <c r="G11" s="143"/>
      <c r="BA11" s="256"/>
      <c r="BB11" s="256"/>
      <c r="BC11" s="256"/>
      <c r="BD11" s="256"/>
      <c r="BE11" s="256"/>
      <c r="BF11" s="256"/>
      <c r="BG11" s="256"/>
      <c r="BH11" s="256"/>
      <c r="BI11" s="242"/>
      <c r="BJ11" s="256"/>
      <c r="BK11" s="256"/>
      <c r="BL11" s="256"/>
      <c r="BM11" s="256"/>
      <c r="BN11" s="256"/>
      <c r="BO11" s="256"/>
      <c r="BP11" s="256"/>
      <c r="BQ11" s="256"/>
      <c r="BS11" s="228"/>
      <c r="BT11" s="257"/>
      <c r="BU11" s="257"/>
      <c r="BV11" s="258"/>
      <c r="BW11" s="259"/>
      <c r="BY11" s="158"/>
      <c r="BZ11" s="228"/>
    </row>
    <row r="12" ht="15" customHeight="1" spans="1:83">
      <c r="A12" s="141"/>
      <c r="B12" s="145"/>
      <c r="C12" s="143"/>
      <c r="D12" s="143"/>
      <c r="E12" s="143"/>
      <c r="F12" s="143"/>
      <c r="G12" s="143"/>
      <c r="BA12" s="256"/>
      <c r="BB12" s="256"/>
      <c r="BC12" s="256"/>
      <c r="BD12" s="256"/>
      <c r="BE12" s="256"/>
      <c r="BF12" s="256"/>
      <c r="BG12" s="256"/>
      <c r="BH12" s="256"/>
      <c r="BI12" s="242"/>
      <c r="BJ12" s="256"/>
      <c r="BK12" s="256"/>
      <c r="BL12" s="256"/>
      <c r="BM12" s="256"/>
      <c r="BN12" s="256"/>
      <c r="BO12" s="256"/>
      <c r="BP12" s="256"/>
      <c r="BQ12" s="256"/>
      <c r="BS12" s="228"/>
      <c r="BT12" s="257"/>
      <c r="BU12" s="257"/>
      <c r="BV12" s="258"/>
      <c r="BW12" s="259"/>
      <c r="BY12" s="158"/>
      <c r="BZ12" s="228"/>
    </row>
    <row r="13" ht="15" customHeight="1" spans="1:83">
      <c r="A13" s="141"/>
      <c r="B13" s="145"/>
      <c r="C13" s="143"/>
      <c r="D13" s="143"/>
      <c r="E13" s="143"/>
      <c r="F13" s="143"/>
      <c r="G13" s="143"/>
      <c r="BA13" s="256"/>
      <c r="BB13" s="256"/>
      <c r="BC13" s="256"/>
      <c r="BD13" s="256"/>
      <c r="BE13" s="256"/>
      <c r="BF13" s="256"/>
      <c r="BG13" s="256"/>
      <c r="BH13" s="256"/>
      <c r="BI13" s="242"/>
      <c r="BJ13" s="256"/>
      <c r="BK13" s="256"/>
      <c r="BL13" s="256"/>
      <c r="BM13" s="256"/>
      <c r="BN13" s="256"/>
      <c r="BO13" s="256"/>
      <c r="BP13" s="256"/>
      <c r="BQ13" s="256"/>
      <c r="BS13" s="228"/>
      <c r="BT13" s="257"/>
      <c r="BU13" s="257"/>
      <c r="BV13" s="258"/>
      <c r="BW13" s="259"/>
      <c r="BY13" s="158"/>
      <c r="BZ13" s="228"/>
    </row>
    <row r="14" ht="15" customHeight="1" spans="1:83">
      <c r="A14" s="141"/>
      <c r="B14" s="145"/>
      <c r="C14" s="143"/>
      <c r="D14" s="143"/>
      <c r="E14" s="143"/>
      <c r="F14" s="143"/>
      <c r="G14" s="143"/>
      <c r="BA14" s="256"/>
      <c r="BB14" s="256"/>
      <c r="BC14" s="256"/>
      <c r="BD14" s="256"/>
      <c r="BE14" s="256"/>
      <c r="BF14" s="256"/>
      <c r="BG14" s="256"/>
      <c r="BH14" s="256"/>
      <c r="BI14" s="242"/>
      <c r="BJ14" s="256"/>
      <c r="BK14" s="256"/>
      <c r="BL14" s="256"/>
      <c r="BM14" s="256"/>
      <c r="BN14" s="256"/>
      <c r="BO14" s="256"/>
      <c r="BP14" s="256"/>
      <c r="BQ14" s="256"/>
      <c r="BS14" s="228"/>
      <c r="BT14" s="257"/>
      <c r="BU14" s="257"/>
      <c r="BV14" s="258"/>
      <c r="BW14" s="259"/>
      <c r="BY14" s="158"/>
      <c r="BZ14" s="228"/>
    </row>
    <row r="15" ht="15" customHeight="1" spans="1:83">
      <c r="A15" s="141"/>
      <c r="B15" s="145"/>
      <c r="C15" s="143"/>
      <c r="D15" s="143"/>
      <c r="E15" s="143"/>
      <c r="F15" s="143"/>
      <c r="G15" s="143"/>
      <c r="BA15" s="256"/>
      <c r="BB15" s="256"/>
      <c r="BC15" s="256"/>
      <c r="BD15" s="256"/>
      <c r="BE15" s="256"/>
      <c r="BF15" s="256"/>
      <c r="BG15" s="256"/>
      <c r="BH15" s="256"/>
      <c r="BI15" s="242"/>
      <c r="BJ15" s="256"/>
      <c r="BK15" s="256"/>
      <c r="BL15" s="256"/>
      <c r="BM15" s="256"/>
      <c r="BN15" s="256"/>
      <c r="BO15" s="256"/>
      <c r="BP15" s="256"/>
      <c r="BQ15" s="256"/>
      <c r="BS15" s="228"/>
      <c r="BT15" s="257"/>
      <c r="BU15" s="257"/>
      <c r="BV15" s="258"/>
      <c r="BW15" s="259"/>
      <c r="BY15" s="158"/>
      <c r="BZ15" s="228"/>
    </row>
    <row r="16" ht="15" customHeight="1" spans="1:83">
      <c r="A16" s="141"/>
      <c r="B16" s="145"/>
      <c r="C16" s="143"/>
      <c r="D16" s="143"/>
      <c r="E16" s="143"/>
      <c r="F16" s="143"/>
      <c r="G16" s="143"/>
      <c r="BA16" s="256"/>
      <c r="BB16" s="256"/>
      <c r="BC16" s="256"/>
      <c r="BD16" s="256"/>
      <c r="BE16" s="256"/>
      <c r="BF16" s="256"/>
      <c r="BG16" s="256"/>
      <c r="BH16" s="256"/>
      <c r="BI16" s="242"/>
      <c r="BJ16" s="256"/>
      <c r="BK16" s="256"/>
      <c r="BL16" s="256"/>
      <c r="BM16" s="256"/>
      <c r="BN16" s="256"/>
      <c r="BO16" s="256"/>
      <c r="BP16" s="256"/>
      <c r="BQ16" s="256"/>
      <c r="BS16" s="228"/>
      <c r="BT16" s="257"/>
      <c r="BU16" s="257"/>
      <c r="BV16" s="258"/>
      <c r="BW16" s="259"/>
      <c r="BY16" s="158"/>
      <c r="BZ16" s="228"/>
    </row>
    <row r="17" ht="15" customHeight="1" spans="1:83">
      <c r="A17" s="141"/>
      <c r="B17" s="145"/>
      <c r="C17" s="143"/>
      <c r="D17" s="143"/>
      <c r="E17" s="143"/>
      <c r="F17" s="143"/>
      <c r="G17" s="143"/>
      <c r="BA17" s="256"/>
      <c r="BB17" s="256"/>
      <c r="BC17" s="256"/>
      <c r="BD17" s="256"/>
      <c r="BE17" s="256"/>
      <c r="BF17" s="256"/>
      <c r="BG17" s="256"/>
      <c r="BH17" s="256"/>
      <c r="BI17" s="242"/>
      <c r="BJ17" s="256"/>
      <c r="BK17" s="256"/>
      <c r="BL17" s="256"/>
      <c r="BM17" s="256"/>
      <c r="BN17" s="256"/>
      <c r="BO17" s="256"/>
      <c r="BP17" s="256"/>
      <c r="BQ17" s="256"/>
      <c r="BS17" s="228"/>
      <c r="BT17" s="257"/>
      <c r="BU17" s="257"/>
      <c r="BV17" s="258"/>
      <c r="BW17" s="259"/>
      <c r="BY17" s="158"/>
      <c r="BZ17" s="228"/>
    </row>
    <row r="18" ht="15" customHeight="1" spans="1:83">
      <c r="A18" s="141"/>
      <c r="B18" s="145"/>
      <c r="C18" s="143"/>
      <c r="D18" s="143"/>
      <c r="E18" s="143"/>
      <c r="F18" s="143"/>
      <c r="G18" s="143"/>
      <c r="BA18" s="256"/>
      <c r="BB18" s="256"/>
      <c r="BC18" s="256"/>
      <c r="BD18" s="256"/>
      <c r="BE18" s="256"/>
      <c r="BF18" s="256"/>
      <c r="BG18" s="256"/>
      <c r="BH18" s="256"/>
      <c r="BI18" s="242"/>
      <c r="BJ18" s="256"/>
      <c r="BK18" s="256"/>
      <c r="BL18" s="256"/>
      <c r="BM18" s="256"/>
      <c r="BN18" s="256"/>
      <c r="BO18" s="256"/>
      <c r="BP18" s="256"/>
      <c r="BQ18" s="256"/>
      <c r="BS18" s="228"/>
      <c r="BT18" s="257"/>
      <c r="BU18" s="257"/>
      <c r="BV18" s="258"/>
      <c r="BW18" s="259"/>
      <c r="BY18" s="158"/>
      <c r="BZ18" s="228"/>
    </row>
    <row r="19" ht="15" customHeight="1" spans="1:83">
      <c r="A19" s="141"/>
      <c r="B19" s="145"/>
      <c r="C19" s="143"/>
      <c r="D19" s="143"/>
      <c r="E19" s="143"/>
      <c r="F19" s="143"/>
      <c r="G19" s="143"/>
      <c r="BA19" s="256"/>
      <c r="BB19" s="256"/>
      <c r="BC19" s="256"/>
      <c r="BD19" s="256"/>
      <c r="BE19" s="256"/>
      <c r="BF19" s="256"/>
      <c r="BG19" s="256"/>
      <c r="BH19" s="256"/>
      <c r="BI19" s="242"/>
      <c r="BJ19" s="256"/>
      <c r="BK19" s="256"/>
      <c r="BL19" s="256"/>
      <c r="BM19" s="256"/>
      <c r="BN19" s="256"/>
      <c r="BO19" s="256"/>
      <c r="BP19" s="256"/>
      <c r="BQ19" s="256"/>
      <c r="BS19" s="228"/>
      <c r="BT19" s="257"/>
      <c r="BU19" s="257"/>
      <c r="BV19" s="258"/>
      <c r="BW19" s="259"/>
      <c r="BY19" s="158"/>
      <c r="BZ19" s="228"/>
    </row>
    <row r="20" ht="15" customHeight="1" spans="1:83">
      <c r="A20" s="141"/>
      <c r="B20" s="145"/>
      <c r="C20" s="143"/>
      <c r="D20" s="143"/>
      <c r="E20" s="143"/>
      <c r="F20" s="143"/>
      <c r="G20" s="143"/>
      <c r="BA20" s="256"/>
      <c r="BB20" s="256"/>
      <c r="BC20" s="256"/>
      <c r="BD20" s="256"/>
      <c r="BE20" s="256"/>
      <c r="BF20" s="256"/>
      <c r="BG20" s="256"/>
      <c r="BH20" s="256"/>
      <c r="BI20" s="242"/>
      <c r="BJ20" s="256"/>
      <c r="BK20" s="256"/>
      <c r="BL20" s="256"/>
      <c r="BM20" s="256"/>
      <c r="BN20" s="256"/>
      <c r="BO20" s="256"/>
      <c r="BP20" s="256"/>
      <c r="BQ20" s="256"/>
      <c r="BS20" s="228"/>
      <c r="BT20" s="257"/>
      <c r="BU20" s="257"/>
      <c r="BV20" s="258"/>
      <c r="BW20" s="259"/>
      <c r="BY20" s="158"/>
      <c r="BZ20" s="228"/>
    </row>
    <row r="21" ht="15" customHeight="1" spans="1:83">
      <c r="A21" s="141"/>
      <c r="B21" s="145"/>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ht="15" customHeight="1" spans="1:83">
      <c r="A22" s="141"/>
      <c r="B22" s="145"/>
      <c r="C22" s="143"/>
      <c r="D22" s="143"/>
      <c r="E22" s="143"/>
      <c r="F22" s="143"/>
      <c r="G22" s="143"/>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ht="15" customHeight="1" spans="1:83">
      <c r="A23" s="141"/>
      <c r="B23" s="145"/>
      <c r="C23" s="143"/>
      <c r="D23" s="143"/>
      <c r="E23" s="143"/>
      <c r="F23" s="143"/>
      <c r="G23" s="143"/>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ht="15" customHeight="1" spans="1:83">
      <c r="A24" s="141"/>
      <c r="B24" s="145"/>
      <c r="C24" s="143"/>
      <c r="D24" s="143"/>
      <c r="E24" s="143"/>
      <c r="F24" s="143"/>
      <c r="G24" s="143"/>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ht="15" customHeight="1" spans="1:83">
      <c r="A25" s="141"/>
      <c r="B25" s="145"/>
      <c r="C25" s="143"/>
      <c r="D25" s="143"/>
      <c r="E25" s="143"/>
      <c r="F25" s="143"/>
      <c r="G25" s="143"/>
      <c r="BA25" s="256"/>
      <c r="BB25" s="256"/>
      <c r="BC25" s="256"/>
      <c r="BD25" s="256"/>
      <c r="BE25" s="256"/>
      <c r="BF25" s="256"/>
      <c r="BG25" s="256"/>
      <c r="BH25" s="256"/>
      <c r="BI25" s="242"/>
      <c r="BJ25" s="256"/>
      <c r="BK25" s="256"/>
      <c r="BL25" s="256"/>
      <c r="BM25" s="256"/>
      <c r="BN25" s="256"/>
      <c r="BO25" s="256"/>
      <c r="BP25" s="256"/>
      <c r="BQ25" s="256"/>
      <c r="BS25" s="228"/>
      <c r="BT25" s="257"/>
      <c r="BU25" s="257"/>
      <c r="BV25" s="258"/>
      <c r="BW25" s="259"/>
      <c r="BY25" s="158"/>
      <c r="BZ25" s="228"/>
    </row>
    <row r="26" ht="15" customHeight="1" spans="1:83">
      <c r="A26" s="141"/>
      <c r="B26" s="145"/>
      <c r="C26" s="143"/>
      <c r="D26" s="143"/>
      <c r="E26" s="143"/>
      <c r="F26" s="143"/>
      <c r="G26" s="143"/>
      <c r="BA26" s="256"/>
      <c r="BB26" s="256"/>
      <c r="BC26" s="256"/>
      <c r="BD26" s="256"/>
      <c r="BE26" s="256"/>
      <c r="BF26" s="256"/>
      <c r="BG26" s="256"/>
      <c r="BH26" s="256"/>
      <c r="BI26" s="242"/>
      <c r="BJ26" s="256"/>
      <c r="BK26" s="256"/>
      <c r="BL26" s="256"/>
      <c r="BM26" s="256"/>
      <c r="BN26" s="256"/>
      <c r="BO26" s="256"/>
      <c r="BP26" s="256"/>
      <c r="BQ26" s="256"/>
      <c r="BS26" s="228"/>
      <c r="BT26" s="257"/>
      <c r="BU26" s="257"/>
      <c r="BV26" s="258"/>
      <c r="BW26" s="259"/>
      <c r="BY26" s="158"/>
      <c r="BZ26" s="228"/>
    </row>
    <row r="27" ht="15" customHeight="1" spans="1:83">
      <c r="A27" s="141"/>
      <c r="B27" s="145"/>
      <c r="C27" s="143"/>
      <c r="D27" s="143"/>
      <c r="E27" s="143"/>
      <c r="F27" s="143"/>
      <c r="G27" s="143"/>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341" t="str">
        <f>流动资总!A9</f>
        <v>3-3</v>
      </c>
      <c r="B28" s="262" t="s">
        <v>1832</v>
      </c>
      <c r="C28" s="264">
        <f>SUM(C7:C27)</f>
        <v>0</v>
      </c>
      <c r="D28" s="264">
        <f>SUM(D7:D27)</f>
        <v>0</v>
      </c>
      <c r="E28" s="264">
        <f>SUM(E7:E27)</f>
        <v>0</v>
      </c>
      <c r="F28" s="264">
        <f>SUM(F7:F27)</f>
        <v>0</v>
      </c>
      <c r="G28" s="265" t="str">
        <f>IF(D28=0,"",F28/D28*100)</f>
        <v/>
      </c>
      <c r="BA28" s="256">
        <f t="shared" ref="BA28:BH28" si="17">SUM(BA7:BA27)</f>
        <v>0</v>
      </c>
      <c r="BB28" s="256">
        <f t="shared" si="17"/>
        <v>0</v>
      </c>
      <c r="BC28" s="256">
        <f t="shared" si="17"/>
        <v>0</v>
      </c>
      <c r="BD28" s="256">
        <f t="shared" si="17"/>
        <v>0</v>
      </c>
      <c r="BE28" s="256">
        <f t="shared" si="17"/>
        <v>0</v>
      </c>
      <c r="BF28" s="256">
        <f t="shared" si="17"/>
        <v>0</v>
      </c>
      <c r="BG28" s="256">
        <f t="shared" si="17"/>
        <v>0</v>
      </c>
      <c r="BH28" s="256">
        <f t="shared" si="17"/>
        <v>0</v>
      </c>
      <c r="BI28" s="267"/>
      <c r="BJ28" s="256">
        <f>SUM(BJ7:BJ27)</f>
        <v>0</v>
      </c>
      <c r="BK28" s="256">
        <f>SUM(BK7:BK27)</f>
        <v>0</v>
      </c>
      <c r="BL28" s="256">
        <f t="shared" ref="BL28:BQ28" si="18">SUM(BL7:BL27)</f>
        <v>0</v>
      </c>
      <c r="BM28" s="256">
        <f t="shared" si="18"/>
        <v>0</v>
      </c>
      <c r="BN28" s="256">
        <f t="shared" si="18"/>
        <v>0</v>
      </c>
      <c r="BO28" s="256">
        <f t="shared" si="18"/>
        <v>0</v>
      </c>
      <c r="BP28" s="256">
        <f t="shared" si="18"/>
        <v>0</v>
      </c>
      <c r="BQ28" s="256">
        <f t="shared" si="18"/>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ht="15" customHeight="1" spans="1:83">
      <c r="A29" s="75" t="str">
        <f>参数表!F$6</f>
        <v>产权持有单位填表人：贾广东</v>
      </c>
      <c r="B29" s="158"/>
      <c r="C29" s="158"/>
      <c r="D29" s="158"/>
      <c r="E29" s="158" t="str">
        <f>"评估人员："&amp;封面!$G$20</f>
        <v>评估人员：栗祥宁</v>
      </c>
      <c r="F29" s="158"/>
      <c r="G29" s="277"/>
    </row>
    <row r="30" ht="15" customHeight="1" spans="1:83">
      <c r="A30" s="75" t="str">
        <f>参数表!F$7</f>
        <v>填表日期：2025年9月20日</v>
      </c>
      <c r="B30" s="158"/>
      <c r="C30" s="158"/>
      <c r="D30" s="158"/>
      <c r="E30" s="158"/>
      <c r="F30" s="158"/>
    </row>
    <row r="31" customHeight="1" spans="1:83">
      <c r="A31" s="158"/>
      <c r="B31" s="158"/>
      <c r="C31" s="158"/>
      <c r="D31" s="158"/>
      <c r="E31" s="158"/>
      <c r="F31" s="158"/>
    </row>
    <row r="32" s="73" customFormat="1" customHeight="1" spans="1:83">
      <c r="A32" s="247"/>
      <c r="B32" s="75"/>
      <c r="C32" s="75"/>
      <c r="D32" s="75"/>
      <c r="E32" s="75"/>
      <c r="F32" s="75"/>
      <c r="G32" s="75"/>
      <c r="BA32" s="738"/>
      <c r="BB32" s="738"/>
      <c r="BC32" s="738"/>
      <c r="BD32" s="738"/>
      <c r="BE32" s="738"/>
      <c r="BF32" s="738"/>
      <c r="BG32" s="1298"/>
      <c r="BH32" s="1298"/>
      <c r="BI32" s="1298"/>
      <c r="BJ32" s="1298"/>
      <c r="BK32" s="738"/>
      <c r="BL32" s="738"/>
      <c r="BM32" s="738"/>
      <c r="BN32" s="738"/>
      <c r="BO32" s="738"/>
      <c r="BP32" s="738"/>
      <c r="BQ32" s="738"/>
      <c r="BS32" s="158"/>
      <c r="BT32" s="158"/>
      <c r="BU32" s="158"/>
      <c r="BV32" s="158"/>
      <c r="BW32" s="158"/>
      <c r="BX32" s="158"/>
      <c r="BY32" s="228"/>
      <c r="BZ32" s="158"/>
      <c r="CA32" s="75"/>
      <c r="CB32" s="75"/>
      <c r="CC32" s="75"/>
      <c r="CD32" s="229"/>
      <c r="CE32" s="229"/>
    </row>
    <row r="33" customHeight="1" spans="1:6">
      <c r="A33" s="158"/>
    </row>
    <row r="34" customHeight="1" spans="1:6">
      <c r="A34" s="158"/>
    </row>
    <row r="35" customHeight="1" spans="1:6">
      <c r="A35" s="158"/>
    </row>
    <row r="36" customHeight="1" spans="1:6">
      <c r="A36" s="158"/>
    </row>
    <row r="37" customHeight="1" spans="1:6">
      <c r="A37" s="158"/>
      <c r="B37" s="158"/>
      <c r="C37" s="158"/>
      <c r="D37" s="158"/>
      <c r="E37" s="158"/>
      <c r="F37" s="158"/>
    </row>
    <row r="38" customHeight="1" spans="1:6">
      <c r="A38" s="158"/>
      <c r="B38" s="158"/>
      <c r="C38" s="158"/>
      <c r="D38" s="158"/>
      <c r="E38" s="158"/>
      <c r="F38" s="158"/>
    </row>
    <row r="39" customHeight="1" spans="1:6">
      <c r="A39" s="158"/>
      <c r="B39" s="158"/>
      <c r="C39" s="158"/>
      <c r="D39" s="158"/>
      <c r="E39" s="158"/>
      <c r="F39" s="158"/>
    </row>
    <row r="40" customHeight="1" spans="1:6">
      <c r="A40" s="158"/>
      <c r="B40" s="158"/>
      <c r="C40" s="158"/>
      <c r="D40" s="158"/>
      <c r="E40" s="158"/>
      <c r="F40" s="158"/>
    </row>
  </sheetData>
  <sheetProtection autoFilter="0"/>
  <mergeCells count="8">
    <mergeCell ref="A2:G2"/>
    <mergeCell ref="A3:G3"/>
    <mergeCell ref="BA4:BH4"/>
    <mergeCell ref="BJ4:BQ4"/>
    <mergeCell ref="BA5:BD5"/>
    <mergeCell ref="BE5:BH5"/>
    <mergeCell ref="BJ5:BM5"/>
    <mergeCell ref="BN5:BQ5"/>
  </mergeCells>
  <conditionalFormatting sqref="C7:G27">
    <cfRule type="expression" dxfId="3" priority="2">
      <formula>$D7+$E7=0</formula>
    </cfRule>
  </conditionalFormatting>
  <hyperlinks>
    <hyperlink ref="A1" location="索引目录!D9" display="返回索引页"/>
    <hyperlink ref="B7" location="'交易性-股票'!B1" display="交易性-股票投资"/>
    <hyperlink ref="B8" location="'交易性-债券'!B1" display="交易性-债券投资"/>
    <hyperlink ref="B1" location="流动资产汇总表!B8" display="返回"/>
    <hyperlink ref="B9" location="'交易性-基金'!B1" display="交易性-基金投资"/>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BT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18.2" style="75" customWidth="1"/>
    <col min="3" max="3" width="9" style="75"/>
    <col min="4" max="4" width="8.7" style="75" customWidth="1"/>
    <col min="5" max="5" width="8.6" style="75" customWidth="1"/>
    <col min="6" max="7" width="4.6" style="75" customWidth="1" outlineLevel="1"/>
    <col min="8" max="9" width="6.1" style="75" customWidth="1" outlineLevel="1"/>
    <col min="10" max="10" width="13.6" style="75" customWidth="1"/>
    <col min="11" max="11" width="13.6" style="75" customWidth="1" outlineLevel="1"/>
    <col min="12" max="12" width="13.6" style="76" customWidth="1" outlineLevel="1"/>
    <col min="13" max="13" width="13.6" style="75" customWidth="1"/>
    <col min="14" max="14" width="9.1" style="75" customWidth="1"/>
    <col min="15" max="15" width="13.6" style="75" customWidth="1"/>
    <col min="16" max="17" width="8.6" style="75" customWidth="1"/>
    <col min="18" max="18" width="9.5" style="75" customWidth="1"/>
    <col min="19" max="52" width="9" style="75" hidden="1" customWidth="1" outlineLevel="1"/>
    <col min="53" max="53" width="14.7" style="75" customWidth="1" collapsed="1"/>
    <col min="54" max="54" width="6.7" style="75" customWidth="1"/>
    <col min="55" max="56" width="5.1" style="165" customWidth="1"/>
    <col min="57" max="57" width="8.7" style="165" customWidth="1"/>
    <col min="58" max="59" width="9.6" style="75" customWidth="1"/>
    <col min="60" max="62" width="5" style="75" customWidth="1"/>
    <col min="63" max="63" width="8.7" style="75" customWidth="1"/>
    <col min="64" max="64" width="1.6" style="77" customWidth="1"/>
    <col min="65" max="65" width="10.6" style="78" customWidth="1"/>
    <col min="66" max="66" width="10.6" style="77" customWidth="1"/>
    <col min="67" max="67" width="4.6" style="78" customWidth="1"/>
    <col min="68" max="68" width="10.6" style="78" customWidth="1"/>
    <col min="69" max="70" width="4.6" style="78" customWidth="1"/>
    <col min="71" max="71" width="10.6" style="78" customWidth="1"/>
    <col min="72" max="72" width="5" style="77" customWidth="1"/>
    <col min="73" max="16384" width="9" style="75"/>
  </cols>
  <sheetData>
    <row r="1" s="86" customFormat="1" ht="13.8" spans="1:72">
      <c r="A1" s="1284" t="s">
        <v>1591</v>
      </c>
      <c r="B1" s="1285" t="s">
        <v>1592</v>
      </c>
      <c r="C1" s="82"/>
      <c r="D1" s="82"/>
      <c r="E1" s="82"/>
      <c r="F1" s="82"/>
      <c r="G1" s="82"/>
      <c r="H1" s="82"/>
      <c r="I1" s="82"/>
      <c r="J1" s="82"/>
      <c r="K1" s="82"/>
      <c r="L1" s="205"/>
      <c r="M1" s="82"/>
      <c r="N1" s="82"/>
      <c r="O1" s="82"/>
      <c r="P1" s="82"/>
      <c r="Q1" s="82"/>
      <c r="BA1" s="84" t="str">
        <f>参数表!BA1</f>
        <v>注意：补充特殊事项、作价等均从BA列开始填写</v>
      </c>
      <c r="BB1" s="85"/>
      <c r="BC1" s="82"/>
      <c r="BD1" s="82"/>
      <c r="BE1" s="82"/>
      <c r="BL1" s="87"/>
      <c r="BM1" s="88"/>
      <c r="BN1" s="87"/>
      <c r="BO1" s="88"/>
      <c r="BP1" s="88"/>
      <c r="BQ1" s="88"/>
      <c r="BR1" s="88"/>
      <c r="BS1" s="88"/>
      <c r="BT1" s="87"/>
    </row>
    <row r="2" s="71" customFormat="1" ht="30" customHeight="1" spans="1:72">
      <c r="A2" s="89" t="s">
        <v>1833</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C2" s="171"/>
      <c r="BD2" s="171"/>
      <c r="BE2" s="171"/>
      <c r="BL2" s="92"/>
      <c r="BM2" s="93"/>
      <c r="BN2" s="92"/>
      <c r="BO2" s="93"/>
      <c r="BP2" s="93"/>
      <c r="BQ2" s="93"/>
      <c r="BR2" s="93"/>
      <c r="BS2" s="93"/>
      <c r="BT2" s="92"/>
    </row>
    <row r="3" ht="15" customHeight="1" spans="1:72">
      <c r="A3" s="94" t="str">
        <f>参数表!F5</f>
        <v>评估基准日：2025年7月31日</v>
      </c>
      <c r="B3" s="94"/>
      <c r="C3" s="94"/>
      <c r="D3" s="94"/>
      <c r="E3" s="94"/>
      <c r="F3" s="94"/>
      <c r="G3" s="94"/>
      <c r="H3" s="94"/>
      <c r="I3" s="94"/>
      <c r="J3" s="94"/>
      <c r="K3" s="94"/>
      <c r="L3" s="94"/>
      <c r="M3" s="94"/>
      <c r="N3" s="94"/>
      <c r="O3" s="94"/>
      <c r="P3" s="94"/>
      <c r="Q3" s="94"/>
      <c r="R3" s="94"/>
      <c r="BA3" s="90" t="str">
        <f>参数表!BA3</f>
        <v>是否显示评估值：</v>
      </c>
      <c r="BB3" s="90" t="str">
        <f>参数表!BB3</f>
        <v>是</v>
      </c>
    </row>
    <row r="4" ht="15" customHeight="1" spans="1:72">
      <c r="A4" s="96"/>
      <c r="B4" s="94"/>
      <c r="C4" s="94"/>
      <c r="D4" s="94"/>
      <c r="E4" s="94"/>
      <c r="F4" s="94"/>
      <c r="G4" s="94"/>
      <c r="H4" s="94"/>
      <c r="I4" s="94"/>
      <c r="J4" s="94"/>
      <c r="K4" s="94"/>
      <c r="L4" s="97"/>
      <c r="M4" s="94"/>
      <c r="N4" s="95"/>
      <c r="O4" s="95"/>
      <c r="P4" s="95"/>
      <c r="Q4" s="95"/>
      <c r="R4" s="98" t="str">
        <f>"表"&amp;$BA4</f>
        <v>表3-3-1</v>
      </c>
      <c r="BA4" s="95" t="str">
        <f>交易性金资总!A7</f>
        <v>3-3-1</v>
      </c>
      <c r="BB4" s="100">
        <f>MAX(COUNTA(A7:A26),COUNTA(B7:B26),COUNTA(K7:K26),COUNTA(M7:M26))</f>
        <v>20</v>
      </c>
      <c r="BC4" s="101">
        <f>ROW(A6)+1</f>
        <v>7</v>
      </c>
      <c r="BD4" s="77"/>
      <c r="BE4" s="77"/>
      <c r="BN4" s="78"/>
    </row>
    <row r="5" ht="15" customHeight="1" spans="1:72">
      <c r="A5" s="102" t="str">
        <f>参数表!F3</f>
        <v>产权持有单位:中煤第五建设有限公司</v>
      </c>
      <c r="B5" s="103"/>
      <c r="C5" s="103"/>
      <c r="D5" s="103"/>
      <c r="E5" s="103"/>
      <c r="F5" s="103"/>
      <c r="G5" s="103"/>
      <c r="H5" s="103"/>
      <c r="I5" s="103"/>
      <c r="J5" s="103"/>
      <c r="K5" s="103"/>
      <c r="L5" s="104"/>
      <c r="M5" s="103"/>
      <c r="N5" s="103"/>
      <c r="O5" s="103"/>
      <c r="P5" s="103"/>
      <c r="Q5" s="103"/>
      <c r="R5" s="98" t="s">
        <v>236</v>
      </c>
      <c r="BA5" s="103"/>
      <c r="BB5" s="105" t="str">
        <f ca="1">判断表!C15</f>
        <v>中煤第五建设有限公司第三工程处拟处置实物资产项目\[0000-3基础法明细表.xlsx]交易性-股票</v>
      </c>
      <c r="BC5" s="106">
        <f>IFERROR(SUMIF(BC7:BC26,"√",M7:M26)/M27,0)</f>
        <v>0</v>
      </c>
      <c r="BD5" s="107"/>
      <c r="BE5" s="107"/>
      <c r="BF5" s="284">
        <f>分类汇总!I10</f>
        <v>0</v>
      </c>
      <c r="BG5" s="284">
        <f>分类汇总!K10</f>
        <v>0</v>
      </c>
      <c r="BH5" s="165"/>
      <c r="BI5" s="165"/>
      <c r="BJ5" s="165"/>
      <c r="BL5" s="111"/>
      <c r="BN5" s="78"/>
      <c r="BR5" s="194"/>
      <c r="BS5" s="194"/>
      <c r="BT5" s="111"/>
    </row>
    <row r="6" s="72" customFormat="1" ht="25.2" customHeight="1" spans="1:72">
      <c r="A6" s="112" t="s">
        <v>305</v>
      </c>
      <c r="B6" s="113" t="s">
        <v>1741</v>
      </c>
      <c r="C6" s="113" t="s">
        <v>1742</v>
      </c>
      <c r="D6" s="113" t="s">
        <v>1743</v>
      </c>
      <c r="E6" s="113" t="s">
        <v>1744</v>
      </c>
      <c r="F6" s="114" t="s">
        <v>1631</v>
      </c>
      <c r="G6" s="115" t="s">
        <v>1632</v>
      </c>
      <c r="H6" s="116" t="s">
        <v>1745</v>
      </c>
      <c r="I6" s="115" t="s">
        <v>1633</v>
      </c>
      <c r="J6" s="113" t="s">
        <v>1746</v>
      </c>
      <c r="K6" s="113" t="s">
        <v>1549</v>
      </c>
      <c r="L6" s="117" t="s">
        <v>1634</v>
      </c>
      <c r="M6" s="113" t="s">
        <v>1523</v>
      </c>
      <c r="N6" s="118" t="s">
        <v>1747</v>
      </c>
      <c r="O6" s="113" t="s">
        <v>1550</v>
      </c>
      <c r="P6" s="113" t="s">
        <v>1525</v>
      </c>
      <c r="Q6" s="113" t="s">
        <v>1551</v>
      </c>
      <c r="R6" s="113" t="s">
        <v>308</v>
      </c>
      <c r="BA6" s="100" t="s">
        <v>1545</v>
      </c>
      <c r="BB6" s="100" t="s">
        <v>1635</v>
      </c>
      <c r="BC6" s="100" t="s">
        <v>1636</v>
      </c>
      <c r="BD6" s="100" t="s">
        <v>1637</v>
      </c>
      <c r="BE6" s="100" t="s">
        <v>1638</v>
      </c>
      <c r="BF6" s="115" t="s">
        <v>1639</v>
      </c>
      <c r="BG6" s="115" t="s">
        <v>1640</v>
      </c>
      <c r="BH6" s="113" t="s">
        <v>1748</v>
      </c>
      <c r="BI6" s="113" t="s">
        <v>1749</v>
      </c>
      <c r="BJ6" s="118" t="s">
        <v>1750</v>
      </c>
      <c r="BK6" s="113" t="s">
        <v>1644</v>
      </c>
      <c r="BL6" s="119"/>
      <c r="BM6" s="120" t="s">
        <v>1645</v>
      </c>
      <c r="BN6" s="121" t="s">
        <v>1646</v>
      </c>
      <c r="BO6" s="121" t="s">
        <v>1647</v>
      </c>
      <c r="BP6" s="121" t="s">
        <v>1648</v>
      </c>
      <c r="BQ6" s="121" t="s">
        <v>1647</v>
      </c>
      <c r="BR6" s="121" t="s">
        <v>1647</v>
      </c>
      <c r="BS6" s="121" t="s">
        <v>1649</v>
      </c>
      <c r="BT6" s="122" t="s">
        <v>1650</v>
      </c>
    </row>
    <row r="7" ht="15" customHeight="1" spans="1:72">
      <c r="A7" s="123" t="str">
        <f>IF(B7="","",COUNT(A$6:A6)+1)</f>
        <v/>
      </c>
      <c r="B7" s="124"/>
      <c r="C7" s="126"/>
      <c r="D7" s="125"/>
      <c r="E7" s="199"/>
      <c r="F7" s="127"/>
      <c r="G7" s="127" t="str">
        <f>IFERROR(VLOOKUP(F7,参数表!$H$2:$I$50,2,FALSE),"")</f>
        <v/>
      </c>
      <c r="H7" s="128" t="str">
        <f>IFERROR(IF(OR(F7="人民币",F7=""),"",J7/G7),"")</f>
        <v/>
      </c>
      <c r="I7" s="128" t="str">
        <f>IFERROR(IF(OR(F7="人民币",F7=""),"",M7/G7),"")</f>
        <v/>
      </c>
      <c r="J7" s="129"/>
      <c r="K7" s="129"/>
      <c r="L7" s="130"/>
      <c r="M7" s="129" t="str">
        <f>IF(C7="","",K7+L7)</f>
        <v/>
      </c>
      <c r="N7" s="129"/>
      <c r="O7" s="129" t="str">
        <f>IF(C7="","",IF(BB$3="是",E7*N7,""))</f>
        <v/>
      </c>
      <c r="P7" s="129" t="str">
        <f>IFERROR(O7-M7,"")</f>
        <v/>
      </c>
      <c r="Q7" s="129" t="str">
        <f>IFERROR(P7/M7*100,"")</f>
        <v/>
      </c>
      <c r="R7" s="131"/>
      <c r="BA7" s="78"/>
      <c r="BB7" s="132" t="s">
        <v>1834</v>
      </c>
      <c r="BC7" s="133"/>
      <c r="BD7" s="132" t="str">
        <f>IF(OR(B7="",BC7=""),"",COUNTIF(BC$7:BC7,"√"))</f>
        <v/>
      </c>
      <c r="BE7" s="134" t="str">
        <f t="shared" ref="BE7:BE26" si="0">IF(BC7="","",BB7&amp;"︱"&amp;B7&amp;"︱"&amp;TEXT(K7,"#,##0.00"))</f>
        <v/>
      </c>
      <c r="BF7" s="135" t="str">
        <f>IF($B7="","",IF(BF$5=0,"OK","出错"))</f>
        <v/>
      </c>
      <c r="BG7" s="135" t="str">
        <f>IF($B7="","",IF(BG$5=0,"OK","出错"))</f>
        <v/>
      </c>
      <c r="BH7" s="136"/>
      <c r="BI7" s="136"/>
      <c r="BJ7" s="136"/>
      <c r="BK7" s="137"/>
      <c r="BM7" s="134" t="str">
        <f>IF(COUNTIF(BM$6:BM6,C7)&gt;0,"",C7)&amp;""</f>
        <v/>
      </c>
      <c r="BN7" s="138">
        <f>SUMIF(C$7:C$26,BM7,M$7:M$26)</f>
        <v>0</v>
      </c>
      <c r="BO7" s="132">
        <f t="shared" ref="BO7" si="1">RANK(BN7,BN$7:BN$26)</f>
        <v>1</v>
      </c>
      <c r="BP7" s="138">
        <f>SUMIF(C$7:C$26,BM7,O$7:O$26)</f>
        <v>0</v>
      </c>
      <c r="BQ7" s="132">
        <f>RANK(BP7,BP$7:BP$26)</f>
        <v>1</v>
      </c>
      <c r="BR7" s="138">
        <f>SUM(BN7:BN26)</f>
        <v>0</v>
      </c>
      <c r="BS7" s="138"/>
      <c r="BT7" s="138"/>
    </row>
    <row r="8" ht="15" customHeight="1" spans="1:72">
      <c r="A8" s="123" t="str">
        <f>IF(B8="","",COUNT(A$6:A7)+1)</f>
        <v/>
      </c>
      <c r="B8" s="139"/>
      <c r="C8" s="141"/>
      <c r="D8" s="140"/>
      <c r="E8" s="200"/>
      <c r="F8" s="142"/>
      <c r="G8" s="127" t="str">
        <f>IFERROR(VLOOKUP(F8,参数表!$H$2:$I$50,2,FALSE),"")</f>
        <v/>
      </c>
      <c r="H8" s="128" t="str">
        <f t="shared" ref="H8:H26" si="2">IFERROR(IF(OR(F8="人民币",F8=""),"",J8/G8),"")</f>
        <v/>
      </c>
      <c r="I8" s="128" t="str">
        <f t="shared" ref="I8:I26" si="3">IFERROR(IF(OR(F8="人民币",F8=""),"",M8/G8),"")</f>
        <v/>
      </c>
      <c r="J8" s="143"/>
      <c r="K8" s="143"/>
      <c r="L8" s="144"/>
      <c r="M8" s="129" t="str">
        <f t="shared" ref="M8:M26" si="4">IF(C8="","",K8+L8)</f>
        <v/>
      </c>
      <c r="N8" s="143"/>
      <c r="O8" s="129" t="str">
        <f t="shared" ref="O8:O26" si="5">IF(C8="","",IF(BB$3="是",E8*N8,""))</f>
        <v/>
      </c>
      <c r="P8" s="129" t="str">
        <f t="shared" ref="P8:P27" si="6">IFERROR(O8-M8,"")</f>
        <v/>
      </c>
      <c r="Q8" s="129" t="str">
        <f t="shared" ref="Q8:Q27" si="7">IFERROR(P8/M8*100,"")</f>
        <v/>
      </c>
      <c r="R8" s="145"/>
      <c r="BA8" s="78"/>
      <c r="BB8" s="132" t="s">
        <v>1835</v>
      </c>
      <c r="BC8" s="133"/>
      <c r="BD8" s="132" t="str">
        <f>IF(OR(B8="",BC8=""),"",COUNTIF(BC$7:BC8,"√"))</f>
        <v/>
      </c>
      <c r="BE8" s="134" t="str">
        <f t="shared" si="0"/>
        <v/>
      </c>
      <c r="BF8" s="135" t="str">
        <f t="shared" ref="BF8:BG26" si="8">IF($B8="","",IF(BF$5=0,"OK","出错"))</f>
        <v/>
      </c>
      <c r="BG8" s="135" t="str">
        <f t="shared" si="8"/>
        <v/>
      </c>
      <c r="BH8" s="136"/>
      <c r="BI8" s="136"/>
      <c r="BJ8" s="136"/>
      <c r="BK8" s="137"/>
      <c r="BM8" s="134" t="str">
        <f>IF(COUNTIF(BM$6:BM7,C8)&gt;0,"",C8)&amp;""</f>
        <v/>
      </c>
      <c r="BN8" s="138">
        <f t="shared" ref="BN8:BN26" si="9">SUMIF(C$7:C$26,BM8,M$7:M$26)</f>
        <v>0</v>
      </c>
      <c r="BO8" s="132">
        <f t="shared" ref="BO8:BO26" si="10">RANK(BN8,BN$7:BN$26)</f>
        <v>1</v>
      </c>
      <c r="BP8" s="138">
        <f t="shared" ref="BP8:BP26" si="11">SUMIF(C$7:C$26,BM8,O$7:O$26)</f>
        <v>0</v>
      </c>
      <c r="BQ8" s="132">
        <f t="shared" ref="BQ8:BQ26" si="12">RANK(BP8,BP$7:BP$26)</f>
        <v>1</v>
      </c>
      <c r="BR8" s="138">
        <f>SUM(BP7:BP26)</f>
        <v>0</v>
      </c>
      <c r="BS8" s="138"/>
      <c r="BT8" s="138"/>
    </row>
    <row r="9" ht="15" customHeight="1" spans="1:72">
      <c r="A9" s="123" t="str">
        <f>IF(B9="","",COUNT(A$6:A8)+1)</f>
        <v/>
      </c>
      <c r="B9" s="139"/>
      <c r="C9" s="141"/>
      <c r="D9" s="140"/>
      <c r="E9" s="200"/>
      <c r="F9" s="142"/>
      <c r="G9" s="127" t="str">
        <f>IFERROR(VLOOKUP(F9,参数表!$H$2:$I$50,2,FALSE),"")</f>
        <v/>
      </c>
      <c r="H9" s="128" t="str">
        <f t="shared" si="2"/>
        <v/>
      </c>
      <c r="I9" s="128" t="str">
        <f t="shared" si="3"/>
        <v/>
      </c>
      <c r="J9" s="143"/>
      <c r="K9" s="143"/>
      <c r="L9" s="144"/>
      <c r="M9" s="129" t="str">
        <f t="shared" si="4"/>
        <v/>
      </c>
      <c r="N9" s="143"/>
      <c r="O9" s="129" t="str">
        <f t="shared" si="5"/>
        <v/>
      </c>
      <c r="P9" s="129" t="str">
        <f t="shared" si="6"/>
        <v/>
      </c>
      <c r="Q9" s="129" t="str">
        <f t="shared" si="7"/>
        <v/>
      </c>
      <c r="R9" s="145"/>
      <c r="BA9" s="78"/>
      <c r="BB9" s="132" t="s">
        <v>1836</v>
      </c>
      <c r="BC9" s="133"/>
      <c r="BD9" s="132" t="str">
        <f>IF(OR(B9="",BC9=""),"",COUNTIF(BC$7:BC9,"√"))</f>
        <v/>
      </c>
      <c r="BE9" s="134" t="str">
        <f t="shared" si="0"/>
        <v/>
      </c>
      <c r="BF9" s="135" t="str">
        <f t="shared" si="8"/>
        <v/>
      </c>
      <c r="BG9" s="135" t="str">
        <f t="shared" si="8"/>
        <v/>
      </c>
      <c r="BH9" s="136"/>
      <c r="BI9" s="136"/>
      <c r="BJ9" s="136"/>
      <c r="BK9" s="137"/>
      <c r="BM9" s="134" t="str">
        <f>IF(COUNTIF(BM$6:BM8,C9)&gt;0,"",C9)&amp;""</f>
        <v/>
      </c>
      <c r="BN9" s="138">
        <f t="shared" si="9"/>
        <v>0</v>
      </c>
      <c r="BO9" s="132">
        <f t="shared" si="10"/>
        <v>1</v>
      </c>
      <c r="BP9" s="138">
        <f t="shared" si="11"/>
        <v>0</v>
      </c>
      <c r="BQ9" s="132">
        <f t="shared" si="12"/>
        <v>1</v>
      </c>
      <c r="BR9" s="132">
        <v>1</v>
      </c>
      <c r="BS9" s="134" t="str">
        <f>IFERROR(INDEX(BM$7:BM$26,MATCH(BR9,IF(BR$7=0,BQ$7:BQ$26,BO$7:BO$26),0))&amp;"","")</f>
        <v/>
      </c>
      <c r="BT9" s="146" t="str">
        <f>IF(BS10="","",IF(BS11="","和","、"))</f>
        <v/>
      </c>
    </row>
    <row r="10" ht="15" customHeight="1" spans="1:72">
      <c r="A10" s="123" t="str">
        <f>IF(B10="","",COUNT(A$6:A9)+1)</f>
        <v/>
      </c>
      <c r="B10" s="139"/>
      <c r="C10" s="141"/>
      <c r="D10" s="140"/>
      <c r="E10" s="200"/>
      <c r="F10" s="142"/>
      <c r="G10" s="127" t="str">
        <f>IFERROR(VLOOKUP(F10,参数表!$H$2:$I$50,2,FALSE),"")</f>
        <v/>
      </c>
      <c r="H10" s="128" t="str">
        <f t="shared" si="2"/>
        <v/>
      </c>
      <c r="I10" s="128" t="str">
        <f t="shared" si="3"/>
        <v/>
      </c>
      <c r="J10" s="143"/>
      <c r="K10" s="143"/>
      <c r="L10" s="144"/>
      <c r="M10" s="129" t="str">
        <f t="shared" si="4"/>
        <v/>
      </c>
      <c r="N10" s="143"/>
      <c r="O10" s="129" t="str">
        <f t="shared" si="5"/>
        <v/>
      </c>
      <c r="P10" s="129" t="str">
        <f t="shared" si="6"/>
        <v/>
      </c>
      <c r="Q10" s="129" t="str">
        <f t="shared" si="7"/>
        <v/>
      </c>
      <c r="R10" s="145"/>
      <c r="BA10" s="78"/>
      <c r="BB10" s="132" t="s">
        <v>1837</v>
      </c>
      <c r="BC10" s="133"/>
      <c r="BD10" s="132" t="str">
        <f>IF(OR(B10="",BC10=""),"",COUNTIF(BC$7:BC10,"√"))</f>
        <v/>
      </c>
      <c r="BE10" s="134" t="str">
        <f t="shared" si="0"/>
        <v/>
      </c>
      <c r="BF10" s="135" t="str">
        <f t="shared" si="8"/>
        <v/>
      </c>
      <c r="BG10" s="135" t="str">
        <f t="shared" si="8"/>
        <v/>
      </c>
      <c r="BH10" s="136"/>
      <c r="BI10" s="136"/>
      <c r="BJ10" s="136"/>
      <c r="BK10" s="137"/>
      <c r="BM10" s="134" t="str">
        <f>IF(COUNTIF(BM$6:BM9,C10)&gt;0,"",C10)&amp;""</f>
        <v/>
      </c>
      <c r="BN10" s="138">
        <f t="shared" si="9"/>
        <v>0</v>
      </c>
      <c r="BO10" s="132">
        <f t="shared" si="10"/>
        <v>1</v>
      </c>
      <c r="BP10" s="138">
        <f t="shared" si="11"/>
        <v>0</v>
      </c>
      <c r="BQ10" s="132">
        <f t="shared" si="12"/>
        <v>1</v>
      </c>
      <c r="BR10" s="132">
        <v>2</v>
      </c>
      <c r="BS10" s="134" t="str">
        <f t="shared" ref="BS10:BS13" si="13">IFERROR(INDEX(BM$7:BM$26,MATCH(BR10,IF(BR$7=0,BQ$7:BQ$26,BO$7:BO$26),0))&amp;"","")</f>
        <v/>
      </c>
      <c r="BT10" s="146" t="str">
        <f t="shared" ref="BT10:BT11" si="14">IF(BS11="","",IF(BS12="","和","、"))</f>
        <v/>
      </c>
    </row>
    <row r="11" ht="15" customHeight="1" spans="1:72">
      <c r="A11" s="123" t="str">
        <f>IF(B11="","",COUNT(A$6:A10)+1)</f>
        <v/>
      </c>
      <c r="B11" s="139"/>
      <c r="C11" s="141"/>
      <c r="D11" s="140"/>
      <c r="E11" s="200"/>
      <c r="F11" s="142"/>
      <c r="G11" s="127" t="str">
        <f>IFERROR(VLOOKUP(F11,参数表!$H$2:$I$50,2,FALSE),"")</f>
        <v/>
      </c>
      <c r="H11" s="128" t="str">
        <f t="shared" si="2"/>
        <v/>
      </c>
      <c r="I11" s="128" t="str">
        <f t="shared" si="3"/>
        <v/>
      </c>
      <c r="J11" s="143"/>
      <c r="K11" s="143"/>
      <c r="L11" s="144"/>
      <c r="M11" s="129" t="str">
        <f t="shared" si="4"/>
        <v/>
      </c>
      <c r="N11" s="143"/>
      <c r="O11" s="129" t="str">
        <f t="shared" si="5"/>
        <v/>
      </c>
      <c r="P11" s="129" t="str">
        <f t="shared" si="6"/>
        <v/>
      </c>
      <c r="Q11" s="129" t="str">
        <f t="shared" si="7"/>
        <v/>
      </c>
      <c r="R11" s="145"/>
      <c r="BA11" s="78"/>
      <c r="BB11" s="132" t="s">
        <v>1838</v>
      </c>
      <c r="BC11" s="133"/>
      <c r="BD11" s="132" t="str">
        <f>IF(OR(B11="",BC11=""),"",COUNTIF(BC$7:BC11,"√"))</f>
        <v/>
      </c>
      <c r="BE11" s="134" t="str">
        <f t="shared" si="0"/>
        <v/>
      </c>
      <c r="BF11" s="135" t="str">
        <f t="shared" si="8"/>
        <v/>
      </c>
      <c r="BG11" s="135" t="str">
        <f t="shared" si="8"/>
        <v/>
      </c>
      <c r="BH11" s="136"/>
      <c r="BI11" s="136"/>
      <c r="BJ11" s="136"/>
      <c r="BK11" s="137"/>
      <c r="BM11" s="134" t="str">
        <f>IF(COUNTIF(BM$6:BM10,C11)&gt;0,"",C11)&amp;""</f>
        <v/>
      </c>
      <c r="BN11" s="138">
        <f t="shared" si="9"/>
        <v>0</v>
      </c>
      <c r="BO11" s="132">
        <f t="shared" si="10"/>
        <v>1</v>
      </c>
      <c r="BP11" s="138">
        <f t="shared" si="11"/>
        <v>0</v>
      </c>
      <c r="BQ11" s="132">
        <f t="shared" si="12"/>
        <v>1</v>
      </c>
      <c r="BR11" s="132">
        <v>3</v>
      </c>
      <c r="BS11" s="134" t="str">
        <f t="shared" si="13"/>
        <v/>
      </c>
      <c r="BT11" s="146" t="str">
        <f t="shared" si="14"/>
        <v/>
      </c>
    </row>
    <row r="12" ht="15" customHeight="1" spans="1:72">
      <c r="A12" s="123" t="str">
        <f>IF(B12="","",COUNT(A$6:A11)+1)</f>
        <v/>
      </c>
      <c r="B12" s="139"/>
      <c r="C12" s="141"/>
      <c r="D12" s="140"/>
      <c r="E12" s="200"/>
      <c r="F12" s="142"/>
      <c r="G12" s="127" t="str">
        <f>IFERROR(VLOOKUP(F12,参数表!$H$2:$I$50,2,FALSE),"")</f>
        <v/>
      </c>
      <c r="H12" s="128" t="str">
        <f t="shared" si="2"/>
        <v/>
      </c>
      <c r="I12" s="128" t="str">
        <f t="shared" si="3"/>
        <v/>
      </c>
      <c r="J12" s="143"/>
      <c r="K12" s="143"/>
      <c r="L12" s="144"/>
      <c r="M12" s="129" t="str">
        <f t="shared" si="4"/>
        <v/>
      </c>
      <c r="N12" s="143"/>
      <c r="O12" s="129" t="str">
        <f t="shared" si="5"/>
        <v/>
      </c>
      <c r="P12" s="129" t="str">
        <f t="shared" si="6"/>
        <v/>
      </c>
      <c r="Q12" s="129" t="str">
        <f t="shared" si="7"/>
        <v/>
      </c>
      <c r="R12" s="145"/>
      <c r="BA12" s="78"/>
      <c r="BB12" s="132" t="s">
        <v>1839</v>
      </c>
      <c r="BC12" s="133"/>
      <c r="BD12" s="132" t="str">
        <f>IF(OR(B12="",BC12=""),"",COUNTIF(BC$7:BC12,"√"))</f>
        <v/>
      </c>
      <c r="BE12" s="134" t="str">
        <f t="shared" si="0"/>
        <v/>
      </c>
      <c r="BF12" s="135" t="str">
        <f t="shared" si="8"/>
        <v/>
      </c>
      <c r="BG12" s="135" t="str">
        <f t="shared" si="8"/>
        <v/>
      </c>
      <c r="BH12" s="136"/>
      <c r="BI12" s="136"/>
      <c r="BJ12" s="136"/>
      <c r="BK12" s="137"/>
      <c r="BM12" s="134" t="str">
        <f>IF(COUNTIF(BM$6:BM11,C12)&gt;0,"",C12)&amp;""</f>
        <v/>
      </c>
      <c r="BN12" s="138">
        <f t="shared" si="9"/>
        <v>0</v>
      </c>
      <c r="BO12" s="132">
        <f t="shared" si="10"/>
        <v>1</v>
      </c>
      <c r="BP12" s="138">
        <f t="shared" si="11"/>
        <v>0</v>
      </c>
      <c r="BQ12" s="132">
        <f t="shared" si="12"/>
        <v>1</v>
      </c>
      <c r="BR12" s="132">
        <v>4</v>
      </c>
      <c r="BS12" s="134" t="str">
        <f t="shared" si="13"/>
        <v/>
      </c>
      <c r="BT12" s="146" t="str">
        <f>IF(BS13="","","和")</f>
        <v/>
      </c>
    </row>
    <row r="13" ht="15" customHeight="1" spans="1:72">
      <c r="A13" s="123" t="str">
        <f>IF(B13="","",COUNT(A$6:A12)+1)</f>
        <v/>
      </c>
      <c r="B13" s="139"/>
      <c r="C13" s="141"/>
      <c r="D13" s="140"/>
      <c r="E13" s="200"/>
      <c r="F13" s="142"/>
      <c r="G13" s="127" t="str">
        <f>IFERROR(VLOOKUP(F13,参数表!$H$2:$I$50,2,FALSE),"")</f>
        <v/>
      </c>
      <c r="H13" s="128" t="str">
        <f t="shared" si="2"/>
        <v/>
      </c>
      <c r="I13" s="128" t="str">
        <f t="shared" si="3"/>
        <v/>
      </c>
      <c r="J13" s="143"/>
      <c r="K13" s="143"/>
      <c r="L13" s="144"/>
      <c r="M13" s="129" t="str">
        <f t="shared" si="4"/>
        <v/>
      </c>
      <c r="N13" s="143"/>
      <c r="O13" s="129" t="str">
        <f t="shared" si="5"/>
        <v/>
      </c>
      <c r="P13" s="129" t="str">
        <f t="shared" si="6"/>
        <v/>
      </c>
      <c r="Q13" s="129" t="str">
        <f t="shared" si="7"/>
        <v/>
      </c>
      <c r="R13" s="145"/>
      <c r="BA13" s="78"/>
      <c r="BB13" s="132" t="s">
        <v>1840</v>
      </c>
      <c r="BC13" s="133"/>
      <c r="BD13" s="132" t="str">
        <f>IF(OR(B13="",BC13=""),"",COUNTIF(BC$7:BC13,"√"))</f>
        <v/>
      </c>
      <c r="BE13" s="134" t="str">
        <f t="shared" si="0"/>
        <v/>
      </c>
      <c r="BF13" s="135" t="str">
        <f t="shared" si="8"/>
        <v/>
      </c>
      <c r="BG13" s="135" t="str">
        <f t="shared" si="8"/>
        <v/>
      </c>
      <c r="BH13" s="136"/>
      <c r="BI13" s="136"/>
      <c r="BJ13" s="136"/>
      <c r="BK13" s="137"/>
      <c r="BM13" s="134" t="str">
        <f>IF(COUNTIF(BM$6:BM12,C13)&gt;0,"",C13)&amp;""</f>
        <v/>
      </c>
      <c r="BN13" s="138">
        <f t="shared" si="9"/>
        <v>0</v>
      </c>
      <c r="BO13" s="132">
        <f t="shared" si="10"/>
        <v>1</v>
      </c>
      <c r="BP13" s="138">
        <f t="shared" si="11"/>
        <v>0</v>
      </c>
      <c r="BQ13" s="132">
        <f t="shared" si="12"/>
        <v>1</v>
      </c>
      <c r="BR13" s="132">
        <v>5</v>
      </c>
      <c r="BS13" s="134" t="str">
        <f t="shared" si="13"/>
        <v/>
      </c>
      <c r="BT13" s="146"/>
    </row>
    <row r="14" ht="15" customHeight="1" spans="1:72">
      <c r="A14" s="123" t="str">
        <f>IF(B14="","",COUNT(A$6:A13)+1)</f>
        <v/>
      </c>
      <c r="B14" s="139"/>
      <c r="C14" s="141"/>
      <c r="D14" s="140"/>
      <c r="E14" s="200"/>
      <c r="F14" s="142"/>
      <c r="G14" s="127" t="str">
        <f>IFERROR(VLOOKUP(F14,参数表!$H$2:$I$50,2,FALSE),"")</f>
        <v/>
      </c>
      <c r="H14" s="128" t="str">
        <f t="shared" si="2"/>
        <v/>
      </c>
      <c r="I14" s="128" t="str">
        <f t="shared" si="3"/>
        <v/>
      </c>
      <c r="J14" s="143"/>
      <c r="K14" s="143"/>
      <c r="L14" s="144"/>
      <c r="M14" s="129" t="str">
        <f t="shared" si="4"/>
        <v/>
      </c>
      <c r="N14" s="143"/>
      <c r="O14" s="129" t="str">
        <f t="shared" si="5"/>
        <v/>
      </c>
      <c r="P14" s="129" t="str">
        <f t="shared" si="6"/>
        <v/>
      </c>
      <c r="Q14" s="129" t="str">
        <f t="shared" si="7"/>
        <v/>
      </c>
      <c r="R14" s="145"/>
      <c r="BA14" s="78"/>
      <c r="BB14" s="132" t="s">
        <v>1841</v>
      </c>
      <c r="BC14" s="133"/>
      <c r="BD14" s="132" t="str">
        <f>IF(OR(B14="",BC14=""),"",COUNTIF(BC$7:BC14,"√"))</f>
        <v/>
      </c>
      <c r="BE14" s="134" t="str">
        <f t="shared" si="0"/>
        <v/>
      </c>
      <c r="BF14" s="135" t="str">
        <f t="shared" si="8"/>
        <v/>
      </c>
      <c r="BG14" s="135" t="str">
        <f t="shared" si="8"/>
        <v/>
      </c>
      <c r="BH14" s="136"/>
      <c r="BI14" s="136"/>
      <c r="BJ14" s="136"/>
      <c r="BK14" s="137"/>
      <c r="BM14" s="134" t="str">
        <f>IF(COUNTIF(BM$6:BM13,C14)&gt;0,"",C14)&amp;""</f>
        <v/>
      </c>
      <c r="BN14" s="138">
        <f t="shared" si="9"/>
        <v>0</v>
      </c>
      <c r="BO14" s="132">
        <f t="shared" si="10"/>
        <v>1</v>
      </c>
      <c r="BP14" s="138">
        <f t="shared" si="11"/>
        <v>0</v>
      </c>
      <c r="BQ14" s="132">
        <f t="shared" si="12"/>
        <v>1</v>
      </c>
      <c r="BR14" s="147" t="s">
        <v>1659</v>
      </c>
      <c r="BS14" s="132" t="str">
        <f>CONCATENATE(BS9,BT9,BS10,BT10,BS11,BT11,BS12,BT12,BS13)</f>
        <v/>
      </c>
      <c r="BT14" s="132"/>
    </row>
    <row r="15" ht="15" customHeight="1" spans="1:72">
      <c r="A15" s="123" t="str">
        <f>IF(B15="","",COUNT(A$6:A14)+1)</f>
        <v/>
      </c>
      <c r="B15" s="139"/>
      <c r="C15" s="141"/>
      <c r="D15" s="140"/>
      <c r="E15" s="200"/>
      <c r="F15" s="142"/>
      <c r="G15" s="127" t="str">
        <f>IFERROR(VLOOKUP(F15,参数表!$H$2:$I$50,2,FALSE),"")</f>
        <v/>
      </c>
      <c r="H15" s="128" t="str">
        <f t="shared" si="2"/>
        <v/>
      </c>
      <c r="I15" s="128" t="str">
        <f t="shared" si="3"/>
        <v/>
      </c>
      <c r="J15" s="143"/>
      <c r="K15" s="143"/>
      <c r="L15" s="144"/>
      <c r="M15" s="129" t="str">
        <f t="shared" si="4"/>
        <v/>
      </c>
      <c r="N15" s="143"/>
      <c r="O15" s="129" t="str">
        <f t="shared" si="5"/>
        <v/>
      </c>
      <c r="P15" s="129" t="str">
        <f t="shared" si="6"/>
        <v/>
      </c>
      <c r="Q15" s="129" t="str">
        <f t="shared" si="7"/>
        <v/>
      </c>
      <c r="R15" s="145"/>
      <c r="BA15" s="78"/>
      <c r="BB15" s="132" t="s">
        <v>1842</v>
      </c>
      <c r="BC15" s="133"/>
      <c r="BD15" s="132" t="str">
        <f>IF(OR(B15="",BC15=""),"",COUNTIF(BC$7:BC15,"√"))</f>
        <v/>
      </c>
      <c r="BE15" s="134" t="str">
        <f t="shared" si="0"/>
        <v/>
      </c>
      <c r="BF15" s="135" t="str">
        <f t="shared" si="8"/>
        <v/>
      </c>
      <c r="BG15" s="135" t="str">
        <f t="shared" si="8"/>
        <v/>
      </c>
      <c r="BH15" s="136"/>
      <c r="BI15" s="136"/>
      <c r="BJ15" s="136"/>
      <c r="BK15" s="137"/>
      <c r="BM15" s="134" t="str">
        <f>IF(COUNTIF(BM$6:BM14,C15)&gt;0,"",C15)&amp;""</f>
        <v/>
      </c>
      <c r="BN15" s="138">
        <f t="shared" si="9"/>
        <v>0</v>
      </c>
      <c r="BO15" s="132">
        <f t="shared" si="10"/>
        <v>1</v>
      </c>
      <c r="BP15" s="138">
        <f t="shared" si="11"/>
        <v>0</v>
      </c>
      <c r="BQ15" s="132">
        <f t="shared" si="12"/>
        <v>1</v>
      </c>
      <c r="BR15" s="133"/>
      <c r="BS15" s="133"/>
    </row>
    <row r="16" ht="15" customHeight="1" spans="1:72">
      <c r="A16" s="123" t="str">
        <f>IF(B16="","",COUNT(A$6:A15)+1)</f>
        <v/>
      </c>
      <c r="B16" s="139"/>
      <c r="C16" s="141"/>
      <c r="D16" s="140"/>
      <c r="E16" s="200"/>
      <c r="F16" s="142"/>
      <c r="G16" s="127" t="str">
        <f>IFERROR(VLOOKUP(F16,参数表!$H$2:$I$50,2,FALSE),"")</f>
        <v/>
      </c>
      <c r="H16" s="128" t="str">
        <f t="shared" si="2"/>
        <v/>
      </c>
      <c r="I16" s="128" t="str">
        <f t="shared" si="3"/>
        <v/>
      </c>
      <c r="J16" s="143"/>
      <c r="K16" s="143"/>
      <c r="L16" s="144"/>
      <c r="M16" s="129" t="str">
        <f t="shared" si="4"/>
        <v/>
      </c>
      <c r="N16" s="143"/>
      <c r="O16" s="129" t="str">
        <f t="shared" si="5"/>
        <v/>
      </c>
      <c r="P16" s="129" t="str">
        <f t="shared" si="6"/>
        <v/>
      </c>
      <c r="Q16" s="129" t="str">
        <f t="shared" si="7"/>
        <v/>
      </c>
      <c r="R16" s="145"/>
      <c r="BA16" s="78"/>
      <c r="BB16" s="132" t="s">
        <v>1843</v>
      </c>
      <c r="BC16" s="133"/>
      <c r="BD16" s="132" t="str">
        <f>IF(OR(B16="",BC16=""),"",COUNTIF(BC$7:BC16,"√"))</f>
        <v/>
      </c>
      <c r="BE16" s="134" t="str">
        <f t="shared" si="0"/>
        <v/>
      </c>
      <c r="BF16" s="135" t="str">
        <f t="shared" si="8"/>
        <v/>
      </c>
      <c r="BG16" s="135" t="str">
        <f t="shared" si="8"/>
        <v/>
      </c>
      <c r="BH16" s="136"/>
      <c r="BI16" s="136"/>
      <c r="BJ16" s="136"/>
      <c r="BK16" s="137"/>
      <c r="BM16" s="134" t="str">
        <f>IF(COUNTIF(BM$6:BM15,C16)&gt;0,"",C16)&amp;""</f>
        <v/>
      </c>
      <c r="BN16" s="138">
        <f t="shared" si="9"/>
        <v>0</v>
      </c>
      <c r="BO16" s="132">
        <f t="shared" si="10"/>
        <v>1</v>
      </c>
      <c r="BP16" s="138">
        <f t="shared" si="11"/>
        <v>0</v>
      </c>
      <c r="BQ16" s="132">
        <f t="shared" si="12"/>
        <v>1</v>
      </c>
      <c r="BR16" s="133"/>
      <c r="BS16" s="148"/>
    </row>
    <row r="17" ht="15" customHeight="1" spans="1:72">
      <c r="A17" s="123" t="str">
        <f>IF(B17="","",COUNT(A$6:A16)+1)</f>
        <v/>
      </c>
      <c r="B17" s="139"/>
      <c r="C17" s="141"/>
      <c r="D17" s="140"/>
      <c r="E17" s="200"/>
      <c r="F17" s="142"/>
      <c r="G17" s="127" t="str">
        <f>IFERROR(VLOOKUP(F17,参数表!$H$2:$I$50,2,FALSE),"")</f>
        <v/>
      </c>
      <c r="H17" s="128" t="str">
        <f t="shared" si="2"/>
        <v/>
      </c>
      <c r="I17" s="128" t="str">
        <f t="shared" si="3"/>
        <v/>
      </c>
      <c r="J17" s="143"/>
      <c r="K17" s="143"/>
      <c r="L17" s="144"/>
      <c r="M17" s="129" t="str">
        <f t="shared" si="4"/>
        <v/>
      </c>
      <c r="N17" s="143"/>
      <c r="O17" s="129" t="str">
        <f t="shared" si="5"/>
        <v/>
      </c>
      <c r="P17" s="129" t="str">
        <f t="shared" si="6"/>
        <v/>
      </c>
      <c r="Q17" s="129" t="str">
        <f t="shared" si="7"/>
        <v/>
      </c>
      <c r="R17" s="145"/>
      <c r="BA17" s="78"/>
      <c r="BB17" s="132" t="s">
        <v>1844</v>
      </c>
      <c r="BC17" s="133"/>
      <c r="BD17" s="132" t="str">
        <f>IF(OR(B17="",BC17=""),"",COUNTIF(BC$7:BC17,"√"))</f>
        <v/>
      </c>
      <c r="BE17" s="134" t="str">
        <f t="shared" si="0"/>
        <v/>
      </c>
      <c r="BF17" s="135" t="str">
        <f t="shared" si="8"/>
        <v/>
      </c>
      <c r="BG17" s="135" t="str">
        <f t="shared" si="8"/>
        <v/>
      </c>
      <c r="BH17" s="136"/>
      <c r="BI17" s="136"/>
      <c r="BJ17" s="136"/>
      <c r="BK17" s="137"/>
      <c r="BM17" s="134" t="str">
        <f>IF(COUNTIF(BM$6:BM16,C17)&gt;0,"",C17)&amp;""</f>
        <v/>
      </c>
      <c r="BN17" s="138">
        <f t="shared" si="9"/>
        <v>0</v>
      </c>
      <c r="BO17" s="132">
        <f t="shared" si="10"/>
        <v>1</v>
      </c>
      <c r="BP17" s="138">
        <f t="shared" si="11"/>
        <v>0</v>
      </c>
      <c r="BQ17" s="132">
        <f t="shared" si="12"/>
        <v>1</v>
      </c>
      <c r="BR17" s="133"/>
      <c r="BS17" s="133"/>
    </row>
    <row r="18" ht="15" customHeight="1" spans="1:72">
      <c r="A18" s="123" t="str">
        <f>IF(B18="","",COUNT(A$6:A17)+1)</f>
        <v/>
      </c>
      <c r="B18" s="139"/>
      <c r="C18" s="141"/>
      <c r="D18" s="140"/>
      <c r="E18" s="200"/>
      <c r="F18" s="142"/>
      <c r="G18" s="127" t="str">
        <f>IFERROR(VLOOKUP(F18,参数表!$H$2:$I$50,2,FALSE),"")</f>
        <v/>
      </c>
      <c r="H18" s="128" t="str">
        <f t="shared" si="2"/>
        <v/>
      </c>
      <c r="I18" s="128" t="str">
        <f t="shared" si="3"/>
        <v/>
      </c>
      <c r="J18" s="143"/>
      <c r="K18" s="143"/>
      <c r="L18" s="144"/>
      <c r="M18" s="129" t="str">
        <f t="shared" si="4"/>
        <v/>
      </c>
      <c r="N18" s="143"/>
      <c r="O18" s="129" t="str">
        <f t="shared" si="5"/>
        <v/>
      </c>
      <c r="P18" s="129" t="str">
        <f t="shared" si="6"/>
        <v/>
      </c>
      <c r="Q18" s="129" t="str">
        <f t="shared" si="7"/>
        <v/>
      </c>
      <c r="R18" s="145"/>
      <c r="BA18" s="78"/>
      <c r="BB18" s="132" t="s">
        <v>1845</v>
      </c>
      <c r="BC18" s="133"/>
      <c r="BD18" s="132" t="str">
        <f>IF(OR(B18="",BC18=""),"",COUNTIF(BC$7:BC18,"√"))</f>
        <v/>
      </c>
      <c r="BE18" s="134" t="str">
        <f t="shared" si="0"/>
        <v/>
      </c>
      <c r="BF18" s="135" t="str">
        <f t="shared" si="8"/>
        <v/>
      </c>
      <c r="BG18" s="135" t="str">
        <f t="shared" si="8"/>
        <v/>
      </c>
      <c r="BH18" s="136"/>
      <c r="BI18" s="136"/>
      <c r="BJ18" s="136"/>
      <c r="BK18" s="137"/>
      <c r="BM18" s="134" t="str">
        <f>IF(COUNTIF(BM$6:BM17,C18)&gt;0,"",C18)&amp;""</f>
        <v/>
      </c>
      <c r="BN18" s="138">
        <f t="shared" si="9"/>
        <v>0</v>
      </c>
      <c r="BO18" s="132">
        <f t="shared" si="10"/>
        <v>1</v>
      </c>
      <c r="BP18" s="138">
        <f t="shared" si="11"/>
        <v>0</v>
      </c>
      <c r="BQ18" s="132">
        <f t="shared" si="12"/>
        <v>1</v>
      </c>
      <c r="BR18" s="133"/>
      <c r="BS18" s="133"/>
    </row>
    <row r="19" ht="15" customHeight="1" spans="1:72">
      <c r="A19" s="123" t="str">
        <f>IF(B19="","",COUNT(A$6:A18)+1)</f>
        <v/>
      </c>
      <c r="B19" s="139"/>
      <c r="C19" s="141"/>
      <c r="D19" s="140"/>
      <c r="E19" s="200"/>
      <c r="F19" s="142"/>
      <c r="G19" s="127" t="str">
        <f>IFERROR(VLOOKUP(F19,参数表!$H$2:$I$50,2,FALSE),"")</f>
        <v/>
      </c>
      <c r="H19" s="128" t="str">
        <f t="shared" si="2"/>
        <v/>
      </c>
      <c r="I19" s="128" t="str">
        <f t="shared" si="3"/>
        <v/>
      </c>
      <c r="J19" s="143"/>
      <c r="K19" s="143"/>
      <c r="L19" s="144"/>
      <c r="M19" s="129" t="str">
        <f t="shared" si="4"/>
        <v/>
      </c>
      <c r="N19" s="143"/>
      <c r="O19" s="129" t="str">
        <f t="shared" si="5"/>
        <v/>
      </c>
      <c r="P19" s="129" t="str">
        <f t="shared" si="6"/>
        <v/>
      </c>
      <c r="Q19" s="129" t="str">
        <f t="shared" si="7"/>
        <v/>
      </c>
      <c r="R19" s="145"/>
      <c r="BA19" s="78"/>
      <c r="BB19" s="132" t="s">
        <v>1846</v>
      </c>
      <c r="BC19" s="133"/>
      <c r="BD19" s="132" t="str">
        <f>IF(OR(B19="",BC19=""),"",COUNTIF(BC$7:BC19,"√"))</f>
        <v/>
      </c>
      <c r="BE19" s="134" t="str">
        <f t="shared" si="0"/>
        <v/>
      </c>
      <c r="BF19" s="135" t="str">
        <f t="shared" si="8"/>
        <v/>
      </c>
      <c r="BG19" s="135" t="str">
        <f t="shared" si="8"/>
        <v/>
      </c>
      <c r="BH19" s="136"/>
      <c r="BI19" s="136"/>
      <c r="BJ19" s="136"/>
      <c r="BK19" s="137"/>
      <c r="BM19" s="134" t="str">
        <f>IF(COUNTIF(BM$6:BM18,C19)&gt;0,"",C19)&amp;""</f>
        <v/>
      </c>
      <c r="BN19" s="138">
        <f t="shared" si="9"/>
        <v>0</v>
      </c>
      <c r="BO19" s="132">
        <f t="shared" si="10"/>
        <v>1</v>
      </c>
      <c r="BP19" s="138">
        <f t="shared" si="11"/>
        <v>0</v>
      </c>
      <c r="BQ19" s="132">
        <f t="shared" si="12"/>
        <v>1</v>
      </c>
      <c r="BR19" s="133"/>
      <c r="BS19" s="133"/>
    </row>
    <row r="20" ht="15" customHeight="1" spans="1:72">
      <c r="A20" s="123" t="str">
        <f>IF(B20="","",COUNT(A$6:A19)+1)</f>
        <v/>
      </c>
      <c r="B20" s="139"/>
      <c r="C20" s="141"/>
      <c r="D20" s="140"/>
      <c r="E20" s="200"/>
      <c r="F20" s="142"/>
      <c r="G20" s="127" t="str">
        <f>IFERROR(VLOOKUP(F20,参数表!$H$2:$I$50,2,FALSE),"")</f>
        <v/>
      </c>
      <c r="H20" s="128" t="str">
        <f t="shared" si="2"/>
        <v/>
      </c>
      <c r="I20" s="128" t="str">
        <f t="shared" si="3"/>
        <v/>
      </c>
      <c r="J20" s="143"/>
      <c r="K20" s="143"/>
      <c r="L20" s="144"/>
      <c r="M20" s="129" t="str">
        <f t="shared" si="4"/>
        <v/>
      </c>
      <c r="N20" s="143"/>
      <c r="O20" s="129" t="str">
        <f t="shared" si="5"/>
        <v/>
      </c>
      <c r="P20" s="129" t="str">
        <f t="shared" si="6"/>
        <v/>
      </c>
      <c r="Q20" s="129" t="str">
        <f t="shared" si="7"/>
        <v/>
      </c>
      <c r="R20" s="145"/>
      <c r="BA20" s="78"/>
      <c r="BB20" s="132" t="s">
        <v>1847</v>
      </c>
      <c r="BC20" s="133"/>
      <c r="BD20" s="132" t="str">
        <f>IF(OR(B20="",BC20=""),"",COUNTIF(BC$7:BC20,"√"))</f>
        <v/>
      </c>
      <c r="BE20" s="134" t="str">
        <f t="shared" si="0"/>
        <v/>
      </c>
      <c r="BF20" s="135" t="str">
        <f t="shared" si="8"/>
        <v/>
      </c>
      <c r="BG20" s="135" t="str">
        <f t="shared" si="8"/>
        <v/>
      </c>
      <c r="BH20" s="136"/>
      <c r="BI20" s="136"/>
      <c r="BJ20" s="136"/>
      <c r="BK20" s="137"/>
      <c r="BM20" s="134" t="str">
        <f>IF(COUNTIF(BM$6:BM19,C20)&gt;0,"",C20)&amp;""</f>
        <v/>
      </c>
      <c r="BN20" s="138">
        <f t="shared" si="9"/>
        <v>0</v>
      </c>
      <c r="BO20" s="132">
        <f t="shared" si="10"/>
        <v>1</v>
      </c>
      <c r="BP20" s="138">
        <f t="shared" si="11"/>
        <v>0</v>
      </c>
      <c r="BQ20" s="132">
        <f t="shared" si="12"/>
        <v>1</v>
      </c>
      <c r="BR20" s="133"/>
      <c r="BS20" s="133"/>
    </row>
    <row r="21" ht="15" customHeight="1" spans="1:72">
      <c r="A21" s="123" t="str">
        <f>IF(B21="","",COUNT(A$6:A20)+1)</f>
        <v/>
      </c>
      <c r="B21" s="139"/>
      <c r="C21" s="141"/>
      <c r="D21" s="140"/>
      <c r="E21" s="200"/>
      <c r="F21" s="142"/>
      <c r="G21" s="127" t="str">
        <f>IFERROR(VLOOKUP(F21,参数表!$H$2:$I$50,2,FALSE),"")</f>
        <v/>
      </c>
      <c r="H21" s="128" t="str">
        <f t="shared" si="2"/>
        <v/>
      </c>
      <c r="I21" s="128" t="str">
        <f t="shared" si="3"/>
        <v/>
      </c>
      <c r="J21" s="143"/>
      <c r="K21" s="143"/>
      <c r="L21" s="144"/>
      <c r="M21" s="129" t="str">
        <f t="shared" si="4"/>
        <v/>
      </c>
      <c r="N21" s="143"/>
      <c r="O21" s="129" t="str">
        <f t="shared" si="5"/>
        <v/>
      </c>
      <c r="P21" s="129" t="str">
        <f t="shared" si="6"/>
        <v/>
      </c>
      <c r="Q21" s="129" t="str">
        <f t="shared" si="7"/>
        <v/>
      </c>
      <c r="R21" s="145"/>
      <c r="BA21" s="78"/>
      <c r="BB21" s="132" t="s">
        <v>1848</v>
      </c>
      <c r="BC21" s="133"/>
      <c r="BD21" s="132" t="str">
        <f>IF(OR(B21="",BC21=""),"",COUNTIF(BC$7:BC21,"√"))</f>
        <v/>
      </c>
      <c r="BE21" s="134" t="str">
        <f t="shared" si="0"/>
        <v/>
      </c>
      <c r="BF21" s="135" t="str">
        <f t="shared" si="8"/>
        <v/>
      </c>
      <c r="BG21" s="135" t="str">
        <f t="shared" si="8"/>
        <v/>
      </c>
      <c r="BH21" s="136"/>
      <c r="BI21" s="136"/>
      <c r="BJ21" s="136"/>
      <c r="BK21" s="137"/>
      <c r="BM21" s="134" t="str">
        <f>IF(COUNTIF(BM$6:BM20,C21)&gt;0,"",C21)&amp;""</f>
        <v/>
      </c>
      <c r="BN21" s="138">
        <f t="shared" si="9"/>
        <v>0</v>
      </c>
      <c r="BO21" s="132">
        <f t="shared" si="10"/>
        <v>1</v>
      </c>
      <c r="BP21" s="138">
        <f t="shared" si="11"/>
        <v>0</v>
      </c>
      <c r="BQ21" s="132">
        <f t="shared" si="12"/>
        <v>1</v>
      </c>
      <c r="BR21" s="133"/>
      <c r="BS21" s="133"/>
    </row>
    <row r="22" ht="15" customHeight="1" spans="1:72">
      <c r="A22" s="123" t="str">
        <f>IF(B22="","",COUNT(A$6:A21)+1)</f>
        <v/>
      </c>
      <c r="B22" s="139"/>
      <c r="C22" s="141"/>
      <c r="D22" s="140"/>
      <c r="E22" s="200"/>
      <c r="F22" s="142"/>
      <c r="G22" s="127" t="str">
        <f>IFERROR(VLOOKUP(F22,参数表!$H$2:$I$50,2,FALSE),"")</f>
        <v/>
      </c>
      <c r="H22" s="128" t="str">
        <f t="shared" si="2"/>
        <v/>
      </c>
      <c r="I22" s="128" t="str">
        <f t="shared" si="3"/>
        <v/>
      </c>
      <c r="J22" s="143"/>
      <c r="K22" s="143"/>
      <c r="L22" s="144"/>
      <c r="M22" s="129" t="str">
        <f t="shared" si="4"/>
        <v/>
      </c>
      <c r="N22" s="143"/>
      <c r="O22" s="129" t="str">
        <f t="shared" si="5"/>
        <v/>
      </c>
      <c r="P22" s="129" t="str">
        <f t="shared" si="6"/>
        <v/>
      </c>
      <c r="Q22" s="129" t="str">
        <f t="shared" si="7"/>
        <v/>
      </c>
      <c r="R22" s="145"/>
      <c r="BA22" s="78"/>
      <c r="BB22" s="132" t="s">
        <v>1849</v>
      </c>
      <c r="BC22" s="133"/>
      <c r="BD22" s="132" t="str">
        <f>IF(OR(B22="",BC22=""),"",COUNTIF(BC$7:BC22,"√"))</f>
        <v/>
      </c>
      <c r="BE22" s="134" t="str">
        <f t="shared" si="0"/>
        <v/>
      </c>
      <c r="BF22" s="135" t="str">
        <f t="shared" si="8"/>
        <v/>
      </c>
      <c r="BG22" s="135" t="str">
        <f t="shared" si="8"/>
        <v/>
      </c>
      <c r="BH22" s="136"/>
      <c r="BI22" s="136"/>
      <c r="BJ22" s="136"/>
      <c r="BK22" s="137"/>
      <c r="BM22" s="134" t="str">
        <f>IF(COUNTIF(BM$6:BM21,C22)&gt;0,"",C22)&amp;""</f>
        <v/>
      </c>
      <c r="BN22" s="138">
        <f t="shared" si="9"/>
        <v>0</v>
      </c>
      <c r="BO22" s="132">
        <f t="shared" si="10"/>
        <v>1</v>
      </c>
      <c r="BP22" s="138">
        <f t="shared" si="11"/>
        <v>0</v>
      </c>
      <c r="BQ22" s="132">
        <f t="shared" si="12"/>
        <v>1</v>
      </c>
      <c r="BR22" s="133"/>
      <c r="BS22" s="133"/>
    </row>
    <row r="23" ht="15" customHeight="1" spans="1:72">
      <c r="A23" s="123" t="str">
        <f>IF(B23="","",COUNT(A$6:A22)+1)</f>
        <v/>
      </c>
      <c r="B23" s="139"/>
      <c r="C23" s="141"/>
      <c r="D23" s="140"/>
      <c r="E23" s="200"/>
      <c r="F23" s="142"/>
      <c r="G23" s="127" t="str">
        <f>IFERROR(VLOOKUP(F23,参数表!$H$2:$I$50,2,FALSE),"")</f>
        <v/>
      </c>
      <c r="H23" s="128" t="str">
        <f t="shared" si="2"/>
        <v/>
      </c>
      <c r="I23" s="128" t="str">
        <f t="shared" si="3"/>
        <v/>
      </c>
      <c r="J23" s="143"/>
      <c r="K23" s="143"/>
      <c r="L23" s="144"/>
      <c r="M23" s="129" t="str">
        <f t="shared" si="4"/>
        <v/>
      </c>
      <c r="N23" s="143"/>
      <c r="O23" s="129" t="str">
        <f t="shared" si="5"/>
        <v/>
      </c>
      <c r="P23" s="129" t="str">
        <f t="shared" si="6"/>
        <v/>
      </c>
      <c r="Q23" s="129" t="str">
        <f t="shared" si="7"/>
        <v/>
      </c>
      <c r="R23" s="145"/>
      <c r="BA23" s="78"/>
      <c r="BB23" s="132" t="s">
        <v>1850</v>
      </c>
      <c r="BC23" s="133"/>
      <c r="BD23" s="132" t="str">
        <f>IF(OR(B23="",BC23=""),"",COUNTIF(BC$7:BC23,"√"))</f>
        <v/>
      </c>
      <c r="BE23" s="134" t="str">
        <f t="shared" si="0"/>
        <v/>
      </c>
      <c r="BF23" s="135" t="str">
        <f t="shared" si="8"/>
        <v/>
      </c>
      <c r="BG23" s="135" t="str">
        <f t="shared" si="8"/>
        <v/>
      </c>
      <c r="BH23" s="136"/>
      <c r="BI23" s="136"/>
      <c r="BJ23" s="136"/>
      <c r="BK23" s="137"/>
      <c r="BM23" s="134" t="str">
        <f>IF(COUNTIF(BM$6:BM22,C23)&gt;0,"",C23)&amp;""</f>
        <v/>
      </c>
      <c r="BN23" s="138">
        <f t="shared" si="9"/>
        <v>0</v>
      </c>
      <c r="BO23" s="132">
        <f t="shared" si="10"/>
        <v>1</v>
      </c>
      <c r="BP23" s="138">
        <f t="shared" si="11"/>
        <v>0</v>
      </c>
      <c r="BQ23" s="132">
        <f t="shared" si="12"/>
        <v>1</v>
      </c>
      <c r="BR23" s="133"/>
      <c r="BS23" s="133"/>
    </row>
    <row r="24" ht="15" customHeight="1" spans="1:72">
      <c r="A24" s="123" t="str">
        <f>IF(B24="","",COUNT(A$6:A23)+1)</f>
        <v/>
      </c>
      <c r="B24" s="139"/>
      <c r="C24" s="141"/>
      <c r="D24" s="140"/>
      <c r="E24" s="200"/>
      <c r="F24" s="142"/>
      <c r="G24" s="127" t="str">
        <f>IFERROR(VLOOKUP(F24,参数表!$H$2:$I$50,2,FALSE),"")</f>
        <v/>
      </c>
      <c r="H24" s="128" t="str">
        <f t="shared" si="2"/>
        <v/>
      </c>
      <c r="I24" s="128" t="str">
        <f t="shared" si="3"/>
        <v/>
      </c>
      <c r="J24" s="143"/>
      <c r="K24" s="143"/>
      <c r="L24" s="144"/>
      <c r="M24" s="129" t="str">
        <f t="shared" si="4"/>
        <v/>
      </c>
      <c r="N24" s="143"/>
      <c r="O24" s="129" t="str">
        <f t="shared" si="5"/>
        <v/>
      </c>
      <c r="P24" s="129" t="str">
        <f t="shared" si="6"/>
        <v/>
      </c>
      <c r="Q24" s="129" t="str">
        <f t="shared" si="7"/>
        <v/>
      </c>
      <c r="R24" s="145"/>
      <c r="BA24" s="78"/>
      <c r="BB24" s="132" t="s">
        <v>1851</v>
      </c>
      <c r="BC24" s="133"/>
      <c r="BD24" s="132" t="str">
        <f>IF(OR(B24="",BC24=""),"",COUNTIF(BC$7:BC24,"√"))</f>
        <v/>
      </c>
      <c r="BE24" s="134" t="str">
        <f t="shared" si="0"/>
        <v/>
      </c>
      <c r="BF24" s="135" t="str">
        <f t="shared" si="8"/>
        <v/>
      </c>
      <c r="BG24" s="135" t="str">
        <f t="shared" si="8"/>
        <v/>
      </c>
      <c r="BH24" s="136"/>
      <c r="BI24" s="136"/>
      <c r="BJ24" s="136"/>
      <c r="BK24" s="137"/>
      <c r="BM24" s="134" t="str">
        <f>IF(COUNTIF(BM$6:BM23,C24)&gt;0,"",C24)&amp;""</f>
        <v/>
      </c>
      <c r="BN24" s="138">
        <f t="shared" si="9"/>
        <v>0</v>
      </c>
      <c r="BO24" s="132">
        <f t="shared" si="10"/>
        <v>1</v>
      </c>
      <c r="BP24" s="138">
        <f t="shared" si="11"/>
        <v>0</v>
      </c>
      <c r="BQ24" s="132">
        <f t="shared" si="12"/>
        <v>1</v>
      </c>
      <c r="BR24" s="133"/>
      <c r="BS24" s="133"/>
    </row>
    <row r="25" ht="15" customHeight="1" spans="1:72">
      <c r="A25" s="123" t="str">
        <f>IF(B25="","",COUNT(A$6:A24)+1)</f>
        <v/>
      </c>
      <c r="B25" s="139"/>
      <c r="C25" s="141"/>
      <c r="D25" s="140"/>
      <c r="E25" s="200"/>
      <c r="F25" s="142"/>
      <c r="G25" s="127" t="str">
        <f>IFERROR(VLOOKUP(F25,参数表!$H$2:$I$50,2,FALSE),"")</f>
        <v/>
      </c>
      <c r="H25" s="128" t="str">
        <f t="shared" si="2"/>
        <v/>
      </c>
      <c r="I25" s="128" t="str">
        <f t="shared" si="3"/>
        <v/>
      </c>
      <c r="J25" s="143"/>
      <c r="K25" s="143"/>
      <c r="L25" s="144"/>
      <c r="M25" s="129" t="str">
        <f t="shared" si="4"/>
        <v/>
      </c>
      <c r="N25" s="143"/>
      <c r="O25" s="129" t="str">
        <f t="shared" si="5"/>
        <v/>
      </c>
      <c r="P25" s="129" t="str">
        <f t="shared" si="6"/>
        <v/>
      </c>
      <c r="Q25" s="129" t="str">
        <f t="shared" si="7"/>
        <v/>
      </c>
      <c r="R25" s="145"/>
      <c r="BA25" s="78"/>
      <c r="BB25" s="132" t="s">
        <v>1852</v>
      </c>
      <c r="BC25" s="133"/>
      <c r="BD25" s="132" t="str">
        <f>IF(OR(B25="",BC25=""),"",COUNTIF(BC$7:BC25,"√"))</f>
        <v/>
      </c>
      <c r="BE25" s="134" t="str">
        <f t="shared" si="0"/>
        <v/>
      </c>
      <c r="BF25" s="135" t="str">
        <f t="shared" si="8"/>
        <v/>
      </c>
      <c r="BG25" s="135" t="str">
        <f t="shared" si="8"/>
        <v/>
      </c>
      <c r="BH25" s="136"/>
      <c r="BI25" s="136"/>
      <c r="BJ25" s="136"/>
      <c r="BK25" s="137"/>
      <c r="BM25" s="134" t="str">
        <f>IF(COUNTIF(BM$6:BM24,C25)&gt;0,"",C25)&amp;""</f>
        <v/>
      </c>
      <c r="BN25" s="138">
        <f t="shared" si="9"/>
        <v>0</v>
      </c>
      <c r="BO25" s="132">
        <f t="shared" si="10"/>
        <v>1</v>
      </c>
      <c r="BP25" s="138">
        <f t="shared" si="11"/>
        <v>0</v>
      </c>
      <c r="BQ25" s="132">
        <f t="shared" si="12"/>
        <v>1</v>
      </c>
      <c r="BR25" s="133"/>
      <c r="BS25" s="133"/>
    </row>
    <row r="26" ht="15" customHeight="1" spans="1:72">
      <c r="A26" s="123" t="str">
        <f>IF(B26="","",COUNT(A$6:A25)+1)</f>
        <v/>
      </c>
      <c r="B26" s="124"/>
      <c r="C26" s="126"/>
      <c r="D26" s="125"/>
      <c r="E26" s="199"/>
      <c r="F26" s="127"/>
      <c r="G26" s="127" t="str">
        <f>IFERROR(VLOOKUP(F26,参数表!$H$2:$I$50,2,FALSE),"")</f>
        <v/>
      </c>
      <c r="H26" s="128" t="str">
        <f t="shared" si="2"/>
        <v/>
      </c>
      <c r="I26" s="128" t="str">
        <f t="shared" si="3"/>
        <v/>
      </c>
      <c r="J26" s="129"/>
      <c r="K26" s="129"/>
      <c r="L26" s="129"/>
      <c r="M26" s="129" t="str">
        <f t="shared" si="4"/>
        <v/>
      </c>
      <c r="N26" s="129"/>
      <c r="O26" s="129" t="str">
        <f t="shared" si="5"/>
        <v/>
      </c>
      <c r="P26" s="129" t="str">
        <f t="shared" si="6"/>
        <v/>
      </c>
      <c r="Q26" s="129" t="str">
        <f t="shared" si="7"/>
        <v/>
      </c>
      <c r="R26" s="131"/>
      <c r="BA26" s="78"/>
      <c r="BB26" s="132" t="s">
        <v>1853</v>
      </c>
      <c r="BC26" s="133"/>
      <c r="BD26" s="132" t="str">
        <f>IF(OR(B26="",BC26=""),"",COUNTIF(BC$7:BC26,"√"))</f>
        <v/>
      </c>
      <c r="BE26" s="134" t="str">
        <f t="shared" si="0"/>
        <v/>
      </c>
      <c r="BF26" s="135" t="str">
        <f t="shared" si="8"/>
        <v/>
      </c>
      <c r="BG26" s="135" t="str">
        <f t="shared" si="8"/>
        <v/>
      </c>
      <c r="BH26" s="136"/>
      <c r="BI26" s="136"/>
      <c r="BJ26" s="136"/>
      <c r="BK26" s="137"/>
      <c r="BM26" s="134" t="str">
        <f>IF(COUNTIF(BM$6:BM25,C26)&gt;0,"",C26)&amp;""</f>
        <v/>
      </c>
      <c r="BN26" s="138">
        <f t="shared" si="9"/>
        <v>0</v>
      </c>
      <c r="BO26" s="132">
        <f t="shared" si="10"/>
        <v>1</v>
      </c>
      <c r="BP26" s="138">
        <f t="shared" si="11"/>
        <v>0</v>
      </c>
      <c r="BQ26" s="132">
        <f t="shared" si="12"/>
        <v>1</v>
      </c>
      <c r="BR26" s="133"/>
      <c r="BS26" s="133"/>
    </row>
    <row r="27" s="73" customFormat="1" ht="15" customHeight="1" spans="1:72">
      <c r="A27" s="149" t="s">
        <v>1771</v>
      </c>
      <c r="B27" s="149"/>
      <c r="C27" s="151"/>
      <c r="D27" s="356"/>
      <c r="E27" s="151"/>
      <c r="F27" s="151"/>
      <c r="G27" s="151"/>
      <c r="H27" s="151"/>
      <c r="I27" s="151"/>
      <c r="J27" s="152"/>
      <c r="K27" s="1289">
        <f>SUM(K7:K26)</f>
        <v>0</v>
      </c>
      <c r="L27" s="1289"/>
      <c r="M27" s="1289">
        <f>SUM(M7:M26)</f>
        <v>0</v>
      </c>
      <c r="N27" s="1289"/>
      <c r="O27" s="1289">
        <f>SUM(O7:O26)</f>
        <v>0</v>
      </c>
      <c r="P27" s="1289">
        <f t="shared" si="6"/>
        <v>0</v>
      </c>
      <c r="Q27" s="1289" t="str">
        <f t="shared" si="7"/>
        <v/>
      </c>
      <c r="R27" s="1291"/>
      <c r="BH27" s="72"/>
      <c r="BI27" s="72"/>
      <c r="BJ27" s="72"/>
      <c r="BL27" s="111"/>
      <c r="BM27" s="119"/>
      <c r="BN27" s="77"/>
      <c r="BO27" s="77"/>
      <c r="BP27" s="77"/>
      <c r="BQ27" s="119"/>
      <c r="BR27" s="119"/>
      <c r="BS27" s="119"/>
      <c r="BT27" s="111"/>
    </row>
    <row r="28" customHeight="1" spans="1:72">
      <c r="A28" s="102" t="str">
        <f>参数表!F$6</f>
        <v>产权持有单位填表人：贾广东</v>
      </c>
      <c r="B28" s="154"/>
      <c r="C28" s="154"/>
      <c r="D28" s="154"/>
      <c r="E28" s="154"/>
      <c r="F28" s="154"/>
      <c r="G28" s="154"/>
      <c r="H28" s="154"/>
      <c r="I28" s="154"/>
      <c r="J28" s="154"/>
      <c r="K28" s="103"/>
      <c r="L28" s="103"/>
      <c r="M28" s="103"/>
      <c r="N28" s="103"/>
      <c r="O28" s="103" t="str">
        <f>"评估人员："&amp;封面!$G$20</f>
        <v>评估人员：栗祥宁</v>
      </c>
      <c r="P28" s="103"/>
      <c r="Q28" s="103"/>
      <c r="R28" s="103"/>
      <c r="BC28" s="75"/>
      <c r="BD28" s="75"/>
      <c r="BE28" s="75"/>
      <c r="BH28" s="165"/>
      <c r="BI28" s="165"/>
      <c r="BJ28" s="165"/>
    </row>
    <row r="29" customHeight="1" spans="1:72">
      <c r="A29" s="102" t="str">
        <f>参数表!F$7</f>
        <v>填表日期：2025年9月20日</v>
      </c>
      <c r="B29" s="154"/>
      <c r="C29" s="154"/>
      <c r="D29" s="154"/>
      <c r="E29" s="154"/>
      <c r="F29" s="154"/>
      <c r="G29" s="154"/>
      <c r="H29" s="154"/>
      <c r="I29" s="154"/>
      <c r="J29" s="154"/>
      <c r="K29" s="103"/>
      <c r="L29" s="103"/>
      <c r="M29" s="103"/>
      <c r="N29" s="103"/>
      <c r="O29" s="103"/>
      <c r="P29" s="103"/>
      <c r="Q29" s="103"/>
      <c r="R29" s="103"/>
      <c r="BC29" s="75"/>
      <c r="BD29" s="75"/>
      <c r="BE29" s="75"/>
      <c r="BH29" s="165"/>
      <c r="BI29" s="165"/>
      <c r="BJ29" s="165"/>
    </row>
    <row r="30" hidden="1" customHeight="1" outlineLevel="1" spans="1:72">
      <c r="A30" s="157"/>
      <c r="B30" s="154" t="s">
        <v>1673</v>
      </c>
      <c r="C30" s="158"/>
      <c r="D30" s="158"/>
      <c r="E30" s="158"/>
      <c r="F30" s="158"/>
      <c r="G30" s="158"/>
      <c r="H30" s="158"/>
      <c r="I30" s="158"/>
      <c r="J30" s="158"/>
      <c r="K30" s="159">
        <f>SUMIF($BA7:$BA26,$BA30,K7:K26)</f>
        <v>0</v>
      </c>
      <c r="L30" s="202"/>
      <c r="M30" s="159">
        <f>SUMIF($BA7:$BA26,$BA30,M7:M26)</f>
        <v>0</v>
      </c>
      <c r="N30" s="176"/>
      <c r="O30" s="159">
        <f>SUMIF($BA7:$BA26,$BA30,O7:O26)</f>
        <v>0</v>
      </c>
      <c r="BA30" s="161" t="s">
        <v>1674</v>
      </c>
      <c r="BC30" s="75"/>
      <c r="BD30" s="75"/>
      <c r="BE30" s="75"/>
      <c r="BH30" s="95" t="s">
        <v>1675</v>
      </c>
      <c r="BI30" s="95" t="s">
        <v>1675</v>
      </c>
      <c r="BJ30" s="95" t="s">
        <v>1675</v>
      </c>
    </row>
    <row r="31" hidden="1" customHeight="1" outlineLevel="1" spans="1:72">
      <c r="A31" s="157"/>
      <c r="B31" s="154" t="s">
        <v>1676</v>
      </c>
      <c r="C31" s="158"/>
      <c r="D31" s="158"/>
      <c r="E31" s="158"/>
      <c r="F31" s="158"/>
      <c r="G31" s="158"/>
      <c r="H31" s="158"/>
      <c r="I31" s="158"/>
      <c r="J31" s="158"/>
      <c r="K31" s="159">
        <f>K27-K30</f>
        <v>0</v>
      </c>
      <c r="L31" s="202"/>
      <c r="M31" s="159">
        <f>M27-M30</f>
        <v>0</v>
      </c>
      <c r="N31" s="176"/>
      <c r="O31" s="159">
        <f>O27-O30</f>
        <v>0</v>
      </c>
      <c r="BA31" s="161" t="s">
        <v>1677</v>
      </c>
      <c r="BC31" s="75"/>
      <c r="BD31" s="75"/>
      <c r="BE31" s="75"/>
      <c r="BH31" s="95" t="s">
        <v>1678</v>
      </c>
      <c r="BI31" s="95" t="s">
        <v>1678</v>
      </c>
      <c r="BJ31" s="95" t="s">
        <v>1678</v>
      </c>
    </row>
    <row r="32" customHeight="1" collapsed="1" spans="1:72">
      <c r="A32" s="157"/>
      <c r="B32" s="158"/>
      <c r="C32" s="158"/>
      <c r="D32" s="158"/>
      <c r="E32" s="158"/>
      <c r="F32" s="158"/>
      <c r="G32" s="158"/>
      <c r="H32" s="158"/>
      <c r="I32" s="158"/>
      <c r="J32" s="158"/>
      <c r="BC32" s="75"/>
      <c r="BD32" s="75"/>
      <c r="BE32" s="75"/>
      <c r="BH32" s="165"/>
      <c r="BI32" s="165"/>
      <c r="BJ32" s="165"/>
    </row>
    <row r="33" customHeight="1" spans="1:10">
      <c r="A33" s="157"/>
      <c r="B33" s="158"/>
      <c r="C33" s="158"/>
      <c r="D33" s="158"/>
      <c r="E33" s="158"/>
      <c r="F33" s="158"/>
      <c r="G33" s="158"/>
      <c r="H33" s="158"/>
      <c r="I33" s="158"/>
      <c r="J33" s="158"/>
    </row>
    <row r="34" customHeight="1" spans="1:10">
      <c r="A34" s="157"/>
      <c r="B34" s="158"/>
      <c r="C34" s="158"/>
      <c r="D34" s="158"/>
      <c r="E34" s="158"/>
      <c r="F34" s="158"/>
      <c r="G34" s="158"/>
      <c r="H34" s="158"/>
      <c r="I34" s="158"/>
      <c r="J34" s="158"/>
    </row>
    <row r="35" customHeight="1" spans="1:10">
      <c r="A35" s="157"/>
      <c r="B35" s="158"/>
      <c r="C35" s="158"/>
      <c r="D35" s="158"/>
      <c r="E35" s="158"/>
      <c r="F35" s="158"/>
      <c r="G35" s="158"/>
      <c r="H35" s="158"/>
      <c r="I35" s="158"/>
      <c r="J35" s="158"/>
    </row>
    <row r="36" customHeight="1" spans="1:10">
      <c r="A36" s="157"/>
      <c r="B36" s="158"/>
      <c r="C36" s="158"/>
      <c r="D36" s="158"/>
      <c r="E36" s="158"/>
      <c r="F36" s="158"/>
      <c r="G36" s="158"/>
      <c r="H36" s="158"/>
      <c r="I36" s="158"/>
      <c r="J36" s="158"/>
    </row>
    <row r="37" customHeight="1" spans="1:10">
      <c r="A37" s="157"/>
      <c r="B37" s="158"/>
      <c r="C37" s="158"/>
      <c r="D37" s="158"/>
      <c r="E37" s="158"/>
      <c r="F37" s="158"/>
      <c r="G37" s="158"/>
      <c r="H37" s="158"/>
      <c r="I37" s="158"/>
      <c r="J37" s="158"/>
    </row>
  </sheetData>
  <sheetProtection autoFilter="0"/>
  <mergeCells count="6">
    <mergeCell ref="A2:R2"/>
    <mergeCell ref="A3:R3"/>
    <mergeCell ref="BR7:BT7"/>
    <mergeCell ref="BR8:BT8"/>
    <mergeCell ref="BS14:BT14"/>
    <mergeCell ref="A27:B27"/>
  </mergeCells>
  <conditionalFormatting sqref="BF7:BG26">
    <cfRule type="containsText" dxfId="6" priority="1" stopIfTrue="1" operator="between" text="出错">
      <formula>NOT(ISERROR(SEARCH("出错",BF7)))</formula>
    </cfRule>
  </conditionalFormatting>
  <conditionalFormatting sqref="BH7:BJ26">
    <cfRule type="expression" dxfId="5" priority="5" stopIfTrue="1">
      <formula>AND($B7&lt;&gt;"",BH7="")</formula>
    </cfRule>
  </conditionalFormatting>
  <dataValidations count="4">
    <dataValidation type="list" allowBlank="1" showInputMessage="1" showErrorMessage="1" sqref="F7:F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J26">
      <formula1>BH$30:BH$31</formula1>
    </dataValidation>
  </dataValidations>
  <hyperlinks>
    <hyperlink ref="A1" location="索引目录!E9" display="返回索引页"/>
    <hyperlink ref="B1" location="交易性金融资产汇总!B7"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BY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18.1" style="75" customWidth="1"/>
    <col min="3" max="3" width="9" style="75"/>
    <col min="4" max="4" width="9.1" style="75" customWidth="1"/>
    <col min="5" max="5" width="8.2" style="75" customWidth="1"/>
    <col min="6" max="6" width="6.6" style="75" customWidth="1"/>
    <col min="7" max="8" width="4.6" style="75" customWidth="1" outlineLevel="1"/>
    <col min="9" max="10" width="6.1" style="75" customWidth="1" outlineLevel="1"/>
    <col min="11" max="11" width="13.6" style="75" customWidth="1"/>
    <col min="12" max="12" width="13.6" style="75" customWidth="1" outlineLevel="1"/>
    <col min="13" max="13" width="13.6" style="76" customWidth="1" outlineLevel="1"/>
    <col min="14" max="15" width="13.6" style="75" customWidth="1"/>
    <col min="16" max="17" width="8.6" style="75" customWidth="1"/>
    <col min="18" max="18" width="9" style="75"/>
    <col min="19" max="52" width="9" style="75" hidden="1" customWidth="1" outlineLevel="1"/>
    <col min="53" max="53" width="14.7" style="75" customWidth="1" collapsed="1"/>
    <col min="54" max="54" width="6.7" style="75" customWidth="1"/>
    <col min="55" max="56" width="5.1" style="75" customWidth="1"/>
    <col min="57" max="57" width="8.7" style="75" customWidth="1"/>
    <col min="58" max="59" width="9.6" style="165" customWidth="1"/>
    <col min="60" max="62" width="4.7" style="165" customWidth="1"/>
    <col min="63" max="63" width="8.7" style="75" customWidth="1"/>
    <col min="64" max="64" width="10" style="165" customWidth="1"/>
    <col min="65" max="68" width="9" style="75"/>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86" customFormat="1" ht="13.8" spans="1:77">
      <c r="A1" s="1284" t="s">
        <v>1591</v>
      </c>
      <c r="B1" s="1285" t="s">
        <v>1592</v>
      </c>
      <c r="C1" s="82"/>
      <c r="D1" s="82"/>
      <c r="E1" s="82"/>
      <c r="F1" s="82"/>
      <c r="G1" s="82"/>
      <c r="H1" s="82"/>
      <c r="I1" s="82"/>
      <c r="J1" s="82"/>
      <c r="K1" s="82"/>
      <c r="L1" s="82"/>
      <c r="M1" s="205"/>
      <c r="N1" s="82"/>
      <c r="O1" s="82"/>
      <c r="P1" s="82"/>
      <c r="Q1" s="82"/>
      <c r="BA1" s="84" t="str">
        <f>参数表!BA1</f>
        <v>注意：补充特殊事项、作价等均从BA列开始填写</v>
      </c>
      <c r="BB1" s="85"/>
      <c r="BF1" s="82"/>
      <c r="BG1" s="82"/>
      <c r="BH1" s="82"/>
      <c r="BI1" s="82"/>
      <c r="BJ1" s="82"/>
      <c r="BL1" s="82"/>
      <c r="BQ1" s="87"/>
      <c r="BR1" s="88"/>
      <c r="BS1" s="87"/>
      <c r="BT1" s="88"/>
      <c r="BU1" s="88"/>
      <c r="BV1" s="88"/>
      <c r="BW1" s="88"/>
      <c r="BX1" s="88"/>
      <c r="BY1" s="87"/>
    </row>
    <row r="2" s="71" customFormat="1" ht="30" customHeight="1" spans="1:77">
      <c r="A2" s="89" t="s">
        <v>1854</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F2" s="171"/>
      <c r="BG2" s="171"/>
      <c r="BH2" s="171"/>
      <c r="BI2" s="171"/>
      <c r="BJ2" s="171"/>
      <c r="BL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4"/>
      <c r="M3" s="94"/>
      <c r="N3" s="94"/>
      <c r="O3" s="94"/>
      <c r="P3" s="94"/>
      <c r="Q3" s="94"/>
      <c r="R3" s="94"/>
      <c r="BA3" s="90" t="str">
        <f>参数表!BA3</f>
        <v>是否显示评估值：</v>
      </c>
      <c r="BB3" s="90" t="str">
        <f>参数表!BB3</f>
        <v>是</v>
      </c>
      <c r="BS3" s="78"/>
    </row>
    <row r="4" ht="15" customHeight="1" spans="1:77">
      <c r="A4" s="96"/>
      <c r="B4" s="94"/>
      <c r="C4" s="94"/>
      <c r="D4" s="94"/>
      <c r="E4" s="94"/>
      <c r="F4" s="94"/>
      <c r="G4" s="94"/>
      <c r="H4" s="94"/>
      <c r="I4" s="94"/>
      <c r="J4" s="94"/>
      <c r="K4" s="94"/>
      <c r="L4" s="94"/>
      <c r="M4" s="97"/>
      <c r="N4" s="94"/>
      <c r="O4" s="95"/>
      <c r="P4" s="95"/>
      <c r="Q4" s="95"/>
      <c r="R4" s="98" t="str">
        <f>"表"&amp;$BA4</f>
        <v>表3-3-2</v>
      </c>
      <c r="BA4" s="95" t="str">
        <f>交易性金资总!A8</f>
        <v>3-3-2</v>
      </c>
      <c r="BB4" s="100">
        <f>MAX(COUNTA(A7:A26),COUNTA(B7:B26),COUNTA(L7:L26),COUNTA(N7:N26))</f>
        <v>20</v>
      </c>
      <c r="BC4" s="101">
        <f>ROW(A6)+1</f>
        <v>7</v>
      </c>
      <c r="BD4" s="77"/>
      <c r="BE4" s="77"/>
      <c r="BS4" s="78"/>
    </row>
    <row r="5" ht="15" customHeight="1" spans="1:77">
      <c r="A5" s="102" t="str">
        <f>参数表!F3</f>
        <v>产权持有单位:中煤第五建设有限公司</v>
      </c>
      <c r="B5" s="103"/>
      <c r="C5" s="103"/>
      <c r="D5" s="103"/>
      <c r="E5" s="103"/>
      <c r="F5" s="103"/>
      <c r="G5" s="103"/>
      <c r="H5" s="103"/>
      <c r="I5" s="103"/>
      <c r="J5" s="103"/>
      <c r="K5" s="103"/>
      <c r="L5" s="103"/>
      <c r="M5" s="104"/>
      <c r="N5" s="103"/>
      <c r="O5" s="103"/>
      <c r="P5" s="103"/>
      <c r="Q5" s="103"/>
      <c r="R5" s="98" t="s">
        <v>236</v>
      </c>
      <c r="BA5" s="103"/>
      <c r="BB5" s="105" t="str">
        <f ca="1">判断表!C16</f>
        <v>中煤第五建设有限公司第三工程处拟处置实物资产项目\[0000-3基础法明细表.xlsx]交易性-债券</v>
      </c>
      <c r="BC5" s="106">
        <f>IFERROR(SUMIF(BC7:BC26,"√",N7:N26)/N27,0)</f>
        <v>0</v>
      </c>
      <c r="BD5" s="107"/>
      <c r="BE5" s="107"/>
      <c r="BF5" s="284">
        <f>'交易性-股票'!BF5</f>
        <v>0</v>
      </c>
      <c r="BG5" s="284">
        <f>'交易性-股票'!BG5</f>
        <v>0</v>
      </c>
      <c r="BL5" s="95"/>
      <c r="BM5" s="103"/>
      <c r="BQ5" s="111"/>
      <c r="BS5" s="78"/>
      <c r="BW5" s="194"/>
      <c r="BX5" s="194"/>
      <c r="BY5" s="111"/>
    </row>
    <row r="6" s="72" customFormat="1" ht="25.2" customHeight="1" spans="1:77">
      <c r="A6" s="112" t="s">
        <v>305</v>
      </c>
      <c r="B6" s="113" t="s">
        <v>1741</v>
      </c>
      <c r="C6" s="113" t="s">
        <v>1773</v>
      </c>
      <c r="D6" s="113" t="s">
        <v>1774</v>
      </c>
      <c r="E6" s="113" t="s">
        <v>1743</v>
      </c>
      <c r="F6" s="118" t="s">
        <v>1775</v>
      </c>
      <c r="G6" s="114" t="s">
        <v>1631</v>
      </c>
      <c r="H6" s="115" t="s">
        <v>1632</v>
      </c>
      <c r="I6" s="116" t="s">
        <v>1745</v>
      </c>
      <c r="J6" s="115" t="s">
        <v>1633</v>
      </c>
      <c r="K6" s="113" t="s">
        <v>1746</v>
      </c>
      <c r="L6" s="113" t="s">
        <v>1549</v>
      </c>
      <c r="M6" s="117" t="s">
        <v>1634</v>
      </c>
      <c r="N6" s="113" t="s">
        <v>1523</v>
      </c>
      <c r="O6" s="113" t="s">
        <v>1550</v>
      </c>
      <c r="P6" s="113" t="s">
        <v>1525</v>
      </c>
      <c r="Q6" s="113" t="s">
        <v>1551</v>
      </c>
      <c r="R6" s="113" t="s">
        <v>308</v>
      </c>
      <c r="BA6" s="100" t="s">
        <v>1545</v>
      </c>
      <c r="BB6" s="100" t="s">
        <v>1635</v>
      </c>
      <c r="BC6" s="100" t="s">
        <v>1636</v>
      </c>
      <c r="BD6" s="100" t="s">
        <v>1637</v>
      </c>
      <c r="BE6" s="100" t="s">
        <v>1638</v>
      </c>
      <c r="BF6" s="115" t="s">
        <v>1639</v>
      </c>
      <c r="BG6" s="115" t="s">
        <v>1640</v>
      </c>
      <c r="BH6" s="113" t="s">
        <v>1748</v>
      </c>
      <c r="BI6" s="113" t="s">
        <v>1749</v>
      </c>
      <c r="BJ6" s="118" t="s">
        <v>1750</v>
      </c>
      <c r="BK6" s="113" t="s">
        <v>1644</v>
      </c>
      <c r="BL6" s="224" t="s">
        <v>1776</v>
      </c>
      <c r="BM6" s="191" t="s">
        <v>1777</v>
      </c>
      <c r="BN6" s="191" t="s">
        <v>1778</v>
      </c>
      <c r="BO6" s="191" t="s">
        <v>1779</v>
      </c>
      <c r="BP6" s="191" t="s">
        <v>1524</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6"/>
      <c r="D7" s="125"/>
      <c r="E7" s="125"/>
      <c r="F7" s="225"/>
      <c r="G7" s="127"/>
      <c r="H7" s="127" t="str">
        <f>IFERROR(VLOOKUP(G7,参数表!$H$2:$I$50,2,FALSE),"")</f>
        <v/>
      </c>
      <c r="I7" s="128" t="str">
        <f>IFERROR(IF(OR(G7="人民币",G7=""),"",K7/H7),"")</f>
        <v/>
      </c>
      <c r="J7" s="128" t="str">
        <f>IFERROR(IF(OR(G7="人民币",G7=""),"",N7/H7),"")</f>
        <v/>
      </c>
      <c r="K7" s="129"/>
      <c r="L7" s="129"/>
      <c r="M7" s="130"/>
      <c r="N7" s="129" t="str">
        <f>IF(C7="","",L7+M7)</f>
        <v/>
      </c>
      <c r="O7" s="129" t="str">
        <f>IF(C7="","",IF($BB$3="是",N7,""))</f>
        <v/>
      </c>
      <c r="P7" s="129" t="str">
        <f t="shared" ref="P7:P27" si="0">IFERROR(O7-N7,"")</f>
        <v/>
      </c>
      <c r="Q7" s="129" t="str">
        <f t="shared" ref="Q7:Q27" si="1">IFERROR(P7/N7*100,"")</f>
        <v/>
      </c>
      <c r="R7" s="131"/>
      <c r="BA7" s="78"/>
      <c r="BB7" s="132" t="s">
        <v>1855</v>
      </c>
      <c r="BC7" s="133"/>
      <c r="BD7" s="132" t="str">
        <f>IF(OR(B7="",BC7=""),"",COUNTIF(BC$7:BC7,"√"))</f>
        <v/>
      </c>
      <c r="BE7" s="134" t="str">
        <f t="shared" ref="BE7:BE26" si="2">IF(BC7="","",BB7&amp;"︱"&amp;B7&amp;"︱"&amp;TEXT(L7,"#,##0.00"))</f>
        <v/>
      </c>
      <c r="BF7" s="135" t="str">
        <f>IF($B7="","",IF(BF$5=0,"OK","出错"))</f>
        <v/>
      </c>
      <c r="BG7" s="135" t="str">
        <f>IF($B7="","",IF(BG$5=0,"OK","出错"))</f>
        <v/>
      </c>
      <c r="BH7" s="136"/>
      <c r="BI7" s="136"/>
      <c r="BJ7" s="136"/>
      <c r="BK7" s="137"/>
      <c r="BL7" s="165" t="s">
        <v>1677</v>
      </c>
      <c r="BM7" s="227"/>
      <c r="BN7" s="1217">
        <f t="shared" ref="BN7:BN26" si="3">(BB$2-D7)/365</f>
        <v>125.668493150685</v>
      </c>
      <c r="BO7" s="1217">
        <f t="shared" ref="BO7:BO26" si="4">IF(BL7="否",BM7*BN7*F7/100,0)</f>
        <v>0</v>
      </c>
      <c r="BP7" s="1217">
        <f>BM7+BO7</f>
        <v>0</v>
      </c>
      <c r="BR7" s="134" t="str">
        <f>IF(COUNTIF(BR$6:BR6,C7)&gt;0,"",C7)&amp;""</f>
        <v/>
      </c>
      <c r="BS7" s="138">
        <f>SUMIF(C$7:C$26,BR7,N$7:N$26)</f>
        <v>0</v>
      </c>
      <c r="BT7" s="132">
        <f t="shared" ref="BT7" si="5">RANK(BS7,BS$7:BS$26)</f>
        <v>1</v>
      </c>
      <c r="BU7" s="138">
        <f>SUMIF(C$7:C$26,BR7,O$7:O$26)</f>
        <v>0</v>
      </c>
      <c r="BV7" s="132">
        <f>RANK(BU7,BU$7:BU$26)</f>
        <v>1</v>
      </c>
      <c r="BW7" s="138">
        <f>SUM(BS7:BS26)</f>
        <v>0</v>
      </c>
      <c r="BX7" s="138"/>
      <c r="BY7" s="138"/>
    </row>
    <row r="8" ht="15" customHeight="1" spans="1:77">
      <c r="A8" s="123" t="str">
        <f>IF(B8="","",COUNT(A$6:A7)+1)</f>
        <v/>
      </c>
      <c r="B8" s="139"/>
      <c r="C8" s="141"/>
      <c r="D8" s="140"/>
      <c r="E8" s="140"/>
      <c r="F8" s="255"/>
      <c r="G8" s="142"/>
      <c r="H8" s="127" t="str">
        <f>IFERROR(VLOOKUP(G8,参数表!$H$2:$I$50,2,FALSE),"")</f>
        <v/>
      </c>
      <c r="I8" s="128" t="str">
        <f t="shared" ref="I8:I26" si="6">IFERROR(IF(OR(G8="人民币",G8=""),"",K8/H8),"")</f>
        <v/>
      </c>
      <c r="J8" s="128" t="str">
        <f t="shared" ref="J8:J26" si="7">IFERROR(IF(OR(G8="人民币",G8=""),"",N8/H8),"")</f>
        <v/>
      </c>
      <c r="K8" s="143"/>
      <c r="L8" s="143"/>
      <c r="M8" s="144"/>
      <c r="N8" s="129" t="str">
        <f t="shared" ref="N8:N26" si="8">IF(C8="","",L8+M8)</f>
        <v/>
      </c>
      <c r="O8" s="129" t="str">
        <f t="shared" ref="O8:O26" si="9">IF(C8="","",IF($BB$3="是",N8,""))</f>
        <v/>
      </c>
      <c r="P8" s="129" t="str">
        <f t="shared" si="0"/>
        <v/>
      </c>
      <c r="Q8" s="129" t="str">
        <f t="shared" si="1"/>
        <v/>
      </c>
      <c r="R8" s="145"/>
      <c r="BA8" s="78"/>
      <c r="BB8" s="132" t="s">
        <v>1856</v>
      </c>
      <c r="BC8" s="133"/>
      <c r="BD8" s="132" t="str">
        <f>IF(OR(B8="",BC8=""),"",COUNTIF(BC$7:BC8,"√"))</f>
        <v/>
      </c>
      <c r="BE8" s="134" t="str">
        <f t="shared" si="2"/>
        <v/>
      </c>
      <c r="BF8" s="135" t="str">
        <f t="shared" ref="BF8:BG26" si="10">IF($B8="","",IF(BF$5=0,"OK","出错"))</f>
        <v/>
      </c>
      <c r="BG8" s="135" t="str">
        <f t="shared" si="10"/>
        <v/>
      </c>
      <c r="BH8" s="136"/>
      <c r="BI8" s="136"/>
      <c r="BJ8" s="136"/>
      <c r="BK8" s="137"/>
      <c r="BL8" s="165" t="s">
        <v>1677</v>
      </c>
      <c r="BM8" s="227"/>
      <c r="BN8" s="1217">
        <f t="shared" si="3"/>
        <v>125.668493150685</v>
      </c>
      <c r="BO8" s="1217">
        <f t="shared" si="4"/>
        <v>0</v>
      </c>
      <c r="BP8" s="1217">
        <f t="shared" ref="BP8:BP26" si="11">BM8+BO8</f>
        <v>0</v>
      </c>
      <c r="BR8" s="134" t="str">
        <f>IF(COUNTIF(BR$6:BR7,C8)&gt;0,"",C8)&amp;""</f>
        <v/>
      </c>
      <c r="BS8" s="138">
        <f t="shared" ref="BS8:BS26" si="12">SUMIF(C$7:C$26,BR8,N$7:N$26)</f>
        <v>0</v>
      </c>
      <c r="BT8" s="132">
        <f t="shared" ref="BT8:BT26" si="13">RANK(BS8,BS$7:BS$26)</f>
        <v>1</v>
      </c>
      <c r="BU8" s="138">
        <f t="shared" ref="BU8:BU26" si="14">SUMIF(C$7:C$26,BR8,O$7:O$26)</f>
        <v>0</v>
      </c>
      <c r="BV8" s="132">
        <f t="shared" ref="BV8:BV26" si="15">RANK(BU8,BU$7:BU$26)</f>
        <v>1</v>
      </c>
      <c r="BW8" s="138">
        <f>SUM(BU7:BU26)</f>
        <v>0</v>
      </c>
      <c r="BX8" s="138"/>
      <c r="BY8" s="138"/>
    </row>
    <row r="9" ht="15" customHeight="1" spans="1:77">
      <c r="A9" s="123" t="str">
        <f>IF(B9="","",COUNT(A$6:A8)+1)</f>
        <v/>
      </c>
      <c r="B9" s="139"/>
      <c r="C9" s="141"/>
      <c r="D9" s="140"/>
      <c r="E9" s="140"/>
      <c r="F9" s="255"/>
      <c r="G9" s="142"/>
      <c r="H9" s="127" t="str">
        <f>IFERROR(VLOOKUP(G9,参数表!$H$2:$I$50,2,FALSE),"")</f>
        <v/>
      </c>
      <c r="I9" s="128" t="str">
        <f t="shared" si="6"/>
        <v/>
      </c>
      <c r="J9" s="128" t="str">
        <f t="shared" si="7"/>
        <v/>
      </c>
      <c r="K9" s="143"/>
      <c r="L9" s="143"/>
      <c r="M9" s="144"/>
      <c r="N9" s="129" t="str">
        <f t="shared" si="8"/>
        <v/>
      </c>
      <c r="O9" s="129" t="str">
        <f t="shared" si="9"/>
        <v/>
      </c>
      <c r="P9" s="129" t="str">
        <f t="shared" si="0"/>
        <v/>
      </c>
      <c r="Q9" s="129" t="str">
        <f t="shared" si="1"/>
        <v/>
      </c>
      <c r="R9" s="145"/>
      <c r="BA9" s="78"/>
      <c r="BB9" s="132" t="s">
        <v>1857</v>
      </c>
      <c r="BC9" s="133"/>
      <c r="BD9" s="132" t="str">
        <f>IF(OR(B9="",BC9=""),"",COUNTIF(BC$7:BC9,"√"))</f>
        <v/>
      </c>
      <c r="BE9" s="134" t="str">
        <f t="shared" si="2"/>
        <v/>
      </c>
      <c r="BF9" s="135" t="str">
        <f t="shared" si="10"/>
        <v/>
      </c>
      <c r="BG9" s="135" t="str">
        <f t="shared" si="10"/>
        <v/>
      </c>
      <c r="BH9" s="136"/>
      <c r="BI9" s="136"/>
      <c r="BJ9" s="136"/>
      <c r="BK9" s="137"/>
      <c r="BL9" s="165" t="s">
        <v>1677</v>
      </c>
      <c r="BM9" s="227"/>
      <c r="BN9" s="1217">
        <f t="shared" si="3"/>
        <v>125.668493150685</v>
      </c>
      <c r="BO9" s="1217">
        <f t="shared" si="4"/>
        <v>0</v>
      </c>
      <c r="BP9" s="1217">
        <f t="shared" si="11"/>
        <v>0</v>
      </c>
      <c r="BR9" s="134" t="str">
        <f>IF(COUNTIF(BR$6:BR8,C9)&gt;0,"",C9)&amp;""</f>
        <v/>
      </c>
      <c r="BS9" s="138">
        <f t="shared" si="12"/>
        <v>0</v>
      </c>
      <c r="BT9" s="132">
        <f t="shared" si="13"/>
        <v>1</v>
      </c>
      <c r="BU9" s="138">
        <f t="shared" si="14"/>
        <v>0</v>
      </c>
      <c r="BV9" s="132">
        <f t="shared" si="15"/>
        <v>1</v>
      </c>
      <c r="BW9" s="132">
        <v>1</v>
      </c>
      <c r="BX9" s="134" t="str">
        <f>IFERROR(INDEX(BR$7:BR$26,MATCH(BW9,IF(BW$7=0,BV$7:BV$26,BT$7:BT$26),0))&amp;"","")</f>
        <v/>
      </c>
      <c r="BY9" s="146" t="str">
        <f>IF(BX10="","",IF(BX11="","和","、"))</f>
        <v/>
      </c>
    </row>
    <row r="10" ht="15" customHeight="1" spans="1:77">
      <c r="A10" s="123" t="str">
        <f>IF(B10="","",COUNT(A$6:A9)+1)</f>
        <v/>
      </c>
      <c r="B10" s="139"/>
      <c r="C10" s="141"/>
      <c r="D10" s="140"/>
      <c r="E10" s="140"/>
      <c r="F10" s="255"/>
      <c r="G10" s="142"/>
      <c r="H10" s="127" t="str">
        <f>IFERROR(VLOOKUP(G10,参数表!$H$2:$I$50,2,FALSE),"")</f>
        <v/>
      </c>
      <c r="I10" s="128" t="str">
        <f t="shared" si="6"/>
        <v/>
      </c>
      <c r="J10" s="128" t="str">
        <f t="shared" si="7"/>
        <v/>
      </c>
      <c r="K10" s="143"/>
      <c r="L10" s="143"/>
      <c r="M10" s="144"/>
      <c r="N10" s="129" t="str">
        <f t="shared" si="8"/>
        <v/>
      </c>
      <c r="O10" s="129" t="str">
        <f t="shared" si="9"/>
        <v/>
      </c>
      <c r="P10" s="129" t="str">
        <f t="shared" si="0"/>
        <v/>
      </c>
      <c r="Q10" s="129" t="str">
        <f t="shared" si="1"/>
        <v/>
      </c>
      <c r="R10" s="145"/>
      <c r="BA10" s="78"/>
      <c r="BB10" s="132" t="s">
        <v>1858</v>
      </c>
      <c r="BC10" s="133"/>
      <c r="BD10" s="132" t="str">
        <f>IF(OR(B10="",BC10=""),"",COUNTIF(BC$7:BC10,"√"))</f>
        <v/>
      </c>
      <c r="BE10" s="134" t="str">
        <f t="shared" si="2"/>
        <v/>
      </c>
      <c r="BF10" s="135" t="str">
        <f t="shared" si="10"/>
        <v/>
      </c>
      <c r="BG10" s="135" t="str">
        <f t="shared" si="10"/>
        <v/>
      </c>
      <c r="BH10" s="136"/>
      <c r="BI10" s="136"/>
      <c r="BJ10" s="136"/>
      <c r="BK10" s="137"/>
      <c r="BL10" s="165" t="s">
        <v>1677</v>
      </c>
      <c r="BM10" s="227"/>
      <c r="BN10" s="1217">
        <f t="shared" si="3"/>
        <v>125.668493150685</v>
      </c>
      <c r="BO10" s="1217">
        <f t="shared" si="4"/>
        <v>0</v>
      </c>
      <c r="BP10" s="1217">
        <f t="shared" si="11"/>
        <v>0</v>
      </c>
      <c r="BR10" s="134" t="str">
        <f>IF(COUNTIF(BR$6:BR9,C10)&gt;0,"",C10)&amp;""</f>
        <v/>
      </c>
      <c r="BS10" s="138">
        <f t="shared" si="12"/>
        <v>0</v>
      </c>
      <c r="BT10" s="132">
        <f t="shared" si="13"/>
        <v>1</v>
      </c>
      <c r="BU10" s="138">
        <f t="shared" si="14"/>
        <v>0</v>
      </c>
      <c r="BV10" s="132">
        <f t="shared" si="15"/>
        <v>1</v>
      </c>
      <c r="BW10" s="132">
        <v>2</v>
      </c>
      <c r="BX10" s="134" t="str">
        <f t="shared" ref="BX10:BX13" si="16">IFERROR(INDEX(BR$7:BR$26,MATCH(BW10,IF(BW$7=0,BV$7:BV$26,BT$7:BT$26),0))&amp;"","")</f>
        <v/>
      </c>
      <c r="BY10" s="146" t="str">
        <f t="shared" ref="BY10:BY11" si="17">IF(BX11="","",IF(BX12="","和","、"))</f>
        <v/>
      </c>
    </row>
    <row r="11" ht="15" customHeight="1" spans="1:77">
      <c r="A11" s="123" t="str">
        <f>IF(B11="","",COUNT(A$6:A10)+1)</f>
        <v/>
      </c>
      <c r="B11" s="139"/>
      <c r="C11" s="141"/>
      <c r="D11" s="140"/>
      <c r="E11" s="140"/>
      <c r="F11" s="255"/>
      <c r="G11" s="142"/>
      <c r="H11" s="127" t="str">
        <f>IFERROR(VLOOKUP(G11,参数表!$H$2:$I$50,2,FALSE),"")</f>
        <v/>
      </c>
      <c r="I11" s="128" t="str">
        <f t="shared" si="6"/>
        <v/>
      </c>
      <c r="J11" s="128" t="str">
        <f t="shared" si="7"/>
        <v/>
      </c>
      <c r="K11" s="143"/>
      <c r="L11" s="143"/>
      <c r="M11" s="144"/>
      <c r="N11" s="129" t="str">
        <f t="shared" si="8"/>
        <v/>
      </c>
      <c r="O11" s="129" t="str">
        <f t="shared" si="9"/>
        <v/>
      </c>
      <c r="P11" s="129" t="str">
        <f t="shared" si="0"/>
        <v/>
      </c>
      <c r="Q11" s="129" t="str">
        <f t="shared" si="1"/>
        <v/>
      </c>
      <c r="R11" s="145"/>
      <c r="BA11" s="78"/>
      <c r="BB11" s="132" t="s">
        <v>1859</v>
      </c>
      <c r="BC11" s="133"/>
      <c r="BD11" s="132" t="str">
        <f>IF(OR(B11="",BC11=""),"",COUNTIF(BC$7:BC11,"√"))</f>
        <v/>
      </c>
      <c r="BE11" s="134" t="str">
        <f t="shared" si="2"/>
        <v/>
      </c>
      <c r="BF11" s="135" t="str">
        <f t="shared" si="10"/>
        <v/>
      </c>
      <c r="BG11" s="135" t="str">
        <f t="shared" si="10"/>
        <v/>
      </c>
      <c r="BH11" s="136"/>
      <c r="BI11" s="136"/>
      <c r="BJ11" s="136"/>
      <c r="BK11" s="137"/>
      <c r="BL11" s="165" t="s">
        <v>1677</v>
      </c>
      <c r="BM11" s="227"/>
      <c r="BN11" s="1217">
        <f t="shared" si="3"/>
        <v>125.668493150685</v>
      </c>
      <c r="BO11" s="1217">
        <f t="shared" si="4"/>
        <v>0</v>
      </c>
      <c r="BP11" s="1217">
        <f t="shared" si="11"/>
        <v>0</v>
      </c>
      <c r="BR11" s="134" t="str">
        <f>IF(COUNTIF(BR$6:BR10,C11)&gt;0,"",C11)&amp;""</f>
        <v/>
      </c>
      <c r="BS11" s="138">
        <f t="shared" si="12"/>
        <v>0</v>
      </c>
      <c r="BT11" s="132">
        <f t="shared" si="13"/>
        <v>1</v>
      </c>
      <c r="BU11" s="138">
        <f t="shared" si="14"/>
        <v>0</v>
      </c>
      <c r="BV11" s="132">
        <f t="shared" si="15"/>
        <v>1</v>
      </c>
      <c r="BW11" s="132">
        <v>3</v>
      </c>
      <c r="BX11" s="134" t="str">
        <f t="shared" si="16"/>
        <v/>
      </c>
      <c r="BY11" s="146" t="str">
        <f t="shared" si="17"/>
        <v/>
      </c>
    </row>
    <row r="12" ht="15" customHeight="1" spans="1:77">
      <c r="A12" s="123" t="str">
        <f>IF(B12="","",COUNT(A$6:A11)+1)</f>
        <v/>
      </c>
      <c r="B12" s="139"/>
      <c r="C12" s="141"/>
      <c r="D12" s="140"/>
      <c r="E12" s="140"/>
      <c r="F12" s="255"/>
      <c r="G12" s="142"/>
      <c r="H12" s="127" t="str">
        <f>IFERROR(VLOOKUP(G12,参数表!$H$2:$I$50,2,FALSE),"")</f>
        <v/>
      </c>
      <c r="I12" s="128" t="str">
        <f t="shared" si="6"/>
        <v/>
      </c>
      <c r="J12" s="128" t="str">
        <f t="shared" si="7"/>
        <v/>
      </c>
      <c r="K12" s="143"/>
      <c r="L12" s="143"/>
      <c r="M12" s="144"/>
      <c r="N12" s="129" t="str">
        <f t="shared" si="8"/>
        <v/>
      </c>
      <c r="O12" s="129" t="str">
        <f t="shared" si="9"/>
        <v/>
      </c>
      <c r="P12" s="129" t="str">
        <f t="shared" si="0"/>
        <v/>
      </c>
      <c r="Q12" s="129" t="str">
        <f t="shared" si="1"/>
        <v/>
      </c>
      <c r="R12" s="145"/>
      <c r="BA12" s="78"/>
      <c r="BB12" s="132" t="s">
        <v>1860</v>
      </c>
      <c r="BC12" s="133"/>
      <c r="BD12" s="132" t="str">
        <f>IF(OR(B12="",BC12=""),"",COUNTIF(BC$7:BC12,"√"))</f>
        <v/>
      </c>
      <c r="BE12" s="134" t="str">
        <f t="shared" si="2"/>
        <v/>
      </c>
      <c r="BF12" s="135" t="str">
        <f t="shared" si="10"/>
        <v/>
      </c>
      <c r="BG12" s="135" t="str">
        <f t="shared" si="10"/>
        <v/>
      </c>
      <c r="BH12" s="136"/>
      <c r="BI12" s="136"/>
      <c r="BJ12" s="136"/>
      <c r="BK12" s="137"/>
      <c r="BL12" s="165" t="s">
        <v>1677</v>
      </c>
      <c r="BM12" s="227"/>
      <c r="BN12" s="1217">
        <f t="shared" si="3"/>
        <v>125.668493150685</v>
      </c>
      <c r="BO12" s="1217">
        <f t="shared" si="4"/>
        <v>0</v>
      </c>
      <c r="BP12" s="1217">
        <f t="shared" si="11"/>
        <v>0</v>
      </c>
      <c r="BR12" s="134" t="str">
        <f>IF(COUNTIF(BR$6:BR11,C12)&gt;0,"",C12)&amp;""</f>
        <v/>
      </c>
      <c r="BS12" s="138">
        <f t="shared" si="12"/>
        <v>0</v>
      </c>
      <c r="BT12" s="132">
        <f t="shared" si="13"/>
        <v>1</v>
      </c>
      <c r="BU12" s="138">
        <f t="shared" si="14"/>
        <v>0</v>
      </c>
      <c r="BV12" s="132">
        <f t="shared" si="15"/>
        <v>1</v>
      </c>
      <c r="BW12" s="132">
        <v>4</v>
      </c>
      <c r="BX12" s="134" t="str">
        <f t="shared" si="16"/>
        <v/>
      </c>
      <c r="BY12" s="146" t="str">
        <f>IF(BX13="","","和")</f>
        <v/>
      </c>
    </row>
    <row r="13" ht="15" customHeight="1" spans="1:77">
      <c r="A13" s="123" t="str">
        <f>IF(B13="","",COUNT(A$6:A12)+1)</f>
        <v/>
      </c>
      <c r="B13" s="139"/>
      <c r="C13" s="141"/>
      <c r="D13" s="140"/>
      <c r="E13" s="140"/>
      <c r="F13" s="255"/>
      <c r="G13" s="142"/>
      <c r="H13" s="127" t="str">
        <f>IFERROR(VLOOKUP(G13,参数表!$H$2:$I$50,2,FALSE),"")</f>
        <v/>
      </c>
      <c r="I13" s="128" t="str">
        <f t="shared" si="6"/>
        <v/>
      </c>
      <c r="J13" s="128" t="str">
        <f t="shared" si="7"/>
        <v/>
      </c>
      <c r="K13" s="143"/>
      <c r="L13" s="143"/>
      <c r="M13" s="144"/>
      <c r="N13" s="129" t="str">
        <f t="shared" si="8"/>
        <v/>
      </c>
      <c r="O13" s="129" t="str">
        <f t="shared" si="9"/>
        <v/>
      </c>
      <c r="P13" s="129" t="str">
        <f t="shared" si="0"/>
        <v/>
      </c>
      <c r="Q13" s="129" t="str">
        <f t="shared" si="1"/>
        <v/>
      </c>
      <c r="R13" s="145"/>
      <c r="BA13" s="78"/>
      <c r="BB13" s="132" t="s">
        <v>1861</v>
      </c>
      <c r="BC13" s="133"/>
      <c r="BD13" s="132" t="str">
        <f>IF(OR(B13="",BC13=""),"",COUNTIF(BC$7:BC13,"√"))</f>
        <v/>
      </c>
      <c r="BE13" s="134" t="str">
        <f t="shared" si="2"/>
        <v/>
      </c>
      <c r="BF13" s="135" t="str">
        <f t="shared" si="10"/>
        <v/>
      </c>
      <c r="BG13" s="135" t="str">
        <f t="shared" si="10"/>
        <v/>
      </c>
      <c r="BH13" s="136"/>
      <c r="BI13" s="136"/>
      <c r="BJ13" s="136"/>
      <c r="BK13" s="137"/>
      <c r="BL13" s="165" t="s">
        <v>1677</v>
      </c>
      <c r="BM13" s="227"/>
      <c r="BN13" s="1217">
        <f t="shared" si="3"/>
        <v>125.668493150685</v>
      </c>
      <c r="BO13" s="1217">
        <f t="shared" si="4"/>
        <v>0</v>
      </c>
      <c r="BP13" s="1217">
        <f t="shared" si="11"/>
        <v>0</v>
      </c>
      <c r="BR13" s="134" t="str">
        <f>IF(COUNTIF(BR$6:BR12,C13)&gt;0,"",C13)&amp;""</f>
        <v/>
      </c>
      <c r="BS13" s="138">
        <f t="shared" si="12"/>
        <v>0</v>
      </c>
      <c r="BT13" s="132">
        <f t="shared" si="13"/>
        <v>1</v>
      </c>
      <c r="BU13" s="138">
        <f t="shared" si="14"/>
        <v>0</v>
      </c>
      <c r="BV13" s="132">
        <f t="shared" si="15"/>
        <v>1</v>
      </c>
      <c r="BW13" s="132">
        <v>5</v>
      </c>
      <c r="BX13" s="134" t="str">
        <f t="shared" si="16"/>
        <v/>
      </c>
      <c r="BY13" s="146"/>
    </row>
    <row r="14" ht="15" customHeight="1" spans="1:77">
      <c r="A14" s="123" t="str">
        <f>IF(B14="","",COUNT(A$6:A13)+1)</f>
        <v/>
      </c>
      <c r="B14" s="139"/>
      <c r="C14" s="141"/>
      <c r="D14" s="140"/>
      <c r="E14" s="140"/>
      <c r="F14" s="255"/>
      <c r="G14" s="142"/>
      <c r="H14" s="127" t="str">
        <f>IFERROR(VLOOKUP(G14,参数表!$H$2:$I$50,2,FALSE),"")</f>
        <v/>
      </c>
      <c r="I14" s="128" t="str">
        <f t="shared" si="6"/>
        <v/>
      </c>
      <c r="J14" s="128" t="str">
        <f t="shared" si="7"/>
        <v/>
      </c>
      <c r="K14" s="143"/>
      <c r="L14" s="143"/>
      <c r="M14" s="144"/>
      <c r="N14" s="129" t="str">
        <f t="shared" si="8"/>
        <v/>
      </c>
      <c r="O14" s="129" t="str">
        <f t="shared" si="9"/>
        <v/>
      </c>
      <c r="P14" s="129" t="str">
        <f t="shared" si="0"/>
        <v/>
      </c>
      <c r="Q14" s="129" t="str">
        <f t="shared" si="1"/>
        <v/>
      </c>
      <c r="R14" s="145"/>
      <c r="BA14" s="78"/>
      <c r="BB14" s="132" t="s">
        <v>1862</v>
      </c>
      <c r="BC14" s="133"/>
      <c r="BD14" s="132" t="str">
        <f>IF(OR(B14="",BC14=""),"",COUNTIF(BC$7:BC14,"√"))</f>
        <v/>
      </c>
      <c r="BE14" s="134" t="str">
        <f t="shared" si="2"/>
        <v/>
      </c>
      <c r="BF14" s="135" t="str">
        <f t="shared" si="10"/>
        <v/>
      </c>
      <c r="BG14" s="135" t="str">
        <f t="shared" si="10"/>
        <v/>
      </c>
      <c r="BH14" s="136"/>
      <c r="BI14" s="136"/>
      <c r="BJ14" s="136"/>
      <c r="BK14" s="137"/>
      <c r="BL14" s="165" t="s">
        <v>1677</v>
      </c>
      <c r="BM14" s="227"/>
      <c r="BN14" s="1217">
        <f t="shared" si="3"/>
        <v>125.668493150685</v>
      </c>
      <c r="BO14" s="1217">
        <f t="shared" si="4"/>
        <v>0</v>
      </c>
      <c r="BP14" s="1217">
        <f t="shared" si="11"/>
        <v>0</v>
      </c>
      <c r="BR14" s="134" t="str">
        <f>IF(COUNTIF(BR$6:BR13,C14)&gt;0,"",C14)&amp;""</f>
        <v/>
      </c>
      <c r="BS14" s="138">
        <f t="shared" si="12"/>
        <v>0</v>
      </c>
      <c r="BT14" s="132">
        <f t="shared" si="13"/>
        <v>1</v>
      </c>
      <c r="BU14" s="138">
        <f t="shared" si="14"/>
        <v>0</v>
      </c>
      <c r="BV14" s="132">
        <f t="shared" si="15"/>
        <v>1</v>
      </c>
      <c r="BW14" s="147" t="s">
        <v>1659</v>
      </c>
      <c r="BX14" s="132" t="str">
        <f>CONCATENATE(BX9,BY9,BX10,BY10,BX11,BY11,BX12,BY12,BX13)</f>
        <v/>
      </c>
      <c r="BY14" s="132"/>
    </row>
    <row r="15" ht="15" customHeight="1" spans="1:77">
      <c r="A15" s="123" t="str">
        <f>IF(B15="","",COUNT(A$6:A14)+1)</f>
        <v/>
      </c>
      <c r="B15" s="139"/>
      <c r="C15" s="141"/>
      <c r="D15" s="140"/>
      <c r="E15" s="140"/>
      <c r="F15" s="255"/>
      <c r="G15" s="142"/>
      <c r="H15" s="127" t="str">
        <f>IFERROR(VLOOKUP(G15,参数表!$H$2:$I$50,2,FALSE),"")</f>
        <v/>
      </c>
      <c r="I15" s="128" t="str">
        <f t="shared" si="6"/>
        <v/>
      </c>
      <c r="J15" s="128" t="str">
        <f t="shared" si="7"/>
        <v/>
      </c>
      <c r="K15" s="143"/>
      <c r="L15" s="143"/>
      <c r="M15" s="144"/>
      <c r="N15" s="129" t="str">
        <f t="shared" si="8"/>
        <v/>
      </c>
      <c r="O15" s="129" t="str">
        <f t="shared" si="9"/>
        <v/>
      </c>
      <c r="P15" s="129" t="str">
        <f t="shared" si="0"/>
        <v/>
      </c>
      <c r="Q15" s="129" t="str">
        <f t="shared" si="1"/>
        <v/>
      </c>
      <c r="R15" s="145"/>
      <c r="BA15" s="78"/>
      <c r="BB15" s="132" t="s">
        <v>1863</v>
      </c>
      <c r="BC15" s="133"/>
      <c r="BD15" s="132" t="str">
        <f>IF(OR(B15="",BC15=""),"",COUNTIF(BC$7:BC15,"√"))</f>
        <v/>
      </c>
      <c r="BE15" s="134" t="str">
        <f t="shared" si="2"/>
        <v/>
      </c>
      <c r="BF15" s="135" t="str">
        <f t="shared" si="10"/>
        <v/>
      </c>
      <c r="BG15" s="135" t="str">
        <f t="shared" si="10"/>
        <v/>
      </c>
      <c r="BH15" s="136"/>
      <c r="BI15" s="136"/>
      <c r="BJ15" s="136"/>
      <c r="BK15" s="137"/>
      <c r="BL15" s="165" t="s">
        <v>1677</v>
      </c>
      <c r="BM15" s="227"/>
      <c r="BN15" s="1217">
        <f t="shared" si="3"/>
        <v>125.668493150685</v>
      </c>
      <c r="BO15" s="1217">
        <f t="shared" si="4"/>
        <v>0</v>
      </c>
      <c r="BP15" s="1217">
        <f t="shared" si="11"/>
        <v>0</v>
      </c>
      <c r="BR15" s="134" t="str">
        <f>IF(COUNTIF(BR$6:BR14,C15)&gt;0,"",C15)&amp;""</f>
        <v/>
      </c>
      <c r="BS15" s="138">
        <f t="shared" si="12"/>
        <v>0</v>
      </c>
      <c r="BT15" s="132">
        <f t="shared" si="13"/>
        <v>1</v>
      </c>
      <c r="BU15" s="138">
        <f t="shared" si="14"/>
        <v>0</v>
      </c>
      <c r="BV15" s="132">
        <f t="shared" si="15"/>
        <v>1</v>
      </c>
      <c r="BW15" s="133"/>
      <c r="BX15" s="133"/>
    </row>
    <row r="16" ht="15" customHeight="1" spans="1:77">
      <c r="A16" s="123" t="str">
        <f>IF(B16="","",COUNT(A$6:A15)+1)</f>
        <v/>
      </c>
      <c r="B16" s="139"/>
      <c r="C16" s="141"/>
      <c r="D16" s="140"/>
      <c r="E16" s="140"/>
      <c r="F16" s="255"/>
      <c r="G16" s="142"/>
      <c r="H16" s="127" t="str">
        <f>IFERROR(VLOOKUP(G16,参数表!$H$2:$I$50,2,FALSE),"")</f>
        <v/>
      </c>
      <c r="I16" s="128" t="str">
        <f t="shared" si="6"/>
        <v/>
      </c>
      <c r="J16" s="128" t="str">
        <f t="shared" si="7"/>
        <v/>
      </c>
      <c r="K16" s="143"/>
      <c r="L16" s="143"/>
      <c r="M16" s="144"/>
      <c r="N16" s="129" t="str">
        <f t="shared" si="8"/>
        <v/>
      </c>
      <c r="O16" s="129" t="str">
        <f t="shared" si="9"/>
        <v/>
      </c>
      <c r="P16" s="129" t="str">
        <f t="shared" si="0"/>
        <v/>
      </c>
      <c r="Q16" s="129" t="str">
        <f t="shared" si="1"/>
        <v/>
      </c>
      <c r="R16" s="145"/>
      <c r="BA16" s="78"/>
      <c r="BB16" s="132" t="s">
        <v>1864</v>
      </c>
      <c r="BC16" s="133"/>
      <c r="BD16" s="132" t="str">
        <f>IF(OR(B16="",BC16=""),"",COUNTIF(BC$7:BC16,"√"))</f>
        <v/>
      </c>
      <c r="BE16" s="134" t="str">
        <f t="shared" si="2"/>
        <v/>
      </c>
      <c r="BF16" s="135" t="str">
        <f t="shared" si="10"/>
        <v/>
      </c>
      <c r="BG16" s="135" t="str">
        <f t="shared" si="10"/>
        <v/>
      </c>
      <c r="BH16" s="136"/>
      <c r="BI16" s="136"/>
      <c r="BJ16" s="136"/>
      <c r="BK16" s="137"/>
      <c r="BL16" s="165" t="s">
        <v>1677</v>
      </c>
      <c r="BM16" s="227"/>
      <c r="BN16" s="1217">
        <f t="shared" si="3"/>
        <v>125.668493150685</v>
      </c>
      <c r="BO16" s="1217">
        <f t="shared" si="4"/>
        <v>0</v>
      </c>
      <c r="BP16" s="1217">
        <f t="shared" si="11"/>
        <v>0</v>
      </c>
      <c r="BR16" s="134" t="str">
        <f>IF(COUNTIF(BR$6:BR15,C16)&gt;0,"",C16)&amp;""</f>
        <v/>
      </c>
      <c r="BS16" s="138">
        <f t="shared" si="12"/>
        <v>0</v>
      </c>
      <c r="BT16" s="132">
        <f t="shared" si="13"/>
        <v>1</v>
      </c>
      <c r="BU16" s="138">
        <f t="shared" si="14"/>
        <v>0</v>
      </c>
      <c r="BV16" s="132">
        <f t="shared" si="15"/>
        <v>1</v>
      </c>
      <c r="BW16" s="133"/>
      <c r="BX16" s="148"/>
    </row>
    <row r="17" ht="15" customHeight="1" spans="1:77">
      <c r="A17" s="123" t="str">
        <f>IF(B17="","",COUNT(A$6:A16)+1)</f>
        <v/>
      </c>
      <c r="B17" s="139"/>
      <c r="C17" s="141"/>
      <c r="D17" s="140"/>
      <c r="E17" s="140"/>
      <c r="F17" s="255"/>
      <c r="G17" s="142"/>
      <c r="H17" s="127" t="str">
        <f>IFERROR(VLOOKUP(G17,参数表!$H$2:$I$50,2,FALSE),"")</f>
        <v/>
      </c>
      <c r="I17" s="128" t="str">
        <f t="shared" si="6"/>
        <v/>
      </c>
      <c r="J17" s="128" t="str">
        <f t="shared" si="7"/>
        <v/>
      </c>
      <c r="K17" s="143"/>
      <c r="L17" s="143"/>
      <c r="M17" s="144"/>
      <c r="N17" s="129" t="str">
        <f t="shared" si="8"/>
        <v/>
      </c>
      <c r="O17" s="129" t="str">
        <f t="shared" si="9"/>
        <v/>
      </c>
      <c r="P17" s="129" t="str">
        <f t="shared" si="0"/>
        <v/>
      </c>
      <c r="Q17" s="129" t="str">
        <f t="shared" si="1"/>
        <v/>
      </c>
      <c r="R17" s="145"/>
      <c r="BA17" s="78"/>
      <c r="BB17" s="132" t="s">
        <v>1865</v>
      </c>
      <c r="BC17" s="133"/>
      <c r="BD17" s="132" t="str">
        <f>IF(OR(B17="",BC17=""),"",COUNTIF(BC$7:BC17,"√"))</f>
        <v/>
      </c>
      <c r="BE17" s="134" t="str">
        <f t="shared" si="2"/>
        <v/>
      </c>
      <c r="BF17" s="135" t="str">
        <f t="shared" si="10"/>
        <v/>
      </c>
      <c r="BG17" s="135" t="str">
        <f t="shared" si="10"/>
        <v/>
      </c>
      <c r="BH17" s="136"/>
      <c r="BI17" s="136"/>
      <c r="BJ17" s="136"/>
      <c r="BK17" s="137"/>
      <c r="BL17" s="165" t="s">
        <v>1677</v>
      </c>
      <c r="BM17" s="227"/>
      <c r="BN17" s="1217">
        <f t="shared" si="3"/>
        <v>125.668493150685</v>
      </c>
      <c r="BO17" s="1217">
        <f t="shared" si="4"/>
        <v>0</v>
      </c>
      <c r="BP17" s="1217">
        <f t="shared" si="11"/>
        <v>0</v>
      </c>
      <c r="BR17" s="134" t="str">
        <f>IF(COUNTIF(BR$6:BR16,C17)&gt;0,"",C17)&amp;""</f>
        <v/>
      </c>
      <c r="BS17" s="138">
        <f t="shared" si="12"/>
        <v>0</v>
      </c>
      <c r="BT17" s="132">
        <f t="shared" si="13"/>
        <v>1</v>
      </c>
      <c r="BU17" s="138">
        <f t="shared" si="14"/>
        <v>0</v>
      </c>
      <c r="BV17" s="132">
        <f t="shared" si="15"/>
        <v>1</v>
      </c>
      <c r="BW17" s="133"/>
      <c r="BX17" s="133"/>
    </row>
    <row r="18" ht="15" customHeight="1" spans="1:77">
      <c r="A18" s="123" t="str">
        <f>IF(B18="","",COUNT(A$6:A17)+1)</f>
        <v/>
      </c>
      <c r="B18" s="139"/>
      <c r="C18" s="141"/>
      <c r="D18" s="140"/>
      <c r="E18" s="140"/>
      <c r="F18" s="255"/>
      <c r="G18" s="142"/>
      <c r="H18" s="127" t="str">
        <f>IFERROR(VLOOKUP(G18,参数表!$H$2:$I$50,2,FALSE),"")</f>
        <v/>
      </c>
      <c r="I18" s="128" t="str">
        <f t="shared" si="6"/>
        <v/>
      </c>
      <c r="J18" s="128" t="str">
        <f t="shared" si="7"/>
        <v/>
      </c>
      <c r="K18" s="143"/>
      <c r="L18" s="143"/>
      <c r="M18" s="144"/>
      <c r="N18" s="129" t="str">
        <f t="shared" si="8"/>
        <v/>
      </c>
      <c r="O18" s="129" t="str">
        <f t="shared" si="9"/>
        <v/>
      </c>
      <c r="P18" s="129" t="str">
        <f t="shared" si="0"/>
        <v/>
      </c>
      <c r="Q18" s="129" t="str">
        <f t="shared" si="1"/>
        <v/>
      </c>
      <c r="R18" s="145"/>
      <c r="BA18" s="78"/>
      <c r="BB18" s="132" t="s">
        <v>1866</v>
      </c>
      <c r="BC18" s="133"/>
      <c r="BD18" s="132" t="str">
        <f>IF(OR(B18="",BC18=""),"",COUNTIF(BC$7:BC18,"√"))</f>
        <v/>
      </c>
      <c r="BE18" s="134" t="str">
        <f t="shared" si="2"/>
        <v/>
      </c>
      <c r="BF18" s="135" t="str">
        <f t="shared" si="10"/>
        <v/>
      </c>
      <c r="BG18" s="135" t="str">
        <f t="shared" si="10"/>
        <v/>
      </c>
      <c r="BH18" s="136"/>
      <c r="BI18" s="136"/>
      <c r="BJ18" s="136"/>
      <c r="BK18" s="137"/>
      <c r="BL18" s="165" t="s">
        <v>1677</v>
      </c>
      <c r="BM18" s="227"/>
      <c r="BN18" s="1217">
        <f t="shared" si="3"/>
        <v>125.668493150685</v>
      </c>
      <c r="BO18" s="1217">
        <f t="shared" si="4"/>
        <v>0</v>
      </c>
      <c r="BP18" s="1217">
        <f t="shared" si="11"/>
        <v>0</v>
      </c>
      <c r="BR18" s="134" t="str">
        <f>IF(COUNTIF(BR$6:BR17,C18)&gt;0,"",C18)&amp;""</f>
        <v/>
      </c>
      <c r="BS18" s="138">
        <f t="shared" si="12"/>
        <v>0</v>
      </c>
      <c r="BT18" s="132">
        <f t="shared" si="13"/>
        <v>1</v>
      </c>
      <c r="BU18" s="138">
        <f t="shared" si="14"/>
        <v>0</v>
      </c>
      <c r="BV18" s="132">
        <f t="shared" si="15"/>
        <v>1</v>
      </c>
      <c r="BW18" s="133"/>
      <c r="BX18" s="133"/>
    </row>
    <row r="19" ht="15" customHeight="1" spans="1:77">
      <c r="A19" s="123" t="str">
        <f>IF(B19="","",COUNT(A$6:A18)+1)</f>
        <v/>
      </c>
      <c r="B19" s="139"/>
      <c r="C19" s="141"/>
      <c r="D19" s="140"/>
      <c r="E19" s="140"/>
      <c r="F19" s="255"/>
      <c r="G19" s="142"/>
      <c r="H19" s="127" t="str">
        <f>IFERROR(VLOOKUP(G19,参数表!$H$2:$I$50,2,FALSE),"")</f>
        <v/>
      </c>
      <c r="I19" s="128" t="str">
        <f t="shared" si="6"/>
        <v/>
      </c>
      <c r="J19" s="128" t="str">
        <f t="shared" si="7"/>
        <v/>
      </c>
      <c r="K19" s="143"/>
      <c r="L19" s="143"/>
      <c r="M19" s="144"/>
      <c r="N19" s="129" t="str">
        <f t="shared" si="8"/>
        <v/>
      </c>
      <c r="O19" s="129" t="str">
        <f t="shared" si="9"/>
        <v/>
      </c>
      <c r="P19" s="129" t="str">
        <f t="shared" si="0"/>
        <v/>
      </c>
      <c r="Q19" s="129" t="str">
        <f t="shared" si="1"/>
        <v/>
      </c>
      <c r="R19" s="145"/>
      <c r="BA19" s="78"/>
      <c r="BB19" s="132" t="s">
        <v>1867</v>
      </c>
      <c r="BC19" s="133"/>
      <c r="BD19" s="132" t="str">
        <f>IF(OR(B19="",BC19=""),"",COUNTIF(BC$7:BC19,"√"))</f>
        <v/>
      </c>
      <c r="BE19" s="134" t="str">
        <f t="shared" si="2"/>
        <v/>
      </c>
      <c r="BF19" s="135" t="str">
        <f t="shared" si="10"/>
        <v/>
      </c>
      <c r="BG19" s="135" t="str">
        <f t="shared" si="10"/>
        <v/>
      </c>
      <c r="BH19" s="136"/>
      <c r="BI19" s="136"/>
      <c r="BJ19" s="136"/>
      <c r="BK19" s="137"/>
      <c r="BL19" s="165" t="s">
        <v>1677</v>
      </c>
      <c r="BM19" s="227"/>
      <c r="BN19" s="1217">
        <f t="shared" si="3"/>
        <v>125.668493150685</v>
      </c>
      <c r="BO19" s="1217">
        <f t="shared" si="4"/>
        <v>0</v>
      </c>
      <c r="BP19" s="1217">
        <f t="shared" si="11"/>
        <v>0</v>
      </c>
      <c r="BR19" s="134" t="str">
        <f>IF(COUNTIF(BR$6:BR18,C19)&gt;0,"",C19)&amp;""</f>
        <v/>
      </c>
      <c r="BS19" s="138">
        <f t="shared" si="12"/>
        <v>0</v>
      </c>
      <c r="BT19" s="132">
        <f t="shared" si="13"/>
        <v>1</v>
      </c>
      <c r="BU19" s="138">
        <f t="shared" si="14"/>
        <v>0</v>
      </c>
      <c r="BV19" s="132">
        <f t="shared" si="15"/>
        <v>1</v>
      </c>
      <c r="BW19" s="133"/>
      <c r="BX19" s="133"/>
    </row>
    <row r="20" ht="15" customHeight="1" spans="1:77">
      <c r="A20" s="123" t="str">
        <f>IF(B20="","",COUNT(A$6:A19)+1)</f>
        <v/>
      </c>
      <c r="B20" s="139"/>
      <c r="C20" s="141"/>
      <c r="D20" s="140"/>
      <c r="E20" s="140"/>
      <c r="F20" s="255"/>
      <c r="G20" s="142"/>
      <c r="H20" s="127" t="str">
        <f>IFERROR(VLOOKUP(G20,参数表!$H$2:$I$50,2,FALSE),"")</f>
        <v/>
      </c>
      <c r="I20" s="128" t="str">
        <f t="shared" si="6"/>
        <v/>
      </c>
      <c r="J20" s="128" t="str">
        <f t="shared" si="7"/>
        <v/>
      </c>
      <c r="K20" s="143"/>
      <c r="L20" s="143"/>
      <c r="M20" s="144"/>
      <c r="N20" s="129" t="str">
        <f t="shared" si="8"/>
        <v/>
      </c>
      <c r="O20" s="129" t="str">
        <f t="shared" si="9"/>
        <v/>
      </c>
      <c r="P20" s="129" t="str">
        <f t="shared" si="0"/>
        <v/>
      </c>
      <c r="Q20" s="129" t="str">
        <f t="shared" si="1"/>
        <v/>
      </c>
      <c r="R20" s="145"/>
      <c r="BA20" s="78"/>
      <c r="BB20" s="132" t="s">
        <v>1868</v>
      </c>
      <c r="BC20" s="133"/>
      <c r="BD20" s="132" t="str">
        <f>IF(OR(B20="",BC20=""),"",COUNTIF(BC$7:BC20,"√"))</f>
        <v/>
      </c>
      <c r="BE20" s="134" t="str">
        <f t="shared" si="2"/>
        <v/>
      </c>
      <c r="BF20" s="135" t="str">
        <f t="shared" si="10"/>
        <v/>
      </c>
      <c r="BG20" s="135" t="str">
        <f t="shared" si="10"/>
        <v/>
      </c>
      <c r="BH20" s="136"/>
      <c r="BI20" s="136"/>
      <c r="BJ20" s="136"/>
      <c r="BK20" s="137"/>
      <c r="BL20" s="165" t="s">
        <v>1677</v>
      </c>
      <c r="BM20" s="227"/>
      <c r="BN20" s="1217">
        <f t="shared" si="3"/>
        <v>125.668493150685</v>
      </c>
      <c r="BO20" s="1217">
        <f t="shared" si="4"/>
        <v>0</v>
      </c>
      <c r="BP20" s="1217">
        <f t="shared" si="11"/>
        <v>0</v>
      </c>
      <c r="BR20" s="134" t="str">
        <f>IF(COUNTIF(BR$6:BR19,C20)&gt;0,"",C20)&amp;""</f>
        <v/>
      </c>
      <c r="BS20" s="138">
        <f t="shared" si="12"/>
        <v>0</v>
      </c>
      <c r="BT20" s="132">
        <f t="shared" si="13"/>
        <v>1</v>
      </c>
      <c r="BU20" s="138">
        <f t="shared" si="14"/>
        <v>0</v>
      </c>
      <c r="BV20" s="132">
        <f t="shared" si="15"/>
        <v>1</v>
      </c>
      <c r="BW20" s="133"/>
      <c r="BX20" s="133"/>
    </row>
    <row r="21" ht="15" customHeight="1" spans="1:77">
      <c r="A21" s="123" t="str">
        <f>IF(B21="","",COUNT(A$6:A20)+1)</f>
        <v/>
      </c>
      <c r="B21" s="139"/>
      <c r="C21" s="141"/>
      <c r="D21" s="140"/>
      <c r="E21" s="140"/>
      <c r="F21" s="255"/>
      <c r="G21" s="142"/>
      <c r="H21" s="127" t="str">
        <f>IFERROR(VLOOKUP(G21,参数表!$H$2:$I$50,2,FALSE),"")</f>
        <v/>
      </c>
      <c r="I21" s="128" t="str">
        <f t="shared" si="6"/>
        <v/>
      </c>
      <c r="J21" s="128" t="str">
        <f t="shared" si="7"/>
        <v/>
      </c>
      <c r="K21" s="143"/>
      <c r="L21" s="143"/>
      <c r="M21" s="144"/>
      <c r="N21" s="129" t="str">
        <f t="shared" si="8"/>
        <v/>
      </c>
      <c r="O21" s="129" t="str">
        <f t="shared" si="9"/>
        <v/>
      </c>
      <c r="P21" s="129" t="str">
        <f t="shared" si="0"/>
        <v/>
      </c>
      <c r="Q21" s="129" t="str">
        <f t="shared" si="1"/>
        <v/>
      </c>
      <c r="R21" s="145"/>
      <c r="BA21" s="78"/>
      <c r="BB21" s="132" t="s">
        <v>1869</v>
      </c>
      <c r="BC21" s="133"/>
      <c r="BD21" s="132" t="str">
        <f>IF(OR(B21="",BC21=""),"",COUNTIF(BC$7:BC21,"√"))</f>
        <v/>
      </c>
      <c r="BE21" s="134" t="str">
        <f t="shared" si="2"/>
        <v/>
      </c>
      <c r="BF21" s="135" t="str">
        <f t="shared" si="10"/>
        <v/>
      </c>
      <c r="BG21" s="135" t="str">
        <f t="shared" si="10"/>
        <v/>
      </c>
      <c r="BH21" s="136"/>
      <c r="BI21" s="136"/>
      <c r="BJ21" s="136"/>
      <c r="BK21" s="137"/>
      <c r="BL21" s="165" t="s">
        <v>1677</v>
      </c>
      <c r="BM21" s="227"/>
      <c r="BN21" s="1217">
        <f t="shared" si="3"/>
        <v>125.668493150685</v>
      </c>
      <c r="BO21" s="1217">
        <f t="shared" si="4"/>
        <v>0</v>
      </c>
      <c r="BP21" s="1217">
        <f t="shared" si="11"/>
        <v>0</v>
      </c>
      <c r="BR21" s="134" t="str">
        <f>IF(COUNTIF(BR$6:BR20,C21)&gt;0,"",C21)&amp;""</f>
        <v/>
      </c>
      <c r="BS21" s="138">
        <f t="shared" si="12"/>
        <v>0</v>
      </c>
      <c r="BT21" s="132">
        <f t="shared" si="13"/>
        <v>1</v>
      </c>
      <c r="BU21" s="138">
        <f t="shared" si="14"/>
        <v>0</v>
      </c>
      <c r="BV21" s="132">
        <f t="shared" si="15"/>
        <v>1</v>
      </c>
      <c r="BW21" s="133"/>
      <c r="BX21" s="133"/>
    </row>
    <row r="22" ht="15" customHeight="1" spans="1:77">
      <c r="A22" s="123" t="str">
        <f>IF(B22="","",COUNT(A$6:A21)+1)</f>
        <v/>
      </c>
      <c r="B22" s="139"/>
      <c r="C22" s="141"/>
      <c r="D22" s="140"/>
      <c r="E22" s="140"/>
      <c r="F22" s="255"/>
      <c r="G22" s="142"/>
      <c r="H22" s="127" t="str">
        <f>IFERROR(VLOOKUP(G22,参数表!$H$2:$I$50,2,FALSE),"")</f>
        <v/>
      </c>
      <c r="I22" s="128" t="str">
        <f t="shared" si="6"/>
        <v/>
      </c>
      <c r="J22" s="128" t="str">
        <f t="shared" si="7"/>
        <v/>
      </c>
      <c r="K22" s="143"/>
      <c r="L22" s="143"/>
      <c r="M22" s="144"/>
      <c r="N22" s="129" t="str">
        <f t="shared" si="8"/>
        <v/>
      </c>
      <c r="O22" s="129" t="str">
        <f t="shared" si="9"/>
        <v/>
      </c>
      <c r="P22" s="129" t="str">
        <f t="shared" si="0"/>
        <v/>
      </c>
      <c r="Q22" s="129" t="str">
        <f t="shared" si="1"/>
        <v/>
      </c>
      <c r="R22" s="145"/>
      <c r="BA22" s="78"/>
      <c r="BB22" s="132" t="s">
        <v>1870</v>
      </c>
      <c r="BC22" s="133"/>
      <c r="BD22" s="132" t="str">
        <f>IF(OR(B22="",BC22=""),"",COUNTIF(BC$7:BC22,"√"))</f>
        <v/>
      </c>
      <c r="BE22" s="134" t="str">
        <f t="shared" si="2"/>
        <v/>
      </c>
      <c r="BF22" s="135" t="str">
        <f t="shared" si="10"/>
        <v/>
      </c>
      <c r="BG22" s="135" t="str">
        <f t="shared" si="10"/>
        <v/>
      </c>
      <c r="BH22" s="136"/>
      <c r="BI22" s="136"/>
      <c r="BJ22" s="136"/>
      <c r="BK22" s="137"/>
      <c r="BL22" s="165" t="s">
        <v>1677</v>
      </c>
      <c r="BM22" s="227"/>
      <c r="BN22" s="1217">
        <f t="shared" si="3"/>
        <v>125.668493150685</v>
      </c>
      <c r="BO22" s="1217">
        <f t="shared" si="4"/>
        <v>0</v>
      </c>
      <c r="BP22" s="1217">
        <f t="shared" si="11"/>
        <v>0</v>
      </c>
      <c r="BR22" s="134" t="str">
        <f>IF(COUNTIF(BR$6:BR21,C22)&gt;0,"",C22)&amp;""</f>
        <v/>
      </c>
      <c r="BS22" s="138">
        <f t="shared" si="12"/>
        <v>0</v>
      </c>
      <c r="BT22" s="132">
        <f t="shared" si="13"/>
        <v>1</v>
      </c>
      <c r="BU22" s="138">
        <f t="shared" si="14"/>
        <v>0</v>
      </c>
      <c r="BV22" s="132">
        <f t="shared" si="15"/>
        <v>1</v>
      </c>
      <c r="BW22" s="133"/>
      <c r="BX22" s="133"/>
    </row>
    <row r="23" ht="15" customHeight="1" spans="1:77">
      <c r="A23" s="123" t="str">
        <f>IF(B23="","",COUNT(A$6:A22)+1)</f>
        <v/>
      </c>
      <c r="B23" s="139"/>
      <c r="C23" s="141"/>
      <c r="D23" s="140"/>
      <c r="E23" s="140"/>
      <c r="F23" s="255"/>
      <c r="G23" s="142"/>
      <c r="H23" s="127" t="str">
        <f>IFERROR(VLOOKUP(G23,参数表!$H$2:$I$50,2,FALSE),"")</f>
        <v/>
      </c>
      <c r="I23" s="128" t="str">
        <f t="shared" si="6"/>
        <v/>
      </c>
      <c r="J23" s="128" t="str">
        <f t="shared" si="7"/>
        <v/>
      </c>
      <c r="K23" s="143"/>
      <c r="L23" s="143"/>
      <c r="M23" s="144"/>
      <c r="N23" s="129" t="str">
        <f t="shared" si="8"/>
        <v/>
      </c>
      <c r="O23" s="129" t="str">
        <f t="shared" si="9"/>
        <v/>
      </c>
      <c r="P23" s="129" t="str">
        <f t="shared" si="0"/>
        <v/>
      </c>
      <c r="Q23" s="129" t="str">
        <f t="shared" si="1"/>
        <v/>
      </c>
      <c r="R23" s="145"/>
      <c r="BA23" s="78"/>
      <c r="BB23" s="132" t="s">
        <v>1871</v>
      </c>
      <c r="BC23" s="133"/>
      <c r="BD23" s="132" t="str">
        <f>IF(OR(B23="",BC23=""),"",COUNTIF(BC$7:BC23,"√"))</f>
        <v/>
      </c>
      <c r="BE23" s="134" t="str">
        <f t="shared" si="2"/>
        <v/>
      </c>
      <c r="BF23" s="135" t="str">
        <f t="shared" si="10"/>
        <v/>
      </c>
      <c r="BG23" s="135" t="str">
        <f t="shared" si="10"/>
        <v/>
      </c>
      <c r="BH23" s="136"/>
      <c r="BI23" s="136"/>
      <c r="BJ23" s="136"/>
      <c r="BK23" s="137"/>
      <c r="BL23" s="165" t="s">
        <v>1677</v>
      </c>
      <c r="BM23" s="227"/>
      <c r="BN23" s="1217">
        <f t="shared" si="3"/>
        <v>125.668493150685</v>
      </c>
      <c r="BO23" s="1217">
        <f t="shared" si="4"/>
        <v>0</v>
      </c>
      <c r="BP23" s="1217">
        <f t="shared" si="11"/>
        <v>0</v>
      </c>
      <c r="BR23" s="134" t="str">
        <f>IF(COUNTIF(BR$6:BR22,C23)&gt;0,"",C23)&amp;""</f>
        <v/>
      </c>
      <c r="BS23" s="138">
        <f t="shared" si="12"/>
        <v>0</v>
      </c>
      <c r="BT23" s="132">
        <f t="shared" si="13"/>
        <v>1</v>
      </c>
      <c r="BU23" s="138">
        <f t="shared" si="14"/>
        <v>0</v>
      </c>
      <c r="BV23" s="132">
        <f t="shared" si="15"/>
        <v>1</v>
      </c>
      <c r="BW23" s="133"/>
      <c r="BX23" s="133"/>
    </row>
    <row r="24" ht="15" customHeight="1" spans="1:77">
      <c r="A24" s="123" t="str">
        <f>IF(B24="","",COUNT(A$6:A23)+1)</f>
        <v/>
      </c>
      <c r="B24" s="139"/>
      <c r="C24" s="141"/>
      <c r="D24" s="140"/>
      <c r="E24" s="140"/>
      <c r="F24" s="255"/>
      <c r="G24" s="142"/>
      <c r="H24" s="127" t="str">
        <f>IFERROR(VLOOKUP(G24,参数表!$H$2:$I$50,2,FALSE),"")</f>
        <v/>
      </c>
      <c r="I24" s="128" t="str">
        <f t="shared" si="6"/>
        <v/>
      </c>
      <c r="J24" s="128" t="str">
        <f t="shared" si="7"/>
        <v/>
      </c>
      <c r="K24" s="143"/>
      <c r="L24" s="143"/>
      <c r="M24" s="144"/>
      <c r="N24" s="129" t="str">
        <f t="shared" si="8"/>
        <v/>
      </c>
      <c r="O24" s="129" t="str">
        <f t="shared" si="9"/>
        <v/>
      </c>
      <c r="P24" s="129" t="str">
        <f t="shared" si="0"/>
        <v/>
      </c>
      <c r="Q24" s="129" t="str">
        <f t="shared" si="1"/>
        <v/>
      </c>
      <c r="R24" s="145"/>
      <c r="BA24" s="78"/>
      <c r="BB24" s="132" t="s">
        <v>1872</v>
      </c>
      <c r="BC24" s="133"/>
      <c r="BD24" s="132" t="str">
        <f>IF(OR(B24="",BC24=""),"",COUNTIF(BC$7:BC24,"√"))</f>
        <v/>
      </c>
      <c r="BE24" s="134" t="str">
        <f t="shared" si="2"/>
        <v/>
      </c>
      <c r="BF24" s="135" t="str">
        <f t="shared" si="10"/>
        <v/>
      </c>
      <c r="BG24" s="135" t="str">
        <f t="shared" si="10"/>
        <v/>
      </c>
      <c r="BH24" s="136"/>
      <c r="BI24" s="136"/>
      <c r="BJ24" s="136"/>
      <c r="BK24" s="137"/>
      <c r="BL24" s="165" t="s">
        <v>1677</v>
      </c>
      <c r="BM24" s="227"/>
      <c r="BN24" s="1217">
        <f t="shared" si="3"/>
        <v>125.668493150685</v>
      </c>
      <c r="BO24" s="1217">
        <f t="shared" si="4"/>
        <v>0</v>
      </c>
      <c r="BP24" s="1217">
        <f t="shared" si="11"/>
        <v>0</v>
      </c>
      <c r="BR24" s="134" t="str">
        <f>IF(COUNTIF(BR$6:BR23,C24)&gt;0,"",C24)&amp;""</f>
        <v/>
      </c>
      <c r="BS24" s="138">
        <f t="shared" si="12"/>
        <v>0</v>
      </c>
      <c r="BT24" s="132">
        <f t="shared" si="13"/>
        <v>1</v>
      </c>
      <c r="BU24" s="138">
        <f t="shared" si="14"/>
        <v>0</v>
      </c>
      <c r="BV24" s="132">
        <f t="shared" si="15"/>
        <v>1</v>
      </c>
      <c r="BW24" s="133"/>
      <c r="BX24" s="133"/>
    </row>
    <row r="25" ht="15" customHeight="1" spans="1:77">
      <c r="A25" s="123" t="str">
        <f>IF(B25="","",COUNT(A$6:A24)+1)</f>
        <v/>
      </c>
      <c r="B25" s="139"/>
      <c r="C25" s="141"/>
      <c r="D25" s="140"/>
      <c r="E25" s="140"/>
      <c r="F25" s="255"/>
      <c r="G25" s="142"/>
      <c r="H25" s="127" t="str">
        <f>IFERROR(VLOOKUP(G25,参数表!$H$2:$I$50,2,FALSE),"")</f>
        <v/>
      </c>
      <c r="I25" s="128" t="str">
        <f t="shared" si="6"/>
        <v/>
      </c>
      <c r="J25" s="128" t="str">
        <f t="shared" si="7"/>
        <v/>
      </c>
      <c r="K25" s="143"/>
      <c r="L25" s="143"/>
      <c r="M25" s="144"/>
      <c r="N25" s="129" t="str">
        <f t="shared" si="8"/>
        <v/>
      </c>
      <c r="O25" s="129" t="str">
        <f t="shared" si="9"/>
        <v/>
      </c>
      <c r="P25" s="129" t="str">
        <f t="shared" si="0"/>
        <v/>
      </c>
      <c r="Q25" s="129" t="str">
        <f t="shared" si="1"/>
        <v/>
      </c>
      <c r="R25" s="145"/>
      <c r="BA25" s="78"/>
      <c r="BB25" s="132" t="s">
        <v>1873</v>
      </c>
      <c r="BC25" s="133"/>
      <c r="BD25" s="132" t="str">
        <f>IF(OR(B25="",BC25=""),"",COUNTIF(BC$7:BC25,"√"))</f>
        <v/>
      </c>
      <c r="BE25" s="134" t="str">
        <f t="shared" si="2"/>
        <v/>
      </c>
      <c r="BF25" s="135" t="str">
        <f t="shared" si="10"/>
        <v/>
      </c>
      <c r="BG25" s="135" t="str">
        <f t="shared" si="10"/>
        <v/>
      </c>
      <c r="BH25" s="136"/>
      <c r="BI25" s="136"/>
      <c r="BJ25" s="136"/>
      <c r="BK25" s="137"/>
      <c r="BL25" s="165" t="s">
        <v>1677</v>
      </c>
      <c r="BM25" s="227"/>
      <c r="BN25" s="1217">
        <f t="shared" si="3"/>
        <v>125.668493150685</v>
      </c>
      <c r="BO25" s="1217">
        <f t="shared" si="4"/>
        <v>0</v>
      </c>
      <c r="BP25" s="1217">
        <f t="shared" si="11"/>
        <v>0</v>
      </c>
      <c r="BR25" s="134" t="str">
        <f>IF(COUNTIF(BR$6:BR24,C25)&gt;0,"",C25)&amp;""</f>
        <v/>
      </c>
      <c r="BS25" s="138">
        <f t="shared" si="12"/>
        <v>0</v>
      </c>
      <c r="BT25" s="132">
        <f t="shared" si="13"/>
        <v>1</v>
      </c>
      <c r="BU25" s="138">
        <f t="shared" si="14"/>
        <v>0</v>
      </c>
      <c r="BV25" s="132">
        <f t="shared" si="15"/>
        <v>1</v>
      </c>
      <c r="BW25" s="133"/>
      <c r="BX25" s="133"/>
    </row>
    <row r="26" ht="15" customHeight="1" spans="1:77">
      <c r="A26" s="123" t="str">
        <f>IF(B26="","",COUNT(A$6:A25)+1)</f>
        <v/>
      </c>
      <c r="B26" s="124"/>
      <c r="C26" s="126"/>
      <c r="D26" s="125"/>
      <c r="E26" s="125"/>
      <c r="F26" s="225"/>
      <c r="G26" s="127"/>
      <c r="H26" s="127" t="str">
        <f>IFERROR(VLOOKUP(G26,参数表!$H$2:$I$50,2,FALSE),"")</f>
        <v/>
      </c>
      <c r="I26" s="128" t="str">
        <f t="shared" si="6"/>
        <v/>
      </c>
      <c r="J26" s="128" t="str">
        <f t="shared" si="7"/>
        <v/>
      </c>
      <c r="K26" s="129"/>
      <c r="L26" s="129"/>
      <c r="M26" s="130"/>
      <c r="N26" s="129" t="str">
        <f t="shared" si="8"/>
        <v/>
      </c>
      <c r="O26" s="129" t="str">
        <f t="shared" si="9"/>
        <v/>
      </c>
      <c r="P26" s="129" t="str">
        <f t="shared" si="0"/>
        <v/>
      </c>
      <c r="Q26" s="129" t="str">
        <f t="shared" si="1"/>
        <v/>
      </c>
      <c r="R26" s="131"/>
      <c r="BA26" s="78"/>
      <c r="BB26" s="132" t="s">
        <v>1874</v>
      </c>
      <c r="BC26" s="133"/>
      <c r="BD26" s="132" t="str">
        <f>IF(OR(B26="",BC26=""),"",COUNTIF(BC$7:BC26,"√"))</f>
        <v/>
      </c>
      <c r="BE26" s="134" t="str">
        <f t="shared" si="2"/>
        <v/>
      </c>
      <c r="BF26" s="135" t="str">
        <f t="shared" si="10"/>
        <v/>
      </c>
      <c r="BG26" s="135" t="str">
        <f t="shared" si="10"/>
        <v/>
      </c>
      <c r="BH26" s="136"/>
      <c r="BI26" s="136"/>
      <c r="BJ26" s="136"/>
      <c r="BK26" s="137"/>
      <c r="BL26" s="165" t="s">
        <v>1677</v>
      </c>
      <c r="BM26" s="227"/>
      <c r="BN26" s="1217">
        <f t="shared" si="3"/>
        <v>125.668493150685</v>
      </c>
      <c r="BO26" s="1217">
        <f t="shared" si="4"/>
        <v>0</v>
      </c>
      <c r="BP26" s="1217">
        <f t="shared" si="11"/>
        <v>0</v>
      </c>
      <c r="BR26" s="134" t="str">
        <f>IF(COUNTIF(BR$6:BR25,C26)&gt;0,"",C26)&amp;""</f>
        <v/>
      </c>
      <c r="BS26" s="138">
        <f t="shared" si="12"/>
        <v>0</v>
      </c>
      <c r="BT26" s="132">
        <f t="shared" si="13"/>
        <v>1</v>
      </c>
      <c r="BU26" s="138">
        <f t="shared" si="14"/>
        <v>0</v>
      </c>
      <c r="BV26" s="132">
        <f t="shared" si="15"/>
        <v>1</v>
      </c>
      <c r="BW26" s="133"/>
      <c r="BX26" s="133"/>
    </row>
    <row r="27" s="73" customFormat="1" ht="15" customHeight="1" spans="1:77">
      <c r="A27" s="149" t="s">
        <v>1771</v>
      </c>
      <c r="B27" s="149"/>
      <c r="C27" s="151"/>
      <c r="D27" s="226"/>
      <c r="E27" s="226"/>
      <c r="F27" s="275"/>
      <c r="G27" s="275"/>
      <c r="H27" s="275"/>
      <c r="I27" s="275"/>
      <c r="J27" s="275"/>
      <c r="K27" s="152"/>
      <c r="L27" s="152">
        <f>SUM(L7:L26)</f>
        <v>0</v>
      </c>
      <c r="M27" s="153"/>
      <c r="N27" s="152">
        <f>SUM(N7:N26)</f>
        <v>0</v>
      </c>
      <c r="O27" s="152">
        <f>SUM(O7:O26)</f>
        <v>0</v>
      </c>
      <c r="P27" s="152">
        <f t="shared" si="0"/>
        <v>0</v>
      </c>
      <c r="Q27" s="152" t="str">
        <f t="shared" si="1"/>
        <v/>
      </c>
      <c r="R27" s="151"/>
      <c r="BF27" s="72"/>
      <c r="BG27" s="72"/>
      <c r="BH27" s="72"/>
      <c r="BI27" s="72"/>
      <c r="BJ27" s="72"/>
      <c r="BL27" s="72"/>
      <c r="BQ27" s="111"/>
      <c r="BR27" s="119"/>
      <c r="BS27" s="77"/>
      <c r="BT27" s="77"/>
      <c r="BU27" s="77"/>
      <c r="BV27" s="119"/>
      <c r="BW27" s="119"/>
      <c r="BX27" s="119"/>
      <c r="BY27" s="111"/>
    </row>
    <row r="28" customHeight="1" spans="1:77">
      <c r="A28" s="102" t="str">
        <f>参数表!F$6</f>
        <v>产权持有单位填表人：贾广东</v>
      </c>
      <c r="B28" s="154"/>
      <c r="C28" s="154"/>
      <c r="D28" s="154"/>
      <c r="E28" s="154"/>
      <c r="F28" s="154"/>
      <c r="G28" s="154"/>
      <c r="H28" s="154"/>
      <c r="I28" s="154"/>
      <c r="J28" s="154"/>
      <c r="K28" s="103"/>
      <c r="L28" s="103"/>
      <c r="M28" s="104"/>
      <c r="N28" s="103"/>
      <c r="O28" s="103" t="str">
        <f>"评估人员："&amp;封面!$G$20</f>
        <v>评估人员：栗祥宁</v>
      </c>
      <c r="P28" s="103"/>
      <c r="Q28" s="103"/>
      <c r="R28" s="103"/>
    </row>
    <row r="29" customHeight="1" spans="1:77">
      <c r="A29" s="102" t="str">
        <f>参数表!F$7</f>
        <v>填表日期：2025年9月20日</v>
      </c>
      <c r="B29" s="154"/>
      <c r="C29" s="154"/>
      <c r="D29" s="154"/>
      <c r="E29" s="154"/>
      <c r="F29" s="154"/>
      <c r="G29" s="154"/>
      <c r="H29" s="154"/>
      <c r="I29" s="154"/>
      <c r="J29" s="154"/>
      <c r="K29" s="103"/>
      <c r="L29" s="103"/>
      <c r="M29" s="104"/>
      <c r="N29" s="103"/>
      <c r="O29" s="103"/>
      <c r="P29" s="103"/>
      <c r="Q29" s="103"/>
      <c r="R29" s="103"/>
    </row>
    <row r="30" hidden="1" customHeight="1" outlineLevel="1" spans="1:77">
      <c r="A30" s="157"/>
      <c r="B30" s="154" t="s">
        <v>1673</v>
      </c>
      <c r="C30" s="158"/>
      <c r="D30" s="158"/>
      <c r="E30" s="158"/>
      <c r="F30" s="158"/>
      <c r="G30" s="158"/>
      <c r="H30" s="158"/>
      <c r="I30" s="158"/>
      <c r="J30" s="158"/>
      <c r="L30" s="177">
        <f>SUMIF($BA7:$BA26,$BA30,L7:L26)</f>
        <v>0</v>
      </c>
      <c r="M30" s="202"/>
      <c r="N30" s="177">
        <f>SUMIF($BA7:$BA26,$BA30,N7:N26)</f>
        <v>0</v>
      </c>
      <c r="O30" s="177">
        <f>SUMIF($BA7:$BA26,$BA30,O7:O26)</f>
        <v>0</v>
      </c>
      <c r="BA30" s="161" t="s">
        <v>1674</v>
      </c>
      <c r="BH30" s="95" t="s">
        <v>1675</v>
      </c>
      <c r="BI30" s="95" t="s">
        <v>1675</v>
      </c>
      <c r="BJ30" s="95" t="s">
        <v>1675</v>
      </c>
      <c r="BL30" s="95" t="s">
        <v>1674</v>
      </c>
    </row>
    <row r="31" hidden="1" customHeight="1" outlineLevel="1" spans="1:77">
      <c r="A31" s="157"/>
      <c r="B31" s="154" t="s">
        <v>1676</v>
      </c>
      <c r="C31" s="158"/>
      <c r="D31" s="158"/>
      <c r="E31" s="158"/>
      <c r="F31" s="158"/>
      <c r="G31" s="158"/>
      <c r="H31" s="158"/>
      <c r="I31" s="158"/>
      <c r="J31" s="158"/>
      <c r="L31" s="177">
        <f>L27-L30</f>
        <v>0</v>
      </c>
      <c r="M31" s="202"/>
      <c r="N31" s="177">
        <f>N27-N30</f>
        <v>0</v>
      </c>
      <c r="O31" s="177">
        <f>O27-O30</f>
        <v>0</v>
      </c>
      <c r="BA31" s="161" t="s">
        <v>1677</v>
      </c>
      <c r="BH31" s="95" t="s">
        <v>1678</v>
      </c>
      <c r="BI31" s="95" t="s">
        <v>1678</v>
      </c>
      <c r="BJ31" s="95" t="s">
        <v>1678</v>
      </c>
      <c r="BL31" s="95" t="s">
        <v>1677</v>
      </c>
    </row>
    <row r="32" customHeight="1" collapsed="1" spans="1:77">
      <c r="A32" s="157"/>
      <c r="B32" s="158"/>
      <c r="C32" s="158"/>
      <c r="D32" s="158"/>
      <c r="E32" s="158"/>
      <c r="F32" s="158"/>
      <c r="G32" s="158"/>
      <c r="H32" s="158"/>
      <c r="I32" s="158"/>
      <c r="J32" s="158"/>
    </row>
    <row r="33" customHeight="1" spans="1:10">
      <c r="A33" s="157"/>
      <c r="B33" s="158"/>
      <c r="C33" s="158"/>
      <c r="D33" s="158"/>
      <c r="E33" s="158"/>
      <c r="F33" s="158"/>
      <c r="G33" s="158"/>
      <c r="H33" s="158"/>
      <c r="I33" s="158"/>
      <c r="J33" s="158"/>
    </row>
    <row r="34" customHeight="1" spans="1:10">
      <c r="A34" s="157"/>
      <c r="B34" s="158"/>
      <c r="C34" s="158"/>
      <c r="D34" s="158"/>
      <c r="E34" s="158"/>
      <c r="F34" s="158"/>
      <c r="G34" s="158"/>
      <c r="H34" s="158"/>
      <c r="I34" s="158"/>
      <c r="J34" s="158"/>
    </row>
    <row r="35" customHeight="1" spans="1:10">
      <c r="A35" s="157"/>
      <c r="B35" s="158"/>
      <c r="C35" s="158"/>
      <c r="D35" s="158"/>
      <c r="E35" s="158"/>
      <c r="F35" s="158"/>
      <c r="G35" s="158"/>
      <c r="H35" s="158"/>
      <c r="I35" s="158"/>
      <c r="J35" s="158"/>
    </row>
    <row r="36" customHeight="1" spans="1:10">
      <c r="A36" s="157"/>
      <c r="B36" s="158"/>
      <c r="C36" s="158"/>
      <c r="D36" s="158"/>
      <c r="E36" s="158"/>
      <c r="F36" s="158"/>
      <c r="G36" s="158"/>
      <c r="H36" s="158"/>
      <c r="I36" s="158"/>
      <c r="J36" s="158"/>
    </row>
    <row r="37" customHeight="1" spans="1:10">
      <c r="A37" s="157"/>
      <c r="B37" s="158"/>
      <c r="C37" s="158"/>
      <c r="D37" s="158"/>
      <c r="E37" s="158"/>
      <c r="F37" s="158"/>
      <c r="G37" s="158"/>
      <c r="H37" s="158"/>
      <c r="I37" s="158"/>
      <c r="J37" s="158"/>
    </row>
  </sheetData>
  <sheetProtection autoFilter="0"/>
  <mergeCells count="6">
    <mergeCell ref="A2:R2"/>
    <mergeCell ref="A3:R3"/>
    <mergeCell ref="BW7:BY7"/>
    <mergeCell ref="BW8:BY8"/>
    <mergeCell ref="BX14:BY14"/>
    <mergeCell ref="A27:B27"/>
  </mergeCells>
  <conditionalFormatting sqref="BF7:BG26">
    <cfRule type="containsText" dxfId="6" priority="1" stopIfTrue="1" operator="between" text="出错">
      <formula>NOT(ISERROR(SEARCH("出错",BF7)))</formula>
    </cfRule>
    <cfRule type="containsText" priority="2" stopIfTrue="1" operator="between" text="出错">
      <formula>NOT(ISERROR(SEARCH("出错",BF7)))</formula>
    </cfRule>
  </conditionalFormatting>
  <conditionalFormatting sqref="BH7:BJ26">
    <cfRule type="expression" dxfId="5" priority="4" stopIfTrue="1">
      <formula>AND($B7&lt;&gt;"",BH7="")</formula>
    </cfRule>
  </conditionalFormatting>
  <dataValidations count="4">
    <dataValidation type="list" allowBlank="1" showInputMessage="1" showErrorMessage="1" sqref="G7:G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L7:BL26 BH7:BJ26">
      <formula1>BH$30:BH$31</formula1>
    </dataValidation>
  </dataValidations>
  <hyperlinks>
    <hyperlink ref="A1" location="索引目录!E10" display="返回索引页"/>
    <hyperlink ref="B1" location="交易性金融资产汇总!B8"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1"/>
  <dimension ref="A1:BW36"/>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16.6" style="75" customWidth="1"/>
    <col min="3" max="3" width="11.6" style="75" customWidth="1"/>
    <col min="4" max="5" width="8.2" style="75" customWidth="1"/>
    <col min="6" max="7" width="4.6" style="75" customWidth="1" outlineLevel="1"/>
    <col min="8" max="9" width="6.1" style="75" customWidth="1" outlineLevel="1"/>
    <col min="10" max="10" width="13.6" style="75" customWidth="1"/>
    <col min="11" max="11" width="13.6" style="75" customWidth="1" outlineLevel="1"/>
    <col min="12" max="12" width="13.6" style="76" customWidth="1" outlineLevel="1"/>
    <col min="13" max="13" width="13.6" style="75" customWidth="1"/>
    <col min="14" max="14" width="6.8" style="75" customWidth="1"/>
    <col min="15" max="15" width="13.6" style="75" customWidth="1"/>
    <col min="16" max="17" width="8.6" style="75" customWidth="1"/>
    <col min="18" max="18" width="9" style="75"/>
    <col min="19" max="52" width="9" style="75" hidden="1" customWidth="1" outlineLevel="1"/>
    <col min="53" max="53" width="14.7" style="75" customWidth="1" collapsed="1"/>
    <col min="54" max="54" width="6.7" style="75" customWidth="1"/>
    <col min="55" max="55" width="5" style="75" customWidth="1"/>
    <col min="56" max="56" width="5" style="165" customWidth="1"/>
    <col min="57" max="57" width="8.6" style="165" customWidth="1"/>
    <col min="58" max="59" width="9.6" style="165" customWidth="1"/>
    <col min="60" max="60" width="5" style="165" customWidth="1"/>
    <col min="61" max="62" width="5" style="75" customWidth="1"/>
    <col min="63" max="63" width="8.6" style="75" customWidth="1"/>
    <col min="64" max="66" width="9" style="75"/>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1284" t="s">
        <v>1591</v>
      </c>
      <c r="B1" s="1285" t="s">
        <v>1592</v>
      </c>
      <c r="C1" s="82"/>
      <c r="D1" s="82"/>
      <c r="E1" s="82"/>
      <c r="F1" s="82"/>
      <c r="G1" s="82"/>
      <c r="H1" s="82"/>
      <c r="I1" s="82"/>
      <c r="J1" s="82"/>
      <c r="K1" s="82"/>
      <c r="L1" s="205"/>
      <c r="M1" s="82"/>
      <c r="N1" s="82"/>
      <c r="O1" s="82"/>
      <c r="P1" s="82"/>
      <c r="Q1" s="82"/>
      <c r="BA1" s="84" t="str">
        <f>参数表!BA1</f>
        <v>注意：补充特殊事项、作价等均从BA列开始填写</v>
      </c>
      <c r="BB1" s="85"/>
      <c r="BD1" s="82"/>
      <c r="BE1" s="82"/>
      <c r="BF1" s="82"/>
      <c r="BG1" s="82"/>
      <c r="BH1" s="82"/>
      <c r="BO1" s="87"/>
      <c r="BP1" s="88"/>
      <c r="BQ1" s="87"/>
      <c r="BR1" s="88"/>
      <c r="BS1" s="88"/>
      <c r="BT1" s="88"/>
      <c r="BU1" s="88"/>
      <c r="BV1" s="88"/>
      <c r="BW1" s="87"/>
    </row>
    <row r="2" s="71" customFormat="1" ht="30" customHeight="1" spans="1:75">
      <c r="A2" s="89" t="s">
        <v>1875</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D2" s="171"/>
      <c r="BE2" s="171"/>
      <c r="BF2" s="171"/>
      <c r="BG2" s="171"/>
      <c r="BH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4"/>
      <c r="L3" s="94"/>
      <c r="M3" s="94"/>
      <c r="N3" s="94"/>
      <c r="O3" s="94"/>
      <c r="P3" s="94"/>
      <c r="Q3" s="94"/>
      <c r="R3" s="94"/>
      <c r="BA3" s="90" t="str">
        <f>参数表!BA3</f>
        <v>是否显示评估值：</v>
      </c>
      <c r="BB3" s="90" t="str">
        <f>参数表!BB3</f>
        <v>是</v>
      </c>
      <c r="BQ3" s="78"/>
    </row>
    <row r="4" ht="15" customHeight="1" spans="1:75">
      <c r="A4" s="96"/>
      <c r="B4" s="94"/>
      <c r="C4" s="94"/>
      <c r="D4" s="94"/>
      <c r="E4" s="94"/>
      <c r="F4" s="94"/>
      <c r="G4" s="94"/>
      <c r="H4" s="94"/>
      <c r="I4" s="94"/>
      <c r="J4" s="94"/>
      <c r="K4" s="94"/>
      <c r="L4" s="97"/>
      <c r="M4" s="94"/>
      <c r="N4" s="95"/>
      <c r="O4" s="95"/>
      <c r="P4" s="95"/>
      <c r="Q4" s="95"/>
      <c r="R4" s="98" t="str">
        <f>"表"&amp;$BA4</f>
        <v>表3-3-3</v>
      </c>
      <c r="BA4" s="95" t="str">
        <f>交易性金资总!A9</f>
        <v>3-3-3</v>
      </c>
      <c r="BB4" s="100">
        <f>MAX(COUNTA(A7:A26),COUNTA(B7:B26),COUNTA(K7:K26),COUNTA(M7:M26))</f>
        <v>20</v>
      </c>
      <c r="BC4" s="101">
        <f>ROW(A6)+1</f>
        <v>7</v>
      </c>
      <c r="BD4" s="77"/>
      <c r="BE4" s="77"/>
      <c r="BQ4" s="78"/>
    </row>
    <row r="5" ht="15" customHeight="1" spans="1:75">
      <c r="A5" s="102" t="str">
        <f>参数表!F3</f>
        <v>产权持有单位:中煤第五建设有限公司</v>
      </c>
      <c r="B5" s="103"/>
      <c r="C5" s="103"/>
      <c r="D5" s="103"/>
      <c r="E5" s="103"/>
      <c r="F5" s="103"/>
      <c r="G5" s="103"/>
      <c r="H5" s="103"/>
      <c r="I5" s="103"/>
      <c r="J5" s="103"/>
      <c r="K5" s="103"/>
      <c r="L5" s="104"/>
      <c r="M5" s="103"/>
      <c r="N5" s="103"/>
      <c r="O5" s="103"/>
      <c r="P5" s="103"/>
      <c r="Q5" s="103"/>
      <c r="R5" s="98" t="s">
        <v>236</v>
      </c>
      <c r="BA5" s="103"/>
      <c r="BB5" s="105" t="str">
        <f ca="1">判断表!C17</f>
        <v>中煤第五建设有限公司第三工程处拟处置实物资产项目\[0000-3基础法明细表.xlsx]交易性-基金</v>
      </c>
      <c r="BC5" s="106">
        <f>IFERROR(SUMIF(BC7:BC26,"√",M7:M26)/M27,0)</f>
        <v>0</v>
      </c>
      <c r="BD5" s="107"/>
      <c r="BE5" s="107"/>
      <c r="BF5" s="284">
        <f>'交易性-股票'!BF5</f>
        <v>0</v>
      </c>
      <c r="BG5" s="284">
        <f>'交易性-股票'!BG5</f>
        <v>0</v>
      </c>
      <c r="BI5" s="165"/>
      <c r="BJ5" s="165"/>
      <c r="BL5" s="103"/>
      <c r="BM5" s="103"/>
      <c r="BO5" s="111"/>
      <c r="BQ5" s="78"/>
      <c r="BV5" s="194"/>
      <c r="BW5" s="111"/>
    </row>
    <row r="6" s="72" customFormat="1" ht="25.2" customHeight="1" spans="1:75">
      <c r="A6" s="112" t="s">
        <v>305</v>
      </c>
      <c r="B6" s="113" t="s">
        <v>1801</v>
      </c>
      <c r="C6" s="113" t="s">
        <v>1802</v>
      </c>
      <c r="D6" s="113" t="s">
        <v>1803</v>
      </c>
      <c r="E6" s="113" t="s">
        <v>1743</v>
      </c>
      <c r="F6" s="114" t="s">
        <v>1631</v>
      </c>
      <c r="G6" s="115" t="s">
        <v>1632</v>
      </c>
      <c r="H6" s="116" t="s">
        <v>1745</v>
      </c>
      <c r="I6" s="115" t="s">
        <v>1633</v>
      </c>
      <c r="J6" s="113" t="s">
        <v>1746</v>
      </c>
      <c r="K6" s="113" t="s">
        <v>1549</v>
      </c>
      <c r="L6" s="117" t="s">
        <v>1634</v>
      </c>
      <c r="M6" s="113" t="s">
        <v>1523</v>
      </c>
      <c r="N6" s="118" t="s">
        <v>1804</v>
      </c>
      <c r="O6" s="113" t="s">
        <v>1550</v>
      </c>
      <c r="P6" s="113" t="s">
        <v>1525</v>
      </c>
      <c r="Q6" s="113" t="s">
        <v>1551</v>
      </c>
      <c r="R6" s="113" t="s">
        <v>308</v>
      </c>
      <c r="BA6" s="100" t="s">
        <v>1545</v>
      </c>
      <c r="BB6" s="100" t="s">
        <v>1635</v>
      </c>
      <c r="BC6" s="100" t="s">
        <v>1636</v>
      </c>
      <c r="BD6" s="100" t="s">
        <v>1637</v>
      </c>
      <c r="BE6" s="100" t="s">
        <v>1638</v>
      </c>
      <c r="BF6" s="115" t="s">
        <v>1639</v>
      </c>
      <c r="BG6" s="115" t="s">
        <v>1640</v>
      </c>
      <c r="BH6" s="113" t="s">
        <v>1748</v>
      </c>
      <c r="BI6" s="113" t="s">
        <v>1749</v>
      </c>
      <c r="BJ6" s="118" t="s">
        <v>1750</v>
      </c>
      <c r="BK6" s="113" t="s">
        <v>1644</v>
      </c>
      <c r="BL6" s="184" t="s">
        <v>1805</v>
      </c>
      <c r="BM6" s="184" t="str">
        <f t="shared" ref="BM6:BM26" si="0">N6</f>
        <v>基准日净值/份</v>
      </c>
      <c r="BN6" s="184" t="s">
        <v>1524</v>
      </c>
      <c r="BO6" s="119"/>
      <c r="BP6" s="120" t="s">
        <v>1645</v>
      </c>
      <c r="BQ6" s="121" t="s">
        <v>1646</v>
      </c>
      <c r="BR6" s="121" t="s">
        <v>1647</v>
      </c>
      <c r="BS6" s="121" t="s">
        <v>1648</v>
      </c>
      <c r="BT6" s="121" t="s">
        <v>1647</v>
      </c>
      <c r="BU6" s="121" t="s">
        <v>1647</v>
      </c>
      <c r="BV6" s="121" t="s">
        <v>1649</v>
      </c>
      <c r="BW6" s="122" t="s">
        <v>1650</v>
      </c>
    </row>
    <row r="7" ht="15" customHeight="1" spans="1:75">
      <c r="A7" s="123" t="str">
        <f>IF(B7="","",COUNT(A$6:A6)+1)</f>
        <v/>
      </c>
      <c r="B7" s="124"/>
      <c r="C7" s="126"/>
      <c r="D7" s="126"/>
      <c r="E7" s="125"/>
      <c r="F7" s="127"/>
      <c r="G7" s="127" t="str">
        <f>IFERROR(VLOOKUP(F7,参数表!$H$2:$I$50,2,FALSE),"")</f>
        <v/>
      </c>
      <c r="H7" s="128" t="str">
        <f>IFERROR(IF(OR(F7="人民币",F7=""),"",J7/G7),"")</f>
        <v/>
      </c>
      <c r="I7" s="128" t="str">
        <f>IFERROR(IF(OR(F7="人民币",F7=""),"",M7/G7),"")</f>
        <v/>
      </c>
      <c r="J7" s="129"/>
      <c r="K7" s="129"/>
      <c r="L7" s="130"/>
      <c r="M7" s="129" t="str">
        <f>IF(C7="","",K7+L7)</f>
        <v/>
      </c>
      <c r="N7" s="129"/>
      <c r="O7" s="129" t="str">
        <f>IF(C7="","",IF(BB$3="是",E7*N7,""))</f>
        <v/>
      </c>
      <c r="P7" s="129" t="str">
        <f t="shared" ref="P7:P27" si="1">IFERROR(O7-M7,"")</f>
        <v/>
      </c>
      <c r="Q7" s="129" t="str">
        <f t="shared" ref="Q7:Q27" si="2">IFERROR(P7/M7*100,"")</f>
        <v/>
      </c>
      <c r="R7" s="131"/>
      <c r="BA7" s="78"/>
      <c r="BB7" s="132" t="s">
        <v>1876</v>
      </c>
      <c r="BC7" s="133"/>
      <c r="BD7" s="132" t="str">
        <f>IF(OR(B7="",BC7=""),"",COUNTIF(BC$7:BC7,"√"))</f>
        <v/>
      </c>
      <c r="BE7" s="134" t="str">
        <f t="shared" ref="BE7:BE26" si="3">IF(BC7="","",BB7&amp;"︱"&amp;B7&amp;"︱"&amp;TEXT(K7,"#,##0.00"))</f>
        <v/>
      </c>
      <c r="BF7" s="135" t="str">
        <f>IF($B7="","",IF(BF$5=0,"OK","出错"))</f>
        <v/>
      </c>
      <c r="BG7" s="135" t="str">
        <f>IF($B7="","",IF(BG$5=0,"OK","出错"))</f>
        <v/>
      </c>
      <c r="BH7" s="136"/>
      <c r="BI7" s="136"/>
      <c r="BJ7" s="136"/>
      <c r="BK7" s="137"/>
      <c r="BM7" s="347">
        <f t="shared" si="0"/>
        <v>0</v>
      </c>
      <c r="BN7" s="347">
        <f>BL7*BM7</f>
        <v>0</v>
      </c>
      <c r="BP7" s="134" t="str">
        <f>IF(COUNTIF(BP$6:BP6,D7)&gt;0,"",D7)&amp;""</f>
        <v/>
      </c>
      <c r="BQ7" s="138">
        <f>SUMIF(D$7:D$26,BP7,M$7:M$26)</f>
        <v>0</v>
      </c>
      <c r="BR7" s="132">
        <f t="shared" ref="BR7" si="4">RANK(BQ7,BQ$7:BQ$26)</f>
        <v>1</v>
      </c>
      <c r="BS7" s="138">
        <f>SUMIF(D$7:D$26,BP7,O$7:O$26)</f>
        <v>0</v>
      </c>
      <c r="BT7" s="132">
        <f>RANK(BS7,BS$7:BS$26)</f>
        <v>1</v>
      </c>
      <c r="BU7" s="138">
        <f>SUM(BQ7:BQ26)</f>
        <v>0</v>
      </c>
      <c r="BV7" s="138"/>
      <c r="BW7" s="138"/>
    </row>
    <row r="8" ht="15" customHeight="1" spans="1:75">
      <c r="A8" s="123" t="str">
        <f>IF(B8="","",COUNT(A$6:A7)+1)</f>
        <v/>
      </c>
      <c r="B8" s="139"/>
      <c r="C8" s="141"/>
      <c r="D8" s="141"/>
      <c r="E8" s="140"/>
      <c r="F8" s="142"/>
      <c r="G8" s="127" t="str">
        <f>IFERROR(VLOOKUP(F8,参数表!$H$2:$I$50,2,FALSE),"")</f>
        <v/>
      </c>
      <c r="H8" s="128" t="str">
        <f t="shared" ref="H8:H26" si="5">IFERROR(IF(OR(F8="人民币",F8=""),"",J8/G8),"")</f>
        <v/>
      </c>
      <c r="I8" s="128" t="str">
        <f t="shared" ref="I8:I26" si="6">IFERROR(IF(OR(F8="人民币",F8=""),"",M8/G8),"")</f>
        <v/>
      </c>
      <c r="J8" s="143"/>
      <c r="K8" s="143"/>
      <c r="L8" s="144"/>
      <c r="M8" s="129" t="str">
        <f t="shared" ref="M8:M26" si="7">IF(C8="","",K8+L8)</f>
        <v/>
      </c>
      <c r="N8" s="143"/>
      <c r="O8" s="129" t="str">
        <f t="shared" ref="O8:O25" si="8">IF(C8="","",IF(BB$3="是",E8*N8,""))</f>
        <v/>
      </c>
      <c r="P8" s="129" t="str">
        <f t="shared" si="1"/>
        <v/>
      </c>
      <c r="Q8" s="129" t="str">
        <f t="shared" si="2"/>
        <v/>
      </c>
      <c r="R8" s="145"/>
      <c r="BA8" s="78"/>
      <c r="BB8" s="132" t="s">
        <v>1877</v>
      </c>
      <c r="BC8" s="133"/>
      <c r="BD8" s="132" t="str">
        <f>IF(OR(B8="",BC8=""),"",COUNTIF(BC$7:BC8,"√"))</f>
        <v/>
      </c>
      <c r="BE8" s="134" t="str">
        <f t="shared" si="3"/>
        <v/>
      </c>
      <c r="BF8" s="135" t="str">
        <f t="shared" ref="BF8:BG26" si="9">IF($B8="","",IF(BF$5=0,"OK","出错"))</f>
        <v/>
      </c>
      <c r="BG8" s="135" t="str">
        <f t="shared" si="9"/>
        <v/>
      </c>
      <c r="BH8" s="136"/>
      <c r="BI8" s="136"/>
      <c r="BJ8" s="136"/>
      <c r="BK8" s="137"/>
      <c r="BM8" s="347">
        <f t="shared" si="0"/>
        <v>0</v>
      </c>
      <c r="BN8" s="347">
        <f t="shared" ref="BN8:BN26" si="10">BL8*BM8</f>
        <v>0</v>
      </c>
      <c r="BP8" s="134" t="str">
        <f>IF(COUNTIF(BP$6:BP7,D8)&gt;0,"",D8)&amp;""</f>
        <v/>
      </c>
      <c r="BQ8" s="138">
        <f t="shared" ref="BQ8:BQ26" si="11">SUMIF(D$7:D$26,BP8,M$7:M$26)</f>
        <v>0</v>
      </c>
      <c r="BR8" s="132">
        <f t="shared" ref="BR8:BR26" si="12">RANK(BQ8,BQ$7:BQ$26)</f>
        <v>1</v>
      </c>
      <c r="BS8" s="138">
        <f t="shared" ref="BS8:BS26" si="13">SUMIF(D$7:D$26,BP8,O$7:O$26)</f>
        <v>0</v>
      </c>
      <c r="BT8" s="132">
        <f t="shared" ref="BT8:BT26" si="14">RANK(BS8,BS$7:BS$26)</f>
        <v>1</v>
      </c>
      <c r="BU8" s="138">
        <f>SUM(BS7:BS26)</f>
        <v>0</v>
      </c>
      <c r="BV8" s="138"/>
      <c r="BW8" s="138"/>
    </row>
    <row r="9" ht="15" customHeight="1" spans="1:75">
      <c r="A9" s="123" t="str">
        <f>IF(B9="","",COUNT(A$6:A8)+1)</f>
        <v/>
      </c>
      <c r="B9" s="139"/>
      <c r="C9" s="141"/>
      <c r="D9" s="141"/>
      <c r="E9" s="140"/>
      <c r="F9" s="142"/>
      <c r="G9" s="127" t="str">
        <f>IFERROR(VLOOKUP(F9,参数表!$H$2:$I$50,2,FALSE),"")</f>
        <v/>
      </c>
      <c r="H9" s="128" t="str">
        <f t="shared" si="5"/>
        <v/>
      </c>
      <c r="I9" s="128" t="str">
        <f t="shared" si="6"/>
        <v/>
      </c>
      <c r="J9" s="143"/>
      <c r="K9" s="143"/>
      <c r="L9" s="144"/>
      <c r="M9" s="129" t="str">
        <f t="shared" si="7"/>
        <v/>
      </c>
      <c r="N9" s="143"/>
      <c r="O9" s="129" t="str">
        <f t="shared" si="8"/>
        <v/>
      </c>
      <c r="P9" s="129" t="str">
        <f t="shared" si="1"/>
        <v/>
      </c>
      <c r="Q9" s="129" t="str">
        <f t="shared" si="2"/>
        <v/>
      </c>
      <c r="R9" s="145"/>
      <c r="BA9" s="78"/>
      <c r="BB9" s="132" t="s">
        <v>1878</v>
      </c>
      <c r="BC9" s="133"/>
      <c r="BD9" s="132" t="str">
        <f>IF(OR(B9="",BC9=""),"",COUNTIF(BC$7:BC9,"√"))</f>
        <v/>
      </c>
      <c r="BE9" s="134" t="str">
        <f t="shared" si="3"/>
        <v/>
      </c>
      <c r="BF9" s="135" t="str">
        <f t="shared" si="9"/>
        <v/>
      </c>
      <c r="BG9" s="135" t="str">
        <f t="shared" si="9"/>
        <v/>
      </c>
      <c r="BH9" s="136"/>
      <c r="BI9" s="136"/>
      <c r="BJ9" s="136"/>
      <c r="BK9" s="137"/>
      <c r="BM9" s="347">
        <f t="shared" si="0"/>
        <v>0</v>
      </c>
      <c r="BN9" s="347">
        <f t="shared" si="10"/>
        <v>0</v>
      </c>
      <c r="BP9" s="134" t="str">
        <f>IF(COUNTIF(BP$6:BP8,D9)&gt;0,"",D9)&amp;""</f>
        <v/>
      </c>
      <c r="BQ9" s="138">
        <f t="shared" si="11"/>
        <v>0</v>
      </c>
      <c r="BR9" s="132">
        <f t="shared" si="12"/>
        <v>1</v>
      </c>
      <c r="BS9" s="138">
        <f t="shared" si="13"/>
        <v>0</v>
      </c>
      <c r="BT9" s="132">
        <f t="shared" si="14"/>
        <v>1</v>
      </c>
      <c r="BU9" s="132">
        <v>1</v>
      </c>
      <c r="BV9" s="134" t="str">
        <f>IFERROR(INDEX(BP$7:BP$26,MATCH(BU9,IF(BU$7=0,BT$7:BT$26,BR$7:BR$26),0))&amp;"","")</f>
        <v/>
      </c>
      <c r="BW9" s="146" t="str">
        <f>IF(BV10="","",IF(BV11="","和","、"))</f>
        <v/>
      </c>
    </row>
    <row r="10" ht="15" customHeight="1" spans="1:75">
      <c r="A10" s="123" t="str">
        <f>IF(B10="","",COUNT(A$6:A9)+1)</f>
        <v/>
      </c>
      <c r="B10" s="139"/>
      <c r="C10" s="141"/>
      <c r="D10" s="141"/>
      <c r="E10" s="140"/>
      <c r="F10" s="142"/>
      <c r="G10" s="127" t="str">
        <f>IFERROR(VLOOKUP(F10,参数表!$H$2:$I$50,2,FALSE),"")</f>
        <v/>
      </c>
      <c r="H10" s="128" t="str">
        <f t="shared" si="5"/>
        <v/>
      </c>
      <c r="I10" s="128" t="str">
        <f t="shared" si="6"/>
        <v/>
      </c>
      <c r="J10" s="143"/>
      <c r="K10" s="143"/>
      <c r="L10" s="144"/>
      <c r="M10" s="129" t="str">
        <f t="shared" si="7"/>
        <v/>
      </c>
      <c r="N10" s="143"/>
      <c r="O10" s="129" t="str">
        <f t="shared" si="8"/>
        <v/>
      </c>
      <c r="P10" s="129" t="str">
        <f t="shared" si="1"/>
        <v/>
      </c>
      <c r="Q10" s="129" t="str">
        <f t="shared" si="2"/>
        <v/>
      </c>
      <c r="R10" s="145"/>
      <c r="BA10" s="78"/>
      <c r="BB10" s="132" t="s">
        <v>1879</v>
      </c>
      <c r="BC10" s="133"/>
      <c r="BD10" s="132" t="str">
        <f>IF(OR(B10="",BC10=""),"",COUNTIF(BC$7:BC10,"√"))</f>
        <v/>
      </c>
      <c r="BE10" s="134" t="str">
        <f t="shared" si="3"/>
        <v/>
      </c>
      <c r="BF10" s="135" t="str">
        <f t="shared" si="9"/>
        <v/>
      </c>
      <c r="BG10" s="135" t="str">
        <f t="shared" si="9"/>
        <v/>
      </c>
      <c r="BH10" s="136"/>
      <c r="BI10" s="136"/>
      <c r="BJ10" s="136"/>
      <c r="BK10" s="137"/>
      <c r="BM10" s="347">
        <f t="shared" si="0"/>
        <v>0</v>
      </c>
      <c r="BN10" s="347">
        <f t="shared" si="10"/>
        <v>0</v>
      </c>
      <c r="BP10" s="134" t="str">
        <f>IF(COUNTIF(BP$6:BP9,D10)&gt;0,"",D10)&amp;""</f>
        <v/>
      </c>
      <c r="BQ10" s="138">
        <f t="shared" si="11"/>
        <v>0</v>
      </c>
      <c r="BR10" s="132">
        <f t="shared" si="12"/>
        <v>1</v>
      </c>
      <c r="BS10" s="138">
        <f t="shared" si="13"/>
        <v>0</v>
      </c>
      <c r="BT10" s="132">
        <f t="shared" si="14"/>
        <v>1</v>
      </c>
      <c r="BU10" s="132">
        <v>2</v>
      </c>
      <c r="BV10" s="134" t="str">
        <f t="shared" ref="BV10:BV13" si="15">IFERROR(INDEX(BP$7:BP$26,MATCH(BU10,IF(BU$7=0,BT$7:BT$26,BR$7:BR$26),0))&amp;"","")</f>
        <v/>
      </c>
      <c r="BW10" s="146" t="str">
        <f t="shared" ref="BW10:BW11" si="16">IF(BV11="","",IF(BV12="","和","、"))</f>
        <v/>
      </c>
    </row>
    <row r="11" ht="15" customHeight="1" spans="1:75">
      <c r="A11" s="123" t="str">
        <f>IF(B11="","",COUNT(A$6:A10)+1)</f>
        <v/>
      </c>
      <c r="B11" s="139"/>
      <c r="C11" s="141"/>
      <c r="D11" s="141"/>
      <c r="E11" s="140"/>
      <c r="F11" s="142"/>
      <c r="G11" s="127" t="str">
        <f>IFERROR(VLOOKUP(F11,参数表!$H$2:$I$50,2,FALSE),"")</f>
        <v/>
      </c>
      <c r="H11" s="128" t="str">
        <f t="shared" si="5"/>
        <v/>
      </c>
      <c r="I11" s="128" t="str">
        <f t="shared" si="6"/>
        <v/>
      </c>
      <c r="J11" s="143"/>
      <c r="K11" s="143"/>
      <c r="L11" s="144"/>
      <c r="M11" s="129" t="str">
        <f t="shared" si="7"/>
        <v/>
      </c>
      <c r="N11" s="143"/>
      <c r="O11" s="129" t="str">
        <f t="shared" si="8"/>
        <v/>
      </c>
      <c r="P11" s="129" t="str">
        <f t="shared" si="1"/>
        <v/>
      </c>
      <c r="Q11" s="129" t="str">
        <f t="shared" si="2"/>
        <v/>
      </c>
      <c r="R11" s="145"/>
      <c r="BA11" s="78"/>
      <c r="BB11" s="132" t="s">
        <v>1880</v>
      </c>
      <c r="BC11" s="133"/>
      <c r="BD11" s="132" t="str">
        <f>IF(OR(B11="",BC11=""),"",COUNTIF(BC$7:BC11,"√"))</f>
        <v/>
      </c>
      <c r="BE11" s="134" t="str">
        <f t="shared" si="3"/>
        <v/>
      </c>
      <c r="BF11" s="135" t="str">
        <f t="shared" si="9"/>
        <v/>
      </c>
      <c r="BG11" s="135" t="str">
        <f t="shared" si="9"/>
        <v/>
      </c>
      <c r="BH11" s="136"/>
      <c r="BI11" s="136"/>
      <c r="BJ11" s="136"/>
      <c r="BK11" s="137"/>
      <c r="BM11" s="347">
        <f t="shared" si="0"/>
        <v>0</v>
      </c>
      <c r="BN11" s="347">
        <f t="shared" si="10"/>
        <v>0</v>
      </c>
      <c r="BP11" s="134" t="str">
        <f>IF(COUNTIF(BP$6:BP10,D11)&gt;0,"",D11)&amp;""</f>
        <v/>
      </c>
      <c r="BQ11" s="138">
        <f t="shared" si="11"/>
        <v>0</v>
      </c>
      <c r="BR11" s="132">
        <f t="shared" si="12"/>
        <v>1</v>
      </c>
      <c r="BS11" s="138">
        <f t="shared" si="13"/>
        <v>0</v>
      </c>
      <c r="BT11" s="132">
        <f t="shared" si="14"/>
        <v>1</v>
      </c>
      <c r="BU11" s="132">
        <v>3</v>
      </c>
      <c r="BV11" s="134" t="str">
        <f t="shared" si="15"/>
        <v/>
      </c>
      <c r="BW11" s="146" t="str">
        <f t="shared" si="16"/>
        <v/>
      </c>
    </row>
    <row r="12" ht="15" customHeight="1" spans="1:75">
      <c r="A12" s="123" t="str">
        <f>IF(B12="","",COUNT(A$6:A11)+1)</f>
        <v/>
      </c>
      <c r="B12" s="139"/>
      <c r="C12" s="141"/>
      <c r="D12" s="141"/>
      <c r="E12" s="140"/>
      <c r="F12" s="142"/>
      <c r="G12" s="127" t="str">
        <f>IFERROR(VLOOKUP(F12,参数表!$H$2:$I$50,2,FALSE),"")</f>
        <v/>
      </c>
      <c r="H12" s="128" t="str">
        <f t="shared" si="5"/>
        <v/>
      </c>
      <c r="I12" s="128" t="str">
        <f t="shared" si="6"/>
        <v/>
      </c>
      <c r="J12" s="143"/>
      <c r="K12" s="143"/>
      <c r="L12" s="144"/>
      <c r="M12" s="129" t="str">
        <f t="shared" si="7"/>
        <v/>
      </c>
      <c r="N12" s="143"/>
      <c r="O12" s="129" t="str">
        <f t="shared" si="8"/>
        <v/>
      </c>
      <c r="P12" s="129" t="str">
        <f t="shared" si="1"/>
        <v/>
      </c>
      <c r="Q12" s="129" t="str">
        <f t="shared" si="2"/>
        <v/>
      </c>
      <c r="R12" s="145"/>
      <c r="BA12" s="78"/>
      <c r="BB12" s="132" t="s">
        <v>1881</v>
      </c>
      <c r="BC12" s="133"/>
      <c r="BD12" s="132" t="str">
        <f>IF(OR(B12="",BC12=""),"",COUNTIF(BC$7:BC12,"√"))</f>
        <v/>
      </c>
      <c r="BE12" s="134" t="str">
        <f t="shared" si="3"/>
        <v/>
      </c>
      <c r="BF12" s="135" t="str">
        <f t="shared" si="9"/>
        <v/>
      </c>
      <c r="BG12" s="135" t="str">
        <f t="shared" si="9"/>
        <v/>
      </c>
      <c r="BH12" s="136"/>
      <c r="BI12" s="136"/>
      <c r="BJ12" s="136"/>
      <c r="BK12" s="137"/>
      <c r="BM12" s="347">
        <f t="shared" si="0"/>
        <v>0</v>
      </c>
      <c r="BN12" s="347">
        <f t="shared" si="10"/>
        <v>0</v>
      </c>
      <c r="BP12" s="134" t="str">
        <f>IF(COUNTIF(BP$6:BP11,D12)&gt;0,"",D12)&amp;""</f>
        <v/>
      </c>
      <c r="BQ12" s="138">
        <f t="shared" si="11"/>
        <v>0</v>
      </c>
      <c r="BR12" s="132">
        <f t="shared" si="12"/>
        <v>1</v>
      </c>
      <c r="BS12" s="138">
        <f t="shared" si="13"/>
        <v>0</v>
      </c>
      <c r="BT12" s="132">
        <f t="shared" si="14"/>
        <v>1</v>
      </c>
      <c r="BU12" s="132">
        <v>4</v>
      </c>
      <c r="BV12" s="134" t="str">
        <f t="shared" si="15"/>
        <v/>
      </c>
      <c r="BW12" s="146" t="str">
        <f>IF(BV13="","","和")</f>
        <v/>
      </c>
    </row>
    <row r="13" ht="15" customHeight="1" spans="1:75">
      <c r="A13" s="123" t="str">
        <f>IF(B13="","",COUNT(A$6:A12)+1)</f>
        <v/>
      </c>
      <c r="B13" s="139"/>
      <c r="C13" s="141"/>
      <c r="D13" s="141"/>
      <c r="E13" s="140"/>
      <c r="F13" s="142"/>
      <c r="G13" s="127" t="str">
        <f>IFERROR(VLOOKUP(F13,参数表!$H$2:$I$50,2,FALSE),"")</f>
        <v/>
      </c>
      <c r="H13" s="128" t="str">
        <f t="shared" si="5"/>
        <v/>
      </c>
      <c r="I13" s="128" t="str">
        <f t="shared" si="6"/>
        <v/>
      </c>
      <c r="J13" s="143"/>
      <c r="K13" s="143"/>
      <c r="L13" s="144"/>
      <c r="M13" s="129" t="str">
        <f t="shared" si="7"/>
        <v/>
      </c>
      <c r="N13" s="143"/>
      <c r="O13" s="129" t="str">
        <f t="shared" si="8"/>
        <v/>
      </c>
      <c r="P13" s="129" t="str">
        <f t="shared" si="1"/>
        <v/>
      </c>
      <c r="Q13" s="129" t="str">
        <f t="shared" si="2"/>
        <v/>
      </c>
      <c r="R13" s="145"/>
      <c r="BA13" s="78"/>
      <c r="BB13" s="132" t="s">
        <v>1882</v>
      </c>
      <c r="BC13" s="133"/>
      <c r="BD13" s="132" t="str">
        <f>IF(OR(B13="",BC13=""),"",COUNTIF(BC$7:BC13,"√"))</f>
        <v/>
      </c>
      <c r="BE13" s="134" t="str">
        <f t="shared" si="3"/>
        <v/>
      </c>
      <c r="BF13" s="135" t="str">
        <f t="shared" si="9"/>
        <v/>
      </c>
      <c r="BG13" s="135" t="str">
        <f t="shared" si="9"/>
        <v/>
      </c>
      <c r="BH13" s="136"/>
      <c r="BI13" s="136"/>
      <c r="BJ13" s="136"/>
      <c r="BK13" s="137"/>
      <c r="BM13" s="347">
        <f t="shared" si="0"/>
        <v>0</v>
      </c>
      <c r="BN13" s="347">
        <f t="shared" si="10"/>
        <v>0</v>
      </c>
      <c r="BP13" s="134" t="str">
        <f>IF(COUNTIF(BP$6:BP12,D13)&gt;0,"",D13)&amp;""</f>
        <v/>
      </c>
      <c r="BQ13" s="138">
        <f t="shared" si="11"/>
        <v>0</v>
      </c>
      <c r="BR13" s="132">
        <f t="shared" si="12"/>
        <v>1</v>
      </c>
      <c r="BS13" s="138">
        <f t="shared" si="13"/>
        <v>0</v>
      </c>
      <c r="BT13" s="132">
        <f t="shared" si="14"/>
        <v>1</v>
      </c>
      <c r="BU13" s="132">
        <v>5</v>
      </c>
      <c r="BV13" s="134" t="str">
        <f t="shared" si="15"/>
        <v/>
      </c>
      <c r="BW13" s="146"/>
    </row>
    <row r="14" ht="15" customHeight="1" spans="1:75">
      <c r="A14" s="123" t="str">
        <f>IF(B14="","",COUNT(A$6:A13)+1)</f>
        <v/>
      </c>
      <c r="B14" s="139"/>
      <c r="C14" s="141"/>
      <c r="D14" s="141"/>
      <c r="E14" s="140"/>
      <c r="F14" s="142"/>
      <c r="G14" s="127" t="str">
        <f>IFERROR(VLOOKUP(F14,参数表!$H$2:$I$50,2,FALSE),"")</f>
        <v/>
      </c>
      <c r="H14" s="128" t="str">
        <f t="shared" si="5"/>
        <v/>
      </c>
      <c r="I14" s="128" t="str">
        <f t="shared" si="6"/>
        <v/>
      </c>
      <c r="J14" s="143"/>
      <c r="K14" s="143"/>
      <c r="L14" s="144"/>
      <c r="M14" s="129" t="str">
        <f t="shared" si="7"/>
        <v/>
      </c>
      <c r="N14" s="143"/>
      <c r="O14" s="129" t="str">
        <f t="shared" si="8"/>
        <v/>
      </c>
      <c r="P14" s="129" t="str">
        <f t="shared" si="1"/>
        <v/>
      </c>
      <c r="Q14" s="129" t="str">
        <f t="shared" si="2"/>
        <v/>
      </c>
      <c r="R14" s="145"/>
      <c r="BA14" s="78"/>
      <c r="BB14" s="132" t="s">
        <v>1883</v>
      </c>
      <c r="BC14" s="133"/>
      <c r="BD14" s="132" t="str">
        <f>IF(OR(B14="",BC14=""),"",COUNTIF(BC$7:BC14,"√"))</f>
        <v/>
      </c>
      <c r="BE14" s="134" t="str">
        <f t="shared" si="3"/>
        <v/>
      </c>
      <c r="BF14" s="135" t="str">
        <f t="shared" si="9"/>
        <v/>
      </c>
      <c r="BG14" s="135" t="str">
        <f t="shared" si="9"/>
        <v/>
      </c>
      <c r="BH14" s="136"/>
      <c r="BI14" s="136"/>
      <c r="BJ14" s="136"/>
      <c r="BK14" s="137"/>
      <c r="BM14" s="347">
        <f t="shared" si="0"/>
        <v>0</v>
      </c>
      <c r="BN14" s="347">
        <f t="shared" si="10"/>
        <v>0</v>
      </c>
      <c r="BP14" s="134" t="str">
        <f>IF(COUNTIF(BP$6:BP13,D14)&gt;0,"",D14)&amp;""</f>
        <v/>
      </c>
      <c r="BQ14" s="138">
        <f t="shared" si="11"/>
        <v>0</v>
      </c>
      <c r="BR14" s="132">
        <f t="shared" si="12"/>
        <v>1</v>
      </c>
      <c r="BS14" s="138">
        <f t="shared" si="13"/>
        <v>0</v>
      </c>
      <c r="BT14" s="132">
        <f t="shared" si="14"/>
        <v>1</v>
      </c>
      <c r="BU14" s="147" t="s">
        <v>1659</v>
      </c>
      <c r="BV14" s="132" t="str">
        <f>CONCATENATE(BV9,BW9,BV10,BW10,BV11,BW11,BV12,BW12,BV13)</f>
        <v/>
      </c>
      <c r="BW14" s="132"/>
    </row>
    <row r="15" ht="15" customHeight="1" spans="1:75">
      <c r="A15" s="123" t="str">
        <f>IF(B15="","",COUNT(A$6:A14)+1)</f>
        <v/>
      </c>
      <c r="B15" s="139"/>
      <c r="C15" s="141"/>
      <c r="D15" s="141"/>
      <c r="E15" s="140"/>
      <c r="F15" s="142"/>
      <c r="G15" s="127" t="str">
        <f>IFERROR(VLOOKUP(F15,参数表!$H$2:$I$50,2,FALSE),"")</f>
        <v/>
      </c>
      <c r="H15" s="128" t="str">
        <f t="shared" si="5"/>
        <v/>
      </c>
      <c r="I15" s="128" t="str">
        <f t="shared" si="6"/>
        <v/>
      </c>
      <c r="J15" s="143"/>
      <c r="K15" s="143"/>
      <c r="L15" s="144"/>
      <c r="M15" s="129" t="str">
        <f t="shared" si="7"/>
        <v/>
      </c>
      <c r="N15" s="143"/>
      <c r="O15" s="129" t="str">
        <f t="shared" si="8"/>
        <v/>
      </c>
      <c r="P15" s="129" t="str">
        <f t="shared" si="1"/>
        <v/>
      </c>
      <c r="Q15" s="129" t="str">
        <f t="shared" si="2"/>
        <v/>
      </c>
      <c r="R15" s="145"/>
      <c r="BA15" s="78"/>
      <c r="BB15" s="132" t="s">
        <v>1884</v>
      </c>
      <c r="BC15" s="133"/>
      <c r="BD15" s="132" t="str">
        <f>IF(OR(B15="",BC15=""),"",COUNTIF(BC$7:BC15,"√"))</f>
        <v/>
      </c>
      <c r="BE15" s="134" t="str">
        <f t="shared" si="3"/>
        <v/>
      </c>
      <c r="BF15" s="135" t="str">
        <f t="shared" si="9"/>
        <v/>
      </c>
      <c r="BG15" s="135" t="str">
        <f t="shared" si="9"/>
        <v/>
      </c>
      <c r="BH15" s="136"/>
      <c r="BI15" s="136"/>
      <c r="BJ15" s="136"/>
      <c r="BK15" s="137"/>
      <c r="BM15" s="347">
        <f t="shared" si="0"/>
        <v>0</v>
      </c>
      <c r="BN15" s="347">
        <f t="shared" si="10"/>
        <v>0</v>
      </c>
      <c r="BP15" s="134" t="str">
        <f>IF(COUNTIF(BP$6:BP14,D15)&gt;0,"",D15)&amp;""</f>
        <v/>
      </c>
      <c r="BQ15" s="138">
        <f t="shared" si="11"/>
        <v>0</v>
      </c>
      <c r="BR15" s="132">
        <f t="shared" si="12"/>
        <v>1</v>
      </c>
      <c r="BS15" s="138">
        <f t="shared" si="13"/>
        <v>0</v>
      </c>
      <c r="BT15" s="132">
        <f t="shared" si="14"/>
        <v>1</v>
      </c>
      <c r="BU15" s="133"/>
      <c r="BV15" s="133"/>
    </row>
    <row r="16" ht="15" customHeight="1" spans="1:75">
      <c r="A16" s="123" t="str">
        <f>IF(B16="","",COUNT(A$6:A15)+1)</f>
        <v/>
      </c>
      <c r="B16" s="139"/>
      <c r="C16" s="141"/>
      <c r="D16" s="141"/>
      <c r="E16" s="140"/>
      <c r="F16" s="142"/>
      <c r="G16" s="127" t="str">
        <f>IFERROR(VLOOKUP(F16,参数表!$H$2:$I$50,2,FALSE),"")</f>
        <v/>
      </c>
      <c r="H16" s="128" t="str">
        <f t="shared" si="5"/>
        <v/>
      </c>
      <c r="I16" s="128" t="str">
        <f t="shared" si="6"/>
        <v/>
      </c>
      <c r="J16" s="143"/>
      <c r="K16" s="143"/>
      <c r="L16" s="144"/>
      <c r="M16" s="129" t="str">
        <f t="shared" si="7"/>
        <v/>
      </c>
      <c r="N16" s="143"/>
      <c r="O16" s="129" t="str">
        <f t="shared" si="8"/>
        <v/>
      </c>
      <c r="P16" s="129" t="str">
        <f t="shared" si="1"/>
        <v/>
      </c>
      <c r="Q16" s="129" t="str">
        <f t="shared" si="2"/>
        <v/>
      </c>
      <c r="R16" s="145"/>
      <c r="BA16" s="78"/>
      <c r="BB16" s="132" t="s">
        <v>1885</v>
      </c>
      <c r="BC16" s="133"/>
      <c r="BD16" s="132" t="str">
        <f>IF(OR(B16="",BC16=""),"",COUNTIF(BC$7:BC16,"√"))</f>
        <v/>
      </c>
      <c r="BE16" s="134" t="str">
        <f t="shared" si="3"/>
        <v/>
      </c>
      <c r="BF16" s="135" t="str">
        <f t="shared" si="9"/>
        <v/>
      </c>
      <c r="BG16" s="135" t="str">
        <f t="shared" si="9"/>
        <v/>
      </c>
      <c r="BH16" s="136"/>
      <c r="BI16" s="136"/>
      <c r="BJ16" s="136"/>
      <c r="BK16" s="137"/>
      <c r="BM16" s="347">
        <f t="shared" si="0"/>
        <v>0</v>
      </c>
      <c r="BN16" s="347">
        <f t="shared" si="10"/>
        <v>0</v>
      </c>
      <c r="BP16" s="134" t="str">
        <f>IF(COUNTIF(BP$6:BP15,D16)&gt;0,"",D16)&amp;""</f>
        <v/>
      </c>
      <c r="BQ16" s="138">
        <f t="shared" si="11"/>
        <v>0</v>
      </c>
      <c r="BR16" s="132">
        <f t="shared" si="12"/>
        <v>1</v>
      </c>
      <c r="BS16" s="138">
        <f t="shared" si="13"/>
        <v>0</v>
      </c>
      <c r="BT16" s="132">
        <f t="shared" si="14"/>
        <v>1</v>
      </c>
      <c r="BU16" s="133"/>
      <c r="BV16" s="148"/>
    </row>
    <row r="17" ht="15" customHeight="1" spans="1:75">
      <c r="A17" s="123" t="str">
        <f>IF(B17="","",COUNT(A$6:A16)+1)</f>
        <v/>
      </c>
      <c r="B17" s="139"/>
      <c r="C17" s="141"/>
      <c r="D17" s="141"/>
      <c r="E17" s="140"/>
      <c r="F17" s="142"/>
      <c r="G17" s="127" t="str">
        <f>IFERROR(VLOOKUP(F17,参数表!$H$2:$I$50,2,FALSE),"")</f>
        <v/>
      </c>
      <c r="H17" s="128" t="str">
        <f t="shared" si="5"/>
        <v/>
      </c>
      <c r="I17" s="128" t="str">
        <f t="shared" si="6"/>
        <v/>
      </c>
      <c r="J17" s="143"/>
      <c r="K17" s="143"/>
      <c r="L17" s="144"/>
      <c r="M17" s="129" t="str">
        <f t="shared" si="7"/>
        <v/>
      </c>
      <c r="N17" s="143"/>
      <c r="O17" s="129" t="str">
        <f t="shared" si="8"/>
        <v/>
      </c>
      <c r="P17" s="129" t="str">
        <f t="shared" si="1"/>
        <v/>
      </c>
      <c r="Q17" s="129" t="str">
        <f t="shared" si="2"/>
        <v/>
      </c>
      <c r="R17" s="145"/>
      <c r="BA17" s="78"/>
      <c r="BB17" s="132" t="s">
        <v>1886</v>
      </c>
      <c r="BC17" s="133"/>
      <c r="BD17" s="132" t="str">
        <f>IF(OR(B17="",BC17=""),"",COUNTIF(BC$7:BC17,"√"))</f>
        <v/>
      </c>
      <c r="BE17" s="134" t="str">
        <f t="shared" si="3"/>
        <v/>
      </c>
      <c r="BF17" s="135" t="str">
        <f t="shared" si="9"/>
        <v/>
      </c>
      <c r="BG17" s="135" t="str">
        <f t="shared" si="9"/>
        <v/>
      </c>
      <c r="BH17" s="136"/>
      <c r="BI17" s="136"/>
      <c r="BJ17" s="136"/>
      <c r="BK17" s="137"/>
      <c r="BM17" s="347">
        <f t="shared" si="0"/>
        <v>0</v>
      </c>
      <c r="BN17" s="347">
        <f t="shared" si="10"/>
        <v>0</v>
      </c>
      <c r="BP17" s="134" t="str">
        <f>IF(COUNTIF(BP$6:BP16,D17)&gt;0,"",D17)&amp;""</f>
        <v/>
      </c>
      <c r="BQ17" s="138">
        <f t="shared" si="11"/>
        <v>0</v>
      </c>
      <c r="BR17" s="132">
        <f t="shared" si="12"/>
        <v>1</v>
      </c>
      <c r="BS17" s="138">
        <f t="shared" si="13"/>
        <v>0</v>
      </c>
      <c r="BT17" s="132">
        <f t="shared" si="14"/>
        <v>1</v>
      </c>
      <c r="BU17" s="133"/>
      <c r="BV17" s="133"/>
    </row>
    <row r="18" ht="15" customHeight="1" spans="1:75">
      <c r="A18" s="123" t="str">
        <f>IF(B18="","",COUNT(A$6:A17)+1)</f>
        <v/>
      </c>
      <c r="B18" s="139"/>
      <c r="C18" s="141"/>
      <c r="D18" s="141"/>
      <c r="E18" s="140"/>
      <c r="F18" s="142"/>
      <c r="G18" s="127" t="str">
        <f>IFERROR(VLOOKUP(F18,参数表!$H$2:$I$50,2,FALSE),"")</f>
        <v/>
      </c>
      <c r="H18" s="128" t="str">
        <f t="shared" si="5"/>
        <v/>
      </c>
      <c r="I18" s="128" t="str">
        <f t="shared" si="6"/>
        <v/>
      </c>
      <c r="J18" s="143"/>
      <c r="K18" s="143"/>
      <c r="L18" s="144"/>
      <c r="M18" s="129" t="str">
        <f t="shared" si="7"/>
        <v/>
      </c>
      <c r="N18" s="143"/>
      <c r="O18" s="129" t="str">
        <f t="shared" si="8"/>
        <v/>
      </c>
      <c r="P18" s="129" t="str">
        <f t="shared" si="1"/>
        <v/>
      </c>
      <c r="Q18" s="129" t="str">
        <f t="shared" si="2"/>
        <v/>
      </c>
      <c r="R18" s="145"/>
      <c r="BA18" s="78"/>
      <c r="BB18" s="132" t="s">
        <v>1887</v>
      </c>
      <c r="BC18" s="133"/>
      <c r="BD18" s="132" t="str">
        <f>IF(OR(B18="",BC18=""),"",COUNTIF(BC$7:BC18,"√"))</f>
        <v/>
      </c>
      <c r="BE18" s="134" t="str">
        <f t="shared" si="3"/>
        <v/>
      </c>
      <c r="BF18" s="135" t="str">
        <f t="shared" si="9"/>
        <v/>
      </c>
      <c r="BG18" s="135" t="str">
        <f t="shared" si="9"/>
        <v/>
      </c>
      <c r="BH18" s="136"/>
      <c r="BI18" s="136"/>
      <c r="BJ18" s="136"/>
      <c r="BK18" s="137"/>
      <c r="BM18" s="347">
        <f t="shared" si="0"/>
        <v>0</v>
      </c>
      <c r="BN18" s="347">
        <f t="shared" si="10"/>
        <v>0</v>
      </c>
      <c r="BP18" s="134" t="str">
        <f>IF(COUNTIF(BP$6:BP17,D18)&gt;0,"",D18)&amp;""</f>
        <v/>
      </c>
      <c r="BQ18" s="138">
        <f t="shared" si="11"/>
        <v>0</v>
      </c>
      <c r="BR18" s="132">
        <f t="shared" si="12"/>
        <v>1</v>
      </c>
      <c r="BS18" s="138">
        <f t="shared" si="13"/>
        <v>0</v>
      </c>
      <c r="BT18" s="132">
        <f t="shared" si="14"/>
        <v>1</v>
      </c>
      <c r="BU18" s="133"/>
      <c r="BV18" s="133"/>
    </row>
    <row r="19" ht="15" customHeight="1" spans="1:75">
      <c r="A19" s="123" t="str">
        <f>IF(B19="","",COUNT(A$6:A18)+1)</f>
        <v/>
      </c>
      <c r="B19" s="139"/>
      <c r="C19" s="141"/>
      <c r="D19" s="141"/>
      <c r="E19" s="140"/>
      <c r="F19" s="142"/>
      <c r="G19" s="127" t="str">
        <f>IFERROR(VLOOKUP(F19,参数表!$H$2:$I$50,2,FALSE),"")</f>
        <v/>
      </c>
      <c r="H19" s="128" t="str">
        <f t="shared" si="5"/>
        <v/>
      </c>
      <c r="I19" s="128" t="str">
        <f t="shared" si="6"/>
        <v/>
      </c>
      <c r="J19" s="143"/>
      <c r="K19" s="143"/>
      <c r="L19" s="144"/>
      <c r="M19" s="129" t="str">
        <f t="shared" si="7"/>
        <v/>
      </c>
      <c r="N19" s="143"/>
      <c r="O19" s="129" t="str">
        <f t="shared" si="8"/>
        <v/>
      </c>
      <c r="P19" s="129" t="str">
        <f t="shared" si="1"/>
        <v/>
      </c>
      <c r="Q19" s="129" t="str">
        <f t="shared" si="2"/>
        <v/>
      </c>
      <c r="R19" s="145"/>
      <c r="BA19" s="78"/>
      <c r="BB19" s="132" t="s">
        <v>1888</v>
      </c>
      <c r="BC19" s="133"/>
      <c r="BD19" s="132" t="str">
        <f>IF(OR(B19="",BC19=""),"",COUNTIF(BC$7:BC19,"√"))</f>
        <v/>
      </c>
      <c r="BE19" s="134" t="str">
        <f t="shared" si="3"/>
        <v/>
      </c>
      <c r="BF19" s="135" t="str">
        <f t="shared" si="9"/>
        <v/>
      </c>
      <c r="BG19" s="135" t="str">
        <f t="shared" si="9"/>
        <v/>
      </c>
      <c r="BH19" s="136"/>
      <c r="BI19" s="136"/>
      <c r="BJ19" s="136"/>
      <c r="BK19" s="137"/>
      <c r="BM19" s="347">
        <f t="shared" si="0"/>
        <v>0</v>
      </c>
      <c r="BN19" s="347">
        <f t="shared" si="10"/>
        <v>0</v>
      </c>
      <c r="BP19" s="134" t="str">
        <f>IF(COUNTIF(BP$6:BP18,D19)&gt;0,"",D19)&amp;""</f>
        <v/>
      </c>
      <c r="BQ19" s="138">
        <f t="shared" si="11"/>
        <v>0</v>
      </c>
      <c r="BR19" s="132">
        <f t="shared" si="12"/>
        <v>1</v>
      </c>
      <c r="BS19" s="138">
        <f t="shared" si="13"/>
        <v>0</v>
      </c>
      <c r="BT19" s="132">
        <f t="shared" si="14"/>
        <v>1</v>
      </c>
      <c r="BU19" s="133"/>
      <c r="BV19" s="133"/>
    </row>
    <row r="20" ht="15" customHeight="1" spans="1:75">
      <c r="A20" s="123" t="str">
        <f>IF(B20="","",COUNT(A$6:A19)+1)</f>
        <v/>
      </c>
      <c r="B20" s="139"/>
      <c r="C20" s="141"/>
      <c r="D20" s="141"/>
      <c r="E20" s="140"/>
      <c r="F20" s="142"/>
      <c r="G20" s="127" t="str">
        <f>IFERROR(VLOOKUP(F20,参数表!$H$2:$I$50,2,FALSE),"")</f>
        <v/>
      </c>
      <c r="H20" s="128" t="str">
        <f t="shared" si="5"/>
        <v/>
      </c>
      <c r="I20" s="128" t="str">
        <f t="shared" si="6"/>
        <v/>
      </c>
      <c r="J20" s="143"/>
      <c r="K20" s="143"/>
      <c r="L20" s="144"/>
      <c r="M20" s="129" t="str">
        <f t="shared" si="7"/>
        <v/>
      </c>
      <c r="N20" s="143"/>
      <c r="O20" s="129" t="str">
        <f t="shared" si="8"/>
        <v/>
      </c>
      <c r="P20" s="129" t="str">
        <f t="shared" si="1"/>
        <v/>
      </c>
      <c r="Q20" s="129" t="str">
        <f t="shared" si="2"/>
        <v/>
      </c>
      <c r="R20" s="145"/>
      <c r="BA20" s="78"/>
      <c r="BB20" s="132" t="s">
        <v>1889</v>
      </c>
      <c r="BC20" s="133"/>
      <c r="BD20" s="132" t="str">
        <f>IF(OR(B20="",BC20=""),"",COUNTIF(BC$7:BC20,"√"))</f>
        <v/>
      </c>
      <c r="BE20" s="134" t="str">
        <f t="shared" si="3"/>
        <v/>
      </c>
      <c r="BF20" s="135" t="str">
        <f t="shared" si="9"/>
        <v/>
      </c>
      <c r="BG20" s="135" t="str">
        <f t="shared" si="9"/>
        <v/>
      </c>
      <c r="BH20" s="136"/>
      <c r="BI20" s="136"/>
      <c r="BJ20" s="136"/>
      <c r="BK20" s="137"/>
      <c r="BM20" s="347">
        <f t="shared" si="0"/>
        <v>0</v>
      </c>
      <c r="BN20" s="347">
        <f t="shared" si="10"/>
        <v>0</v>
      </c>
      <c r="BP20" s="134" t="str">
        <f>IF(COUNTIF(BP$6:BP19,D20)&gt;0,"",D20)&amp;""</f>
        <v/>
      </c>
      <c r="BQ20" s="138">
        <f t="shared" si="11"/>
        <v>0</v>
      </c>
      <c r="BR20" s="132">
        <f t="shared" si="12"/>
        <v>1</v>
      </c>
      <c r="BS20" s="138">
        <f t="shared" si="13"/>
        <v>0</v>
      </c>
      <c r="BT20" s="132">
        <f t="shared" si="14"/>
        <v>1</v>
      </c>
      <c r="BU20" s="133"/>
      <c r="BV20" s="133"/>
    </row>
    <row r="21" ht="15" customHeight="1" spans="1:75">
      <c r="A21" s="123" t="str">
        <f>IF(B21="","",COUNT(A$6:A20)+1)</f>
        <v/>
      </c>
      <c r="B21" s="139"/>
      <c r="C21" s="141"/>
      <c r="D21" s="141"/>
      <c r="E21" s="140"/>
      <c r="F21" s="142"/>
      <c r="G21" s="127" t="str">
        <f>IFERROR(VLOOKUP(F21,参数表!$H$2:$I$50,2,FALSE),"")</f>
        <v/>
      </c>
      <c r="H21" s="128" t="str">
        <f t="shared" si="5"/>
        <v/>
      </c>
      <c r="I21" s="128" t="str">
        <f t="shared" si="6"/>
        <v/>
      </c>
      <c r="J21" s="143"/>
      <c r="K21" s="143"/>
      <c r="L21" s="144"/>
      <c r="M21" s="129" t="str">
        <f t="shared" si="7"/>
        <v/>
      </c>
      <c r="N21" s="143"/>
      <c r="O21" s="129" t="str">
        <f t="shared" si="8"/>
        <v/>
      </c>
      <c r="P21" s="129" t="str">
        <f t="shared" si="1"/>
        <v/>
      </c>
      <c r="Q21" s="129" t="str">
        <f t="shared" si="2"/>
        <v/>
      </c>
      <c r="R21" s="145"/>
      <c r="BA21" s="78"/>
      <c r="BB21" s="132" t="s">
        <v>1890</v>
      </c>
      <c r="BC21" s="133"/>
      <c r="BD21" s="132" t="str">
        <f>IF(OR(B21="",BC21=""),"",COUNTIF(BC$7:BC21,"√"))</f>
        <v/>
      </c>
      <c r="BE21" s="134" t="str">
        <f t="shared" si="3"/>
        <v/>
      </c>
      <c r="BF21" s="135" t="str">
        <f t="shared" si="9"/>
        <v/>
      </c>
      <c r="BG21" s="135" t="str">
        <f t="shared" si="9"/>
        <v/>
      </c>
      <c r="BH21" s="136"/>
      <c r="BI21" s="136"/>
      <c r="BJ21" s="136"/>
      <c r="BK21" s="137"/>
      <c r="BM21" s="347">
        <f t="shared" si="0"/>
        <v>0</v>
      </c>
      <c r="BN21" s="347">
        <f t="shared" si="10"/>
        <v>0</v>
      </c>
      <c r="BP21" s="134" t="str">
        <f>IF(COUNTIF(BP$6:BP20,D21)&gt;0,"",D21)&amp;""</f>
        <v/>
      </c>
      <c r="BQ21" s="138">
        <f t="shared" si="11"/>
        <v>0</v>
      </c>
      <c r="BR21" s="132">
        <f t="shared" si="12"/>
        <v>1</v>
      </c>
      <c r="BS21" s="138">
        <f t="shared" si="13"/>
        <v>0</v>
      </c>
      <c r="BT21" s="132">
        <f t="shared" si="14"/>
        <v>1</v>
      </c>
      <c r="BU21" s="133"/>
      <c r="BV21" s="133"/>
    </row>
    <row r="22" ht="15" customHeight="1" spans="1:75">
      <c r="A22" s="123" t="str">
        <f>IF(B22="","",COUNT(A$6:A21)+1)</f>
        <v/>
      </c>
      <c r="B22" s="139"/>
      <c r="C22" s="141"/>
      <c r="D22" s="141"/>
      <c r="E22" s="140"/>
      <c r="F22" s="142"/>
      <c r="G22" s="127" t="str">
        <f>IFERROR(VLOOKUP(F22,参数表!$H$2:$I$50,2,FALSE),"")</f>
        <v/>
      </c>
      <c r="H22" s="128" t="str">
        <f t="shared" si="5"/>
        <v/>
      </c>
      <c r="I22" s="128" t="str">
        <f t="shared" si="6"/>
        <v/>
      </c>
      <c r="J22" s="143"/>
      <c r="K22" s="143"/>
      <c r="L22" s="144"/>
      <c r="M22" s="129" t="str">
        <f t="shared" si="7"/>
        <v/>
      </c>
      <c r="N22" s="143"/>
      <c r="O22" s="129" t="str">
        <f t="shared" si="8"/>
        <v/>
      </c>
      <c r="P22" s="129" t="str">
        <f t="shared" si="1"/>
        <v/>
      </c>
      <c r="Q22" s="129" t="str">
        <f t="shared" si="2"/>
        <v/>
      </c>
      <c r="R22" s="145"/>
      <c r="BA22" s="78"/>
      <c r="BB22" s="132" t="s">
        <v>1891</v>
      </c>
      <c r="BC22" s="133"/>
      <c r="BD22" s="132" t="str">
        <f>IF(OR(B22="",BC22=""),"",COUNTIF(BC$7:BC22,"√"))</f>
        <v/>
      </c>
      <c r="BE22" s="134" t="str">
        <f t="shared" si="3"/>
        <v/>
      </c>
      <c r="BF22" s="135" t="str">
        <f t="shared" si="9"/>
        <v/>
      </c>
      <c r="BG22" s="135" t="str">
        <f t="shared" si="9"/>
        <v/>
      </c>
      <c r="BH22" s="136"/>
      <c r="BI22" s="136"/>
      <c r="BJ22" s="136"/>
      <c r="BK22" s="137"/>
      <c r="BM22" s="347">
        <f t="shared" si="0"/>
        <v>0</v>
      </c>
      <c r="BN22" s="347">
        <f t="shared" si="10"/>
        <v>0</v>
      </c>
      <c r="BP22" s="134" t="str">
        <f>IF(COUNTIF(BP$6:BP21,D22)&gt;0,"",D22)&amp;""</f>
        <v/>
      </c>
      <c r="BQ22" s="138">
        <f t="shared" si="11"/>
        <v>0</v>
      </c>
      <c r="BR22" s="132">
        <f t="shared" si="12"/>
        <v>1</v>
      </c>
      <c r="BS22" s="138">
        <f t="shared" si="13"/>
        <v>0</v>
      </c>
      <c r="BT22" s="132">
        <f t="shared" si="14"/>
        <v>1</v>
      </c>
      <c r="BU22" s="133"/>
      <c r="BV22" s="133"/>
    </row>
    <row r="23" ht="15" customHeight="1" spans="1:75">
      <c r="A23" s="123" t="str">
        <f>IF(B23="","",COUNT(A$6:A22)+1)</f>
        <v/>
      </c>
      <c r="B23" s="139"/>
      <c r="C23" s="141"/>
      <c r="D23" s="141"/>
      <c r="E23" s="140"/>
      <c r="F23" s="142"/>
      <c r="G23" s="127" t="str">
        <f>IFERROR(VLOOKUP(F23,参数表!$H$2:$I$50,2,FALSE),"")</f>
        <v/>
      </c>
      <c r="H23" s="128" t="str">
        <f t="shared" si="5"/>
        <v/>
      </c>
      <c r="I23" s="128" t="str">
        <f t="shared" si="6"/>
        <v/>
      </c>
      <c r="J23" s="143"/>
      <c r="K23" s="143"/>
      <c r="L23" s="144"/>
      <c r="M23" s="129" t="str">
        <f t="shared" si="7"/>
        <v/>
      </c>
      <c r="N23" s="143"/>
      <c r="O23" s="129" t="str">
        <f t="shared" si="8"/>
        <v/>
      </c>
      <c r="P23" s="129" t="str">
        <f t="shared" si="1"/>
        <v/>
      </c>
      <c r="Q23" s="129" t="str">
        <f t="shared" si="2"/>
        <v/>
      </c>
      <c r="R23" s="145"/>
      <c r="BA23" s="78"/>
      <c r="BB23" s="132" t="s">
        <v>1892</v>
      </c>
      <c r="BC23" s="133"/>
      <c r="BD23" s="132" t="str">
        <f>IF(OR(B23="",BC23=""),"",COUNTIF(BC$7:BC23,"√"))</f>
        <v/>
      </c>
      <c r="BE23" s="134" t="str">
        <f t="shared" si="3"/>
        <v/>
      </c>
      <c r="BF23" s="135" t="str">
        <f t="shared" si="9"/>
        <v/>
      </c>
      <c r="BG23" s="135" t="str">
        <f t="shared" si="9"/>
        <v/>
      </c>
      <c r="BH23" s="136"/>
      <c r="BI23" s="136"/>
      <c r="BJ23" s="136"/>
      <c r="BK23" s="137"/>
      <c r="BM23" s="347">
        <f t="shared" si="0"/>
        <v>0</v>
      </c>
      <c r="BN23" s="347">
        <f t="shared" si="10"/>
        <v>0</v>
      </c>
      <c r="BP23" s="134" t="str">
        <f>IF(COUNTIF(BP$6:BP22,D23)&gt;0,"",D23)&amp;""</f>
        <v/>
      </c>
      <c r="BQ23" s="138">
        <f t="shared" si="11"/>
        <v>0</v>
      </c>
      <c r="BR23" s="132">
        <f t="shared" si="12"/>
        <v>1</v>
      </c>
      <c r="BS23" s="138">
        <f t="shared" si="13"/>
        <v>0</v>
      </c>
      <c r="BT23" s="132">
        <f t="shared" si="14"/>
        <v>1</v>
      </c>
      <c r="BU23" s="133"/>
      <c r="BV23" s="133"/>
    </row>
    <row r="24" ht="15" customHeight="1" spans="1:75">
      <c r="A24" s="123" t="str">
        <f>IF(B24="","",COUNT(A$6:A23)+1)</f>
        <v/>
      </c>
      <c r="B24" s="139"/>
      <c r="C24" s="141"/>
      <c r="D24" s="141"/>
      <c r="E24" s="140"/>
      <c r="F24" s="142"/>
      <c r="G24" s="127" t="str">
        <f>IFERROR(VLOOKUP(F24,参数表!$H$2:$I$50,2,FALSE),"")</f>
        <v/>
      </c>
      <c r="H24" s="128" t="str">
        <f t="shared" si="5"/>
        <v/>
      </c>
      <c r="I24" s="128" t="str">
        <f t="shared" si="6"/>
        <v/>
      </c>
      <c r="J24" s="143"/>
      <c r="K24" s="143"/>
      <c r="L24" s="144"/>
      <c r="M24" s="129" t="str">
        <f t="shared" si="7"/>
        <v/>
      </c>
      <c r="N24" s="143"/>
      <c r="O24" s="129" t="str">
        <f t="shared" si="8"/>
        <v/>
      </c>
      <c r="P24" s="129" t="str">
        <f t="shared" si="1"/>
        <v/>
      </c>
      <c r="Q24" s="129" t="str">
        <f t="shared" si="2"/>
        <v/>
      </c>
      <c r="R24" s="145"/>
      <c r="BA24" s="78"/>
      <c r="BB24" s="132" t="s">
        <v>1893</v>
      </c>
      <c r="BC24" s="133"/>
      <c r="BD24" s="132" t="str">
        <f>IF(OR(B24="",BC24=""),"",COUNTIF(BC$7:BC24,"√"))</f>
        <v/>
      </c>
      <c r="BE24" s="134" t="str">
        <f t="shared" si="3"/>
        <v/>
      </c>
      <c r="BF24" s="135" t="str">
        <f t="shared" si="9"/>
        <v/>
      </c>
      <c r="BG24" s="135" t="str">
        <f t="shared" si="9"/>
        <v/>
      </c>
      <c r="BH24" s="136"/>
      <c r="BI24" s="136"/>
      <c r="BJ24" s="136"/>
      <c r="BK24" s="137"/>
      <c r="BM24" s="347">
        <f t="shared" si="0"/>
        <v>0</v>
      </c>
      <c r="BN24" s="347">
        <f t="shared" si="10"/>
        <v>0</v>
      </c>
      <c r="BP24" s="134" t="str">
        <f>IF(COUNTIF(BP$6:BP23,D24)&gt;0,"",D24)&amp;""</f>
        <v/>
      </c>
      <c r="BQ24" s="138">
        <f t="shared" si="11"/>
        <v>0</v>
      </c>
      <c r="BR24" s="132">
        <f t="shared" si="12"/>
        <v>1</v>
      </c>
      <c r="BS24" s="138">
        <f t="shared" si="13"/>
        <v>0</v>
      </c>
      <c r="BT24" s="132">
        <f t="shared" si="14"/>
        <v>1</v>
      </c>
      <c r="BU24" s="133"/>
      <c r="BV24" s="133"/>
    </row>
    <row r="25" ht="15" customHeight="1" spans="1:75">
      <c r="A25" s="123" t="str">
        <f>IF(B25="","",COUNT(A$6:A24)+1)</f>
        <v/>
      </c>
      <c r="B25" s="139"/>
      <c r="C25" s="141"/>
      <c r="D25" s="141"/>
      <c r="E25" s="140"/>
      <c r="F25" s="142"/>
      <c r="G25" s="127" t="str">
        <f>IFERROR(VLOOKUP(F25,参数表!$H$2:$I$50,2,FALSE),"")</f>
        <v/>
      </c>
      <c r="H25" s="128" t="str">
        <f t="shared" si="5"/>
        <v/>
      </c>
      <c r="I25" s="128" t="str">
        <f t="shared" si="6"/>
        <v/>
      </c>
      <c r="J25" s="143"/>
      <c r="K25" s="143"/>
      <c r="L25" s="144"/>
      <c r="M25" s="129" t="str">
        <f t="shared" si="7"/>
        <v/>
      </c>
      <c r="N25" s="143"/>
      <c r="O25" s="129" t="str">
        <f t="shared" si="8"/>
        <v/>
      </c>
      <c r="P25" s="129" t="str">
        <f t="shared" si="1"/>
        <v/>
      </c>
      <c r="Q25" s="129" t="str">
        <f t="shared" si="2"/>
        <v/>
      </c>
      <c r="R25" s="145"/>
      <c r="BA25" s="78"/>
      <c r="BB25" s="132" t="s">
        <v>1894</v>
      </c>
      <c r="BC25" s="133"/>
      <c r="BD25" s="132" t="str">
        <f>IF(OR(B25="",BC25=""),"",COUNTIF(BC$7:BC25,"√"))</f>
        <v/>
      </c>
      <c r="BE25" s="134" t="str">
        <f t="shared" si="3"/>
        <v/>
      </c>
      <c r="BF25" s="135" t="str">
        <f t="shared" si="9"/>
        <v/>
      </c>
      <c r="BG25" s="135" t="str">
        <f t="shared" si="9"/>
        <v/>
      </c>
      <c r="BH25" s="136"/>
      <c r="BI25" s="136"/>
      <c r="BJ25" s="136"/>
      <c r="BK25" s="137"/>
      <c r="BM25" s="347">
        <f t="shared" si="0"/>
        <v>0</v>
      </c>
      <c r="BN25" s="347">
        <f t="shared" si="10"/>
        <v>0</v>
      </c>
      <c r="BP25" s="134" t="str">
        <f>IF(COUNTIF(BP$6:BP24,D25)&gt;0,"",D25)&amp;""</f>
        <v/>
      </c>
      <c r="BQ25" s="138">
        <f t="shared" si="11"/>
        <v>0</v>
      </c>
      <c r="BR25" s="132">
        <f t="shared" si="12"/>
        <v>1</v>
      </c>
      <c r="BS25" s="138">
        <f t="shared" si="13"/>
        <v>0</v>
      </c>
      <c r="BT25" s="132">
        <f t="shared" si="14"/>
        <v>1</v>
      </c>
      <c r="BU25" s="133"/>
      <c r="BV25" s="133"/>
    </row>
    <row r="26" ht="15" customHeight="1" spans="1:75">
      <c r="A26" s="123" t="str">
        <f>IF(B26="","",COUNT(A$6:A25)+1)</f>
        <v/>
      </c>
      <c r="B26" s="124"/>
      <c r="C26" s="126"/>
      <c r="D26" s="126"/>
      <c r="E26" s="125"/>
      <c r="F26" s="127"/>
      <c r="G26" s="127" t="str">
        <f>IFERROR(VLOOKUP(F26,参数表!$H$2:$I$50,2,FALSE),"")</f>
        <v/>
      </c>
      <c r="H26" s="128" t="str">
        <f t="shared" si="5"/>
        <v/>
      </c>
      <c r="I26" s="128" t="str">
        <f t="shared" si="6"/>
        <v/>
      </c>
      <c r="J26" s="129"/>
      <c r="K26" s="129"/>
      <c r="L26" s="130"/>
      <c r="M26" s="129" t="str">
        <f t="shared" si="7"/>
        <v/>
      </c>
      <c r="N26" s="129"/>
      <c r="O26" s="129" t="str">
        <f t="shared" ref="O26" si="17">IF(B26="","",IF(BB$3="是",E26*N26,""))</f>
        <v/>
      </c>
      <c r="P26" s="129" t="str">
        <f t="shared" si="1"/>
        <v/>
      </c>
      <c r="Q26" s="129" t="str">
        <f t="shared" si="2"/>
        <v/>
      </c>
      <c r="R26" s="131"/>
      <c r="BA26" s="78"/>
      <c r="BB26" s="132" t="s">
        <v>1895</v>
      </c>
      <c r="BC26" s="133"/>
      <c r="BD26" s="132" t="str">
        <f>IF(OR(B26="",BC26=""),"",COUNTIF(BC$7:BC26,"√"))</f>
        <v/>
      </c>
      <c r="BE26" s="134" t="str">
        <f t="shared" si="3"/>
        <v/>
      </c>
      <c r="BF26" s="135" t="str">
        <f t="shared" si="9"/>
        <v/>
      </c>
      <c r="BG26" s="135" t="str">
        <f t="shared" si="9"/>
        <v/>
      </c>
      <c r="BH26" s="136"/>
      <c r="BI26" s="136"/>
      <c r="BJ26" s="136"/>
      <c r="BK26" s="137"/>
      <c r="BM26" s="347">
        <f t="shared" si="0"/>
        <v>0</v>
      </c>
      <c r="BN26" s="347">
        <f t="shared" si="10"/>
        <v>0</v>
      </c>
      <c r="BP26" s="134" t="str">
        <f>IF(COUNTIF(BP$6:BP25,D26)&gt;0,"",D26)&amp;""</f>
        <v/>
      </c>
      <c r="BQ26" s="138">
        <f t="shared" si="11"/>
        <v>0</v>
      </c>
      <c r="BR26" s="132">
        <f t="shared" si="12"/>
        <v>1</v>
      </c>
      <c r="BS26" s="138">
        <f t="shared" si="13"/>
        <v>0</v>
      </c>
      <c r="BT26" s="132">
        <f t="shared" si="14"/>
        <v>1</v>
      </c>
      <c r="BU26" s="133"/>
      <c r="BV26" s="133"/>
    </row>
    <row r="27" s="73" customFormat="1" ht="15" customHeight="1" spans="1:75">
      <c r="A27" s="149" t="s">
        <v>1771</v>
      </c>
      <c r="B27" s="149"/>
      <c r="C27" s="151"/>
      <c r="D27" s="356"/>
      <c r="E27" s="151"/>
      <c r="F27" s="151"/>
      <c r="G27" s="151"/>
      <c r="H27" s="151"/>
      <c r="I27" s="151"/>
      <c r="J27" s="152"/>
      <c r="K27" s="152">
        <f>SUM(K7:K26)</f>
        <v>0</v>
      </c>
      <c r="L27" s="153"/>
      <c r="M27" s="152">
        <f>SUM(M7:M26)</f>
        <v>0</v>
      </c>
      <c r="N27" s="152"/>
      <c r="O27" s="152">
        <f>SUM(O7:O26)</f>
        <v>0</v>
      </c>
      <c r="P27" s="152">
        <f t="shared" si="1"/>
        <v>0</v>
      </c>
      <c r="Q27" s="152" t="str">
        <f t="shared" si="2"/>
        <v/>
      </c>
      <c r="R27" s="151"/>
      <c r="BF27" s="72"/>
      <c r="BG27" s="72"/>
      <c r="BH27" s="72"/>
      <c r="BI27" s="72"/>
      <c r="BJ27" s="72"/>
      <c r="BO27" s="111"/>
      <c r="BP27" s="119"/>
      <c r="BQ27" s="77"/>
      <c r="BR27" s="77"/>
      <c r="BS27" s="77"/>
      <c r="BT27" s="119"/>
      <c r="BU27" s="119"/>
      <c r="BV27" s="119"/>
      <c r="BW27" s="111"/>
    </row>
    <row r="28" customHeight="1" spans="1:75">
      <c r="A28" s="102" t="str">
        <f>参数表!F$6</f>
        <v>产权持有单位填表人：贾广东</v>
      </c>
      <c r="B28" s="154"/>
      <c r="C28" s="154"/>
      <c r="D28" s="154"/>
      <c r="E28" s="154"/>
      <c r="F28" s="154"/>
      <c r="G28" s="154"/>
      <c r="H28" s="154"/>
      <c r="I28" s="154"/>
      <c r="J28" s="154"/>
      <c r="K28" s="103"/>
      <c r="L28" s="104"/>
      <c r="M28" s="103"/>
      <c r="N28" s="103"/>
      <c r="O28" s="103" t="str">
        <f>"评估人员："&amp;封面!$G$20</f>
        <v>评估人员：栗祥宁</v>
      </c>
      <c r="P28" s="103"/>
      <c r="Q28" s="103"/>
      <c r="R28" s="103"/>
      <c r="BD28" s="75"/>
      <c r="BE28" s="75"/>
      <c r="BI28" s="165"/>
      <c r="BJ28" s="165"/>
    </row>
    <row r="29" customHeight="1" spans="1:75">
      <c r="A29" s="102" t="str">
        <f>参数表!F$7</f>
        <v>填表日期：2025年9月20日</v>
      </c>
      <c r="B29" s="154"/>
      <c r="C29" s="154"/>
      <c r="D29" s="154"/>
      <c r="E29" s="154"/>
      <c r="F29" s="154"/>
      <c r="G29" s="154"/>
      <c r="H29" s="154"/>
      <c r="I29" s="154"/>
      <c r="J29" s="154"/>
      <c r="K29" s="103"/>
      <c r="L29" s="104"/>
      <c r="M29" s="103"/>
      <c r="N29" s="103"/>
      <c r="O29" s="103"/>
      <c r="P29" s="103"/>
      <c r="Q29" s="103"/>
      <c r="R29" s="103"/>
      <c r="BD29" s="75"/>
      <c r="BE29" s="75"/>
      <c r="BI29" s="165"/>
      <c r="BJ29" s="165"/>
    </row>
    <row r="30" hidden="1" customHeight="1" outlineLevel="1" spans="1:75">
      <c r="A30" s="157"/>
      <c r="B30" s="154" t="s">
        <v>1673</v>
      </c>
      <c r="C30" s="158"/>
      <c r="D30" s="1283" t="s">
        <v>1826</v>
      </c>
      <c r="E30" s="158"/>
      <c r="F30" s="158"/>
      <c r="G30" s="158"/>
      <c r="H30" s="158"/>
      <c r="I30" s="158"/>
      <c r="J30" s="158"/>
      <c r="K30" s="159">
        <f>SUMIF($BA7:$BA26,$BA30,K7:K26)</f>
        <v>0</v>
      </c>
      <c r="L30" s="202"/>
      <c r="M30" s="159">
        <f>SUMIF($BA7:$BA26,$BA30,M7:M26)</f>
        <v>0</v>
      </c>
      <c r="N30" s="176"/>
      <c r="O30" s="159">
        <f>SUMIF($BA7:$BA26,$BA30,O7:O26)</f>
        <v>0</v>
      </c>
      <c r="BA30" s="161" t="s">
        <v>1674</v>
      </c>
      <c r="BD30" s="75"/>
      <c r="BE30" s="75"/>
      <c r="BH30" s="95" t="s">
        <v>1675</v>
      </c>
      <c r="BI30" s="95" t="s">
        <v>1675</v>
      </c>
      <c r="BJ30" s="95" t="s">
        <v>1675</v>
      </c>
    </row>
    <row r="31" hidden="1" customHeight="1" outlineLevel="1" spans="1:75">
      <c r="A31" s="157"/>
      <c r="B31" s="154" t="s">
        <v>1676</v>
      </c>
      <c r="C31" s="158"/>
      <c r="D31" s="1283" t="s">
        <v>1827</v>
      </c>
      <c r="E31" s="158"/>
      <c r="F31" s="158"/>
      <c r="G31" s="158"/>
      <c r="H31" s="158"/>
      <c r="I31" s="158"/>
      <c r="J31" s="158"/>
      <c r="K31" s="159">
        <f>K27-K30</f>
        <v>0</v>
      </c>
      <c r="L31" s="202"/>
      <c r="M31" s="159">
        <f>M27-M30</f>
        <v>0</v>
      </c>
      <c r="N31" s="176"/>
      <c r="O31" s="159">
        <f>O27-O30</f>
        <v>0</v>
      </c>
      <c r="BA31" s="161" t="s">
        <v>1677</v>
      </c>
      <c r="BD31" s="75"/>
      <c r="BE31" s="75"/>
      <c r="BH31" s="95" t="s">
        <v>1678</v>
      </c>
      <c r="BI31" s="95" t="s">
        <v>1678</v>
      </c>
      <c r="BJ31" s="95" t="s">
        <v>1678</v>
      </c>
    </row>
    <row r="32" customHeight="1" collapsed="1" spans="1:75">
      <c r="A32" s="157"/>
      <c r="B32" s="158"/>
      <c r="C32" s="158"/>
      <c r="D32" s="158"/>
      <c r="E32" s="158"/>
      <c r="F32" s="158"/>
      <c r="G32" s="158"/>
      <c r="H32" s="158"/>
      <c r="I32" s="158"/>
      <c r="J32" s="158"/>
      <c r="BD32" s="75"/>
      <c r="BE32" s="75"/>
      <c r="BI32" s="165"/>
      <c r="BJ32" s="165"/>
    </row>
    <row r="33" customHeight="1" spans="1:10">
      <c r="A33" s="157"/>
      <c r="B33" s="158"/>
      <c r="C33" s="158"/>
      <c r="D33" s="158"/>
      <c r="E33" s="158"/>
      <c r="F33" s="158"/>
      <c r="G33" s="158"/>
      <c r="H33" s="158"/>
      <c r="I33" s="158"/>
      <c r="J33" s="158"/>
    </row>
    <row r="34" customHeight="1" spans="1:10">
      <c r="A34" s="157"/>
      <c r="B34" s="158"/>
      <c r="C34" s="158"/>
      <c r="D34" s="158"/>
      <c r="E34" s="158"/>
      <c r="F34" s="158"/>
      <c r="G34" s="158"/>
      <c r="H34" s="158"/>
      <c r="I34" s="158"/>
      <c r="J34" s="158"/>
    </row>
    <row r="35" customHeight="1" spans="1:10">
      <c r="A35" s="157"/>
      <c r="B35" s="158"/>
      <c r="C35" s="158"/>
      <c r="D35" s="158"/>
      <c r="E35" s="158"/>
      <c r="F35" s="158"/>
      <c r="G35" s="158"/>
      <c r="H35" s="158"/>
      <c r="I35" s="158"/>
      <c r="J35" s="158"/>
    </row>
    <row r="36" customHeight="1" spans="1:10">
      <c r="A36" s="157"/>
      <c r="B36" s="158"/>
      <c r="C36" s="158"/>
      <c r="D36" s="158"/>
      <c r="E36" s="158"/>
      <c r="F36" s="158"/>
      <c r="G36" s="158"/>
      <c r="H36" s="158"/>
      <c r="I36" s="158"/>
      <c r="J36" s="158"/>
    </row>
  </sheetData>
  <sheetProtection autoFilter="0"/>
  <mergeCells count="6">
    <mergeCell ref="A2:R2"/>
    <mergeCell ref="A3:R3"/>
    <mergeCell ref="BU7:BW7"/>
    <mergeCell ref="BU8:BW8"/>
    <mergeCell ref="BV14:BW14"/>
    <mergeCell ref="A27:B27"/>
  </mergeCells>
  <conditionalFormatting sqref="BF7:BG26">
    <cfRule type="containsText" dxfId="6" priority="1" stopIfTrue="1" operator="between" text="出错">
      <formula>NOT(ISERROR(SEARCH("出错",BF7)))</formula>
    </cfRule>
  </conditionalFormatting>
  <conditionalFormatting sqref="BH7:BJ26">
    <cfRule type="expression" dxfId="5" priority="5" stopIfTrue="1">
      <formula>AND($B7&lt;&gt;"",BH7="")</formula>
    </cfRule>
  </conditionalFormatting>
  <dataValidations count="5">
    <dataValidation type="list" allowBlank="1" showInputMessage="1" showErrorMessage="1" sqref="D7:D26">
      <formula1>$D$30:$D$31</formula1>
    </dataValidation>
    <dataValidation type="list" allowBlank="1" showInputMessage="1" showErrorMessage="1" sqref="F7:F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J26">
      <formula1>BH$30:BH$31</formula1>
    </dataValidation>
  </dataValidations>
  <hyperlinks>
    <hyperlink ref="B1" location="交易性金融资产汇总!B9" display="返回"/>
    <hyperlink ref="A1" location="索引目录!E11" display="返回索引页"/>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J54"/>
  <sheetViews>
    <sheetView showGridLines="0" topLeftCell="E1" workbookViewId="0">
      <selection activeCell="F17" sqref="F17"/>
    </sheetView>
  </sheetViews>
  <sheetFormatPr defaultColWidth="9" defaultRowHeight="15.6"/>
  <cols>
    <col min="1" max="1" width="1.5" customWidth="1"/>
    <col min="2" max="2" width="13.5" customWidth="1"/>
    <col min="3" max="3" width="15.7" customWidth="1"/>
    <col min="4" max="4" width="18.1" customWidth="1"/>
    <col min="5" max="5" width="17.2" customWidth="1"/>
    <col min="6" max="6" width="8.2" customWidth="1"/>
    <col min="7" max="7" width="4.7" customWidth="1"/>
    <col min="8" max="9" width="12.7" customWidth="1"/>
  </cols>
  <sheetData>
    <row r="1" ht="17.4" spans="1:10">
      <c r="A1" s="2001" t="s">
        <v>29</v>
      </c>
      <c r="B1" s="2002"/>
      <c r="C1" s="2002"/>
      <c r="D1" s="2002"/>
      <c r="E1" s="2002"/>
      <c r="F1" s="2002"/>
      <c r="G1" s="2002"/>
      <c r="H1" s="2002"/>
      <c r="I1" s="2002"/>
      <c r="J1" s="2003"/>
    </row>
    <row r="2" spans="1:10">
      <c r="A2" s="2004"/>
      <c r="B2" s="2005" t="s">
        <v>30</v>
      </c>
      <c r="C2" s="2006"/>
      <c r="D2" s="2006"/>
      <c r="E2" s="2006"/>
      <c r="F2" s="2006"/>
      <c r="G2" s="2007"/>
      <c r="H2" s="2006"/>
      <c r="I2" s="2006"/>
      <c r="J2" s="2008"/>
    </row>
    <row r="3" spans="1:10">
      <c r="A3" s="2009"/>
      <c r="B3" s="2010" t="s">
        <v>31</v>
      </c>
      <c r="C3" s="2010"/>
      <c r="E3" s="2011"/>
      <c r="F3" s="2011"/>
      <c r="G3" s="2012"/>
      <c r="H3" s="2011"/>
      <c r="I3" s="2011"/>
      <c r="J3" s="2013"/>
    </row>
    <row r="4" spans="1:10">
      <c r="A4" s="2014"/>
      <c r="B4" s="2015" t="s">
        <v>32</v>
      </c>
      <c r="C4" s="2015" t="s">
        <v>33</v>
      </c>
      <c r="D4" s="2016" t="s">
        <v>34</v>
      </c>
      <c r="E4" s="2017" t="s">
        <v>35</v>
      </c>
      <c r="F4" s="2018"/>
      <c r="G4" s="2018"/>
      <c r="H4" s="2006"/>
      <c r="I4" s="2006"/>
      <c r="J4" s="2008"/>
    </row>
    <row r="5" spans="1:10">
      <c r="A5" s="2004"/>
      <c r="B5" s="2006"/>
      <c r="C5" s="2006"/>
      <c r="D5" s="2006"/>
      <c r="E5" s="2006"/>
      <c r="F5" s="2006"/>
      <c r="G5" s="2006"/>
      <c r="H5" s="2006"/>
      <c r="I5" s="2006"/>
      <c r="J5" s="2008"/>
    </row>
    <row r="6" spans="1:10">
      <c r="A6" s="2004"/>
      <c r="C6" s="2017" t="s">
        <v>36</v>
      </c>
      <c r="D6" s="2017" t="s">
        <v>37</v>
      </c>
      <c r="E6" s="2017" t="s">
        <v>38</v>
      </c>
      <c r="F6" s="2017"/>
      <c r="G6" s="2017" t="s">
        <v>39</v>
      </c>
      <c r="H6" s="2017"/>
      <c r="I6" s="2017" t="s">
        <v>40</v>
      </c>
      <c r="J6" s="2008"/>
    </row>
    <row r="7" spans="1:10">
      <c r="A7" s="2004"/>
      <c r="B7" s="2006"/>
      <c r="C7" s="2006"/>
      <c r="D7" s="2006"/>
      <c r="E7" s="2017" t="s">
        <v>41</v>
      </c>
      <c r="F7" s="2017"/>
      <c r="G7" s="2017"/>
      <c r="H7" s="2017"/>
      <c r="I7" s="2017" t="s">
        <v>42</v>
      </c>
      <c r="J7" s="2019"/>
    </row>
    <row r="8" spans="1:10">
      <c r="A8" s="2004"/>
      <c r="B8" s="2006"/>
      <c r="C8" s="2006"/>
      <c r="D8" s="2006"/>
      <c r="E8" s="2017" t="s">
        <v>43</v>
      </c>
      <c r="F8" s="2017"/>
      <c r="G8" s="2017"/>
      <c r="H8" s="2017"/>
      <c r="I8" s="2017" t="s">
        <v>44</v>
      </c>
      <c r="J8" s="2019"/>
    </row>
    <row r="9" spans="1:10">
      <c r="A9" s="2004"/>
      <c r="B9" s="2006"/>
      <c r="C9" s="2006"/>
      <c r="D9" s="2017" t="s">
        <v>45</v>
      </c>
      <c r="E9" s="2017" t="s">
        <v>46</v>
      </c>
      <c r="F9" s="2017"/>
      <c r="G9" s="2017"/>
      <c r="H9" s="2017"/>
      <c r="I9" s="2017" t="s">
        <v>47</v>
      </c>
      <c r="J9" s="2019"/>
    </row>
    <row r="10" spans="1:10">
      <c r="A10" s="2004"/>
      <c r="B10" s="2006"/>
      <c r="C10" s="2006"/>
      <c r="E10" s="2017" t="s">
        <v>48</v>
      </c>
      <c r="F10" s="2017"/>
      <c r="G10" s="2017"/>
      <c r="H10" s="2017"/>
      <c r="I10" s="2017" t="s">
        <v>49</v>
      </c>
      <c r="J10" s="2019"/>
    </row>
    <row r="11" spans="1:10">
      <c r="A11" s="2004"/>
      <c r="B11" s="2006"/>
      <c r="C11" s="2006"/>
      <c r="E11" s="2017" t="s">
        <v>50</v>
      </c>
      <c r="F11" s="2006"/>
      <c r="G11" s="2017"/>
      <c r="H11" s="2017"/>
      <c r="I11" s="2017" t="s">
        <v>51</v>
      </c>
      <c r="J11" s="2008"/>
    </row>
    <row r="12" spans="1:10">
      <c r="A12" s="2004"/>
      <c r="B12" s="2006"/>
      <c r="C12" s="2006"/>
      <c r="D12" s="2017" t="s">
        <v>52</v>
      </c>
      <c r="F12" s="2006"/>
      <c r="G12" s="2017"/>
      <c r="H12" s="2017"/>
      <c r="I12" s="2017" t="s">
        <v>53</v>
      </c>
      <c r="J12" s="2008"/>
    </row>
    <row r="13" spans="1:10">
      <c r="A13" s="2004"/>
      <c r="B13" s="2006"/>
      <c r="C13" s="2006"/>
      <c r="D13" s="2017" t="s">
        <v>54</v>
      </c>
      <c r="F13" s="2006"/>
      <c r="G13" s="2017"/>
      <c r="H13" s="2017"/>
      <c r="I13" s="2017" t="s">
        <v>55</v>
      </c>
      <c r="J13" s="2008"/>
    </row>
    <row r="14" spans="1:10">
      <c r="A14" s="2004"/>
      <c r="B14" s="2006"/>
      <c r="C14" s="2006"/>
      <c r="D14" s="2017" t="s">
        <v>56</v>
      </c>
      <c r="F14" s="2006"/>
      <c r="G14" s="2017"/>
      <c r="H14" s="2017"/>
      <c r="I14" s="2017" t="s">
        <v>57</v>
      </c>
      <c r="J14" s="2008"/>
    </row>
    <row r="15" spans="1:10">
      <c r="A15" s="2004"/>
      <c r="B15" s="2006"/>
      <c r="C15" s="2006"/>
      <c r="D15" s="2017" t="s">
        <v>58</v>
      </c>
      <c r="F15" s="2006"/>
      <c r="G15" s="2017"/>
      <c r="H15" s="2017"/>
      <c r="I15" s="2017" t="s">
        <v>59</v>
      </c>
    </row>
    <row r="16" spans="1:10">
      <c r="A16" s="2004"/>
      <c r="B16" s="2006"/>
      <c r="C16" s="2006"/>
      <c r="D16" s="2017" t="s">
        <v>60</v>
      </c>
      <c r="F16" s="2006"/>
      <c r="G16" s="2017"/>
      <c r="H16" s="2017"/>
      <c r="I16" s="2017" t="s">
        <v>61</v>
      </c>
      <c r="J16" s="2008"/>
    </row>
    <row r="17" spans="1:10">
      <c r="A17" s="2004"/>
      <c r="B17" s="2006"/>
      <c r="C17" s="2006"/>
      <c r="D17" s="2017" t="s">
        <v>62</v>
      </c>
      <c r="F17" s="2006"/>
      <c r="G17" s="2017"/>
      <c r="H17" s="2017"/>
      <c r="I17" s="2017" t="s">
        <v>63</v>
      </c>
      <c r="J17" s="2008"/>
    </row>
    <row r="18" spans="1:10">
      <c r="A18" s="2004"/>
      <c r="B18" s="2006"/>
      <c r="C18" s="2006"/>
      <c r="D18" s="2017" t="s">
        <v>64</v>
      </c>
      <c r="E18" s="2017" t="s">
        <v>65</v>
      </c>
      <c r="F18" s="2006"/>
      <c r="G18" s="2017"/>
      <c r="H18" s="2017"/>
      <c r="I18" s="2017"/>
      <c r="J18" s="2008"/>
    </row>
    <row r="19" spans="1:10">
      <c r="A19" s="2004"/>
      <c r="B19" s="2006"/>
      <c r="C19" s="2006"/>
      <c r="D19" s="2017"/>
      <c r="E19" s="2017" t="s">
        <v>66</v>
      </c>
      <c r="F19" s="2006"/>
      <c r="G19" s="2017"/>
      <c r="H19" s="2017"/>
      <c r="I19" s="2017"/>
      <c r="J19" s="2008"/>
    </row>
    <row r="20" spans="1:10">
      <c r="A20" s="2004"/>
      <c r="B20" s="2006"/>
      <c r="C20" s="2006"/>
      <c r="D20" s="2017"/>
      <c r="E20" s="2017" t="s">
        <v>67</v>
      </c>
      <c r="F20" s="2017"/>
      <c r="G20" s="2017" t="s">
        <v>68</v>
      </c>
      <c r="H20" s="2017"/>
      <c r="I20" s="2017" t="s">
        <v>69</v>
      </c>
      <c r="J20" s="2008"/>
    </row>
    <row r="21" spans="1:10">
      <c r="A21" s="2004"/>
      <c r="B21" s="2006"/>
      <c r="C21" s="2006"/>
      <c r="E21" s="2017" t="s">
        <v>70</v>
      </c>
      <c r="F21" s="2017"/>
      <c r="G21" s="2017"/>
      <c r="H21" s="2017"/>
      <c r="I21" s="2017" t="s">
        <v>71</v>
      </c>
      <c r="J21" s="2008"/>
    </row>
    <row r="22" spans="1:10">
      <c r="A22" s="2004"/>
      <c r="B22" s="2006"/>
      <c r="C22" s="2006"/>
      <c r="E22" s="2017" t="s">
        <v>72</v>
      </c>
      <c r="F22" s="2017"/>
      <c r="G22" s="2017"/>
      <c r="H22" s="2017"/>
      <c r="I22" s="2017" t="s">
        <v>73</v>
      </c>
      <c r="J22" s="2008"/>
    </row>
    <row r="23" spans="1:10">
      <c r="A23" s="2004"/>
      <c r="B23" s="2006"/>
      <c r="C23" s="2006"/>
      <c r="E23" s="2017" t="s">
        <v>74</v>
      </c>
      <c r="F23" s="2017"/>
      <c r="G23" s="2017"/>
      <c r="H23" s="2017"/>
      <c r="I23" s="2017" t="s">
        <v>75</v>
      </c>
      <c r="J23" s="2008"/>
    </row>
    <row r="24" spans="1:10">
      <c r="A24" s="2004"/>
      <c r="E24" s="2017" t="s">
        <v>76</v>
      </c>
      <c r="F24" s="2017"/>
      <c r="G24" s="2017"/>
      <c r="H24" s="2017"/>
      <c r="I24" s="2017" t="s">
        <v>77</v>
      </c>
      <c r="J24" s="2008"/>
    </row>
    <row r="25" spans="1:10">
      <c r="A25" s="2004"/>
      <c r="E25" s="2017" t="s">
        <v>78</v>
      </c>
      <c r="F25" s="2017"/>
      <c r="G25" s="2017"/>
      <c r="H25" s="2017"/>
      <c r="I25" s="2017" t="s">
        <v>79</v>
      </c>
      <c r="J25" s="2008"/>
    </row>
    <row r="26" spans="1:10">
      <c r="A26" s="2004"/>
      <c r="D26" s="2017" t="s">
        <v>80</v>
      </c>
      <c r="E26" s="2017"/>
      <c r="G26" s="2017"/>
      <c r="H26" s="2017"/>
      <c r="I26" s="2017" t="s">
        <v>81</v>
      </c>
      <c r="J26" s="2008"/>
    </row>
    <row r="27" spans="1:10">
      <c r="A27" s="2004"/>
      <c r="D27" s="2017" t="s">
        <v>82</v>
      </c>
      <c r="E27" s="2017"/>
      <c r="G27" s="2006"/>
      <c r="H27" s="2006"/>
      <c r="I27" s="2006"/>
      <c r="J27" s="2008"/>
    </row>
    <row r="28" spans="1:10">
      <c r="A28" s="2004"/>
      <c r="B28" s="2006"/>
      <c r="C28" s="2017" t="s">
        <v>83</v>
      </c>
      <c r="D28" s="2017" t="s">
        <v>84</v>
      </c>
      <c r="E28" s="2017" t="s">
        <v>46</v>
      </c>
      <c r="F28" s="2020"/>
      <c r="G28" s="2006"/>
      <c r="H28" s="2006"/>
      <c r="I28" s="2006"/>
      <c r="J28" s="2008"/>
    </row>
    <row r="29" spans="1:10">
      <c r="A29" s="2004"/>
      <c r="D29" s="2017"/>
      <c r="E29" s="2017" t="s">
        <v>48</v>
      </c>
      <c r="F29" s="2017"/>
      <c r="G29" s="2006"/>
      <c r="H29" s="2006"/>
      <c r="I29" s="2006"/>
      <c r="J29" s="2008"/>
    </row>
    <row r="30" spans="1:10">
      <c r="A30" s="2004"/>
      <c r="B30" s="2006"/>
      <c r="D30" s="2017"/>
      <c r="E30" s="2017" t="s">
        <v>85</v>
      </c>
      <c r="F30" s="2020"/>
      <c r="G30" s="2006"/>
      <c r="H30" s="2006"/>
      <c r="I30" s="2006"/>
      <c r="J30" s="2008"/>
    </row>
    <row r="31" spans="1:10">
      <c r="A31" s="2004"/>
      <c r="B31" s="2006"/>
      <c r="C31" s="2006"/>
      <c r="D31" s="2017" t="s">
        <v>86</v>
      </c>
      <c r="E31" s="2017"/>
      <c r="F31" s="2020"/>
      <c r="G31" s="2006"/>
      <c r="H31" s="2006"/>
      <c r="I31" s="2006"/>
      <c r="J31" s="2008"/>
    </row>
    <row r="32" ht="14.25" customHeight="1" spans="1:10">
      <c r="A32" s="2004"/>
      <c r="B32" s="2006"/>
      <c r="C32" s="2006"/>
      <c r="D32" s="2017" t="s">
        <v>87</v>
      </c>
      <c r="E32" s="2017"/>
      <c r="F32" s="2020"/>
      <c r="G32" s="2006"/>
      <c r="H32" s="2006"/>
      <c r="I32" s="2006"/>
      <c r="J32" s="2008"/>
    </row>
    <row r="33" ht="14.25" customHeight="1" spans="1:10">
      <c r="A33" s="2004"/>
      <c r="B33" s="2006"/>
      <c r="C33" s="2006"/>
      <c r="D33" s="2017" t="s">
        <v>88</v>
      </c>
      <c r="E33" s="2017"/>
      <c r="F33" s="2020"/>
      <c r="G33" s="2006"/>
      <c r="H33" s="2006"/>
      <c r="I33" s="2006"/>
      <c r="J33" s="2008"/>
    </row>
    <row r="34" ht="14.25" customHeight="1" spans="1:10">
      <c r="A34" s="2004"/>
      <c r="B34" s="2006"/>
      <c r="C34" s="2006"/>
      <c r="D34" s="2017" t="s">
        <v>89</v>
      </c>
      <c r="E34" s="2017"/>
      <c r="F34" s="2020"/>
      <c r="G34" s="2006"/>
      <c r="H34" s="2008"/>
      <c r="I34" s="2008"/>
      <c r="J34" s="2008"/>
    </row>
    <row r="35" spans="1:10">
      <c r="A35" s="2021"/>
      <c r="B35" s="2006"/>
      <c r="C35" s="2017" t="s">
        <v>90</v>
      </c>
      <c r="D35" s="2017" t="s">
        <v>90</v>
      </c>
      <c r="E35" s="2017" t="s">
        <v>91</v>
      </c>
      <c r="F35" s="2006"/>
      <c r="G35" s="2006"/>
      <c r="H35" s="2008"/>
      <c r="I35" s="2008"/>
      <c r="J35" s="2008"/>
    </row>
    <row r="36" spans="1:10">
      <c r="A36" s="2021"/>
      <c r="B36" s="2006"/>
      <c r="D36" s="2017"/>
      <c r="E36" s="2017" t="s">
        <v>92</v>
      </c>
      <c r="F36" s="2006"/>
      <c r="G36" s="2006"/>
      <c r="H36" s="2008"/>
      <c r="I36" s="2008"/>
      <c r="J36" s="2008"/>
    </row>
    <row r="37" spans="1:10">
      <c r="A37" s="2021"/>
      <c r="B37" s="2006"/>
      <c r="D37" s="2017"/>
      <c r="E37" s="2017" t="s">
        <v>93</v>
      </c>
      <c r="F37" s="2006"/>
      <c r="G37" s="2006"/>
      <c r="H37" s="2008"/>
      <c r="I37" s="2008"/>
      <c r="J37" s="2008"/>
    </row>
    <row r="38" spans="1:10">
      <c r="A38" s="2021"/>
      <c r="B38" s="2006"/>
      <c r="D38" s="2017"/>
      <c r="E38" s="2017" t="s">
        <v>94</v>
      </c>
      <c r="F38" s="2006"/>
      <c r="G38" s="2006"/>
      <c r="H38" s="2008"/>
      <c r="I38" s="2008"/>
      <c r="J38" s="2008"/>
    </row>
    <row r="39" spans="1:10">
      <c r="A39" s="2021"/>
      <c r="B39" s="2006"/>
      <c r="D39" s="2017"/>
      <c r="E39" s="2017" t="s">
        <v>95</v>
      </c>
      <c r="F39" s="2006"/>
      <c r="G39" s="2006"/>
      <c r="H39" s="2008"/>
      <c r="I39" s="2008"/>
      <c r="J39" s="2008"/>
    </row>
    <row r="40" spans="1:10">
      <c r="A40" s="2021"/>
      <c r="B40" s="2006"/>
      <c r="D40" s="2017"/>
      <c r="E40" s="2017" t="s">
        <v>96</v>
      </c>
      <c r="F40" s="2006"/>
      <c r="G40" s="2006"/>
      <c r="H40" s="2008"/>
      <c r="I40" s="2008"/>
      <c r="J40" s="2008"/>
    </row>
    <row r="41" spans="1:10">
      <c r="A41" s="2021"/>
      <c r="B41" s="2006"/>
      <c r="D41" s="2017"/>
      <c r="E41" s="2017" t="s">
        <v>97</v>
      </c>
      <c r="F41" s="2008"/>
      <c r="G41" s="2006"/>
      <c r="H41" s="2008"/>
      <c r="I41" s="2008"/>
      <c r="J41" s="2008"/>
    </row>
    <row r="42" spans="1:10">
      <c r="A42" s="2021"/>
      <c r="B42" s="2006"/>
      <c r="C42" s="2006"/>
      <c r="D42" s="2017" t="s">
        <v>98</v>
      </c>
      <c r="E42" s="2017" t="s">
        <v>99</v>
      </c>
      <c r="G42" s="2006"/>
      <c r="H42" s="2008"/>
      <c r="I42" s="2008"/>
    </row>
    <row r="43" spans="1:10">
      <c r="A43" s="2021"/>
      <c r="B43" s="2006"/>
      <c r="C43" s="2006"/>
      <c r="D43" s="2017"/>
      <c r="E43" s="2017" t="s">
        <v>100</v>
      </c>
      <c r="G43" s="2006"/>
    </row>
    <row r="44" spans="1:10">
      <c r="B44" s="2006"/>
      <c r="C44" s="2017"/>
      <c r="D44" s="2017" t="s">
        <v>101</v>
      </c>
      <c r="E44" s="2017"/>
      <c r="F44" s="2006"/>
      <c r="G44" s="2006"/>
    </row>
    <row r="45" spans="1:10">
      <c r="B45" s="2006"/>
      <c r="C45" s="2017"/>
      <c r="D45" s="2017" t="s">
        <v>102</v>
      </c>
      <c r="E45" s="2017"/>
      <c r="F45" s="2008"/>
      <c r="G45" s="2006"/>
    </row>
    <row r="46" spans="1:10">
      <c r="B46" s="2006"/>
      <c r="C46" s="2017"/>
      <c r="D46" s="2017" t="s">
        <v>103</v>
      </c>
      <c r="E46" s="2017"/>
      <c r="F46" s="2008"/>
      <c r="G46" s="2006"/>
      <c r="J46" s="2008"/>
    </row>
    <row r="47" spans="1:10">
      <c r="B47" s="2006"/>
      <c r="C47" s="2017"/>
      <c r="D47" s="2017" t="s">
        <v>104</v>
      </c>
      <c r="E47" s="2017"/>
      <c r="F47" s="2008"/>
      <c r="G47" s="2006"/>
      <c r="H47" s="2008"/>
      <c r="I47" s="2008"/>
      <c r="J47" s="2008"/>
    </row>
    <row r="48" spans="1:10">
      <c r="A48" s="2021"/>
      <c r="B48" s="2006"/>
      <c r="C48" s="2017" t="s">
        <v>105</v>
      </c>
      <c r="D48" s="2017" t="s">
        <v>105</v>
      </c>
      <c r="E48" s="2017" t="s">
        <v>106</v>
      </c>
      <c r="G48" s="2006"/>
      <c r="H48" s="2008"/>
      <c r="I48" s="2008"/>
    </row>
    <row r="49" spans="1:7">
      <c r="A49" s="2021"/>
      <c r="B49" s="2006"/>
      <c r="C49" s="2017"/>
      <c r="D49" s="2017"/>
      <c r="E49" s="2017" t="s">
        <v>107</v>
      </c>
      <c r="G49" s="2008"/>
    </row>
    <row r="50" spans="1:7">
      <c r="B50" s="2006"/>
      <c r="C50" s="2017"/>
      <c r="D50" s="2017" t="s">
        <v>108</v>
      </c>
      <c r="E50" s="2017"/>
      <c r="F50" s="2006"/>
      <c r="G50" s="2008"/>
    </row>
    <row r="51" spans="1:7">
      <c r="B51" s="2006"/>
      <c r="C51" s="2017"/>
      <c r="D51" s="2017" t="s">
        <v>109</v>
      </c>
      <c r="E51" s="2017"/>
      <c r="G51" s="2008"/>
    </row>
    <row r="52" spans="1:7">
      <c r="B52" s="2008"/>
      <c r="C52" s="2017" t="s">
        <v>110</v>
      </c>
      <c r="D52" s="2017" t="s">
        <v>111</v>
      </c>
      <c r="E52" s="2017"/>
      <c r="G52" s="2008"/>
    </row>
    <row r="53" spans="1:7">
      <c r="C53" s="2017"/>
      <c r="D53" s="2017" t="s">
        <v>112</v>
      </c>
      <c r="E53" s="2017"/>
    </row>
    <row r="54" spans="1:7">
      <c r="C54" s="2017"/>
      <c r="D54" s="2017" t="s">
        <v>113</v>
      </c>
      <c r="E54" s="2017"/>
    </row>
  </sheetData>
  <sheetProtection autoFilter="0"/>
  <mergeCells count="1">
    <mergeCell ref="B3:C3"/>
  </mergeCells>
  <hyperlinks>
    <hyperlink ref="B2" location="封面!A1" display="评估申报表封面"/>
    <hyperlink ref="D4" location="汇总表!A1" display="汇总表"/>
    <hyperlink ref="E4" location="分类汇总!A1" display="分类汇总表"/>
    <hyperlink ref="C6" location="流动汇总!A1" display="流动资产"/>
    <hyperlink ref="E6" location="现金!A1" display="现金"/>
    <hyperlink ref="E7" location="银行存款!A1" display="银行存款"/>
    <hyperlink ref="E8" location="其他货币资金!A1" display="其他货币资金"/>
    <hyperlink ref="D9" location="交易性金融资产汇总!A1" display="交易性金融资产"/>
    <hyperlink ref="E9" location="'交易性-股票'!A1" display="股票投资"/>
    <hyperlink ref="E10" location="'交易性-债券'!A1" display="债券投资"/>
    <hyperlink ref="D12" location="应收票据!A1" display="应收票据"/>
    <hyperlink ref="D13" location="应收账款!A1" display="应收账款"/>
    <hyperlink ref="D18" location="存货汇总!A1" display="存货"/>
    <hyperlink ref="E19" location="原材料!A1" display="原材料"/>
    <hyperlink ref="E18" location="'材料采购（在途物资）'!A1" display="材料采购（在途物资）"/>
    <hyperlink ref="E22" location="'产成品（库存商品）'!A1" display="产成品（库存商品）"/>
    <hyperlink ref="E23" location="'在产品（自制半成品）'!A1" display="在产品（自制半成品）"/>
    <hyperlink ref="C28" location="长期投资汇总!A1" display="长期投资"/>
    <hyperlink ref="C35" location="固定资产汇总!A1" display="固定资产"/>
    <hyperlink ref="E35" location="房屋建筑物!A1" display="房屋建筑物"/>
    <hyperlink ref="E36" location="构筑物!A1" display="构筑物及其他辅助设施"/>
    <hyperlink ref="E37" location="管道沟槽!A1" display="管道及沟槽"/>
    <hyperlink ref="E38" location="机器设备!A1" display="机器设备"/>
    <hyperlink ref="E39" location="车辆!A1" display="车辆"/>
    <hyperlink ref="E40" location="电子设备!A1" display="电子设备"/>
    <hyperlink ref="D44" location="工程物资!A1" display="工程物资"/>
    <hyperlink ref="E42" location="'在建（土建）'!A1" display="在建工程-土建工程"/>
    <hyperlink ref="E43" location="'在建（设备）'!A1" display="在建工程-设备安装工程"/>
    <hyperlink ref="D45" location="固定资产清理!A1" display="固定资产清理"/>
    <hyperlink ref="G6" location="流动负债汇总!A1" display="流动负债"/>
    <hyperlink ref="I6" location="短期借款!A1" display="短期借款"/>
    <hyperlink ref="I8" location="应付票据!A1" display="应付票据"/>
    <hyperlink ref="I9" location="应付账款!A1" display="应付账款"/>
    <hyperlink ref="I10" location="预收账款!A1" display="预收款项"/>
    <hyperlink ref="I15" location="其他应付款!A1" display="其他应付款"/>
    <hyperlink ref="I11" location="职工薪酬!A1" display="应付职工薪酬"/>
    <hyperlink ref="I12" location="应交税费!A1" display="应交税费"/>
    <hyperlink ref="I17" location="其他流动负债!A1" display="其他流动负债"/>
    <hyperlink ref="G20" location="'非流动负债汇总 '!A1" display="非流动负债"/>
    <hyperlink ref="I20" location="长期借款!A1" display="长期借款"/>
    <hyperlink ref="I22" location="长期应付款!A1" display="长期应付款"/>
    <hyperlink ref="I26" location="其他非流动负债!A1" display="其他非流动负债"/>
    <hyperlink ref="I25" location="递延所得税负债!A1" display="递延所得税负债"/>
    <hyperlink ref="B3" location="填表说明!A1" display="评估申报表说明（填表前请先阅读）"/>
    <hyperlink ref="C4" location="资产负债表!A1" display="资产负债表"/>
    <hyperlink ref="I21" location="应付债券!A1" display="应付债券"/>
    <hyperlink ref="I23" location="专项应付款!A1" display="专项应付款"/>
    <hyperlink ref="B4" location="基本情况!A1" display="基本情况表"/>
    <hyperlink ref="D6" location="流动汇总!B6" display="货币资金"/>
    <hyperlink ref="E24" location="发出商品!A1" display="发出商品"/>
    <hyperlink ref="B3:C3" location="填表说明!B2" display="评估申报表说明（填表前请先阅读）"/>
    <hyperlink ref="E41" location="土地!A1" display="土地"/>
    <hyperlink ref="E28" location="'可出售-股票'!A1" display="股票投资"/>
    <hyperlink ref="E29" location="'可出售-债券'!A1" display="债券投资"/>
    <hyperlink ref="D16" location="'应收股利（利润）'!A1" display="应收股利"/>
    <hyperlink ref="D15" location="应收利息!A1" display="应收利息"/>
    <hyperlink ref="D17" location="其他应收款!A1" display="其他应收款"/>
    <hyperlink ref="D14" location="预付账款!A1" display="预付账款"/>
    <hyperlink ref="D32" location="长期应收!A1" display="长期应收款"/>
    <hyperlink ref="D33" location="股权投资!A1" display="长期股权投资"/>
    <hyperlink ref="D34" location="投资性房地产!A1" display="投资性房地产"/>
    <hyperlink ref="D52" location="长期待摊费用!A1" display="长期待摊费用"/>
    <hyperlink ref="E48" location="'在建（土建）'!A1" display="土地使用权"/>
    <hyperlink ref="E49" location="'在建（设备）'!A1" display="其他无形资产"/>
    <hyperlink ref="I24" location="预计负债!A1" display="预计负债"/>
    <hyperlink ref="E11" location="'交易性-基金'!A1" display="基金投资"/>
    <hyperlink ref="E20" location="在库周转材料!A1" display="在库周转材料"/>
    <hyperlink ref="E21" location="委托加工物资!A1" display="委托加工物资"/>
    <hyperlink ref="E25" location="在用周转材料!A1" display="在用周转材料"/>
    <hyperlink ref="D26" location="一年到期非流动资产!A1" display="一年到期非流动资产"/>
    <hyperlink ref="D27" location="其他流动资产!A1" display="其他流动资产"/>
    <hyperlink ref="D28" location="可供出售金融资产汇总!A1" display="可供出售金融资产"/>
    <hyperlink ref="E30" location="'可出售-其他'!A1" display="其他投资"/>
    <hyperlink ref="D31" location="持有到期投资!A1" display="持有至到期投资"/>
    <hyperlink ref="D35" location="固定资产汇总!B18" display="固定资产"/>
    <hyperlink ref="D42" location="固定资产汇总!B20" display="在建工程"/>
    <hyperlink ref="D46" location="生产性生物资产!A1" display="生产性生物资产"/>
    <hyperlink ref="D47" location="油气资产!A1" display="油气资产"/>
    <hyperlink ref="C48" location="无形资产汇总!A1" display="无形资产"/>
    <hyperlink ref="D48" location="无形资产汇总!B10" display="无形资产"/>
    <hyperlink ref="D50" location="开发支出!A1" display="开发支出"/>
    <hyperlink ref="D51" location="商誉!A1" display="商誉"/>
    <hyperlink ref="D53" location="递延所得税资产!A1" display="递延所得税资产"/>
    <hyperlink ref="C52" location="汇总表!A16" display="其他资产"/>
    <hyperlink ref="D54" location="其他非流动资产!A1" display="其他非流动资产"/>
    <hyperlink ref="I7" location="交易性金融负债!A1" display="交易性金融负债"/>
    <hyperlink ref="I13" location="应付利息!A1" display="应付利息"/>
    <hyperlink ref="I14" location="'应付股利（利润）'!A1" display="应付股利（应付利润）"/>
    <hyperlink ref="I16" location="一年到期非流动负债!A1" display="一年内到期的非流动负债"/>
  </hyperlinks>
  <pageMargins left="0.748031496062992" right="0.748031496062992" top="0.78740157480315" bottom="0.196850393700787" header="0" footer="0"/>
  <pageSetup paperSize="9" scale="71" orientation="portrait"/>
  <headerFooter alignWithMargins="0"/>
  <drawing r:id="rId1"/>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BY32"/>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5.2" style="290" customWidth="1"/>
    <col min="2" max="2" width="26.3" style="229" customWidth="1"/>
    <col min="3" max="3" width="10" style="229" customWidth="1"/>
    <col min="4" max="5" width="9.6" style="229" customWidth="1"/>
    <col min="6" max="6" width="10.3" style="229" customWidth="1"/>
    <col min="7" max="8" width="4.6" style="229" customWidth="1" outlineLevel="1"/>
    <col min="9" max="9" width="6.1" style="229" customWidth="1" outlineLevel="1"/>
    <col min="10" max="11" width="14.1" style="1304" customWidth="1" outlineLevel="1"/>
    <col min="12" max="13" width="14.1" style="1304" customWidth="1"/>
    <col min="14" max="14" width="8.3" style="1304" customWidth="1"/>
    <col min="15" max="15" width="9.3" style="229" customWidth="1"/>
    <col min="16" max="16" width="12.2" style="229" hidden="1" customWidth="1" outlineLevel="1"/>
    <col min="17" max="52" width="9" style="229" hidden="1" customWidth="1" outlineLevel="1"/>
    <col min="53" max="53" width="14.7" style="229" customWidth="1" collapsed="1"/>
    <col min="54" max="54" width="6.7" style="229" customWidth="1"/>
    <col min="55" max="56" width="5" style="229" customWidth="1"/>
    <col min="57" max="57" width="8.6" style="229" customWidth="1"/>
    <col min="58" max="59" width="9.6" style="254" customWidth="1"/>
    <col min="60" max="62" width="5" style="254" customWidth="1"/>
    <col min="63" max="63" width="8.6" style="229" customWidth="1"/>
    <col min="64" max="64" width="9.7" style="254" customWidth="1"/>
    <col min="65" max="68" width="9" style="229"/>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229"/>
  </cols>
  <sheetData>
    <row r="1" ht="13.95" customHeight="1" spans="1:77">
      <c r="A1" s="1284" t="s">
        <v>1591</v>
      </c>
      <c r="B1" s="1285" t="s">
        <v>1592</v>
      </c>
      <c r="BA1" s="84" t="str">
        <f>参数表!BA1</f>
        <v>注意：补充特殊事项、作价等均从BA列开始填写</v>
      </c>
      <c r="BB1" s="85"/>
      <c r="BQ1" s="87"/>
      <c r="BR1" s="88"/>
      <c r="BS1" s="87"/>
      <c r="BT1" s="88"/>
      <c r="BU1" s="88"/>
      <c r="BV1" s="88"/>
      <c r="BW1" s="88"/>
      <c r="BX1" s="88"/>
      <c r="BY1" s="87"/>
    </row>
    <row r="2" s="237" customFormat="1" ht="30" customHeight="1" spans="1:77">
      <c r="A2" s="294" t="s">
        <v>1896</v>
      </c>
      <c r="B2" s="294"/>
      <c r="C2" s="294"/>
      <c r="D2" s="294"/>
      <c r="E2" s="294"/>
      <c r="F2" s="294"/>
      <c r="G2" s="294"/>
      <c r="H2" s="294"/>
      <c r="I2" s="294"/>
      <c r="J2" s="294"/>
      <c r="K2" s="294"/>
      <c r="L2" s="294"/>
      <c r="M2" s="294"/>
      <c r="N2" s="294"/>
      <c r="O2" s="294"/>
      <c r="BA2" s="90" t="str">
        <f>参数表!BA2</f>
        <v>评估基准日：</v>
      </c>
      <c r="BB2" s="91" t="str">
        <f>参数表!BB2</f>
        <v>2025年7月31日</v>
      </c>
      <c r="BF2" s="295"/>
      <c r="BG2" s="295"/>
      <c r="BH2" s="295"/>
      <c r="BI2" s="295"/>
      <c r="BJ2" s="295"/>
      <c r="BL2" s="295"/>
      <c r="BQ2" s="92"/>
      <c r="BR2" s="93"/>
      <c r="BS2" s="92"/>
      <c r="BT2" s="93"/>
      <c r="BU2" s="93"/>
      <c r="BV2" s="93"/>
      <c r="BW2" s="93"/>
      <c r="BX2" s="93"/>
      <c r="BY2" s="92"/>
    </row>
    <row r="3" ht="14.1" customHeight="1" spans="1:77">
      <c r="A3" s="296" t="str">
        <f>参数表!F5</f>
        <v>评估基准日：2025年7月31日</v>
      </c>
      <c r="B3" s="296"/>
      <c r="C3" s="296"/>
      <c r="D3" s="296"/>
      <c r="E3" s="296"/>
      <c r="F3" s="296"/>
      <c r="G3" s="296"/>
      <c r="H3" s="296"/>
      <c r="I3" s="296"/>
      <c r="J3" s="296"/>
      <c r="K3" s="296"/>
      <c r="L3" s="296"/>
      <c r="M3" s="162"/>
      <c r="N3" s="162"/>
      <c r="O3" s="162"/>
      <c r="BA3" s="90" t="str">
        <f>参数表!BA3</f>
        <v>是否显示评估值：</v>
      </c>
      <c r="BB3" s="90" t="str">
        <f>参数表!BB3</f>
        <v>是</v>
      </c>
      <c r="BS3" s="78"/>
    </row>
    <row r="4" ht="14.1" customHeight="1" spans="1:77">
      <c r="A4" s="297"/>
      <c r="B4" s="296"/>
      <c r="C4" s="296"/>
      <c r="D4" s="296"/>
      <c r="E4" s="296"/>
      <c r="F4" s="296"/>
      <c r="G4" s="296"/>
      <c r="H4" s="296"/>
      <c r="I4" s="296"/>
      <c r="J4" s="296"/>
      <c r="K4" s="296"/>
      <c r="L4" s="296"/>
      <c r="M4" s="162"/>
      <c r="N4" s="162"/>
      <c r="O4" s="98" t="str">
        <f>"表"&amp;$BA4</f>
        <v>表3-4</v>
      </c>
      <c r="BA4" s="162" t="str">
        <f>流动资总!A10</f>
        <v>3-4</v>
      </c>
      <c r="BB4" s="100">
        <f>MAX(COUNTA(A7:A26),COUNTA(B7:B26),COUNTA(J7:J26),COUNTA(L7:L26))</f>
        <v>20</v>
      </c>
      <c r="BC4" s="101">
        <f>ROW(A6)+1</f>
        <v>7</v>
      </c>
      <c r="BD4" s="77"/>
      <c r="BE4" s="77"/>
      <c r="BS4" s="78"/>
    </row>
    <row r="5" customHeight="1" spans="1:77">
      <c r="A5" s="299" t="str">
        <f>参数表!F3</f>
        <v>产权持有单位:中煤第五建设有限公司</v>
      </c>
      <c r="B5" s="107"/>
      <c r="C5" s="107"/>
      <c r="D5" s="107"/>
      <c r="E5" s="107"/>
      <c r="F5" s="107"/>
      <c r="G5" s="107"/>
      <c r="H5" s="107"/>
      <c r="I5" s="107"/>
      <c r="J5" s="1305"/>
      <c r="K5" s="1305"/>
      <c r="L5" s="1305"/>
      <c r="M5" s="1305"/>
      <c r="N5" s="1305"/>
      <c r="O5" s="300" t="s">
        <v>236</v>
      </c>
      <c r="BA5" s="107"/>
      <c r="BB5" s="105" t="str">
        <f ca="1">判断表!C18</f>
        <v>中煤第五建设有限公司第三工程处拟处置实物资产项目\[0000-3基础法明细表.xlsx]衍生金资</v>
      </c>
      <c r="BC5" s="106">
        <f>IFERROR(SUMIF(BC7:BC26,"√",L7:L26)/L27,0)</f>
        <v>0</v>
      </c>
      <c r="BD5" s="107"/>
      <c r="BE5" s="107"/>
      <c r="BF5" s="284">
        <f>分类汇总!I11</f>
        <v>0</v>
      </c>
      <c r="BG5" s="284">
        <f>分类汇总!K11</f>
        <v>0</v>
      </c>
      <c r="BL5" s="162"/>
      <c r="BM5" s="107"/>
      <c r="BQ5" s="111"/>
      <c r="BS5" s="78"/>
      <c r="BX5" s="194"/>
      <c r="BY5" s="111"/>
    </row>
    <row r="6" s="287" customFormat="1" ht="27.75" customHeight="1" spans="1:77">
      <c r="A6" s="301" t="s">
        <v>305</v>
      </c>
      <c r="B6" s="114" t="s">
        <v>1897</v>
      </c>
      <c r="C6" s="114" t="s">
        <v>1898</v>
      </c>
      <c r="D6" s="114" t="s">
        <v>1743</v>
      </c>
      <c r="E6" s="114" t="s">
        <v>1899</v>
      </c>
      <c r="F6" s="115" t="s">
        <v>1900</v>
      </c>
      <c r="G6" s="114" t="s">
        <v>1631</v>
      </c>
      <c r="H6" s="115" t="s">
        <v>1632</v>
      </c>
      <c r="I6" s="115" t="s">
        <v>1633</v>
      </c>
      <c r="J6" s="1306" t="s">
        <v>1901</v>
      </c>
      <c r="K6" s="313" t="s">
        <v>1634</v>
      </c>
      <c r="L6" s="1307" t="s">
        <v>1523</v>
      </c>
      <c r="M6" s="1307" t="s">
        <v>1550</v>
      </c>
      <c r="N6" s="1307" t="s">
        <v>1551</v>
      </c>
      <c r="O6" s="114" t="s">
        <v>308</v>
      </c>
      <c r="BA6" s="100" t="s">
        <v>1545</v>
      </c>
      <c r="BB6" s="100" t="s">
        <v>1635</v>
      </c>
      <c r="BC6" s="100" t="s">
        <v>1636</v>
      </c>
      <c r="BD6" s="100" t="s">
        <v>1637</v>
      </c>
      <c r="BE6" s="100" t="s">
        <v>1638</v>
      </c>
      <c r="BF6" s="115" t="s">
        <v>1639</v>
      </c>
      <c r="BG6" s="115" t="s">
        <v>1640</v>
      </c>
      <c r="BH6" s="113" t="s">
        <v>1748</v>
      </c>
      <c r="BI6" s="113" t="s">
        <v>1749</v>
      </c>
      <c r="BJ6" s="118" t="s">
        <v>1750</v>
      </c>
      <c r="BK6" s="113" t="s">
        <v>1644</v>
      </c>
      <c r="BL6" s="224" t="s">
        <v>1776</v>
      </c>
      <c r="BM6" s="185" t="s">
        <v>1777</v>
      </c>
      <c r="BN6" s="184" t="s">
        <v>1778</v>
      </c>
      <c r="BO6" s="185" t="s">
        <v>1779</v>
      </c>
      <c r="BP6" s="185" t="s">
        <v>1524</v>
      </c>
      <c r="BQ6" s="119"/>
      <c r="BR6" s="120" t="s">
        <v>1645</v>
      </c>
      <c r="BS6" s="121" t="s">
        <v>1646</v>
      </c>
      <c r="BT6" s="121" t="s">
        <v>1647</v>
      </c>
      <c r="BU6" s="121" t="s">
        <v>1648</v>
      </c>
      <c r="BV6" s="121" t="s">
        <v>1647</v>
      </c>
      <c r="BW6" s="121" t="s">
        <v>1647</v>
      </c>
      <c r="BX6" s="121" t="s">
        <v>1649</v>
      </c>
      <c r="BY6" s="122" t="s">
        <v>1650</v>
      </c>
    </row>
    <row r="7" customHeight="1" spans="1:77">
      <c r="A7" s="123" t="str">
        <f>IF(B7="","",COUNT(A$6:A6)+1)</f>
        <v/>
      </c>
      <c r="B7" s="315"/>
      <c r="C7" s="315"/>
      <c r="D7" s="319"/>
      <c r="E7" s="319"/>
      <c r="F7" s="957"/>
      <c r="G7" s="127"/>
      <c r="H7" s="127" t="str">
        <f>IFERROR(VLOOKUP(G7,参数表!$H$2:$I$50,2,FALSE),"")</f>
        <v/>
      </c>
      <c r="I7" s="128" t="str">
        <f>IFERROR(IF(OR(G7="人民币",G7=""),"",L7/H7),"")</f>
        <v/>
      </c>
      <c r="J7" s="955"/>
      <c r="K7" s="955"/>
      <c r="L7" s="955" t="str">
        <f>IF(B7="","",J7+K7)</f>
        <v/>
      </c>
      <c r="M7" s="955" t="str">
        <f t="shared" ref="M7:M26" si="0">IF(B7="","",IF($BB$3="是",L7,""))</f>
        <v/>
      </c>
      <c r="N7" s="955" t="str">
        <f>IFERROR((M7-L7)/L7*100,"")</f>
        <v/>
      </c>
      <c r="O7" s="957" t="s">
        <v>347</v>
      </c>
      <c r="BA7" s="78"/>
      <c r="BB7" s="132" t="s">
        <v>1902</v>
      </c>
      <c r="BC7" s="133"/>
      <c r="BD7" s="132" t="str">
        <f>IF(OR(B7="",BC7=""),"",COUNTIF(BC$7:BC7,"√"))</f>
        <v/>
      </c>
      <c r="BE7" s="134" t="str">
        <f t="shared" ref="BE7:BE26" si="1">IF(BC7="","",BB7&amp;"︱"&amp;B7&amp;"︱"&amp;TEXT(J7,"#,##0.00"))</f>
        <v/>
      </c>
      <c r="BF7" s="135" t="str">
        <f>IF($B7="","",IF(BF$5=0,"OK","出错"))</f>
        <v/>
      </c>
      <c r="BG7" s="135" t="str">
        <f>IF($B7="","",IF(BG$5=0,"OK","出错"))</f>
        <v/>
      </c>
      <c r="BH7" s="136"/>
      <c r="BI7" s="136"/>
      <c r="BJ7" s="136"/>
      <c r="BK7" s="137"/>
      <c r="BL7" s="165" t="s">
        <v>1677</v>
      </c>
      <c r="BM7" s="1217" t="str">
        <f t="shared" ref="BM7:BM26" si="2">L7</f>
        <v/>
      </c>
      <c r="BN7" s="1217">
        <f t="shared" ref="BN7:BN26" si="3">(BB$2-D7)/365</f>
        <v>125.668493150685</v>
      </c>
      <c r="BO7" s="1217">
        <f t="shared" ref="BO7:BO26" si="4">IFERROR(IF(BL7="否",BM7*BN7*F7/100,0),0)</f>
        <v>0</v>
      </c>
      <c r="BP7" s="1217">
        <f>IFERROR(BM7+BO7,0)</f>
        <v>0</v>
      </c>
      <c r="BR7" s="134" t="str">
        <f>IF(COUNTIF(BR$6:BR6,C7)&gt;0,"",C7)&amp;""</f>
        <v/>
      </c>
      <c r="BS7" s="138">
        <f>SUMIF(C$7:C$26,BR7,L$7:L$26)</f>
        <v>0</v>
      </c>
      <c r="BT7" s="132">
        <f t="shared" ref="BT7" si="5">RANK(BS7,BS$7:BS$26)</f>
        <v>1</v>
      </c>
      <c r="BU7" s="138">
        <f>SUMIF(C$7:C$26,BR7,M$7:M$26)</f>
        <v>0</v>
      </c>
      <c r="BV7" s="132">
        <f>RANK(BU7,BU$7:BU$26)</f>
        <v>1</v>
      </c>
      <c r="BW7" s="138">
        <f>SUM(BS7:BS26)</f>
        <v>0</v>
      </c>
      <c r="BX7" s="138"/>
      <c r="BY7" s="138"/>
    </row>
    <row r="8" customHeight="1" spans="1:77">
      <c r="A8" s="123" t="str">
        <f>IF(B8="","",COUNT(A$6:A7)+1)</f>
        <v/>
      </c>
      <c r="B8" s="322" t="s">
        <v>347</v>
      </c>
      <c r="C8" s="322"/>
      <c r="D8" s="326"/>
      <c r="E8" s="326"/>
      <c r="F8" s="959"/>
      <c r="G8" s="142"/>
      <c r="H8" s="127" t="str">
        <f>IFERROR(VLOOKUP(G8,参数表!$H$2:$I$50,2,FALSE),"")</f>
        <v/>
      </c>
      <c r="I8" s="128" t="str">
        <f t="shared" ref="I8:I26" si="6">IFERROR(IF(OR(G8="人民币",G8=""),"",L8/H8),"")</f>
        <v/>
      </c>
      <c r="J8" s="958"/>
      <c r="K8" s="958"/>
      <c r="L8" s="955" t="str">
        <f t="shared" ref="L8:L26" si="7">IF(B8="","",J8+K8)</f>
        <v/>
      </c>
      <c r="M8" s="955" t="str">
        <f t="shared" si="0"/>
        <v/>
      </c>
      <c r="N8" s="955" t="str">
        <f t="shared" ref="N8:N27" si="8">IFERROR((M8-L8)/L8*100,"")</f>
        <v/>
      </c>
      <c r="O8" s="959" t="s">
        <v>347</v>
      </c>
      <c r="BA8" s="78"/>
      <c r="BB8" s="132" t="s">
        <v>1903</v>
      </c>
      <c r="BC8" s="133"/>
      <c r="BD8" s="132" t="str">
        <f>IF(OR(B8="",BC8=""),"",COUNTIF(BC$7:BC8,"√"))</f>
        <v/>
      </c>
      <c r="BE8" s="134" t="str">
        <f t="shared" si="1"/>
        <v/>
      </c>
      <c r="BF8" s="135" t="str">
        <f t="shared" ref="BF8:BG26" si="9">IF($B8="","",IF(BF$5=0,"OK","出错"))</f>
        <v/>
      </c>
      <c r="BG8" s="135" t="str">
        <f t="shared" si="9"/>
        <v/>
      </c>
      <c r="BH8" s="136"/>
      <c r="BI8" s="136"/>
      <c r="BJ8" s="136"/>
      <c r="BK8" s="137"/>
      <c r="BL8" s="165" t="s">
        <v>1677</v>
      </c>
      <c r="BM8" s="1217" t="str">
        <f t="shared" si="2"/>
        <v/>
      </c>
      <c r="BN8" s="1217">
        <f t="shared" si="3"/>
        <v>125.668493150685</v>
      </c>
      <c r="BO8" s="1217">
        <f t="shared" si="4"/>
        <v>0</v>
      </c>
      <c r="BP8" s="1217">
        <f t="shared" ref="BP8:BP26" si="10">IFERROR(BM8+BO8,0)</f>
        <v>0</v>
      </c>
      <c r="BR8" s="134" t="str">
        <f>IF(COUNTIF(BR$6:BR7,C8)&gt;0,"",C8)&amp;""</f>
        <v/>
      </c>
      <c r="BS8" s="138">
        <f t="shared" ref="BS8:BS26" si="11">SUMIF(C$7:C$26,BR8,L$7:L$26)</f>
        <v>0</v>
      </c>
      <c r="BT8" s="132">
        <f t="shared" ref="BT8:BT26" si="12">RANK(BS8,BS$7:BS$26)</f>
        <v>1</v>
      </c>
      <c r="BU8" s="138">
        <f t="shared" ref="BU8:BU26" si="13">SUMIF(C$7:C$26,BR8,M$7:M$26)</f>
        <v>0</v>
      </c>
      <c r="BV8" s="132">
        <f t="shared" ref="BV8:BV26" si="14">RANK(BU8,BU$7:BU$26)</f>
        <v>1</v>
      </c>
      <c r="BW8" s="138">
        <f>SUM(BU7:BU26)</f>
        <v>0</v>
      </c>
      <c r="BX8" s="138"/>
      <c r="BY8" s="138"/>
    </row>
    <row r="9" customHeight="1" spans="1:77">
      <c r="A9" s="123" t="str">
        <f>IF(B9="","",COUNT(A$6:A8)+1)</f>
        <v/>
      </c>
      <c r="B9" s="322" t="s">
        <v>347</v>
      </c>
      <c r="C9" s="322"/>
      <c r="D9" s="326"/>
      <c r="E9" s="326"/>
      <c r="F9" s="959"/>
      <c r="G9" s="142"/>
      <c r="H9" s="127" t="str">
        <f>IFERROR(VLOOKUP(G9,参数表!$H$2:$I$50,2,FALSE),"")</f>
        <v/>
      </c>
      <c r="I9" s="128" t="str">
        <f t="shared" si="6"/>
        <v/>
      </c>
      <c r="J9" s="958"/>
      <c r="K9" s="958"/>
      <c r="L9" s="955" t="str">
        <f t="shared" si="7"/>
        <v/>
      </c>
      <c r="M9" s="955" t="str">
        <f t="shared" si="0"/>
        <v/>
      </c>
      <c r="N9" s="955" t="str">
        <f t="shared" si="8"/>
        <v/>
      </c>
      <c r="O9" s="959" t="s">
        <v>347</v>
      </c>
      <c r="BA9" s="78"/>
      <c r="BB9" s="132" t="s">
        <v>1904</v>
      </c>
      <c r="BC9" s="133"/>
      <c r="BD9" s="132" t="str">
        <f>IF(OR(B9="",BC9=""),"",COUNTIF(BC$7:BC9,"√"))</f>
        <v/>
      </c>
      <c r="BE9" s="134" t="str">
        <f t="shared" si="1"/>
        <v/>
      </c>
      <c r="BF9" s="135" t="str">
        <f t="shared" si="9"/>
        <v/>
      </c>
      <c r="BG9" s="135" t="str">
        <f t="shared" si="9"/>
        <v/>
      </c>
      <c r="BH9" s="136"/>
      <c r="BI9" s="136"/>
      <c r="BJ9" s="136"/>
      <c r="BK9" s="137"/>
      <c r="BL9" s="165" t="s">
        <v>1677</v>
      </c>
      <c r="BM9" s="1217" t="str">
        <f t="shared" si="2"/>
        <v/>
      </c>
      <c r="BN9" s="1217">
        <f t="shared" si="3"/>
        <v>125.668493150685</v>
      </c>
      <c r="BO9" s="1217">
        <f t="shared" si="4"/>
        <v>0</v>
      </c>
      <c r="BP9" s="1217">
        <f t="shared" si="10"/>
        <v>0</v>
      </c>
      <c r="BR9" s="134" t="str">
        <f>IF(COUNTIF(BR$6:BR8,C9)&gt;0,"",C9)&amp;""</f>
        <v/>
      </c>
      <c r="BS9" s="138">
        <f t="shared" si="11"/>
        <v>0</v>
      </c>
      <c r="BT9" s="132">
        <f t="shared" si="12"/>
        <v>1</v>
      </c>
      <c r="BU9" s="138">
        <f t="shared" si="13"/>
        <v>0</v>
      </c>
      <c r="BV9" s="132">
        <f t="shared" si="14"/>
        <v>1</v>
      </c>
      <c r="BW9" s="132">
        <v>1</v>
      </c>
      <c r="BX9" s="134" t="str">
        <f>IFERROR(INDEX(BR$7:BR$26,MATCH(BW9,IF(BW$7=0,BV$7:BV$26,BT$7:BT$26),0))&amp;"","")</f>
        <v/>
      </c>
      <c r="BY9" s="146" t="str">
        <f>IF(BX10="","",IF(BX11="","和","、"))</f>
        <v/>
      </c>
    </row>
    <row r="10" customHeight="1" spans="1:77">
      <c r="A10" s="123" t="str">
        <f>IF(B10="","",COUNT(A$6:A9)+1)</f>
        <v/>
      </c>
      <c r="B10" s="322" t="s">
        <v>347</v>
      </c>
      <c r="C10" s="322"/>
      <c r="D10" s="326"/>
      <c r="E10" s="326"/>
      <c r="F10" s="959"/>
      <c r="G10" s="142"/>
      <c r="H10" s="127" t="str">
        <f>IFERROR(VLOOKUP(G10,参数表!$H$2:$I$50,2,FALSE),"")</f>
        <v/>
      </c>
      <c r="I10" s="128" t="str">
        <f t="shared" si="6"/>
        <v/>
      </c>
      <c r="J10" s="958"/>
      <c r="K10" s="958"/>
      <c r="L10" s="955" t="str">
        <f t="shared" si="7"/>
        <v/>
      </c>
      <c r="M10" s="955" t="str">
        <f t="shared" si="0"/>
        <v/>
      </c>
      <c r="N10" s="955" t="str">
        <f t="shared" si="8"/>
        <v/>
      </c>
      <c r="O10" s="959" t="s">
        <v>347</v>
      </c>
      <c r="BA10" s="78"/>
      <c r="BB10" s="132" t="s">
        <v>1905</v>
      </c>
      <c r="BC10" s="133"/>
      <c r="BD10" s="132" t="str">
        <f>IF(OR(B10="",BC10=""),"",COUNTIF(BC$7:BC10,"√"))</f>
        <v/>
      </c>
      <c r="BE10" s="134" t="str">
        <f t="shared" si="1"/>
        <v/>
      </c>
      <c r="BF10" s="135" t="str">
        <f t="shared" si="9"/>
        <v/>
      </c>
      <c r="BG10" s="135" t="str">
        <f t="shared" si="9"/>
        <v/>
      </c>
      <c r="BH10" s="136"/>
      <c r="BI10" s="136"/>
      <c r="BJ10" s="136"/>
      <c r="BK10" s="137"/>
      <c r="BL10" s="165" t="s">
        <v>1677</v>
      </c>
      <c r="BM10" s="1217" t="str">
        <f t="shared" si="2"/>
        <v/>
      </c>
      <c r="BN10" s="1217">
        <f t="shared" si="3"/>
        <v>125.668493150685</v>
      </c>
      <c r="BO10" s="1217">
        <f t="shared" si="4"/>
        <v>0</v>
      </c>
      <c r="BP10" s="1217">
        <f t="shared" si="10"/>
        <v>0</v>
      </c>
      <c r="BR10" s="134" t="str">
        <f>IF(COUNTIF(BR$6:BR9,C10)&gt;0,"",C10)&amp;""</f>
        <v/>
      </c>
      <c r="BS10" s="138">
        <f t="shared" si="11"/>
        <v>0</v>
      </c>
      <c r="BT10" s="132">
        <f t="shared" si="12"/>
        <v>1</v>
      </c>
      <c r="BU10" s="138">
        <f t="shared" si="13"/>
        <v>0</v>
      </c>
      <c r="BV10" s="132">
        <f t="shared" si="14"/>
        <v>1</v>
      </c>
      <c r="BW10" s="132">
        <v>2</v>
      </c>
      <c r="BX10" s="134" t="str">
        <f t="shared" ref="BX10:BX13" si="15">IFERROR(INDEX(BR$7:BR$26,MATCH(BW10,IF(BW$7=0,BV$7:BV$26,BT$7:BT$26),0))&amp;"","")</f>
        <v/>
      </c>
      <c r="BY10" s="146" t="str">
        <f t="shared" ref="BY10:BY11" si="16">IF(BX11="","",IF(BX12="","和","、"))</f>
        <v/>
      </c>
    </row>
    <row r="11" customHeight="1" spans="1:77">
      <c r="A11" s="123" t="str">
        <f>IF(B11="","",COUNT(A$6:A10)+1)</f>
        <v/>
      </c>
      <c r="B11" s="322"/>
      <c r="C11" s="322"/>
      <c r="D11" s="326"/>
      <c r="E11" s="326"/>
      <c r="F11" s="959"/>
      <c r="G11" s="142"/>
      <c r="H11" s="127" t="str">
        <f>IFERROR(VLOOKUP(G11,参数表!$H$2:$I$50,2,FALSE),"")</f>
        <v/>
      </c>
      <c r="I11" s="128" t="str">
        <f t="shared" si="6"/>
        <v/>
      </c>
      <c r="J11" s="958"/>
      <c r="K11" s="958"/>
      <c r="L11" s="955" t="str">
        <f t="shared" si="7"/>
        <v/>
      </c>
      <c r="M11" s="955" t="str">
        <f t="shared" si="0"/>
        <v/>
      </c>
      <c r="N11" s="955" t="str">
        <f t="shared" si="8"/>
        <v/>
      </c>
      <c r="O11" s="959" t="s">
        <v>347</v>
      </c>
      <c r="BA11" s="78"/>
      <c r="BB11" s="132" t="s">
        <v>1906</v>
      </c>
      <c r="BC11" s="133"/>
      <c r="BD11" s="132" t="str">
        <f>IF(OR(B11="",BC11=""),"",COUNTIF(BC$7:BC11,"√"))</f>
        <v/>
      </c>
      <c r="BE11" s="134" t="str">
        <f t="shared" si="1"/>
        <v/>
      </c>
      <c r="BF11" s="135" t="str">
        <f t="shared" si="9"/>
        <v/>
      </c>
      <c r="BG11" s="135" t="str">
        <f t="shared" si="9"/>
        <v/>
      </c>
      <c r="BH11" s="136"/>
      <c r="BI11" s="136"/>
      <c r="BJ11" s="136"/>
      <c r="BK11" s="137"/>
      <c r="BL11" s="165" t="s">
        <v>1677</v>
      </c>
      <c r="BM11" s="1217" t="str">
        <f t="shared" si="2"/>
        <v/>
      </c>
      <c r="BN11" s="1217">
        <f t="shared" si="3"/>
        <v>125.668493150685</v>
      </c>
      <c r="BO11" s="1217">
        <f t="shared" si="4"/>
        <v>0</v>
      </c>
      <c r="BP11" s="1217">
        <f t="shared" si="10"/>
        <v>0</v>
      </c>
      <c r="BR11" s="134" t="str">
        <f>IF(COUNTIF(BR$6:BR10,C11)&gt;0,"",C11)&amp;""</f>
        <v/>
      </c>
      <c r="BS11" s="138">
        <f t="shared" si="11"/>
        <v>0</v>
      </c>
      <c r="BT11" s="132">
        <f t="shared" si="12"/>
        <v>1</v>
      </c>
      <c r="BU11" s="138">
        <f t="shared" si="13"/>
        <v>0</v>
      </c>
      <c r="BV11" s="132">
        <f t="shared" si="14"/>
        <v>1</v>
      </c>
      <c r="BW11" s="132">
        <v>3</v>
      </c>
      <c r="BX11" s="134" t="str">
        <f t="shared" si="15"/>
        <v/>
      </c>
      <c r="BY11" s="146" t="str">
        <f t="shared" si="16"/>
        <v/>
      </c>
    </row>
    <row r="12" customHeight="1" spans="1:77">
      <c r="A12" s="123" t="str">
        <f>IF(B12="","",COUNT(A$6:A11)+1)</f>
        <v/>
      </c>
      <c r="B12" s="322" t="s">
        <v>347</v>
      </c>
      <c r="C12" s="322"/>
      <c r="D12" s="326"/>
      <c r="E12" s="326"/>
      <c r="F12" s="959"/>
      <c r="G12" s="142"/>
      <c r="H12" s="127" t="str">
        <f>IFERROR(VLOOKUP(G12,参数表!$H$2:$I$50,2,FALSE),"")</f>
        <v/>
      </c>
      <c r="I12" s="128" t="str">
        <f t="shared" si="6"/>
        <v/>
      </c>
      <c r="J12" s="958"/>
      <c r="K12" s="958"/>
      <c r="L12" s="955" t="str">
        <f t="shared" si="7"/>
        <v/>
      </c>
      <c r="M12" s="955" t="str">
        <f t="shared" si="0"/>
        <v/>
      </c>
      <c r="N12" s="955" t="str">
        <f t="shared" si="8"/>
        <v/>
      </c>
      <c r="O12" s="959" t="s">
        <v>347</v>
      </c>
      <c r="BA12" s="78"/>
      <c r="BB12" s="132" t="s">
        <v>1907</v>
      </c>
      <c r="BC12" s="133"/>
      <c r="BD12" s="132" t="str">
        <f>IF(OR(B12="",BC12=""),"",COUNTIF(BC$7:BC12,"√"))</f>
        <v/>
      </c>
      <c r="BE12" s="134" t="str">
        <f t="shared" si="1"/>
        <v/>
      </c>
      <c r="BF12" s="135" t="str">
        <f t="shared" si="9"/>
        <v/>
      </c>
      <c r="BG12" s="135" t="str">
        <f t="shared" si="9"/>
        <v/>
      </c>
      <c r="BH12" s="136"/>
      <c r="BI12" s="136"/>
      <c r="BJ12" s="136"/>
      <c r="BK12" s="137"/>
      <c r="BL12" s="165" t="s">
        <v>1677</v>
      </c>
      <c r="BM12" s="1217" t="str">
        <f t="shared" si="2"/>
        <v/>
      </c>
      <c r="BN12" s="1217">
        <f t="shared" si="3"/>
        <v>125.668493150685</v>
      </c>
      <c r="BO12" s="1217">
        <f t="shared" si="4"/>
        <v>0</v>
      </c>
      <c r="BP12" s="1217">
        <f t="shared" si="10"/>
        <v>0</v>
      </c>
      <c r="BR12" s="134" t="str">
        <f>IF(COUNTIF(BR$6:BR11,C12)&gt;0,"",C12)&amp;""</f>
        <v/>
      </c>
      <c r="BS12" s="138">
        <f t="shared" si="11"/>
        <v>0</v>
      </c>
      <c r="BT12" s="132">
        <f t="shared" si="12"/>
        <v>1</v>
      </c>
      <c r="BU12" s="138">
        <f t="shared" si="13"/>
        <v>0</v>
      </c>
      <c r="BV12" s="132">
        <f t="shared" si="14"/>
        <v>1</v>
      </c>
      <c r="BW12" s="132">
        <v>4</v>
      </c>
      <c r="BX12" s="134" t="str">
        <f t="shared" si="15"/>
        <v/>
      </c>
      <c r="BY12" s="146" t="str">
        <f>IF(BX13="","","和")</f>
        <v/>
      </c>
    </row>
    <row r="13" customHeight="1" spans="1:77">
      <c r="A13" s="123" t="str">
        <f>IF(B13="","",COUNT(A$6:A12)+1)</f>
        <v/>
      </c>
      <c r="B13" s="322" t="s">
        <v>347</v>
      </c>
      <c r="C13" s="322"/>
      <c r="D13" s="326"/>
      <c r="E13" s="326"/>
      <c r="F13" s="959"/>
      <c r="G13" s="142"/>
      <c r="H13" s="127" t="str">
        <f>IFERROR(VLOOKUP(G13,参数表!$H$2:$I$50,2,FALSE),"")</f>
        <v/>
      </c>
      <c r="I13" s="128" t="str">
        <f t="shared" si="6"/>
        <v/>
      </c>
      <c r="J13" s="958"/>
      <c r="K13" s="958"/>
      <c r="L13" s="955" t="str">
        <f t="shared" si="7"/>
        <v/>
      </c>
      <c r="M13" s="955" t="str">
        <f t="shared" si="0"/>
        <v/>
      </c>
      <c r="N13" s="955" t="str">
        <f t="shared" si="8"/>
        <v/>
      </c>
      <c r="O13" s="959" t="s">
        <v>347</v>
      </c>
      <c r="BA13" s="78"/>
      <c r="BB13" s="132" t="s">
        <v>1908</v>
      </c>
      <c r="BC13" s="133"/>
      <c r="BD13" s="132" t="str">
        <f>IF(OR(B13="",BC13=""),"",COUNTIF(BC$7:BC13,"√"))</f>
        <v/>
      </c>
      <c r="BE13" s="134" t="str">
        <f t="shared" si="1"/>
        <v/>
      </c>
      <c r="BF13" s="135" t="str">
        <f t="shared" si="9"/>
        <v/>
      </c>
      <c r="BG13" s="135" t="str">
        <f t="shared" si="9"/>
        <v/>
      </c>
      <c r="BH13" s="136"/>
      <c r="BI13" s="136"/>
      <c r="BJ13" s="136"/>
      <c r="BK13" s="137"/>
      <c r="BL13" s="165" t="s">
        <v>1677</v>
      </c>
      <c r="BM13" s="1217" t="str">
        <f t="shared" si="2"/>
        <v/>
      </c>
      <c r="BN13" s="1217">
        <f t="shared" si="3"/>
        <v>125.668493150685</v>
      </c>
      <c r="BO13" s="1217">
        <f t="shared" si="4"/>
        <v>0</v>
      </c>
      <c r="BP13" s="1217">
        <f t="shared" si="10"/>
        <v>0</v>
      </c>
      <c r="BR13" s="134" t="str">
        <f>IF(COUNTIF(BR$6:BR12,C13)&gt;0,"",C13)&amp;""</f>
        <v/>
      </c>
      <c r="BS13" s="138">
        <f t="shared" si="11"/>
        <v>0</v>
      </c>
      <c r="BT13" s="132">
        <f t="shared" si="12"/>
        <v>1</v>
      </c>
      <c r="BU13" s="138">
        <f t="shared" si="13"/>
        <v>0</v>
      </c>
      <c r="BV13" s="132">
        <f t="shared" si="14"/>
        <v>1</v>
      </c>
      <c r="BW13" s="132">
        <v>5</v>
      </c>
      <c r="BX13" s="134" t="str">
        <f t="shared" si="15"/>
        <v/>
      </c>
      <c r="BY13" s="146"/>
    </row>
    <row r="14" customHeight="1" spans="1:77">
      <c r="A14" s="123" t="str">
        <f>IF(B14="","",COUNT(A$6:A13)+1)</f>
        <v/>
      </c>
      <c r="B14" s="322" t="s">
        <v>347</v>
      </c>
      <c r="C14" s="322"/>
      <c r="D14" s="326"/>
      <c r="E14" s="326"/>
      <c r="F14" s="959"/>
      <c r="G14" s="142"/>
      <c r="H14" s="127" t="str">
        <f>IFERROR(VLOOKUP(G14,参数表!$H$2:$I$50,2,FALSE),"")</f>
        <v/>
      </c>
      <c r="I14" s="128" t="str">
        <f t="shared" si="6"/>
        <v/>
      </c>
      <c r="J14" s="958"/>
      <c r="K14" s="958"/>
      <c r="L14" s="955" t="str">
        <f t="shared" si="7"/>
        <v/>
      </c>
      <c r="M14" s="955" t="str">
        <f t="shared" si="0"/>
        <v/>
      </c>
      <c r="N14" s="955" t="str">
        <f t="shared" si="8"/>
        <v/>
      </c>
      <c r="O14" s="959" t="s">
        <v>347</v>
      </c>
      <c r="BA14" s="78"/>
      <c r="BB14" s="132" t="s">
        <v>1909</v>
      </c>
      <c r="BC14" s="133"/>
      <c r="BD14" s="132" t="str">
        <f>IF(OR(B14="",BC14=""),"",COUNTIF(BC$7:BC14,"√"))</f>
        <v/>
      </c>
      <c r="BE14" s="134" t="str">
        <f t="shared" si="1"/>
        <v/>
      </c>
      <c r="BF14" s="135" t="str">
        <f t="shared" si="9"/>
        <v/>
      </c>
      <c r="BG14" s="135" t="str">
        <f t="shared" si="9"/>
        <v/>
      </c>
      <c r="BH14" s="136"/>
      <c r="BI14" s="136"/>
      <c r="BJ14" s="136"/>
      <c r="BK14" s="137"/>
      <c r="BL14" s="165" t="s">
        <v>1677</v>
      </c>
      <c r="BM14" s="1217" t="str">
        <f t="shared" si="2"/>
        <v/>
      </c>
      <c r="BN14" s="1217">
        <f t="shared" si="3"/>
        <v>125.668493150685</v>
      </c>
      <c r="BO14" s="1217">
        <f t="shared" si="4"/>
        <v>0</v>
      </c>
      <c r="BP14" s="1217">
        <f t="shared" si="10"/>
        <v>0</v>
      </c>
      <c r="BR14" s="134" t="str">
        <f>IF(COUNTIF(BR$6:BR13,C14)&gt;0,"",C14)&amp;""</f>
        <v/>
      </c>
      <c r="BS14" s="138">
        <f t="shared" si="11"/>
        <v>0</v>
      </c>
      <c r="BT14" s="132">
        <f t="shared" si="12"/>
        <v>1</v>
      </c>
      <c r="BU14" s="138">
        <f t="shared" si="13"/>
        <v>0</v>
      </c>
      <c r="BV14" s="132">
        <f t="shared" si="14"/>
        <v>1</v>
      </c>
      <c r="BW14" s="147" t="s">
        <v>1659</v>
      </c>
      <c r="BX14" s="132" t="str">
        <f>CONCATENATE(BX9,BY9,BX10,BY10,BX11,BY11,BX12,BY12,BX13)</f>
        <v/>
      </c>
      <c r="BY14" s="132"/>
    </row>
    <row r="15" customHeight="1" spans="1:77">
      <c r="A15" s="123" t="str">
        <f>IF(B15="","",COUNT(A$6:A14)+1)</f>
        <v/>
      </c>
      <c r="B15" s="322" t="s">
        <v>347</v>
      </c>
      <c r="C15" s="322"/>
      <c r="D15" s="326"/>
      <c r="E15" s="326"/>
      <c r="F15" s="959"/>
      <c r="G15" s="142"/>
      <c r="H15" s="127" t="str">
        <f>IFERROR(VLOOKUP(G15,参数表!$H$2:$I$50,2,FALSE),"")</f>
        <v/>
      </c>
      <c r="I15" s="128" t="str">
        <f t="shared" si="6"/>
        <v/>
      </c>
      <c r="J15" s="958"/>
      <c r="K15" s="958"/>
      <c r="L15" s="955" t="str">
        <f t="shared" si="7"/>
        <v/>
      </c>
      <c r="M15" s="955" t="str">
        <f t="shared" si="0"/>
        <v/>
      </c>
      <c r="N15" s="955" t="str">
        <f t="shared" si="8"/>
        <v/>
      </c>
      <c r="O15" s="959" t="s">
        <v>347</v>
      </c>
      <c r="BA15" s="78"/>
      <c r="BB15" s="132" t="s">
        <v>1910</v>
      </c>
      <c r="BC15" s="133"/>
      <c r="BD15" s="132" t="str">
        <f>IF(OR(B15="",BC15=""),"",COUNTIF(BC$7:BC15,"√"))</f>
        <v/>
      </c>
      <c r="BE15" s="134" t="str">
        <f t="shared" si="1"/>
        <v/>
      </c>
      <c r="BF15" s="135" t="str">
        <f t="shared" si="9"/>
        <v/>
      </c>
      <c r="BG15" s="135" t="str">
        <f t="shared" si="9"/>
        <v/>
      </c>
      <c r="BH15" s="136"/>
      <c r="BI15" s="136"/>
      <c r="BJ15" s="136"/>
      <c r="BK15" s="137"/>
      <c r="BL15" s="165" t="s">
        <v>1677</v>
      </c>
      <c r="BM15" s="1217" t="str">
        <f t="shared" si="2"/>
        <v/>
      </c>
      <c r="BN15" s="1217">
        <f t="shared" si="3"/>
        <v>125.668493150685</v>
      </c>
      <c r="BO15" s="1217">
        <f t="shared" si="4"/>
        <v>0</v>
      </c>
      <c r="BP15" s="1217">
        <f t="shared" si="10"/>
        <v>0</v>
      </c>
      <c r="BR15" s="134" t="str">
        <f>IF(COUNTIF(BR$6:BR14,C15)&gt;0,"",C15)&amp;""</f>
        <v/>
      </c>
      <c r="BS15" s="138">
        <f t="shared" si="11"/>
        <v>0</v>
      </c>
      <c r="BT15" s="132">
        <f t="shared" si="12"/>
        <v>1</v>
      </c>
      <c r="BU15" s="138">
        <f t="shared" si="13"/>
        <v>0</v>
      </c>
      <c r="BV15" s="132">
        <f t="shared" si="14"/>
        <v>1</v>
      </c>
      <c r="BW15" s="133"/>
      <c r="BX15" s="133"/>
    </row>
    <row r="16" customHeight="1" spans="1:77">
      <c r="A16" s="123" t="str">
        <f>IF(B16="","",COUNT(A$6:A15)+1)</f>
        <v/>
      </c>
      <c r="B16" s="322" t="s">
        <v>347</v>
      </c>
      <c r="C16" s="322"/>
      <c r="D16" s="326"/>
      <c r="E16" s="326"/>
      <c r="F16" s="959"/>
      <c r="G16" s="142"/>
      <c r="H16" s="127" t="str">
        <f>IFERROR(VLOOKUP(G16,参数表!$H$2:$I$50,2,FALSE),"")</f>
        <v/>
      </c>
      <c r="I16" s="128" t="str">
        <f t="shared" si="6"/>
        <v/>
      </c>
      <c r="J16" s="958"/>
      <c r="K16" s="958"/>
      <c r="L16" s="955" t="str">
        <f t="shared" si="7"/>
        <v/>
      </c>
      <c r="M16" s="955" t="str">
        <f t="shared" si="0"/>
        <v/>
      </c>
      <c r="N16" s="955" t="str">
        <f t="shared" si="8"/>
        <v/>
      </c>
      <c r="O16" s="959" t="s">
        <v>347</v>
      </c>
      <c r="BA16" s="78"/>
      <c r="BB16" s="132" t="s">
        <v>1911</v>
      </c>
      <c r="BC16" s="133"/>
      <c r="BD16" s="132" t="str">
        <f>IF(OR(B16="",BC16=""),"",COUNTIF(BC$7:BC16,"√"))</f>
        <v/>
      </c>
      <c r="BE16" s="134" t="str">
        <f t="shared" si="1"/>
        <v/>
      </c>
      <c r="BF16" s="135" t="str">
        <f t="shared" si="9"/>
        <v/>
      </c>
      <c r="BG16" s="135" t="str">
        <f t="shared" si="9"/>
        <v/>
      </c>
      <c r="BH16" s="136"/>
      <c r="BI16" s="136"/>
      <c r="BJ16" s="136"/>
      <c r="BK16" s="137"/>
      <c r="BL16" s="165" t="s">
        <v>1677</v>
      </c>
      <c r="BM16" s="1217" t="str">
        <f t="shared" si="2"/>
        <v/>
      </c>
      <c r="BN16" s="1217">
        <f t="shared" si="3"/>
        <v>125.668493150685</v>
      </c>
      <c r="BO16" s="1217">
        <f t="shared" si="4"/>
        <v>0</v>
      </c>
      <c r="BP16" s="1217">
        <f t="shared" si="10"/>
        <v>0</v>
      </c>
      <c r="BR16" s="134" t="str">
        <f>IF(COUNTIF(BR$6:BR15,C16)&gt;0,"",C16)&amp;""</f>
        <v/>
      </c>
      <c r="BS16" s="138">
        <f t="shared" si="11"/>
        <v>0</v>
      </c>
      <c r="BT16" s="132">
        <f t="shared" si="12"/>
        <v>1</v>
      </c>
      <c r="BU16" s="138">
        <f t="shared" si="13"/>
        <v>0</v>
      </c>
      <c r="BV16" s="132">
        <f t="shared" si="14"/>
        <v>1</v>
      </c>
      <c r="BW16" s="133"/>
      <c r="BX16" s="148"/>
    </row>
    <row r="17" customHeight="1" spans="1:77">
      <c r="A17" s="123" t="str">
        <f>IF(B17="","",COUNT(A$6:A16)+1)</f>
        <v/>
      </c>
      <c r="B17" s="322" t="s">
        <v>347</v>
      </c>
      <c r="C17" s="322"/>
      <c r="D17" s="326"/>
      <c r="E17" s="326"/>
      <c r="F17" s="959"/>
      <c r="G17" s="142"/>
      <c r="H17" s="127" t="str">
        <f>IFERROR(VLOOKUP(G17,参数表!$H$2:$I$50,2,FALSE),"")</f>
        <v/>
      </c>
      <c r="I17" s="128" t="str">
        <f t="shared" si="6"/>
        <v/>
      </c>
      <c r="J17" s="958"/>
      <c r="K17" s="958"/>
      <c r="L17" s="955" t="str">
        <f t="shared" si="7"/>
        <v/>
      </c>
      <c r="M17" s="955" t="str">
        <f t="shared" si="0"/>
        <v/>
      </c>
      <c r="N17" s="955" t="str">
        <f t="shared" si="8"/>
        <v/>
      </c>
      <c r="O17" s="959" t="s">
        <v>347</v>
      </c>
      <c r="BA17" s="78"/>
      <c r="BB17" s="132" t="s">
        <v>1912</v>
      </c>
      <c r="BC17" s="133"/>
      <c r="BD17" s="132" t="str">
        <f>IF(OR(B17="",BC17=""),"",COUNTIF(BC$7:BC17,"√"))</f>
        <v/>
      </c>
      <c r="BE17" s="134" t="str">
        <f t="shared" si="1"/>
        <v/>
      </c>
      <c r="BF17" s="135" t="str">
        <f t="shared" si="9"/>
        <v/>
      </c>
      <c r="BG17" s="135" t="str">
        <f t="shared" si="9"/>
        <v/>
      </c>
      <c r="BH17" s="136"/>
      <c r="BI17" s="136"/>
      <c r="BJ17" s="136"/>
      <c r="BK17" s="137"/>
      <c r="BL17" s="165" t="s">
        <v>1677</v>
      </c>
      <c r="BM17" s="1217" t="str">
        <f t="shared" si="2"/>
        <v/>
      </c>
      <c r="BN17" s="1217">
        <f t="shared" si="3"/>
        <v>125.668493150685</v>
      </c>
      <c r="BO17" s="1217">
        <f t="shared" si="4"/>
        <v>0</v>
      </c>
      <c r="BP17" s="1217">
        <f t="shared" si="10"/>
        <v>0</v>
      </c>
      <c r="BR17" s="134" t="str">
        <f>IF(COUNTIF(BR$6:BR16,C17)&gt;0,"",C17)&amp;""</f>
        <v/>
      </c>
      <c r="BS17" s="138">
        <f t="shared" si="11"/>
        <v>0</v>
      </c>
      <c r="BT17" s="132">
        <f t="shared" si="12"/>
        <v>1</v>
      </c>
      <c r="BU17" s="138">
        <f t="shared" si="13"/>
        <v>0</v>
      </c>
      <c r="BV17" s="132">
        <f t="shared" si="14"/>
        <v>1</v>
      </c>
      <c r="BW17" s="133"/>
      <c r="BX17" s="133"/>
    </row>
    <row r="18" customHeight="1" spans="1:77">
      <c r="A18" s="123" t="str">
        <f>IF(B18="","",COUNT(A$6:A17)+1)</f>
        <v/>
      </c>
      <c r="B18" s="322" t="s">
        <v>347</v>
      </c>
      <c r="C18" s="322"/>
      <c r="D18" s="326"/>
      <c r="E18" s="326"/>
      <c r="F18" s="959"/>
      <c r="G18" s="142"/>
      <c r="H18" s="127" t="str">
        <f>IFERROR(VLOOKUP(G18,参数表!$H$2:$I$50,2,FALSE),"")</f>
        <v/>
      </c>
      <c r="I18" s="128" t="str">
        <f t="shared" si="6"/>
        <v/>
      </c>
      <c r="J18" s="958"/>
      <c r="K18" s="958"/>
      <c r="L18" s="955" t="str">
        <f t="shared" si="7"/>
        <v/>
      </c>
      <c r="M18" s="955" t="str">
        <f t="shared" si="0"/>
        <v/>
      </c>
      <c r="N18" s="955" t="str">
        <f t="shared" si="8"/>
        <v/>
      </c>
      <c r="O18" s="959" t="s">
        <v>347</v>
      </c>
      <c r="BA18" s="78"/>
      <c r="BB18" s="132" t="s">
        <v>1913</v>
      </c>
      <c r="BC18" s="133"/>
      <c r="BD18" s="132" t="str">
        <f>IF(OR(B18="",BC18=""),"",COUNTIF(BC$7:BC18,"√"))</f>
        <v/>
      </c>
      <c r="BE18" s="134" t="str">
        <f t="shared" si="1"/>
        <v/>
      </c>
      <c r="BF18" s="135" t="str">
        <f t="shared" si="9"/>
        <v/>
      </c>
      <c r="BG18" s="135" t="str">
        <f t="shared" si="9"/>
        <v/>
      </c>
      <c r="BH18" s="136"/>
      <c r="BI18" s="136"/>
      <c r="BJ18" s="136"/>
      <c r="BK18" s="137"/>
      <c r="BL18" s="165" t="s">
        <v>1677</v>
      </c>
      <c r="BM18" s="1217" t="str">
        <f t="shared" si="2"/>
        <v/>
      </c>
      <c r="BN18" s="1217">
        <f t="shared" si="3"/>
        <v>125.668493150685</v>
      </c>
      <c r="BO18" s="1217">
        <f t="shared" si="4"/>
        <v>0</v>
      </c>
      <c r="BP18" s="1217">
        <f t="shared" si="10"/>
        <v>0</v>
      </c>
      <c r="BR18" s="134" t="str">
        <f>IF(COUNTIF(BR$6:BR17,C18)&gt;0,"",C18)&amp;""</f>
        <v/>
      </c>
      <c r="BS18" s="138">
        <f t="shared" si="11"/>
        <v>0</v>
      </c>
      <c r="BT18" s="132">
        <f t="shared" si="12"/>
        <v>1</v>
      </c>
      <c r="BU18" s="138">
        <f t="shared" si="13"/>
        <v>0</v>
      </c>
      <c r="BV18" s="132">
        <f t="shared" si="14"/>
        <v>1</v>
      </c>
      <c r="BW18" s="133"/>
      <c r="BX18" s="133"/>
    </row>
    <row r="19" customHeight="1" spans="1:77">
      <c r="A19" s="123" t="str">
        <f>IF(B19="","",COUNT(A$6:A18)+1)</f>
        <v/>
      </c>
      <c r="B19" s="322" t="s">
        <v>347</v>
      </c>
      <c r="C19" s="322"/>
      <c r="D19" s="326"/>
      <c r="E19" s="326"/>
      <c r="F19" s="959"/>
      <c r="G19" s="142"/>
      <c r="H19" s="127" t="str">
        <f>IFERROR(VLOOKUP(G19,参数表!$H$2:$I$50,2,FALSE),"")</f>
        <v/>
      </c>
      <c r="I19" s="128" t="str">
        <f t="shared" si="6"/>
        <v/>
      </c>
      <c r="J19" s="958"/>
      <c r="K19" s="958"/>
      <c r="L19" s="955" t="str">
        <f t="shared" si="7"/>
        <v/>
      </c>
      <c r="M19" s="955" t="str">
        <f t="shared" si="0"/>
        <v/>
      </c>
      <c r="N19" s="955" t="str">
        <f t="shared" si="8"/>
        <v/>
      </c>
      <c r="O19" s="959" t="s">
        <v>347</v>
      </c>
      <c r="BA19" s="78"/>
      <c r="BB19" s="132" t="s">
        <v>1914</v>
      </c>
      <c r="BC19" s="133"/>
      <c r="BD19" s="132" t="str">
        <f>IF(OR(B19="",BC19=""),"",COUNTIF(BC$7:BC19,"√"))</f>
        <v/>
      </c>
      <c r="BE19" s="134" t="str">
        <f t="shared" si="1"/>
        <v/>
      </c>
      <c r="BF19" s="135" t="str">
        <f t="shared" si="9"/>
        <v/>
      </c>
      <c r="BG19" s="135" t="str">
        <f t="shared" si="9"/>
        <v/>
      </c>
      <c r="BH19" s="136"/>
      <c r="BI19" s="136"/>
      <c r="BJ19" s="136"/>
      <c r="BK19" s="137"/>
      <c r="BL19" s="165" t="s">
        <v>1677</v>
      </c>
      <c r="BM19" s="1217" t="str">
        <f t="shared" si="2"/>
        <v/>
      </c>
      <c r="BN19" s="1217">
        <f t="shared" si="3"/>
        <v>125.668493150685</v>
      </c>
      <c r="BO19" s="1217">
        <f t="shared" si="4"/>
        <v>0</v>
      </c>
      <c r="BP19" s="1217">
        <f t="shared" si="10"/>
        <v>0</v>
      </c>
      <c r="BR19" s="134" t="str">
        <f>IF(COUNTIF(BR$6:BR18,C19)&gt;0,"",C19)&amp;""</f>
        <v/>
      </c>
      <c r="BS19" s="138">
        <f t="shared" si="11"/>
        <v>0</v>
      </c>
      <c r="BT19" s="132">
        <f t="shared" si="12"/>
        <v>1</v>
      </c>
      <c r="BU19" s="138">
        <f t="shared" si="13"/>
        <v>0</v>
      </c>
      <c r="BV19" s="132">
        <f t="shared" si="14"/>
        <v>1</v>
      </c>
      <c r="BW19" s="133"/>
      <c r="BX19" s="133"/>
    </row>
    <row r="20" customHeight="1" spans="1:77">
      <c r="A20" s="123" t="str">
        <f>IF(B20="","",COUNT(A$6:A19)+1)</f>
        <v/>
      </c>
      <c r="B20" s="322" t="s">
        <v>347</v>
      </c>
      <c r="C20" s="322"/>
      <c r="D20" s="326"/>
      <c r="E20" s="326"/>
      <c r="F20" s="959"/>
      <c r="G20" s="142"/>
      <c r="H20" s="127" t="str">
        <f>IFERROR(VLOOKUP(G20,参数表!$H$2:$I$50,2,FALSE),"")</f>
        <v/>
      </c>
      <c r="I20" s="128" t="str">
        <f t="shared" si="6"/>
        <v/>
      </c>
      <c r="J20" s="958"/>
      <c r="K20" s="958"/>
      <c r="L20" s="955" t="str">
        <f t="shared" si="7"/>
        <v/>
      </c>
      <c r="M20" s="955" t="str">
        <f t="shared" si="0"/>
        <v/>
      </c>
      <c r="N20" s="955" t="str">
        <f t="shared" si="8"/>
        <v/>
      </c>
      <c r="O20" s="959" t="s">
        <v>347</v>
      </c>
      <c r="BA20" s="78"/>
      <c r="BB20" s="132" t="s">
        <v>1915</v>
      </c>
      <c r="BC20" s="133"/>
      <c r="BD20" s="132" t="str">
        <f>IF(OR(B20="",BC20=""),"",COUNTIF(BC$7:BC20,"√"))</f>
        <v/>
      </c>
      <c r="BE20" s="134" t="str">
        <f t="shared" si="1"/>
        <v/>
      </c>
      <c r="BF20" s="135" t="str">
        <f t="shared" si="9"/>
        <v/>
      </c>
      <c r="BG20" s="135" t="str">
        <f t="shared" si="9"/>
        <v/>
      </c>
      <c r="BH20" s="136"/>
      <c r="BI20" s="136"/>
      <c r="BJ20" s="136"/>
      <c r="BK20" s="137"/>
      <c r="BL20" s="165" t="s">
        <v>1677</v>
      </c>
      <c r="BM20" s="1217" t="str">
        <f t="shared" si="2"/>
        <v/>
      </c>
      <c r="BN20" s="1217">
        <f t="shared" si="3"/>
        <v>125.668493150685</v>
      </c>
      <c r="BO20" s="1217">
        <f t="shared" si="4"/>
        <v>0</v>
      </c>
      <c r="BP20" s="1217">
        <f t="shared" si="10"/>
        <v>0</v>
      </c>
      <c r="BR20" s="134" t="str">
        <f>IF(COUNTIF(BR$6:BR19,C20)&gt;0,"",C20)&amp;""</f>
        <v/>
      </c>
      <c r="BS20" s="138">
        <f t="shared" si="11"/>
        <v>0</v>
      </c>
      <c r="BT20" s="132">
        <f t="shared" si="12"/>
        <v>1</v>
      </c>
      <c r="BU20" s="138">
        <f t="shared" si="13"/>
        <v>0</v>
      </c>
      <c r="BV20" s="132">
        <f t="shared" si="14"/>
        <v>1</v>
      </c>
      <c r="BW20" s="133"/>
      <c r="BX20" s="133"/>
    </row>
    <row r="21" customHeight="1" spans="1:77">
      <c r="A21" s="123" t="str">
        <f>IF(B21="","",COUNT(A$6:A20)+1)</f>
        <v/>
      </c>
      <c r="B21" s="322" t="s">
        <v>347</v>
      </c>
      <c r="C21" s="322"/>
      <c r="D21" s="326"/>
      <c r="E21" s="326"/>
      <c r="F21" s="959"/>
      <c r="G21" s="142"/>
      <c r="H21" s="127" t="str">
        <f>IFERROR(VLOOKUP(G21,参数表!$H$2:$I$50,2,FALSE),"")</f>
        <v/>
      </c>
      <c r="I21" s="128" t="str">
        <f t="shared" si="6"/>
        <v/>
      </c>
      <c r="J21" s="958"/>
      <c r="K21" s="958"/>
      <c r="L21" s="955" t="str">
        <f t="shared" si="7"/>
        <v/>
      </c>
      <c r="M21" s="955" t="str">
        <f t="shared" si="0"/>
        <v/>
      </c>
      <c r="N21" s="955" t="str">
        <f t="shared" si="8"/>
        <v/>
      </c>
      <c r="O21" s="959" t="s">
        <v>347</v>
      </c>
      <c r="BA21" s="78"/>
      <c r="BB21" s="132" t="s">
        <v>1916</v>
      </c>
      <c r="BC21" s="133"/>
      <c r="BD21" s="132" t="str">
        <f>IF(OR(B21="",BC21=""),"",COUNTIF(BC$7:BC21,"√"))</f>
        <v/>
      </c>
      <c r="BE21" s="134" t="str">
        <f t="shared" si="1"/>
        <v/>
      </c>
      <c r="BF21" s="135" t="str">
        <f t="shared" si="9"/>
        <v/>
      </c>
      <c r="BG21" s="135" t="str">
        <f t="shared" si="9"/>
        <v/>
      </c>
      <c r="BH21" s="136"/>
      <c r="BI21" s="136"/>
      <c r="BJ21" s="136"/>
      <c r="BK21" s="137"/>
      <c r="BL21" s="165" t="s">
        <v>1677</v>
      </c>
      <c r="BM21" s="1217" t="str">
        <f t="shared" si="2"/>
        <v/>
      </c>
      <c r="BN21" s="1217">
        <f t="shared" si="3"/>
        <v>125.668493150685</v>
      </c>
      <c r="BO21" s="1217">
        <f t="shared" si="4"/>
        <v>0</v>
      </c>
      <c r="BP21" s="1217">
        <f t="shared" si="10"/>
        <v>0</v>
      </c>
      <c r="BR21" s="134" t="str">
        <f>IF(COUNTIF(BR$6:BR20,C21)&gt;0,"",C21)&amp;""</f>
        <v/>
      </c>
      <c r="BS21" s="138">
        <f t="shared" si="11"/>
        <v>0</v>
      </c>
      <c r="BT21" s="132">
        <f t="shared" si="12"/>
        <v>1</v>
      </c>
      <c r="BU21" s="138">
        <f t="shared" si="13"/>
        <v>0</v>
      </c>
      <c r="BV21" s="132">
        <f t="shared" si="14"/>
        <v>1</v>
      </c>
      <c r="BW21" s="133"/>
      <c r="BX21" s="133"/>
    </row>
    <row r="22" customHeight="1" spans="1:77">
      <c r="A22" s="123" t="str">
        <f>IF(B22="","",COUNT(A$6:A21)+1)</f>
        <v/>
      </c>
      <c r="B22" s="322" t="s">
        <v>347</v>
      </c>
      <c r="C22" s="322"/>
      <c r="D22" s="326"/>
      <c r="E22" s="326"/>
      <c r="F22" s="959"/>
      <c r="G22" s="142"/>
      <c r="H22" s="127" t="str">
        <f>IFERROR(VLOOKUP(G22,参数表!$H$2:$I$50,2,FALSE),"")</f>
        <v/>
      </c>
      <c r="I22" s="128" t="str">
        <f t="shared" si="6"/>
        <v/>
      </c>
      <c r="J22" s="958"/>
      <c r="K22" s="958"/>
      <c r="L22" s="955" t="str">
        <f t="shared" si="7"/>
        <v/>
      </c>
      <c r="M22" s="955" t="str">
        <f t="shared" si="0"/>
        <v/>
      </c>
      <c r="N22" s="955" t="str">
        <f t="shared" si="8"/>
        <v/>
      </c>
      <c r="O22" s="959" t="s">
        <v>347</v>
      </c>
      <c r="BA22" s="78"/>
      <c r="BB22" s="132" t="s">
        <v>1917</v>
      </c>
      <c r="BC22" s="133"/>
      <c r="BD22" s="132" t="str">
        <f>IF(OR(B22="",BC22=""),"",COUNTIF(BC$7:BC22,"√"))</f>
        <v/>
      </c>
      <c r="BE22" s="134" t="str">
        <f t="shared" si="1"/>
        <v/>
      </c>
      <c r="BF22" s="135" t="str">
        <f t="shared" si="9"/>
        <v/>
      </c>
      <c r="BG22" s="135" t="str">
        <f t="shared" si="9"/>
        <v/>
      </c>
      <c r="BH22" s="136"/>
      <c r="BI22" s="136"/>
      <c r="BJ22" s="136"/>
      <c r="BK22" s="137"/>
      <c r="BL22" s="165" t="s">
        <v>1677</v>
      </c>
      <c r="BM22" s="1217" t="str">
        <f t="shared" si="2"/>
        <v/>
      </c>
      <c r="BN22" s="1217">
        <f t="shared" si="3"/>
        <v>125.668493150685</v>
      </c>
      <c r="BO22" s="1217">
        <f t="shared" si="4"/>
        <v>0</v>
      </c>
      <c r="BP22" s="1217">
        <f t="shared" si="10"/>
        <v>0</v>
      </c>
      <c r="BR22" s="134" t="str">
        <f>IF(COUNTIF(BR$6:BR21,C22)&gt;0,"",C22)&amp;""</f>
        <v/>
      </c>
      <c r="BS22" s="138">
        <f t="shared" si="11"/>
        <v>0</v>
      </c>
      <c r="BT22" s="132">
        <f t="shared" si="12"/>
        <v>1</v>
      </c>
      <c r="BU22" s="138">
        <f t="shared" si="13"/>
        <v>0</v>
      </c>
      <c r="BV22" s="132">
        <f t="shared" si="14"/>
        <v>1</v>
      </c>
      <c r="BW22" s="133"/>
      <c r="BX22" s="133"/>
    </row>
    <row r="23" customHeight="1" spans="1:77">
      <c r="A23" s="123" t="str">
        <f>IF(B23="","",COUNT(A$6:A22)+1)</f>
        <v/>
      </c>
      <c r="B23" s="322" t="s">
        <v>347</v>
      </c>
      <c r="C23" s="322"/>
      <c r="D23" s="326"/>
      <c r="E23" s="326"/>
      <c r="F23" s="959"/>
      <c r="G23" s="142"/>
      <c r="H23" s="127" t="str">
        <f>IFERROR(VLOOKUP(G23,参数表!$H$2:$I$50,2,FALSE),"")</f>
        <v/>
      </c>
      <c r="I23" s="128" t="str">
        <f t="shared" si="6"/>
        <v/>
      </c>
      <c r="J23" s="958"/>
      <c r="K23" s="958"/>
      <c r="L23" s="955" t="str">
        <f t="shared" si="7"/>
        <v/>
      </c>
      <c r="M23" s="955" t="str">
        <f t="shared" si="0"/>
        <v/>
      </c>
      <c r="N23" s="955" t="str">
        <f t="shared" si="8"/>
        <v/>
      </c>
      <c r="O23" s="959" t="s">
        <v>347</v>
      </c>
      <c r="BA23" s="78"/>
      <c r="BB23" s="132" t="s">
        <v>1918</v>
      </c>
      <c r="BC23" s="133"/>
      <c r="BD23" s="132" t="str">
        <f>IF(OR(B23="",BC23=""),"",COUNTIF(BC$7:BC23,"√"))</f>
        <v/>
      </c>
      <c r="BE23" s="134" t="str">
        <f t="shared" si="1"/>
        <v/>
      </c>
      <c r="BF23" s="135" t="str">
        <f t="shared" si="9"/>
        <v/>
      </c>
      <c r="BG23" s="135" t="str">
        <f t="shared" si="9"/>
        <v/>
      </c>
      <c r="BH23" s="136"/>
      <c r="BI23" s="136"/>
      <c r="BJ23" s="136"/>
      <c r="BK23" s="137"/>
      <c r="BL23" s="165" t="s">
        <v>1677</v>
      </c>
      <c r="BM23" s="1217" t="str">
        <f t="shared" si="2"/>
        <v/>
      </c>
      <c r="BN23" s="1217">
        <f t="shared" si="3"/>
        <v>125.668493150685</v>
      </c>
      <c r="BO23" s="1217">
        <f t="shared" si="4"/>
        <v>0</v>
      </c>
      <c r="BP23" s="1217">
        <f t="shared" si="10"/>
        <v>0</v>
      </c>
      <c r="BR23" s="134" t="str">
        <f>IF(COUNTIF(BR$6:BR22,C23)&gt;0,"",C23)&amp;""</f>
        <v/>
      </c>
      <c r="BS23" s="138">
        <f t="shared" si="11"/>
        <v>0</v>
      </c>
      <c r="BT23" s="132">
        <f t="shared" si="12"/>
        <v>1</v>
      </c>
      <c r="BU23" s="138">
        <f t="shared" si="13"/>
        <v>0</v>
      </c>
      <c r="BV23" s="132">
        <f t="shared" si="14"/>
        <v>1</v>
      </c>
      <c r="BW23" s="133"/>
      <c r="BX23" s="133"/>
    </row>
    <row r="24" customHeight="1" spans="1:77">
      <c r="A24" s="123" t="str">
        <f>IF(B24="","",COUNT(A$6:A23)+1)</f>
        <v/>
      </c>
      <c r="B24" s="322" t="s">
        <v>347</v>
      </c>
      <c r="C24" s="322"/>
      <c r="D24" s="326"/>
      <c r="E24" s="326"/>
      <c r="F24" s="959"/>
      <c r="G24" s="142"/>
      <c r="H24" s="127" t="str">
        <f>IFERROR(VLOOKUP(G24,参数表!$H$2:$I$50,2,FALSE),"")</f>
        <v/>
      </c>
      <c r="I24" s="128" t="str">
        <f t="shared" si="6"/>
        <v/>
      </c>
      <c r="J24" s="958"/>
      <c r="K24" s="958"/>
      <c r="L24" s="955" t="str">
        <f t="shared" si="7"/>
        <v/>
      </c>
      <c r="M24" s="955" t="str">
        <f t="shared" si="0"/>
        <v/>
      </c>
      <c r="N24" s="955" t="str">
        <f t="shared" si="8"/>
        <v/>
      </c>
      <c r="O24" s="959" t="s">
        <v>347</v>
      </c>
      <c r="BA24" s="78"/>
      <c r="BB24" s="132" t="s">
        <v>1919</v>
      </c>
      <c r="BC24" s="133"/>
      <c r="BD24" s="132" t="str">
        <f>IF(OR(B24="",BC24=""),"",COUNTIF(BC$7:BC24,"√"))</f>
        <v/>
      </c>
      <c r="BE24" s="134" t="str">
        <f t="shared" si="1"/>
        <v/>
      </c>
      <c r="BF24" s="135" t="str">
        <f t="shared" si="9"/>
        <v/>
      </c>
      <c r="BG24" s="135" t="str">
        <f t="shared" si="9"/>
        <v/>
      </c>
      <c r="BH24" s="136"/>
      <c r="BI24" s="136"/>
      <c r="BJ24" s="136"/>
      <c r="BK24" s="137"/>
      <c r="BL24" s="165" t="s">
        <v>1677</v>
      </c>
      <c r="BM24" s="1217" t="str">
        <f t="shared" si="2"/>
        <v/>
      </c>
      <c r="BN24" s="1217">
        <f t="shared" si="3"/>
        <v>125.668493150685</v>
      </c>
      <c r="BO24" s="1217">
        <f t="shared" si="4"/>
        <v>0</v>
      </c>
      <c r="BP24" s="1217">
        <f t="shared" si="10"/>
        <v>0</v>
      </c>
      <c r="BR24" s="134" t="str">
        <f>IF(COUNTIF(BR$6:BR23,C24)&gt;0,"",C24)&amp;""</f>
        <v/>
      </c>
      <c r="BS24" s="138">
        <f t="shared" si="11"/>
        <v>0</v>
      </c>
      <c r="BT24" s="132">
        <f t="shared" si="12"/>
        <v>1</v>
      </c>
      <c r="BU24" s="138">
        <f t="shared" si="13"/>
        <v>0</v>
      </c>
      <c r="BV24" s="132">
        <f t="shared" si="14"/>
        <v>1</v>
      </c>
      <c r="BW24" s="133"/>
      <c r="BX24" s="133"/>
    </row>
    <row r="25" customHeight="1" spans="1:77">
      <c r="A25" s="123" t="str">
        <f>IF(B25="","",COUNT(A$6:A24)+1)</f>
        <v/>
      </c>
      <c r="B25" s="322" t="s">
        <v>347</v>
      </c>
      <c r="C25" s="322"/>
      <c r="D25" s="326"/>
      <c r="E25" s="326"/>
      <c r="F25" s="959"/>
      <c r="G25" s="142"/>
      <c r="H25" s="127" t="str">
        <f>IFERROR(VLOOKUP(G25,参数表!$H$2:$I$50,2,FALSE),"")</f>
        <v/>
      </c>
      <c r="I25" s="128" t="str">
        <f t="shared" si="6"/>
        <v/>
      </c>
      <c r="J25" s="958"/>
      <c r="K25" s="958"/>
      <c r="L25" s="955" t="str">
        <f t="shared" si="7"/>
        <v/>
      </c>
      <c r="M25" s="955" t="str">
        <f t="shared" si="0"/>
        <v/>
      </c>
      <c r="N25" s="955" t="str">
        <f t="shared" si="8"/>
        <v/>
      </c>
      <c r="O25" s="959" t="s">
        <v>347</v>
      </c>
      <c r="BA25" s="78"/>
      <c r="BB25" s="132" t="s">
        <v>1920</v>
      </c>
      <c r="BC25" s="133"/>
      <c r="BD25" s="132" t="str">
        <f>IF(OR(B25="",BC25=""),"",COUNTIF(BC$7:BC25,"√"))</f>
        <v/>
      </c>
      <c r="BE25" s="134" t="str">
        <f t="shared" si="1"/>
        <v/>
      </c>
      <c r="BF25" s="135" t="str">
        <f t="shared" si="9"/>
        <v/>
      </c>
      <c r="BG25" s="135" t="str">
        <f t="shared" si="9"/>
        <v/>
      </c>
      <c r="BH25" s="136"/>
      <c r="BI25" s="136"/>
      <c r="BJ25" s="136"/>
      <c r="BK25" s="137"/>
      <c r="BL25" s="165" t="s">
        <v>1677</v>
      </c>
      <c r="BM25" s="1217" t="str">
        <f t="shared" si="2"/>
        <v/>
      </c>
      <c r="BN25" s="1217">
        <f t="shared" si="3"/>
        <v>125.668493150685</v>
      </c>
      <c r="BO25" s="1217">
        <f t="shared" si="4"/>
        <v>0</v>
      </c>
      <c r="BP25" s="1217">
        <f t="shared" si="10"/>
        <v>0</v>
      </c>
      <c r="BR25" s="134" t="str">
        <f>IF(COUNTIF(BR$6:BR24,C25)&gt;0,"",C25)&amp;""</f>
        <v/>
      </c>
      <c r="BS25" s="138">
        <f t="shared" si="11"/>
        <v>0</v>
      </c>
      <c r="BT25" s="132">
        <f t="shared" si="12"/>
        <v>1</v>
      </c>
      <c r="BU25" s="138">
        <f t="shared" si="13"/>
        <v>0</v>
      </c>
      <c r="BV25" s="132">
        <f t="shared" si="14"/>
        <v>1</v>
      </c>
      <c r="BW25" s="133"/>
      <c r="BX25" s="133"/>
    </row>
    <row r="26" customHeight="1" spans="1:77">
      <c r="A26" s="123" t="str">
        <f>IF(B26="","",COUNT(A$6:A25)+1)</f>
        <v/>
      </c>
      <c r="B26" s="315" t="s">
        <v>347</v>
      </c>
      <c r="C26" s="315"/>
      <c r="D26" s="319"/>
      <c r="E26" s="319"/>
      <c r="F26" s="957"/>
      <c r="G26" s="127"/>
      <c r="H26" s="127" t="str">
        <f>IFERROR(VLOOKUP(G26,参数表!$H$2:$I$50,2,FALSE),"")</f>
        <v/>
      </c>
      <c r="I26" s="128" t="str">
        <f t="shared" si="6"/>
        <v/>
      </c>
      <c r="J26" s="955"/>
      <c r="K26" s="955"/>
      <c r="L26" s="955" t="str">
        <f t="shared" si="7"/>
        <v/>
      </c>
      <c r="M26" s="955" t="str">
        <f t="shared" si="0"/>
        <v/>
      </c>
      <c r="N26" s="955" t="str">
        <f t="shared" si="8"/>
        <v/>
      </c>
      <c r="O26" s="957" t="s">
        <v>347</v>
      </c>
      <c r="BA26" s="78"/>
      <c r="BB26" s="132" t="s">
        <v>1921</v>
      </c>
      <c r="BC26" s="133"/>
      <c r="BD26" s="132" t="str">
        <f>IF(OR(B26="",BC26=""),"",COUNTIF(BC$7:BC26,"√"))</f>
        <v/>
      </c>
      <c r="BE26" s="134" t="str">
        <f t="shared" si="1"/>
        <v/>
      </c>
      <c r="BF26" s="135" t="str">
        <f t="shared" si="9"/>
        <v/>
      </c>
      <c r="BG26" s="135" t="str">
        <f t="shared" si="9"/>
        <v/>
      </c>
      <c r="BH26" s="136"/>
      <c r="BI26" s="136"/>
      <c r="BJ26" s="136"/>
      <c r="BK26" s="137"/>
      <c r="BL26" s="165" t="s">
        <v>1677</v>
      </c>
      <c r="BM26" s="1217" t="str">
        <f t="shared" si="2"/>
        <v/>
      </c>
      <c r="BN26" s="1217">
        <f t="shared" si="3"/>
        <v>125.668493150685</v>
      </c>
      <c r="BO26" s="1217">
        <f t="shared" si="4"/>
        <v>0</v>
      </c>
      <c r="BP26" s="1217">
        <f t="shared" si="10"/>
        <v>0</v>
      </c>
      <c r="BR26" s="134" t="str">
        <f>IF(COUNTIF(BR$6:BR25,C26)&gt;0,"",C26)&amp;""</f>
        <v/>
      </c>
      <c r="BS26" s="138">
        <f t="shared" si="11"/>
        <v>0</v>
      </c>
      <c r="BT26" s="132">
        <f t="shared" si="12"/>
        <v>1</v>
      </c>
      <c r="BU26" s="138">
        <f t="shared" si="13"/>
        <v>0</v>
      </c>
      <c r="BV26" s="132">
        <f t="shared" si="14"/>
        <v>1</v>
      </c>
      <c r="BW26" s="133"/>
      <c r="BX26" s="133"/>
    </row>
    <row r="27" s="271" customFormat="1" customHeight="1" spans="1:77">
      <c r="A27" s="1000" t="s">
        <v>1922</v>
      </c>
      <c r="B27" s="954"/>
      <c r="C27" s="954"/>
      <c r="D27" s="1001"/>
      <c r="E27" s="1001"/>
      <c r="F27" s="962"/>
      <c r="G27" s="962"/>
      <c r="H27" s="962"/>
      <c r="I27" s="962"/>
      <c r="J27" s="961">
        <f>SUM(J7:J26)</f>
        <v>0</v>
      </c>
      <c r="K27" s="961"/>
      <c r="L27" s="961">
        <f>SUM(L7:L26)</f>
        <v>0</v>
      </c>
      <c r="M27" s="961">
        <f>SUM(M7:M26)</f>
        <v>0</v>
      </c>
      <c r="N27" s="961" t="str">
        <f t="shared" si="8"/>
        <v/>
      </c>
      <c r="O27" s="962"/>
      <c r="BF27" s="287"/>
      <c r="BG27" s="287"/>
      <c r="BH27" s="287"/>
      <c r="BI27" s="287"/>
      <c r="BJ27" s="287"/>
      <c r="BL27" s="287"/>
      <c r="BQ27" s="111"/>
      <c r="BR27" s="119"/>
      <c r="BS27" s="77"/>
      <c r="BT27" s="77"/>
      <c r="BU27" s="77"/>
      <c r="BV27" s="119"/>
      <c r="BW27" s="119"/>
      <c r="BX27" s="119"/>
      <c r="BY27" s="111"/>
    </row>
    <row r="28" customHeight="1" spans="1:77">
      <c r="A28" s="299" t="str">
        <f>参数表!F$6</f>
        <v>产权持有单位填表人：贾广东</v>
      </c>
      <c r="B28" s="107"/>
      <c r="C28" s="107"/>
      <c r="D28" s="107"/>
      <c r="E28" s="107"/>
      <c r="F28" s="107"/>
      <c r="G28" s="107"/>
      <c r="H28" s="107"/>
      <c r="I28" s="107"/>
      <c r="J28" s="1305"/>
      <c r="K28" s="1305"/>
      <c r="L28" s="333"/>
      <c r="M28" s="1305" t="str">
        <f>'公允资-基金'!O28</f>
        <v>评估人员：栗祥宁</v>
      </c>
      <c r="N28" s="1305"/>
      <c r="O28" s="107"/>
    </row>
    <row r="29" customHeight="1" spans="1:77">
      <c r="A29" s="334" t="str">
        <f>参数表!F$7</f>
        <v>填表日期：2025年9月20日</v>
      </c>
      <c r="B29" s="107"/>
      <c r="C29" s="107"/>
      <c r="D29" s="107"/>
      <c r="E29" s="107"/>
      <c r="F29" s="107"/>
      <c r="G29" s="107"/>
      <c r="H29" s="107"/>
      <c r="I29" s="107"/>
      <c r="J29" s="1305"/>
      <c r="K29" s="1305"/>
      <c r="L29" s="1305"/>
      <c r="M29" s="1305"/>
      <c r="N29" s="1305"/>
      <c r="O29" s="107"/>
    </row>
    <row r="30" hidden="1" customHeight="1" outlineLevel="1" spans="1:77">
      <c r="B30" s="154" t="s">
        <v>1673</v>
      </c>
      <c r="J30" s="335">
        <f>SUMIF($BA7:$BA26,$BA30,J7:J26)</f>
        <v>0</v>
      </c>
      <c r="K30" s="336"/>
      <c r="L30" s="335">
        <f>SUMIF($BA7:$BA26,$BA30,L7:L26)</f>
        <v>0</v>
      </c>
      <c r="M30" s="335">
        <f>SUMIF($BA7:$BA26,$BA30,M7:M26)</f>
        <v>0</v>
      </c>
      <c r="BA30" s="161" t="s">
        <v>1674</v>
      </c>
      <c r="BF30" s="229"/>
      <c r="BG30" s="229"/>
      <c r="BH30" s="162" t="s">
        <v>1675</v>
      </c>
      <c r="BI30" s="162" t="s">
        <v>1675</v>
      </c>
      <c r="BJ30" s="162" t="s">
        <v>1675</v>
      </c>
      <c r="BL30" s="162" t="s">
        <v>1674</v>
      </c>
    </row>
    <row r="31" hidden="1" customHeight="1" outlineLevel="1" spans="1:77">
      <c r="B31" s="154" t="s">
        <v>1676</v>
      </c>
      <c r="J31" s="335">
        <f>J27-J30</f>
        <v>0</v>
      </c>
      <c r="K31" s="336"/>
      <c r="L31" s="335">
        <f>L27-L30</f>
        <v>0</v>
      </c>
      <c r="M31" s="335">
        <f>M27-M30</f>
        <v>0</v>
      </c>
      <c r="BA31" s="161" t="s">
        <v>1677</v>
      </c>
      <c r="BF31" s="229"/>
      <c r="BG31" s="229"/>
      <c r="BH31" s="162" t="s">
        <v>1678</v>
      </c>
      <c r="BI31" s="162" t="s">
        <v>1678</v>
      </c>
      <c r="BJ31" s="162" t="s">
        <v>1678</v>
      </c>
      <c r="BL31" s="162" t="s">
        <v>1677</v>
      </c>
    </row>
    <row r="32" customHeight="1" collapsed="1" spans="1:77">
      <c r="BF32" s="229"/>
      <c r="BG32" s="229"/>
      <c r="BH32" s="229"/>
      <c r="BI32" s="229"/>
      <c r="BJ32" s="229"/>
    </row>
  </sheetData>
  <sheetProtection autoFilter="0"/>
  <mergeCells count="6">
    <mergeCell ref="A2:O2"/>
    <mergeCell ref="A3:O3"/>
    <mergeCell ref="BW7:BY7"/>
    <mergeCell ref="BW8:BY8"/>
    <mergeCell ref="BX14:BY14"/>
    <mergeCell ref="A27:B27"/>
  </mergeCells>
  <conditionalFormatting sqref="BF7:BG26">
    <cfRule type="containsText" dxfId="6" priority="1" stopIfTrue="1" operator="between" text="出错">
      <formula>NOT(ISERROR(SEARCH("出错",BF7)))</formula>
    </cfRule>
  </conditionalFormatting>
  <conditionalFormatting sqref="BH7:BJ26">
    <cfRule type="expression" dxfId="5" priority="5" stopIfTrue="1">
      <formula>AND($B7&lt;&gt;"",BH7="")</formula>
    </cfRule>
  </conditionalFormatting>
  <dataValidations count="5">
    <dataValidation allowBlank="1" showInputMessage="1" showErrorMessage="1" prompt="填表说明：&#10;①“户名”指债务人的户名全称；②“出票日期”指签发该票据的日期。&#10;注意事项：&#10;①对于逾期未收回的应收票据，请在“备注”栏中标明未收回的原因；②“涉及法律诉讼”的款项、欠款单位为关联方或内部往来的款项、用于抵押的应收票据等应分别在“备注”栏中予以说明。" sqref="A2:O2"/>
    <dataValidation type="list" allowBlank="1" showInputMessage="1" showErrorMessage="1" sqref="G7:G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L7:BL26 BH7:BJ26">
      <formula1>BH$30:BH$31</formula1>
    </dataValidation>
  </dataValidations>
  <hyperlinks>
    <hyperlink ref="B1" location="交易性金融资产汇总!B9" display="返回"/>
    <hyperlink ref="A1" location="索引目录!E11" display="返回索引页"/>
  </hyperlinks>
  <printOptions horizontalCentered="1"/>
  <pageMargins left="0.393700787401575" right="0.393700787401575" top="0.984251968503937" bottom="0.393700787401575" header="0.984251968503937" footer="0.393700787401575"/>
  <pageSetup paperSize="9" orientation="landscape" blackAndWhite="1"/>
  <headerFooter alignWithMargins="0">
    <oddHeader>&amp;R&amp;"宋体,常规"&amp;11共&amp;N页，第&amp;P页&amp;"Times New Roman,常规"</oddHeader>
  </headerFooter>
  <colBreaks count="1" manualBreakCount="1">
    <brk id="15" max="28"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BX39"/>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5.2" style="75" customWidth="1"/>
    <col min="3" max="3" width="8.7" style="75" customWidth="1"/>
    <col min="4" max="4" width="9" style="75"/>
    <col min="5" max="5" width="6.1" style="75" customWidth="1"/>
    <col min="6" max="7" width="4.6" style="75" customWidth="1" outlineLevel="1"/>
    <col min="8" max="9" width="6.1" style="75" customWidth="1" outlineLevel="1"/>
    <col min="10" max="10" width="15.6" style="227" customWidth="1" outlineLevel="1"/>
    <col min="11" max="11" width="8.7" style="227" customWidth="1" outlineLevel="1"/>
    <col min="12" max="13" width="15.6" style="1216" customWidth="1" outlineLevel="1"/>
    <col min="14" max="14" width="15.6" style="227" customWidth="1"/>
    <col min="15" max="15" width="8.7" style="227" customWidth="1"/>
    <col min="16" max="16" width="15.6" style="227" customWidth="1"/>
    <col min="17" max="17" width="8.7" style="227" customWidth="1"/>
    <col min="18" max="18" width="8.6" style="227" customWidth="1"/>
    <col min="19" max="19" width="4.7" style="227" customWidth="1"/>
    <col min="20" max="20" width="8.6" style="75" customWidth="1"/>
    <col min="21" max="52" width="9" style="75" hidden="1" customWidth="1" outlineLevel="1"/>
    <col min="53" max="53" width="14.7" style="75" customWidth="1" collapsed="1"/>
    <col min="54" max="54" width="6.7" style="75" customWidth="1"/>
    <col min="55" max="56" width="5.1" style="165" customWidth="1"/>
    <col min="57" max="57" width="8.7" style="165" customWidth="1"/>
    <col min="58" max="59" width="10.5" style="165" customWidth="1"/>
    <col min="60" max="60" width="5" style="165" customWidth="1"/>
    <col min="61" max="62" width="5" style="75" customWidth="1"/>
    <col min="63" max="63" width="7.1" style="75" customWidth="1"/>
    <col min="64" max="64" width="8.7" style="75" customWidth="1"/>
    <col min="65" max="65" width="6.7" style="75" customWidth="1"/>
    <col min="66" max="66" width="8.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8.5" style="78" customWidth="1"/>
    <col min="75" max="75" width="4.7" style="78" customWidth="1"/>
    <col min="76" max="76" width="5" style="77" customWidth="1"/>
    <col min="77" max="16384" width="9" style="75"/>
  </cols>
  <sheetData>
    <row r="1" s="86" customFormat="1" ht="13.8" spans="1:76">
      <c r="A1" s="203" t="s">
        <v>1591</v>
      </c>
      <c r="B1" s="204" t="s">
        <v>1592</v>
      </c>
      <c r="C1" s="82"/>
      <c r="D1" s="82"/>
      <c r="E1" s="82"/>
      <c r="F1" s="82"/>
      <c r="G1" s="82"/>
      <c r="H1" s="82"/>
      <c r="I1" s="82"/>
      <c r="J1" s="82"/>
      <c r="K1" s="82"/>
      <c r="L1" s="205"/>
      <c r="M1" s="205"/>
      <c r="N1" s="82"/>
      <c r="O1" s="82"/>
      <c r="P1" s="82"/>
      <c r="Q1" s="82"/>
      <c r="R1" s="82"/>
      <c r="S1" s="82"/>
      <c r="T1" s="82"/>
      <c r="BA1" s="84" t="str">
        <f>参数表!BA1</f>
        <v>注意：补充特殊事项、作价等均从BA列开始填写</v>
      </c>
      <c r="BB1" s="85"/>
      <c r="BC1" s="82"/>
      <c r="BD1" s="82"/>
      <c r="BE1" s="82"/>
      <c r="BF1" s="82"/>
      <c r="BG1" s="82"/>
      <c r="BH1" s="82"/>
      <c r="BO1" s="87"/>
      <c r="BP1" s="88"/>
      <c r="BQ1" s="87"/>
      <c r="BR1" s="88"/>
      <c r="BS1" s="88"/>
      <c r="BT1" s="88"/>
      <c r="BU1" s="88"/>
      <c r="BV1" s="88"/>
      <c r="BW1" s="88"/>
      <c r="BX1" s="87"/>
    </row>
    <row r="2" s="71" customFormat="1" ht="30" customHeight="1" spans="1:76">
      <c r="A2" s="89" t="s">
        <v>1923</v>
      </c>
      <c r="B2" s="89"/>
      <c r="C2" s="89"/>
      <c r="D2" s="89"/>
      <c r="E2" s="89"/>
      <c r="F2" s="89"/>
      <c r="G2" s="89"/>
      <c r="H2" s="89"/>
      <c r="I2" s="89"/>
      <c r="J2" s="89"/>
      <c r="K2" s="89"/>
      <c r="L2" s="89"/>
      <c r="M2" s="89"/>
      <c r="N2" s="89"/>
      <c r="O2" s="89"/>
      <c r="P2" s="89"/>
      <c r="Q2" s="89"/>
      <c r="R2" s="89"/>
      <c r="S2" s="89"/>
      <c r="T2" s="89"/>
      <c r="BA2" s="90" t="str">
        <f>参数表!BA2</f>
        <v>评估基准日：</v>
      </c>
      <c r="BB2" s="91" t="str">
        <f>参数表!BB2</f>
        <v>2025年7月31日</v>
      </c>
      <c r="BC2" s="171"/>
      <c r="BD2" s="171"/>
      <c r="BE2" s="171"/>
      <c r="BF2" s="171"/>
      <c r="BG2" s="171"/>
      <c r="BH2" s="171"/>
      <c r="BO2" s="92"/>
      <c r="BP2" s="93"/>
      <c r="BQ2" s="92"/>
      <c r="BR2" s="93"/>
      <c r="BS2" s="93"/>
      <c r="BT2" s="93"/>
      <c r="BU2" s="93"/>
      <c r="BV2" s="93"/>
      <c r="BW2" s="93"/>
      <c r="BX2" s="92"/>
    </row>
    <row r="3" ht="15" customHeight="1" spans="1:76">
      <c r="A3" s="94" t="str">
        <f>参数表!F5</f>
        <v>评估基准日：2025年7月31日</v>
      </c>
      <c r="B3" s="94"/>
      <c r="C3" s="94"/>
      <c r="D3" s="94"/>
      <c r="E3" s="94"/>
      <c r="F3" s="94"/>
      <c r="G3" s="94"/>
      <c r="H3" s="94"/>
      <c r="I3" s="94"/>
      <c r="J3" s="94"/>
      <c r="K3" s="94"/>
      <c r="L3" s="94"/>
      <c r="M3" s="94"/>
      <c r="N3" s="94"/>
      <c r="O3" s="94"/>
      <c r="P3" s="95"/>
      <c r="Q3" s="95"/>
      <c r="R3" s="95"/>
      <c r="S3" s="95"/>
      <c r="T3" s="95"/>
      <c r="BA3" s="90" t="str">
        <f>参数表!BA3</f>
        <v>是否显示评估值：</v>
      </c>
      <c r="BB3" s="90" t="str">
        <f>参数表!BB3</f>
        <v>是</v>
      </c>
      <c r="BQ3" s="78"/>
    </row>
    <row r="4" ht="15" customHeight="1" spans="1:76">
      <c r="A4" s="96"/>
      <c r="B4" s="94"/>
      <c r="C4" s="94"/>
      <c r="D4" s="94"/>
      <c r="E4" s="94"/>
      <c r="F4" s="94"/>
      <c r="G4" s="94"/>
      <c r="H4" s="94"/>
      <c r="I4" s="94"/>
      <c r="J4" s="94"/>
      <c r="K4" s="94"/>
      <c r="L4" s="97"/>
      <c r="M4" s="97"/>
      <c r="N4" s="94"/>
      <c r="O4" s="94"/>
      <c r="P4" s="95"/>
      <c r="Q4" s="95"/>
      <c r="R4" s="95"/>
      <c r="S4" s="95"/>
      <c r="T4" s="98" t="str">
        <f>"表"&amp;$BA4</f>
        <v>表3-5</v>
      </c>
      <c r="BA4" s="95" t="str">
        <f>流动资总!A11</f>
        <v>3-5</v>
      </c>
      <c r="BB4" s="100">
        <f>MAX(COUNTA(A7:A26),COUNTA(B7:B26),COUNTA(J7:J26),COUNTA(N7:N26))</f>
        <v>20</v>
      </c>
      <c r="BC4" s="101">
        <f>ROW(A6)+1</f>
        <v>7</v>
      </c>
      <c r="BD4" s="77"/>
      <c r="BE4" s="77"/>
      <c r="BQ4" s="78"/>
    </row>
    <row r="5" ht="15" customHeight="1" spans="1:76">
      <c r="A5" s="102" t="str">
        <f>参数表!F3</f>
        <v>产权持有单位:中煤第五建设有限公司</v>
      </c>
      <c r="B5" s="103"/>
      <c r="C5" s="103"/>
      <c r="D5" s="103"/>
      <c r="E5" s="103"/>
      <c r="F5" s="103"/>
      <c r="G5" s="103"/>
      <c r="H5" s="103"/>
      <c r="I5" s="103"/>
      <c r="J5" s="1217"/>
      <c r="K5" s="1217"/>
      <c r="L5" s="1218"/>
      <c r="M5" s="1218"/>
      <c r="N5" s="1217"/>
      <c r="O5" s="1217"/>
      <c r="P5" s="1217"/>
      <c r="Q5" s="1217"/>
      <c r="R5" s="1217"/>
      <c r="S5" s="1217"/>
      <c r="T5" s="98" t="s">
        <v>236</v>
      </c>
      <c r="BA5" s="103"/>
      <c r="BB5" s="105" t="str">
        <f ca="1">判断表!C19</f>
        <v>中煤第五建设有限公司第三工程处拟处置实物资产项目\[0000-3基础法明细表.xlsx]应收票据</v>
      </c>
      <c r="BC5" s="106">
        <f>IFERROR(SUMIF(BC7:BC26,"√",N7:N26)/N27,0)</f>
        <v>0</v>
      </c>
      <c r="BD5" s="107"/>
      <c r="BE5" s="107"/>
      <c r="BF5" s="284">
        <f>分类汇总!I12</f>
        <v>0</v>
      </c>
      <c r="BG5" s="284">
        <f>分类汇总!K12</f>
        <v>0</v>
      </c>
      <c r="BI5" s="165"/>
      <c r="BJ5" s="165"/>
      <c r="BK5" s="165"/>
      <c r="BO5" s="111"/>
      <c r="BQ5" s="78"/>
      <c r="BV5" s="194"/>
      <c r="BW5" s="194"/>
      <c r="BX5" s="111"/>
    </row>
    <row r="6" s="72" customFormat="1" ht="25.2" customHeight="1" spans="1:76">
      <c r="A6" s="112" t="s">
        <v>305</v>
      </c>
      <c r="B6" s="113" t="s">
        <v>1897</v>
      </c>
      <c r="C6" s="113" t="s">
        <v>1924</v>
      </c>
      <c r="D6" s="113" t="s">
        <v>1899</v>
      </c>
      <c r="E6" s="118" t="s">
        <v>1775</v>
      </c>
      <c r="F6" s="114" t="s">
        <v>1631</v>
      </c>
      <c r="G6" s="115" t="s">
        <v>1632</v>
      </c>
      <c r="H6" s="115" t="s">
        <v>1633</v>
      </c>
      <c r="I6" s="116" t="s">
        <v>1925</v>
      </c>
      <c r="J6" s="1219" t="s">
        <v>1549</v>
      </c>
      <c r="K6" s="1219" t="s">
        <v>1926</v>
      </c>
      <c r="L6" s="1286" t="s">
        <v>1927</v>
      </c>
      <c r="M6" s="1286" t="s">
        <v>1928</v>
      </c>
      <c r="N6" s="113" t="s">
        <v>1523</v>
      </c>
      <c r="O6" s="113" t="s">
        <v>1926</v>
      </c>
      <c r="P6" s="1219" t="s">
        <v>1550</v>
      </c>
      <c r="Q6" s="1219" t="s">
        <v>1929</v>
      </c>
      <c r="R6" s="113" t="s">
        <v>1525</v>
      </c>
      <c r="S6" s="1272" t="s">
        <v>1551</v>
      </c>
      <c r="T6" s="113" t="s">
        <v>308</v>
      </c>
      <c r="BA6" s="100" t="s">
        <v>1545</v>
      </c>
      <c r="BB6" s="100" t="s">
        <v>1635</v>
      </c>
      <c r="BC6" s="100" t="s">
        <v>1636</v>
      </c>
      <c r="BD6" s="100" t="s">
        <v>1637</v>
      </c>
      <c r="BE6" s="100" t="s">
        <v>1638</v>
      </c>
      <c r="BF6" s="115" t="s">
        <v>1639</v>
      </c>
      <c r="BG6" s="115" t="s">
        <v>1640</v>
      </c>
      <c r="BH6" s="113" t="s">
        <v>1748</v>
      </c>
      <c r="BI6" s="113" t="s">
        <v>1749</v>
      </c>
      <c r="BJ6" s="118" t="s">
        <v>1750</v>
      </c>
      <c r="BK6" s="118" t="s">
        <v>1930</v>
      </c>
      <c r="BL6" s="113" t="s">
        <v>1644</v>
      </c>
      <c r="BM6" s="224" t="s">
        <v>1931</v>
      </c>
      <c r="BN6" s="224" t="s">
        <v>1932</v>
      </c>
      <c r="BO6" s="119"/>
      <c r="BP6" s="120" t="s">
        <v>1645</v>
      </c>
      <c r="BQ6" s="121" t="s">
        <v>1646</v>
      </c>
      <c r="BR6" s="121" t="s">
        <v>1647</v>
      </c>
      <c r="BS6" s="121" t="s">
        <v>1648</v>
      </c>
      <c r="BT6" s="121" t="s">
        <v>1647</v>
      </c>
      <c r="BU6" s="121" t="s">
        <v>1647</v>
      </c>
      <c r="BV6" s="121" t="s">
        <v>1649</v>
      </c>
      <c r="BW6" s="121" t="s">
        <v>1933</v>
      </c>
      <c r="BX6" s="122" t="s">
        <v>1650</v>
      </c>
    </row>
    <row r="7" s="158" customFormat="1" ht="15" customHeight="1" spans="1:76">
      <c r="A7" s="123" t="str">
        <f>IF(B7="","",COUNT(A$6:A6)+1)</f>
        <v/>
      </c>
      <c r="B7" s="124"/>
      <c r="C7" s="125"/>
      <c r="D7" s="125"/>
      <c r="E7" s="1287"/>
      <c r="F7" s="127"/>
      <c r="G7" s="127" t="str">
        <f>IFERROR(VLOOKUP(F7,参数表!$H$2:$I$50,2,FALSE),"")</f>
        <v/>
      </c>
      <c r="H7" s="128" t="str">
        <f>IFERROR(IF(OR(F7="人民币",F7=""),"",N7/G7),"")</f>
        <v/>
      </c>
      <c r="I7" s="128" t="str">
        <f>IFERROR(IF(OR(F7="人民币",F7=""),"",O7/G7),"")</f>
        <v/>
      </c>
      <c r="J7" s="129"/>
      <c r="K7" s="129"/>
      <c r="L7" s="130"/>
      <c r="M7" s="130"/>
      <c r="N7" s="129" t="str">
        <f>IF(B7="","",J7+L7)</f>
        <v/>
      </c>
      <c r="O7" s="129" t="str">
        <f>IF(B7="","",K7+M7)</f>
        <v/>
      </c>
      <c r="P7" s="129" t="str">
        <f t="shared" ref="P7:P26" si="0">IF(B7="","",IF(BB$3="是",N7,""))</f>
        <v/>
      </c>
      <c r="Q7" s="129" t="str">
        <f t="shared" ref="Q7:Q26" si="1">IF(B7="","",IF(BB$3="是",O7,""))</f>
        <v/>
      </c>
      <c r="R7" s="129" t="str">
        <f>IFERROR((P7-Q7)-(N7-O7),"")</f>
        <v/>
      </c>
      <c r="S7" s="129" t="str">
        <f>IFERROR(R7/(P7-Q7)*100,"")</f>
        <v/>
      </c>
      <c r="T7" s="131"/>
      <c r="BA7" s="133"/>
      <c r="BB7" s="132" t="s">
        <v>1934</v>
      </c>
      <c r="BC7" s="133"/>
      <c r="BD7" s="132" t="str">
        <f>IF(OR(B7="",BC7=""),"",COUNTIF(BC$7:BC7,"√"))</f>
        <v/>
      </c>
      <c r="BE7" s="134" t="str">
        <f t="shared" ref="BE7:BE26" si="2">IF(BC7="","",BB7&amp;"︱"&amp;B7&amp;"︱"&amp;TEXT(J7,"#,##0.00"))</f>
        <v/>
      </c>
      <c r="BF7" s="126" t="str">
        <f>IF($B7="","",IF(BF$5=0,"OK","出错"))</f>
        <v/>
      </c>
      <c r="BG7" s="126" t="str">
        <f>IF($B7="","",IF(BG$5=0,"OK","出错"))</f>
        <v/>
      </c>
      <c r="BH7" s="141"/>
      <c r="BI7" s="141"/>
      <c r="BJ7" s="141"/>
      <c r="BK7" s="141"/>
      <c r="BL7" s="145"/>
      <c r="BM7" s="154">
        <f t="shared" ref="BM7:BM26" si="3">DATEDIF(C7,D7,"M")</f>
        <v>0</v>
      </c>
      <c r="BN7" s="286" t="str">
        <f t="shared" ref="BN7:BN26" si="4">IF(BB$2-D7&lt;0,"否","已过期")</f>
        <v>已过期</v>
      </c>
      <c r="BO7" s="1301"/>
      <c r="BP7" s="345">
        <f>IF(COUNTIF(BP$6:BP6,E7)&gt;0,"",E7)</f>
        <v>0</v>
      </c>
      <c r="BQ7" s="138">
        <f>SUMIF(E$7:E$26,BP7,N$7:N$26)</f>
        <v>0</v>
      </c>
      <c r="BR7" s="132">
        <f t="shared" ref="BR7" si="5">RANK(BQ7,BQ$7:BQ$26)</f>
        <v>1</v>
      </c>
      <c r="BS7" s="138">
        <f>SUMIF(E$7:E$26,BP7,P$7:P$26)</f>
        <v>0</v>
      </c>
      <c r="BT7" s="132">
        <f>RANK(BS7,BS$7:BS$26)</f>
        <v>1</v>
      </c>
      <c r="BU7" s="138">
        <f>SUM(BQ7:BQ26)</f>
        <v>0</v>
      </c>
      <c r="BV7" s="138"/>
      <c r="BW7" s="138"/>
      <c r="BX7" s="138"/>
    </row>
    <row r="8" s="158" customFormat="1" ht="15" customHeight="1" spans="1:76">
      <c r="A8" s="123" t="str">
        <f>IF(B8="","",COUNT(A$6:A7)+1)</f>
        <v/>
      </c>
      <c r="B8" s="139"/>
      <c r="C8" s="140"/>
      <c r="D8" s="140"/>
      <c r="E8" s="1288"/>
      <c r="F8" s="142"/>
      <c r="G8" s="127" t="str">
        <f>IFERROR(VLOOKUP(F8,参数表!$H$2:$I$50,2,FALSE),"")</f>
        <v/>
      </c>
      <c r="H8" s="128" t="str">
        <f t="shared" ref="H8:H26" si="6">IFERROR(IF(OR(F8="人民币",F8=""),"",N8/G8),"")</f>
        <v/>
      </c>
      <c r="I8" s="128" t="str">
        <f t="shared" ref="I8:I26" si="7">IFERROR(IF(OR(F8="人民币",F8=""),"",O8/G8),"")</f>
        <v/>
      </c>
      <c r="J8" s="143"/>
      <c r="K8" s="143"/>
      <c r="L8" s="144"/>
      <c r="M8" s="144"/>
      <c r="N8" s="129" t="str">
        <f t="shared" ref="N8:N26" si="8">IF(B8="","",J8+L8)</f>
        <v/>
      </c>
      <c r="O8" s="129" t="str">
        <f t="shared" ref="O8:O26" si="9">IF(B8="","",K8+M8)</f>
        <v/>
      </c>
      <c r="P8" s="129" t="str">
        <f t="shared" si="0"/>
        <v/>
      </c>
      <c r="Q8" s="129" t="str">
        <f t="shared" si="1"/>
        <v/>
      </c>
      <c r="R8" s="129" t="str">
        <f t="shared" ref="R8:R30" si="10">IFERROR((P8-Q8)-(N8-O8),"")</f>
        <v/>
      </c>
      <c r="S8" s="129" t="str">
        <f t="shared" ref="S8:S30" si="11">IFERROR(R8/(P8-Q8)*100,"")</f>
        <v/>
      </c>
      <c r="T8" s="145"/>
      <c r="BA8" s="133"/>
      <c r="BB8" s="132" t="s">
        <v>1935</v>
      </c>
      <c r="BC8" s="133"/>
      <c r="BD8" s="132" t="str">
        <f>IF(OR(B8="",BC8=""),"",COUNTIF(BC$7:BC8,"√"))</f>
        <v/>
      </c>
      <c r="BE8" s="134" t="str">
        <f t="shared" si="2"/>
        <v/>
      </c>
      <c r="BF8" s="126" t="str">
        <f t="shared" ref="BF8:BG26" si="12">IF($B8="","",IF(BF$5=0,"OK","出错"))</f>
        <v/>
      </c>
      <c r="BG8" s="126" t="str">
        <f t="shared" si="12"/>
        <v/>
      </c>
      <c r="BH8" s="141"/>
      <c r="BI8" s="141"/>
      <c r="BJ8" s="141"/>
      <c r="BK8" s="141"/>
      <c r="BL8" s="145"/>
      <c r="BM8" s="154">
        <f t="shared" si="3"/>
        <v>0</v>
      </c>
      <c r="BN8" s="286" t="str">
        <f t="shared" si="4"/>
        <v>已过期</v>
      </c>
      <c r="BO8" s="1301"/>
      <c r="BP8" s="345" t="str">
        <f>IF(COUNTIF(BP$6:BP7,E8)&gt;0,"",E8)</f>
        <v/>
      </c>
      <c r="BQ8" s="138">
        <f t="shared" ref="BQ8:BQ26" si="13">SUMIF(E$7:E$26,BP8,N$7:N$26)</f>
        <v>0</v>
      </c>
      <c r="BR8" s="132">
        <f t="shared" ref="BR8:BR26" si="14">RANK(BQ8,BQ$7:BQ$26)</f>
        <v>1</v>
      </c>
      <c r="BS8" s="138">
        <f t="shared" ref="BS8:BS26" si="15">SUMIF(E$7:E$26,BP8,P$7:P$26)</f>
        <v>0</v>
      </c>
      <c r="BT8" s="132">
        <f t="shared" ref="BT8:BT26" si="16">RANK(BS8,BS$7:BS$26)</f>
        <v>1</v>
      </c>
      <c r="BU8" s="138">
        <f>SUM(BS7:BS26)</f>
        <v>0</v>
      </c>
      <c r="BV8" s="138"/>
      <c r="BW8" s="138"/>
      <c r="BX8" s="138"/>
    </row>
    <row r="9" s="158" customFormat="1" ht="15" customHeight="1" spans="1:76">
      <c r="A9" s="123" t="str">
        <f>IF(B9="","",COUNT(A$6:A8)+1)</f>
        <v/>
      </c>
      <c r="B9" s="139"/>
      <c r="C9" s="140"/>
      <c r="D9" s="140"/>
      <c r="E9" s="1288"/>
      <c r="F9" s="142"/>
      <c r="G9" s="127" t="str">
        <f>IFERROR(VLOOKUP(F9,参数表!$H$2:$I$50,2,FALSE),"")</f>
        <v/>
      </c>
      <c r="H9" s="128" t="str">
        <f t="shared" si="6"/>
        <v/>
      </c>
      <c r="I9" s="128" t="str">
        <f t="shared" si="7"/>
        <v/>
      </c>
      <c r="J9" s="143"/>
      <c r="K9" s="143"/>
      <c r="L9" s="144"/>
      <c r="M9" s="144"/>
      <c r="N9" s="129" t="str">
        <f t="shared" si="8"/>
        <v/>
      </c>
      <c r="O9" s="129" t="str">
        <f t="shared" si="9"/>
        <v/>
      </c>
      <c r="P9" s="129" t="str">
        <f t="shared" si="0"/>
        <v/>
      </c>
      <c r="Q9" s="129" t="str">
        <f t="shared" si="1"/>
        <v/>
      </c>
      <c r="R9" s="129" t="str">
        <f t="shared" si="10"/>
        <v/>
      </c>
      <c r="S9" s="129" t="str">
        <f t="shared" si="11"/>
        <v/>
      </c>
      <c r="T9" s="145"/>
      <c r="BA9" s="133"/>
      <c r="BB9" s="132" t="s">
        <v>1936</v>
      </c>
      <c r="BC9" s="133"/>
      <c r="BD9" s="132" t="str">
        <f>IF(OR(B9="",BC9=""),"",COUNTIF(BC$7:BC9,"√"))</f>
        <v/>
      </c>
      <c r="BE9" s="134" t="str">
        <f t="shared" si="2"/>
        <v/>
      </c>
      <c r="BF9" s="126" t="str">
        <f t="shared" si="12"/>
        <v/>
      </c>
      <c r="BG9" s="126" t="str">
        <f t="shared" si="12"/>
        <v/>
      </c>
      <c r="BH9" s="141"/>
      <c r="BI9" s="141"/>
      <c r="BJ9" s="141"/>
      <c r="BK9" s="141"/>
      <c r="BL9" s="145"/>
      <c r="BM9" s="154">
        <f t="shared" si="3"/>
        <v>0</v>
      </c>
      <c r="BN9" s="286" t="str">
        <f t="shared" si="4"/>
        <v>已过期</v>
      </c>
      <c r="BO9" s="1301"/>
      <c r="BP9" s="345" t="str">
        <f>IF(COUNTIF(BP$6:BP8,E9)&gt;0,"",E9)</f>
        <v/>
      </c>
      <c r="BQ9" s="138">
        <f t="shared" si="13"/>
        <v>0</v>
      </c>
      <c r="BR9" s="132">
        <f t="shared" si="14"/>
        <v>1</v>
      </c>
      <c r="BS9" s="138">
        <f t="shared" si="15"/>
        <v>0</v>
      </c>
      <c r="BT9" s="132">
        <f t="shared" si="16"/>
        <v>1</v>
      </c>
      <c r="BU9" s="132">
        <v>1</v>
      </c>
      <c r="BV9" s="345">
        <f>IFERROR(INDEX(BP$7:BP$26,MATCH(BU9,IF(BU$7=0,BT$7:BT$26,BR$7:BR$26),0)),"")</f>
        <v>0</v>
      </c>
      <c r="BW9" s="345" t="str">
        <f>IF(BV9=0,"无息",IF(BV9="","",TEXT(BV9,"0.00%")&amp;"利率"))</f>
        <v>无息</v>
      </c>
      <c r="BX9" s="1302" t="str">
        <f>IF(BV10="","",IF(BV11="","和","、"))</f>
        <v/>
      </c>
    </row>
    <row r="10" s="158" customFormat="1" ht="15" customHeight="1" spans="1:76">
      <c r="A10" s="123" t="str">
        <f>IF(B10="","",COUNT(A$6:A9)+1)</f>
        <v/>
      </c>
      <c r="B10" s="139"/>
      <c r="C10" s="140"/>
      <c r="D10" s="140"/>
      <c r="E10" s="1288"/>
      <c r="F10" s="142"/>
      <c r="G10" s="127" t="str">
        <f>IFERROR(VLOOKUP(F10,参数表!$H$2:$I$50,2,FALSE),"")</f>
        <v/>
      </c>
      <c r="H10" s="128" t="str">
        <f t="shared" si="6"/>
        <v/>
      </c>
      <c r="I10" s="128" t="str">
        <f t="shared" si="7"/>
        <v/>
      </c>
      <c r="J10" s="143"/>
      <c r="K10" s="143"/>
      <c r="L10" s="144"/>
      <c r="M10" s="144"/>
      <c r="N10" s="129" t="str">
        <f t="shared" si="8"/>
        <v/>
      </c>
      <c r="O10" s="129" t="str">
        <f t="shared" si="9"/>
        <v/>
      </c>
      <c r="P10" s="129" t="str">
        <f t="shared" si="0"/>
        <v/>
      </c>
      <c r="Q10" s="129" t="str">
        <f t="shared" si="1"/>
        <v/>
      </c>
      <c r="R10" s="129" t="str">
        <f t="shared" si="10"/>
        <v/>
      </c>
      <c r="S10" s="129" t="str">
        <f t="shared" si="11"/>
        <v/>
      </c>
      <c r="T10" s="145"/>
      <c r="BA10" s="133"/>
      <c r="BB10" s="132" t="s">
        <v>1937</v>
      </c>
      <c r="BC10" s="133"/>
      <c r="BD10" s="132" t="str">
        <f>IF(OR(B10="",BC10=""),"",COUNTIF(BC$7:BC10,"√"))</f>
        <v/>
      </c>
      <c r="BE10" s="134" t="str">
        <f t="shared" si="2"/>
        <v/>
      </c>
      <c r="BF10" s="126" t="str">
        <f t="shared" si="12"/>
        <v/>
      </c>
      <c r="BG10" s="126" t="str">
        <f t="shared" si="12"/>
        <v/>
      </c>
      <c r="BH10" s="141"/>
      <c r="BI10" s="141"/>
      <c r="BJ10" s="141"/>
      <c r="BK10" s="141"/>
      <c r="BL10" s="145"/>
      <c r="BM10" s="154">
        <f t="shared" si="3"/>
        <v>0</v>
      </c>
      <c r="BN10" s="286" t="str">
        <f t="shared" si="4"/>
        <v>已过期</v>
      </c>
      <c r="BO10" s="1301"/>
      <c r="BP10" s="345" t="str">
        <f>IF(COUNTIF(BP$6:BP9,E10)&gt;0,"",E10)</f>
        <v/>
      </c>
      <c r="BQ10" s="138">
        <f t="shared" si="13"/>
        <v>0</v>
      </c>
      <c r="BR10" s="132">
        <f t="shared" si="14"/>
        <v>1</v>
      </c>
      <c r="BS10" s="138">
        <f t="shared" si="15"/>
        <v>0</v>
      </c>
      <c r="BT10" s="132">
        <f t="shared" si="16"/>
        <v>1</v>
      </c>
      <c r="BU10" s="132">
        <v>2</v>
      </c>
      <c r="BV10" s="345" t="str">
        <f t="shared" ref="BV10:BV13" si="17">IFERROR(INDEX(BP$7:BP$26,MATCH(BU10,IF(BU$7=0,BT$7:BT$26,BR$7:BR$26),0)),"")</f>
        <v/>
      </c>
      <c r="BW10" s="345" t="str">
        <f t="shared" ref="BW10:BW13" si="18">IF(BV10=0,"无息",IF(BV10="","",TEXT(BV10,"0.00%")&amp;"利率"))</f>
        <v/>
      </c>
      <c r="BX10" s="1302" t="str">
        <f t="shared" ref="BX10:BX11" si="19">IF(BV11="","",IF(BV12="","和","、"))</f>
        <v/>
      </c>
    </row>
    <row r="11" s="158" customFormat="1" ht="15" customHeight="1" spans="1:76">
      <c r="A11" s="123" t="str">
        <f>IF(B11="","",COUNT(A$6:A10)+1)</f>
        <v/>
      </c>
      <c r="B11" s="139"/>
      <c r="C11" s="140"/>
      <c r="D11" s="140"/>
      <c r="E11" s="1288"/>
      <c r="F11" s="142"/>
      <c r="G11" s="127" t="str">
        <f>IFERROR(VLOOKUP(F11,参数表!$H$2:$I$50,2,FALSE),"")</f>
        <v/>
      </c>
      <c r="H11" s="128" t="str">
        <f t="shared" si="6"/>
        <v/>
      </c>
      <c r="I11" s="128" t="str">
        <f t="shared" si="7"/>
        <v/>
      </c>
      <c r="J11" s="143"/>
      <c r="K11" s="143"/>
      <c r="L11" s="144"/>
      <c r="M11" s="144"/>
      <c r="N11" s="129" t="str">
        <f t="shared" si="8"/>
        <v/>
      </c>
      <c r="O11" s="129" t="str">
        <f t="shared" si="9"/>
        <v/>
      </c>
      <c r="P11" s="129" t="str">
        <f t="shared" si="0"/>
        <v/>
      </c>
      <c r="Q11" s="129" t="str">
        <f t="shared" si="1"/>
        <v/>
      </c>
      <c r="R11" s="129" t="str">
        <f t="shared" si="10"/>
        <v/>
      </c>
      <c r="S11" s="129" t="str">
        <f t="shared" si="11"/>
        <v/>
      </c>
      <c r="T11" s="145"/>
      <c r="BA11" s="133"/>
      <c r="BB11" s="132" t="s">
        <v>1938</v>
      </c>
      <c r="BC11" s="133"/>
      <c r="BD11" s="132" t="str">
        <f>IF(OR(B11="",BC11=""),"",COUNTIF(BC$7:BC11,"√"))</f>
        <v/>
      </c>
      <c r="BE11" s="134" t="str">
        <f t="shared" si="2"/>
        <v/>
      </c>
      <c r="BF11" s="126" t="str">
        <f t="shared" si="12"/>
        <v/>
      </c>
      <c r="BG11" s="126" t="str">
        <f t="shared" si="12"/>
        <v/>
      </c>
      <c r="BH11" s="141"/>
      <c r="BI11" s="141"/>
      <c r="BJ11" s="141"/>
      <c r="BK11" s="141"/>
      <c r="BL11" s="145"/>
      <c r="BM11" s="154">
        <f t="shared" si="3"/>
        <v>0</v>
      </c>
      <c r="BN11" s="286" t="str">
        <f t="shared" si="4"/>
        <v>已过期</v>
      </c>
      <c r="BO11" s="1301"/>
      <c r="BP11" s="345" t="str">
        <f>IF(COUNTIF(BP$6:BP10,E11)&gt;0,"",E11)</f>
        <v/>
      </c>
      <c r="BQ11" s="138">
        <f t="shared" si="13"/>
        <v>0</v>
      </c>
      <c r="BR11" s="132">
        <f t="shared" si="14"/>
        <v>1</v>
      </c>
      <c r="BS11" s="138">
        <f t="shared" si="15"/>
        <v>0</v>
      </c>
      <c r="BT11" s="132">
        <f t="shared" si="16"/>
        <v>1</v>
      </c>
      <c r="BU11" s="132">
        <v>3</v>
      </c>
      <c r="BV11" s="345" t="str">
        <f t="shared" si="17"/>
        <v/>
      </c>
      <c r="BW11" s="345" t="str">
        <f t="shared" si="18"/>
        <v/>
      </c>
      <c r="BX11" s="1302" t="str">
        <f t="shared" si="19"/>
        <v/>
      </c>
    </row>
    <row r="12" s="158" customFormat="1" ht="15" customHeight="1" spans="1:76">
      <c r="A12" s="123" t="str">
        <f>IF(B12="","",COUNT(A$6:A11)+1)</f>
        <v/>
      </c>
      <c r="B12" s="139"/>
      <c r="C12" s="140"/>
      <c r="D12" s="140"/>
      <c r="E12" s="1288"/>
      <c r="F12" s="142"/>
      <c r="G12" s="127" t="str">
        <f>IFERROR(VLOOKUP(F12,参数表!$H$2:$I$50,2,FALSE),"")</f>
        <v/>
      </c>
      <c r="H12" s="128" t="str">
        <f t="shared" si="6"/>
        <v/>
      </c>
      <c r="I12" s="128" t="str">
        <f t="shared" si="7"/>
        <v/>
      </c>
      <c r="J12" s="143"/>
      <c r="K12" s="143"/>
      <c r="L12" s="144"/>
      <c r="M12" s="144"/>
      <c r="N12" s="129" t="str">
        <f t="shared" si="8"/>
        <v/>
      </c>
      <c r="O12" s="129" t="str">
        <f t="shared" si="9"/>
        <v/>
      </c>
      <c r="P12" s="129" t="str">
        <f t="shared" si="0"/>
        <v/>
      </c>
      <c r="Q12" s="129" t="str">
        <f t="shared" si="1"/>
        <v/>
      </c>
      <c r="R12" s="129" t="str">
        <f t="shared" si="10"/>
        <v/>
      </c>
      <c r="S12" s="129" t="str">
        <f t="shared" si="11"/>
        <v/>
      </c>
      <c r="T12" s="145"/>
      <c r="BA12" s="133"/>
      <c r="BB12" s="132" t="s">
        <v>1939</v>
      </c>
      <c r="BC12" s="133"/>
      <c r="BD12" s="132" t="str">
        <f>IF(OR(B12="",BC12=""),"",COUNTIF(BC$7:BC12,"√"))</f>
        <v/>
      </c>
      <c r="BE12" s="134" t="str">
        <f t="shared" si="2"/>
        <v/>
      </c>
      <c r="BF12" s="126" t="str">
        <f t="shared" si="12"/>
        <v/>
      </c>
      <c r="BG12" s="126" t="str">
        <f t="shared" si="12"/>
        <v/>
      </c>
      <c r="BH12" s="141"/>
      <c r="BI12" s="141"/>
      <c r="BJ12" s="141"/>
      <c r="BK12" s="141"/>
      <c r="BL12" s="145"/>
      <c r="BM12" s="154">
        <f t="shared" si="3"/>
        <v>0</v>
      </c>
      <c r="BN12" s="286" t="str">
        <f t="shared" si="4"/>
        <v>已过期</v>
      </c>
      <c r="BO12" s="1301"/>
      <c r="BP12" s="345" t="str">
        <f>IF(COUNTIF(BP$6:BP11,E12)&gt;0,"",E12)</f>
        <v/>
      </c>
      <c r="BQ12" s="138">
        <f t="shared" si="13"/>
        <v>0</v>
      </c>
      <c r="BR12" s="132">
        <f t="shared" si="14"/>
        <v>1</v>
      </c>
      <c r="BS12" s="138">
        <f t="shared" si="15"/>
        <v>0</v>
      </c>
      <c r="BT12" s="132">
        <f t="shared" si="16"/>
        <v>1</v>
      </c>
      <c r="BU12" s="132">
        <v>4</v>
      </c>
      <c r="BV12" s="345" t="str">
        <f t="shared" si="17"/>
        <v/>
      </c>
      <c r="BW12" s="345" t="str">
        <f t="shared" si="18"/>
        <v/>
      </c>
      <c r="BX12" s="1302" t="str">
        <f>IF(BV13="","","和")</f>
        <v/>
      </c>
    </row>
    <row r="13" s="158" customFormat="1" ht="15" customHeight="1" spans="1:76">
      <c r="A13" s="123" t="str">
        <f>IF(B13="","",COUNT(A$6:A12)+1)</f>
        <v/>
      </c>
      <c r="B13" s="139"/>
      <c r="C13" s="140"/>
      <c r="D13" s="140"/>
      <c r="E13" s="1288"/>
      <c r="F13" s="142"/>
      <c r="G13" s="127" t="str">
        <f>IFERROR(VLOOKUP(F13,参数表!$H$2:$I$50,2,FALSE),"")</f>
        <v/>
      </c>
      <c r="H13" s="128" t="str">
        <f t="shared" si="6"/>
        <v/>
      </c>
      <c r="I13" s="128" t="str">
        <f t="shared" si="7"/>
        <v/>
      </c>
      <c r="J13" s="143"/>
      <c r="K13" s="143"/>
      <c r="L13" s="144"/>
      <c r="M13" s="144"/>
      <c r="N13" s="129" t="str">
        <f t="shared" si="8"/>
        <v/>
      </c>
      <c r="O13" s="129" t="str">
        <f t="shared" si="9"/>
        <v/>
      </c>
      <c r="P13" s="129" t="str">
        <f t="shared" si="0"/>
        <v/>
      </c>
      <c r="Q13" s="129" t="str">
        <f t="shared" si="1"/>
        <v/>
      </c>
      <c r="R13" s="129" t="str">
        <f t="shared" si="10"/>
        <v/>
      </c>
      <c r="S13" s="129" t="str">
        <f t="shared" si="11"/>
        <v/>
      </c>
      <c r="T13" s="145"/>
      <c r="BA13" s="133"/>
      <c r="BB13" s="132" t="s">
        <v>1940</v>
      </c>
      <c r="BC13" s="133"/>
      <c r="BD13" s="132" t="str">
        <f>IF(OR(B13="",BC13=""),"",COUNTIF(BC$7:BC13,"√"))</f>
        <v/>
      </c>
      <c r="BE13" s="134" t="str">
        <f t="shared" si="2"/>
        <v/>
      </c>
      <c r="BF13" s="126" t="str">
        <f t="shared" si="12"/>
        <v/>
      </c>
      <c r="BG13" s="126" t="str">
        <f t="shared" si="12"/>
        <v/>
      </c>
      <c r="BH13" s="141"/>
      <c r="BI13" s="141"/>
      <c r="BJ13" s="141"/>
      <c r="BK13" s="141"/>
      <c r="BL13" s="145"/>
      <c r="BM13" s="154">
        <f t="shared" si="3"/>
        <v>0</v>
      </c>
      <c r="BN13" s="286" t="str">
        <f t="shared" si="4"/>
        <v>已过期</v>
      </c>
      <c r="BO13" s="1301"/>
      <c r="BP13" s="345" t="str">
        <f>IF(COUNTIF(BP$6:BP12,E13)&gt;0,"",E13)</f>
        <v/>
      </c>
      <c r="BQ13" s="138">
        <f t="shared" si="13"/>
        <v>0</v>
      </c>
      <c r="BR13" s="132">
        <f t="shared" si="14"/>
        <v>1</v>
      </c>
      <c r="BS13" s="138">
        <f t="shared" si="15"/>
        <v>0</v>
      </c>
      <c r="BT13" s="132">
        <f t="shared" si="16"/>
        <v>1</v>
      </c>
      <c r="BU13" s="132">
        <v>5</v>
      </c>
      <c r="BV13" s="345" t="str">
        <f t="shared" si="17"/>
        <v/>
      </c>
      <c r="BW13" s="345" t="str">
        <f t="shared" si="18"/>
        <v/>
      </c>
      <c r="BX13" s="1302"/>
    </row>
    <row r="14" s="158" customFormat="1" ht="15" customHeight="1" spans="1:76">
      <c r="A14" s="123" t="str">
        <f>IF(B14="","",COUNT(A$6:A13)+1)</f>
        <v/>
      </c>
      <c r="B14" s="139"/>
      <c r="C14" s="140"/>
      <c r="D14" s="140"/>
      <c r="E14" s="1288"/>
      <c r="F14" s="142"/>
      <c r="G14" s="127" t="str">
        <f>IFERROR(VLOOKUP(F14,参数表!$H$2:$I$50,2,FALSE),"")</f>
        <v/>
      </c>
      <c r="H14" s="128" t="str">
        <f t="shared" si="6"/>
        <v/>
      </c>
      <c r="I14" s="128" t="str">
        <f t="shared" si="7"/>
        <v/>
      </c>
      <c r="J14" s="143"/>
      <c r="K14" s="143"/>
      <c r="L14" s="144"/>
      <c r="M14" s="144"/>
      <c r="N14" s="129" t="str">
        <f t="shared" si="8"/>
        <v/>
      </c>
      <c r="O14" s="129" t="str">
        <f t="shared" si="9"/>
        <v/>
      </c>
      <c r="P14" s="129" t="str">
        <f t="shared" si="0"/>
        <v/>
      </c>
      <c r="Q14" s="129" t="str">
        <f t="shared" si="1"/>
        <v/>
      </c>
      <c r="R14" s="129" t="str">
        <f t="shared" si="10"/>
        <v/>
      </c>
      <c r="S14" s="129" t="str">
        <f t="shared" si="11"/>
        <v/>
      </c>
      <c r="T14" s="145"/>
      <c r="BA14" s="133"/>
      <c r="BB14" s="132" t="s">
        <v>1941</v>
      </c>
      <c r="BC14" s="133"/>
      <c r="BD14" s="132" t="str">
        <f>IF(OR(B14="",BC14=""),"",COUNTIF(BC$7:BC14,"√"))</f>
        <v/>
      </c>
      <c r="BE14" s="134" t="str">
        <f t="shared" si="2"/>
        <v/>
      </c>
      <c r="BF14" s="126" t="str">
        <f t="shared" si="12"/>
        <v/>
      </c>
      <c r="BG14" s="126" t="str">
        <f t="shared" si="12"/>
        <v/>
      </c>
      <c r="BH14" s="141"/>
      <c r="BI14" s="141"/>
      <c r="BJ14" s="141"/>
      <c r="BK14" s="141"/>
      <c r="BL14" s="145"/>
      <c r="BM14" s="154">
        <f t="shared" si="3"/>
        <v>0</v>
      </c>
      <c r="BN14" s="286" t="str">
        <f t="shared" si="4"/>
        <v>已过期</v>
      </c>
      <c r="BO14" s="1301"/>
      <c r="BP14" s="345" t="str">
        <f>IF(COUNTIF(BP$6:BP13,E14)&gt;0,"",E14)</f>
        <v/>
      </c>
      <c r="BQ14" s="138">
        <f t="shared" si="13"/>
        <v>0</v>
      </c>
      <c r="BR14" s="132">
        <f t="shared" si="14"/>
        <v>1</v>
      </c>
      <c r="BS14" s="138">
        <f t="shared" si="15"/>
        <v>0</v>
      </c>
      <c r="BT14" s="132">
        <f t="shared" si="16"/>
        <v>1</v>
      </c>
      <c r="BU14" s="147" t="s">
        <v>1659</v>
      </c>
      <c r="BV14" s="132" t="str">
        <f>CONCATENATE(BW9,BX9,BW10,BX10,BW11,BX11,BW12,BX12,BW13)</f>
        <v>无息</v>
      </c>
      <c r="BW14" s="132"/>
      <c r="BX14" s="132"/>
    </row>
    <row r="15" s="158" customFormat="1" ht="15" customHeight="1" spans="1:76">
      <c r="A15" s="123" t="str">
        <f>IF(B15="","",COUNT(A$6:A14)+1)</f>
        <v/>
      </c>
      <c r="B15" s="139"/>
      <c r="C15" s="140"/>
      <c r="D15" s="140"/>
      <c r="E15" s="1288"/>
      <c r="F15" s="142"/>
      <c r="G15" s="127" t="str">
        <f>IFERROR(VLOOKUP(F15,参数表!$H$2:$I$50,2,FALSE),"")</f>
        <v/>
      </c>
      <c r="H15" s="128" t="str">
        <f t="shared" si="6"/>
        <v/>
      </c>
      <c r="I15" s="128" t="str">
        <f t="shared" si="7"/>
        <v/>
      </c>
      <c r="J15" s="143"/>
      <c r="K15" s="143"/>
      <c r="L15" s="144"/>
      <c r="M15" s="144"/>
      <c r="N15" s="129" t="str">
        <f t="shared" si="8"/>
        <v/>
      </c>
      <c r="O15" s="129" t="str">
        <f t="shared" si="9"/>
        <v/>
      </c>
      <c r="P15" s="129" t="str">
        <f t="shared" si="0"/>
        <v/>
      </c>
      <c r="Q15" s="129" t="str">
        <f t="shared" si="1"/>
        <v/>
      </c>
      <c r="R15" s="129" t="str">
        <f t="shared" si="10"/>
        <v/>
      </c>
      <c r="S15" s="129" t="str">
        <f t="shared" si="11"/>
        <v/>
      </c>
      <c r="T15" s="145"/>
      <c r="BA15" s="133"/>
      <c r="BB15" s="132" t="s">
        <v>1942</v>
      </c>
      <c r="BC15" s="133"/>
      <c r="BD15" s="132" t="str">
        <f>IF(OR(B15="",BC15=""),"",COUNTIF(BC$7:BC15,"√"))</f>
        <v/>
      </c>
      <c r="BE15" s="134" t="str">
        <f t="shared" si="2"/>
        <v/>
      </c>
      <c r="BF15" s="126" t="str">
        <f t="shared" si="12"/>
        <v/>
      </c>
      <c r="BG15" s="126" t="str">
        <f t="shared" si="12"/>
        <v/>
      </c>
      <c r="BH15" s="141"/>
      <c r="BI15" s="141"/>
      <c r="BJ15" s="141"/>
      <c r="BK15" s="141"/>
      <c r="BL15" s="145"/>
      <c r="BM15" s="154">
        <f t="shared" si="3"/>
        <v>0</v>
      </c>
      <c r="BN15" s="286" t="str">
        <f t="shared" si="4"/>
        <v>已过期</v>
      </c>
      <c r="BO15" s="1301"/>
      <c r="BP15" s="345" t="str">
        <f>IF(COUNTIF(BP$6:BP14,E15)&gt;0,"",E15)</f>
        <v/>
      </c>
      <c r="BQ15" s="138">
        <f t="shared" si="13"/>
        <v>0</v>
      </c>
      <c r="BR15" s="132">
        <f t="shared" si="14"/>
        <v>1</v>
      </c>
      <c r="BS15" s="138">
        <f t="shared" si="15"/>
        <v>0</v>
      </c>
      <c r="BT15" s="132">
        <f t="shared" si="16"/>
        <v>1</v>
      </c>
      <c r="BU15" s="133"/>
      <c r="BV15" s="133"/>
      <c r="BW15" s="133"/>
      <c r="BX15" s="1301"/>
    </row>
    <row r="16" s="158" customFormat="1" ht="15" customHeight="1" spans="1:76">
      <c r="A16" s="123" t="str">
        <f>IF(B16="","",COUNT(A$6:A15)+1)</f>
        <v/>
      </c>
      <c r="B16" s="139"/>
      <c r="C16" s="140"/>
      <c r="D16" s="140"/>
      <c r="E16" s="1288"/>
      <c r="F16" s="142"/>
      <c r="G16" s="127" t="str">
        <f>IFERROR(VLOOKUP(F16,参数表!$H$2:$I$50,2,FALSE),"")</f>
        <v/>
      </c>
      <c r="H16" s="128" t="str">
        <f t="shared" si="6"/>
        <v/>
      </c>
      <c r="I16" s="128" t="str">
        <f t="shared" si="7"/>
        <v/>
      </c>
      <c r="J16" s="143"/>
      <c r="K16" s="143"/>
      <c r="L16" s="144"/>
      <c r="M16" s="144"/>
      <c r="N16" s="129" t="str">
        <f t="shared" si="8"/>
        <v/>
      </c>
      <c r="O16" s="129" t="str">
        <f t="shared" si="9"/>
        <v/>
      </c>
      <c r="P16" s="129" t="str">
        <f t="shared" si="0"/>
        <v/>
      </c>
      <c r="Q16" s="129" t="str">
        <f t="shared" si="1"/>
        <v/>
      </c>
      <c r="R16" s="129" t="str">
        <f t="shared" si="10"/>
        <v/>
      </c>
      <c r="S16" s="129" t="str">
        <f t="shared" si="11"/>
        <v/>
      </c>
      <c r="T16" s="145"/>
      <c r="BA16" s="133"/>
      <c r="BB16" s="132" t="s">
        <v>1943</v>
      </c>
      <c r="BC16" s="133"/>
      <c r="BD16" s="132" t="str">
        <f>IF(OR(B16="",BC16=""),"",COUNTIF(BC$7:BC16,"√"))</f>
        <v/>
      </c>
      <c r="BE16" s="134" t="str">
        <f t="shared" si="2"/>
        <v/>
      </c>
      <c r="BF16" s="126" t="str">
        <f t="shared" si="12"/>
        <v/>
      </c>
      <c r="BG16" s="126" t="str">
        <f t="shared" si="12"/>
        <v/>
      </c>
      <c r="BH16" s="141"/>
      <c r="BI16" s="141"/>
      <c r="BJ16" s="141"/>
      <c r="BK16" s="141"/>
      <c r="BL16" s="145"/>
      <c r="BM16" s="154">
        <f t="shared" si="3"/>
        <v>0</v>
      </c>
      <c r="BN16" s="286" t="str">
        <f t="shared" si="4"/>
        <v>已过期</v>
      </c>
      <c r="BO16" s="1301"/>
      <c r="BP16" s="345" t="str">
        <f>IF(COUNTIF(BP$6:BP15,E16)&gt;0,"",E16)</f>
        <v/>
      </c>
      <c r="BQ16" s="138">
        <f t="shared" si="13"/>
        <v>0</v>
      </c>
      <c r="BR16" s="132">
        <f t="shared" si="14"/>
        <v>1</v>
      </c>
      <c r="BS16" s="138">
        <f t="shared" si="15"/>
        <v>0</v>
      </c>
      <c r="BT16" s="132">
        <f t="shared" si="16"/>
        <v>1</v>
      </c>
      <c r="BU16" s="133"/>
      <c r="BV16" s="148"/>
      <c r="BW16" s="148"/>
      <c r="BX16" s="1301"/>
    </row>
    <row r="17" s="158" customFormat="1" ht="15" customHeight="1" spans="1:76">
      <c r="A17" s="123" t="str">
        <f>IF(B17="","",COUNT(A$6:A16)+1)</f>
        <v/>
      </c>
      <c r="B17" s="139"/>
      <c r="C17" s="140"/>
      <c r="D17" s="140"/>
      <c r="E17" s="1288"/>
      <c r="F17" s="142"/>
      <c r="G17" s="127" t="str">
        <f>IFERROR(VLOOKUP(F17,参数表!$H$2:$I$50,2,FALSE),"")</f>
        <v/>
      </c>
      <c r="H17" s="128" t="str">
        <f t="shared" si="6"/>
        <v/>
      </c>
      <c r="I17" s="128" t="str">
        <f t="shared" si="7"/>
        <v/>
      </c>
      <c r="J17" s="143"/>
      <c r="K17" s="143"/>
      <c r="L17" s="144"/>
      <c r="M17" s="144"/>
      <c r="N17" s="129" t="str">
        <f t="shared" si="8"/>
        <v/>
      </c>
      <c r="O17" s="129" t="str">
        <f t="shared" si="9"/>
        <v/>
      </c>
      <c r="P17" s="129" t="str">
        <f t="shared" si="0"/>
        <v/>
      </c>
      <c r="Q17" s="129" t="str">
        <f t="shared" si="1"/>
        <v/>
      </c>
      <c r="R17" s="129" t="str">
        <f t="shared" si="10"/>
        <v/>
      </c>
      <c r="S17" s="129" t="str">
        <f t="shared" si="11"/>
        <v/>
      </c>
      <c r="T17" s="145"/>
      <c r="BA17" s="133"/>
      <c r="BB17" s="132" t="s">
        <v>1944</v>
      </c>
      <c r="BC17" s="133"/>
      <c r="BD17" s="132" t="str">
        <f>IF(OR(B17="",BC17=""),"",COUNTIF(BC$7:BC17,"√"))</f>
        <v/>
      </c>
      <c r="BE17" s="134" t="str">
        <f t="shared" si="2"/>
        <v/>
      </c>
      <c r="BF17" s="126" t="str">
        <f t="shared" si="12"/>
        <v/>
      </c>
      <c r="BG17" s="126" t="str">
        <f t="shared" si="12"/>
        <v/>
      </c>
      <c r="BH17" s="141"/>
      <c r="BI17" s="141"/>
      <c r="BJ17" s="141"/>
      <c r="BK17" s="141"/>
      <c r="BL17" s="145"/>
      <c r="BM17" s="154">
        <f t="shared" si="3"/>
        <v>0</v>
      </c>
      <c r="BN17" s="286" t="str">
        <f t="shared" si="4"/>
        <v>已过期</v>
      </c>
      <c r="BO17" s="1301"/>
      <c r="BP17" s="345" t="str">
        <f>IF(COUNTIF(BP$6:BP16,E17)&gt;0,"",E17)</f>
        <v/>
      </c>
      <c r="BQ17" s="138">
        <f t="shared" si="13"/>
        <v>0</v>
      </c>
      <c r="BR17" s="132">
        <f t="shared" si="14"/>
        <v>1</v>
      </c>
      <c r="BS17" s="138">
        <f t="shared" si="15"/>
        <v>0</v>
      </c>
      <c r="BT17" s="132">
        <f t="shared" si="16"/>
        <v>1</v>
      </c>
      <c r="BU17" s="133"/>
      <c r="BV17" s="133"/>
      <c r="BW17" s="133"/>
      <c r="BX17" s="1301"/>
    </row>
    <row r="18" s="158" customFormat="1" ht="15" customHeight="1" spans="1:76">
      <c r="A18" s="123" t="str">
        <f>IF(B18="","",COUNT(A$6:A17)+1)</f>
        <v/>
      </c>
      <c r="B18" s="139"/>
      <c r="C18" s="140"/>
      <c r="D18" s="140"/>
      <c r="E18" s="1288"/>
      <c r="F18" s="142"/>
      <c r="G18" s="127" t="str">
        <f>IFERROR(VLOOKUP(F18,参数表!$H$2:$I$50,2,FALSE),"")</f>
        <v/>
      </c>
      <c r="H18" s="128" t="str">
        <f t="shared" si="6"/>
        <v/>
      </c>
      <c r="I18" s="128" t="str">
        <f t="shared" si="7"/>
        <v/>
      </c>
      <c r="J18" s="143"/>
      <c r="K18" s="143"/>
      <c r="L18" s="144"/>
      <c r="M18" s="144"/>
      <c r="N18" s="129" t="str">
        <f t="shared" si="8"/>
        <v/>
      </c>
      <c r="O18" s="129" t="str">
        <f t="shared" si="9"/>
        <v/>
      </c>
      <c r="P18" s="129" t="str">
        <f t="shared" si="0"/>
        <v/>
      </c>
      <c r="Q18" s="129" t="str">
        <f t="shared" si="1"/>
        <v/>
      </c>
      <c r="R18" s="129" t="str">
        <f t="shared" si="10"/>
        <v/>
      </c>
      <c r="S18" s="129" t="str">
        <f t="shared" si="11"/>
        <v/>
      </c>
      <c r="T18" s="145"/>
      <c r="BA18" s="133"/>
      <c r="BB18" s="132" t="s">
        <v>1945</v>
      </c>
      <c r="BC18" s="133"/>
      <c r="BD18" s="132" t="str">
        <f>IF(OR(B18="",BC18=""),"",COUNTIF(BC$7:BC18,"√"))</f>
        <v/>
      </c>
      <c r="BE18" s="134" t="str">
        <f t="shared" si="2"/>
        <v/>
      </c>
      <c r="BF18" s="126" t="str">
        <f t="shared" si="12"/>
        <v/>
      </c>
      <c r="BG18" s="126" t="str">
        <f t="shared" si="12"/>
        <v/>
      </c>
      <c r="BH18" s="141"/>
      <c r="BI18" s="141"/>
      <c r="BJ18" s="141"/>
      <c r="BK18" s="141"/>
      <c r="BL18" s="145"/>
      <c r="BM18" s="154">
        <f t="shared" si="3"/>
        <v>0</v>
      </c>
      <c r="BN18" s="286" t="str">
        <f t="shared" si="4"/>
        <v>已过期</v>
      </c>
      <c r="BO18" s="1301"/>
      <c r="BP18" s="345" t="str">
        <f>IF(COUNTIF(BP$6:BP17,E18)&gt;0,"",E18)</f>
        <v/>
      </c>
      <c r="BQ18" s="138">
        <f t="shared" si="13"/>
        <v>0</v>
      </c>
      <c r="BR18" s="132">
        <f t="shared" si="14"/>
        <v>1</v>
      </c>
      <c r="BS18" s="138">
        <f t="shared" si="15"/>
        <v>0</v>
      </c>
      <c r="BT18" s="132">
        <f t="shared" si="16"/>
        <v>1</v>
      </c>
      <c r="BU18" s="133"/>
      <c r="BV18" s="133"/>
      <c r="BW18" s="133"/>
      <c r="BX18" s="1301"/>
    </row>
    <row r="19" s="158" customFormat="1" ht="15" customHeight="1" spans="1:76">
      <c r="A19" s="123" t="str">
        <f>IF(B19="","",COUNT(A$6:A18)+1)</f>
        <v/>
      </c>
      <c r="B19" s="139"/>
      <c r="C19" s="140"/>
      <c r="D19" s="140"/>
      <c r="E19" s="1288"/>
      <c r="F19" s="142"/>
      <c r="G19" s="127" t="str">
        <f>IFERROR(VLOOKUP(F19,参数表!$H$2:$I$50,2,FALSE),"")</f>
        <v/>
      </c>
      <c r="H19" s="128" t="str">
        <f t="shared" si="6"/>
        <v/>
      </c>
      <c r="I19" s="128" t="str">
        <f t="shared" si="7"/>
        <v/>
      </c>
      <c r="J19" s="143"/>
      <c r="K19" s="143"/>
      <c r="L19" s="144"/>
      <c r="M19" s="144"/>
      <c r="N19" s="129" t="str">
        <f t="shared" si="8"/>
        <v/>
      </c>
      <c r="O19" s="129" t="str">
        <f t="shared" si="9"/>
        <v/>
      </c>
      <c r="P19" s="129" t="str">
        <f t="shared" si="0"/>
        <v/>
      </c>
      <c r="Q19" s="129" t="str">
        <f t="shared" si="1"/>
        <v/>
      </c>
      <c r="R19" s="129" t="str">
        <f t="shared" si="10"/>
        <v/>
      </c>
      <c r="S19" s="129" t="str">
        <f t="shared" si="11"/>
        <v/>
      </c>
      <c r="T19" s="145"/>
      <c r="BA19" s="133"/>
      <c r="BB19" s="132" t="s">
        <v>1946</v>
      </c>
      <c r="BC19" s="133"/>
      <c r="BD19" s="132" t="str">
        <f>IF(OR(B19="",BC19=""),"",COUNTIF(BC$7:BC19,"√"))</f>
        <v/>
      </c>
      <c r="BE19" s="134" t="str">
        <f t="shared" si="2"/>
        <v/>
      </c>
      <c r="BF19" s="126" t="str">
        <f t="shared" si="12"/>
        <v/>
      </c>
      <c r="BG19" s="126" t="str">
        <f t="shared" si="12"/>
        <v/>
      </c>
      <c r="BH19" s="141"/>
      <c r="BI19" s="141"/>
      <c r="BJ19" s="141"/>
      <c r="BK19" s="141"/>
      <c r="BL19" s="145"/>
      <c r="BM19" s="154">
        <f t="shared" si="3"/>
        <v>0</v>
      </c>
      <c r="BN19" s="286" t="str">
        <f t="shared" si="4"/>
        <v>已过期</v>
      </c>
      <c r="BO19" s="1301"/>
      <c r="BP19" s="345" t="str">
        <f>IF(COUNTIF(BP$6:BP18,E19)&gt;0,"",E19)</f>
        <v/>
      </c>
      <c r="BQ19" s="138">
        <f t="shared" si="13"/>
        <v>0</v>
      </c>
      <c r="BR19" s="132">
        <f t="shared" si="14"/>
        <v>1</v>
      </c>
      <c r="BS19" s="138">
        <f t="shared" si="15"/>
        <v>0</v>
      </c>
      <c r="BT19" s="132">
        <f t="shared" si="16"/>
        <v>1</v>
      </c>
      <c r="BU19" s="133"/>
      <c r="BV19" s="133"/>
      <c r="BW19" s="133"/>
      <c r="BX19" s="1301"/>
    </row>
    <row r="20" s="158" customFormat="1" ht="15" customHeight="1" spans="1:76">
      <c r="A20" s="123" t="str">
        <f>IF(B20="","",COUNT(A$6:A19)+1)</f>
        <v/>
      </c>
      <c r="B20" s="139"/>
      <c r="C20" s="140"/>
      <c r="D20" s="140"/>
      <c r="E20" s="1288"/>
      <c r="F20" s="142"/>
      <c r="G20" s="127" t="str">
        <f>IFERROR(VLOOKUP(F20,参数表!$H$2:$I$50,2,FALSE),"")</f>
        <v/>
      </c>
      <c r="H20" s="128" t="str">
        <f t="shared" si="6"/>
        <v/>
      </c>
      <c r="I20" s="128" t="str">
        <f t="shared" si="7"/>
        <v/>
      </c>
      <c r="J20" s="143"/>
      <c r="K20" s="143"/>
      <c r="L20" s="144"/>
      <c r="M20" s="144"/>
      <c r="N20" s="129" t="str">
        <f t="shared" si="8"/>
        <v/>
      </c>
      <c r="O20" s="129" t="str">
        <f t="shared" si="9"/>
        <v/>
      </c>
      <c r="P20" s="129" t="str">
        <f t="shared" si="0"/>
        <v/>
      </c>
      <c r="Q20" s="129" t="str">
        <f t="shared" si="1"/>
        <v/>
      </c>
      <c r="R20" s="129" t="str">
        <f t="shared" si="10"/>
        <v/>
      </c>
      <c r="S20" s="129" t="str">
        <f t="shared" si="11"/>
        <v/>
      </c>
      <c r="T20" s="145"/>
      <c r="BA20" s="133"/>
      <c r="BB20" s="132" t="s">
        <v>1947</v>
      </c>
      <c r="BC20" s="133"/>
      <c r="BD20" s="132" t="str">
        <f>IF(OR(B20="",BC20=""),"",COUNTIF(BC$7:BC20,"√"))</f>
        <v/>
      </c>
      <c r="BE20" s="134" t="str">
        <f t="shared" si="2"/>
        <v/>
      </c>
      <c r="BF20" s="126" t="str">
        <f t="shared" si="12"/>
        <v/>
      </c>
      <c r="BG20" s="126" t="str">
        <f t="shared" si="12"/>
        <v/>
      </c>
      <c r="BH20" s="141"/>
      <c r="BI20" s="141"/>
      <c r="BJ20" s="141"/>
      <c r="BK20" s="141"/>
      <c r="BL20" s="145"/>
      <c r="BM20" s="154">
        <f t="shared" si="3"/>
        <v>0</v>
      </c>
      <c r="BN20" s="286" t="str">
        <f t="shared" si="4"/>
        <v>已过期</v>
      </c>
      <c r="BO20" s="1301"/>
      <c r="BP20" s="345" t="str">
        <f>IF(COUNTIF(BP$6:BP19,E20)&gt;0,"",E20)</f>
        <v/>
      </c>
      <c r="BQ20" s="138">
        <f t="shared" si="13"/>
        <v>0</v>
      </c>
      <c r="BR20" s="132">
        <f t="shared" si="14"/>
        <v>1</v>
      </c>
      <c r="BS20" s="138">
        <f t="shared" si="15"/>
        <v>0</v>
      </c>
      <c r="BT20" s="132">
        <f t="shared" si="16"/>
        <v>1</v>
      </c>
      <c r="BU20" s="133"/>
      <c r="BV20" s="133"/>
      <c r="BW20" s="133"/>
      <c r="BX20" s="1301"/>
    </row>
    <row r="21" s="158" customFormat="1" ht="15" customHeight="1" spans="1:76">
      <c r="A21" s="123" t="str">
        <f>IF(B21="","",COUNT(A$6:A20)+1)</f>
        <v/>
      </c>
      <c r="B21" s="139"/>
      <c r="C21" s="140"/>
      <c r="D21" s="140"/>
      <c r="E21" s="1288"/>
      <c r="F21" s="142"/>
      <c r="G21" s="127" t="str">
        <f>IFERROR(VLOOKUP(F21,参数表!$H$2:$I$50,2,FALSE),"")</f>
        <v/>
      </c>
      <c r="H21" s="128" t="str">
        <f t="shared" si="6"/>
        <v/>
      </c>
      <c r="I21" s="128" t="str">
        <f t="shared" si="7"/>
        <v/>
      </c>
      <c r="J21" s="143"/>
      <c r="K21" s="143"/>
      <c r="L21" s="144"/>
      <c r="M21" s="144"/>
      <c r="N21" s="129" t="str">
        <f t="shared" si="8"/>
        <v/>
      </c>
      <c r="O21" s="129" t="str">
        <f t="shared" si="9"/>
        <v/>
      </c>
      <c r="P21" s="129" t="str">
        <f t="shared" si="0"/>
        <v/>
      </c>
      <c r="Q21" s="129" t="str">
        <f t="shared" si="1"/>
        <v/>
      </c>
      <c r="R21" s="129" t="str">
        <f t="shared" si="10"/>
        <v/>
      </c>
      <c r="S21" s="129" t="str">
        <f t="shared" si="11"/>
        <v/>
      </c>
      <c r="T21" s="145"/>
      <c r="BA21" s="133"/>
      <c r="BB21" s="132" t="s">
        <v>1948</v>
      </c>
      <c r="BC21" s="133"/>
      <c r="BD21" s="132" t="str">
        <f>IF(OR(B21="",BC21=""),"",COUNTIF(BC$7:BC21,"√"))</f>
        <v/>
      </c>
      <c r="BE21" s="134" t="str">
        <f t="shared" si="2"/>
        <v/>
      </c>
      <c r="BF21" s="126" t="str">
        <f t="shared" si="12"/>
        <v/>
      </c>
      <c r="BG21" s="126" t="str">
        <f t="shared" si="12"/>
        <v/>
      </c>
      <c r="BH21" s="141"/>
      <c r="BI21" s="141"/>
      <c r="BJ21" s="141"/>
      <c r="BK21" s="141"/>
      <c r="BL21" s="145"/>
      <c r="BM21" s="154">
        <f t="shared" si="3"/>
        <v>0</v>
      </c>
      <c r="BN21" s="286" t="str">
        <f t="shared" si="4"/>
        <v>已过期</v>
      </c>
      <c r="BO21" s="1301"/>
      <c r="BP21" s="345" t="str">
        <f>IF(COUNTIF(BP$6:BP20,E21)&gt;0,"",E21)</f>
        <v/>
      </c>
      <c r="BQ21" s="138">
        <f t="shared" si="13"/>
        <v>0</v>
      </c>
      <c r="BR21" s="132">
        <f t="shared" si="14"/>
        <v>1</v>
      </c>
      <c r="BS21" s="138">
        <f t="shared" si="15"/>
        <v>0</v>
      </c>
      <c r="BT21" s="132">
        <f t="shared" si="16"/>
        <v>1</v>
      </c>
      <c r="BU21" s="133"/>
      <c r="BV21" s="133"/>
      <c r="BW21" s="133"/>
      <c r="BX21" s="1301"/>
    </row>
    <row r="22" s="158" customFormat="1" ht="15" customHeight="1" spans="1:76">
      <c r="A22" s="123" t="str">
        <f>IF(B22="","",COUNT(A$6:A21)+1)</f>
        <v/>
      </c>
      <c r="B22" s="139"/>
      <c r="C22" s="140"/>
      <c r="D22" s="140"/>
      <c r="E22" s="1288"/>
      <c r="F22" s="142"/>
      <c r="G22" s="127" t="str">
        <f>IFERROR(VLOOKUP(F22,参数表!$H$2:$I$50,2,FALSE),"")</f>
        <v/>
      </c>
      <c r="H22" s="128" t="str">
        <f t="shared" si="6"/>
        <v/>
      </c>
      <c r="I22" s="128" t="str">
        <f t="shared" si="7"/>
        <v/>
      </c>
      <c r="J22" s="143"/>
      <c r="K22" s="143"/>
      <c r="L22" s="144"/>
      <c r="M22" s="144"/>
      <c r="N22" s="129" t="str">
        <f t="shared" si="8"/>
        <v/>
      </c>
      <c r="O22" s="129" t="str">
        <f t="shared" si="9"/>
        <v/>
      </c>
      <c r="P22" s="129" t="str">
        <f t="shared" si="0"/>
        <v/>
      </c>
      <c r="Q22" s="129" t="str">
        <f t="shared" si="1"/>
        <v/>
      </c>
      <c r="R22" s="129" t="str">
        <f t="shared" si="10"/>
        <v/>
      </c>
      <c r="S22" s="129" t="str">
        <f t="shared" si="11"/>
        <v/>
      </c>
      <c r="T22" s="145"/>
      <c r="BA22" s="133"/>
      <c r="BB22" s="132" t="s">
        <v>1949</v>
      </c>
      <c r="BC22" s="133"/>
      <c r="BD22" s="132" t="str">
        <f>IF(OR(B22="",BC22=""),"",COUNTIF(BC$7:BC22,"√"))</f>
        <v/>
      </c>
      <c r="BE22" s="134" t="str">
        <f t="shared" si="2"/>
        <v/>
      </c>
      <c r="BF22" s="126" t="str">
        <f t="shared" si="12"/>
        <v/>
      </c>
      <c r="BG22" s="126" t="str">
        <f t="shared" si="12"/>
        <v/>
      </c>
      <c r="BH22" s="141"/>
      <c r="BI22" s="141"/>
      <c r="BJ22" s="141"/>
      <c r="BK22" s="141"/>
      <c r="BL22" s="145"/>
      <c r="BM22" s="154">
        <f t="shared" si="3"/>
        <v>0</v>
      </c>
      <c r="BN22" s="286" t="str">
        <f t="shared" si="4"/>
        <v>已过期</v>
      </c>
      <c r="BO22" s="1301"/>
      <c r="BP22" s="345" t="str">
        <f>IF(COUNTIF(BP$6:BP21,E22)&gt;0,"",E22)</f>
        <v/>
      </c>
      <c r="BQ22" s="138">
        <f t="shared" si="13"/>
        <v>0</v>
      </c>
      <c r="BR22" s="132">
        <f t="shared" si="14"/>
        <v>1</v>
      </c>
      <c r="BS22" s="138">
        <f t="shared" si="15"/>
        <v>0</v>
      </c>
      <c r="BT22" s="132">
        <f t="shared" si="16"/>
        <v>1</v>
      </c>
      <c r="BU22" s="133"/>
      <c r="BV22" s="133"/>
      <c r="BW22" s="133"/>
      <c r="BX22" s="1301"/>
    </row>
    <row r="23" s="158" customFormat="1" ht="15" customHeight="1" spans="1:76">
      <c r="A23" s="123" t="str">
        <f>IF(B23="","",COUNT(A$6:A22)+1)</f>
        <v/>
      </c>
      <c r="B23" s="139"/>
      <c r="C23" s="140"/>
      <c r="D23" s="140"/>
      <c r="E23" s="1288"/>
      <c r="F23" s="142"/>
      <c r="G23" s="127" t="str">
        <f>IFERROR(VLOOKUP(F23,参数表!$H$2:$I$50,2,FALSE),"")</f>
        <v/>
      </c>
      <c r="H23" s="128" t="str">
        <f t="shared" si="6"/>
        <v/>
      </c>
      <c r="I23" s="128" t="str">
        <f t="shared" si="7"/>
        <v/>
      </c>
      <c r="J23" s="143"/>
      <c r="K23" s="143"/>
      <c r="L23" s="144"/>
      <c r="M23" s="144"/>
      <c r="N23" s="129" t="str">
        <f t="shared" si="8"/>
        <v/>
      </c>
      <c r="O23" s="129" t="str">
        <f t="shared" si="9"/>
        <v/>
      </c>
      <c r="P23" s="129" t="str">
        <f t="shared" si="0"/>
        <v/>
      </c>
      <c r="Q23" s="129" t="str">
        <f t="shared" si="1"/>
        <v/>
      </c>
      <c r="R23" s="129" t="str">
        <f t="shared" si="10"/>
        <v/>
      </c>
      <c r="S23" s="129" t="str">
        <f t="shared" si="11"/>
        <v/>
      </c>
      <c r="T23" s="145"/>
      <c r="BA23" s="133"/>
      <c r="BB23" s="132" t="s">
        <v>1950</v>
      </c>
      <c r="BC23" s="133"/>
      <c r="BD23" s="132" t="str">
        <f>IF(OR(B23="",BC23=""),"",COUNTIF(BC$7:BC23,"√"))</f>
        <v/>
      </c>
      <c r="BE23" s="134" t="str">
        <f t="shared" si="2"/>
        <v/>
      </c>
      <c r="BF23" s="126" t="str">
        <f t="shared" si="12"/>
        <v/>
      </c>
      <c r="BG23" s="126" t="str">
        <f t="shared" si="12"/>
        <v/>
      </c>
      <c r="BH23" s="141"/>
      <c r="BI23" s="141"/>
      <c r="BJ23" s="141"/>
      <c r="BK23" s="141"/>
      <c r="BL23" s="145"/>
      <c r="BM23" s="154">
        <f t="shared" si="3"/>
        <v>0</v>
      </c>
      <c r="BN23" s="286" t="str">
        <f t="shared" si="4"/>
        <v>已过期</v>
      </c>
      <c r="BO23" s="1301"/>
      <c r="BP23" s="345" t="str">
        <f>IF(COUNTIF(BP$6:BP22,E23)&gt;0,"",E23)</f>
        <v/>
      </c>
      <c r="BQ23" s="138">
        <f t="shared" si="13"/>
        <v>0</v>
      </c>
      <c r="BR23" s="132">
        <f t="shared" si="14"/>
        <v>1</v>
      </c>
      <c r="BS23" s="138">
        <f t="shared" si="15"/>
        <v>0</v>
      </c>
      <c r="BT23" s="132">
        <f t="shared" si="16"/>
        <v>1</v>
      </c>
      <c r="BU23" s="133"/>
      <c r="BV23" s="133"/>
      <c r="BW23" s="133"/>
      <c r="BX23" s="1301"/>
    </row>
    <row r="24" s="158" customFormat="1" ht="15" customHeight="1" spans="1:76">
      <c r="A24" s="123" t="str">
        <f>IF(B24="","",COUNT(A$6:A23)+1)</f>
        <v/>
      </c>
      <c r="B24" s="139"/>
      <c r="C24" s="140"/>
      <c r="D24" s="140"/>
      <c r="E24" s="1288"/>
      <c r="F24" s="142"/>
      <c r="G24" s="127" t="str">
        <f>IFERROR(VLOOKUP(F24,参数表!$H$2:$I$50,2,FALSE),"")</f>
        <v/>
      </c>
      <c r="H24" s="128" t="str">
        <f t="shared" si="6"/>
        <v/>
      </c>
      <c r="I24" s="128" t="str">
        <f t="shared" si="7"/>
        <v/>
      </c>
      <c r="J24" s="143"/>
      <c r="K24" s="143"/>
      <c r="L24" s="144"/>
      <c r="M24" s="144"/>
      <c r="N24" s="129" t="str">
        <f t="shared" si="8"/>
        <v/>
      </c>
      <c r="O24" s="129" t="str">
        <f t="shared" si="9"/>
        <v/>
      </c>
      <c r="P24" s="129" t="str">
        <f t="shared" si="0"/>
        <v/>
      </c>
      <c r="Q24" s="129" t="str">
        <f t="shared" si="1"/>
        <v/>
      </c>
      <c r="R24" s="129" t="str">
        <f t="shared" si="10"/>
        <v/>
      </c>
      <c r="S24" s="129" t="str">
        <f t="shared" si="11"/>
        <v/>
      </c>
      <c r="T24" s="145"/>
      <c r="BA24" s="133"/>
      <c r="BB24" s="132" t="s">
        <v>1951</v>
      </c>
      <c r="BC24" s="133"/>
      <c r="BD24" s="132" t="str">
        <f>IF(OR(B24="",BC24=""),"",COUNTIF(BC$7:BC24,"√"))</f>
        <v/>
      </c>
      <c r="BE24" s="134" t="str">
        <f t="shared" si="2"/>
        <v/>
      </c>
      <c r="BF24" s="126" t="str">
        <f t="shared" si="12"/>
        <v/>
      </c>
      <c r="BG24" s="126" t="str">
        <f t="shared" si="12"/>
        <v/>
      </c>
      <c r="BH24" s="141"/>
      <c r="BI24" s="141"/>
      <c r="BJ24" s="141"/>
      <c r="BK24" s="141"/>
      <c r="BL24" s="145"/>
      <c r="BM24" s="154">
        <f t="shared" si="3"/>
        <v>0</v>
      </c>
      <c r="BN24" s="286" t="str">
        <f t="shared" si="4"/>
        <v>已过期</v>
      </c>
      <c r="BO24" s="1301"/>
      <c r="BP24" s="345" t="str">
        <f>IF(COUNTIF(BP$6:BP23,E24)&gt;0,"",E24)</f>
        <v/>
      </c>
      <c r="BQ24" s="138">
        <f t="shared" si="13"/>
        <v>0</v>
      </c>
      <c r="BR24" s="132">
        <f t="shared" si="14"/>
        <v>1</v>
      </c>
      <c r="BS24" s="138">
        <f t="shared" si="15"/>
        <v>0</v>
      </c>
      <c r="BT24" s="132">
        <f t="shared" si="16"/>
        <v>1</v>
      </c>
      <c r="BU24" s="133"/>
      <c r="BV24" s="133"/>
      <c r="BW24" s="133"/>
      <c r="BX24" s="1301"/>
    </row>
    <row r="25" s="158" customFormat="1" ht="15" customHeight="1" spans="1:76">
      <c r="A25" s="123" t="str">
        <f>IF(B25="","",COUNT(A$6:A24)+1)</f>
        <v/>
      </c>
      <c r="B25" s="139"/>
      <c r="C25" s="140"/>
      <c r="D25" s="140"/>
      <c r="E25" s="1288"/>
      <c r="F25" s="142"/>
      <c r="G25" s="127" t="str">
        <f>IFERROR(VLOOKUP(F25,参数表!$H$2:$I$50,2,FALSE),"")</f>
        <v/>
      </c>
      <c r="H25" s="128" t="str">
        <f t="shared" si="6"/>
        <v/>
      </c>
      <c r="I25" s="128" t="str">
        <f t="shared" si="7"/>
        <v/>
      </c>
      <c r="J25" s="143"/>
      <c r="K25" s="143"/>
      <c r="L25" s="144"/>
      <c r="M25" s="144"/>
      <c r="N25" s="129" t="str">
        <f t="shared" si="8"/>
        <v/>
      </c>
      <c r="O25" s="129" t="str">
        <f t="shared" si="9"/>
        <v/>
      </c>
      <c r="P25" s="129" t="str">
        <f t="shared" si="0"/>
        <v/>
      </c>
      <c r="Q25" s="129" t="str">
        <f t="shared" si="1"/>
        <v/>
      </c>
      <c r="R25" s="129" t="str">
        <f t="shared" si="10"/>
        <v/>
      </c>
      <c r="S25" s="129" t="str">
        <f t="shared" si="11"/>
        <v/>
      </c>
      <c r="T25" s="145"/>
      <c r="BA25" s="133"/>
      <c r="BB25" s="132" t="s">
        <v>1952</v>
      </c>
      <c r="BC25" s="133"/>
      <c r="BD25" s="132" t="str">
        <f>IF(OR(B25="",BC25=""),"",COUNTIF(BC$7:BC25,"√"))</f>
        <v/>
      </c>
      <c r="BE25" s="134" t="str">
        <f t="shared" si="2"/>
        <v/>
      </c>
      <c r="BF25" s="126" t="str">
        <f t="shared" si="12"/>
        <v/>
      </c>
      <c r="BG25" s="126" t="str">
        <f t="shared" si="12"/>
        <v/>
      </c>
      <c r="BH25" s="141"/>
      <c r="BI25" s="141"/>
      <c r="BJ25" s="141"/>
      <c r="BK25" s="141"/>
      <c r="BL25" s="145"/>
      <c r="BM25" s="154">
        <f t="shared" si="3"/>
        <v>0</v>
      </c>
      <c r="BN25" s="286" t="str">
        <f t="shared" si="4"/>
        <v>已过期</v>
      </c>
      <c r="BO25" s="1301"/>
      <c r="BP25" s="345" t="str">
        <f>IF(COUNTIF(BP$6:BP24,E25)&gt;0,"",E25)</f>
        <v/>
      </c>
      <c r="BQ25" s="138">
        <f t="shared" si="13"/>
        <v>0</v>
      </c>
      <c r="BR25" s="132">
        <f t="shared" si="14"/>
        <v>1</v>
      </c>
      <c r="BS25" s="138">
        <f t="shared" si="15"/>
        <v>0</v>
      </c>
      <c r="BT25" s="132">
        <f t="shared" si="16"/>
        <v>1</v>
      </c>
      <c r="BU25" s="133"/>
      <c r="BV25" s="133"/>
      <c r="BW25" s="133"/>
      <c r="BX25" s="1301"/>
    </row>
    <row r="26" s="158" customFormat="1" ht="15" customHeight="1" spans="1:76">
      <c r="A26" s="123" t="str">
        <f>IF(B26="","",COUNT(A$6:A25)+1)</f>
        <v/>
      </c>
      <c r="B26" s="124"/>
      <c r="C26" s="125"/>
      <c r="D26" s="125"/>
      <c r="E26" s="1287"/>
      <c r="F26" s="127"/>
      <c r="G26" s="127" t="str">
        <f>IFERROR(VLOOKUP(F26,参数表!$H$2:$I$50,2,FALSE),"")</f>
        <v/>
      </c>
      <c r="H26" s="128" t="str">
        <f t="shared" si="6"/>
        <v/>
      </c>
      <c r="I26" s="128" t="str">
        <f t="shared" si="7"/>
        <v/>
      </c>
      <c r="J26" s="129"/>
      <c r="K26" s="129"/>
      <c r="L26" s="130"/>
      <c r="M26" s="130"/>
      <c r="N26" s="129" t="str">
        <f t="shared" si="8"/>
        <v/>
      </c>
      <c r="O26" s="129" t="str">
        <f t="shared" si="9"/>
        <v/>
      </c>
      <c r="P26" s="129" t="str">
        <f t="shared" si="0"/>
        <v/>
      </c>
      <c r="Q26" s="129" t="str">
        <f t="shared" si="1"/>
        <v/>
      </c>
      <c r="R26" s="129" t="str">
        <f t="shared" si="10"/>
        <v/>
      </c>
      <c r="S26" s="129" t="str">
        <f t="shared" si="11"/>
        <v/>
      </c>
      <c r="T26" s="131"/>
      <c r="BA26" s="133"/>
      <c r="BB26" s="132" t="s">
        <v>1953</v>
      </c>
      <c r="BC26" s="133"/>
      <c r="BD26" s="132" t="str">
        <f>IF(OR(B26="",BC26=""),"",COUNTIF(BC$7:BC26,"√"))</f>
        <v/>
      </c>
      <c r="BE26" s="134" t="str">
        <f t="shared" si="2"/>
        <v/>
      </c>
      <c r="BF26" s="126" t="str">
        <f t="shared" si="12"/>
        <v/>
      </c>
      <c r="BG26" s="126" t="str">
        <f t="shared" si="12"/>
        <v/>
      </c>
      <c r="BH26" s="141"/>
      <c r="BI26" s="141"/>
      <c r="BJ26" s="141"/>
      <c r="BK26" s="141"/>
      <c r="BL26" s="145"/>
      <c r="BM26" s="154">
        <f t="shared" si="3"/>
        <v>0</v>
      </c>
      <c r="BN26" s="286" t="str">
        <f t="shared" si="4"/>
        <v>已过期</v>
      </c>
      <c r="BO26" s="1301"/>
      <c r="BP26" s="345" t="str">
        <f>IF(COUNTIF(BP$6:BP25,E26)&gt;0,"",E26)</f>
        <v/>
      </c>
      <c r="BQ26" s="138">
        <f t="shared" si="13"/>
        <v>0</v>
      </c>
      <c r="BR26" s="132">
        <f t="shared" si="14"/>
        <v>1</v>
      </c>
      <c r="BS26" s="138">
        <f t="shared" si="15"/>
        <v>0</v>
      </c>
      <c r="BT26" s="132">
        <f t="shared" si="16"/>
        <v>1</v>
      </c>
      <c r="BU26" s="133"/>
      <c r="BV26" s="133"/>
      <c r="BW26" s="133"/>
      <c r="BX26" s="1301"/>
    </row>
    <row r="27" s="247" customFormat="1" ht="15" customHeight="1" spans="1:76">
      <c r="A27" s="149" t="s">
        <v>1954</v>
      </c>
      <c r="B27" s="149"/>
      <c r="C27" s="356"/>
      <c r="D27" s="356"/>
      <c r="E27" s="151"/>
      <c r="F27" s="151"/>
      <c r="G27" s="151"/>
      <c r="H27" s="151"/>
      <c r="I27" s="151"/>
      <c r="J27" s="152">
        <f>SUM(J7:J26)</f>
        <v>0</v>
      </c>
      <c r="K27" s="152">
        <f>SUM(K7:K26)</f>
        <v>0</v>
      </c>
      <c r="L27" s="153"/>
      <c r="M27" s="153"/>
      <c r="N27" s="152">
        <f>SUM(N7:N26)</f>
        <v>0</v>
      </c>
      <c r="O27" s="152">
        <f>SUM(O7:O26)</f>
        <v>0</v>
      </c>
      <c r="P27" s="152">
        <f>SUM(P7:P26)</f>
        <v>0</v>
      </c>
      <c r="Q27" s="152">
        <f>SUM(Q7:Q26)</f>
        <v>0</v>
      </c>
      <c r="R27" s="152">
        <f t="shared" si="10"/>
        <v>0</v>
      </c>
      <c r="S27" s="152" t="str">
        <f t="shared" si="11"/>
        <v/>
      </c>
      <c r="T27" s="151"/>
      <c r="BF27" s="268"/>
      <c r="BG27" s="268"/>
      <c r="BH27" s="268"/>
      <c r="BI27" s="268"/>
      <c r="BJ27" s="268"/>
      <c r="BK27" s="268"/>
      <c r="BO27" s="1303"/>
      <c r="BP27" s="194"/>
      <c r="BQ27" s="1301"/>
      <c r="BR27" s="1301"/>
      <c r="BS27" s="1301"/>
      <c r="BT27" s="194"/>
      <c r="BU27" s="194"/>
      <c r="BV27" s="194"/>
      <c r="BW27" s="194"/>
      <c r="BX27" s="1303"/>
    </row>
    <row r="28" s="158" customFormat="1" ht="15" customHeight="1" spans="1:76">
      <c r="A28" s="126" t="s">
        <v>1955</v>
      </c>
      <c r="B28" s="126"/>
      <c r="C28" s="125"/>
      <c r="D28" s="125"/>
      <c r="E28" s="131"/>
      <c r="F28" s="131"/>
      <c r="G28" s="131"/>
      <c r="H28" s="131"/>
      <c r="I28" s="131"/>
      <c r="J28" s="129">
        <f>K27</f>
        <v>0</v>
      </c>
      <c r="K28" s="129"/>
      <c r="L28" s="130"/>
      <c r="M28" s="130"/>
      <c r="N28" s="129">
        <f>O27</f>
        <v>0</v>
      </c>
      <c r="O28" s="129"/>
      <c r="P28" s="129">
        <v>0</v>
      </c>
      <c r="Q28" s="129"/>
      <c r="R28" s="129">
        <f t="shared" si="10"/>
        <v>0</v>
      </c>
      <c r="S28" s="129" t="str">
        <f t="shared" si="11"/>
        <v/>
      </c>
      <c r="T28" s="131"/>
      <c r="BF28" s="228"/>
      <c r="BG28" s="228"/>
      <c r="BH28" s="228"/>
      <c r="BI28" s="228"/>
      <c r="BJ28" s="228"/>
      <c r="BK28" s="228"/>
      <c r="BO28" s="1301"/>
      <c r="BP28" s="133"/>
      <c r="BQ28" s="1301"/>
      <c r="BR28" s="133"/>
      <c r="BS28" s="133"/>
      <c r="BT28" s="133"/>
      <c r="BU28" s="133"/>
      <c r="BV28" s="133"/>
      <c r="BW28" s="133"/>
      <c r="BX28" s="1301"/>
    </row>
    <row r="29" s="158" customFormat="1" ht="15" customHeight="1" spans="1:76">
      <c r="A29" s="126" t="s">
        <v>1956</v>
      </c>
      <c r="B29" s="126"/>
      <c r="C29" s="125"/>
      <c r="D29" s="125"/>
      <c r="E29" s="131"/>
      <c r="F29" s="131"/>
      <c r="G29" s="131"/>
      <c r="H29" s="131"/>
      <c r="I29" s="131"/>
      <c r="J29" s="129"/>
      <c r="K29" s="129"/>
      <c r="L29" s="130"/>
      <c r="M29" s="130"/>
      <c r="N29" s="129"/>
      <c r="O29" s="129"/>
      <c r="P29" s="129">
        <f>IF(BB$3="是",Q27,0)</f>
        <v>0</v>
      </c>
      <c r="Q29" s="129"/>
      <c r="R29" s="129">
        <f t="shared" si="10"/>
        <v>0</v>
      </c>
      <c r="S29" s="129" t="str">
        <f t="shared" si="11"/>
        <v/>
      </c>
      <c r="T29" s="131"/>
      <c r="BF29" s="228"/>
      <c r="BG29" s="228"/>
      <c r="BH29" s="228"/>
      <c r="BI29" s="228"/>
      <c r="BJ29" s="228"/>
      <c r="BK29" s="228"/>
      <c r="BO29" s="1301"/>
      <c r="BP29" s="133"/>
      <c r="BQ29" s="1301"/>
      <c r="BR29" s="133"/>
      <c r="BS29" s="133"/>
      <c r="BT29" s="133"/>
      <c r="BU29" s="133"/>
      <c r="BV29" s="133"/>
      <c r="BW29" s="133"/>
      <c r="BX29" s="1301"/>
    </row>
    <row r="30" s="247" customFormat="1" ht="15" customHeight="1" spans="1:76">
      <c r="A30" s="149" t="s">
        <v>1957</v>
      </c>
      <c r="B30" s="149"/>
      <c r="C30" s="356"/>
      <c r="D30" s="356"/>
      <c r="E30" s="151"/>
      <c r="F30" s="151"/>
      <c r="G30" s="151"/>
      <c r="H30" s="151"/>
      <c r="I30" s="151"/>
      <c r="J30" s="152">
        <f>J27-J28</f>
        <v>0</v>
      </c>
      <c r="K30" s="152"/>
      <c r="L30" s="153"/>
      <c r="M30" s="153"/>
      <c r="N30" s="152">
        <f>N27-N28</f>
        <v>0</v>
      </c>
      <c r="O30" s="152"/>
      <c r="P30" s="152">
        <f>P27-P29</f>
        <v>0</v>
      </c>
      <c r="Q30" s="152"/>
      <c r="R30" s="152">
        <f t="shared" si="10"/>
        <v>0</v>
      </c>
      <c r="S30" s="152" t="str">
        <f t="shared" si="11"/>
        <v/>
      </c>
      <c r="T30" s="151"/>
      <c r="BF30" s="268"/>
      <c r="BG30" s="268"/>
      <c r="BH30" s="268"/>
      <c r="BI30" s="268"/>
      <c r="BJ30" s="268"/>
      <c r="BK30" s="268"/>
      <c r="BO30" s="1301"/>
      <c r="BP30" s="133"/>
      <c r="BQ30" s="1301"/>
      <c r="BR30" s="133"/>
      <c r="BS30" s="133"/>
      <c r="BT30" s="133"/>
      <c r="BU30" s="133"/>
      <c r="BV30" s="133"/>
      <c r="BW30" s="133"/>
      <c r="BX30" s="1301"/>
    </row>
    <row r="31" customHeight="1" spans="1:76">
      <c r="A31" s="102" t="str">
        <f>参数表!F$6</f>
        <v>产权持有单位填表人：贾广东</v>
      </c>
      <c r="B31" s="154"/>
      <c r="C31" s="154"/>
      <c r="D31" s="154"/>
      <c r="E31" s="154"/>
      <c r="F31" s="154"/>
      <c r="G31" s="154"/>
      <c r="H31" s="154"/>
      <c r="I31" s="154"/>
      <c r="J31" s="1295"/>
      <c r="K31" s="1295"/>
      <c r="L31" s="1218"/>
      <c r="M31" s="1218"/>
      <c r="N31" s="1217"/>
      <c r="O31" s="1217"/>
      <c r="P31" s="103" t="str">
        <f>"评估人员："&amp;封面!$G$20</f>
        <v>评估人员：栗祥宁</v>
      </c>
      <c r="Q31" s="103"/>
      <c r="R31" s="1217"/>
      <c r="S31" s="1217"/>
      <c r="T31" s="103"/>
      <c r="BC31" s="75"/>
      <c r="BD31" s="75"/>
      <c r="BE31" s="75"/>
      <c r="BI31" s="165"/>
      <c r="BJ31" s="165"/>
      <c r="BK31" s="165"/>
    </row>
    <row r="32" customHeight="1" spans="1:76">
      <c r="A32" s="102" t="str">
        <f>参数表!F$7</f>
        <v>填表日期：2025年9月20日</v>
      </c>
      <c r="B32" s="154"/>
      <c r="C32" s="154"/>
      <c r="D32" s="154"/>
      <c r="E32" s="154"/>
      <c r="F32" s="154"/>
      <c r="G32" s="154"/>
      <c r="H32" s="154"/>
      <c r="I32" s="154"/>
      <c r="J32" s="1295"/>
      <c r="K32" s="1295"/>
      <c r="L32" s="1218"/>
      <c r="M32" s="1218"/>
      <c r="N32" s="1217"/>
      <c r="O32" s="1217"/>
      <c r="P32" s="1217"/>
      <c r="Q32" s="1217"/>
      <c r="R32" s="1217"/>
      <c r="S32" s="1217"/>
      <c r="T32" s="103"/>
      <c r="BC32" s="75"/>
      <c r="BD32" s="75"/>
      <c r="BE32" s="75"/>
      <c r="BI32" s="165"/>
      <c r="BJ32" s="165"/>
      <c r="BK32" s="165"/>
    </row>
    <row r="33" hidden="1" customHeight="1" outlineLevel="1" spans="1:63">
      <c r="A33" s="157"/>
      <c r="B33" s="154" t="s">
        <v>1673</v>
      </c>
      <c r="C33" s="158"/>
      <c r="D33" s="158"/>
      <c r="E33" s="158"/>
      <c r="F33" s="158"/>
      <c r="G33" s="158"/>
      <c r="H33" s="158"/>
      <c r="I33" s="158"/>
      <c r="J33" s="159">
        <f>SUMIF($BA7:$BA26,$BA33,J7:J26)</f>
        <v>0</v>
      </c>
      <c r="K33" s="159">
        <f>SUMIF($BA7:$BA26,$BA33,K7:K26)</f>
        <v>0</v>
      </c>
      <c r="L33" s="202"/>
      <c r="M33" s="202"/>
      <c r="N33" s="159">
        <f>SUMIF($BA7:$BA26,$BA33,N7:N26)</f>
        <v>0</v>
      </c>
      <c r="O33" s="159">
        <f>SUMIF($BA7:$BA26,$BA33,O7:O26)</f>
        <v>0</v>
      </c>
      <c r="P33" s="159">
        <f>SUMIF($BA7:$BA26,$BA33,P7:P26)</f>
        <v>0</v>
      </c>
      <c r="Q33" s="159">
        <f>SUMIF($BA7:$BA26,$BA33,Q7:Q26)</f>
        <v>0</v>
      </c>
      <c r="BA33" s="161" t="s">
        <v>1674</v>
      </c>
      <c r="BC33" s="75"/>
      <c r="BD33" s="75"/>
      <c r="BE33" s="75"/>
      <c r="BH33" s="95"/>
      <c r="BI33" s="95"/>
      <c r="BJ33" s="95" t="s">
        <v>1675</v>
      </c>
      <c r="BK33" s="95" t="s">
        <v>1675</v>
      </c>
    </row>
    <row r="34" hidden="1" customHeight="1" outlineLevel="1" spans="1:63">
      <c r="A34" s="157"/>
      <c r="B34" s="154" t="s">
        <v>1676</v>
      </c>
      <c r="C34" s="158"/>
      <c r="D34" s="158"/>
      <c r="E34" s="158"/>
      <c r="F34" s="158"/>
      <c r="G34" s="158"/>
      <c r="H34" s="158"/>
      <c r="I34" s="158"/>
      <c r="J34" s="159">
        <f>J27-J33</f>
        <v>0</v>
      </c>
      <c r="K34" s="159">
        <f>K27-K33</f>
        <v>0</v>
      </c>
      <c r="L34" s="202"/>
      <c r="M34" s="202"/>
      <c r="N34" s="159">
        <f>N27-N33</f>
        <v>0</v>
      </c>
      <c r="O34" s="159">
        <f>O27-O33</f>
        <v>0</v>
      </c>
      <c r="P34" s="159">
        <f>P27-P33</f>
        <v>0</v>
      </c>
      <c r="Q34" s="159">
        <f>Q27-Q33</f>
        <v>0</v>
      </c>
      <c r="BA34" s="161" t="s">
        <v>1677</v>
      </c>
      <c r="BC34" s="75"/>
      <c r="BD34" s="75"/>
      <c r="BE34" s="75"/>
      <c r="BH34" s="95"/>
      <c r="BI34" s="95"/>
      <c r="BJ34" s="95" t="s">
        <v>1678</v>
      </c>
      <c r="BK34" s="95" t="s">
        <v>1678</v>
      </c>
    </row>
    <row r="35" customHeight="1" collapsed="1" spans="1:63">
      <c r="A35" s="157"/>
      <c r="B35" s="158"/>
      <c r="C35" s="158"/>
      <c r="D35" s="158"/>
      <c r="E35" s="158"/>
      <c r="F35" s="158"/>
      <c r="G35" s="158"/>
      <c r="H35" s="158"/>
      <c r="I35" s="158"/>
      <c r="J35" s="257"/>
      <c r="K35" s="257"/>
      <c r="BC35" s="75"/>
      <c r="BD35" s="75"/>
      <c r="BE35" s="75"/>
      <c r="BI35" s="165"/>
      <c r="BJ35" s="165"/>
      <c r="BK35" s="165"/>
    </row>
    <row r="36" customHeight="1" spans="1:63">
      <c r="A36" s="157"/>
      <c r="B36" s="158"/>
      <c r="C36" s="158"/>
      <c r="D36" s="158"/>
      <c r="E36" s="158"/>
      <c r="F36" s="158"/>
      <c r="G36" s="158"/>
      <c r="H36" s="158"/>
      <c r="I36" s="158"/>
      <c r="J36" s="257"/>
      <c r="K36" s="257"/>
    </row>
    <row r="37" customHeight="1" spans="1:63">
      <c r="A37" s="157"/>
      <c r="B37" s="158"/>
      <c r="C37" s="158"/>
      <c r="D37" s="158"/>
      <c r="E37" s="158"/>
      <c r="F37" s="158"/>
      <c r="G37" s="158"/>
      <c r="H37" s="158"/>
      <c r="I37" s="158"/>
      <c r="J37" s="257"/>
      <c r="K37" s="257"/>
    </row>
    <row r="38" customHeight="1" spans="1:63">
      <c r="A38" s="157"/>
      <c r="B38" s="158"/>
      <c r="C38" s="158"/>
      <c r="D38" s="158"/>
      <c r="E38" s="158"/>
      <c r="F38" s="158"/>
      <c r="G38" s="158"/>
      <c r="H38" s="158"/>
      <c r="I38" s="158"/>
      <c r="J38" s="257"/>
      <c r="K38" s="257"/>
    </row>
    <row r="39" customHeight="1" spans="1:63">
      <c r="A39" s="157"/>
      <c r="B39" s="158"/>
      <c r="C39" s="158"/>
      <c r="D39" s="158"/>
      <c r="E39" s="158"/>
      <c r="F39" s="158"/>
      <c r="G39" s="158"/>
      <c r="H39" s="158"/>
      <c r="I39" s="158"/>
      <c r="J39" s="257"/>
      <c r="K39" s="257"/>
    </row>
  </sheetData>
  <sheetProtection autoFilter="0"/>
  <mergeCells count="9">
    <mergeCell ref="A2:T2"/>
    <mergeCell ref="A3:T3"/>
    <mergeCell ref="BU7:BX7"/>
    <mergeCell ref="BU8:BX8"/>
    <mergeCell ref="BV14:BX14"/>
    <mergeCell ref="A27:B27"/>
    <mergeCell ref="A28:B28"/>
    <mergeCell ref="A29:B29"/>
    <mergeCell ref="A30:B30"/>
  </mergeCells>
  <conditionalFormatting sqref="BM7:BM30">
    <cfRule type="cellIs" dxfId="1" priority="8" stopIfTrue="1" operator="greaterThan">
      <formula>6</formula>
    </cfRule>
  </conditionalFormatting>
  <conditionalFormatting sqref="BF7:BG26">
    <cfRule type="containsText" dxfId="6" priority="1" stopIfTrue="1" operator="between" text="出错">
      <formula>NOT(ISERROR(SEARCH("出错",BF7)))</formula>
    </cfRule>
  </conditionalFormatting>
  <conditionalFormatting sqref="BH7:BK26">
    <cfRule type="expression" dxfId="5" priority="5" stopIfTrue="1">
      <formula>AND($B7&lt;&gt;"",BH7="")</formula>
    </cfRule>
  </conditionalFormatting>
  <dataValidations count="4">
    <dataValidation type="list" allowBlank="1" showInputMessage="1" showErrorMessage="1" sqref="F7:F26">
      <formula1>OFFSET(参数表!$H$2:$H$50,,,COUNTA(参数表!$H$2:$H$50))</formula1>
    </dataValidation>
    <dataValidation type="list" allowBlank="1" showInputMessage="1" showErrorMessage="1" sqref="BA7:BA26 BA33:BA34">
      <formula1>"是,否"</formula1>
    </dataValidation>
    <dataValidation type="list" allowBlank="1" showInputMessage="1" showErrorMessage="1" sqref="BC7:BC26">
      <formula1>"  ,√"</formula1>
    </dataValidation>
    <dataValidation type="list" allowBlank="1" showInputMessage="1" showErrorMessage="1" sqref="BH7:BK26">
      <formula1>BH$33:BH$34</formula1>
    </dataValidation>
  </dataValidations>
  <hyperlinks>
    <hyperlink ref="A1" location="索引目录!D12" display="返回索引页"/>
    <hyperlink ref="B1" location="流动资产汇总表!B9"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BX40"/>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4.7" style="75" customWidth="1"/>
    <col min="3" max="4" width="8.7" style="75" customWidth="1"/>
    <col min="5" max="5" width="6.7" style="75" customWidth="1"/>
    <col min="6" max="6" width="6.1" style="165" customWidth="1"/>
    <col min="7" max="8" width="4.6" style="75" customWidth="1" outlineLevel="1"/>
    <col min="9" max="10" width="6.1" style="75" customWidth="1" outlineLevel="1"/>
    <col min="11" max="11" width="12.2" style="75" customWidth="1" outlineLevel="1"/>
    <col min="12" max="18" width="10.6" style="227" customWidth="1" outlineLevel="1"/>
    <col min="19" max="25" width="5.6" style="227" customWidth="1" outlineLevel="1"/>
    <col min="26" max="27" width="8.7" style="227" customWidth="1" outlineLevel="1"/>
    <col min="28" max="28" width="8.7" style="75" customWidth="1" outlineLevel="1"/>
    <col min="29" max="30" width="8.6" style="1267" customWidth="1" outlineLevel="1"/>
    <col min="31" max="31" width="14.6" style="75" customWidth="1"/>
    <col min="32" max="32" width="8.7" style="75" customWidth="1"/>
    <col min="33" max="33" width="14.6" style="75" customWidth="1"/>
    <col min="34" max="35" width="8.7" style="75" customWidth="1"/>
    <col min="36" max="36" width="5.3" style="75" customWidth="1"/>
    <col min="37" max="37" width="8.6" style="75" customWidth="1"/>
    <col min="38" max="52" width="9" style="75" hidden="1" customWidth="1" outlineLevel="1"/>
    <col min="53" max="53" width="14.7" style="75" customWidth="1" collapsed="1"/>
    <col min="54" max="54" width="6.7" style="75" customWidth="1"/>
    <col min="55" max="56" width="5.1" style="165" customWidth="1"/>
    <col min="57" max="57" width="8.7" style="165" customWidth="1"/>
    <col min="58" max="59" width="9.6" style="75" customWidth="1"/>
    <col min="60" max="62" width="5" style="75" customWidth="1"/>
    <col min="63" max="63" width="5.1" style="75" customWidth="1"/>
    <col min="64" max="64" width="6.7" style="75" customWidth="1"/>
    <col min="65" max="65" width="10.3" style="75" customWidth="1"/>
    <col min="66" max="66" width="8.7" style="75" customWidth="1"/>
    <col min="67" max="67" width="7.1" style="75" customWidth="1"/>
    <col min="68" max="68" width="1.6" style="77" customWidth="1"/>
    <col min="69" max="69" width="10.6" style="78" customWidth="1"/>
    <col min="70" max="70" width="10.6" style="77" customWidth="1"/>
    <col min="71" max="71" width="4.6" style="78" customWidth="1"/>
    <col min="72" max="72" width="10.6" style="78" customWidth="1"/>
    <col min="73" max="74" width="4.6" style="78" customWidth="1"/>
    <col min="75" max="75" width="10.6" style="78" customWidth="1"/>
    <col min="76" max="76" width="5" style="77" customWidth="1"/>
    <col min="77" max="16384" width="9" style="75"/>
  </cols>
  <sheetData>
    <row r="1" s="86" customFormat="1" ht="13.8" spans="1:76">
      <c r="A1" s="203" t="s">
        <v>1591</v>
      </c>
      <c r="B1" s="204" t="s">
        <v>1958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BA1" s="84" t="str">
        <f>参数表!BA1</f>
        <v>注意：补充特殊事项、作价等均从BA列开始填写</v>
      </c>
      <c r="BB1" s="85"/>
      <c r="BC1" s="82"/>
      <c r="BD1" s="82"/>
      <c r="BE1" s="82"/>
      <c r="BP1" s="87"/>
      <c r="BQ1" s="88"/>
      <c r="BR1" s="87"/>
      <c r="BS1" s="88"/>
      <c r="BT1" s="88"/>
      <c r="BU1" s="88"/>
      <c r="BV1" s="88"/>
      <c r="BW1" s="88"/>
      <c r="BX1" s="87"/>
    </row>
    <row r="2" s="71" customFormat="1" ht="30" customHeight="1" spans="1:76">
      <c r="A2" s="89" t="s">
        <v>1959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BA2" s="90" t="str">
        <f>参数表!BA2</f>
        <v>评估基准日：</v>
      </c>
      <c r="BB2" s="91" t="str">
        <f>参数表!BB2</f>
        <v>2025年7月31日</v>
      </c>
      <c r="BC2" s="171"/>
      <c r="BD2" s="171"/>
      <c r="BE2" s="171"/>
      <c r="BP2" s="92"/>
      <c r="BQ2" s="93"/>
      <c r="BR2" s="92"/>
      <c r="BS2" s="93"/>
      <c r="BT2" s="93"/>
      <c r="BU2" s="93"/>
      <c r="BV2" s="93"/>
      <c r="BW2" s="93"/>
      <c r="BX2" s="92"/>
    </row>
    <row r="3" ht="15" customHeight="1" spans="1:76">
      <c r="A3" s="94" t="str">
        <f>参数表!F5</f>
        <v>评估基准日：2025年7月31日</v>
      </c>
      <c r="B3" s="94"/>
      <c r="C3" s="94"/>
      <c r="D3" s="94"/>
      <c r="E3" s="94"/>
      <c r="F3" s="94"/>
      <c r="G3" s="94"/>
      <c r="H3" s="94"/>
      <c r="I3" s="94"/>
      <c r="J3" s="94"/>
      <c r="K3" s="94"/>
      <c r="L3" s="94"/>
      <c r="M3" s="94"/>
      <c r="N3" s="94"/>
      <c r="O3" s="95"/>
      <c r="P3" s="95"/>
      <c r="Q3" s="95"/>
      <c r="R3" s="95"/>
      <c r="S3" s="95"/>
      <c r="T3" s="95"/>
      <c r="U3" s="95"/>
      <c r="V3" s="95"/>
      <c r="W3" s="95"/>
      <c r="X3" s="95"/>
      <c r="Y3" s="95"/>
      <c r="Z3" s="95"/>
      <c r="AA3" s="95"/>
      <c r="AB3" s="95"/>
      <c r="AC3" s="95"/>
      <c r="AD3" s="95"/>
      <c r="AE3" s="95"/>
      <c r="AF3" s="95"/>
      <c r="AG3" s="95"/>
      <c r="AH3" s="95"/>
      <c r="AI3" s="95"/>
      <c r="AJ3" s="95"/>
      <c r="AK3" s="95"/>
      <c r="BA3" s="90" t="str">
        <f>参数表!BA3</f>
        <v>是否显示评估值：</v>
      </c>
      <c r="BB3" s="90" t="str">
        <f>参数表!BB3</f>
        <v>是</v>
      </c>
      <c r="BP3" s="92"/>
      <c r="BQ3" s="93"/>
      <c r="BR3" s="92"/>
      <c r="BS3" s="93"/>
      <c r="BT3" s="93"/>
      <c r="BU3" s="93"/>
      <c r="BV3" s="93"/>
      <c r="BW3" s="93"/>
      <c r="BX3" s="92"/>
    </row>
    <row r="4" ht="15" customHeight="1" spans="1:76">
      <c r="A4" s="96"/>
      <c r="B4" s="94"/>
      <c r="C4" s="94"/>
      <c r="D4" s="94"/>
      <c r="E4" s="94"/>
      <c r="F4" s="94"/>
      <c r="G4" s="94"/>
      <c r="H4" s="94"/>
      <c r="I4" s="94"/>
      <c r="J4" s="94"/>
      <c r="K4" s="94"/>
      <c r="L4" s="94"/>
      <c r="M4" s="94"/>
      <c r="N4" s="94"/>
      <c r="O4" s="95"/>
      <c r="P4" s="95"/>
      <c r="Q4" s="98"/>
      <c r="R4" s="95"/>
      <c r="S4" s="95"/>
      <c r="T4" s="95"/>
      <c r="U4" s="95"/>
      <c r="V4" s="95"/>
      <c r="W4" s="95"/>
      <c r="X4" s="95"/>
      <c r="Y4" s="95"/>
      <c r="Z4" s="95"/>
      <c r="AA4" s="95"/>
      <c r="AB4" s="95"/>
      <c r="AC4" s="95"/>
      <c r="AD4" s="95"/>
      <c r="AE4" s="95"/>
      <c r="AF4" s="95"/>
      <c r="AG4" s="95"/>
      <c r="AH4" s="95"/>
      <c r="AI4" s="95"/>
      <c r="AJ4" s="95"/>
      <c r="AK4" s="98" t="str">
        <f>"表"&amp;$BA4</f>
        <v>表3-6</v>
      </c>
      <c r="BA4" s="95" t="str">
        <f>流动资总!A12</f>
        <v>3-6</v>
      </c>
      <c r="BB4" s="100">
        <f>MAX(COUNTA(A8:A27),COUNTA(B8:B27),COUNTA(K8:K27),COUNTA(AE8:AE27))</f>
        <v>20</v>
      </c>
      <c r="BC4" s="101">
        <f>ROW(A7)+1</f>
        <v>8</v>
      </c>
      <c r="BD4" s="77"/>
      <c r="BE4" s="77"/>
      <c r="BR4" s="78"/>
    </row>
    <row r="5" ht="15" customHeight="1" spans="1:76">
      <c r="A5" s="102" t="str">
        <f>参数表!F3</f>
        <v>产权持有单位:中煤第五建设有限公司</v>
      </c>
      <c r="B5" s="103"/>
      <c r="C5" s="103"/>
      <c r="D5" s="103"/>
      <c r="E5" s="103"/>
      <c r="F5" s="95"/>
      <c r="G5" s="103"/>
      <c r="H5" s="103"/>
      <c r="I5" s="103"/>
      <c r="J5" s="103"/>
      <c r="K5" s="103"/>
      <c r="L5" s="1217"/>
      <c r="M5" s="1217"/>
      <c r="N5" s="1217"/>
      <c r="O5" s="1217"/>
      <c r="P5" s="1217"/>
      <c r="Q5" s="1217"/>
      <c r="R5" s="1217"/>
      <c r="S5" s="1268"/>
      <c r="T5" s="1268"/>
      <c r="U5" s="1268"/>
      <c r="V5" s="1268"/>
      <c r="W5" s="1268"/>
      <c r="X5" s="1268"/>
      <c r="Y5" s="1268"/>
      <c r="Z5" s="1268"/>
      <c r="AA5" s="1268"/>
      <c r="AB5" s="1299"/>
      <c r="AC5" s="1300"/>
      <c r="AD5" s="1300"/>
      <c r="AE5" s="983"/>
      <c r="AF5" s="983"/>
      <c r="AG5" s="103"/>
      <c r="AH5" s="103"/>
      <c r="AI5" s="103"/>
      <c r="AJ5" s="103"/>
      <c r="AK5" s="98" t="s">
        <v>236</v>
      </c>
      <c r="BA5" s="103"/>
      <c r="BB5" s="105" t="str">
        <f ca="1">判断表!C20</f>
        <v>中煤第五建设有限公司第三工程处拟处置实物资产项目\[0000-3基础法明细表.xlsx]应收账款</v>
      </c>
      <c r="BC5" s="106">
        <f>IFERROR(SUMIF(BC8:BC27,"√",AE8:AE27)/AE28,0)</f>
        <v>0</v>
      </c>
      <c r="BD5" s="107"/>
      <c r="BE5" s="107"/>
      <c r="BF5" s="284">
        <f>分类汇总!I13</f>
        <v>0</v>
      </c>
      <c r="BG5" s="284">
        <f>分类汇总!K13</f>
        <v>0</v>
      </c>
      <c r="BH5" s="165"/>
      <c r="BI5" s="165"/>
      <c r="BJ5" s="165"/>
      <c r="BK5" s="165"/>
      <c r="BL5" s="165"/>
      <c r="BM5" s="165"/>
      <c r="BR5" s="78"/>
    </row>
    <row r="6" s="72" customFormat="1" ht="15.6" customHeight="1" spans="1:76">
      <c r="A6" s="112" t="s">
        <v>305</v>
      </c>
      <c r="B6" s="113" t="s">
        <v>1960</v>
      </c>
      <c r="C6" s="113" t="s">
        <v>1898</v>
      </c>
      <c r="D6" s="113" t="s">
        <v>1961</v>
      </c>
      <c r="E6" s="113" t="s">
        <v>1962</v>
      </c>
      <c r="F6" s="118" t="s">
        <v>1963</v>
      </c>
      <c r="G6" s="511" t="s">
        <v>1964</v>
      </c>
      <c r="H6" s="575"/>
      <c r="I6" s="575"/>
      <c r="J6" s="576"/>
      <c r="K6" s="113" t="s">
        <v>1965</v>
      </c>
      <c r="L6" s="113"/>
      <c r="M6" s="113"/>
      <c r="N6" s="113"/>
      <c r="O6" s="113"/>
      <c r="P6" s="113"/>
      <c r="Q6" s="113"/>
      <c r="R6" s="113"/>
      <c r="S6" s="1270" t="s">
        <v>1966</v>
      </c>
      <c r="T6" s="1270"/>
      <c r="U6" s="1270"/>
      <c r="V6" s="1270"/>
      <c r="W6" s="1270"/>
      <c r="X6" s="1270"/>
      <c r="Y6" s="1270"/>
      <c r="Z6" s="1270" t="s">
        <v>1967</v>
      </c>
      <c r="AA6" s="1270"/>
      <c r="AB6" s="1270"/>
      <c r="AC6" s="1271" t="s">
        <v>1634</v>
      </c>
      <c r="AD6" s="1271"/>
      <c r="AE6" s="1220" t="s">
        <v>1567</v>
      </c>
      <c r="AF6" s="1220" t="s">
        <v>1926</v>
      </c>
      <c r="AG6" s="113" t="s">
        <v>1550</v>
      </c>
      <c r="AH6" s="908" t="s">
        <v>1929</v>
      </c>
      <c r="AI6" s="113" t="s">
        <v>1525</v>
      </c>
      <c r="AJ6" s="118" t="s">
        <v>1551</v>
      </c>
      <c r="AK6" s="113" t="s">
        <v>308</v>
      </c>
      <c r="BA6" s="191"/>
      <c r="BB6" s="100"/>
      <c r="BC6" s="100"/>
      <c r="BD6" s="100"/>
      <c r="BE6" s="100"/>
      <c r="BF6" s="192" t="s">
        <v>1639</v>
      </c>
      <c r="BG6" s="192" t="s">
        <v>1640</v>
      </c>
      <c r="BH6" s="113" t="s">
        <v>1748</v>
      </c>
      <c r="BI6" s="113" t="s">
        <v>1749</v>
      </c>
      <c r="BJ6" s="118" t="s">
        <v>1750</v>
      </c>
      <c r="BK6" s="118" t="s">
        <v>1686</v>
      </c>
      <c r="BL6" s="193" t="s">
        <v>1687</v>
      </c>
      <c r="BM6" s="193" t="s">
        <v>1688</v>
      </c>
      <c r="BN6" s="113" t="s">
        <v>1644</v>
      </c>
      <c r="BO6" s="682" t="s">
        <v>467</v>
      </c>
      <c r="BP6" s="111"/>
      <c r="BQ6" s="78"/>
      <c r="BR6" s="78"/>
      <c r="BS6" s="78"/>
      <c r="BT6" s="78"/>
      <c r="BU6" s="78"/>
      <c r="BV6" s="194"/>
      <c r="BW6" s="194"/>
      <c r="BX6" s="111"/>
    </row>
    <row r="7" s="72" customFormat="1" ht="13.2" spans="1:76">
      <c r="A7" s="112"/>
      <c r="B7" s="113"/>
      <c r="C7" s="113"/>
      <c r="D7" s="113"/>
      <c r="E7" s="113"/>
      <c r="F7" s="118"/>
      <c r="G7" s="519" t="s">
        <v>1968</v>
      </c>
      <c r="H7" s="519" t="s">
        <v>1969</v>
      </c>
      <c r="I7" s="519" t="s">
        <v>1970</v>
      </c>
      <c r="J7" s="519" t="s">
        <v>1971</v>
      </c>
      <c r="K7" s="113" t="s">
        <v>1549</v>
      </c>
      <c r="L7" s="222" t="s">
        <v>1972</v>
      </c>
      <c r="M7" s="222" t="s">
        <v>1973</v>
      </c>
      <c r="N7" s="222" t="s">
        <v>1974</v>
      </c>
      <c r="O7" s="222" t="s">
        <v>1975</v>
      </c>
      <c r="P7" s="222" t="s">
        <v>1976</v>
      </c>
      <c r="Q7" s="222" t="s">
        <v>1977</v>
      </c>
      <c r="R7" s="222" t="s">
        <v>1978</v>
      </c>
      <c r="S7" s="222" t="s">
        <v>1979</v>
      </c>
      <c r="T7" s="222" t="s">
        <v>1980</v>
      </c>
      <c r="U7" s="222" t="s">
        <v>1981</v>
      </c>
      <c r="V7" s="222" t="s">
        <v>1982</v>
      </c>
      <c r="W7" s="222" t="s">
        <v>1983</v>
      </c>
      <c r="X7" s="222" t="s">
        <v>1984</v>
      </c>
      <c r="Y7" s="222" t="s">
        <v>1985</v>
      </c>
      <c r="Z7" s="1270" t="s">
        <v>1986</v>
      </c>
      <c r="AA7" s="1270" t="s">
        <v>1987</v>
      </c>
      <c r="AB7" s="1272" t="s">
        <v>1988</v>
      </c>
      <c r="AC7" s="1271" t="s">
        <v>1989</v>
      </c>
      <c r="AD7" s="1271" t="s">
        <v>1990</v>
      </c>
      <c r="AE7" s="1223"/>
      <c r="AF7" s="1223"/>
      <c r="AG7" s="113"/>
      <c r="AH7" s="911"/>
      <c r="AI7" s="113"/>
      <c r="AJ7" s="118"/>
      <c r="AK7" s="113"/>
      <c r="BA7" s="100" t="s">
        <v>1545</v>
      </c>
      <c r="BB7" s="100" t="s">
        <v>1635</v>
      </c>
      <c r="BC7" s="100" t="s">
        <v>1636</v>
      </c>
      <c r="BD7" s="100" t="s">
        <v>1637</v>
      </c>
      <c r="BE7" s="100" t="s">
        <v>1638</v>
      </c>
      <c r="BF7" s="197"/>
      <c r="BG7" s="197"/>
      <c r="BH7" s="113"/>
      <c r="BI7" s="113"/>
      <c r="BJ7" s="118"/>
      <c r="BK7" s="118"/>
      <c r="BL7" s="198"/>
      <c r="BM7" s="198"/>
      <c r="BN7" s="113"/>
      <c r="BO7" s="682"/>
      <c r="BP7" s="119"/>
      <c r="BQ7" s="120" t="s">
        <v>1645</v>
      </c>
      <c r="BR7" s="121" t="s">
        <v>1646</v>
      </c>
      <c r="BS7" s="121" t="s">
        <v>1647</v>
      </c>
      <c r="BT7" s="121" t="s">
        <v>1648</v>
      </c>
      <c r="BU7" s="121" t="s">
        <v>1647</v>
      </c>
      <c r="BV7" s="121" t="s">
        <v>1647</v>
      </c>
      <c r="BW7" s="121" t="s">
        <v>1649</v>
      </c>
      <c r="BX7" s="122" t="s">
        <v>1650</v>
      </c>
    </row>
    <row r="8" ht="15" customHeight="1" spans="1:76">
      <c r="A8" s="123" t="str">
        <f>IF(B8="","",COUNT(A$7:A7)+1)</f>
        <v/>
      </c>
      <c r="B8" s="124"/>
      <c r="C8" s="126"/>
      <c r="D8" s="125"/>
      <c r="E8" s="126" t="str">
        <f t="shared" ref="E8:E27" si="0">IF(OR(AE8=0,AE8=""),"",IF(BO8&gt;=5,"5年以上",IF(BO8&gt;=4,"4-5年",IF(BO8&gt;=3,"3-4年",IF(BO8&gt;=2,"2-3年",IF(BO8&gt;=1,"1-2年","1年以内"))))))</f>
        <v/>
      </c>
      <c r="F8" s="126"/>
      <c r="G8" s="127"/>
      <c r="H8" s="127" t="str">
        <f>IFERROR(VLOOKUP(G8,参数表!$H$2:$I$50,2,FALSE),"")</f>
        <v/>
      </c>
      <c r="I8" s="128" t="str">
        <f>IFERROR(IF(OR(G8="人民币",G8=""),"",AE8/H8),"")</f>
        <v/>
      </c>
      <c r="J8" s="128" t="str">
        <f>IFERROR(IF(OR(G8="人民币",G8=""),"",AF8/H8),"")</f>
        <v/>
      </c>
      <c r="K8" s="129" t="str">
        <f>IF(B8="","",SUM(L8:R8))</f>
        <v/>
      </c>
      <c r="L8" s="129"/>
      <c r="M8" s="129"/>
      <c r="N8" s="129"/>
      <c r="O8" s="129"/>
      <c r="P8" s="129"/>
      <c r="Q8" s="129"/>
      <c r="R8" s="129"/>
      <c r="S8" s="1224"/>
      <c r="T8" s="1224"/>
      <c r="U8" s="1224"/>
      <c r="V8" s="1224"/>
      <c r="W8" s="1224"/>
      <c r="X8" s="1224"/>
      <c r="Y8" s="1224"/>
      <c r="Z8" s="129" t="str">
        <f>IF(B8="","",IF(F8="是",0,L8*S8+M8*T8+N8*U8+O8*V8+P8*W8+Q8*X8+R8*Y8))</f>
        <v/>
      </c>
      <c r="AA8" s="129"/>
      <c r="AB8" s="129" t="str">
        <f>IFERROR(Z8+AA8,"")</f>
        <v/>
      </c>
      <c r="AC8" s="1273"/>
      <c r="AD8" s="1273"/>
      <c r="AE8" s="129" t="str">
        <f>IFERROR(K8+AC8,"")</f>
        <v/>
      </c>
      <c r="AF8" s="129" t="str">
        <f>IFERROR(AB8+AD8,"")</f>
        <v/>
      </c>
      <c r="AG8" s="129" t="str">
        <f t="shared" ref="AG8:AG27" si="1">IF(B8="","",IF($BB$3="是",AE8,""))</f>
        <v/>
      </c>
      <c r="AH8" s="129" t="str">
        <f t="shared" ref="AH8:AH27" si="2">IF(B8="","",IF($BB$3="是",AF8,""))</f>
        <v/>
      </c>
      <c r="AI8" s="129" t="str">
        <f>IFERROR((AG8-AH8)-(AE8-AF8),"")</f>
        <v/>
      </c>
      <c r="AJ8" s="129" t="str">
        <f>IFERROR(AI8/(AE8-AF8)*100,"")</f>
        <v/>
      </c>
      <c r="AK8" s="131"/>
      <c r="BA8" s="78"/>
      <c r="BB8" s="132" t="s">
        <v>1991</v>
      </c>
      <c r="BC8" s="133"/>
      <c r="BD8" s="132" t="str">
        <f>IF(OR(B8="",BC8=""),"",COUNTIF(BC$8:BC8,"√"))</f>
        <v/>
      </c>
      <c r="BE8" s="134" t="str">
        <f t="shared" ref="BE8:BE27" si="3">IF(BC8="","",BB8&amp;"︱"&amp;B8&amp;"︱"&amp;TEXT(K8,"#,##0.00"))</f>
        <v/>
      </c>
      <c r="BF8" s="135" t="str">
        <f>IF($B8="","",IF(BF$5=0,"OK","出错"))</f>
        <v/>
      </c>
      <c r="BG8" s="135" t="str">
        <f>IF($B8="","",IF(BG$5=0,"OK","出错"))</f>
        <v/>
      </c>
      <c r="BH8" s="136"/>
      <c r="BI8" s="136"/>
      <c r="BJ8" s="136"/>
      <c r="BK8" s="136"/>
      <c r="BL8" s="136"/>
      <c r="BM8" s="137"/>
      <c r="BN8" s="137"/>
      <c r="BO8" s="156">
        <f t="shared" ref="BO8:BO27" si="4">(BB$2-D8)/365</f>
        <v>125.668493150685</v>
      </c>
      <c r="BQ8" s="134" t="str">
        <f>IF(COUNTIF(BQ$7:BQ7,C8)&gt;0,"",C8)&amp;""</f>
        <v/>
      </c>
      <c r="BR8" s="138">
        <f t="shared" ref="BR8:BR27" si="5">SUMIF(C$8:C$27,BQ8,AE$8:AE$27)</f>
        <v>0</v>
      </c>
      <c r="BS8" s="132">
        <f t="shared" ref="BS8" si="6">RANK(BR8,BR$8:BR$27)</f>
        <v>1</v>
      </c>
      <c r="BT8" s="138">
        <f t="shared" ref="BT8:BT27" si="7">SUMIF(C$8:C$27,BQ8,AG$8:AG$27)</f>
        <v>0</v>
      </c>
      <c r="BU8" s="132">
        <f>RANK(BT8,BT$8:BT$27)</f>
        <v>1</v>
      </c>
      <c r="BV8" s="138">
        <f>SUM(BR8:BR27)</f>
        <v>0</v>
      </c>
      <c r="BW8" s="138"/>
      <c r="BX8" s="138"/>
    </row>
    <row r="9" ht="15" customHeight="1" spans="1:76">
      <c r="A9" s="123" t="str">
        <f>IF(B9="","",COUNT(A$7:A8)+1)</f>
        <v/>
      </c>
      <c r="B9" s="139"/>
      <c r="C9" s="141"/>
      <c r="D9" s="140"/>
      <c r="E9" s="126" t="str">
        <f t="shared" si="0"/>
        <v/>
      </c>
      <c r="F9" s="141"/>
      <c r="G9" s="142"/>
      <c r="H9" s="127" t="str">
        <f>IFERROR(VLOOKUP(G9,参数表!$H$2:$I$50,2,FALSE),"")</f>
        <v/>
      </c>
      <c r="I9" s="128" t="str">
        <f t="shared" ref="I9:I27" si="8">IFERROR(IF(OR(G9="人民币",G9=""),"",AE9/H9),"")</f>
        <v/>
      </c>
      <c r="J9" s="128" t="str">
        <f t="shared" ref="J9:J27" si="9">IFERROR(IF(OR(G9="人民币",G9=""),"",AF9/H9),"")</f>
        <v/>
      </c>
      <c r="K9" s="129" t="str">
        <f t="shared" ref="K9:K27" si="10">IF(B9="","",SUM(L9:R9))</f>
        <v/>
      </c>
      <c r="L9" s="1274"/>
      <c r="M9" s="1274"/>
      <c r="N9" s="1274"/>
      <c r="O9" s="1274"/>
      <c r="P9" s="1274"/>
      <c r="Q9" s="1274"/>
      <c r="R9" s="1274"/>
      <c r="S9" s="1275"/>
      <c r="T9" s="1275"/>
      <c r="U9" s="1275"/>
      <c r="V9" s="1275"/>
      <c r="W9" s="1275"/>
      <c r="X9" s="1275"/>
      <c r="Y9" s="1275"/>
      <c r="Z9" s="129" t="str">
        <f t="shared" ref="Z9:Z27" si="11">IF(B9="","",IF(F9="是",0,L9*S9+M9*T9+N9*U9+O9*V9+P9*W9+Q9*X9+R9*Y9))</f>
        <v/>
      </c>
      <c r="AA9" s="1274"/>
      <c r="AB9" s="129" t="str">
        <f t="shared" ref="AB9:AB27" si="12">IFERROR(Z9+AA9,"")</f>
        <v/>
      </c>
      <c r="AC9" s="1276"/>
      <c r="AD9" s="1276"/>
      <c r="AE9" s="129" t="str">
        <f t="shared" ref="AE9:AE27" si="13">IFERROR(K9+AC9,"")</f>
        <v/>
      </c>
      <c r="AF9" s="129" t="str">
        <f t="shared" ref="AF9:AF27" si="14">IFERROR(AB9+AD9,"")</f>
        <v/>
      </c>
      <c r="AG9" s="129" t="str">
        <f t="shared" si="1"/>
        <v/>
      </c>
      <c r="AH9" s="129" t="str">
        <f t="shared" si="2"/>
        <v/>
      </c>
      <c r="AI9" s="129" t="str">
        <f t="shared" ref="AI9:AI31" si="15">IFERROR((AG9-AH9)-(AE9-AF9),"")</f>
        <v/>
      </c>
      <c r="AJ9" s="129" t="str">
        <f t="shared" ref="AJ9:AJ31" si="16">IFERROR(AI9/(AE9-AF9)*100,"")</f>
        <v/>
      </c>
      <c r="AK9" s="145"/>
      <c r="BA9" s="78"/>
      <c r="BB9" s="132" t="s">
        <v>1992</v>
      </c>
      <c r="BC9" s="133"/>
      <c r="BD9" s="132" t="str">
        <f>IF(OR(B9="",BC9=""),"",COUNTIF(BC$8:BC9,"√"))</f>
        <v/>
      </c>
      <c r="BE9" s="134" t="str">
        <f t="shared" si="3"/>
        <v/>
      </c>
      <c r="BF9" s="135" t="str">
        <f t="shared" ref="BF9:BG27" si="17">IF($B9="","",IF(BF$5=0,"OK","出错"))</f>
        <v/>
      </c>
      <c r="BG9" s="135" t="str">
        <f t="shared" si="17"/>
        <v/>
      </c>
      <c r="BH9" s="136"/>
      <c r="BI9" s="136"/>
      <c r="BJ9" s="136"/>
      <c r="BK9" s="136"/>
      <c r="BL9" s="136"/>
      <c r="BM9" s="137"/>
      <c r="BN9" s="137"/>
      <c r="BO9" s="156">
        <f t="shared" si="4"/>
        <v>125.668493150685</v>
      </c>
      <c r="BQ9" s="134" t="str">
        <f>IF(COUNTIF(BQ$7:BQ8,C9)&gt;0,"",C9)&amp;""</f>
        <v/>
      </c>
      <c r="BR9" s="138">
        <f t="shared" si="5"/>
        <v>0</v>
      </c>
      <c r="BS9" s="132">
        <f t="shared" ref="BS9:BS27" si="18">RANK(BR9,BR$8:BR$27)</f>
        <v>1</v>
      </c>
      <c r="BT9" s="138">
        <f t="shared" si="7"/>
        <v>0</v>
      </c>
      <c r="BU9" s="132">
        <f t="shared" ref="BU9:BU27" si="19">RANK(BT9,BT$8:BT$27)</f>
        <v>1</v>
      </c>
      <c r="BV9" s="138">
        <f>SUM(BT8:BT27)</f>
        <v>0</v>
      </c>
      <c r="BW9" s="138"/>
      <c r="BX9" s="138"/>
    </row>
    <row r="10" ht="15" customHeight="1" spans="1:76">
      <c r="A10" s="123" t="str">
        <f>IF(B10="","",COUNT(A$7:A9)+1)</f>
        <v/>
      </c>
      <c r="B10" s="139"/>
      <c r="C10" s="141"/>
      <c r="D10" s="140"/>
      <c r="E10" s="126" t="str">
        <f t="shared" si="0"/>
        <v/>
      </c>
      <c r="F10" s="141"/>
      <c r="G10" s="142"/>
      <c r="H10" s="127" t="str">
        <f>IFERROR(VLOOKUP(G10,参数表!$H$2:$I$50,2,FALSE),"")</f>
        <v/>
      </c>
      <c r="I10" s="128" t="str">
        <f t="shared" si="8"/>
        <v/>
      </c>
      <c r="J10" s="128" t="str">
        <f t="shared" si="9"/>
        <v/>
      </c>
      <c r="K10" s="129" t="str">
        <f t="shared" si="10"/>
        <v/>
      </c>
      <c r="L10" s="1274"/>
      <c r="M10" s="1274"/>
      <c r="N10" s="1274"/>
      <c r="O10" s="1274"/>
      <c r="P10" s="1274"/>
      <c r="Q10" s="1274"/>
      <c r="R10" s="1274"/>
      <c r="S10" s="1275"/>
      <c r="T10" s="1275"/>
      <c r="U10" s="1275"/>
      <c r="V10" s="1275"/>
      <c r="W10" s="1275"/>
      <c r="X10" s="1275"/>
      <c r="Y10" s="1275"/>
      <c r="Z10" s="129" t="str">
        <f t="shared" si="11"/>
        <v/>
      </c>
      <c r="AA10" s="1274"/>
      <c r="AB10" s="129" t="str">
        <f t="shared" si="12"/>
        <v/>
      </c>
      <c r="AC10" s="1276"/>
      <c r="AD10" s="1276"/>
      <c r="AE10" s="129" t="str">
        <f t="shared" si="13"/>
        <v/>
      </c>
      <c r="AF10" s="129" t="str">
        <f t="shared" si="14"/>
        <v/>
      </c>
      <c r="AG10" s="129" t="str">
        <f t="shared" si="1"/>
        <v/>
      </c>
      <c r="AH10" s="129" t="str">
        <f t="shared" si="2"/>
        <v/>
      </c>
      <c r="AI10" s="129" t="str">
        <f t="shared" si="15"/>
        <v/>
      </c>
      <c r="AJ10" s="129" t="str">
        <f t="shared" si="16"/>
        <v/>
      </c>
      <c r="AK10" s="145"/>
      <c r="BA10" s="78"/>
      <c r="BB10" s="132" t="s">
        <v>1993</v>
      </c>
      <c r="BC10" s="133"/>
      <c r="BD10" s="132" t="str">
        <f>IF(OR(B10="",BC10=""),"",COUNTIF(BC$8:BC10,"√"))</f>
        <v/>
      </c>
      <c r="BE10" s="134" t="str">
        <f t="shared" si="3"/>
        <v/>
      </c>
      <c r="BF10" s="135" t="str">
        <f t="shared" si="17"/>
        <v/>
      </c>
      <c r="BG10" s="135" t="str">
        <f t="shared" si="17"/>
        <v/>
      </c>
      <c r="BH10" s="136"/>
      <c r="BI10" s="136"/>
      <c r="BJ10" s="136"/>
      <c r="BK10" s="136"/>
      <c r="BL10" s="136"/>
      <c r="BM10" s="137"/>
      <c r="BN10" s="137"/>
      <c r="BO10" s="156">
        <f t="shared" si="4"/>
        <v>125.668493150685</v>
      </c>
      <c r="BQ10" s="134" t="str">
        <f>IF(COUNTIF(BQ$7:BQ9,C10)&gt;0,"",C10)&amp;""</f>
        <v/>
      </c>
      <c r="BR10" s="138">
        <f t="shared" si="5"/>
        <v>0</v>
      </c>
      <c r="BS10" s="132">
        <f t="shared" si="18"/>
        <v>1</v>
      </c>
      <c r="BT10" s="138">
        <f t="shared" si="7"/>
        <v>0</v>
      </c>
      <c r="BU10" s="132">
        <f t="shared" si="19"/>
        <v>1</v>
      </c>
      <c r="BV10" s="132">
        <v>1</v>
      </c>
      <c r="BW10" s="134" t="str">
        <f>IFERROR(INDEX(BQ$8:BQ$27,MATCH(BV10,IF(BV$8=0,BU$8:BU$27,BS$8:BS$27),0))&amp;"","")</f>
        <v/>
      </c>
      <c r="BX10" s="146" t="str">
        <f>IF(BW11="","",IF(BW12="","和","、"))</f>
        <v/>
      </c>
    </row>
    <row r="11" ht="15" customHeight="1" spans="1:76">
      <c r="A11" s="123" t="str">
        <f>IF(B11="","",COUNT(A$7:A10)+1)</f>
        <v/>
      </c>
      <c r="B11" s="139"/>
      <c r="C11" s="141"/>
      <c r="D11" s="140"/>
      <c r="E11" s="126" t="str">
        <f t="shared" si="0"/>
        <v/>
      </c>
      <c r="F11" s="141"/>
      <c r="G11" s="142"/>
      <c r="H11" s="127" t="str">
        <f>IFERROR(VLOOKUP(G11,参数表!$H$2:$I$50,2,FALSE),"")</f>
        <v/>
      </c>
      <c r="I11" s="128" t="str">
        <f t="shared" si="8"/>
        <v/>
      </c>
      <c r="J11" s="128" t="str">
        <f t="shared" si="9"/>
        <v/>
      </c>
      <c r="K11" s="129" t="str">
        <f t="shared" si="10"/>
        <v/>
      </c>
      <c r="L11" s="1274"/>
      <c r="M11" s="1274"/>
      <c r="N11" s="1274"/>
      <c r="O11" s="1274"/>
      <c r="P11" s="1274"/>
      <c r="Q11" s="1274"/>
      <c r="R11" s="1274"/>
      <c r="S11" s="1275"/>
      <c r="T11" s="1275"/>
      <c r="U11" s="1275"/>
      <c r="V11" s="1275"/>
      <c r="W11" s="1275"/>
      <c r="X11" s="1275"/>
      <c r="Y11" s="1275"/>
      <c r="Z11" s="129" t="str">
        <f t="shared" si="11"/>
        <v/>
      </c>
      <c r="AA11" s="1274"/>
      <c r="AB11" s="129" t="str">
        <f t="shared" si="12"/>
        <v/>
      </c>
      <c r="AC11" s="1276"/>
      <c r="AD11" s="1276"/>
      <c r="AE11" s="129" t="str">
        <f t="shared" si="13"/>
        <v/>
      </c>
      <c r="AF11" s="129" t="str">
        <f t="shared" si="14"/>
        <v/>
      </c>
      <c r="AG11" s="129" t="str">
        <f t="shared" si="1"/>
        <v/>
      </c>
      <c r="AH11" s="129" t="str">
        <f t="shared" si="2"/>
        <v/>
      </c>
      <c r="AI11" s="129" t="str">
        <f t="shared" si="15"/>
        <v/>
      </c>
      <c r="AJ11" s="129" t="str">
        <f t="shared" si="16"/>
        <v/>
      </c>
      <c r="AK11" s="145"/>
      <c r="BA11" s="78"/>
      <c r="BB11" s="132" t="s">
        <v>1994</v>
      </c>
      <c r="BC11" s="133"/>
      <c r="BD11" s="132" t="str">
        <f>IF(OR(B11="",BC11=""),"",COUNTIF(BC$8:BC11,"√"))</f>
        <v/>
      </c>
      <c r="BE11" s="134" t="str">
        <f t="shared" si="3"/>
        <v/>
      </c>
      <c r="BF11" s="135" t="str">
        <f t="shared" si="17"/>
        <v/>
      </c>
      <c r="BG11" s="135" t="str">
        <f t="shared" si="17"/>
        <v/>
      </c>
      <c r="BH11" s="136"/>
      <c r="BI11" s="136"/>
      <c r="BJ11" s="136"/>
      <c r="BK11" s="136"/>
      <c r="BL11" s="136"/>
      <c r="BM11" s="137"/>
      <c r="BN11" s="137"/>
      <c r="BO11" s="156">
        <f t="shared" si="4"/>
        <v>125.668493150685</v>
      </c>
      <c r="BQ11" s="134" t="str">
        <f>IF(COUNTIF(BQ$7:BQ10,C11)&gt;0,"",C11)&amp;""</f>
        <v/>
      </c>
      <c r="BR11" s="138">
        <f t="shared" si="5"/>
        <v>0</v>
      </c>
      <c r="BS11" s="132">
        <f t="shared" si="18"/>
        <v>1</v>
      </c>
      <c r="BT11" s="138">
        <f t="shared" si="7"/>
        <v>0</v>
      </c>
      <c r="BU11" s="132">
        <f t="shared" si="19"/>
        <v>1</v>
      </c>
      <c r="BV11" s="132">
        <v>2</v>
      </c>
      <c r="BW11" s="134" t="str">
        <f t="shared" ref="BW11:BW14" si="20">IFERROR(INDEX(BQ$8:BQ$27,MATCH(BV11,IF(BV$8=0,BU$8:BU$27,BS$8:BS$27),0))&amp;"","")</f>
        <v/>
      </c>
      <c r="BX11" s="146" t="str">
        <f t="shared" ref="BX11:BX12" si="21">IF(BW12="","",IF(BW13="","和","、"))</f>
        <v/>
      </c>
    </row>
    <row r="12" ht="15" customHeight="1" spans="1:76">
      <c r="A12" s="123" t="str">
        <f>IF(B12="","",COUNT(A$7:A11)+1)</f>
        <v/>
      </c>
      <c r="B12" s="139"/>
      <c r="C12" s="141"/>
      <c r="D12" s="140"/>
      <c r="E12" s="126" t="str">
        <f t="shared" si="0"/>
        <v/>
      </c>
      <c r="F12" s="141"/>
      <c r="G12" s="142"/>
      <c r="H12" s="127" t="str">
        <f>IFERROR(VLOOKUP(G12,参数表!$H$2:$I$50,2,FALSE),"")</f>
        <v/>
      </c>
      <c r="I12" s="128" t="str">
        <f t="shared" si="8"/>
        <v/>
      </c>
      <c r="J12" s="128" t="str">
        <f t="shared" si="9"/>
        <v/>
      </c>
      <c r="K12" s="129" t="str">
        <f t="shared" si="10"/>
        <v/>
      </c>
      <c r="L12" s="1274"/>
      <c r="M12" s="1274"/>
      <c r="N12" s="1274"/>
      <c r="O12" s="1274"/>
      <c r="P12" s="1274"/>
      <c r="Q12" s="1274"/>
      <c r="R12" s="1274"/>
      <c r="S12" s="1275"/>
      <c r="T12" s="1275"/>
      <c r="U12" s="1275"/>
      <c r="V12" s="1275"/>
      <c r="W12" s="1275"/>
      <c r="X12" s="1275"/>
      <c r="Y12" s="1275"/>
      <c r="Z12" s="129" t="str">
        <f t="shared" si="11"/>
        <v/>
      </c>
      <c r="AA12" s="1274"/>
      <c r="AB12" s="129" t="str">
        <f t="shared" si="12"/>
        <v/>
      </c>
      <c r="AC12" s="1276"/>
      <c r="AD12" s="1276"/>
      <c r="AE12" s="129" t="str">
        <f t="shared" si="13"/>
        <v/>
      </c>
      <c r="AF12" s="129" t="str">
        <f t="shared" si="14"/>
        <v/>
      </c>
      <c r="AG12" s="129" t="str">
        <f t="shared" si="1"/>
        <v/>
      </c>
      <c r="AH12" s="129" t="str">
        <f t="shared" si="2"/>
        <v/>
      </c>
      <c r="AI12" s="129" t="str">
        <f t="shared" si="15"/>
        <v/>
      </c>
      <c r="AJ12" s="129" t="str">
        <f t="shared" si="16"/>
        <v/>
      </c>
      <c r="AK12" s="145"/>
      <c r="BA12" s="78"/>
      <c r="BB12" s="132" t="s">
        <v>1995</v>
      </c>
      <c r="BC12" s="133"/>
      <c r="BD12" s="132" t="str">
        <f>IF(OR(B12="",BC12=""),"",COUNTIF(BC$8:BC12,"√"))</f>
        <v/>
      </c>
      <c r="BE12" s="134" t="str">
        <f t="shared" si="3"/>
        <v/>
      </c>
      <c r="BF12" s="135" t="str">
        <f t="shared" si="17"/>
        <v/>
      </c>
      <c r="BG12" s="135" t="str">
        <f t="shared" si="17"/>
        <v/>
      </c>
      <c r="BH12" s="136"/>
      <c r="BI12" s="136"/>
      <c r="BJ12" s="136"/>
      <c r="BK12" s="136"/>
      <c r="BL12" s="136"/>
      <c r="BM12" s="137"/>
      <c r="BN12" s="137"/>
      <c r="BO12" s="156">
        <f t="shared" si="4"/>
        <v>125.668493150685</v>
      </c>
      <c r="BQ12" s="134" t="str">
        <f>IF(COUNTIF(BQ$7:BQ11,C12)&gt;0,"",C12)&amp;""</f>
        <v/>
      </c>
      <c r="BR12" s="138">
        <f t="shared" si="5"/>
        <v>0</v>
      </c>
      <c r="BS12" s="132">
        <f t="shared" si="18"/>
        <v>1</v>
      </c>
      <c r="BT12" s="138">
        <f t="shared" si="7"/>
        <v>0</v>
      </c>
      <c r="BU12" s="132">
        <f t="shared" si="19"/>
        <v>1</v>
      </c>
      <c r="BV12" s="132">
        <v>3</v>
      </c>
      <c r="BW12" s="134" t="str">
        <f t="shared" si="20"/>
        <v/>
      </c>
      <c r="BX12" s="146" t="str">
        <f t="shared" si="21"/>
        <v/>
      </c>
    </row>
    <row r="13" ht="15" customHeight="1" spans="1:76">
      <c r="A13" s="123" t="str">
        <f>IF(B13="","",COUNT(A$7:A12)+1)</f>
        <v/>
      </c>
      <c r="B13" s="139"/>
      <c r="C13" s="141"/>
      <c r="D13" s="140"/>
      <c r="E13" s="126" t="str">
        <f t="shared" si="0"/>
        <v/>
      </c>
      <c r="F13" s="141"/>
      <c r="G13" s="142"/>
      <c r="H13" s="127" t="str">
        <f>IFERROR(VLOOKUP(G13,参数表!$H$2:$I$50,2,FALSE),"")</f>
        <v/>
      </c>
      <c r="I13" s="128" t="str">
        <f t="shared" si="8"/>
        <v/>
      </c>
      <c r="J13" s="128" t="str">
        <f t="shared" si="9"/>
        <v/>
      </c>
      <c r="K13" s="129" t="str">
        <f t="shared" si="10"/>
        <v/>
      </c>
      <c r="L13" s="1274"/>
      <c r="M13" s="1274"/>
      <c r="N13" s="1274"/>
      <c r="O13" s="1274"/>
      <c r="P13" s="1274"/>
      <c r="Q13" s="1274"/>
      <c r="R13" s="1274"/>
      <c r="S13" s="1275"/>
      <c r="T13" s="1275"/>
      <c r="U13" s="1275"/>
      <c r="V13" s="1275"/>
      <c r="W13" s="1275"/>
      <c r="X13" s="1275"/>
      <c r="Y13" s="1275"/>
      <c r="Z13" s="129" t="str">
        <f t="shared" si="11"/>
        <v/>
      </c>
      <c r="AA13" s="1274"/>
      <c r="AB13" s="129" t="str">
        <f t="shared" si="12"/>
        <v/>
      </c>
      <c r="AC13" s="1276"/>
      <c r="AD13" s="1276"/>
      <c r="AE13" s="129" t="str">
        <f t="shared" si="13"/>
        <v/>
      </c>
      <c r="AF13" s="129" t="str">
        <f t="shared" si="14"/>
        <v/>
      </c>
      <c r="AG13" s="129" t="str">
        <f t="shared" si="1"/>
        <v/>
      </c>
      <c r="AH13" s="129" t="str">
        <f t="shared" si="2"/>
        <v/>
      </c>
      <c r="AI13" s="129" t="str">
        <f t="shared" si="15"/>
        <v/>
      </c>
      <c r="AJ13" s="129" t="str">
        <f t="shared" si="16"/>
        <v/>
      </c>
      <c r="AK13" s="145"/>
      <c r="BA13" s="78"/>
      <c r="BB13" s="132" t="s">
        <v>1996</v>
      </c>
      <c r="BC13" s="133"/>
      <c r="BD13" s="132" t="str">
        <f>IF(OR(B13="",BC13=""),"",COUNTIF(BC$8:BC13,"√"))</f>
        <v/>
      </c>
      <c r="BE13" s="134" t="str">
        <f t="shared" si="3"/>
        <v/>
      </c>
      <c r="BF13" s="135" t="str">
        <f t="shared" si="17"/>
        <v/>
      </c>
      <c r="BG13" s="135" t="str">
        <f t="shared" si="17"/>
        <v/>
      </c>
      <c r="BH13" s="136"/>
      <c r="BI13" s="136"/>
      <c r="BJ13" s="136"/>
      <c r="BK13" s="136"/>
      <c r="BL13" s="136"/>
      <c r="BM13" s="137"/>
      <c r="BN13" s="137"/>
      <c r="BO13" s="156">
        <f t="shared" si="4"/>
        <v>125.668493150685</v>
      </c>
      <c r="BQ13" s="134" t="str">
        <f>IF(COUNTIF(BQ$7:BQ12,C13)&gt;0,"",C13)&amp;""</f>
        <v/>
      </c>
      <c r="BR13" s="138">
        <f t="shared" si="5"/>
        <v>0</v>
      </c>
      <c r="BS13" s="132">
        <f t="shared" si="18"/>
        <v>1</v>
      </c>
      <c r="BT13" s="138">
        <f t="shared" si="7"/>
        <v>0</v>
      </c>
      <c r="BU13" s="132">
        <f t="shared" si="19"/>
        <v>1</v>
      </c>
      <c r="BV13" s="132">
        <v>4</v>
      </c>
      <c r="BW13" s="134" t="str">
        <f t="shared" si="20"/>
        <v/>
      </c>
      <c r="BX13" s="146" t="str">
        <f>IF(BW14="","","和")</f>
        <v/>
      </c>
    </row>
    <row r="14" ht="15" customHeight="1" spans="1:76">
      <c r="A14" s="123" t="str">
        <f>IF(B14="","",COUNT(A$7:A13)+1)</f>
        <v/>
      </c>
      <c r="B14" s="139"/>
      <c r="C14" s="141"/>
      <c r="D14" s="140"/>
      <c r="E14" s="126" t="str">
        <f t="shared" si="0"/>
        <v/>
      </c>
      <c r="F14" s="141"/>
      <c r="G14" s="142"/>
      <c r="H14" s="127" t="str">
        <f>IFERROR(VLOOKUP(G14,参数表!$H$2:$I$50,2,FALSE),"")</f>
        <v/>
      </c>
      <c r="I14" s="128" t="str">
        <f t="shared" si="8"/>
        <v/>
      </c>
      <c r="J14" s="128" t="str">
        <f t="shared" si="9"/>
        <v/>
      </c>
      <c r="K14" s="129" t="str">
        <f t="shared" si="10"/>
        <v/>
      </c>
      <c r="L14" s="1274"/>
      <c r="M14" s="1274"/>
      <c r="N14" s="1274"/>
      <c r="O14" s="1274"/>
      <c r="P14" s="1274"/>
      <c r="Q14" s="1274"/>
      <c r="R14" s="1274"/>
      <c r="S14" s="1275"/>
      <c r="T14" s="1275"/>
      <c r="U14" s="1275"/>
      <c r="V14" s="1275"/>
      <c r="W14" s="1275"/>
      <c r="X14" s="1275"/>
      <c r="Y14" s="1275"/>
      <c r="Z14" s="129" t="str">
        <f t="shared" si="11"/>
        <v/>
      </c>
      <c r="AA14" s="1274"/>
      <c r="AB14" s="129" t="str">
        <f t="shared" si="12"/>
        <v/>
      </c>
      <c r="AC14" s="1276"/>
      <c r="AD14" s="1276"/>
      <c r="AE14" s="129" t="str">
        <f t="shared" si="13"/>
        <v/>
      </c>
      <c r="AF14" s="129" t="str">
        <f t="shared" si="14"/>
        <v/>
      </c>
      <c r="AG14" s="129" t="str">
        <f t="shared" si="1"/>
        <v/>
      </c>
      <c r="AH14" s="129" t="str">
        <f t="shared" si="2"/>
        <v/>
      </c>
      <c r="AI14" s="129" t="str">
        <f t="shared" si="15"/>
        <v/>
      </c>
      <c r="AJ14" s="129" t="str">
        <f t="shared" si="16"/>
        <v/>
      </c>
      <c r="AK14" s="145"/>
      <c r="BA14" s="78"/>
      <c r="BB14" s="132" t="s">
        <v>1997</v>
      </c>
      <c r="BC14" s="133"/>
      <c r="BD14" s="132" t="str">
        <f>IF(OR(B14="",BC14=""),"",COUNTIF(BC$8:BC14,"√"))</f>
        <v/>
      </c>
      <c r="BE14" s="134" t="str">
        <f t="shared" si="3"/>
        <v/>
      </c>
      <c r="BF14" s="135" t="str">
        <f t="shared" si="17"/>
        <v/>
      </c>
      <c r="BG14" s="135" t="str">
        <f t="shared" si="17"/>
        <v/>
      </c>
      <c r="BH14" s="136"/>
      <c r="BI14" s="136"/>
      <c r="BJ14" s="136"/>
      <c r="BK14" s="136"/>
      <c r="BL14" s="136"/>
      <c r="BM14" s="137"/>
      <c r="BN14" s="137"/>
      <c r="BO14" s="156">
        <f t="shared" si="4"/>
        <v>125.668493150685</v>
      </c>
      <c r="BQ14" s="134" t="str">
        <f>IF(COUNTIF(BQ$7:BQ13,C14)&gt;0,"",C14)&amp;""</f>
        <v/>
      </c>
      <c r="BR14" s="138">
        <f t="shared" si="5"/>
        <v>0</v>
      </c>
      <c r="BS14" s="132">
        <f t="shared" si="18"/>
        <v>1</v>
      </c>
      <c r="BT14" s="138">
        <f t="shared" si="7"/>
        <v>0</v>
      </c>
      <c r="BU14" s="132">
        <f t="shared" si="19"/>
        <v>1</v>
      </c>
      <c r="BV14" s="132">
        <v>5</v>
      </c>
      <c r="BW14" s="134" t="str">
        <f t="shared" si="20"/>
        <v/>
      </c>
      <c r="BX14" s="146"/>
    </row>
    <row r="15" ht="15" customHeight="1" spans="1:76">
      <c r="A15" s="123" t="str">
        <f>IF(B15="","",COUNT(A$7:A14)+1)</f>
        <v/>
      </c>
      <c r="B15" s="139"/>
      <c r="C15" s="141"/>
      <c r="D15" s="140"/>
      <c r="E15" s="126" t="str">
        <f t="shared" si="0"/>
        <v/>
      </c>
      <c r="F15" s="141"/>
      <c r="G15" s="142"/>
      <c r="H15" s="127" t="str">
        <f>IFERROR(VLOOKUP(G15,参数表!$H$2:$I$50,2,FALSE),"")</f>
        <v/>
      </c>
      <c r="I15" s="128" t="str">
        <f t="shared" si="8"/>
        <v/>
      </c>
      <c r="J15" s="128" t="str">
        <f t="shared" si="9"/>
        <v/>
      </c>
      <c r="K15" s="129" t="str">
        <f t="shared" si="10"/>
        <v/>
      </c>
      <c r="L15" s="1274"/>
      <c r="M15" s="1274"/>
      <c r="N15" s="1274"/>
      <c r="O15" s="1274"/>
      <c r="P15" s="1274"/>
      <c r="Q15" s="1274"/>
      <c r="R15" s="1274"/>
      <c r="S15" s="1275"/>
      <c r="T15" s="1275"/>
      <c r="U15" s="1275"/>
      <c r="V15" s="1275"/>
      <c r="W15" s="1275"/>
      <c r="X15" s="1275"/>
      <c r="Y15" s="1275"/>
      <c r="Z15" s="129" t="str">
        <f t="shared" si="11"/>
        <v/>
      </c>
      <c r="AA15" s="1274"/>
      <c r="AB15" s="129" t="str">
        <f t="shared" si="12"/>
        <v/>
      </c>
      <c r="AC15" s="1276"/>
      <c r="AD15" s="1276"/>
      <c r="AE15" s="129" t="str">
        <f t="shared" si="13"/>
        <v/>
      </c>
      <c r="AF15" s="129" t="str">
        <f t="shared" si="14"/>
        <v/>
      </c>
      <c r="AG15" s="129" t="str">
        <f t="shared" si="1"/>
        <v/>
      </c>
      <c r="AH15" s="129" t="str">
        <f t="shared" si="2"/>
        <v/>
      </c>
      <c r="AI15" s="129" t="str">
        <f t="shared" si="15"/>
        <v/>
      </c>
      <c r="AJ15" s="129" t="str">
        <f t="shared" si="16"/>
        <v/>
      </c>
      <c r="AK15" s="145"/>
      <c r="BA15" s="78"/>
      <c r="BB15" s="132" t="s">
        <v>1998</v>
      </c>
      <c r="BC15" s="133"/>
      <c r="BD15" s="132" t="str">
        <f>IF(OR(B15="",BC15=""),"",COUNTIF(BC$8:BC15,"√"))</f>
        <v/>
      </c>
      <c r="BE15" s="134" t="str">
        <f t="shared" si="3"/>
        <v/>
      </c>
      <c r="BF15" s="135" t="str">
        <f t="shared" si="17"/>
        <v/>
      </c>
      <c r="BG15" s="135" t="str">
        <f t="shared" si="17"/>
        <v/>
      </c>
      <c r="BH15" s="136"/>
      <c r="BI15" s="136"/>
      <c r="BJ15" s="136"/>
      <c r="BK15" s="136"/>
      <c r="BL15" s="136"/>
      <c r="BM15" s="137"/>
      <c r="BN15" s="137"/>
      <c r="BO15" s="156">
        <f t="shared" si="4"/>
        <v>125.668493150685</v>
      </c>
      <c r="BQ15" s="134" t="str">
        <f>IF(COUNTIF(BQ$7:BQ14,C15)&gt;0,"",C15)&amp;""</f>
        <v/>
      </c>
      <c r="BR15" s="138">
        <f t="shared" si="5"/>
        <v>0</v>
      </c>
      <c r="BS15" s="132">
        <f t="shared" si="18"/>
        <v>1</v>
      </c>
      <c r="BT15" s="138">
        <f t="shared" si="7"/>
        <v>0</v>
      </c>
      <c r="BU15" s="132">
        <f t="shared" si="19"/>
        <v>1</v>
      </c>
      <c r="BV15" s="147" t="s">
        <v>1659</v>
      </c>
      <c r="BW15" s="132" t="str">
        <f>CONCATENATE(BW10,BX10,BW11,BX11,BW12,BX12,BW13,BX13,BW14)</f>
        <v/>
      </c>
      <c r="BX15" s="132"/>
    </row>
    <row r="16" ht="15" customHeight="1" spans="1:76">
      <c r="A16" s="123" t="str">
        <f>IF(B16="","",COUNT(A$7:A15)+1)</f>
        <v/>
      </c>
      <c r="B16" s="139"/>
      <c r="C16" s="141"/>
      <c r="D16" s="140"/>
      <c r="E16" s="126" t="str">
        <f t="shared" si="0"/>
        <v/>
      </c>
      <c r="F16" s="141"/>
      <c r="G16" s="142"/>
      <c r="H16" s="127" t="str">
        <f>IFERROR(VLOOKUP(G16,参数表!$H$2:$I$50,2,FALSE),"")</f>
        <v/>
      </c>
      <c r="I16" s="128" t="str">
        <f t="shared" si="8"/>
        <v/>
      </c>
      <c r="J16" s="128" t="str">
        <f t="shared" si="9"/>
        <v/>
      </c>
      <c r="K16" s="129" t="str">
        <f t="shared" si="10"/>
        <v/>
      </c>
      <c r="L16" s="1274"/>
      <c r="M16" s="1274"/>
      <c r="N16" s="1274"/>
      <c r="O16" s="1274"/>
      <c r="P16" s="1274"/>
      <c r="Q16" s="1274"/>
      <c r="R16" s="1274"/>
      <c r="S16" s="1275"/>
      <c r="T16" s="1275"/>
      <c r="U16" s="1275"/>
      <c r="V16" s="1275"/>
      <c r="W16" s="1275"/>
      <c r="X16" s="1275"/>
      <c r="Y16" s="1275"/>
      <c r="Z16" s="129" t="str">
        <f t="shared" si="11"/>
        <v/>
      </c>
      <c r="AA16" s="1274"/>
      <c r="AB16" s="129" t="str">
        <f t="shared" si="12"/>
        <v/>
      </c>
      <c r="AC16" s="1276"/>
      <c r="AD16" s="1276"/>
      <c r="AE16" s="129" t="str">
        <f t="shared" si="13"/>
        <v/>
      </c>
      <c r="AF16" s="129" t="str">
        <f t="shared" si="14"/>
        <v/>
      </c>
      <c r="AG16" s="129" t="str">
        <f t="shared" si="1"/>
        <v/>
      </c>
      <c r="AH16" s="129" t="str">
        <f t="shared" si="2"/>
        <v/>
      </c>
      <c r="AI16" s="129" t="str">
        <f t="shared" si="15"/>
        <v/>
      </c>
      <c r="AJ16" s="129" t="str">
        <f t="shared" si="16"/>
        <v/>
      </c>
      <c r="AK16" s="145"/>
      <c r="BA16" s="78"/>
      <c r="BB16" s="132" t="s">
        <v>1999</v>
      </c>
      <c r="BC16" s="133"/>
      <c r="BD16" s="132" t="str">
        <f>IF(OR(B16="",BC16=""),"",COUNTIF(BC$8:BC16,"√"))</f>
        <v/>
      </c>
      <c r="BE16" s="134" t="str">
        <f t="shared" si="3"/>
        <v/>
      </c>
      <c r="BF16" s="135" t="str">
        <f t="shared" si="17"/>
        <v/>
      </c>
      <c r="BG16" s="135" t="str">
        <f t="shared" si="17"/>
        <v/>
      </c>
      <c r="BH16" s="136"/>
      <c r="BI16" s="136"/>
      <c r="BJ16" s="136"/>
      <c r="BK16" s="136"/>
      <c r="BL16" s="136"/>
      <c r="BM16" s="137"/>
      <c r="BN16" s="137"/>
      <c r="BO16" s="156">
        <f t="shared" si="4"/>
        <v>125.668493150685</v>
      </c>
      <c r="BQ16" s="134" t="str">
        <f>IF(COUNTIF(BQ$7:BQ15,C16)&gt;0,"",C16)&amp;""</f>
        <v/>
      </c>
      <c r="BR16" s="138">
        <f t="shared" si="5"/>
        <v>0</v>
      </c>
      <c r="BS16" s="132">
        <f t="shared" si="18"/>
        <v>1</v>
      </c>
      <c r="BT16" s="138">
        <f t="shared" si="7"/>
        <v>0</v>
      </c>
      <c r="BU16" s="132">
        <f t="shared" si="19"/>
        <v>1</v>
      </c>
      <c r="BV16" s="133"/>
      <c r="BW16" s="133"/>
    </row>
    <row r="17" ht="15" customHeight="1" spans="1:76">
      <c r="A17" s="123" t="str">
        <f>IF(B17="","",COUNT(A$7:A16)+1)</f>
        <v/>
      </c>
      <c r="B17" s="139"/>
      <c r="C17" s="141"/>
      <c r="D17" s="140"/>
      <c r="E17" s="126" t="str">
        <f t="shared" si="0"/>
        <v/>
      </c>
      <c r="F17" s="141"/>
      <c r="G17" s="142"/>
      <c r="H17" s="127" t="str">
        <f>IFERROR(VLOOKUP(G17,参数表!$H$2:$I$50,2,FALSE),"")</f>
        <v/>
      </c>
      <c r="I17" s="128" t="str">
        <f t="shared" si="8"/>
        <v/>
      </c>
      <c r="J17" s="128" t="str">
        <f t="shared" si="9"/>
        <v/>
      </c>
      <c r="K17" s="129" t="str">
        <f t="shared" si="10"/>
        <v/>
      </c>
      <c r="L17" s="1274"/>
      <c r="M17" s="1274"/>
      <c r="N17" s="1274"/>
      <c r="O17" s="1274"/>
      <c r="P17" s="1274"/>
      <c r="Q17" s="1274"/>
      <c r="R17" s="1274"/>
      <c r="S17" s="1275"/>
      <c r="T17" s="1275"/>
      <c r="U17" s="1275"/>
      <c r="V17" s="1275"/>
      <c r="W17" s="1275"/>
      <c r="X17" s="1275"/>
      <c r="Y17" s="1275"/>
      <c r="Z17" s="129" t="str">
        <f t="shared" si="11"/>
        <v/>
      </c>
      <c r="AA17" s="1274"/>
      <c r="AB17" s="129" t="str">
        <f t="shared" si="12"/>
        <v/>
      </c>
      <c r="AC17" s="1276"/>
      <c r="AD17" s="1276"/>
      <c r="AE17" s="129" t="str">
        <f t="shared" si="13"/>
        <v/>
      </c>
      <c r="AF17" s="129" t="str">
        <f t="shared" si="14"/>
        <v/>
      </c>
      <c r="AG17" s="129" t="str">
        <f t="shared" si="1"/>
        <v/>
      </c>
      <c r="AH17" s="129" t="str">
        <f t="shared" si="2"/>
        <v/>
      </c>
      <c r="AI17" s="129" t="str">
        <f t="shared" si="15"/>
        <v/>
      </c>
      <c r="AJ17" s="129" t="str">
        <f t="shared" si="16"/>
        <v/>
      </c>
      <c r="AK17" s="145"/>
      <c r="BA17" s="78"/>
      <c r="BB17" s="132" t="s">
        <v>2000</v>
      </c>
      <c r="BC17" s="133"/>
      <c r="BD17" s="132" t="str">
        <f>IF(OR(B17="",BC17=""),"",COUNTIF(BC$8:BC17,"√"))</f>
        <v/>
      </c>
      <c r="BE17" s="134" t="str">
        <f t="shared" si="3"/>
        <v/>
      </c>
      <c r="BF17" s="135" t="str">
        <f t="shared" si="17"/>
        <v/>
      </c>
      <c r="BG17" s="135" t="str">
        <f t="shared" si="17"/>
        <v/>
      </c>
      <c r="BH17" s="136"/>
      <c r="BI17" s="136"/>
      <c r="BJ17" s="136"/>
      <c r="BK17" s="136"/>
      <c r="BL17" s="136"/>
      <c r="BM17" s="137"/>
      <c r="BN17" s="137"/>
      <c r="BO17" s="156">
        <f t="shared" si="4"/>
        <v>125.668493150685</v>
      </c>
      <c r="BQ17" s="134" t="str">
        <f>IF(COUNTIF(BQ$7:BQ16,C17)&gt;0,"",C17)&amp;""</f>
        <v/>
      </c>
      <c r="BR17" s="138">
        <f t="shared" si="5"/>
        <v>0</v>
      </c>
      <c r="BS17" s="132">
        <f t="shared" si="18"/>
        <v>1</v>
      </c>
      <c r="BT17" s="138">
        <f t="shared" si="7"/>
        <v>0</v>
      </c>
      <c r="BU17" s="132">
        <f t="shared" si="19"/>
        <v>1</v>
      </c>
      <c r="BV17" s="133"/>
      <c r="BW17" s="148"/>
    </row>
    <row r="18" ht="15" customHeight="1" spans="1:76">
      <c r="A18" s="123" t="str">
        <f>IF(B18="","",COUNT(A$7:A17)+1)</f>
        <v/>
      </c>
      <c r="B18" s="139"/>
      <c r="C18" s="141"/>
      <c r="D18" s="140"/>
      <c r="E18" s="126" t="str">
        <f t="shared" si="0"/>
        <v/>
      </c>
      <c r="F18" s="141"/>
      <c r="G18" s="142"/>
      <c r="H18" s="127" t="str">
        <f>IFERROR(VLOOKUP(G18,参数表!$H$2:$I$50,2,FALSE),"")</f>
        <v/>
      </c>
      <c r="I18" s="128" t="str">
        <f t="shared" si="8"/>
        <v/>
      </c>
      <c r="J18" s="128" t="str">
        <f t="shared" si="9"/>
        <v/>
      </c>
      <c r="K18" s="129" t="str">
        <f t="shared" si="10"/>
        <v/>
      </c>
      <c r="L18" s="1274"/>
      <c r="M18" s="1274"/>
      <c r="N18" s="1274"/>
      <c r="O18" s="1274"/>
      <c r="P18" s="1274"/>
      <c r="Q18" s="1274"/>
      <c r="R18" s="1274"/>
      <c r="S18" s="1275"/>
      <c r="T18" s="1275"/>
      <c r="U18" s="1275"/>
      <c r="V18" s="1275"/>
      <c r="W18" s="1275"/>
      <c r="X18" s="1275"/>
      <c r="Y18" s="1275"/>
      <c r="Z18" s="129" t="str">
        <f t="shared" si="11"/>
        <v/>
      </c>
      <c r="AA18" s="1274"/>
      <c r="AB18" s="129" t="str">
        <f t="shared" si="12"/>
        <v/>
      </c>
      <c r="AC18" s="1276"/>
      <c r="AD18" s="1276"/>
      <c r="AE18" s="129" t="str">
        <f t="shared" si="13"/>
        <v/>
      </c>
      <c r="AF18" s="129" t="str">
        <f t="shared" si="14"/>
        <v/>
      </c>
      <c r="AG18" s="129" t="str">
        <f t="shared" si="1"/>
        <v/>
      </c>
      <c r="AH18" s="129" t="str">
        <f t="shared" si="2"/>
        <v/>
      </c>
      <c r="AI18" s="129" t="str">
        <f t="shared" si="15"/>
        <v/>
      </c>
      <c r="AJ18" s="129" t="str">
        <f t="shared" si="16"/>
        <v/>
      </c>
      <c r="AK18" s="145"/>
      <c r="BA18" s="78"/>
      <c r="BB18" s="132" t="s">
        <v>2001</v>
      </c>
      <c r="BC18" s="133"/>
      <c r="BD18" s="132" t="str">
        <f>IF(OR(B18="",BC18=""),"",COUNTIF(BC$8:BC18,"√"))</f>
        <v/>
      </c>
      <c r="BE18" s="134" t="str">
        <f t="shared" si="3"/>
        <v/>
      </c>
      <c r="BF18" s="135" t="str">
        <f t="shared" si="17"/>
        <v/>
      </c>
      <c r="BG18" s="135" t="str">
        <f t="shared" si="17"/>
        <v/>
      </c>
      <c r="BH18" s="136"/>
      <c r="BI18" s="136"/>
      <c r="BJ18" s="136"/>
      <c r="BK18" s="136"/>
      <c r="BL18" s="136"/>
      <c r="BM18" s="137"/>
      <c r="BN18" s="137"/>
      <c r="BO18" s="156">
        <f t="shared" si="4"/>
        <v>125.668493150685</v>
      </c>
      <c r="BQ18" s="134" t="str">
        <f>IF(COUNTIF(BQ$7:BQ17,C18)&gt;0,"",C18)&amp;""</f>
        <v/>
      </c>
      <c r="BR18" s="138">
        <f t="shared" si="5"/>
        <v>0</v>
      </c>
      <c r="BS18" s="132">
        <f t="shared" si="18"/>
        <v>1</v>
      </c>
      <c r="BT18" s="138">
        <f t="shared" si="7"/>
        <v>0</v>
      </c>
      <c r="BU18" s="132">
        <f t="shared" si="19"/>
        <v>1</v>
      </c>
      <c r="BV18" s="133"/>
      <c r="BW18" s="133"/>
    </row>
    <row r="19" ht="15" customHeight="1" spans="1:76">
      <c r="A19" s="123" t="str">
        <f>IF(B19="","",COUNT(A$7:A18)+1)</f>
        <v/>
      </c>
      <c r="B19" s="139"/>
      <c r="C19" s="141"/>
      <c r="D19" s="140"/>
      <c r="E19" s="126" t="str">
        <f t="shared" si="0"/>
        <v/>
      </c>
      <c r="F19" s="141"/>
      <c r="G19" s="142"/>
      <c r="H19" s="127" t="str">
        <f>IFERROR(VLOOKUP(G19,参数表!$H$2:$I$50,2,FALSE),"")</f>
        <v/>
      </c>
      <c r="I19" s="128" t="str">
        <f t="shared" si="8"/>
        <v/>
      </c>
      <c r="J19" s="128" t="str">
        <f t="shared" si="9"/>
        <v/>
      </c>
      <c r="K19" s="129" t="str">
        <f t="shared" si="10"/>
        <v/>
      </c>
      <c r="L19" s="1274"/>
      <c r="M19" s="1274"/>
      <c r="N19" s="1274"/>
      <c r="O19" s="1274"/>
      <c r="P19" s="1274"/>
      <c r="Q19" s="1274"/>
      <c r="R19" s="1274"/>
      <c r="S19" s="1275"/>
      <c r="T19" s="1275"/>
      <c r="U19" s="1275"/>
      <c r="V19" s="1275"/>
      <c r="W19" s="1275"/>
      <c r="X19" s="1275"/>
      <c r="Y19" s="1275"/>
      <c r="Z19" s="129" t="str">
        <f t="shared" si="11"/>
        <v/>
      </c>
      <c r="AA19" s="1274"/>
      <c r="AB19" s="129" t="str">
        <f t="shared" si="12"/>
        <v/>
      </c>
      <c r="AC19" s="1276"/>
      <c r="AD19" s="1276"/>
      <c r="AE19" s="129" t="str">
        <f t="shared" si="13"/>
        <v/>
      </c>
      <c r="AF19" s="129" t="str">
        <f t="shared" si="14"/>
        <v/>
      </c>
      <c r="AG19" s="129" t="str">
        <f t="shared" si="1"/>
        <v/>
      </c>
      <c r="AH19" s="129" t="str">
        <f t="shared" si="2"/>
        <v/>
      </c>
      <c r="AI19" s="129" t="str">
        <f t="shared" si="15"/>
        <v/>
      </c>
      <c r="AJ19" s="129" t="str">
        <f t="shared" si="16"/>
        <v/>
      </c>
      <c r="AK19" s="145"/>
      <c r="BA19" s="78"/>
      <c r="BB19" s="132" t="s">
        <v>2002</v>
      </c>
      <c r="BC19" s="133"/>
      <c r="BD19" s="132" t="str">
        <f>IF(OR(B19="",BC19=""),"",COUNTIF(BC$8:BC19,"√"))</f>
        <v/>
      </c>
      <c r="BE19" s="134" t="str">
        <f t="shared" si="3"/>
        <v/>
      </c>
      <c r="BF19" s="135" t="str">
        <f t="shared" si="17"/>
        <v/>
      </c>
      <c r="BG19" s="135" t="str">
        <f t="shared" si="17"/>
        <v/>
      </c>
      <c r="BH19" s="136"/>
      <c r="BI19" s="136"/>
      <c r="BJ19" s="136"/>
      <c r="BK19" s="136"/>
      <c r="BL19" s="136"/>
      <c r="BM19" s="137"/>
      <c r="BN19" s="137"/>
      <c r="BO19" s="156">
        <f t="shared" si="4"/>
        <v>125.668493150685</v>
      </c>
      <c r="BQ19" s="134" t="str">
        <f>IF(COUNTIF(BQ$7:BQ18,C19)&gt;0,"",C19)&amp;""</f>
        <v/>
      </c>
      <c r="BR19" s="138">
        <f t="shared" si="5"/>
        <v>0</v>
      </c>
      <c r="BS19" s="132">
        <f t="shared" si="18"/>
        <v>1</v>
      </c>
      <c r="BT19" s="138">
        <f t="shared" si="7"/>
        <v>0</v>
      </c>
      <c r="BU19" s="132">
        <f t="shared" si="19"/>
        <v>1</v>
      </c>
      <c r="BV19" s="133"/>
      <c r="BW19" s="133"/>
    </row>
    <row r="20" ht="15" customHeight="1" spans="1:76">
      <c r="A20" s="123" t="str">
        <f>IF(B20="","",COUNT(A$7:A19)+1)</f>
        <v/>
      </c>
      <c r="B20" s="139"/>
      <c r="C20" s="141"/>
      <c r="D20" s="140"/>
      <c r="E20" s="126" t="str">
        <f t="shared" si="0"/>
        <v/>
      </c>
      <c r="F20" s="141"/>
      <c r="G20" s="142"/>
      <c r="H20" s="127" t="str">
        <f>IFERROR(VLOOKUP(G20,参数表!$H$2:$I$50,2,FALSE),"")</f>
        <v/>
      </c>
      <c r="I20" s="128" t="str">
        <f t="shared" si="8"/>
        <v/>
      </c>
      <c r="J20" s="128" t="str">
        <f t="shared" si="9"/>
        <v/>
      </c>
      <c r="K20" s="129" t="str">
        <f t="shared" si="10"/>
        <v/>
      </c>
      <c r="L20" s="1274"/>
      <c r="M20" s="1274"/>
      <c r="N20" s="1274"/>
      <c r="O20" s="1274"/>
      <c r="P20" s="1274"/>
      <c r="Q20" s="1274"/>
      <c r="R20" s="1274"/>
      <c r="S20" s="1275"/>
      <c r="T20" s="1275"/>
      <c r="U20" s="1275"/>
      <c r="V20" s="1275"/>
      <c r="W20" s="1275"/>
      <c r="X20" s="1275"/>
      <c r="Y20" s="1275"/>
      <c r="Z20" s="129" t="str">
        <f t="shared" si="11"/>
        <v/>
      </c>
      <c r="AA20" s="1274"/>
      <c r="AB20" s="129" t="str">
        <f t="shared" si="12"/>
        <v/>
      </c>
      <c r="AC20" s="1276"/>
      <c r="AD20" s="1276"/>
      <c r="AE20" s="129" t="str">
        <f t="shared" si="13"/>
        <v/>
      </c>
      <c r="AF20" s="129" t="str">
        <f t="shared" si="14"/>
        <v/>
      </c>
      <c r="AG20" s="129" t="str">
        <f t="shared" si="1"/>
        <v/>
      </c>
      <c r="AH20" s="129" t="str">
        <f t="shared" si="2"/>
        <v/>
      </c>
      <c r="AI20" s="129" t="str">
        <f t="shared" si="15"/>
        <v/>
      </c>
      <c r="AJ20" s="129" t="str">
        <f t="shared" si="16"/>
        <v/>
      </c>
      <c r="AK20" s="145"/>
      <c r="BA20" s="78"/>
      <c r="BB20" s="132" t="s">
        <v>2003</v>
      </c>
      <c r="BC20" s="133"/>
      <c r="BD20" s="132" t="str">
        <f>IF(OR(B20="",BC20=""),"",COUNTIF(BC$8:BC20,"√"))</f>
        <v/>
      </c>
      <c r="BE20" s="134" t="str">
        <f t="shared" si="3"/>
        <v/>
      </c>
      <c r="BF20" s="135" t="str">
        <f t="shared" si="17"/>
        <v/>
      </c>
      <c r="BG20" s="135" t="str">
        <f t="shared" si="17"/>
        <v/>
      </c>
      <c r="BH20" s="136"/>
      <c r="BI20" s="136"/>
      <c r="BJ20" s="136"/>
      <c r="BK20" s="136"/>
      <c r="BL20" s="136"/>
      <c r="BM20" s="137"/>
      <c r="BN20" s="137"/>
      <c r="BO20" s="156">
        <f t="shared" si="4"/>
        <v>125.668493150685</v>
      </c>
      <c r="BQ20" s="134" t="str">
        <f>IF(COUNTIF(BQ$7:BQ19,C20)&gt;0,"",C20)&amp;""</f>
        <v/>
      </c>
      <c r="BR20" s="138">
        <f t="shared" si="5"/>
        <v>0</v>
      </c>
      <c r="BS20" s="132">
        <f t="shared" si="18"/>
        <v>1</v>
      </c>
      <c r="BT20" s="138">
        <f t="shared" si="7"/>
        <v>0</v>
      </c>
      <c r="BU20" s="132">
        <f t="shared" si="19"/>
        <v>1</v>
      </c>
      <c r="BV20" s="133"/>
      <c r="BW20" s="133"/>
    </row>
    <row r="21" ht="15" customHeight="1" spans="1:76">
      <c r="A21" s="123" t="str">
        <f>IF(B21="","",COUNT(A$7:A20)+1)</f>
        <v/>
      </c>
      <c r="B21" s="139"/>
      <c r="C21" s="141"/>
      <c r="D21" s="140"/>
      <c r="E21" s="126" t="str">
        <f t="shared" si="0"/>
        <v/>
      </c>
      <c r="F21" s="141"/>
      <c r="G21" s="142"/>
      <c r="H21" s="127" t="str">
        <f>IFERROR(VLOOKUP(G21,参数表!$H$2:$I$50,2,FALSE),"")</f>
        <v/>
      </c>
      <c r="I21" s="128" t="str">
        <f t="shared" si="8"/>
        <v/>
      </c>
      <c r="J21" s="128" t="str">
        <f t="shared" si="9"/>
        <v/>
      </c>
      <c r="K21" s="129" t="str">
        <f t="shared" si="10"/>
        <v/>
      </c>
      <c r="L21" s="1274"/>
      <c r="M21" s="1274"/>
      <c r="N21" s="1274"/>
      <c r="O21" s="1274"/>
      <c r="P21" s="1274"/>
      <c r="Q21" s="1274"/>
      <c r="R21" s="1274"/>
      <c r="S21" s="1275"/>
      <c r="T21" s="1275"/>
      <c r="U21" s="1275"/>
      <c r="V21" s="1275"/>
      <c r="W21" s="1275"/>
      <c r="X21" s="1275"/>
      <c r="Y21" s="1275"/>
      <c r="Z21" s="129" t="str">
        <f t="shared" si="11"/>
        <v/>
      </c>
      <c r="AA21" s="1274"/>
      <c r="AB21" s="129" t="str">
        <f t="shared" si="12"/>
        <v/>
      </c>
      <c r="AC21" s="1276"/>
      <c r="AD21" s="1276"/>
      <c r="AE21" s="129" t="str">
        <f t="shared" si="13"/>
        <v/>
      </c>
      <c r="AF21" s="129" t="str">
        <f t="shared" si="14"/>
        <v/>
      </c>
      <c r="AG21" s="129" t="str">
        <f t="shared" si="1"/>
        <v/>
      </c>
      <c r="AH21" s="129" t="str">
        <f t="shared" si="2"/>
        <v/>
      </c>
      <c r="AI21" s="129" t="str">
        <f t="shared" si="15"/>
        <v/>
      </c>
      <c r="AJ21" s="129" t="str">
        <f t="shared" si="16"/>
        <v/>
      </c>
      <c r="AK21" s="145"/>
      <c r="BA21" s="78"/>
      <c r="BB21" s="132" t="s">
        <v>2004</v>
      </c>
      <c r="BC21" s="133"/>
      <c r="BD21" s="132" t="str">
        <f>IF(OR(B21="",BC21=""),"",COUNTIF(BC$8:BC21,"√"))</f>
        <v/>
      </c>
      <c r="BE21" s="134" t="str">
        <f t="shared" si="3"/>
        <v/>
      </c>
      <c r="BF21" s="135" t="str">
        <f t="shared" si="17"/>
        <v/>
      </c>
      <c r="BG21" s="135" t="str">
        <f t="shared" si="17"/>
        <v/>
      </c>
      <c r="BH21" s="136"/>
      <c r="BI21" s="136"/>
      <c r="BJ21" s="136"/>
      <c r="BK21" s="136"/>
      <c r="BL21" s="136"/>
      <c r="BM21" s="137"/>
      <c r="BN21" s="137"/>
      <c r="BO21" s="156">
        <f t="shared" si="4"/>
        <v>125.668493150685</v>
      </c>
      <c r="BQ21" s="134" t="str">
        <f>IF(COUNTIF(BQ$7:BQ20,C21)&gt;0,"",C21)&amp;""</f>
        <v/>
      </c>
      <c r="BR21" s="138">
        <f t="shared" si="5"/>
        <v>0</v>
      </c>
      <c r="BS21" s="132">
        <f t="shared" si="18"/>
        <v>1</v>
      </c>
      <c r="BT21" s="138">
        <f t="shared" si="7"/>
        <v>0</v>
      </c>
      <c r="BU21" s="132">
        <f t="shared" si="19"/>
        <v>1</v>
      </c>
      <c r="BV21" s="133"/>
      <c r="BW21" s="133"/>
    </row>
    <row r="22" ht="15" customHeight="1" spans="1:76">
      <c r="A22" s="123" t="str">
        <f>IF(B22="","",COUNT(A$7:A21)+1)</f>
        <v/>
      </c>
      <c r="B22" s="139"/>
      <c r="C22" s="141"/>
      <c r="D22" s="140"/>
      <c r="E22" s="126" t="str">
        <f t="shared" si="0"/>
        <v/>
      </c>
      <c r="F22" s="141"/>
      <c r="G22" s="142"/>
      <c r="H22" s="127" t="str">
        <f>IFERROR(VLOOKUP(G22,参数表!$H$2:$I$50,2,FALSE),"")</f>
        <v/>
      </c>
      <c r="I22" s="128" t="str">
        <f t="shared" si="8"/>
        <v/>
      </c>
      <c r="J22" s="128" t="str">
        <f t="shared" si="9"/>
        <v/>
      </c>
      <c r="K22" s="129" t="str">
        <f t="shared" si="10"/>
        <v/>
      </c>
      <c r="L22" s="1274"/>
      <c r="M22" s="1274"/>
      <c r="N22" s="1274"/>
      <c r="O22" s="1274"/>
      <c r="P22" s="1274"/>
      <c r="Q22" s="1274"/>
      <c r="R22" s="1274"/>
      <c r="S22" s="1275"/>
      <c r="T22" s="1275"/>
      <c r="U22" s="1275"/>
      <c r="V22" s="1275"/>
      <c r="W22" s="1275"/>
      <c r="X22" s="1275"/>
      <c r="Y22" s="1275"/>
      <c r="Z22" s="129" t="str">
        <f t="shared" si="11"/>
        <v/>
      </c>
      <c r="AA22" s="1274"/>
      <c r="AB22" s="129" t="str">
        <f t="shared" si="12"/>
        <v/>
      </c>
      <c r="AC22" s="1276"/>
      <c r="AD22" s="1276"/>
      <c r="AE22" s="129" t="str">
        <f t="shared" si="13"/>
        <v/>
      </c>
      <c r="AF22" s="129" t="str">
        <f t="shared" si="14"/>
        <v/>
      </c>
      <c r="AG22" s="129" t="str">
        <f t="shared" si="1"/>
        <v/>
      </c>
      <c r="AH22" s="129" t="str">
        <f t="shared" si="2"/>
        <v/>
      </c>
      <c r="AI22" s="129" t="str">
        <f t="shared" si="15"/>
        <v/>
      </c>
      <c r="AJ22" s="129" t="str">
        <f t="shared" si="16"/>
        <v/>
      </c>
      <c r="AK22" s="145"/>
      <c r="BA22" s="78"/>
      <c r="BB22" s="132" t="s">
        <v>2005</v>
      </c>
      <c r="BC22" s="133"/>
      <c r="BD22" s="132" t="str">
        <f>IF(OR(B22="",BC22=""),"",COUNTIF(BC$8:BC22,"√"))</f>
        <v/>
      </c>
      <c r="BE22" s="134" t="str">
        <f t="shared" si="3"/>
        <v/>
      </c>
      <c r="BF22" s="135" t="str">
        <f t="shared" si="17"/>
        <v/>
      </c>
      <c r="BG22" s="135" t="str">
        <f t="shared" si="17"/>
        <v/>
      </c>
      <c r="BH22" s="136"/>
      <c r="BI22" s="136"/>
      <c r="BJ22" s="136"/>
      <c r="BK22" s="136"/>
      <c r="BL22" s="136"/>
      <c r="BM22" s="137"/>
      <c r="BN22" s="137"/>
      <c r="BO22" s="156">
        <f t="shared" si="4"/>
        <v>125.668493150685</v>
      </c>
      <c r="BQ22" s="134" t="str">
        <f>IF(COUNTIF(BQ$7:BQ21,C22)&gt;0,"",C22)&amp;""</f>
        <v/>
      </c>
      <c r="BR22" s="138">
        <f t="shared" si="5"/>
        <v>0</v>
      </c>
      <c r="BS22" s="132">
        <f t="shared" si="18"/>
        <v>1</v>
      </c>
      <c r="BT22" s="138">
        <f t="shared" si="7"/>
        <v>0</v>
      </c>
      <c r="BU22" s="132">
        <f t="shared" si="19"/>
        <v>1</v>
      </c>
      <c r="BV22" s="133"/>
      <c r="BW22" s="133"/>
    </row>
    <row r="23" ht="15" customHeight="1" spans="1:76">
      <c r="A23" s="123" t="str">
        <f>IF(B23="","",COUNT(A$7:A22)+1)</f>
        <v/>
      </c>
      <c r="B23" s="139"/>
      <c r="C23" s="141"/>
      <c r="D23" s="140"/>
      <c r="E23" s="126" t="str">
        <f t="shared" si="0"/>
        <v/>
      </c>
      <c r="F23" s="141"/>
      <c r="G23" s="142"/>
      <c r="H23" s="127" t="str">
        <f>IFERROR(VLOOKUP(G23,参数表!$H$2:$I$50,2,FALSE),"")</f>
        <v/>
      </c>
      <c r="I23" s="128" t="str">
        <f t="shared" si="8"/>
        <v/>
      </c>
      <c r="J23" s="128" t="str">
        <f t="shared" si="9"/>
        <v/>
      </c>
      <c r="K23" s="129" t="str">
        <f t="shared" si="10"/>
        <v/>
      </c>
      <c r="L23" s="1274"/>
      <c r="M23" s="1274"/>
      <c r="N23" s="1274"/>
      <c r="O23" s="1274"/>
      <c r="P23" s="1274"/>
      <c r="Q23" s="1274"/>
      <c r="R23" s="1274"/>
      <c r="S23" s="1275"/>
      <c r="T23" s="1275"/>
      <c r="U23" s="1275"/>
      <c r="V23" s="1275"/>
      <c r="W23" s="1275"/>
      <c r="X23" s="1275"/>
      <c r="Y23" s="1275"/>
      <c r="Z23" s="129" t="str">
        <f t="shared" si="11"/>
        <v/>
      </c>
      <c r="AA23" s="1274"/>
      <c r="AB23" s="129" t="str">
        <f t="shared" si="12"/>
        <v/>
      </c>
      <c r="AC23" s="1276"/>
      <c r="AD23" s="1276"/>
      <c r="AE23" s="129" t="str">
        <f t="shared" si="13"/>
        <v/>
      </c>
      <c r="AF23" s="129" t="str">
        <f t="shared" si="14"/>
        <v/>
      </c>
      <c r="AG23" s="129" t="str">
        <f t="shared" si="1"/>
        <v/>
      </c>
      <c r="AH23" s="129" t="str">
        <f t="shared" si="2"/>
        <v/>
      </c>
      <c r="AI23" s="129" t="str">
        <f t="shared" si="15"/>
        <v/>
      </c>
      <c r="AJ23" s="129" t="str">
        <f t="shared" si="16"/>
        <v/>
      </c>
      <c r="AK23" s="145"/>
      <c r="BA23" s="78"/>
      <c r="BB23" s="132" t="s">
        <v>2006</v>
      </c>
      <c r="BC23" s="133"/>
      <c r="BD23" s="132" t="str">
        <f>IF(OR(B23="",BC23=""),"",COUNTIF(BC$8:BC23,"√"))</f>
        <v/>
      </c>
      <c r="BE23" s="134" t="str">
        <f t="shared" si="3"/>
        <v/>
      </c>
      <c r="BF23" s="135" t="str">
        <f t="shared" si="17"/>
        <v/>
      </c>
      <c r="BG23" s="135" t="str">
        <f t="shared" si="17"/>
        <v/>
      </c>
      <c r="BH23" s="136"/>
      <c r="BI23" s="136"/>
      <c r="BJ23" s="136"/>
      <c r="BK23" s="136"/>
      <c r="BL23" s="136"/>
      <c r="BM23" s="137"/>
      <c r="BN23" s="137"/>
      <c r="BO23" s="156">
        <f t="shared" si="4"/>
        <v>125.668493150685</v>
      </c>
      <c r="BQ23" s="134" t="str">
        <f>IF(COUNTIF(BQ$7:BQ22,C23)&gt;0,"",C23)&amp;""</f>
        <v/>
      </c>
      <c r="BR23" s="138">
        <f t="shared" si="5"/>
        <v>0</v>
      </c>
      <c r="BS23" s="132">
        <f t="shared" si="18"/>
        <v>1</v>
      </c>
      <c r="BT23" s="138">
        <f t="shared" si="7"/>
        <v>0</v>
      </c>
      <c r="BU23" s="132">
        <f t="shared" si="19"/>
        <v>1</v>
      </c>
      <c r="BV23" s="133"/>
      <c r="BW23" s="133"/>
    </row>
    <row r="24" ht="15" customHeight="1" spans="1:76">
      <c r="A24" s="123" t="str">
        <f>IF(B24="","",COUNT(A$7:A23)+1)</f>
        <v/>
      </c>
      <c r="B24" s="139"/>
      <c r="C24" s="141"/>
      <c r="D24" s="140"/>
      <c r="E24" s="126" t="str">
        <f t="shared" si="0"/>
        <v/>
      </c>
      <c r="F24" s="141"/>
      <c r="G24" s="142"/>
      <c r="H24" s="127" t="str">
        <f>IFERROR(VLOOKUP(G24,参数表!$H$2:$I$50,2,FALSE),"")</f>
        <v/>
      </c>
      <c r="I24" s="128" t="str">
        <f t="shared" si="8"/>
        <v/>
      </c>
      <c r="J24" s="128" t="str">
        <f t="shared" si="9"/>
        <v/>
      </c>
      <c r="K24" s="129" t="str">
        <f t="shared" si="10"/>
        <v/>
      </c>
      <c r="L24" s="1274"/>
      <c r="M24" s="1274"/>
      <c r="N24" s="1274"/>
      <c r="O24" s="1274"/>
      <c r="P24" s="1274"/>
      <c r="Q24" s="1274"/>
      <c r="R24" s="1274"/>
      <c r="S24" s="1275"/>
      <c r="T24" s="1275"/>
      <c r="U24" s="1275"/>
      <c r="V24" s="1275"/>
      <c r="W24" s="1275"/>
      <c r="X24" s="1275"/>
      <c r="Y24" s="1275"/>
      <c r="Z24" s="129" t="str">
        <f t="shared" si="11"/>
        <v/>
      </c>
      <c r="AA24" s="1274"/>
      <c r="AB24" s="129" t="str">
        <f t="shared" si="12"/>
        <v/>
      </c>
      <c r="AC24" s="1276"/>
      <c r="AD24" s="1276"/>
      <c r="AE24" s="129" t="str">
        <f t="shared" si="13"/>
        <v/>
      </c>
      <c r="AF24" s="129" t="str">
        <f t="shared" si="14"/>
        <v/>
      </c>
      <c r="AG24" s="129" t="str">
        <f t="shared" si="1"/>
        <v/>
      </c>
      <c r="AH24" s="129" t="str">
        <f t="shared" si="2"/>
        <v/>
      </c>
      <c r="AI24" s="129" t="str">
        <f t="shared" si="15"/>
        <v/>
      </c>
      <c r="AJ24" s="129" t="str">
        <f t="shared" si="16"/>
        <v/>
      </c>
      <c r="AK24" s="145"/>
      <c r="BA24" s="78"/>
      <c r="BB24" s="132" t="s">
        <v>2007</v>
      </c>
      <c r="BC24" s="133"/>
      <c r="BD24" s="132" t="str">
        <f>IF(OR(B24="",BC24=""),"",COUNTIF(BC$8:BC24,"√"))</f>
        <v/>
      </c>
      <c r="BE24" s="134" t="str">
        <f t="shared" si="3"/>
        <v/>
      </c>
      <c r="BF24" s="135" t="str">
        <f t="shared" si="17"/>
        <v/>
      </c>
      <c r="BG24" s="135" t="str">
        <f t="shared" si="17"/>
        <v/>
      </c>
      <c r="BH24" s="136"/>
      <c r="BI24" s="136"/>
      <c r="BJ24" s="136"/>
      <c r="BK24" s="136"/>
      <c r="BL24" s="136"/>
      <c r="BM24" s="137"/>
      <c r="BN24" s="137"/>
      <c r="BO24" s="156">
        <f t="shared" si="4"/>
        <v>125.668493150685</v>
      </c>
      <c r="BQ24" s="134" t="str">
        <f>IF(COUNTIF(BQ$7:BQ23,C24)&gt;0,"",C24)&amp;""</f>
        <v/>
      </c>
      <c r="BR24" s="138">
        <f t="shared" si="5"/>
        <v>0</v>
      </c>
      <c r="BS24" s="132">
        <f t="shared" si="18"/>
        <v>1</v>
      </c>
      <c r="BT24" s="138">
        <f t="shared" si="7"/>
        <v>0</v>
      </c>
      <c r="BU24" s="132">
        <f t="shared" si="19"/>
        <v>1</v>
      </c>
      <c r="BV24" s="133"/>
      <c r="BW24" s="133"/>
    </row>
    <row r="25" ht="15" customHeight="1" spans="1:76">
      <c r="A25" s="123" t="str">
        <f>IF(B25="","",COUNT(A$7:A24)+1)</f>
        <v/>
      </c>
      <c r="B25" s="139"/>
      <c r="C25" s="141"/>
      <c r="D25" s="140"/>
      <c r="E25" s="126" t="str">
        <f t="shared" si="0"/>
        <v/>
      </c>
      <c r="F25" s="141"/>
      <c r="G25" s="142"/>
      <c r="H25" s="127" t="str">
        <f>IFERROR(VLOOKUP(G25,参数表!$H$2:$I$50,2,FALSE),"")</f>
        <v/>
      </c>
      <c r="I25" s="128" t="str">
        <f t="shared" si="8"/>
        <v/>
      </c>
      <c r="J25" s="128" t="str">
        <f t="shared" si="9"/>
        <v/>
      </c>
      <c r="K25" s="129" t="str">
        <f t="shared" si="10"/>
        <v/>
      </c>
      <c r="L25" s="1274"/>
      <c r="M25" s="1274"/>
      <c r="N25" s="1274"/>
      <c r="O25" s="1274"/>
      <c r="P25" s="1274"/>
      <c r="Q25" s="1274"/>
      <c r="R25" s="1274"/>
      <c r="S25" s="1275"/>
      <c r="T25" s="1275"/>
      <c r="U25" s="1275"/>
      <c r="V25" s="1275"/>
      <c r="W25" s="1275"/>
      <c r="X25" s="1275"/>
      <c r="Y25" s="1275"/>
      <c r="Z25" s="129" t="str">
        <f t="shared" si="11"/>
        <v/>
      </c>
      <c r="AA25" s="1274"/>
      <c r="AB25" s="129" t="str">
        <f t="shared" si="12"/>
        <v/>
      </c>
      <c r="AC25" s="1276"/>
      <c r="AD25" s="1276"/>
      <c r="AE25" s="129" t="str">
        <f t="shared" si="13"/>
        <v/>
      </c>
      <c r="AF25" s="129" t="str">
        <f t="shared" si="14"/>
        <v/>
      </c>
      <c r="AG25" s="129" t="str">
        <f t="shared" si="1"/>
        <v/>
      </c>
      <c r="AH25" s="129" t="str">
        <f t="shared" si="2"/>
        <v/>
      </c>
      <c r="AI25" s="129" t="str">
        <f t="shared" si="15"/>
        <v/>
      </c>
      <c r="AJ25" s="129" t="str">
        <f t="shared" si="16"/>
        <v/>
      </c>
      <c r="AK25" s="145"/>
      <c r="BA25" s="78"/>
      <c r="BB25" s="132" t="s">
        <v>2008</v>
      </c>
      <c r="BC25" s="133"/>
      <c r="BD25" s="132" t="str">
        <f>IF(OR(B25="",BC25=""),"",COUNTIF(BC$8:BC25,"√"))</f>
        <v/>
      </c>
      <c r="BE25" s="134" t="str">
        <f t="shared" si="3"/>
        <v/>
      </c>
      <c r="BF25" s="135" t="str">
        <f t="shared" si="17"/>
        <v/>
      </c>
      <c r="BG25" s="135" t="str">
        <f t="shared" si="17"/>
        <v/>
      </c>
      <c r="BH25" s="136"/>
      <c r="BI25" s="136"/>
      <c r="BJ25" s="136"/>
      <c r="BK25" s="136"/>
      <c r="BL25" s="136"/>
      <c r="BM25" s="137"/>
      <c r="BN25" s="137"/>
      <c r="BO25" s="156">
        <f t="shared" si="4"/>
        <v>125.668493150685</v>
      </c>
      <c r="BQ25" s="134" t="str">
        <f>IF(COUNTIF(BQ$7:BQ24,C25)&gt;0,"",C25)&amp;""</f>
        <v/>
      </c>
      <c r="BR25" s="138">
        <f t="shared" si="5"/>
        <v>0</v>
      </c>
      <c r="BS25" s="132">
        <f t="shared" si="18"/>
        <v>1</v>
      </c>
      <c r="BT25" s="138">
        <f t="shared" si="7"/>
        <v>0</v>
      </c>
      <c r="BU25" s="132">
        <f t="shared" si="19"/>
        <v>1</v>
      </c>
      <c r="BV25" s="133"/>
      <c r="BW25" s="133"/>
    </row>
    <row r="26" ht="15" customHeight="1" spans="1:76">
      <c r="A26" s="123" t="str">
        <f>IF(B26="","",COUNT(A$7:A25)+1)</f>
        <v/>
      </c>
      <c r="B26" s="139"/>
      <c r="C26" s="141"/>
      <c r="D26" s="140"/>
      <c r="E26" s="126" t="str">
        <f t="shared" si="0"/>
        <v/>
      </c>
      <c r="F26" s="141"/>
      <c r="G26" s="142"/>
      <c r="H26" s="127" t="str">
        <f>IFERROR(VLOOKUP(G26,参数表!$H$2:$I$50,2,FALSE),"")</f>
        <v/>
      </c>
      <c r="I26" s="128" t="str">
        <f t="shared" si="8"/>
        <v/>
      </c>
      <c r="J26" s="128" t="str">
        <f t="shared" si="9"/>
        <v/>
      </c>
      <c r="K26" s="129" t="str">
        <f t="shared" si="10"/>
        <v/>
      </c>
      <c r="L26" s="1274"/>
      <c r="M26" s="1274"/>
      <c r="N26" s="1274"/>
      <c r="O26" s="1274"/>
      <c r="P26" s="1274"/>
      <c r="Q26" s="1274"/>
      <c r="R26" s="1274"/>
      <c r="S26" s="1275"/>
      <c r="T26" s="1275"/>
      <c r="U26" s="1275"/>
      <c r="V26" s="1275"/>
      <c r="W26" s="1275"/>
      <c r="X26" s="1275"/>
      <c r="Y26" s="1275"/>
      <c r="Z26" s="129" t="str">
        <f t="shared" si="11"/>
        <v/>
      </c>
      <c r="AA26" s="1274"/>
      <c r="AB26" s="129" t="str">
        <f t="shared" si="12"/>
        <v/>
      </c>
      <c r="AC26" s="1276"/>
      <c r="AD26" s="1276"/>
      <c r="AE26" s="129" t="str">
        <f t="shared" si="13"/>
        <v/>
      </c>
      <c r="AF26" s="129" t="str">
        <f t="shared" si="14"/>
        <v/>
      </c>
      <c r="AG26" s="129" t="str">
        <f t="shared" si="1"/>
        <v/>
      </c>
      <c r="AH26" s="129" t="str">
        <f t="shared" si="2"/>
        <v/>
      </c>
      <c r="AI26" s="129" t="str">
        <f t="shared" si="15"/>
        <v/>
      </c>
      <c r="AJ26" s="129" t="str">
        <f t="shared" si="16"/>
        <v/>
      </c>
      <c r="AK26" s="145"/>
      <c r="BA26" s="78"/>
      <c r="BB26" s="132" t="s">
        <v>2009</v>
      </c>
      <c r="BC26" s="133"/>
      <c r="BD26" s="132" t="str">
        <f>IF(OR(B26="",BC26=""),"",COUNTIF(BC$8:BC26,"√"))</f>
        <v/>
      </c>
      <c r="BE26" s="134" t="str">
        <f t="shared" si="3"/>
        <v/>
      </c>
      <c r="BF26" s="135" t="str">
        <f t="shared" si="17"/>
        <v/>
      </c>
      <c r="BG26" s="135" t="str">
        <f t="shared" si="17"/>
        <v/>
      </c>
      <c r="BH26" s="136"/>
      <c r="BI26" s="136"/>
      <c r="BJ26" s="136"/>
      <c r="BK26" s="136"/>
      <c r="BL26" s="136"/>
      <c r="BM26" s="137"/>
      <c r="BN26" s="137"/>
      <c r="BO26" s="156">
        <f t="shared" si="4"/>
        <v>125.668493150685</v>
      </c>
      <c r="BQ26" s="134" t="str">
        <f>IF(COUNTIF(BQ$7:BQ25,C26)&gt;0,"",C26)&amp;""</f>
        <v/>
      </c>
      <c r="BR26" s="138">
        <f t="shared" si="5"/>
        <v>0</v>
      </c>
      <c r="BS26" s="132">
        <f t="shared" si="18"/>
        <v>1</v>
      </c>
      <c r="BT26" s="138">
        <f t="shared" si="7"/>
        <v>0</v>
      </c>
      <c r="BU26" s="132">
        <f t="shared" si="19"/>
        <v>1</v>
      </c>
      <c r="BV26" s="133"/>
      <c r="BW26" s="133"/>
    </row>
    <row r="27" ht="15" customHeight="1" spans="1:76">
      <c r="A27" s="123" t="str">
        <f>IF(B27="","",COUNT(A$7:A26)+1)</f>
        <v/>
      </c>
      <c r="B27" s="124"/>
      <c r="C27" s="126"/>
      <c r="D27" s="125"/>
      <c r="E27" s="126" t="str">
        <f t="shared" si="0"/>
        <v/>
      </c>
      <c r="F27" s="126"/>
      <c r="G27" s="127"/>
      <c r="H27" s="127" t="str">
        <f>IFERROR(VLOOKUP(G27,参数表!$H$2:$I$50,2,FALSE),"")</f>
        <v/>
      </c>
      <c r="I27" s="128" t="str">
        <f t="shared" si="8"/>
        <v/>
      </c>
      <c r="J27" s="128" t="str">
        <f t="shared" si="9"/>
        <v/>
      </c>
      <c r="K27" s="129" t="str">
        <f t="shared" si="10"/>
        <v/>
      </c>
      <c r="L27" s="129"/>
      <c r="M27" s="129"/>
      <c r="N27" s="129"/>
      <c r="O27" s="129"/>
      <c r="P27" s="129"/>
      <c r="Q27" s="129"/>
      <c r="R27" s="129"/>
      <c r="S27" s="1224"/>
      <c r="T27" s="1224"/>
      <c r="U27" s="1224"/>
      <c r="V27" s="1224"/>
      <c r="W27" s="1224"/>
      <c r="X27" s="1224"/>
      <c r="Y27" s="1224"/>
      <c r="Z27" s="129" t="str">
        <f t="shared" si="11"/>
        <v/>
      </c>
      <c r="AA27" s="129"/>
      <c r="AB27" s="129" t="str">
        <f t="shared" si="12"/>
        <v/>
      </c>
      <c r="AC27" s="1273"/>
      <c r="AD27" s="1273"/>
      <c r="AE27" s="129" t="str">
        <f t="shared" si="13"/>
        <v/>
      </c>
      <c r="AF27" s="129" t="str">
        <f t="shared" si="14"/>
        <v/>
      </c>
      <c r="AG27" s="129" t="str">
        <f t="shared" si="1"/>
        <v/>
      </c>
      <c r="AH27" s="129" t="str">
        <f t="shared" si="2"/>
        <v/>
      </c>
      <c r="AI27" s="129" t="str">
        <f t="shared" si="15"/>
        <v/>
      </c>
      <c r="AJ27" s="129" t="str">
        <f t="shared" si="16"/>
        <v/>
      </c>
      <c r="AK27" s="131"/>
      <c r="BA27" s="78"/>
      <c r="BB27" s="132" t="s">
        <v>2010</v>
      </c>
      <c r="BC27" s="133"/>
      <c r="BD27" s="132" t="str">
        <f>IF(OR(B27="",BC27=""),"",COUNTIF(BC$8:BC27,"√"))</f>
        <v/>
      </c>
      <c r="BE27" s="134" t="str">
        <f t="shared" si="3"/>
        <v/>
      </c>
      <c r="BF27" s="135" t="str">
        <f t="shared" si="17"/>
        <v/>
      </c>
      <c r="BG27" s="135" t="str">
        <f t="shared" si="17"/>
        <v/>
      </c>
      <c r="BH27" s="136"/>
      <c r="BI27" s="136"/>
      <c r="BJ27" s="136"/>
      <c r="BK27" s="136"/>
      <c r="BL27" s="136"/>
      <c r="BM27" s="137"/>
      <c r="BN27" s="137"/>
      <c r="BO27" s="156">
        <f t="shared" si="4"/>
        <v>125.668493150685</v>
      </c>
      <c r="BQ27" s="134" t="str">
        <f>IF(COUNTIF(BQ$7:BQ26,C27)&gt;0,"",C27)&amp;""</f>
        <v/>
      </c>
      <c r="BR27" s="138">
        <f t="shared" si="5"/>
        <v>0</v>
      </c>
      <c r="BS27" s="132">
        <f t="shared" si="18"/>
        <v>1</v>
      </c>
      <c r="BT27" s="138">
        <f t="shared" si="7"/>
        <v>0</v>
      </c>
      <c r="BU27" s="132">
        <f t="shared" si="19"/>
        <v>1</v>
      </c>
      <c r="BV27" s="133"/>
      <c r="BW27" s="133"/>
    </row>
    <row r="28" s="73" customFormat="1" ht="15" customHeight="1" spans="1:76">
      <c r="A28" s="149" t="s">
        <v>1954</v>
      </c>
      <c r="B28" s="149"/>
      <c r="C28" s="149"/>
      <c r="D28" s="356"/>
      <c r="E28" s="149"/>
      <c r="F28" s="149"/>
      <c r="G28" s="149"/>
      <c r="H28" s="149"/>
      <c r="I28" s="149"/>
      <c r="J28" s="149"/>
      <c r="K28" s="152">
        <f t="shared" ref="K28:R28" si="22">SUM(K8:K27)</f>
        <v>0</v>
      </c>
      <c r="L28" s="152">
        <f t="shared" si="22"/>
        <v>0</v>
      </c>
      <c r="M28" s="152">
        <f t="shared" si="22"/>
        <v>0</v>
      </c>
      <c r="N28" s="152">
        <f t="shared" si="22"/>
        <v>0</v>
      </c>
      <c r="O28" s="152">
        <f t="shared" si="22"/>
        <v>0</v>
      </c>
      <c r="P28" s="152">
        <f t="shared" si="22"/>
        <v>0</v>
      </c>
      <c r="Q28" s="152">
        <f t="shared" si="22"/>
        <v>0</v>
      </c>
      <c r="R28" s="152">
        <f t="shared" si="22"/>
        <v>0</v>
      </c>
      <c r="S28" s="152"/>
      <c r="T28" s="152"/>
      <c r="U28" s="152"/>
      <c r="V28" s="152"/>
      <c r="W28" s="152"/>
      <c r="X28" s="152"/>
      <c r="Y28" s="152"/>
      <c r="Z28" s="152"/>
      <c r="AA28" s="152"/>
      <c r="AB28" s="152">
        <f>SUM(AB8:AB27)</f>
        <v>0</v>
      </c>
      <c r="AC28" s="1278"/>
      <c r="AD28" s="1278"/>
      <c r="AE28" s="152">
        <f>SUM(AE8:AE27)</f>
        <v>0</v>
      </c>
      <c r="AF28" s="152">
        <f>SUM(AF8:AF27)</f>
        <v>0</v>
      </c>
      <c r="AG28" s="152">
        <f>SUM(AG8:AG27)</f>
        <v>0</v>
      </c>
      <c r="AH28" s="152">
        <f>SUM(AH8:AH27)</f>
        <v>0</v>
      </c>
      <c r="AI28" s="152">
        <f t="shared" si="15"/>
        <v>0</v>
      </c>
      <c r="AJ28" s="152" t="str">
        <f t="shared" si="16"/>
        <v/>
      </c>
      <c r="AK28" s="151"/>
      <c r="BH28" s="72"/>
      <c r="BI28" s="72"/>
      <c r="BJ28" s="72"/>
      <c r="BK28" s="72"/>
      <c r="BL28" s="72"/>
      <c r="BM28" s="72"/>
      <c r="BP28" s="111"/>
      <c r="BQ28" s="119"/>
      <c r="BR28" s="77"/>
      <c r="BS28" s="77"/>
      <c r="BT28" s="77"/>
      <c r="BU28" s="119"/>
      <c r="BV28" s="119"/>
      <c r="BW28" s="119"/>
      <c r="BX28" s="111"/>
    </row>
    <row r="29" ht="15" customHeight="1" spans="1:76">
      <c r="A29" s="126" t="s">
        <v>1955</v>
      </c>
      <c r="B29" s="126"/>
      <c r="C29" s="126"/>
      <c r="D29" s="125"/>
      <c r="E29" s="126"/>
      <c r="F29" s="126"/>
      <c r="G29" s="126"/>
      <c r="H29" s="126"/>
      <c r="I29" s="126"/>
      <c r="J29" s="126"/>
      <c r="K29" s="129">
        <f>AB28</f>
        <v>0</v>
      </c>
      <c r="L29" s="129"/>
      <c r="M29" s="129"/>
      <c r="N29" s="129"/>
      <c r="O29" s="129"/>
      <c r="P29" s="129"/>
      <c r="Q29" s="129"/>
      <c r="R29" s="129"/>
      <c r="S29" s="129"/>
      <c r="T29" s="129"/>
      <c r="U29" s="129"/>
      <c r="V29" s="129"/>
      <c r="W29" s="129"/>
      <c r="X29" s="129"/>
      <c r="Y29" s="129"/>
      <c r="Z29" s="129"/>
      <c r="AA29" s="129"/>
      <c r="AB29" s="129"/>
      <c r="AC29" s="1273"/>
      <c r="AD29" s="1273"/>
      <c r="AE29" s="129">
        <f>AF28</f>
        <v>0</v>
      </c>
      <c r="AF29" s="129"/>
      <c r="AG29" s="129">
        <v>0</v>
      </c>
      <c r="AH29" s="129"/>
      <c r="AI29" s="129">
        <f t="shared" si="15"/>
        <v>0</v>
      </c>
      <c r="AJ29" s="129" t="str">
        <f t="shared" si="16"/>
        <v/>
      </c>
      <c r="AK29" s="131"/>
      <c r="BC29" s="75"/>
      <c r="BD29" s="75"/>
      <c r="BE29" s="75"/>
      <c r="BH29" s="165"/>
      <c r="BI29" s="165"/>
      <c r="BJ29" s="165"/>
      <c r="BK29" s="165"/>
      <c r="BL29" s="165"/>
      <c r="BM29" s="165"/>
    </row>
    <row r="30" ht="15" customHeight="1" spans="1:76">
      <c r="A30" s="126" t="s">
        <v>1956</v>
      </c>
      <c r="B30" s="126"/>
      <c r="C30" s="126"/>
      <c r="D30" s="125"/>
      <c r="E30" s="126"/>
      <c r="F30" s="126"/>
      <c r="G30" s="126"/>
      <c r="H30" s="126"/>
      <c r="I30" s="126"/>
      <c r="J30" s="126"/>
      <c r="K30" s="129"/>
      <c r="L30" s="129"/>
      <c r="M30" s="129"/>
      <c r="N30" s="129"/>
      <c r="O30" s="129"/>
      <c r="P30" s="129"/>
      <c r="Q30" s="129"/>
      <c r="R30" s="129"/>
      <c r="S30" s="129"/>
      <c r="T30" s="129"/>
      <c r="U30" s="129"/>
      <c r="V30" s="129"/>
      <c r="W30" s="129"/>
      <c r="X30" s="129"/>
      <c r="Y30" s="129"/>
      <c r="Z30" s="129"/>
      <c r="AA30" s="129"/>
      <c r="AB30" s="129"/>
      <c r="AC30" s="1273"/>
      <c r="AD30" s="1273"/>
      <c r="AE30" s="129"/>
      <c r="AF30" s="129"/>
      <c r="AG30" s="129">
        <f>IF(BB3="是",AH28,0)</f>
        <v>0</v>
      </c>
      <c r="AH30" s="129"/>
      <c r="AI30" s="129">
        <f t="shared" si="15"/>
        <v>0</v>
      </c>
      <c r="AJ30" s="129" t="str">
        <f t="shared" si="16"/>
        <v/>
      </c>
      <c r="AK30" s="131"/>
      <c r="BC30" s="75"/>
      <c r="BD30" s="75"/>
      <c r="BE30" s="75"/>
      <c r="BH30" s="165"/>
      <c r="BI30" s="165"/>
      <c r="BJ30" s="165"/>
      <c r="BK30" s="165"/>
      <c r="BL30" s="165"/>
      <c r="BM30" s="165"/>
    </row>
    <row r="31" s="73" customFormat="1" ht="15" customHeight="1" spans="1:76">
      <c r="A31" s="149" t="s">
        <v>1957</v>
      </c>
      <c r="B31" s="149"/>
      <c r="C31" s="151"/>
      <c r="D31" s="356"/>
      <c r="E31" s="151"/>
      <c r="F31" s="149"/>
      <c r="G31" s="151"/>
      <c r="H31" s="151"/>
      <c r="I31" s="151"/>
      <c r="J31" s="151"/>
      <c r="K31" s="152">
        <f t="shared" ref="K31:R31" si="23">K28-K29-K30</f>
        <v>0</v>
      </c>
      <c r="L31" s="152">
        <f t="shared" si="23"/>
        <v>0</v>
      </c>
      <c r="M31" s="152"/>
      <c r="N31" s="152">
        <f t="shared" si="23"/>
        <v>0</v>
      </c>
      <c r="O31" s="152">
        <f t="shared" si="23"/>
        <v>0</v>
      </c>
      <c r="P31" s="152">
        <f t="shared" si="23"/>
        <v>0</v>
      </c>
      <c r="Q31" s="152">
        <f t="shared" si="23"/>
        <v>0</v>
      </c>
      <c r="R31" s="152">
        <f t="shared" si="23"/>
        <v>0</v>
      </c>
      <c r="S31" s="152"/>
      <c r="T31" s="152"/>
      <c r="U31" s="152"/>
      <c r="V31" s="152"/>
      <c r="W31" s="152"/>
      <c r="X31" s="152"/>
      <c r="Y31" s="152"/>
      <c r="Z31" s="152"/>
      <c r="AA31" s="152"/>
      <c r="AB31" s="152">
        <f>AB28-AB29-AB30</f>
        <v>0</v>
      </c>
      <c r="AC31" s="1278"/>
      <c r="AD31" s="1278"/>
      <c r="AE31" s="152">
        <f>AE28-AE29-AE30</f>
        <v>0</v>
      </c>
      <c r="AF31" s="152"/>
      <c r="AG31" s="152">
        <f>AG28-AG29-AG30</f>
        <v>0</v>
      </c>
      <c r="AH31" s="152"/>
      <c r="AI31" s="152">
        <f t="shared" si="15"/>
        <v>0</v>
      </c>
      <c r="AJ31" s="152" t="str">
        <f t="shared" si="16"/>
        <v/>
      </c>
      <c r="AK31" s="151"/>
      <c r="BH31" s="72"/>
      <c r="BI31" s="72"/>
      <c r="BJ31" s="72"/>
      <c r="BK31" s="72"/>
      <c r="BL31" s="72"/>
      <c r="BM31" s="72"/>
      <c r="BP31" s="77"/>
      <c r="BQ31" s="78"/>
      <c r="BR31" s="77"/>
      <c r="BS31" s="78"/>
      <c r="BT31" s="78"/>
      <c r="BU31" s="78"/>
      <c r="BV31" s="78"/>
      <c r="BW31" s="78"/>
      <c r="BX31" s="77"/>
    </row>
    <row r="32" s="73" customFormat="1" ht="15" customHeight="1" spans="1:76">
      <c r="A32" s="102" t="str">
        <f>参数表!F$6</f>
        <v>产权持有单位填表人：贾广东</v>
      </c>
      <c r="B32" s="185"/>
      <c r="C32" s="986"/>
      <c r="D32" s="987"/>
      <c r="E32" s="986"/>
      <c r="F32" s="185"/>
      <c r="G32" s="986"/>
      <c r="H32" s="986"/>
      <c r="I32" s="986"/>
      <c r="J32" s="986"/>
      <c r="K32" s="990"/>
      <c r="L32" s="990"/>
      <c r="M32" s="990"/>
      <c r="N32" s="990"/>
      <c r="O32" s="990"/>
      <c r="P32" s="990"/>
      <c r="Q32" s="990"/>
      <c r="R32" s="990"/>
      <c r="S32" s="990"/>
      <c r="T32" s="990"/>
      <c r="U32" s="990"/>
      <c r="V32" s="990"/>
      <c r="W32" s="990"/>
      <c r="X32" s="990"/>
      <c r="Y32" s="990"/>
      <c r="Z32" s="990"/>
      <c r="AA32" s="990"/>
      <c r="AB32" s="990"/>
      <c r="AC32" s="1281"/>
      <c r="AD32" s="1281"/>
      <c r="AE32" s="990"/>
      <c r="AF32" s="990"/>
      <c r="AG32" s="103" t="str">
        <f>"评估人员："&amp;封面!$G$20</f>
        <v>评估人员：栗祥宁</v>
      </c>
      <c r="AH32" s="103"/>
      <c r="AI32" s="990"/>
      <c r="AJ32" s="990"/>
      <c r="AK32" s="991"/>
      <c r="BH32" s="72"/>
      <c r="BI32" s="72"/>
      <c r="BJ32" s="72"/>
      <c r="BK32" s="72"/>
      <c r="BL32" s="72"/>
      <c r="BM32" s="72"/>
      <c r="BP32" s="77"/>
      <c r="BQ32" s="78"/>
      <c r="BR32" s="77"/>
      <c r="BS32" s="78"/>
      <c r="BT32" s="78"/>
      <c r="BU32" s="78"/>
      <c r="BV32" s="78"/>
      <c r="BW32" s="78"/>
      <c r="BX32" s="77"/>
    </row>
    <row r="33" s="73" customFormat="1" ht="15" customHeight="1" spans="1:76">
      <c r="A33" s="102" t="str">
        <f>参数表!F$7</f>
        <v>填表日期：2025年9月20日</v>
      </c>
      <c r="B33" s="185"/>
      <c r="C33" s="986"/>
      <c r="D33" s="987"/>
      <c r="E33" s="986"/>
      <c r="F33" s="185"/>
      <c r="G33" s="986"/>
      <c r="H33" s="986"/>
      <c r="I33" s="986"/>
      <c r="J33" s="986"/>
      <c r="K33" s="990"/>
      <c r="L33" s="990"/>
      <c r="M33" s="990"/>
      <c r="N33" s="990"/>
      <c r="O33" s="990"/>
      <c r="P33" s="990"/>
      <c r="Q33" s="990"/>
      <c r="R33" s="990"/>
      <c r="S33" s="990"/>
      <c r="T33" s="990"/>
      <c r="U33" s="990"/>
      <c r="V33" s="990"/>
      <c r="W33" s="990"/>
      <c r="X33" s="990"/>
      <c r="Y33" s="990"/>
      <c r="Z33" s="990"/>
      <c r="AA33" s="990"/>
      <c r="AB33" s="990"/>
      <c r="AC33" s="1281"/>
      <c r="AD33" s="1281"/>
      <c r="AE33" s="990"/>
      <c r="AF33" s="990"/>
      <c r="AG33" s="990"/>
      <c r="AH33" s="990"/>
      <c r="AI33" s="990"/>
      <c r="AJ33" s="990"/>
      <c r="AK33" s="991"/>
      <c r="BH33" s="72"/>
      <c r="BI33" s="72"/>
      <c r="BJ33" s="72"/>
      <c r="BK33" s="72"/>
      <c r="BL33" s="72"/>
      <c r="BM33" s="72"/>
      <c r="BP33" s="77"/>
      <c r="BQ33" s="78"/>
      <c r="BR33" s="77"/>
      <c r="BS33" s="78"/>
      <c r="BT33" s="78"/>
      <c r="BU33" s="78"/>
      <c r="BV33" s="78"/>
      <c r="BW33" s="78"/>
      <c r="BX33" s="77"/>
    </row>
    <row r="34" customHeight="1" spans="1:76">
      <c r="A34" s="157"/>
      <c r="B34" s="992" t="s">
        <v>2011</v>
      </c>
      <c r="C34" s="75" t="s">
        <v>2012</v>
      </c>
      <c r="D34" s="158"/>
      <c r="E34" s="158"/>
      <c r="F34" s="228"/>
      <c r="G34" s="158"/>
      <c r="H34" s="158"/>
      <c r="I34" s="158"/>
      <c r="J34" s="158"/>
      <c r="BC34" s="75"/>
      <c r="BD34" s="75"/>
      <c r="BE34" s="75"/>
      <c r="BH34" s="165"/>
      <c r="BI34" s="165"/>
      <c r="BJ34" s="165"/>
      <c r="BK34" s="165"/>
      <c r="BL34" s="165"/>
      <c r="BM34" s="165"/>
    </row>
    <row r="35" customHeight="1" spans="1:76">
      <c r="A35" s="157"/>
      <c r="B35" s="158"/>
      <c r="C35" s="75" t="s">
        <v>2013</v>
      </c>
      <c r="D35" s="158"/>
      <c r="E35" s="158"/>
      <c r="F35" s="228"/>
      <c r="G35" s="158"/>
      <c r="H35" s="158"/>
      <c r="I35" s="158"/>
      <c r="J35" s="158"/>
      <c r="BC35" s="75"/>
      <c r="BD35" s="75"/>
      <c r="BE35" s="75"/>
      <c r="BM35" s="165"/>
    </row>
    <row r="36" customHeight="1" spans="1:76">
      <c r="A36" s="157"/>
      <c r="B36" s="158"/>
      <c r="C36" s="75" t="s">
        <v>2014</v>
      </c>
      <c r="D36" s="158"/>
      <c r="E36" s="158"/>
      <c r="F36" s="228"/>
      <c r="G36" s="158"/>
      <c r="H36" s="158"/>
      <c r="I36" s="158"/>
      <c r="J36" s="158"/>
      <c r="BC36" s="75"/>
      <c r="BD36" s="75"/>
      <c r="BE36" s="75"/>
      <c r="BM36" s="165"/>
    </row>
    <row r="37" hidden="1" customHeight="1" outlineLevel="1" spans="1:76">
      <c r="A37" s="157"/>
      <c r="B37" s="154" t="s">
        <v>1673</v>
      </c>
      <c r="C37" s="158"/>
      <c r="D37" s="158"/>
      <c r="E37" s="158"/>
      <c r="F37" s="95" t="s">
        <v>1674</v>
      </c>
      <c r="G37" s="95"/>
      <c r="H37" s="95"/>
      <c r="I37" s="95"/>
      <c r="J37" s="95"/>
      <c r="K37" s="159">
        <f ca="1">SUMIF($BA7:$BA27,$BA37,K8:K27)</f>
        <v>0</v>
      </c>
      <c r="L37" s="176"/>
      <c r="M37" s="176"/>
      <c r="N37" s="176"/>
      <c r="O37" s="176"/>
      <c r="P37" s="176"/>
      <c r="Q37" s="176"/>
      <c r="R37" s="176"/>
      <c r="S37" s="176"/>
      <c r="T37" s="176"/>
      <c r="U37" s="176"/>
      <c r="V37" s="176"/>
      <c r="W37" s="176"/>
      <c r="X37" s="176"/>
      <c r="Y37" s="176"/>
      <c r="Z37" s="159">
        <f>SUMIF($BA8:$BA27,$BA37,Z8:Z27)</f>
        <v>0</v>
      </c>
      <c r="AA37" s="159">
        <f>SUMIF($BA8:$BA27,$BA37,AA8:AA27)</f>
        <v>0</v>
      </c>
      <c r="AB37" s="159">
        <f>SUMIF($BA8:$BA27,$BA37,AB8:AB27)</f>
        <v>0</v>
      </c>
      <c r="AC37" s="1282"/>
      <c r="AD37" s="1282"/>
      <c r="AE37" s="159">
        <f>SUMIF($BA8:$BA27,$BA37,AE8:AE27)</f>
        <v>0</v>
      </c>
      <c r="AF37" s="159">
        <f>SUMIF($BA8:$BA27,$BA37,AF8:AF27)</f>
        <v>0</v>
      </c>
      <c r="AG37" s="159">
        <f>SUMIF($BA8:$BA27,$BA37,AG8:AG27)</f>
        <v>0</v>
      </c>
      <c r="AH37" s="159">
        <f>SUMIF($BA8:$BA27,$BA37,AH8:AH27)</f>
        <v>0</v>
      </c>
      <c r="BA37" s="161" t="s">
        <v>1674</v>
      </c>
      <c r="BC37" s="75"/>
      <c r="BD37" s="75"/>
      <c r="BE37" s="75"/>
      <c r="BH37" s="95" t="s">
        <v>1675</v>
      </c>
      <c r="BI37" s="95" t="s">
        <v>1675</v>
      </c>
      <c r="BJ37" s="95" t="s">
        <v>1675</v>
      </c>
      <c r="BK37" s="95" t="s">
        <v>1674</v>
      </c>
      <c r="BL37" s="95" t="s">
        <v>1674</v>
      </c>
      <c r="BM37" s="165"/>
    </row>
    <row r="38" hidden="1" customHeight="1" outlineLevel="1" spans="1:76">
      <c r="A38" s="157"/>
      <c r="B38" s="154" t="s">
        <v>1676</v>
      </c>
      <c r="C38" s="158"/>
      <c r="D38" s="158"/>
      <c r="E38" s="158"/>
      <c r="F38" s="95" t="s">
        <v>1677</v>
      </c>
      <c r="G38" s="95"/>
      <c r="H38" s="95"/>
      <c r="I38" s="95"/>
      <c r="J38" s="95"/>
      <c r="K38" s="159">
        <f ca="1">K28-K37</f>
        <v>0</v>
      </c>
      <c r="L38" s="176"/>
      <c r="M38" s="176"/>
      <c r="N38" s="176"/>
      <c r="O38" s="176"/>
      <c r="P38" s="176"/>
      <c r="Q38" s="176"/>
      <c r="R38" s="176"/>
      <c r="S38" s="176"/>
      <c r="T38" s="176"/>
      <c r="U38" s="176"/>
      <c r="V38" s="176"/>
      <c r="W38" s="176"/>
      <c r="X38" s="176"/>
      <c r="Y38" s="176"/>
      <c r="Z38" s="159">
        <f>Z28-Z37</f>
        <v>0</v>
      </c>
      <c r="AA38" s="159">
        <f>AA28-AA37</f>
        <v>0</v>
      </c>
      <c r="AB38" s="159">
        <f>AB28-AB37</f>
        <v>0</v>
      </c>
      <c r="AC38" s="1282"/>
      <c r="AD38" s="1282"/>
      <c r="AE38" s="159">
        <f>AE28-AE37</f>
        <v>0</v>
      </c>
      <c r="AF38" s="159">
        <f>AF28-AF37</f>
        <v>0</v>
      </c>
      <c r="AG38" s="159">
        <f>AG28-AG37</f>
        <v>0</v>
      </c>
      <c r="AH38" s="159">
        <f>AH28-AH37</f>
        <v>0</v>
      </c>
      <c r="BA38" s="161" t="s">
        <v>1677</v>
      </c>
      <c r="BH38" s="95" t="s">
        <v>1678</v>
      </c>
      <c r="BI38" s="95" t="s">
        <v>1678</v>
      </c>
      <c r="BJ38" s="95" t="s">
        <v>1678</v>
      </c>
      <c r="BK38" s="95" t="s">
        <v>1677</v>
      </c>
      <c r="BL38" s="95" t="s">
        <v>1677</v>
      </c>
    </row>
    <row r="39" customHeight="1" collapsed="1" spans="1:76">
      <c r="A39" s="157"/>
      <c r="B39" s="158"/>
      <c r="C39" s="158"/>
      <c r="D39" s="158"/>
      <c r="E39" s="158"/>
      <c r="F39" s="228"/>
      <c r="G39" s="158"/>
      <c r="H39" s="158"/>
      <c r="I39" s="158"/>
      <c r="J39" s="158"/>
    </row>
    <row r="40" customHeight="1" spans="1:76">
      <c r="A40" s="157"/>
      <c r="B40" s="158"/>
      <c r="C40" s="158"/>
      <c r="D40" s="158"/>
      <c r="E40" s="158"/>
      <c r="F40" s="228"/>
      <c r="G40" s="158"/>
      <c r="H40" s="158"/>
      <c r="I40" s="158"/>
      <c r="J40" s="158"/>
    </row>
  </sheetData>
  <sheetProtection autoFilter="0"/>
  <mergeCells count="37">
    <mergeCell ref="A2:AK2"/>
    <mergeCell ref="A3:AK3"/>
    <mergeCell ref="G6:J6"/>
    <mergeCell ref="K6:R6"/>
    <mergeCell ref="S6:Y6"/>
    <mergeCell ref="Z6:AB6"/>
    <mergeCell ref="AC6:AD6"/>
    <mergeCell ref="BV8:BX8"/>
    <mergeCell ref="BV9:BX9"/>
    <mergeCell ref="BW15:BX15"/>
    <mergeCell ref="A28:B28"/>
    <mergeCell ref="A29:B29"/>
    <mergeCell ref="A30:B30"/>
    <mergeCell ref="A31:B31"/>
    <mergeCell ref="A6:A7"/>
    <mergeCell ref="B6:B7"/>
    <mergeCell ref="C6:C7"/>
    <mergeCell ref="D6:D7"/>
    <mergeCell ref="E6:E7"/>
    <mergeCell ref="F6:F7"/>
    <mergeCell ref="AE6:AE7"/>
    <mergeCell ref="AF6:AF7"/>
    <mergeCell ref="AG6:AG7"/>
    <mergeCell ref="AH6:AH7"/>
    <mergeCell ref="AI6:AI7"/>
    <mergeCell ref="AJ6:AJ7"/>
    <mergeCell ref="AK6:AK7"/>
    <mergeCell ref="BF6:BF7"/>
    <mergeCell ref="BG6:BG7"/>
    <mergeCell ref="BH6:BH7"/>
    <mergeCell ref="BI6:BI7"/>
    <mergeCell ref="BJ6:BJ7"/>
    <mergeCell ref="BK6:BK7"/>
    <mergeCell ref="BL6:BL7"/>
    <mergeCell ref="BM6:BM7"/>
    <mergeCell ref="BN6:BN7"/>
    <mergeCell ref="BO6:BO7"/>
  </mergeCells>
  <conditionalFormatting sqref="BI8:BL8">
    <cfRule type="expression" dxfId="5" priority="4" stopIfTrue="1">
      <formula>AND($B8&lt;&gt;"",BI8="")</formula>
    </cfRule>
  </conditionalFormatting>
  <conditionalFormatting sqref="BM8:BM27">
    <cfRule type="expression" dxfId="5" priority="3" stopIfTrue="1">
      <formula>AND(BK8="无",BM8="")</formula>
    </cfRule>
  </conditionalFormatting>
  <conditionalFormatting sqref="BF8:BG27">
    <cfRule type="containsText" dxfId="6" priority="1" stopIfTrue="1" operator="between" text="出错">
      <formula>NOT(ISERROR(SEARCH("出错",BF8)))</formula>
    </cfRule>
  </conditionalFormatting>
  <conditionalFormatting sqref="BH9:BM27 BH8:BL22">
    <cfRule type="expression" dxfId="5" priority="5" stopIfTrue="1">
      <formula>AND($B8&lt;&gt;"",BH8="")</formula>
    </cfRule>
  </conditionalFormatting>
  <dataValidations count="4">
    <dataValidation type="list" allowBlank="1" showInputMessage="1" showErrorMessage="1" sqref="F8:F27 BH8:BL27">
      <formula1>F$37:F$38</formula1>
    </dataValidation>
    <dataValidation type="list" allowBlank="1" showInputMessage="1" showErrorMessage="1" sqref="G8:G27">
      <formula1>OFFSET(参数表!$H$2:$H$50,,,COUNTA(参数表!$H$2:$H$50))</formula1>
    </dataValidation>
    <dataValidation type="list" allowBlank="1" showInputMessage="1" showErrorMessage="1" sqref="BA8:BA27 BA37:BA38">
      <formula1>"是,否"</formula1>
    </dataValidation>
    <dataValidation type="list" allowBlank="1" showInputMessage="1" showErrorMessage="1" sqref="BC8:BC27">
      <formula1>"  ,√"</formula1>
    </dataValidation>
  </dataValidations>
  <hyperlinks>
    <hyperlink ref="A1" location="索引目录!D13" display="返回索引页"/>
    <hyperlink ref="B1" location="流动资产汇总表!B12" display="返回 "/>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FF0000"/>
  </sheetPr>
  <dimension ref="A1:CE40"/>
  <sheetViews>
    <sheetView workbookViewId="0">
      <pane xSplit="2" ySplit="6" topLeftCell="D7" activePane="bottomRight" state="frozen"/>
      <selection/>
      <selection pane="topRight"/>
      <selection pane="bottomLeft"/>
      <selection pane="bottomRight" activeCell="E45" sqref="E45"/>
    </sheetView>
  </sheetViews>
  <sheetFormatPr defaultColWidth="9" defaultRowHeight="13.2"/>
  <cols>
    <col min="1" max="1" width="8.7" style="75" customWidth="1"/>
    <col min="2" max="2" width="28.5" style="75" customWidth="1"/>
    <col min="3" max="3" width="20.6" style="75" hidden="1" customWidth="1" outlineLevel="1"/>
    <col min="4" max="4" width="20.6" style="75" customWidth="1" collapsed="1"/>
    <col min="5" max="7" width="20.6" style="75" customWidth="1"/>
    <col min="8" max="52" width="9" style="75" hidden="1" customWidth="1" outlineLevel="1"/>
    <col min="53" max="53" width="10.6" style="227" customWidth="1" collapsed="1"/>
    <col min="54" max="58" width="10.6" style="227" customWidth="1"/>
    <col min="59" max="60" width="10.6" style="1296" customWidth="1"/>
    <col min="61" max="61" width="1.6" style="1296" customWidth="1"/>
    <col min="62" max="62" width="10.6" style="1296" customWidth="1"/>
    <col min="63"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1297" t="s">
        <v>1591</v>
      </c>
      <c r="B1" s="1297" t="s">
        <v>1592</v>
      </c>
      <c r="C1" s="81"/>
      <c r="D1" s="81"/>
      <c r="E1" s="81"/>
      <c r="F1" s="81"/>
      <c r="G1" s="81"/>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233" t="s">
        <v>2015</v>
      </c>
      <c r="B2" s="233"/>
      <c r="C2" s="233"/>
      <c r="D2" s="233"/>
      <c r="E2" s="233"/>
      <c r="F2" s="233"/>
      <c r="G2" s="233"/>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5" customHeight="1" spans="1:83">
      <c r="A3" s="238" t="str">
        <f>参数表!F5</f>
        <v>评估基准日：2025年7月31日</v>
      </c>
      <c r="B3" s="238"/>
      <c r="C3" s="238"/>
      <c r="D3" s="238"/>
      <c r="E3" s="238"/>
      <c r="F3" s="238"/>
      <c r="G3" s="238"/>
      <c r="BA3" s="230" t="str">
        <f>参数表!BA3</f>
        <v>是否显示评估值：</v>
      </c>
      <c r="BB3" s="230" t="str">
        <f>参数表!BB3</f>
        <v>是</v>
      </c>
      <c r="BG3" s="227"/>
      <c r="BH3" s="227"/>
      <c r="BI3" s="227"/>
      <c r="BJ3" s="227"/>
    </row>
    <row r="4" ht="15" customHeight="1" spans="1:83">
      <c r="A4" s="238"/>
      <c r="B4" s="238"/>
      <c r="C4" s="238"/>
      <c r="D4" s="238"/>
      <c r="E4" s="238"/>
      <c r="F4" s="238"/>
      <c r="G4" s="338" t="str">
        <f>"表"&amp;A28</f>
        <v>表3-7</v>
      </c>
      <c r="BA4" s="240" t="s">
        <v>1595</v>
      </c>
      <c r="BB4" s="241"/>
      <c r="BC4" s="241"/>
      <c r="BD4" s="241"/>
      <c r="BE4" s="241"/>
      <c r="BF4" s="241"/>
      <c r="BG4" s="241"/>
      <c r="BH4" s="241"/>
      <c r="BI4" s="242"/>
      <c r="BJ4" s="241" t="s">
        <v>1545</v>
      </c>
      <c r="BK4" s="241"/>
      <c r="BL4" s="241"/>
      <c r="BM4" s="241"/>
      <c r="BN4" s="241"/>
      <c r="BO4" s="241"/>
      <c r="BP4" s="241"/>
      <c r="BQ4" s="241"/>
      <c r="BS4" s="228" t="str">
        <f>LEFT(A2,LEN(A2)-5)</f>
        <v>应收款项融资</v>
      </c>
    </row>
    <row r="5" ht="15" customHeight="1" spans="1:83">
      <c r="A5" s="243" t="str">
        <f>参数表!F3</f>
        <v>产权持有单位:中煤第五建设有限公司</v>
      </c>
      <c r="G5" s="244" t="s">
        <v>236</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应收款项融资为：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1525</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339" t="str">
        <f>A$28&amp;"-"&amp;SUBTOTAL(3,B$7:B7)</f>
        <v>3-7-1</v>
      </c>
      <c r="B7" s="261" t="s">
        <v>2016</v>
      </c>
      <c r="C7" s="143">
        <f>'融资-应收票据'!J30</f>
        <v>0</v>
      </c>
      <c r="D7" s="143">
        <f>'融资-应收票据'!N30</f>
        <v>0</v>
      </c>
      <c r="E7" s="143">
        <f>'融资-应收票据'!P30</f>
        <v>0</v>
      </c>
      <c r="F7" s="143">
        <f t="shared" ref="F7:F8" si="0">E7-D7</f>
        <v>0</v>
      </c>
      <c r="G7" s="143" t="str">
        <f t="shared" ref="G7:G8" si="1">IF(D7=0,"",F7/D7*100)</f>
        <v/>
      </c>
      <c r="BA7" s="256">
        <f>BB7</f>
        <v>0</v>
      </c>
      <c r="BB7" s="256">
        <f>'融资-应收票据'!N27</f>
        <v>0</v>
      </c>
      <c r="BC7" s="256">
        <f>BB7-BD7</f>
        <v>0</v>
      </c>
      <c r="BD7" s="256">
        <f>D7</f>
        <v>0</v>
      </c>
      <c r="BE7" s="256">
        <f>BF7</f>
        <v>0</v>
      </c>
      <c r="BF7" s="256">
        <f>'融资-应收票据'!P27</f>
        <v>0</v>
      </c>
      <c r="BG7" s="256">
        <f>BF7-BH7</f>
        <v>0</v>
      </c>
      <c r="BH7" s="256">
        <f>E7</f>
        <v>0</v>
      </c>
      <c r="BI7" s="242"/>
      <c r="BJ7" s="256">
        <f>BK7</f>
        <v>0</v>
      </c>
      <c r="BK7" s="143">
        <f>'融资-应收票据'!N33</f>
        <v>0</v>
      </c>
      <c r="BL7" s="256">
        <f>'融资-应收票据'!O33</f>
        <v>0</v>
      </c>
      <c r="BM7" s="256">
        <f>BK7-BL7</f>
        <v>0</v>
      </c>
      <c r="BN7" s="256">
        <f>BO7</f>
        <v>0</v>
      </c>
      <c r="BO7" s="143">
        <f>'融资-应收票据'!P33</f>
        <v>0</v>
      </c>
      <c r="BP7" s="256">
        <f>'融资-应收票据'!Q33</f>
        <v>0</v>
      </c>
      <c r="BQ7" s="256">
        <f>BO7-BP7</f>
        <v>0</v>
      </c>
      <c r="BS7" s="228" t="str">
        <f t="shared" ref="BS7:BS8" si="2">IF(F7&gt;0,"增值",IF(F7=0,"无增减值","减值"))</f>
        <v>无增减值</v>
      </c>
      <c r="BT7" s="257">
        <f t="shared" ref="BT7:BT8" si="3">ABS(F7)</f>
        <v>0</v>
      </c>
      <c r="BU7" s="257">
        <f t="shared" ref="BU7:BU8" si="4">IFERROR(ABS(G7),0)</f>
        <v>0</v>
      </c>
      <c r="BV7" s="258">
        <f>IFERROR(FIND("-",B7),0)</f>
        <v>3</v>
      </c>
      <c r="BW7" s="259" t="str">
        <f>IF(SUM(BA7:BH7)=0,"",RIGHT(B7,LEN(B7)-BV7))</f>
        <v/>
      </c>
      <c r="BX7" s="158" t="str">
        <f>IF(BY7="","",IF(BZ7&gt;1,"、",IF(BZ7=1,"和","")))</f>
        <v/>
      </c>
      <c r="BY7" s="158" t="str">
        <f>IF(BW7="","",1)</f>
        <v/>
      </c>
      <c r="BZ7" s="228">
        <f>COUNT(BY8:BY$27)</f>
        <v>0</v>
      </c>
    </row>
    <row r="8" ht="15" customHeight="1" spans="1:83">
      <c r="A8" s="339" t="str">
        <f>A$28&amp;"-"&amp;SUBTOTAL(3,B$7:B8)</f>
        <v>3-7-2</v>
      </c>
      <c r="B8" s="145" t="s">
        <v>2017</v>
      </c>
      <c r="C8" s="143">
        <f>'融资-应收账款'!K31</f>
        <v>0</v>
      </c>
      <c r="D8" s="143">
        <f>'融资-应收账款'!AE31</f>
        <v>0</v>
      </c>
      <c r="E8" s="143">
        <f>'融资-应收账款'!AG31</f>
        <v>0</v>
      </c>
      <c r="F8" s="143">
        <f t="shared" si="0"/>
        <v>0</v>
      </c>
      <c r="G8" s="143" t="str">
        <f t="shared" si="1"/>
        <v/>
      </c>
      <c r="BA8" s="256">
        <f>BB8</f>
        <v>0</v>
      </c>
      <c r="BB8" s="256">
        <f>'融资-应收账款'!AE28</f>
        <v>0</v>
      </c>
      <c r="BC8" s="256">
        <f>BB8-BD8</f>
        <v>0</v>
      </c>
      <c r="BD8" s="256">
        <f>D8</f>
        <v>0</v>
      </c>
      <c r="BE8" s="256">
        <f>BF8</f>
        <v>0</v>
      </c>
      <c r="BF8" s="256">
        <f>'融资-应收账款'!AG28</f>
        <v>0</v>
      </c>
      <c r="BG8" s="256">
        <f>BF8-BH8</f>
        <v>0</v>
      </c>
      <c r="BH8" s="256">
        <f>E8</f>
        <v>0</v>
      </c>
      <c r="BI8" s="242"/>
      <c r="BJ8" s="256">
        <f>BK8</f>
        <v>0</v>
      </c>
      <c r="BK8" s="143">
        <f>'融资-应收账款'!AE37</f>
        <v>0</v>
      </c>
      <c r="BL8" s="256">
        <f>'融资-应收账款'!AF37</f>
        <v>0</v>
      </c>
      <c r="BM8" s="256">
        <f>BK8-BL8</f>
        <v>0</v>
      </c>
      <c r="BN8" s="256">
        <f>BO8</f>
        <v>0</v>
      </c>
      <c r="BO8" s="143">
        <f>'融资-应收账款'!AG37</f>
        <v>0</v>
      </c>
      <c r="BP8" s="256">
        <f>'融资-应收账款'!AH37</f>
        <v>0</v>
      </c>
      <c r="BQ8" s="256">
        <f>BO8-BP8</f>
        <v>0</v>
      </c>
      <c r="BS8" s="228" t="str">
        <f t="shared" si="2"/>
        <v>无增减值</v>
      </c>
      <c r="BT8" s="257">
        <f t="shared" si="3"/>
        <v>0</v>
      </c>
      <c r="BU8" s="257">
        <f t="shared" si="4"/>
        <v>0</v>
      </c>
      <c r="BV8" s="258">
        <f t="shared" ref="BV8" si="5">IFERROR(FIND("-",B8),0)</f>
        <v>3</v>
      </c>
      <c r="BW8" s="259" t="str">
        <f t="shared" ref="BW8" si="6">IF(SUM(BA8:BH8)=0,"",RIGHT(B8,LEN(B8)-BV8))</f>
        <v/>
      </c>
      <c r="BX8" s="158" t="str">
        <f t="shared" ref="BX8" si="7">IF(BY8="","",IF(BZ8&gt;1,"、",IF(BZ8=1,"和","")))</f>
        <v/>
      </c>
      <c r="BY8" s="158" t="str">
        <f t="shared" ref="BY8" si="8">IF(BW8="","",1)</f>
        <v/>
      </c>
      <c r="BZ8" s="228">
        <f>COUNT(BY9:BY$27)</f>
        <v>0</v>
      </c>
    </row>
    <row r="9" ht="15" customHeight="1" spans="1:83">
      <c r="A9" s="339"/>
      <c r="B9" s="145"/>
      <c r="C9" s="143"/>
      <c r="D9" s="143"/>
      <c r="E9" s="143"/>
      <c r="F9" s="143"/>
      <c r="G9" s="143"/>
      <c r="BA9" s="256"/>
      <c r="BB9" s="256"/>
      <c r="BC9" s="256"/>
      <c r="BD9" s="256"/>
      <c r="BE9" s="256"/>
      <c r="BF9" s="256"/>
      <c r="BG9" s="256"/>
      <c r="BH9" s="256"/>
      <c r="BI9" s="242"/>
      <c r="BJ9" s="256"/>
      <c r="BK9" s="256"/>
      <c r="BL9" s="256"/>
      <c r="BM9" s="256"/>
      <c r="BN9" s="256"/>
      <c r="BO9" s="256"/>
      <c r="BP9" s="256"/>
      <c r="BQ9" s="256"/>
      <c r="BS9" s="228"/>
      <c r="BT9" s="257"/>
      <c r="BU9" s="257"/>
      <c r="BV9" s="258"/>
      <c r="BW9" s="259"/>
      <c r="BY9" s="158"/>
      <c r="BZ9" s="228"/>
    </row>
    <row r="10" ht="15" customHeight="1" spans="1:83">
      <c r="A10" s="339"/>
      <c r="B10" s="145"/>
      <c r="C10" s="143"/>
      <c r="D10" s="143"/>
      <c r="E10" s="143"/>
      <c r="F10" s="143"/>
      <c r="G10" s="143"/>
      <c r="BA10" s="256"/>
      <c r="BB10" s="256"/>
      <c r="BC10" s="256"/>
      <c r="BD10" s="256"/>
      <c r="BE10" s="256"/>
      <c r="BF10" s="256"/>
      <c r="BG10" s="256"/>
      <c r="BH10" s="256"/>
      <c r="BI10" s="242"/>
      <c r="BJ10" s="256"/>
      <c r="BK10" s="256"/>
      <c r="BL10" s="256"/>
      <c r="BM10" s="256"/>
      <c r="BN10" s="256"/>
      <c r="BO10" s="256"/>
      <c r="BP10" s="256"/>
      <c r="BQ10" s="256"/>
      <c r="BS10" s="228"/>
      <c r="BT10" s="257"/>
      <c r="BU10" s="257"/>
      <c r="BV10" s="258"/>
      <c r="BW10" s="259"/>
      <c r="BY10" s="158"/>
      <c r="BZ10" s="228"/>
    </row>
    <row r="11" ht="15" customHeight="1" spans="1:83">
      <c r="A11" s="339"/>
      <c r="B11" s="145"/>
      <c r="C11" s="143"/>
      <c r="D11" s="143"/>
      <c r="E11" s="143"/>
      <c r="F11" s="143"/>
      <c r="G11" s="143"/>
      <c r="BA11" s="256"/>
      <c r="BB11" s="256"/>
      <c r="BC11" s="256"/>
      <c r="BD11" s="256"/>
      <c r="BE11" s="256"/>
      <c r="BF11" s="256"/>
      <c r="BG11" s="256"/>
      <c r="BH11" s="256"/>
      <c r="BI11" s="242"/>
      <c r="BJ11" s="256"/>
      <c r="BK11" s="256"/>
      <c r="BL11" s="256"/>
      <c r="BM11" s="256"/>
      <c r="BN11" s="256"/>
      <c r="BO11" s="256"/>
      <c r="BP11" s="256"/>
      <c r="BQ11" s="256"/>
      <c r="BS11" s="228"/>
      <c r="BT11" s="257"/>
      <c r="BU11" s="257"/>
      <c r="BV11" s="258"/>
      <c r="BW11" s="259"/>
      <c r="BY11" s="158"/>
      <c r="BZ11" s="228"/>
    </row>
    <row r="12" ht="15" customHeight="1" spans="1:83">
      <c r="A12" s="339"/>
      <c r="B12" s="145"/>
      <c r="C12" s="143"/>
      <c r="D12" s="143"/>
      <c r="E12" s="143"/>
      <c r="F12" s="143"/>
      <c r="G12" s="143"/>
      <c r="BA12" s="256"/>
      <c r="BB12" s="256"/>
      <c r="BC12" s="256"/>
      <c r="BD12" s="256"/>
      <c r="BE12" s="256"/>
      <c r="BF12" s="256"/>
      <c r="BG12" s="256"/>
      <c r="BH12" s="256"/>
      <c r="BI12" s="242"/>
      <c r="BJ12" s="256"/>
      <c r="BK12" s="256"/>
      <c r="BL12" s="256"/>
      <c r="BM12" s="256"/>
      <c r="BN12" s="256"/>
      <c r="BO12" s="256"/>
      <c r="BP12" s="256"/>
      <c r="BQ12" s="256"/>
      <c r="BS12" s="228"/>
      <c r="BT12" s="257"/>
      <c r="BU12" s="257"/>
      <c r="BV12" s="258"/>
      <c r="BW12" s="259"/>
      <c r="BY12" s="158"/>
      <c r="BZ12" s="228"/>
    </row>
    <row r="13" ht="15" customHeight="1" spans="1:83">
      <c r="A13" s="339"/>
      <c r="B13" s="145"/>
      <c r="C13" s="143"/>
      <c r="D13" s="143"/>
      <c r="E13" s="143"/>
      <c r="F13" s="143"/>
      <c r="G13" s="143"/>
      <c r="BA13" s="256"/>
      <c r="BB13" s="256"/>
      <c r="BC13" s="256"/>
      <c r="BD13" s="256"/>
      <c r="BE13" s="256"/>
      <c r="BF13" s="256"/>
      <c r="BG13" s="256"/>
      <c r="BH13" s="256"/>
      <c r="BI13" s="242"/>
      <c r="BJ13" s="256"/>
      <c r="BK13" s="256"/>
      <c r="BL13" s="256"/>
      <c r="BM13" s="256"/>
      <c r="BN13" s="256"/>
      <c r="BO13" s="256"/>
      <c r="BP13" s="256"/>
      <c r="BQ13" s="256"/>
      <c r="BS13" s="228"/>
      <c r="BT13" s="257"/>
      <c r="BU13" s="257"/>
      <c r="BV13" s="258"/>
      <c r="BW13" s="259"/>
      <c r="BY13" s="158"/>
      <c r="BZ13" s="228"/>
    </row>
    <row r="14" ht="15" customHeight="1" spans="1:83">
      <c r="A14" s="339"/>
      <c r="B14" s="145"/>
      <c r="C14" s="143"/>
      <c r="D14" s="143"/>
      <c r="E14" s="143"/>
      <c r="F14" s="143"/>
      <c r="G14" s="143"/>
      <c r="BA14" s="256"/>
      <c r="BB14" s="256"/>
      <c r="BC14" s="256"/>
      <c r="BD14" s="256"/>
      <c r="BE14" s="256"/>
      <c r="BF14" s="256"/>
      <c r="BG14" s="256"/>
      <c r="BH14" s="256"/>
      <c r="BI14" s="242"/>
      <c r="BJ14" s="256"/>
      <c r="BK14" s="256"/>
      <c r="BL14" s="256"/>
      <c r="BM14" s="256"/>
      <c r="BN14" s="256"/>
      <c r="BO14" s="256"/>
      <c r="BP14" s="256"/>
      <c r="BQ14" s="256"/>
      <c r="BS14" s="228"/>
      <c r="BT14" s="257"/>
      <c r="BU14" s="257"/>
      <c r="BV14" s="258"/>
      <c r="BW14" s="259"/>
      <c r="BY14" s="158"/>
      <c r="BZ14" s="228"/>
    </row>
    <row r="15" ht="15" customHeight="1" spans="1:83">
      <c r="A15" s="339"/>
      <c r="B15" s="145"/>
      <c r="C15" s="143"/>
      <c r="D15" s="143"/>
      <c r="E15" s="143"/>
      <c r="F15" s="143"/>
      <c r="G15" s="143"/>
      <c r="BA15" s="256"/>
      <c r="BB15" s="256"/>
      <c r="BC15" s="256"/>
      <c r="BD15" s="256"/>
      <c r="BE15" s="256"/>
      <c r="BF15" s="256"/>
      <c r="BG15" s="256"/>
      <c r="BH15" s="256"/>
      <c r="BI15" s="242"/>
      <c r="BJ15" s="256"/>
      <c r="BK15" s="256"/>
      <c r="BL15" s="256"/>
      <c r="BM15" s="256"/>
      <c r="BN15" s="256"/>
      <c r="BO15" s="256"/>
      <c r="BP15" s="256"/>
      <c r="BQ15" s="256"/>
      <c r="BS15" s="228"/>
      <c r="BT15" s="257"/>
      <c r="BU15" s="257"/>
      <c r="BV15" s="258"/>
      <c r="BW15" s="259"/>
      <c r="BY15" s="158"/>
      <c r="BZ15" s="228"/>
    </row>
    <row r="16" ht="15" customHeight="1" spans="1:83">
      <c r="A16" s="339"/>
      <c r="B16" s="145"/>
      <c r="C16" s="143"/>
      <c r="D16" s="143"/>
      <c r="E16" s="143"/>
      <c r="F16" s="143"/>
      <c r="G16" s="143"/>
      <c r="BA16" s="256"/>
      <c r="BB16" s="256"/>
      <c r="BC16" s="256"/>
      <c r="BD16" s="256"/>
      <c r="BE16" s="256"/>
      <c r="BF16" s="256"/>
      <c r="BG16" s="256"/>
      <c r="BH16" s="256"/>
      <c r="BI16" s="242"/>
      <c r="BJ16" s="256"/>
      <c r="BK16" s="256"/>
      <c r="BL16" s="256"/>
      <c r="BM16" s="256"/>
      <c r="BN16" s="256"/>
      <c r="BO16" s="256"/>
      <c r="BP16" s="256"/>
      <c r="BQ16" s="256"/>
      <c r="BS16" s="228"/>
      <c r="BT16" s="257"/>
      <c r="BU16" s="257"/>
      <c r="BV16" s="258"/>
      <c r="BW16" s="259"/>
      <c r="BY16" s="158"/>
      <c r="BZ16" s="228"/>
    </row>
    <row r="17" ht="15" customHeight="1" spans="1:83">
      <c r="A17" s="339"/>
      <c r="B17" s="145"/>
      <c r="C17" s="143"/>
      <c r="D17" s="143"/>
      <c r="E17" s="143"/>
      <c r="F17" s="143"/>
      <c r="G17" s="143"/>
      <c r="BA17" s="256"/>
      <c r="BB17" s="256"/>
      <c r="BC17" s="256"/>
      <c r="BD17" s="256"/>
      <c r="BE17" s="256"/>
      <c r="BF17" s="256"/>
      <c r="BG17" s="256"/>
      <c r="BH17" s="256"/>
      <c r="BI17" s="242"/>
      <c r="BJ17" s="256"/>
      <c r="BK17" s="256"/>
      <c r="BL17" s="256"/>
      <c r="BM17" s="256"/>
      <c r="BN17" s="256"/>
      <c r="BO17" s="256"/>
      <c r="BP17" s="256"/>
      <c r="BQ17" s="256"/>
      <c r="BS17" s="228"/>
      <c r="BT17" s="257"/>
      <c r="BU17" s="257"/>
      <c r="BV17" s="258"/>
      <c r="BW17" s="259"/>
      <c r="BY17" s="158"/>
      <c r="BZ17" s="228"/>
    </row>
    <row r="18" ht="15" customHeight="1" spans="1:83">
      <c r="A18" s="339"/>
      <c r="B18" s="145"/>
      <c r="C18" s="143"/>
      <c r="D18" s="143"/>
      <c r="E18" s="143"/>
      <c r="F18" s="143"/>
      <c r="G18" s="143"/>
      <c r="BA18" s="256"/>
      <c r="BB18" s="256"/>
      <c r="BC18" s="256"/>
      <c r="BD18" s="256"/>
      <c r="BE18" s="256"/>
      <c r="BF18" s="256"/>
      <c r="BG18" s="256"/>
      <c r="BH18" s="256"/>
      <c r="BI18" s="242"/>
      <c r="BJ18" s="256"/>
      <c r="BK18" s="256"/>
      <c r="BL18" s="256"/>
      <c r="BM18" s="256"/>
      <c r="BN18" s="256"/>
      <c r="BO18" s="256"/>
      <c r="BP18" s="256"/>
      <c r="BQ18" s="256"/>
      <c r="BS18" s="228"/>
      <c r="BT18" s="257"/>
      <c r="BU18" s="257"/>
      <c r="BV18" s="258"/>
      <c r="BW18" s="259"/>
      <c r="BY18" s="158"/>
      <c r="BZ18" s="228"/>
    </row>
    <row r="19" ht="15" customHeight="1" spans="1:83">
      <c r="A19" s="339"/>
      <c r="B19" s="145"/>
      <c r="C19" s="143"/>
      <c r="D19" s="143"/>
      <c r="E19" s="143"/>
      <c r="F19" s="143"/>
      <c r="G19" s="143"/>
      <c r="BA19" s="256"/>
      <c r="BB19" s="256"/>
      <c r="BC19" s="256"/>
      <c r="BD19" s="256"/>
      <c r="BE19" s="256"/>
      <c r="BF19" s="256"/>
      <c r="BG19" s="256"/>
      <c r="BH19" s="256"/>
      <c r="BI19" s="242"/>
      <c r="BJ19" s="256"/>
      <c r="BK19" s="256"/>
      <c r="BL19" s="256"/>
      <c r="BM19" s="256"/>
      <c r="BN19" s="256"/>
      <c r="BO19" s="256"/>
      <c r="BP19" s="256"/>
      <c r="BQ19" s="256"/>
      <c r="BS19" s="228"/>
      <c r="BT19" s="257"/>
      <c r="BU19" s="257"/>
      <c r="BV19" s="258"/>
      <c r="BW19" s="259"/>
      <c r="BY19" s="158"/>
      <c r="BZ19" s="228"/>
    </row>
    <row r="20" ht="15" customHeight="1" spans="1:83">
      <c r="A20" s="339"/>
      <c r="B20" s="145"/>
      <c r="C20" s="143"/>
      <c r="D20" s="143"/>
      <c r="E20" s="143"/>
      <c r="F20" s="143"/>
      <c r="G20" s="143"/>
      <c r="BA20" s="256"/>
      <c r="BB20" s="256"/>
      <c r="BC20" s="256"/>
      <c r="BD20" s="256"/>
      <c r="BE20" s="256"/>
      <c r="BF20" s="256"/>
      <c r="BG20" s="256"/>
      <c r="BH20" s="256"/>
      <c r="BI20" s="242"/>
      <c r="BJ20" s="256"/>
      <c r="BK20" s="256"/>
      <c r="BL20" s="256"/>
      <c r="BM20" s="256"/>
      <c r="BN20" s="256"/>
      <c r="BO20" s="256"/>
      <c r="BP20" s="256"/>
      <c r="BQ20" s="256"/>
      <c r="BS20" s="228"/>
      <c r="BT20" s="257"/>
      <c r="BU20" s="257"/>
      <c r="BV20" s="258"/>
      <c r="BW20" s="259"/>
      <c r="BY20" s="158"/>
      <c r="BZ20" s="228"/>
    </row>
    <row r="21" ht="15" customHeight="1" spans="1:83">
      <c r="A21" s="339"/>
      <c r="B21" s="145"/>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ht="15" customHeight="1" spans="1:83">
      <c r="A22" s="339"/>
      <c r="B22" s="145"/>
      <c r="C22" s="143"/>
      <c r="D22" s="143"/>
      <c r="E22" s="143"/>
      <c r="F22" s="143"/>
      <c r="G22" s="143"/>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ht="15" customHeight="1" spans="1:83">
      <c r="A23" s="339"/>
      <c r="B23" s="145"/>
      <c r="C23" s="143"/>
      <c r="D23" s="143"/>
      <c r="E23" s="143"/>
      <c r="F23" s="143"/>
      <c r="G23" s="143"/>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ht="15" customHeight="1" spans="1:83">
      <c r="A24" s="339"/>
      <c r="B24" s="145"/>
      <c r="C24" s="143"/>
      <c r="D24" s="143"/>
      <c r="E24" s="143"/>
      <c r="F24" s="143"/>
      <c r="G24" s="143"/>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ht="15" customHeight="1" spans="1:83">
      <c r="A25" s="339"/>
      <c r="B25" s="145"/>
      <c r="C25" s="143"/>
      <c r="D25" s="143"/>
      <c r="E25" s="143"/>
      <c r="F25" s="143"/>
      <c r="G25" s="143"/>
      <c r="BA25" s="256"/>
      <c r="BB25" s="256"/>
      <c r="BC25" s="256"/>
      <c r="BD25" s="256"/>
      <c r="BE25" s="256"/>
      <c r="BF25" s="256"/>
      <c r="BG25" s="256"/>
      <c r="BH25" s="256"/>
      <c r="BI25" s="242"/>
      <c r="BJ25" s="256"/>
      <c r="BK25" s="256"/>
      <c r="BL25" s="256"/>
      <c r="BM25" s="256"/>
      <c r="BN25" s="256"/>
      <c r="BO25" s="256"/>
      <c r="BP25" s="256"/>
      <c r="BQ25" s="256"/>
      <c r="BS25" s="228"/>
      <c r="BT25" s="257"/>
      <c r="BU25" s="257"/>
      <c r="BV25" s="258"/>
      <c r="BW25" s="259"/>
      <c r="BY25" s="158"/>
      <c r="BZ25" s="228"/>
    </row>
    <row r="26" ht="15" customHeight="1" spans="1:83">
      <c r="A26" s="145"/>
      <c r="B26" s="145"/>
      <c r="C26" s="145"/>
      <c r="D26" s="145"/>
      <c r="E26" s="145"/>
      <c r="F26" s="145"/>
      <c r="G26" s="145"/>
      <c r="BA26" s="256"/>
      <c r="BB26" s="256"/>
      <c r="BC26" s="256"/>
      <c r="BD26" s="256"/>
      <c r="BE26" s="256"/>
      <c r="BF26" s="256"/>
      <c r="BG26" s="256"/>
      <c r="BH26" s="256"/>
      <c r="BI26" s="242"/>
      <c r="BJ26" s="256"/>
      <c r="BK26" s="256"/>
      <c r="BL26" s="256"/>
      <c r="BM26" s="256"/>
      <c r="BN26" s="256"/>
      <c r="BO26" s="256"/>
      <c r="BP26" s="256"/>
      <c r="BQ26" s="256"/>
      <c r="BS26" s="228"/>
      <c r="BT26" s="257"/>
      <c r="BU26" s="257"/>
      <c r="BV26" s="258"/>
      <c r="BW26" s="259"/>
      <c r="BY26" s="158"/>
      <c r="BZ26" s="228"/>
    </row>
    <row r="27" ht="15" customHeight="1" spans="1:83">
      <c r="A27" s="145"/>
      <c r="B27" s="145"/>
      <c r="C27" s="145"/>
      <c r="D27" s="145"/>
      <c r="E27" s="145"/>
      <c r="F27" s="145"/>
      <c r="G27" s="145"/>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341" t="str">
        <f>流动资总!A13</f>
        <v>3-7</v>
      </c>
      <c r="B28" s="342" t="s">
        <v>2018</v>
      </c>
      <c r="C28" s="264">
        <f>SUM(C7:C27)</f>
        <v>0</v>
      </c>
      <c r="D28" s="264">
        <f t="shared" ref="D28:E28" si="9">SUM(D7:D27)</f>
        <v>0</v>
      </c>
      <c r="E28" s="264">
        <f t="shared" si="9"/>
        <v>0</v>
      </c>
      <c r="F28" s="264">
        <f>E28-D28</f>
        <v>0</v>
      </c>
      <c r="G28" s="265" t="str">
        <f>IF(D28=0,"",F28/D28*100)</f>
        <v/>
      </c>
      <c r="BA28" s="266">
        <f t="shared" ref="BA28:BH28" si="10">SUM(BA7:BA27)</f>
        <v>0</v>
      </c>
      <c r="BB28" s="266">
        <f t="shared" si="10"/>
        <v>0</v>
      </c>
      <c r="BC28" s="266">
        <f t="shared" si="10"/>
        <v>0</v>
      </c>
      <c r="BD28" s="266">
        <f t="shared" si="10"/>
        <v>0</v>
      </c>
      <c r="BE28" s="266">
        <f t="shared" si="10"/>
        <v>0</v>
      </c>
      <c r="BF28" s="266">
        <f t="shared" si="10"/>
        <v>0</v>
      </c>
      <c r="BG28" s="266">
        <f t="shared" si="10"/>
        <v>0</v>
      </c>
      <c r="BH28" s="266">
        <f t="shared" si="10"/>
        <v>0</v>
      </c>
      <c r="BI28" s="267"/>
      <c r="BJ28" s="266">
        <f>SUM(BJ7:BJ27)</f>
        <v>0</v>
      </c>
      <c r="BK28" s="266">
        <f>SUM(BK7:BK27)</f>
        <v>0</v>
      </c>
      <c r="BL28" s="266">
        <f t="shared" ref="BL28:BQ28" si="11">SUM(BL7:BL27)</f>
        <v>0</v>
      </c>
      <c r="BM28" s="266">
        <f t="shared" si="11"/>
        <v>0</v>
      </c>
      <c r="BN28" s="266">
        <f t="shared" si="11"/>
        <v>0</v>
      </c>
      <c r="BO28" s="266">
        <f t="shared" si="11"/>
        <v>0</v>
      </c>
      <c r="BP28" s="266">
        <f t="shared" si="11"/>
        <v>0</v>
      </c>
      <c r="BQ28" s="266">
        <f t="shared" si="11"/>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s="73" customFormat="1" ht="15" customHeight="1" spans="1:83">
      <c r="A29" s="75" t="str">
        <f>参数表!F$6</f>
        <v>产权持有单位填表人：贾广东</v>
      </c>
      <c r="B29" s="158"/>
      <c r="C29" s="158"/>
      <c r="D29" s="158"/>
      <c r="E29" s="158" t="str">
        <f>"评估人员："&amp;封面!$G$20</f>
        <v>评估人员：栗祥宁</v>
      </c>
      <c r="F29" s="158"/>
      <c r="G29" s="277"/>
      <c r="BA29" s="738"/>
      <c r="BB29" s="738"/>
      <c r="BC29" s="738"/>
      <c r="BD29" s="738"/>
      <c r="BE29" s="738"/>
      <c r="BF29" s="738"/>
      <c r="BG29" s="738"/>
      <c r="BH29" s="738"/>
      <c r="BI29" s="738"/>
      <c r="BJ29" s="738"/>
      <c r="BK29" s="738"/>
      <c r="BL29" s="738"/>
      <c r="BM29" s="738"/>
      <c r="BN29" s="738"/>
      <c r="BO29" s="738"/>
      <c r="BP29" s="738"/>
      <c r="BQ29" s="738"/>
      <c r="BS29" s="158"/>
      <c r="BT29" s="158"/>
      <c r="BU29" s="158"/>
      <c r="BV29" s="158"/>
      <c r="BW29" s="158"/>
      <c r="BX29" s="158"/>
      <c r="BY29" s="228"/>
      <c r="BZ29" s="158"/>
      <c r="CA29" s="75"/>
      <c r="CB29" s="75"/>
      <c r="CC29" s="75"/>
      <c r="CD29" s="229"/>
      <c r="CE29" s="229"/>
    </row>
    <row r="30" ht="15" customHeight="1" spans="1:83">
      <c r="A30" s="75" t="str">
        <f>参数表!F$7</f>
        <v>填表日期：2025年9月20日</v>
      </c>
      <c r="B30" s="158"/>
      <c r="C30" s="158"/>
      <c r="D30" s="158"/>
      <c r="E30" s="158"/>
      <c r="F30" s="158"/>
    </row>
    <row r="31" ht="15" customHeight="1" spans="1:83">
      <c r="A31" s="158"/>
      <c r="B31" s="158"/>
      <c r="C31" s="158"/>
      <c r="D31" s="158"/>
      <c r="E31" s="158"/>
      <c r="F31" s="158"/>
    </row>
    <row r="32" ht="15.75" customHeight="1" spans="1:83">
      <c r="A32" s="247"/>
    </row>
    <row r="33" s="73" customFormat="1" ht="15.75" customHeight="1" spans="1:83">
      <c r="A33" s="247"/>
      <c r="B33" s="75"/>
      <c r="C33" s="75"/>
      <c r="D33" s="75"/>
      <c r="E33" s="75"/>
      <c r="F33" s="75"/>
      <c r="G33" s="75"/>
      <c r="BA33" s="738"/>
      <c r="BB33" s="738"/>
      <c r="BC33" s="738"/>
      <c r="BD33" s="738"/>
      <c r="BE33" s="738"/>
      <c r="BF33" s="738"/>
      <c r="BG33" s="1298"/>
      <c r="BH33" s="1298"/>
      <c r="BI33" s="1298"/>
      <c r="BJ33" s="1298"/>
      <c r="BK33" s="738"/>
      <c r="BL33" s="738"/>
      <c r="BM33" s="738"/>
      <c r="BN33" s="738"/>
      <c r="BO33" s="738"/>
      <c r="BP33" s="738"/>
      <c r="BQ33" s="738"/>
      <c r="BS33" s="158"/>
      <c r="BT33" s="158"/>
      <c r="BU33" s="158"/>
      <c r="BV33" s="158"/>
      <c r="BW33" s="158"/>
      <c r="BX33" s="158"/>
      <c r="BY33" s="228"/>
      <c r="BZ33" s="158"/>
      <c r="CA33" s="75"/>
      <c r="CB33" s="75"/>
      <c r="CC33" s="75"/>
      <c r="CD33" s="229"/>
      <c r="CE33" s="229"/>
    </row>
    <row r="34" s="73" customFormat="1" ht="15.75" customHeight="1" spans="1:83">
      <c r="A34" s="158"/>
      <c r="B34" s="75"/>
      <c r="C34" s="75"/>
      <c r="D34" s="75"/>
      <c r="E34" s="75"/>
      <c r="F34" s="75"/>
      <c r="G34" s="75"/>
      <c r="BA34" s="738"/>
      <c r="BB34" s="738"/>
      <c r="BC34" s="738"/>
      <c r="BD34" s="738"/>
      <c r="BE34" s="738"/>
      <c r="BF34" s="738"/>
      <c r="BG34" s="1298"/>
      <c r="BH34" s="1298"/>
      <c r="BI34" s="1298"/>
      <c r="BJ34" s="1298"/>
      <c r="BK34" s="738"/>
      <c r="BL34" s="738"/>
      <c r="BM34" s="738"/>
      <c r="BN34" s="738"/>
      <c r="BO34" s="738"/>
      <c r="BP34" s="738"/>
      <c r="BQ34" s="738"/>
      <c r="BS34" s="158"/>
      <c r="BT34" s="158"/>
      <c r="BU34" s="158"/>
      <c r="BV34" s="158"/>
      <c r="BW34" s="158"/>
      <c r="BX34" s="158"/>
      <c r="BY34" s="228"/>
      <c r="BZ34" s="158"/>
      <c r="CA34" s="75"/>
      <c r="CB34" s="75"/>
      <c r="CC34" s="75"/>
      <c r="CD34" s="229"/>
      <c r="CE34" s="229"/>
    </row>
    <row r="35" ht="15.75" customHeight="1" spans="1:83">
      <c r="A35" s="158"/>
    </row>
    <row r="36" ht="15.75" customHeight="1" spans="1:83">
      <c r="A36" s="158"/>
    </row>
    <row r="37" ht="15.75" customHeight="1" spans="1:83">
      <c r="A37" s="158"/>
    </row>
    <row r="38" ht="15.75" customHeight="1" spans="1:83">
      <c r="A38" s="158"/>
    </row>
    <row r="39" ht="15.75" customHeight="1" spans="1:83">
      <c r="A39" s="158"/>
      <c r="B39" s="158"/>
      <c r="C39" s="158"/>
      <c r="D39" s="158"/>
      <c r="E39" s="158"/>
      <c r="F39" s="158"/>
    </row>
    <row r="40" ht="15.75" customHeight="1"/>
  </sheetData>
  <sheetProtection autoFilter="0"/>
  <mergeCells count="8">
    <mergeCell ref="A2:G2"/>
    <mergeCell ref="A3:G3"/>
    <mergeCell ref="BA4:BH4"/>
    <mergeCell ref="BJ4:BQ4"/>
    <mergeCell ref="BA5:BD5"/>
    <mergeCell ref="BE5:BH5"/>
    <mergeCell ref="BJ5:BM5"/>
    <mergeCell ref="BN5:BQ5"/>
  </mergeCells>
  <conditionalFormatting sqref="C7:G25">
    <cfRule type="expression" dxfId="3" priority="2">
      <formula>$D7+$E7=0</formula>
    </cfRule>
  </conditionalFormatting>
  <hyperlinks>
    <hyperlink ref="A1" location="索引目录!D9" display="返回索引页"/>
    <hyperlink ref="B1" location="流动资产汇总表!B8" display="返回"/>
  </hyperlinks>
  <printOptions horizontalCentered="1"/>
  <pageMargins left="0.393700787401575" right="0.393700787401575" top="0.984251968503937" bottom="0.393700787401575" header="0.984251968503937" footer="0.393700787401575"/>
  <pageSetup paperSize="9" orientation="landscape"/>
  <headerFooter alignWithMargins="0">
    <oddHeader>&amp;R&amp;"宋体,常规"&amp;11共&amp;N页，第&amp;P页&amp;"Times New Roman,常规"</oddHead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BX39"/>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5.2" style="75" customWidth="1"/>
    <col min="3" max="3" width="8.7" style="75" customWidth="1"/>
    <col min="4" max="4" width="9" style="75"/>
    <col min="5" max="5" width="6.7" style="75" customWidth="1"/>
    <col min="6" max="7" width="4.6" style="75" customWidth="1" outlineLevel="1"/>
    <col min="8" max="9" width="6.1" style="75" customWidth="1" outlineLevel="1"/>
    <col min="10" max="10" width="15.6" style="227" customWidth="1" outlineLevel="1"/>
    <col min="11" max="11" width="8.7" style="227" customWidth="1" outlineLevel="1"/>
    <col min="12" max="13" width="15.6" style="1216" customWidth="1" outlineLevel="1"/>
    <col min="14" max="14" width="15.6" style="227" customWidth="1"/>
    <col min="15" max="15" width="8.7" style="227" customWidth="1"/>
    <col min="16" max="16" width="15.6" style="227" customWidth="1"/>
    <col min="17" max="17" width="8.7" style="227" customWidth="1"/>
    <col min="18" max="18" width="8.6" style="227" customWidth="1"/>
    <col min="19" max="19" width="4.7" style="227" customWidth="1"/>
    <col min="20" max="20" width="8.6" style="75" customWidth="1"/>
    <col min="21" max="52" width="9" style="75" hidden="1" customWidth="1" outlineLevel="1"/>
    <col min="53" max="53" width="14.7" style="75" customWidth="1" collapsed="1"/>
    <col min="54" max="54" width="6.7" style="75" customWidth="1"/>
    <col min="55" max="56" width="5" style="165" customWidth="1"/>
    <col min="57" max="57" width="8.6" style="165" customWidth="1"/>
    <col min="58" max="59" width="9.6" style="75" customWidth="1"/>
    <col min="60" max="62" width="5" style="75" customWidth="1"/>
    <col min="63" max="63" width="6.7" style="75" customWidth="1"/>
    <col min="64" max="64" width="8.7" style="75" customWidth="1"/>
    <col min="65" max="66" width="6.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8.5" style="78" customWidth="1"/>
    <col min="75" max="75" width="5" style="78" customWidth="1"/>
    <col min="76" max="76" width="5" style="77" customWidth="1"/>
    <col min="77" max="16384" width="9" style="75"/>
  </cols>
  <sheetData>
    <row r="1" s="86" customFormat="1" ht="13.8" spans="1:76">
      <c r="A1" s="1284" t="s">
        <v>1591</v>
      </c>
      <c r="B1" s="1285" t="s">
        <v>1592</v>
      </c>
      <c r="C1" s="82"/>
      <c r="D1" s="82"/>
      <c r="E1" s="82"/>
      <c r="F1" s="82"/>
      <c r="G1" s="82"/>
      <c r="H1" s="82"/>
      <c r="I1" s="82"/>
      <c r="J1" s="82"/>
      <c r="K1" s="82"/>
      <c r="L1" s="205"/>
      <c r="M1" s="205"/>
      <c r="N1" s="82"/>
      <c r="O1" s="82"/>
      <c r="P1" s="82"/>
      <c r="Q1" s="82"/>
      <c r="R1" s="82"/>
      <c r="S1" s="82"/>
      <c r="T1" s="82"/>
      <c r="BA1" s="84" t="str">
        <f>参数表!BA1</f>
        <v>注意：补充特殊事项、作价等均从BA列开始填写</v>
      </c>
      <c r="BB1" s="85"/>
      <c r="BC1" s="82"/>
      <c r="BD1" s="82"/>
      <c r="BE1" s="82"/>
      <c r="BO1" s="87"/>
      <c r="BP1" s="88"/>
      <c r="BQ1" s="87"/>
      <c r="BR1" s="88"/>
      <c r="BS1" s="88"/>
      <c r="BT1" s="88"/>
      <c r="BU1" s="88"/>
      <c r="BV1" s="88"/>
      <c r="BW1" s="88"/>
      <c r="BX1" s="87"/>
    </row>
    <row r="2" s="71" customFormat="1" ht="30" customHeight="1" spans="1:76">
      <c r="A2" s="89" t="s">
        <v>2019</v>
      </c>
      <c r="B2" s="89"/>
      <c r="C2" s="89"/>
      <c r="D2" s="89"/>
      <c r="E2" s="89"/>
      <c r="F2" s="89"/>
      <c r="G2" s="89"/>
      <c r="H2" s="89"/>
      <c r="I2" s="89"/>
      <c r="J2" s="89"/>
      <c r="K2" s="89"/>
      <c r="L2" s="89"/>
      <c r="M2" s="89"/>
      <c r="N2" s="89"/>
      <c r="O2" s="89"/>
      <c r="P2" s="89"/>
      <c r="Q2" s="89"/>
      <c r="R2" s="89"/>
      <c r="S2" s="89"/>
      <c r="T2" s="89"/>
      <c r="BA2" s="90" t="str">
        <f>参数表!BA2</f>
        <v>评估基准日：</v>
      </c>
      <c r="BB2" s="91" t="str">
        <f>参数表!BB2</f>
        <v>2025年7月31日</v>
      </c>
      <c r="BC2" s="171"/>
      <c r="BD2" s="171"/>
      <c r="BE2" s="171"/>
      <c r="BO2" s="92"/>
      <c r="BP2" s="93"/>
      <c r="BQ2" s="92"/>
      <c r="BR2" s="93"/>
      <c r="BS2" s="93"/>
      <c r="BT2" s="93"/>
      <c r="BU2" s="93"/>
      <c r="BV2" s="93"/>
      <c r="BW2" s="93"/>
      <c r="BX2" s="92"/>
    </row>
    <row r="3" ht="15" customHeight="1" spans="1:76">
      <c r="A3" s="94" t="str">
        <f>参数表!F5</f>
        <v>评估基准日：2025年7月31日</v>
      </c>
      <c r="B3" s="94"/>
      <c r="C3" s="94"/>
      <c r="D3" s="94"/>
      <c r="E3" s="94"/>
      <c r="F3" s="94"/>
      <c r="G3" s="94"/>
      <c r="H3" s="94"/>
      <c r="I3" s="94"/>
      <c r="J3" s="94"/>
      <c r="K3" s="94"/>
      <c r="L3" s="94"/>
      <c r="M3" s="94"/>
      <c r="N3" s="94"/>
      <c r="O3" s="94"/>
      <c r="P3" s="95"/>
      <c r="Q3" s="95"/>
      <c r="R3" s="95"/>
      <c r="S3" s="95"/>
      <c r="T3" s="95"/>
      <c r="BA3" s="90" t="str">
        <f>参数表!BA3</f>
        <v>是否显示评估值：</v>
      </c>
      <c r="BB3" s="90" t="str">
        <f>参数表!BB3</f>
        <v>是</v>
      </c>
      <c r="BQ3" s="78"/>
    </row>
    <row r="4" ht="15" customHeight="1" spans="1:76">
      <c r="A4" s="96"/>
      <c r="B4" s="94"/>
      <c r="C4" s="94"/>
      <c r="D4" s="94"/>
      <c r="E4" s="94"/>
      <c r="F4" s="94"/>
      <c r="G4" s="94"/>
      <c r="H4" s="94"/>
      <c r="I4" s="94"/>
      <c r="J4" s="94"/>
      <c r="K4" s="94"/>
      <c r="L4" s="97"/>
      <c r="M4" s="97"/>
      <c r="N4" s="94"/>
      <c r="O4" s="94"/>
      <c r="P4" s="95"/>
      <c r="Q4" s="95"/>
      <c r="R4" s="95"/>
      <c r="S4" s="95"/>
      <c r="T4" s="98" t="str">
        <f>"表"&amp;$BA4</f>
        <v>表3-7-1</v>
      </c>
      <c r="BA4" s="95" t="str">
        <f>应收款融资总!A7</f>
        <v>3-7-1</v>
      </c>
      <c r="BB4" s="100">
        <f>MAX(COUNTA(A7:A26),COUNTA(B7:B26),COUNTA(J7:J26),COUNTA(K7:K26))</f>
        <v>20</v>
      </c>
      <c r="BC4" s="101">
        <f>ROW(A6)+1</f>
        <v>7</v>
      </c>
      <c r="BD4" s="77"/>
      <c r="BE4" s="77"/>
      <c r="BQ4" s="78"/>
    </row>
    <row r="5" ht="15" customHeight="1" spans="1:76">
      <c r="A5" s="102" t="str">
        <f>参数表!F3</f>
        <v>产权持有单位:中煤第五建设有限公司</v>
      </c>
      <c r="B5" s="103"/>
      <c r="C5" s="103"/>
      <c r="D5" s="103"/>
      <c r="E5" s="103"/>
      <c r="F5" s="103"/>
      <c r="G5" s="103"/>
      <c r="H5" s="103"/>
      <c r="I5" s="103"/>
      <c r="J5" s="1217"/>
      <c r="K5" s="1217"/>
      <c r="L5" s="1218"/>
      <c r="M5" s="1218"/>
      <c r="N5" s="1217"/>
      <c r="O5" s="1217"/>
      <c r="P5" s="1217"/>
      <c r="Q5" s="1217"/>
      <c r="R5" s="1217"/>
      <c r="S5" s="1217"/>
      <c r="T5" s="98" t="s">
        <v>236</v>
      </c>
      <c r="BA5" s="103"/>
      <c r="BB5" s="105" t="str">
        <f ca="1">判断表!C22</f>
        <v>中煤第五建设有限公司第三工程处拟处置实物资产项目\[0000-3基础法明细表.xlsx]融资-应收票据</v>
      </c>
      <c r="BC5" s="106">
        <f>IFERROR(SUMIF(BC7:BC26,"√",N7:N26)/N27,0)</f>
        <v>0</v>
      </c>
      <c r="BD5" s="107"/>
      <c r="BE5" s="107"/>
      <c r="BF5" s="284">
        <f>分类汇总!I14</f>
        <v>0</v>
      </c>
      <c r="BG5" s="284">
        <f>分类汇总!K14</f>
        <v>0</v>
      </c>
      <c r="BH5" s="165"/>
      <c r="BI5" s="165"/>
      <c r="BJ5" s="165"/>
      <c r="BK5" s="165"/>
      <c r="BO5" s="111"/>
      <c r="BQ5" s="78"/>
      <c r="BU5" s="194"/>
      <c r="BV5" s="194"/>
      <c r="BW5" s="194"/>
      <c r="BX5" s="111"/>
    </row>
    <row r="6" s="72" customFormat="1" ht="25.2" customHeight="1" spans="1:76">
      <c r="A6" s="112" t="s">
        <v>305</v>
      </c>
      <c r="B6" s="113" t="s">
        <v>1897</v>
      </c>
      <c r="C6" s="113" t="s">
        <v>1924</v>
      </c>
      <c r="D6" s="113" t="s">
        <v>1899</v>
      </c>
      <c r="E6" s="118" t="s">
        <v>1775</v>
      </c>
      <c r="F6" s="114" t="s">
        <v>1631</v>
      </c>
      <c r="G6" s="115" t="s">
        <v>1632</v>
      </c>
      <c r="H6" s="115" t="s">
        <v>1633</v>
      </c>
      <c r="I6" s="116" t="s">
        <v>1925</v>
      </c>
      <c r="J6" s="1219" t="s">
        <v>1549</v>
      </c>
      <c r="K6" s="1219" t="s">
        <v>1926</v>
      </c>
      <c r="L6" s="1286" t="s">
        <v>1927</v>
      </c>
      <c r="M6" s="1286" t="s">
        <v>1928</v>
      </c>
      <c r="N6" s="113" t="s">
        <v>1523</v>
      </c>
      <c r="O6" s="113" t="s">
        <v>1926</v>
      </c>
      <c r="P6" s="1219" t="s">
        <v>1550</v>
      </c>
      <c r="Q6" s="1219" t="s">
        <v>1929</v>
      </c>
      <c r="R6" s="113" t="s">
        <v>1525</v>
      </c>
      <c r="S6" s="1272" t="s">
        <v>1551</v>
      </c>
      <c r="T6" s="113" t="s">
        <v>308</v>
      </c>
      <c r="BA6" s="100" t="s">
        <v>1545</v>
      </c>
      <c r="BB6" s="100" t="s">
        <v>1635</v>
      </c>
      <c r="BC6" s="100" t="s">
        <v>1636</v>
      </c>
      <c r="BD6" s="100" t="s">
        <v>1637</v>
      </c>
      <c r="BE6" s="100" t="s">
        <v>1638</v>
      </c>
      <c r="BF6" s="115" t="s">
        <v>1639</v>
      </c>
      <c r="BG6" s="115" t="s">
        <v>1640</v>
      </c>
      <c r="BH6" s="113" t="s">
        <v>1748</v>
      </c>
      <c r="BI6" s="113" t="s">
        <v>1749</v>
      </c>
      <c r="BJ6" s="118" t="s">
        <v>1750</v>
      </c>
      <c r="BK6" s="118" t="s">
        <v>1930</v>
      </c>
      <c r="BL6" s="113" t="s">
        <v>1644</v>
      </c>
      <c r="BM6" s="224" t="s">
        <v>1931</v>
      </c>
      <c r="BN6" s="224" t="s">
        <v>1932</v>
      </c>
      <c r="BO6" s="119"/>
      <c r="BP6" s="120" t="s">
        <v>1645</v>
      </c>
      <c r="BQ6" s="121" t="s">
        <v>1646</v>
      </c>
      <c r="BR6" s="121" t="s">
        <v>1647</v>
      </c>
      <c r="BS6" s="121" t="s">
        <v>1648</v>
      </c>
      <c r="BT6" s="121" t="s">
        <v>1647</v>
      </c>
      <c r="BU6" s="121" t="s">
        <v>1647</v>
      </c>
      <c r="BV6" s="121" t="s">
        <v>1649</v>
      </c>
      <c r="BW6" s="121" t="s">
        <v>1933</v>
      </c>
      <c r="BX6" s="122" t="s">
        <v>1650</v>
      </c>
    </row>
    <row r="7" ht="15" customHeight="1" spans="1:76">
      <c r="A7" s="123" t="str">
        <f>IF(B7="","",COUNT(A$6:A6)+1)</f>
        <v/>
      </c>
      <c r="B7" s="124"/>
      <c r="C7" s="125"/>
      <c r="D7" s="125"/>
      <c r="E7" s="1287"/>
      <c r="F7" s="127"/>
      <c r="G7" s="127" t="str">
        <f>IFERROR(VLOOKUP(F7,参数表!$H$2:$I$50,2,FALSE),"")</f>
        <v/>
      </c>
      <c r="H7" s="128" t="str">
        <f>IFERROR(IF(OR(F7="人民币",F7=""),"",N7/G7),"")</f>
        <v/>
      </c>
      <c r="I7" s="128" t="str">
        <f>IFERROR(IF(OR(F7="人民币",F7=""),"",O7/G7),"")</f>
        <v/>
      </c>
      <c r="J7" s="129"/>
      <c r="K7" s="129"/>
      <c r="L7" s="130"/>
      <c r="M7" s="130"/>
      <c r="N7" s="129" t="str">
        <f>IF(B7="","",J7+L7)</f>
        <v/>
      </c>
      <c r="O7" s="129" t="str">
        <f>IF(B7="","",K7+M7)</f>
        <v/>
      </c>
      <c r="P7" s="129" t="str">
        <f t="shared" ref="P7:P26" si="0">IF(B7="","",IF(BB$3="是",N7,""))</f>
        <v/>
      </c>
      <c r="Q7" s="129" t="str">
        <f t="shared" ref="Q7:Q26" si="1">IF(B7="","",IF(BB$3="是",O7,""))</f>
        <v/>
      </c>
      <c r="R7" s="129" t="str">
        <f t="shared" ref="R7:R30" si="2">IFERROR((P7-Q7)-(N7-O7),"")</f>
        <v/>
      </c>
      <c r="S7" s="129" t="str">
        <f t="shared" ref="S7:S30" si="3">IFERROR(R7/(P7-Q7)*100,"")</f>
        <v/>
      </c>
      <c r="T7" s="131"/>
      <c r="BA7" s="78"/>
      <c r="BB7" s="132" t="s">
        <v>2020</v>
      </c>
      <c r="BC7" s="133"/>
      <c r="BD7" s="132" t="str">
        <f>IF(OR(B7="",BC7=""),"",COUNTIF(BC$7:BC7,"√"))</f>
        <v/>
      </c>
      <c r="BE7" s="134" t="str">
        <f t="shared" ref="BE7:BE26" si="4">IF(BC7="","",BB7&amp;"︱"&amp;B7&amp;"︱"&amp;TEXT(J7,"#,##0.00"))</f>
        <v/>
      </c>
      <c r="BF7" s="135" t="str">
        <f>IF($B7="","",IF(BF$5=0,"OK","出错"))</f>
        <v/>
      </c>
      <c r="BG7" s="135" t="str">
        <f>IF($B7="","",IF(BG$5=0,"OK","出错"))</f>
        <v/>
      </c>
      <c r="BH7" s="136"/>
      <c r="BI7" s="136"/>
      <c r="BJ7" s="136"/>
      <c r="BK7" s="136"/>
      <c r="BL7" s="137"/>
      <c r="BM7" s="103">
        <f t="shared" ref="BM7:BM26" si="5">DATEDIF(C7,D7,"M")</f>
        <v>0</v>
      </c>
      <c r="BN7" s="95" t="str">
        <f t="shared" ref="BN7:BN26" si="6">IF(BB$2-D7&lt;0,"否","已过期")</f>
        <v>已过期</v>
      </c>
      <c r="BP7" s="345">
        <f>IF(COUNTIF(BP$6:BP6,E7)&gt;0,"",E7)</f>
        <v>0</v>
      </c>
      <c r="BQ7" s="138">
        <f>SUMIF(E$7:E$26,BP7,N$7:N$26)</f>
        <v>0</v>
      </c>
      <c r="BR7" s="132">
        <f t="shared" ref="BR7" si="7">RANK(BQ7,BQ$7:BQ$26)</f>
        <v>1</v>
      </c>
      <c r="BS7" s="138">
        <f>SUMIF(E$7:E$26,BP7,P$7:P$26)</f>
        <v>0</v>
      </c>
      <c r="BT7" s="132">
        <f>RANK(BS7,BS$7:BS$26)</f>
        <v>1</v>
      </c>
      <c r="BU7" s="138">
        <f>SUM(BQ7:BQ26)</f>
        <v>0</v>
      </c>
      <c r="BV7" s="138"/>
      <c r="BW7" s="138"/>
      <c r="BX7" s="138"/>
    </row>
    <row r="8" ht="15" customHeight="1" spans="1:76">
      <c r="A8" s="123" t="str">
        <f>IF(B8="","",COUNT(A$6:A7)+1)</f>
        <v/>
      </c>
      <c r="B8" s="139"/>
      <c r="C8" s="140"/>
      <c r="D8" s="140"/>
      <c r="E8" s="1288"/>
      <c r="F8" s="142"/>
      <c r="G8" s="127" t="str">
        <f>IFERROR(VLOOKUP(F8,参数表!$H$2:$I$50,2,FALSE),"")</f>
        <v/>
      </c>
      <c r="H8" s="128" t="str">
        <f t="shared" ref="H8:H26" si="8">IFERROR(IF(OR(F8="人民币",F8=""),"",N8/G8),"")</f>
        <v/>
      </c>
      <c r="I8" s="128" t="str">
        <f>IFERROR(IF(OR(F8="人民币",F8=""),"",O8/G8),"")</f>
        <v/>
      </c>
      <c r="J8" s="143"/>
      <c r="K8" s="143"/>
      <c r="L8" s="144"/>
      <c r="M8" s="144"/>
      <c r="N8" s="129" t="str">
        <f t="shared" ref="N8:N26" si="9">IF(B8="","",J8+L8)</f>
        <v/>
      </c>
      <c r="O8" s="129" t="str">
        <f t="shared" ref="O8:O26" si="10">IF(B8="","",K8+M8)</f>
        <v/>
      </c>
      <c r="P8" s="129" t="str">
        <f t="shared" si="0"/>
        <v/>
      </c>
      <c r="Q8" s="129" t="str">
        <f t="shared" si="1"/>
        <v/>
      </c>
      <c r="R8" s="129" t="str">
        <f t="shared" si="2"/>
        <v/>
      </c>
      <c r="S8" s="129" t="str">
        <f t="shared" si="3"/>
        <v/>
      </c>
      <c r="T8" s="145"/>
      <c r="BA8" s="78"/>
      <c r="BB8" s="132" t="s">
        <v>2021</v>
      </c>
      <c r="BC8" s="133"/>
      <c r="BD8" s="132" t="str">
        <f>IF(OR(B8="",BC8=""),"",COUNTIF(BC$7:BC8,"√"))</f>
        <v/>
      </c>
      <c r="BE8" s="134" t="str">
        <f t="shared" si="4"/>
        <v/>
      </c>
      <c r="BF8" s="135" t="str">
        <f t="shared" ref="BF8:BG26" si="11">IF($B8="","",IF(BF$5=0,"OK","出错"))</f>
        <v/>
      </c>
      <c r="BG8" s="135" t="str">
        <f t="shared" si="11"/>
        <v/>
      </c>
      <c r="BH8" s="136"/>
      <c r="BI8" s="136"/>
      <c r="BJ8" s="136"/>
      <c r="BK8" s="136"/>
      <c r="BL8" s="137"/>
      <c r="BM8" s="103">
        <f t="shared" si="5"/>
        <v>0</v>
      </c>
      <c r="BN8" s="95" t="str">
        <f t="shared" si="6"/>
        <v>已过期</v>
      </c>
      <c r="BP8" s="345" t="str">
        <f>IF(COUNTIF(BP$6:BP7,E8)&gt;0,"",E8)</f>
        <v/>
      </c>
      <c r="BQ8" s="138">
        <f t="shared" ref="BQ8:BQ26" si="12">SUMIF(E$7:E$26,BP8,N$7:N$26)</f>
        <v>0</v>
      </c>
      <c r="BR8" s="132">
        <f t="shared" ref="BR8:BR26" si="13">RANK(BQ8,BQ$7:BQ$26)</f>
        <v>1</v>
      </c>
      <c r="BS8" s="138">
        <f t="shared" ref="BS8:BS26" si="14">SUMIF(E$7:E$26,BP8,P$7:P$26)</f>
        <v>0</v>
      </c>
      <c r="BT8" s="132">
        <f t="shared" ref="BT8:BT26" si="15">RANK(BS8,BS$7:BS$26)</f>
        <v>1</v>
      </c>
      <c r="BU8" s="138">
        <f>SUM(BS7:BS26)</f>
        <v>0</v>
      </c>
      <c r="BV8" s="138"/>
      <c r="BW8" s="138"/>
      <c r="BX8" s="138"/>
    </row>
    <row r="9" ht="15" customHeight="1" spans="1:76">
      <c r="A9" s="123" t="str">
        <f>IF(B9="","",COUNT(A$6:A8)+1)</f>
        <v/>
      </c>
      <c r="B9" s="139"/>
      <c r="C9" s="140"/>
      <c r="D9" s="140"/>
      <c r="E9" s="1288"/>
      <c r="F9" s="142"/>
      <c r="G9" s="127" t="str">
        <f>IFERROR(VLOOKUP(F9,参数表!$H$2:$I$50,2,FALSE),"")</f>
        <v/>
      </c>
      <c r="H9" s="128" t="str">
        <f t="shared" si="8"/>
        <v/>
      </c>
      <c r="I9" s="128" t="str">
        <f t="shared" ref="I9:I26" si="16">IFERROR(IF(OR(F9="人民币",F9=""),"",O9/G9),"")</f>
        <v/>
      </c>
      <c r="J9" s="143"/>
      <c r="K9" s="143"/>
      <c r="L9" s="144"/>
      <c r="M9" s="144"/>
      <c r="N9" s="129" t="str">
        <f t="shared" si="9"/>
        <v/>
      </c>
      <c r="O9" s="129" t="str">
        <f t="shared" si="10"/>
        <v/>
      </c>
      <c r="P9" s="129" t="str">
        <f t="shared" si="0"/>
        <v/>
      </c>
      <c r="Q9" s="129" t="str">
        <f t="shared" si="1"/>
        <v/>
      </c>
      <c r="R9" s="129" t="str">
        <f t="shared" si="2"/>
        <v/>
      </c>
      <c r="S9" s="129" t="str">
        <f t="shared" si="3"/>
        <v/>
      </c>
      <c r="T9" s="145"/>
      <c r="BA9" s="78"/>
      <c r="BB9" s="132" t="s">
        <v>2022</v>
      </c>
      <c r="BC9" s="133"/>
      <c r="BD9" s="132" t="str">
        <f>IF(OR(B9="",BC9=""),"",COUNTIF(BC$7:BC9,"√"))</f>
        <v/>
      </c>
      <c r="BE9" s="134" t="str">
        <f t="shared" si="4"/>
        <v/>
      </c>
      <c r="BF9" s="135" t="str">
        <f t="shared" si="11"/>
        <v/>
      </c>
      <c r="BG9" s="135" t="str">
        <f t="shared" si="11"/>
        <v/>
      </c>
      <c r="BH9" s="136"/>
      <c r="BI9" s="136"/>
      <c r="BJ9" s="136"/>
      <c r="BK9" s="136"/>
      <c r="BL9" s="137"/>
      <c r="BM9" s="103">
        <f t="shared" si="5"/>
        <v>0</v>
      </c>
      <c r="BN9" s="95" t="str">
        <f t="shared" si="6"/>
        <v>已过期</v>
      </c>
      <c r="BP9" s="345" t="str">
        <f>IF(COUNTIF(BP$6:BP8,E9)&gt;0,"",E9)</f>
        <v/>
      </c>
      <c r="BQ9" s="138">
        <f t="shared" si="12"/>
        <v>0</v>
      </c>
      <c r="BR9" s="132">
        <f t="shared" si="13"/>
        <v>1</v>
      </c>
      <c r="BS9" s="138">
        <f t="shared" si="14"/>
        <v>0</v>
      </c>
      <c r="BT9" s="132">
        <f t="shared" si="15"/>
        <v>1</v>
      </c>
      <c r="BU9" s="132">
        <v>1</v>
      </c>
      <c r="BV9" s="345">
        <f>IFERROR(INDEX(BP$7:BP$26,MATCH(BU9,IF(BU$7=0,BT$7:BT$26,BR$7:BR$26),0)),"")</f>
        <v>0</v>
      </c>
      <c r="BW9" s="345" t="str">
        <f>IF(BV9=0,"无息",IF(BV9="","",TEXT(BV9,"0.00%")&amp;"利率"))</f>
        <v>无息</v>
      </c>
      <c r="BX9" s="146" t="str">
        <f>IF(BV10="","",IF(BV11="","和","、"))</f>
        <v/>
      </c>
    </row>
    <row r="10" ht="15" customHeight="1" spans="1:76">
      <c r="A10" s="123" t="str">
        <f>IF(B10="","",COUNT(A$6:A9)+1)</f>
        <v/>
      </c>
      <c r="B10" s="139"/>
      <c r="C10" s="140"/>
      <c r="D10" s="140"/>
      <c r="E10" s="1288"/>
      <c r="F10" s="142"/>
      <c r="G10" s="127" t="str">
        <f>IFERROR(VLOOKUP(F10,参数表!$H$2:$I$50,2,FALSE),"")</f>
        <v/>
      </c>
      <c r="H10" s="128" t="str">
        <f t="shared" si="8"/>
        <v/>
      </c>
      <c r="I10" s="128" t="str">
        <f t="shared" si="16"/>
        <v/>
      </c>
      <c r="J10" s="143"/>
      <c r="K10" s="143"/>
      <c r="L10" s="144"/>
      <c r="M10" s="144"/>
      <c r="N10" s="129" t="str">
        <f t="shared" si="9"/>
        <v/>
      </c>
      <c r="O10" s="129" t="str">
        <f t="shared" si="10"/>
        <v/>
      </c>
      <c r="P10" s="129" t="str">
        <f t="shared" si="0"/>
        <v/>
      </c>
      <c r="Q10" s="129" t="str">
        <f t="shared" si="1"/>
        <v/>
      </c>
      <c r="R10" s="129" t="str">
        <f t="shared" si="2"/>
        <v/>
      </c>
      <c r="S10" s="129" t="str">
        <f t="shared" si="3"/>
        <v/>
      </c>
      <c r="T10" s="145"/>
      <c r="BA10" s="78"/>
      <c r="BB10" s="132" t="s">
        <v>2023</v>
      </c>
      <c r="BC10" s="133"/>
      <c r="BD10" s="132" t="str">
        <f>IF(OR(B10="",BC10=""),"",COUNTIF(BC$7:BC10,"√"))</f>
        <v/>
      </c>
      <c r="BE10" s="134" t="str">
        <f t="shared" si="4"/>
        <v/>
      </c>
      <c r="BF10" s="135" t="str">
        <f t="shared" si="11"/>
        <v/>
      </c>
      <c r="BG10" s="135" t="str">
        <f t="shared" si="11"/>
        <v/>
      </c>
      <c r="BH10" s="136"/>
      <c r="BI10" s="136"/>
      <c r="BJ10" s="136"/>
      <c r="BK10" s="136"/>
      <c r="BL10" s="137"/>
      <c r="BM10" s="103">
        <f t="shared" si="5"/>
        <v>0</v>
      </c>
      <c r="BN10" s="95" t="str">
        <f t="shared" si="6"/>
        <v>已过期</v>
      </c>
      <c r="BP10" s="345" t="str">
        <f>IF(COUNTIF(BP$6:BP9,E10)&gt;0,"",E10)</f>
        <v/>
      </c>
      <c r="BQ10" s="138">
        <f t="shared" si="12"/>
        <v>0</v>
      </c>
      <c r="BR10" s="132">
        <f t="shared" si="13"/>
        <v>1</v>
      </c>
      <c r="BS10" s="138">
        <f t="shared" si="14"/>
        <v>0</v>
      </c>
      <c r="BT10" s="132">
        <f t="shared" si="15"/>
        <v>1</v>
      </c>
      <c r="BU10" s="132">
        <v>2</v>
      </c>
      <c r="BV10" s="345" t="str">
        <f t="shared" ref="BV10:BV13" si="17">IFERROR(INDEX(BP$7:BP$26,MATCH(BU10,IF(BU$7=0,BT$7:BT$26,BR$7:BR$26),0)),"")</f>
        <v/>
      </c>
      <c r="BW10" s="345" t="str">
        <f t="shared" ref="BW10:BW13" si="18">IF(BV10=0,"无息",IF(BV10="","",TEXT(BV10,"0.00%")&amp;"利率"))</f>
        <v/>
      </c>
      <c r="BX10" s="146" t="str">
        <f t="shared" ref="BX10:BX11" si="19">IF(BV11="","",IF(BV12="","和","、"))</f>
        <v/>
      </c>
    </row>
    <row r="11" ht="15" customHeight="1" spans="1:76">
      <c r="A11" s="123" t="str">
        <f>IF(B11="","",COUNT(A$6:A10)+1)</f>
        <v/>
      </c>
      <c r="B11" s="139"/>
      <c r="C11" s="140"/>
      <c r="D11" s="140"/>
      <c r="E11" s="1288"/>
      <c r="F11" s="142"/>
      <c r="G11" s="127" t="str">
        <f>IFERROR(VLOOKUP(F11,参数表!$H$2:$I$50,2,FALSE),"")</f>
        <v/>
      </c>
      <c r="H11" s="128" t="str">
        <f t="shared" si="8"/>
        <v/>
      </c>
      <c r="I11" s="128" t="str">
        <f t="shared" si="16"/>
        <v/>
      </c>
      <c r="J11" s="143"/>
      <c r="K11" s="143"/>
      <c r="L11" s="144"/>
      <c r="M11" s="144"/>
      <c r="N11" s="129" t="str">
        <f t="shared" si="9"/>
        <v/>
      </c>
      <c r="O11" s="129" t="str">
        <f t="shared" si="10"/>
        <v/>
      </c>
      <c r="P11" s="129" t="str">
        <f t="shared" si="0"/>
        <v/>
      </c>
      <c r="Q11" s="129" t="str">
        <f t="shared" si="1"/>
        <v/>
      </c>
      <c r="R11" s="129" t="str">
        <f t="shared" si="2"/>
        <v/>
      </c>
      <c r="S11" s="129" t="str">
        <f t="shared" si="3"/>
        <v/>
      </c>
      <c r="T11" s="145"/>
      <c r="BA11" s="78"/>
      <c r="BB11" s="132" t="s">
        <v>2024</v>
      </c>
      <c r="BC11" s="133"/>
      <c r="BD11" s="132" t="str">
        <f>IF(OR(B11="",BC11=""),"",COUNTIF(BC$7:BC11,"√"))</f>
        <v/>
      </c>
      <c r="BE11" s="134" t="str">
        <f t="shared" si="4"/>
        <v/>
      </c>
      <c r="BF11" s="135" t="str">
        <f t="shared" si="11"/>
        <v/>
      </c>
      <c r="BG11" s="135" t="str">
        <f t="shared" si="11"/>
        <v/>
      </c>
      <c r="BH11" s="136"/>
      <c r="BI11" s="136"/>
      <c r="BJ11" s="136"/>
      <c r="BK11" s="136"/>
      <c r="BL11" s="137"/>
      <c r="BM11" s="103">
        <f t="shared" si="5"/>
        <v>0</v>
      </c>
      <c r="BN11" s="95" t="str">
        <f t="shared" si="6"/>
        <v>已过期</v>
      </c>
      <c r="BP11" s="345" t="str">
        <f>IF(COUNTIF(BP$6:BP10,E11)&gt;0,"",E11)</f>
        <v/>
      </c>
      <c r="BQ11" s="138">
        <f t="shared" si="12"/>
        <v>0</v>
      </c>
      <c r="BR11" s="132">
        <f t="shared" si="13"/>
        <v>1</v>
      </c>
      <c r="BS11" s="138">
        <f t="shared" si="14"/>
        <v>0</v>
      </c>
      <c r="BT11" s="132">
        <f t="shared" si="15"/>
        <v>1</v>
      </c>
      <c r="BU11" s="132">
        <v>3</v>
      </c>
      <c r="BV11" s="345" t="str">
        <f t="shared" si="17"/>
        <v/>
      </c>
      <c r="BW11" s="345" t="str">
        <f t="shared" si="18"/>
        <v/>
      </c>
      <c r="BX11" s="146" t="str">
        <f t="shared" si="19"/>
        <v/>
      </c>
    </row>
    <row r="12" ht="15" customHeight="1" spans="1:76">
      <c r="A12" s="123" t="str">
        <f>IF(B12="","",COUNT(A$6:A11)+1)</f>
        <v/>
      </c>
      <c r="B12" s="139"/>
      <c r="C12" s="140"/>
      <c r="D12" s="140"/>
      <c r="E12" s="1288"/>
      <c r="F12" s="142"/>
      <c r="G12" s="127" t="str">
        <f>IFERROR(VLOOKUP(F12,参数表!$H$2:$I$50,2,FALSE),"")</f>
        <v/>
      </c>
      <c r="H12" s="128" t="str">
        <f t="shared" si="8"/>
        <v/>
      </c>
      <c r="I12" s="128" t="str">
        <f t="shared" si="16"/>
        <v/>
      </c>
      <c r="J12" s="143"/>
      <c r="K12" s="143"/>
      <c r="L12" s="144"/>
      <c r="M12" s="144"/>
      <c r="N12" s="129" t="str">
        <f t="shared" si="9"/>
        <v/>
      </c>
      <c r="O12" s="129" t="str">
        <f t="shared" si="10"/>
        <v/>
      </c>
      <c r="P12" s="129" t="str">
        <f t="shared" si="0"/>
        <v/>
      </c>
      <c r="Q12" s="129" t="str">
        <f t="shared" si="1"/>
        <v/>
      </c>
      <c r="R12" s="129" t="str">
        <f t="shared" si="2"/>
        <v/>
      </c>
      <c r="S12" s="129" t="str">
        <f t="shared" si="3"/>
        <v/>
      </c>
      <c r="T12" s="145"/>
      <c r="BA12" s="78"/>
      <c r="BB12" s="132" t="s">
        <v>2025</v>
      </c>
      <c r="BC12" s="133"/>
      <c r="BD12" s="132" t="str">
        <f>IF(OR(B12="",BC12=""),"",COUNTIF(BC$7:BC12,"√"))</f>
        <v/>
      </c>
      <c r="BE12" s="134" t="str">
        <f t="shared" si="4"/>
        <v/>
      </c>
      <c r="BF12" s="135" t="str">
        <f t="shared" si="11"/>
        <v/>
      </c>
      <c r="BG12" s="135" t="str">
        <f t="shared" si="11"/>
        <v/>
      </c>
      <c r="BH12" s="136"/>
      <c r="BI12" s="136"/>
      <c r="BJ12" s="136"/>
      <c r="BK12" s="136"/>
      <c r="BL12" s="137"/>
      <c r="BM12" s="103">
        <f t="shared" si="5"/>
        <v>0</v>
      </c>
      <c r="BN12" s="95" t="str">
        <f t="shared" si="6"/>
        <v>已过期</v>
      </c>
      <c r="BP12" s="345" t="str">
        <f>IF(COUNTIF(BP$6:BP11,E12)&gt;0,"",E12)</f>
        <v/>
      </c>
      <c r="BQ12" s="138">
        <f t="shared" si="12"/>
        <v>0</v>
      </c>
      <c r="BR12" s="132">
        <f t="shared" si="13"/>
        <v>1</v>
      </c>
      <c r="BS12" s="138">
        <f t="shared" si="14"/>
        <v>0</v>
      </c>
      <c r="BT12" s="132">
        <f t="shared" si="15"/>
        <v>1</v>
      </c>
      <c r="BU12" s="132">
        <v>4</v>
      </c>
      <c r="BV12" s="345" t="str">
        <f t="shared" si="17"/>
        <v/>
      </c>
      <c r="BW12" s="345" t="str">
        <f t="shared" si="18"/>
        <v/>
      </c>
      <c r="BX12" s="146" t="str">
        <f>IF(BV13="","","和")</f>
        <v/>
      </c>
    </row>
    <row r="13" ht="15" customHeight="1" spans="1:76">
      <c r="A13" s="123" t="str">
        <f>IF(B13="","",COUNT(A$6:A12)+1)</f>
        <v/>
      </c>
      <c r="B13" s="139"/>
      <c r="C13" s="140"/>
      <c r="D13" s="140"/>
      <c r="E13" s="1288"/>
      <c r="F13" s="142"/>
      <c r="G13" s="127" t="str">
        <f>IFERROR(VLOOKUP(F13,参数表!$H$2:$I$50,2,FALSE),"")</f>
        <v/>
      </c>
      <c r="H13" s="128" t="str">
        <f t="shared" si="8"/>
        <v/>
      </c>
      <c r="I13" s="128" t="str">
        <f t="shared" si="16"/>
        <v/>
      </c>
      <c r="J13" s="143"/>
      <c r="K13" s="143"/>
      <c r="L13" s="144"/>
      <c r="M13" s="144"/>
      <c r="N13" s="129" t="str">
        <f t="shared" si="9"/>
        <v/>
      </c>
      <c r="O13" s="129" t="str">
        <f t="shared" si="10"/>
        <v/>
      </c>
      <c r="P13" s="129" t="str">
        <f t="shared" si="0"/>
        <v/>
      </c>
      <c r="Q13" s="129" t="str">
        <f t="shared" si="1"/>
        <v/>
      </c>
      <c r="R13" s="129" t="str">
        <f t="shared" si="2"/>
        <v/>
      </c>
      <c r="S13" s="129" t="str">
        <f t="shared" si="3"/>
        <v/>
      </c>
      <c r="T13" s="145"/>
      <c r="BA13" s="78"/>
      <c r="BB13" s="132" t="s">
        <v>2026</v>
      </c>
      <c r="BC13" s="133"/>
      <c r="BD13" s="132" t="str">
        <f>IF(OR(B13="",BC13=""),"",COUNTIF(BC$7:BC13,"√"))</f>
        <v/>
      </c>
      <c r="BE13" s="134" t="str">
        <f t="shared" si="4"/>
        <v/>
      </c>
      <c r="BF13" s="135" t="str">
        <f t="shared" si="11"/>
        <v/>
      </c>
      <c r="BG13" s="135" t="str">
        <f t="shared" si="11"/>
        <v/>
      </c>
      <c r="BH13" s="136"/>
      <c r="BI13" s="136"/>
      <c r="BJ13" s="136"/>
      <c r="BK13" s="136"/>
      <c r="BL13" s="137"/>
      <c r="BM13" s="103">
        <f t="shared" si="5"/>
        <v>0</v>
      </c>
      <c r="BN13" s="95" t="str">
        <f t="shared" si="6"/>
        <v>已过期</v>
      </c>
      <c r="BP13" s="345" t="str">
        <f>IF(COUNTIF(BP$6:BP12,E13)&gt;0,"",E13)</f>
        <v/>
      </c>
      <c r="BQ13" s="138">
        <f t="shared" si="12"/>
        <v>0</v>
      </c>
      <c r="BR13" s="132">
        <f t="shared" si="13"/>
        <v>1</v>
      </c>
      <c r="BS13" s="138">
        <f t="shared" si="14"/>
        <v>0</v>
      </c>
      <c r="BT13" s="132">
        <f t="shared" si="15"/>
        <v>1</v>
      </c>
      <c r="BU13" s="132">
        <v>5</v>
      </c>
      <c r="BV13" s="345" t="str">
        <f t="shared" si="17"/>
        <v/>
      </c>
      <c r="BW13" s="345" t="str">
        <f t="shared" si="18"/>
        <v/>
      </c>
      <c r="BX13" s="146"/>
    </row>
    <row r="14" ht="15" customHeight="1" spans="1:76">
      <c r="A14" s="123" t="str">
        <f>IF(B14="","",COUNT(A$6:A13)+1)</f>
        <v/>
      </c>
      <c r="B14" s="139"/>
      <c r="C14" s="140"/>
      <c r="D14" s="140"/>
      <c r="E14" s="1288"/>
      <c r="F14" s="142"/>
      <c r="G14" s="127" t="str">
        <f>IFERROR(VLOOKUP(F14,参数表!$H$2:$I$50,2,FALSE),"")</f>
        <v/>
      </c>
      <c r="H14" s="128" t="str">
        <f t="shared" si="8"/>
        <v/>
      </c>
      <c r="I14" s="128" t="str">
        <f t="shared" si="16"/>
        <v/>
      </c>
      <c r="J14" s="143"/>
      <c r="K14" s="143"/>
      <c r="L14" s="144"/>
      <c r="M14" s="144"/>
      <c r="N14" s="129" t="str">
        <f t="shared" si="9"/>
        <v/>
      </c>
      <c r="O14" s="129" t="str">
        <f t="shared" si="10"/>
        <v/>
      </c>
      <c r="P14" s="129" t="str">
        <f t="shared" si="0"/>
        <v/>
      </c>
      <c r="Q14" s="129" t="str">
        <f t="shared" si="1"/>
        <v/>
      </c>
      <c r="R14" s="129" t="str">
        <f t="shared" si="2"/>
        <v/>
      </c>
      <c r="S14" s="129" t="str">
        <f t="shared" si="3"/>
        <v/>
      </c>
      <c r="T14" s="145"/>
      <c r="BA14" s="78"/>
      <c r="BB14" s="132" t="s">
        <v>2027</v>
      </c>
      <c r="BC14" s="133"/>
      <c r="BD14" s="132" t="str">
        <f>IF(OR(B14="",BC14=""),"",COUNTIF(BC$7:BC14,"√"))</f>
        <v/>
      </c>
      <c r="BE14" s="134" t="str">
        <f t="shared" si="4"/>
        <v/>
      </c>
      <c r="BF14" s="135" t="str">
        <f t="shared" si="11"/>
        <v/>
      </c>
      <c r="BG14" s="135" t="str">
        <f t="shared" si="11"/>
        <v/>
      </c>
      <c r="BH14" s="136"/>
      <c r="BI14" s="136"/>
      <c r="BJ14" s="136"/>
      <c r="BK14" s="136"/>
      <c r="BL14" s="137"/>
      <c r="BM14" s="103">
        <f t="shared" si="5"/>
        <v>0</v>
      </c>
      <c r="BN14" s="95" t="str">
        <f t="shared" si="6"/>
        <v>已过期</v>
      </c>
      <c r="BP14" s="345" t="str">
        <f>IF(COUNTIF(BP$6:BP13,E14)&gt;0,"",E14)</f>
        <v/>
      </c>
      <c r="BQ14" s="138">
        <f t="shared" si="12"/>
        <v>0</v>
      </c>
      <c r="BR14" s="132">
        <f t="shared" si="13"/>
        <v>1</v>
      </c>
      <c r="BS14" s="138">
        <f t="shared" si="14"/>
        <v>0</v>
      </c>
      <c r="BT14" s="132">
        <f t="shared" si="15"/>
        <v>1</v>
      </c>
      <c r="BU14" s="147" t="s">
        <v>1659</v>
      </c>
      <c r="BV14" s="132" t="str">
        <f>CONCATENATE(BW9,BX9,BW10,BX10,BW11,BX11,BW12,BX12,BW13)</f>
        <v>无息</v>
      </c>
      <c r="BW14" s="132"/>
      <c r="BX14" s="132"/>
    </row>
    <row r="15" ht="15" customHeight="1" spans="1:76">
      <c r="A15" s="123" t="str">
        <f>IF(B15="","",COUNT(A$6:A14)+1)</f>
        <v/>
      </c>
      <c r="B15" s="139"/>
      <c r="C15" s="140"/>
      <c r="D15" s="140"/>
      <c r="E15" s="1288"/>
      <c r="F15" s="142"/>
      <c r="G15" s="127" t="str">
        <f>IFERROR(VLOOKUP(F15,参数表!$H$2:$I$50,2,FALSE),"")</f>
        <v/>
      </c>
      <c r="H15" s="128" t="str">
        <f t="shared" si="8"/>
        <v/>
      </c>
      <c r="I15" s="128" t="str">
        <f t="shared" si="16"/>
        <v/>
      </c>
      <c r="J15" s="143"/>
      <c r="K15" s="143"/>
      <c r="L15" s="144"/>
      <c r="M15" s="144"/>
      <c r="N15" s="129" t="str">
        <f t="shared" si="9"/>
        <v/>
      </c>
      <c r="O15" s="129" t="str">
        <f t="shared" si="10"/>
        <v/>
      </c>
      <c r="P15" s="129" t="str">
        <f t="shared" si="0"/>
        <v/>
      </c>
      <c r="Q15" s="129" t="str">
        <f t="shared" si="1"/>
        <v/>
      </c>
      <c r="R15" s="129" t="str">
        <f t="shared" si="2"/>
        <v/>
      </c>
      <c r="S15" s="129" t="str">
        <f t="shared" si="3"/>
        <v/>
      </c>
      <c r="T15" s="145"/>
      <c r="BA15" s="78"/>
      <c r="BB15" s="132" t="s">
        <v>2028</v>
      </c>
      <c r="BC15" s="133"/>
      <c r="BD15" s="132" t="str">
        <f>IF(OR(B15="",BC15=""),"",COUNTIF(BC$7:BC15,"√"))</f>
        <v/>
      </c>
      <c r="BE15" s="134" t="str">
        <f t="shared" si="4"/>
        <v/>
      </c>
      <c r="BF15" s="135" t="str">
        <f t="shared" si="11"/>
        <v/>
      </c>
      <c r="BG15" s="135" t="str">
        <f t="shared" si="11"/>
        <v/>
      </c>
      <c r="BH15" s="136"/>
      <c r="BI15" s="136"/>
      <c r="BJ15" s="136"/>
      <c r="BK15" s="136"/>
      <c r="BL15" s="137"/>
      <c r="BM15" s="103">
        <f t="shared" si="5"/>
        <v>0</v>
      </c>
      <c r="BN15" s="95" t="str">
        <f t="shared" si="6"/>
        <v>已过期</v>
      </c>
      <c r="BP15" s="345" t="str">
        <f>IF(COUNTIF(BP$6:BP14,E15)&gt;0,"",E15)</f>
        <v/>
      </c>
      <c r="BQ15" s="138">
        <f t="shared" si="12"/>
        <v>0</v>
      </c>
      <c r="BR15" s="132">
        <f t="shared" si="13"/>
        <v>1</v>
      </c>
      <c r="BS15" s="138">
        <f t="shared" si="14"/>
        <v>0</v>
      </c>
      <c r="BT15" s="132">
        <f t="shared" si="15"/>
        <v>1</v>
      </c>
      <c r="BU15" s="133"/>
      <c r="BV15" s="133"/>
      <c r="BW15" s="133"/>
    </row>
    <row r="16" ht="15" customHeight="1" spans="1:76">
      <c r="A16" s="123" t="str">
        <f>IF(B16="","",COUNT(A$6:A15)+1)</f>
        <v/>
      </c>
      <c r="B16" s="139"/>
      <c r="C16" s="140"/>
      <c r="D16" s="140"/>
      <c r="E16" s="1288"/>
      <c r="F16" s="142"/>
      <c r="G16" s="127" t="str">
        <f>IFERROR(VLOOKUP(F16,参数表!$H$2:$I$50,2,FALSE),"")</f>
        <v/>
      </c>
      <c r="H16" s="128" t="str">
        <f t="shared" si="8"/>
        <v/>
      </c>
      <c r="I16" s="128" t="str">
        <f t="shared" si="16"/>
        <v/>
      </c>
      <c r="J16" s="143"/>
      <c r="K16" s="143"/>
      <c r="L16" s="144"/>
      <c r="M16" s="144"/>
      <c r="N16" s="129" t="str">
        <f t="shared" si="9"/>
        <v/>
      </c>
      <c r="O16" s="129" t="str">
        <f t="shared" si="10"/>
        <v/>
      </c>
      <c r="P16" s="129" t="str">
        <f t="shared" si="0"/>
        <v/>
      </c>
      <c r="Q16" s="129" t="str">
        <f t="shared" si="1"/>
        <v/>
      </c>
      <c r="R16" s="129" t="str">
        <f t="shared" si="2"/>
        <v/>
      </c>
      <c r="S16" s="129" t="str">
        <f t="shared" si="3"/>
        <v/>
      </c>
      <c r="T16" s="145"/>
      <c r="BA16" s="78"/>
      <c r="BB16" s="132" t="s">
        <v>2029</v>
      </c>
      <c r="BC16" s="133"/>
      <c r="BD16" s="132" t="str">
        <f>IF(OR(B16="",BC16=""),"",COUNTIF(BC$7:BC16,"√"))</f>
        <v/>
      </c>
      <c r="BE16" s="134" t="str">
        <f t="shared" si="4"/>
        <v/>
      </c>
      <c r="BF16" s="135" t="str">
        <f t="shared" si="11"/>
        <v/>
      </c>
      <c r="BG16" s="135" t="str">
        <f t="shared" si="11"/>
        <v/>
      </c>
      <c r="BH16" s="136"/>
      <c r="BI16" s="136"/>
      <c r="BJ16" s="136"/>
      <c r="BK16" s="136"/>
      <c r="BL16" s="137"/>
      <c r="BM16" s="103">
        <f t="shared" si="5"/>
        <v>0</v>
      </c>
      <c r="BN16" s="95" t="str">
        <f t="shared" si="6"/>
        <v>已过期</v>
      </c>
      <c r="BP16" s="345" t="str">
        <f>IF(COUNTIF(BP$6:BP15,E16)&gt;0,"",E16)</f>
        <v/>
      </c>
      <c r="BQ16" s="138">
        <f t="shared" si="12"/>
        <v>0</v>
      </c>
      <c r="BR16" s="132">
        <f t="shared" si="13"/>
        <v>1</v>
      </c>
      <c r="BS16" s="138">
        <f t="shared" si="14"/>
        <v>0</v>
      </c>
      <c r="BT16" s="132">
        <f t="shared" si="15"/>
        <v>1</v>
      </c>
      <c r="BU16" s="133"/>
      <c r="BV16" s="148"/>
      <c r="BW16" s="148"/>
    </row>
    <row r="17" ht="15" customHeight="1" spans="1:76">
      <c r="A17" s="123" t="str">
        <f>IF(B17="","",COUNT(A$6:A16)+1)</f>
        <v/>
      </c>
      <c r="B17" s="139"/>
      <c r="C17" s="140"/>
      <c r="D17" s="140"/>
      <c r="E17" s="1288"/>
      <c r="F17" s="142"/>
      <c r="G17" s="127" t="str">
        <f>IFERROR(VLOOKUP(F17,参数表!$H$2:$I$50,2,FALSE),"")</f>
        <v/>
      </c>
      <c r="H17" s="128" t="str">
        <f t="shared" si="8"/>
        <v/>
      </c>
      <c r="I17" s="128" t="str">
        <f t="shared" si="16"/>
        <v/>
      </c>
      <c r="J17" s="143"/>
      <c r="K17" s="143"/>
      <c r="L17" s="144"/>
      <c r="M17" s="144"/>
      <c r="N17" s="129" t="str">
        <f t="shared" si="9"/>
        <v/>
      </c>
      <c r="O17" s="129" t="str">
        <f t="shared" si="10"/>
        <v/>
      </c>
      <c r="P17" s="129" t="str">
        <f t="shared" si="0"/>
        <v/>
      </c>
      <c r="Q17" s="129" t="str">
        <f t="shared" si="1"/>
        <v/>
      </c>
      <c r="R17" s="129" t="str">
        <f t="shared" si="2"/>
        <v/>
      </c>
      <c r="S17" s="129" t="str">
        <f t="shared" si="3"/>
        <v/>
      </c>
      <c r="T17" s="145"/>
      <c r="BA17" s="78"/>
      <c r="BB17" s="132" t="s">
        <v>2030</v>
      </c>
      <c r="BC17" s="133"/>
      <c r="BD17" s="132" t="str">
        <f>IF(OR(B17="",BC17=""),"",COUNTIF(BC$7:BC17,"√"))</f>
        <v/>
      </c>
      <c r="BE17" s="134" t="str">
        <f t="shared" si="4"/>
        <v/>
      </c>
      <c r="BF17" s="135" t="str">
        <f t="shared" si="11"/>
        <v/>
      </c>
      <c r="BG17" s="135" t="str">
        <f t="shared" si="11"/>
        <v/>
      </c>
      <c r="BH17" s="136"/>
      <c r="BI17" s="136"/>
      <c r="BJ17" s="136"/>
      <c r="BK17" s="136"/>
      <c r="BL17" s="137"/>
      <c r="BM17" s="103">
        <f t="shared" si="5"/>
        <v>0</v>
      </c>
      <c r="BN17" s="95" t="str">
        <f t="shared" si="6"/>
        <v>已过期</v>
      </c>
      <c r="BP17" s="345" t="str">
        <f>IF(COUNTIF(BP$6:BP16,E17)&gt;0,"",E17)</f>
        <v/>
      </c>
      <c r="BQ17" s="138">
        <f t="shared" si="12"/>
        <v>0</v>
      </c>
      <c r="BR17" s="132">
        <f t="shared" si="13"/>
        <v>1</v>
      </c>
      <c r="BS17" s="138">
        <f t="shared" si="14"/>
        <v>0</v>
      </c>
      <c r="BT17" s="132">
        <f t="shared" si="15"/>
        <v>1</v>
      </c>
      <c r="BU17" s="133"/>
      <c r="BV17" s="133"/>
      <c r="BW17" s="133"/>
    </row>
    <row r="18" ht="15" customHeight="1" spans="1:76">
      <c r="A18" s="123" t="str">
        <f>IF(B18="","",COUNT(A$6:A17)+1)</f>
        <v/>
      </c>
      <c r="B18" s="139"/>
      <c r="C18" s="140"/>
      <c r="D18" s="140"/>
      <c r="E18" s="1288"/>
      <c r="F18" s="142"/>
      <c r="G18" s="127" t="str">
        <f>IFERROR(VLOOKUP(F18,参数表!$H$2:$I$50,2,FALSE),"")</f>
        <v/>
      </c>
      <c r="H18" s="128" t="str">
        <f t="shared" si="8"/>
        <v/>
      </c>
      <c r="I18" s="128" t="str">
        <f t="shared" si="16"/>
        <v/>
      </c>
      <c r="J18" s="143"/>
      <c r="K18" s="143"/>
      <c r="L18" s="144"/>
      <c r="M18" s="144"/>
      <c r="N18" s="129" t="str">
        <f t="shared" si="9"/>
        <v/>
      </c>
      <c r="O18" s="129" t="str">
        <f t="shared" si="10"/>
        <v/>
      </c>
      <c r="P18" s="129" t="str">
        <f t="shared" si="0"/>
        <v/>
      </c>
      <c r="Q18" s="129" t="str">
        <f t="shared" si="1"/>
        <v/>
      </c>
      <c r="R18" s="129" t="str">
        <f t="shared" si="2"/>
        <v/>
      </c>
      <c r="S18" s="129" t="str">
        <f t="shared" si="3"/>
        <v/>
      </c>
      <c r="T18" s="145"/>
      <c r="BA18" s="78"/>
      <c r="BB18" s="132" t="s">
        <v>2031</v>
      </c>
      <c r="BC18" s="133"/>
      <c r="BD18" s="132" t="str">
        <f>IF(OR(B18="",BC18=""),"",COUNTIF(BC$7:BC18,"√"))</f>
        <v/>
      </c>
      <c r="BE18" s="134" t="str">
        <f t="shared" si="4"/>
        <v/>
      </c>
      <c r="BF18" s="135" t="str">
        <f t="shared" si="11"/>
        <v/>
      </c>
      <c r="BG18" s="135" t="str">
        <f t="shared" si="11"/>
        <v/>
      </c>
      <c r="BH18" s="136"/>
      <c r="BI18" s="136"/>
      <c r="BJ18" s="136"/>
      <c r="BK18" s="136"/>
      <c r="BL18" s="137"/>
      <c r="BM18" s="103">
        <f t="shared" si="5"/>
        <v>0</v>
      </c>
      <c r="BN18" s="95" t="str">
        <f t="shared" si="6"/>
        <v>已过期</v>
      </c>
      <c r="BP18" s="345" t="str">
        <f>IF(COUNTIF(BP$6:BP17,E18)&gt;0,"",E18)</f>
        <v/>
      </c>
      <c r="BQ18" s="138">
        <f t="shared" si="12"/>
        <v>0</v>
      </c>
      <c r="BR18" s="132">
        <f t="shared" si="13"/>
        <v>1</v>
      </c>
      <c r="BS18" s="138">
        <f t="shared" si="14"/>
        <v>0</v>
      </c>
      <c r="BT18" s="132">
        <f t="shared" si="15"/>
        <v>1</v>
      </c>
      <c r="BU18" s="133"/>
      <c r="BV18" s="133"/>
      <c r="BW18" s="133"/>
    </row>
    <row r="19" ht="15" customHeight="1" spans="1:76">
      <c r="A19" s="123" t="str">
        <f>IF(B19="","",COUNT(A$6:A18)+1)</f>
        <v/>
      </c>
      <c r="B19" s="139"/>
      <c r="C19" s="140"/>
      <c r="D19" s="140"/>
      <c r="E19" s="1288"/>
      <c r="F19" s="142"/>
      <c r="G19" s="127" t="str">
        <f>IFERROR(VLOOKUP(F19,参数表!$H$2:$I$50,2,FALSE),"")</f>
        <v/>
      </c>
      <c r="H19" s="128" t="str">
        <f t="shared" si="8"/>
        <v/>
      </c>
      <c r="I19" s="128" t="str">
        <f t="shared" si="16"/>
        <v/>
      </c>
      <c r="J19" s="143"/>
      <c r="K19" s="143"/>
      <c r="L19" s="144"/>
      <c r="M19" s="144"/>
      <c r="N19" s="129" t="str">
        <f t="shared" si="9"/>
        <v/>
      </c>
      <c r="O19" s="129" t="str">
        <f t="shared" si="10"/>
        <v/>
      </c>
      <c r="P19" s="129" t="str">
        <f t="shared" si="0"/>
        <v/>
      </c>
      <c r="Q19" s="129" t="str">
        <f t="shared" si="1"/>
        <v/>
      </c>
      <c r="R19" s="129" t="str">
        <f t="shared" si="2"/>
        <v/>
      </c>
      <c r="S19" s="129" t="str">
        <f t="shared" si="3"/>
        <v/>
      </c>
      <c r="T19" s="145"/>
      <c r="BA19" s="78"/>
      <c r="BB19" s="132" t="s">
        <v>2032</v>
      </c>
      <c r="BC19" s="133"/>
      <c r="BD19" s="132" t="str">
        <f>IF(OR(B19="",BC19=""),"",COUNTIF(BC$7:BC19,"√"))</f>
        <v/>
      </c>
      <c r="BE19" s="134" t="str">
        <f t="shared" si="4"/>
        <v/>
      </c>
      <c r="BF19" s="135" t="str">
        <f t="shared" si="11"/>
        <v/>
      </c>
      <c r="BG19" s="135" t="str">
        <f t="shared" si="11"/>
        <v/>
      </c>
      <c r="BH19" s="136"/>
      <c r="BI19" s="136"/>
      <c r="BJ19" s="136"/>
      <c r="BK19" s="136"/>
      <c r="BL19" s="137"/>
      <c r="BM19" s="103">
        <f t="shared" si="5"/>
        <v>0</v>
      </c>
      <c r="BN19" s="95" t="str">
        <f t="shared" si="6"/>
        <v>已过期</v>
      </c>
      <c r="BP19" s="345" t="str">
        <f>IF(COUNTIF(BP$6:BP18,E19)&gt;0,"",E19)</f>
        <v/>
      </c>
      <c r="BQ19" s="138">
        <f t="shared" si="12"/>
        <v>0</v>
      </c>
      <c r="BR19" s="132">
        <f t="shared" si="13"/>
        <v>1</v>
      </c>
      <c r="BS19" s="138">
        <f t="shared" si="14"/>
        <v>0</v>
      </c>
      <c r="BT19" s="132">
        <f t="shared" si="15"/>
        <v>1</v>
      </c>
      <c r="BU19" s="133"/>
      <c r="BV19" s="133"/>
      <c r="BW19" s="133"/>
    </row>
    <row r="20" ht="15" customHeight="1" spans="1:76">
      <c r="A20" s="123" t="str">
        <f>IF(B20="","",COUNT(A$6:A19)+1)</f>
        <v/>
      </c>
      <c r="B20" s="139"/>
      <c r="C20" s="140"/>
      <c r="D20" s="140"/>
      <c r="E20" s="1288"/>
      <c r="F20" s="142"/>
      <c r="G20" s="127" t="str">
        <f>IFERROR(VLOOKUP(F20,参数表!$H$2:$I$50,2,FALSE),"")</f>
        <v/>
      </c>
      <c r="H20" s="128" t="str">
        <f t="shared" si="8"/>
        <v/>
      </c>
      <c r="I20" s="128" t="str">
        <f t="shared" si="16"/>
        <v/>
      </c>
      <c r="J20" s="143"/>
      <c r="K20" s="143"/>
      <c r="L20" s="144"/>
      <c r="M20" s="144"/>
      <c r="N20" s="129" t="str">
        <f t="shared" si="9"/>
        <v/>
      </c>
      <c r="O20" s="129" t="str">
        <f t="shared" si="10"/>
        <v/>
      </c>
      <c r="P20" s="129" t="str">
        <f t="shared" si="0"/>
        <v/>
      </c>
      <c r="Q20" s="129" t="str">
        <f t="shared" si="1"/>
        <v/>
      </c>
      <c r="R20" s="129" t="str">
        <f t="shared" si="2"/>
        <v/>
      </c>
      <c r="S20" s="129" t="str">
        <f t="shared" si="3"/>
        <v/>
      </c>
      <c r="T20" s="145"/>
      <c r="BA20" s="78"/>
      <c r="BB20" s="132" t="s">
        <v>2033</v>
      </c>
      <c r="BC20" s="133"/>
      <c r="BD20" s="132" t="str">
        <f>IF(OR(B20="",BC20=""),"",COUNTIF(BC$7:BC20,"√"))</f>
        <v/>
      </c>
      <c r="BE20" s="134" t="str">
        <f t="shared" si="4"/>
        <v/>
      </c>
      <c r="BF20" s="135" t="str">
        <f t="shared" si="11"/>
        <v/>
      </c>
      <c r="BG20" s="135" t="str">
        <f t="shared" si="11"/>
        <v/>
      </c>
      <c r="BH20" s="136"/>
      <c r="BI20" s="136"/>
      <c r="BJ20" s="136"/>
      <c r="BK20" s="136"/>
      <c r="BL20" s="137"/>
      <c r="BM20" s="103">
        <f t="shared" si="5"/>
        <v>0</v>
      </c>
      <c r="BN20" s="95" t="str">
        <f t="shared" si="6"/>
        <v>已过期</v>
      </c>
      <c r="BP20" s="345" t="str">
        <f>IF(COUNTIF(BP$6:BP19,E20)&gt;0,"",E20)</f>
        <v/>
      </c>
      <c r="BQ20" s="138">
        <f t="shared" si="12"/>
        <v>0</v>
      </c>
      <c r="BR20" s="132">
        <f t="shared" si="13"/>
        <v>1</v>
      </c>
      <c r="BS20" s="138">
        <f t="shared" si="14"/>
        <v>0</v>
      </c>
      <c r="BT20" s="132">
        <f t="shared" si="15"/>
        <v>1</v>
      </c>
      <c r="BU20" s="133"/>
      <c r="BV20" s="133"/>
      <c r="BW20" s="133"/>
    </row>
    <row r="21" ht="15" customHeight="1" spans="1:76">
      <c r="A21" s="123" t="str">
        <f>IF(B21="","",COUNT(A$6:A20)+1)</f>
        <v/>
      </c>
      <c r="B21" s="139"/>
      <c r="C21" s="140"/>
      <c r="D21" s="140"/>
      <c r="E21" s="1288"/>
      <c r="F21" s="142"/>
      <c r="G21" s="127" t="str">
        <f>IFERROR(VLOOKUP(F21,参数表!$H$2:$I$50,2,FALSE),"")</f>
        <v/>
      </c>
      <c r="H21" s="128" t="str">
        <f t="shared" si="8"/>
        <v/>
      </c>
      <c r="I21" s="128" t="str">
        <f t="shared" si="16"/>
        <v/>
      </c>
      <c r="J21" s="143"/>
      <c r="K21" s="143"/>
      <c r="L21" s="144"/>
      <c r="M21" s="144"/>
      <c r="N21" s="129" t="str">
        <f t="shared" si="9"/>
        <v/>
      </c>
      <c r="O21" s="129" t="str">
        <f t="shared" si="10"/>
        <v/>
      </c>
      <c r="P21" s="129" t="str">
        <f t="shared" si="0"/>
        <v/>
      </c>
      <c r="Q21" s="129" t="str">
        <f t="shared" si="1"/>
        <v/>
      </c>
      <c r="R21" s="129" t="str">
        <f t="shared" si="2"/>
        <v/>
      </c>
      <c r="S21" s="129" t="str">
        <f t="shared" si="3"/>
        <v/>
      </c>
      <c r="T21" s="145"/>
      <c r="BA21" s="78"/>
      <c r="BB21" s="132" t="s">
        <v>2034</v>
      </c>
      <c r="BC21" s="133"/>
      <c r="BD21" s="132" t="str">
        <f>IF(OR(B21="",BC21=""),"",COUNTIF(BC$7:BC21,"√"))</f>
        <v/>
      </c>
      <c r="BE21" s="134" t="str">
        <f t="shared" si="4"/>
        <v/>
      </c>
      <c r="BF21" s="135" t="str">
        <f t="shared" si="11"/>
        <v/>
      </c>
      <c r="BG21" s="135" t="str">
        <f t="shared" si="11"/>
        <v/>
      </c>
      <c r="BH21" s="136"/>
      <c r="BI21" s="136"/>
      <c r="BJ21" s="136"/>
      <c r="BK21" s="136"/>
      <c r="BL21" s="137"/>
      <c r="BM21" s="103">
        <f t="shared" si="5"/>
        <v>0</v>
      </c>
      <c r="BN21" s="95" t="str">
        <f t="shared" si="6"/>
        <v>已过期</v>
      </c>
      <c r="BP21" s="345" t="str">
        <f>IF(COUNTIF(BP$6:BP20,E21)&gt;0,"",E21)</f>
        <v/>
      </c>
      <c r="BQ21" s="138">
        <f t="shared" si="12"/>
        <v>0</v>
      </c>
      <c r="BR21" s="132">
        <f t="shared" si="13"/>
        <v>1</v>
      </c>
      <c r="BS21" s="138">
        <f t="shared" si="14"/>
        <v>0</v>
      </c>
      <c r="BT21" s="132">
        <f t="shared" si="15"/>
        <v>1</v>
      </c>
      <c r="BU21" s="133"/>
      <c r="BV21" s="133"/>
      <c r="BW21" s="133"/>
    </row>
    <row r="22" ht="15" customHeight="1" spans="1:76">
      <c r="A22" s="123" t="str">
        <f>IF(B22="","",COUNT(A$6:A21)+1)</f>
        <v/>
      </c>
      <c r="B22" s="139"/>
      <c r="C22" s="140"/>
      <c r="D22" s="140"/>
      <c r="E22" s="1288"/>
      <c r="F22" s="142"/>
      <c r="G22" s="127" t="str">
        <f>IFERROR(VLOOKUP(F22,参数表!$H$2:$I$50,2,FALSE),"")</f>
        <v/>
      </c>
      <c r="H22" s="128" t="str">
        <f t="shared" si="8"/>
        <v/>
      </c>
      <c r="I22" s="128" t="str">
        <f t="shared" si="16"/>
        <v/>
      </c>
      <c r="J22" s="143"/>
      <c r="K22" s="143"/>
      <c r="L22" s="144"/>
      <c r="M22" s="144"/>
      <c r="N22" s="129" t="str">
        <f t="shared" si="9"/>
        <v/>
      </c>
      <c r="O22" s="129" t="str">
        <f t="shared" si="10"/>
        <v/>
      </c>
      <c r="P22" s="129" t="str">
        <f t="shared" si="0"/>
        <v/>
      </c>
      <c r="Q22" s="129" t="str">
        <f t="shared" si="1"/>
        <v/>
      </c>
      <c r="R22" s="129" t="str">
        <f t="shared" si="2"/>
        <v/>
      </c>
      <c r="S22" s="129" t="str">
        <f t="shared" si="3"/>
        <v/>
      </c>
      <c r="T22" s="145"/>
      <c r="BA22" s="78"/>
      <c r="BB22" s="132" t="s">
        <v>2035</v>
      </c>
      <c r="BC22" s="133"/>
      <c r="BD22" s="132" t="str">
        <f>IF(OR(B22="",BC22=""),"",COUNTIF(BC$7:BC22,"√"))</f>
        <v/>
      </c>
      <c r="BE22" s="134" t="str">
        <f t="shared" si="4"/>
        <v/>
      </c>
      <c r="BF22" s="135" t="str">
        <f t="shared" si="11"/>
        <v/>
      </c>
      <c r="BG22" s="135" t="str">
        <f t="shared" si="11"/>
        <v/>
      </c>
      <c r="BH22" s="136"/>
      <c r="BI22" s="136"/>
      <c r="BJ22" s="136"/>
      <c r="BK22" s="136"/>
      <c r="BL22" s="137"/>
      <c r="BM22" s="103">
        <f t="shared" si="5"/>
        <v>0</v>
      </c>
      <c r="BN22" s="95" t="str">
        <f t="shared" si="6"/>
        <v>已过期</v>
      </c>
      <c r="BP22" s="345" t="str">
        <f>IF(COUNTIF(BP$6:BP21,E22)&gt;0,"",E22)</f>
        <v/>
      </c>
      <c r="BQ22" s="138">
        <f t="shared" si="12"/>
        <v>0</v>
      </c>
      <c r="BR22" s="132">
        <f t="shared" si="13"/>
        <v>1</v>
      </c>
      <c r="BS22" s="138">
        <f t="shared" si="14"/>
        <v>0</v>
      </c>
      <c r="BT22" s="132">
        <f t="shared" si="15"/>
        <v>1</v>
      </c>
      <c r="BU22" s="133"/>
      <c r="BV22" s="133"/>
      <c r="BW22" s="133"/>
    </row>
    <row r="23" ht="15" customHeight="1" spans="1:76">
      <c r="A23" s="123" t="str">
        <f>IF(B23="","",COUNT(A$6:A22)+1)</f>
        <v/>
      </c>
      <c r="B23" s="139"/>
      <c r="C23" s="140"/>
      <c r="D23" s="140"/>
      <c r="E23" s="1288"/>
      <c r="F23" s="142"/>
      <c r="G23" s="127" t="str">
        <f>IFERROR(VLOOKUP(F23,参数表!$H$2:$I$50,2,FALSE),"")</f>
        <v/>
      </c>
      <c r="H23" s="128" t="str">
        <f t="shared" si="8"/>
        <v/>
      </c>
      <c r="I23" s="128" t="str">
        <f t="shared" si="16"/>
        <v/>
      </c>
      <c r="J23" s="143"/>
      <c r="K23" s="143"/>
      <c r="L23" s="144"/>
      <c r="M23" s="144"/>
      <c r="N23" s="129" t="str">
        <f t="shared" si="9"/>
        <v/>
      </c>
      <c r="O23" s="129" t="str">
        <f t="shared" si="10"/>
        <v/>
      </c>
      <c r="P23" s="129" t="str">
        <f t="shared" si="0"/>
        <v/>
      </c>
      <c r="Q23" s="129" t="str">
        <f t="shared" si="1"/>
        <v/>
      </c>
      <c r="R23" s="129" t="str">
        <f t="shared" si="2"/>
        <v/>
      </c>
      <c r="S23" s="129" t="str">
        <f t="shared" si="3"/>
        <v/>
      </c>
      <c r="T23" s="145"/>
      <c r="BA23" s="78"/>
      <c r="BB23" s="132" t="s">
        <v>2036</v>
      </c>
      <c r="BC23" s="133"/>
      <c r="BD23" s="132" t="str">
        <f>IF(OR(B23="",BC23=""),"",COUNTIF(BC$7:BC23,"√"))</f>
        <v/>
      </c>
      <c r="BE23" s="134" t="str">
        <f t="shared" si="4"/>
        <v/>
      </c>
      <c r="BF23" s="135" t="str">
        <f t="shared" si="11"/>
        <v/>
      </c>
      <c r="BG23" s="135" t="str">
        <f t="shared" si="11"/>
        <v/>
      </c>
      <c r="BH23" s="136"/>
      <c r="BI23" s="136"/>
      <c r="BJ23" s="136"/>
      <c r="BK23" s="136"/>
      <c r="BL23" s="137"/>
      <c r="BM23" s="103">
        <f t="shared" si="5"/>
        <v>0</v>
      </c>
      <c r="BN23" s="95" t="str">
        <f t="shared" si="6"/>
        <v>已过期</v>
      </c>
      <c r="BP23" s="345" t="str">
        <f>IF(COUNTIF(BP$6:BP22,E23)&gt;0,"",E23)</f>
        <v/>
      </c>
      <c r="BQ23" s="138">
        <f t="shared" si="12"/>
        <v>0</v>
      </c>
      <c r="BR23" s="132">
        <f t="shared" si="13"/>
        <v>1</v>
      </c>
      <c r="BS23" s="138">
        <f t="shared" si="14"/>
        <v>0</v>
      </c>
      <c r="BT23" s="132">
        <f t="shared" si="15"/>
        <v>1</v>
      </c>
      <c r="BU23" s="133"/>
      <c r="BV23" s="133"/>
      <c r="BW23" s="133"/>
    </row>
    <row r="24" ht="15" customHeight="1" spans="1:76">
      <c r="A24" s="123" t="str">
        <f>IF(B24="","",COUNT(A$6:A23)+1)</f>
        <v/>
      </c>
      <c r="B24" s="139"/>
      <c r="C24" s="140"/>
      <c r="D24" s="140"/>
      <c r="E24" s="1288"/>
      <c r="F24" s="142"/>
      <c r="G24" s="127" t="str">
        <f>IFERROR(VLOOKUP(F24,参数表!$H$2:$I$50,2,FALSE),"")</f>
        <v/>
      </c>
      <c r="H24" s="128" t="str">
        <f t="shared" si="8"/>
        <v/>
      </c>
      <c r="I24" s="128" t="str">
        <f t="shared" si="16"/>
        <v/>
      </c>
      <c r="J24" s="143"/>
      <c r="K24" s="143"/>
      <c r="L24" s="144"/>
      <c r="M24" s="144"/>
      <c r="N24" s="129" t="str">
        <f t="shared" si="9"/>
        <v/>
      </c>
      <c r="O24" s="129" t="str">
        <f t="shared" si="10"/>
        <v/>
      </c>
      <c r="P24" s="129" t="str">
        <f t="shared" si="0"/>
        <v/>
      </c>
      <c r="Q24" s="129" t="str">
        <f t="shared" si="1"/>
        <v/>
      </c>
      <c r="R24" s="129" t="str">
        <f t="shared" si="2"/>
        <v/>
      </c>
      <c r="S24" s="129" t="str">
        <f t="shared" si="3"/>
        <v/>
      </c>
      <c r="T24" s="145"/>
      <c r="BA24" s="78"/>
      <c r="BB24" s="132" t="s">
        <v>2037</v>
      </c>
      <c r="BC24" s="133"/>
      <c r="BD24" s="132" t="str">
        <f>IF(OR(B24="",BC24=""),"",COUNTIF(BC$7:BC24,"√"))</f>
        <v/>
      </c>
      <c r="BE24" s="134" t="str">
        <f t="shared" si="4"/>
        <v/>
      </c>
      <c r="BF24" s="135" t="str">
        <f t="shared" si="11"/>
        <v/>
      </c>
      <c r="BG24" s="135" t="str">
        <f t="shared" si="11"/>
        <v/>
      </c>
      <c r="BH24" s="136"/>
      <c r="BI24" s="136"/>
      <c r="BJ24" s="136"/>
      <c r="BK24" s="136"/>
      <c r="BL24" s="137"/>
      <c r="BM24" s="103">
        <f t="shared" si="5"/>
        <v>0</v>
      </c>
      <c r="BN24" s="95" t="str">
        <f t="shared" si="6"/>
        <v>已过期</v>
      </c>
      <c r="BP24" s="345" t="str">
        <f>IF(COUNTIF(BP$6:BP23,E24)&gt;0,"",E24)</f>
        <v/>
      </c>
      <c r="BQ24" s="138">
        <f t="shared" si="12"/>
        <v>0</v>
      </c>
      <c r="BR24" s="132">
        <f t="shared" si="13"/>
        <v>1</v>
      </c>
      <c r="BS24" s="138">
        <f t="shared" si="14"/>
        <v>0</v>
      </c>
      <c r="BT24" s="132">
        <f t="shared" si="15"/>
        <v>1</v>
      </c>
      <c r="BU24" s="133"/>
      <c r="BV24" s="133"/>
      <c r="BW24" s="133"/>
    </row>
    <row r="25" ht="15" customHeight="1" spans="1:76">
      <c r="A25" s="123" t="str">
        <f>IF(B25="","",COUNT(A$6:A24)+1)</f>
        <v/>
      </c>
      <c r="B25" s="139"/>
      <c r="C25" s="140"/>
      <c r="D25" s="140"/>
      <c r="E25" s="1288"/>
      <c r="F25" s="142"/>
      <c r="G25" s="127" t="str">
        <f>IFERROR(VLOOKUP(F25,参数表!$H$2:$I$50,2,FALSE),"")</f>
        <v/>
      </c>
      <c r="H25" s="128" t="str">
        <f t="shared" si="8"/>
        <v/>
      </c>
      <c r="I25" s="128" t="str">
        <f t="shared" si="16"/>
        <v/>
      </c>
      <c r="J25" s="143"/>
      <c r="K25" s="143"/>
      <c r="L25" s="144"/>
      <c r="M25" s="144"/>
      <c r="N25" s="129" t="str">
        <f t="shared" si="9"/>
        <v/>
      </c>
      <c r="O25" s="129" t="str">
        <f t="shared" si="10"/>
        <v/>
      </c>
      <c r="P25" s="129" t="str">
        <f t="shared" si="0"/>
        <v/>
      </c>
      <c r="Q25" s="129" t="str">
        <f t="shared" si="1"/>
        <v/>
      </c>
      <c r="R25" s="129" t="str">
        <f t="shared" si="2"/>
        <v/>
      </c>
      <c r="S25" s="129" t="str">
        <f t="shared" si="3"/>
        <v/>
      </c>
      <c r="T25" s="145"/>
      <c r="BA25" s="78"/>
      <c r="BB25" s="132" t="s">
        <v>2038</v>
      </c>
      <c r="BC25" s="133"/>
      <c r="BD25" s="132" t="str">
        <f>IF(OR(B25="",BC25=""),"",COUNTIF(BC$7:BC25,"√"))</f>
        <v/>
      </c>
      <c r="BE25" s="134" t="str">
        <f t="shared" si="4"/>
        <v/>
      </c>
      <c r="BF25" s="135" t="str">
        <f t="shared" si="11"/>
        <v/>
      </c>
      <c r="BG25" s="135" t="str">
        <f t="shared" si="11"/>
        <v/>
      </c>
      <c r="BH25" s="136"/>
      <c r="BI25" s="136"/>
      <c r="BJ25" s="136"/>
      <c r="BK25" s="136"/>
      <c r="BL25" s="137"/>
      <c r="BM25" s="103">
        <f t="shared" si="5"/>
        <v>0</v>
      </c>
      <c r="BN25" s="95" t="str">
        <f t="shared" si="6"/>
        <v>已过期</v>
      </c>
      <c r="BP25" s="345" t="str">
        <f>IF(COUNTIF(BP$6:BP24,E25)&gt;0,"",E25)</f>
        <v/>
      </c>
      <c r="BQ25" s="138">
        <f t="shared" si="12"/>
        <v>0</v>
      </c>
      <c r="BR25" s="132">
        <f t="shared" si="13"/>
        <v>1</v>
      </c>
      <c r="BS25" s="138">
        <f t="shared" si="14"/>
        <v>0</v>
      </c>
      <c r="BT25" s="132">
        <f t="shared" si="15"/>
        <v>1</v>
      </c>
      <c r="BU25" s="133"/>
      <c r="BV25" s="133"/>
      <c r="BW25" s="133"/>
    </row>
    <row r="26" ht="15" customHeight="1" spans="1:76">
      <c r="A26" s="123" t="str">
        <f>IF(B26="","",COUNT(A$6:A25)+1)</f>
        <v/>
      </c>
      <c r="B26" s="124"/>
      <c r="C26" s="125"/>
      <c r="D26" s="125"/>
      <c r="E26" s="1287"/>
      <c r="F26" s="127"/>
      <c r="G26" s="127" t="str">
        <f>IFERROR(VLOOKUP(F26,参数表!$H$2:$I$50,2,FALSE),"")</f>
        <v/>
      </c>
      <c r="H26" s="128" t="str">
        <f t="shared" si="8"/>
        <v/>
      </c>
      <c r="I26" s="128" t="str">
        <f t="shared" si="16"/>
        <v/>
      </c>
      <c r="J26" s="129"/>
      <c r="K26" s="129"/>
      <c r="L26" s="130"/>
      <c r="M26" s="130"/>
      <c r="N26" s="129" t="str">
        <f t="shared" si="9"/>
        <v/>
      </c>
      <c r="O26" s="129" t="str">
        <f t="shared" si="10"/>
        <v/>
      </c>
      <c r="P26" s="129" t="str">
        <f t="shared" si="0"/>
        <v/>
      </c>
      <c r="Q26" s="129" t="str">
        <f t="shared" si="1"/>
        <v/>
      </c>
      <c r="R26" s="129" t="str">
        <f t="shared" si="2"/>
        <v/>
      </c>
      <c r="S26" s="129" t="str">
        <f t="shared" si="3"/>
        <v/>
      </c>
      <c r="T26" s="131"/>
      <c r="BA26" s="78"/>
      <c r="BB26" s="132" t="s">
        <v>2039</v>
      </c>
      <c r="BC26" s="133"/>
      <c r="BD26" s="132" t="str">
        <f>IF(OR(B26="",BC26=""),"",COUNTIF(BC$7:BC26,"√"))</f>
        <v/>
      </c>
      <c r="BE26" s="134" t="str">
        <f t="shared" si="4"/>
        <v/>
      </c>
      <c r="BF26" s="135" t="str">
        <f t="shared" si="11"/>
        <v/>
      </c>
      <c r="BG26" s="135" t="str">
        <f t="shared" si="11"/>
        <v/>
      </c>
      <c r="BH26" s="136"/>
      <c r="BI26" s="136"/>
      <c r="BJ26" s="136"/>
      <c r="BK26" s="136"/>
      <c r="BL26" s="137"/>
      <c r="BM26" s="103">
        <f t="shared" si="5"/>
        <v>0</v>
      </c>
      <c r="BN26" s="95" t="str">
        <f t="shared" si="6"/>
        <v>已过期</v>
      </c>
      <c r="BP26" s="345" t="str">
        <f>IF(COUNTIF(BP$6:BP25,E26)&gt;0,"",E26)</f>
        <v/>
      </c>
      <c r="BQ26" s="138">
        <f t="shared" si="12"/>
        <v>0</v>
      </c>
      <c r="BR26" s="132">
        <f t="shared" si="13"/>
        <v>1</v>
      </c>
      <c r="BS26" s="138">
        <f t="shared" si="14"/>
        <v>0</v>
      </c>
      <c r="BT26" s="132">
        <f t="shared" si="15"/>
        <v>1</v>
      </c>
      <c r="BU26" s="133"/>
      <c r="BV26" s="133"/>
      <c r="BW26" s="133"/>
    </row>
    <row r="27" s="73" customFormat="1" ht="15" customHeight="1" spans="1:76">
      <c r="A27" s="149" t="s">
        <v>1954</v>
      </c>
      <c r="B27" s="149"/>
      <c r="C27" s="356"/>
      <c r="D27" s="356"/>
      <c r="E27" s="151"/>
      <c r="F27" s="151"/>
      <c r="G27" s="151"/>
      <c r="H27" s="151"/>
      <c r="I27" s="151"/>
      <c r="J27" s="152">
        <f>SUM(J7:J26)</f>
        <v>0</v>
      </c>
      <c r="K27" s="1289">
        <f>SUM(K7:K26)</f>
        <v>0</v>
      </c>
      <c r="L27" s="1290"/>
      <c r="M27" s="1290"/>
      <c r="N27" s="1289">
        <f>SUM(N7:N26)</f>
        <v>0</v>
      </c>
      <c r="O27" s="1289">
        <f>SUM(O7:O26)</f>
        <v>0</v>
      </c>
      <c r="P27" s="1289">
        <f>SUM(P7:P26)</f>
        <v>0</v>
      </c>
      <c r="Q27" s="1289">
        <f>SUM(Q7:Q26)</f>
        <v>0</v>
      </c>
      <c r="R27" s="1289">
        <f t="shared" si="2"/>
        <v>0</v>
      </c>
      <c r="S27" s="1289" t="str">
        <f t="shared" si="3"/>
        <v/>
      </c>
      <c r="T27" s="1291"/>
      <c r="BF27" s="72"/>
      <c r="BG27" s="72"/>
      <c r="BH27" s="72"/>
      <c r="BI27" s="72"/>
      <c r="BJ27" s="72"/>
      <c r="BK27" s="72"/>
      <c r="BO27" s="111"/>
      <c r="BP27" s="119"/>
      <c r="BQ27" s="77"/>
      <c r="BR27" s="77"/>
      <c r="BS27" s="77"/>
      <c r="BT27" s="119"/>
      <c r="BU27" s="119"/>
      <c r="BV27" s="119"/>
      <c r="BW27" s="119"/>
      <c r="BX27" s="111"/>
    </row>
    <row r="28" ht="15" customHeight="1" spans="1:76">
      <c r="A28" s="126" t="s">
        <v>1955</v>
      </c>
      <c r="B28" s="126"/>
      <c r="C28" s="125"/>
      <c r="D28" s="125"/>
      <c r="E28" s="131"/>
      <c r="F28" s="131"/>
      <c r="G28" s="131"/>
      <c r="H28" s="131"/>
      <c r="I28" s="131"/>
      <c r="J28" s="129">
        <f>K27</f>
        <v>0</v>
      </c>
      <c r="K28" s="129"/>
      <c r="L28" s="1292"/>
      <c r="M28" s="1292"/>
      <c r="N28" s="1293">
        <f>O27</f>
        <v>0</v>
      </c>
      <c r="O28" s="1293"/>
      <c r="P28" s="1293">
        <v>0</v>
      </c>
      <c r="Q28" s="1293"/>
      <c r="R28" s="1293">
        <f t="shared" si="2"/>
        <v>0</v>
      </c>
      <c r="S28" s="1293" t="str">
        <f t="shared" si="3"/>
        <v/>
      </c>
      <c r="T28" s="1294"/>
      <c r="BC28" s="75"/>
      <c r="BD28" s="75"/>
      <c r="BE28" s="75"/>
      <c r="BF28" s="165"/>
      <c r="BG28" s="165"/>
      <c r="BH28" s="165"/>
      <c r="BI28" s="165"/>
      <c r="BJ28" s="165"/>
      <c r="BK28" s="165"/>
    </row>
    <row r="29" ht="15" customHeight="1" spans="1:76">
      <c r="A29" s="126" t="s">
        <v>1956</v>
      </c>
      <c r="B29" s="126"/>
      <c r="C29" s="125"/>
      <c r="D29" s="125"/>
      <c r="E29" s="131"/>
      <c r="F29" s="131"/>
      <c r="G29" s="131"/>
      <c r="H29" s="131"/>
      <c r="I29" s="131"/>
      <c r="J29" s="129"/>
      <c r="K29" s="129"/>
      <c r="L29" s="1292"/>
      <c r="M29" s="1292"/>
      <c r="N29" s="1293"/>
      <c r="O29" s="1293"/>
      <c r="P29" s="1293">
        <f>IF(BB$3="是",Q27,0)</f>
        <v>0</v>
      </c>
      <c r="Q29" s="1293"/>
      <c r="R29" s="1293">
        <f t="shared" si="2"/>
        <v>0</v>
      </c>
      <c r="S29" s="1293" t="str">
        <f t="shared" si="3"/>
        <v/>
      </c>
      <c r="T29" s="1294"/>
      <c r="BC29" s="75"/>
      <c r="BD29" s="75"/>
      <c r="BE29" s="75"/>
      <c r="BF29" s="165"/>
      <c r="BG29" s="165"/>
      <c r="BH29" s="165"/>
      <c r="BI29" s="165"/>
      <c r="BJ29" s="165"/>
      <c r="BK29" s="165"/>
    </row>
    <row r="30" s="73" customFormat="1" ht="15" customHeight="1" spans="1:76">
      <c r="A30" s="149" t="s">
        <v>1957</v>
      </c>
      <c r="B30" s="149"/>
      <c r="C30" s="356"/>
      <c r="D30" s="356"/>
      <c r="E30" s="151"/>
      <c r="F30" s="151"/>
      <c r="G30" s="151"/>
      <c r="H30" s="151"/>
      <c r="I30" s="151"/>
      <c r="J30" s="152">
        <f>J27-J28</f>
        <v>0</v>
      </c>
      <c r="K30" s="152"/>
      <c r="L30" s="1290"/>
      <c r="M30" s="1290"/>
      <c r="N30" s="1289">
        <f>N27-N28</f>
        <v>0</v>
      </c>
      <c r="O30" s="1289"/>
      <c r="P30" s="1289">
        <f>P27-P29</f>
        <v>0</v>
      </c>
      <c r="Q30" s="1289"/>
      <c r="R30" s="1289">
        <f t="shared" si="2"/>
        <v>0</v>
      </c>
      <c r="S30" s="1289" t="str">
        <f t="shared" si="3"/>
        <v/>
      </c>
      <c r="T30" s="1291"/>
      <c r="BF30" s="72"/>
      <c r="BG30" s="72"/>
      <c r="BH30" s="72"/>
      <c r="BI30" s="72"/>
      <c r="BJ30" s="72"/>
      <c r="BK30" s="72"/>
      <c r="BO30" s="77"/>
      <c r="BP30" s="78"/>
      <c r="BQ30" s="77"/>
      <c r="BR30" s="78"/>
      <c r="BS30" s="78"/>
      <c r="BT30" s="78"/>
      <c r="BU30" s="78"/>
      <c r="BV30" s="78"/>
      <c r="BW30" s="78"/>
      <c r="BX30" s="77"/>
    </row>
    <row r="31" customHeight="1" spans="1:76">
      <c r="A31" s="102" t="str">
        <f>参数表!F$6</f>
        <v>产权持有单位填表人：贾广东</v>
      </c>
      <c r="B31" s="154"/>
      <c r="C31" s="154"/>
      <c r="D31" s="154"/>
      <c r="E31" s="154"/>
      <c r="F31" s="154"/>
      <c r="G31" s="154"/>
      <c r="H31" s="154"/>
      <c r="I31" s="154"/>
      <c r="J31" s="1295"/>
      <c r="K31" s="1295"/>
      <c r="L31" s="1218"/>
      <c r="M31" s="1218"/>
      <c r="N31" s="1217"/>
      <c r="O31" s="1217"/>
      <c r="P31" s="103" t="str">
        <f>"评估人员："&amp;封面!$G$20</f>
        <v>评估人员：栗祥宁</v>
      </c>
      <c r="Q31" s="103"/>
      <c r="R31" s="1217"/>
      <c r="S31" s="1217"/>
      <c r="T31" s="103"/>
      <c r="BC31" s="75"/>
      <c r="BD31" s="75"/>
      <c r="BE31" s="75"/>
      <c r="BF31" s="165"/>
      <c r="BG31" s="165"/>
      <c r="BH31" s="165"/>
      <c r="BI31" s="165"/>
      <c r="BJ31" s="165"/>
      <c r="BK31" s="165"/>
    </row>
    <row r="32" customHeight="1" spans="1:76">
      <c r="A32" s="102" t="str">
        <f>参数表!F$7</f>
        <v>填表日期：2025年9月20日</v>
      </c>
      <c r="B32" s="154"/>
      <c r="C32" s="154"/>
      <c r="D32" s="154"/>
      <c r="E32" s="154"/>
      <c r="F32" s="154"/>
      <c r="G32" s="154"/>
      <c r="H32" s="154"/>
      <c r="I32" s="154"/>
      <c r="J32" s="1295"/>
      <c r="K32" s="1295"/>
      <c r="L32" s="1218"/>
      <c r="M32" s="1218"/>
      <c r="N32" s="1217"/>
      <c r="O32" s="1217"/>
      <c r="P32" s="1217"/>
      <c r="Q32" s="1217"/>
      <c r="R32" s="1217"/>
      <c r="S32" s="1217"/>
      <c r="T32" s="103"/>
      <c r="BC32" s="75"/>
      <c r="BD32" s="75"/>
      <c r="BE32" s="75"/>
      <c r="BF32" s="165"/>
      <c r="BG32" s="165"/>
      <c r="BH32" s="165"/>
      <c r="BI32" s="165"/>
      <c r="BJ32" s="165"/>
      <c r="BK32" s="165"/>
    </row>
    <row r="33" hidden="1" customHeight="1" outlineLevel="1" spans="1:63">
      <c r="A33" s="157"/>
      <c r="B33" s="154" t="s">
        <v>1673</v>
      </c>
      <c r="C33" s="158"/>
      <c r="D33" s="158"/>
      <c r="E33" s="158"/>
      <c r="F33" s="158"/>
      <c r="G33" s="158"/>
      <c r="H33" s="158"/>
      <c r="I33" s="158"/>
      <c r="J33" s="159">
        <f>SUMIF($BA7:$BA26,$BA33,J7:J26)</f>
        <v>0</v>
      </c>
      <c r="K33" s="159">
        <f>SUMIF($BA7:$BA26,$BA33,K7:K26)</f>
        <v>0</v>
      </c>
      <c r="L33" s="202"/>
      <c r="M33" s="202"/>
      <c r="N33" s="159">
        <f>SUMIF($BA7:$BA26,$BA33,N7:N26)</f>
        <v>0</v>
      </c>
      <c r="O33" s="159">
        <f>SUMIF($BA7:$BA26,$BA33,O7:O26)</f>
        <v>0</v>
      </c>
      <c r="P33" s="159">
        <f>SUMIF($BA7:$BA26,$BA33,P7:P26)</f>
        <v>0</v>
      </c>
      <c r="Q33" s="159">
        <f>SUMIF($BA7:$BA26,$BA33,Q7:Q26)</f>
        <v>0</v>
      </c>
      <c r="BA33" s="161" t="s">
        <v>1674</v>
      </c>
      <c r="BC33" s="75"/>
      <c r="BD33" s="75"/>
      <c r="BE33" s="75"/>
      <c r="BF33" s="165"/>
      <c r="BG33" s="165"/>
      <c r="BH33" s="95" t="s">
        <v>1675</v>
      </c>
      <c r="BI33" s="95" t="s">
        <v>1675</v>
      </c>
      <c r="BJ33" s="95" t="s">
        <v>1675</v>
      </c>
      <c r="BK33" s="95" t="s">
        <v>1675</v>
      </c>
    </row>
    <row r="34" hidden="1" customHeight="1" outlineLevel="1" spans="1:63">
      <c r="A34" s="157"/>
      <c r="B34" s="154" t="s">
        <v>1676</v>
      </c>
      <c r="C34" s="158"/>
      <c r="D34" s="158"/>
      <c r="E34" s="158"/>
      <c r="F34" s="158"/>
      <c r="G34" s="158"/>
      <c r="H34" s="158"/>
      <c r="I34" s="158"/>
      <c r="J34" s="159">
        <f>J27-J33</f>
        <v>0</v>
      </c>
      <c r="K34" s="159">
        <f>K27-K33</f>
        <v>0</v>
      </c>
      <c r="L34" s="202"/>
      <c r="M34" s="202"/>
      <c r="N34" s="159">
        <f>N27-N33</f>
        <v>0</v>
      </c>
      <c r="O34" s="159">
        <f>O27-O33</f>
        <v>0</v>
      </c>
      <c r="P34" s="159">
        <f>P27-P33</f>
        <v>0</v>
      </c>
      <c r="Q34" s="159">
        <f>Q27-Q33</f>
        <v>0</v>
      </c>
      <c r="BA34" s="161" t="s">
        <v>1677</v>
      </c>
      <c r="BC34" s="75"/>
      <c r="BD34" s="75"/>
      <c r="BE34" s="75"/>
      <c r="BF34" s="165"/>
      <c r="BG34" s="165"/>
      <c r="BH34" s="95" t="s">
        <v>1678</v>
      </c>
      <c r="BI34" s="95" t="s">
        <v>1678</v>
      </c>
      <c r="BJ34" s="95" t="s">
        <v>1678</v>
      </c>
      <c r="BK34" s="95" t="s">
        <v>1678</v>
      </c>
    </row>
    <row r="35" customHeight="1" collapsed="1" spans="1:63">
      <c r="A35" s="157"/>
      <c r="B35" s="158"/>
      <c r="C35" s="158"/>
      <c r="D35" s="158"/>
      <c r="E35" s="158"/>
      <c r="F35" s="158"/>
      <c r="G35" s="158"/>
      <c r="H35" s="158"/>
      <c r="I35" s="158"/>
      <c r="J35" s="257"/>
      <c r="K35" s="257"/>
      <c r="BC35" s="75"/>
      <c r="BD35" s="75"/>
      <c r="BE35" s="75"/>
      <c r="BF35" s="165"/>
      <c r="BG35" s="165"/>
      <c r="BH35" s="165"/>
      <c r="BI35" s="165"/>
      <c r="BJ35" s="165"/>
      <c r="BK35" s="165"/>
    </row>
    <row r="36" customHeight="1" spans="1:63">
      <c r="A36" s="157"/>
      <c r="B36" s="158"/>
      <c r="C36" s="158"/>
      <c r="D36" s="158"/>
      <c r="E36" s="158"/>
      <c r="F36" s="158"/>
      <c r="G36" s="158"/>
      <c r="H36" s="158"/>
      <c r="I36" s="158"/>
      <c r="J36" s="257"/>
      <c r="K36" s="257"/>
      <c r="BC36" s="75"/>
      <c r="BD36" s="75"/>
      <c r="BE36" s="75"/>
      <c r="BF36" s="165"/>
      <c r="BG36" s="165"/>
      <c r="BH36" s="165"/>
      <c r="BI36" s="165"/>
      <c r="BJ36" s="165"/>
      <c r="BK36" s="165"/>
    </row>
    <row r="37" customHeight="1" spans="1:63">
      <c r="A37" s="157"/>
      <c r="B37" s="158"/>
      <c r="C37" s="158"/>
      <c r="D37" s="158"/>
      <c r="E37" s="158"/>
      <c r="F37" s="158"/>
      <c r="G37" s="158"/>
      <c r="H37" s="158"/>
      <c r="I37" s="158"/>
      <c r="J37" s="257"/>
      <c r="K37" s="257"/>
    </row>
    <row r="38" customHeight="1" spans="1:63">
      <c r="A38" s="157"/>
      <c r="B38" s="158"/>
      <c r="C38" s="158"/>
      <c r="D38" s="158"/>
      <c r="E38" s="158"/>
      <c r="F38" s="158"/>
      <c r="G38" s="158"/>
      <c r="H38" s="158"/>
      <c r="I38" s="158"/>
      <c r="J38" s="257"/>
      <c r="K38" s="257"/>
    </row>
    <row r="39" customHeight="1" spans="1:63">
      <c r="A39" s="157"/>
      <c r="B39" s="158"/>
      <c r="C39" s="158"/>
      <c r="D39" s="158"/>
      <c r="E39" s="158"/>
      <c r="F39" s="158"/>
      <c r="G39" s="158"/>
      <c r="H39" s="158"/>
      <c r="I39" s="158"/>
      <c r="J39" s="257"/>
      <c r="K39" s="257"/>
    </row>
  </sheetData>
  <sheetProtection autoFilter="0"/>
  <mergeCells count="9">
    <mergeCell ref="A2:T2"/>
    <mergeCell ref="A3:T3"/>
    <mergeCell ref="BU7:BX7"/>
    <mergeCell ref="BU8:BX8"/>
    <mergeCell ref="BV14:BX14"/>
    <mergeCell ref="A27:B27"/>
    <mergeCell ref="A28:B28"/>
    <mergeCell ref="A29:B29"/>
    <mergeCell ref="A30:B30"/>
  </mergeCells>
  <conditionalFormatting sqref="BM7:BM26">
    <cfRule type="cellIs" dxfId="1" priority="7" stopIfTrue="1" operator="greaterThan">
      <formula>6</formula>
    </cfRule>
  </conditionalFormatting>
  <conditionalFormatting sqref="BF7:BG26">
    <cfRule type="containsText" dxfId="6" priority="1" stopIfTrue="1" operator="between" text="出错">
      <formula>NOT(ISERROR(SEARCH("出错",BF7)))</formula>
    </cfRule>
  </conditionalFormatting>
  <conditionalFormatting sqref="BH7:BK26">
    <cfRule type="expression" dxfId="5" priority="4" stopIfTrue="1">
      <formula>AND($B7&lt;&gt;"",BH7="")</formula>
    </cfRule>
  </conditionalFormatting>
  <dataValidations count="4">
    <dataValidation type="list" allowBlank="1" showInputMessage="1" showErrorMessage="1" sqref="F7:F26">
      <formula1>OFFSET(参数表!$H$2:$H$50,,,COUNTA(参数表!$H$2:$H$50))</formula1>
    </dataValidation>
    <dataValidation type="list" allowBlank="1" showInputMessage="1" showErrorMessage="1" sqref="BA7:BA26 BA33:BA34">
      <formula1>"是,否"</formula1>
    </dataValidation>
    <dataValidation type="list" allowBlank="1" showInputMessage="1" showErrorMessage="1" sqref="BC7:BC26">
      <formula1>"  ,√"</formula1>
    </dataValidation>
    <dataValidation type="list" allowBlank="1" showInputMessage="1" showErrorMessage="1" sqref="BH7:BK26">
      <formula1>BH$33:BH$34</formula1>
    </dataValidation>
  </dataValidations>
  <hyperlinks>
    <hyperlink ref="A1" location="索引目录!D12" display="返回索引页"/>
    <hyperlink ref="B1" location="流动资产汇总表!B9"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BX39"/>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4.7" style="75" customWidth="1"/>
    <col min="3" max="4" width="8.7" style="75" customWidth="1"/>
    <col min="5" max="5" width="6.7" style="75" customWidth="1"/>
    <col min="6" max="6" width="6.1" style="165" customWidth="1"/>
    <col min="7" max="8" width="4.6" style="75" customWidth="1" outlineLevel="1"/>
    <col min="9" max="10" width="6.1" style="75" customWidth="1" outlineLevel="1"/>
    <col min="11" max="11" width="12.3" style="75" customWidth="1" outlineLevel="1"/>
    <col min="12" max="18" width="10.6" style="227" customWidth="1" outlineLevel="1"/>
    <col min="19" max="25" width="5.6" style="227" customWidth="1" outlineLevel="1"/>
    <col min="26" max="29" width="8.7" style="227" customWidth="1" outlineLevel="1"/>
    <col min="30" max="30" width="8.7" style="1267" customWidth="1" outlineLevel="1"/>
    <col min="31" max="31" width="14.6" style="75" customWidth="1"/>
    <col min="32" max="32" width="8.7" style="75" customWidth="1"/>
    <col min="33" max="33" width="14.6" style="75" customWidth="1"/>
    <col min="34" max="35" width="8.7" style="75" customWidth="1"/>
    <col min="36" max="36" width="5.3" style="75" customWidth="1"/>
    <col min="37" max="37" width="8.6" style="75" customWidth="1"/>
    <col min="38" max="52" width="9" style="75" hidden="1" customWidth="1" outlineLevel="1"/>
    <col min="53" max="53" width="14.7" style="75" customWidth="1" collapsed="1"/>
    <col min="54" max="54" width="6.7" style="75" customWidth="1"/>
    <col min="55" max="56" width="5.1" style="165" customWidth="1"/>
    <col min="57" max="57" width="8.7" style="165" customWidth="1"/>
    <col min="58" max="59" width="9.6" style="75" customWidth="1"/>
    <col min="60" max="62" width="5" style="75" customWidth="1"/>
    <col min="63" max="63" width="5.1" style="75" customWidth="1"/>
    <col min="64" max="64" width="6.7" style="75" customWidth="1"/>
    <col min="65" max="65" width="10.3" style="75" customWidth="1"/>
    <col min="66" max="66" width="8.7" style="75" customWidth="1"/>
    <col min="67" max="67" width="7.1" style="75" customWidth="1"/>
    <col min="68" max="68" width="1.6" style="77" customWidth="1"/>
    <col min="69" max="69" width="10.6" style="78" customWidth="1"/>
    <col min="70" max="70" width="10.6" style="77" customWidth="1"/>
    <col min="71" max="71" width="4.6" style="78" customWidth="1"/>
    <col min="72" max="72" width="10.6" style="78" customWidth="1"/>
    <col min="73" max="74" width="4.6" style="78" customWidth="1"/>
    <col min="75" max="75" width="10.6" style="78" customWidth="1"/>
    <col min="76" max="76" width="5" style="77" customWidth="1"/>
    <col min="77" max="16384" width="9" style="75"/>
  </cols>
  <sheetData>
    <row r="1" s="86" customFormat="1" ht="13.8" spans="1:76">
      <c r="A1" s="1284" t="s">
        <v>1591</v>
      </c>
      <c r="B1" s="1285" t="s">
        <v>1958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BA1" s="84" t="str">
        <f>参数表!BA1</f>
        <v>注意：补充特殊事项、作价等均从BA列开始填写</v>
      </c>
      <c r="BB1" s="85"/>
      <c r="BC1" s="82"/>
      <c r="BD1" s="82"/>
      <c r="BE1" s="82"/>
      <c r="BP1" s="87"/>
      <c r="BQ1" s="88"/>
      <c r="BR1" s="87"/>
      <c r="BS1" s="88"/>
      <c r="BT1" s="88"/>
      <c r="BU1" s="88"/>
      <c r="BV1" s="88"/>
      <c r="BW1" s="88"/>
      <c r="BX1" s="87"/>
    </row>
    <row r="2" s="71" customFormat="1" ht="30" customHeight="1" spans="1:76">
      <c r="A2" s="89" t="s">
        <v>2040</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BA2" s="90" t="str">
        <f>参数表!BA2</f>
        <v>评估基准日：</v>
      </c>
      <c r="BB2" s="91" t="str">
        <f>参数表!BB2</f>
        <v>2025年7月31日</v>
      </c>
      <c r="BC2" s="171"/>
      <c r="BD2" s="171"/>
      <c r="BE2" s="171"/>
      <c r="BP2" s="92"/>
      <c r="BQ2" s="93"/>
      <c r="BR2" s="92"/>
      <c r="BS2" s="93"/>
      <c r="BT2" s="93"/>
      <c r="BU2" s="93"/>
      <c r="BV2" s="93"/>
      <c r="BW2" s="93"/>
      <c r="BX2" s="92"/>
    </row>
    <row r="3" ht="15" customHeight="1" spans="1:76">
      <c r="A3" s="94" t="str">
        <f>参数表!F5</f>
        <v>评估基准日：2025年7月31日</v>
      </c>
      <c r="B3" s="94"/>
      <c r="C3" s="94"/>
      <c r="D3" s="94"/>
      <c r="E3" s="94"/>
      <c r="F3" s="94"/>
      <c r="G3" s="94"/>
      <c r="H3" s="94"/>
      <c r="I3" s="94"/>
      <c r="J3" s="94"/>
      <c r="K3" s="94"/>
      <c r="L3" s="94"/>
      <c r="M3" s="94"/>
      <c r="N3" s="94"/>
      <c r="O3" s="95"/>
      <c r="P3" s="95"/>
      <c r="Q3" s="95"/>
      <c r="R3" s="95"/>
      <c r="S3" s="95"/>
      <c r="T3" s="95"/>
      <c r="U3" s="95"/>
      <c r="V3" s="95"/>
      <c r="W3" s="95"/>
      <c r="X3" s="95"/>
      <c r="Y3" s="95"/>
      <c r="Z3" s="95"/>
      <c r="AA3" s="95"/>
      <c r="AB3" s="95"/>
      <c r="AC3" s="95"/>
      <c r="AD3" s="95"/>
      <c r="AE3" s="95"/>
      <c r="AF3" s="95"/>
      <c r="AG3" s="95"/>
      <c r="AH3" s="95"/>
      <c r="AI3" s="95"/>
      <c r="AJ3" s="95"/>
      <c r="AK3" s="95"/>
      <c r="BA3" s="90" t="str">
        <f>参数表!BA3</f>
        <v>是否显示评估值：</v>
      </c>
      <c r="BB3" s="90" t="str">
        <f>参数表!BB3</f>
        <v>是</v>
      </c>
      <c r="BP3" s="92"/>
      <c r="BQ3" s="93"/>
      <c r="BR3" s="93"/>
      <c r="BS3" s="93"/>
      <c r="BT3" s="93"/>
      <c r="BU3" s="93"/>
      <c r="BV3" s="93"/>
      <c r="BW3" s="93"/>
      <c r="BX3" s="92"/>
    </row>
    <row r="4" ht="15" customHeight="1" spans="1:76">
      <c r="A4" s="96"/>
      <c r="B4" s="94"/>
      <c r="C4" s="94"/>
      <c r="D4" s="94"/>
      <c r="E4" s="94"/>
      <c r="F4" s="94"/>
      <c r="G4" s="94"/>
      <c r="H4" s="94"/>
      <c r="I4" s="94"/>
      <c r="J4" s="94"/>
      <c r="K4" s="94"/>
      <c r="L4" s="94"/>
      <c r="M4" s="94"/>
      <c r="N4" s="94"/>
      <c r="O4" s="95"/>
      <c r="P4" s="95"/>
      <c r="Q4" s="98"/>
      <c r="R4" s="95"/>
      <c r="S4" s="95"/>
      <c r="T4" s="95"/>
      <c r="U4" s="95"/>
      <c r="V4" s="95"/>
      <c r="W4" s="95"/>
      <c r="X4" s="95"/>
      <c r="Y4" s="95"/>
      <c r="Z4" s="95"/>
      <c r="AA4" s="95"/>
      <c r="AB4" s="95"/>
      <c r="AC4" s="95"/>
      <c r="AD4" s="95"/>
      <c r="AE4" s="95"/>
      <c r="AF4" s="95"/>
      <c r="AG4" s="95"/>
      <c r="AH4" s="95"/>
      <c r="AI4" s="95"/>
      <c r="AJ4" s="95"/>
      <c r="AK4" s="98" t="str">
        <f>"表"&amp;$BA4</f>
        <v>表3-7-2</v>
      </c>
      <c r="BA4" s="95" t="str">
        <f>应收款融资总!A8</f>
        <v>3-7-2</v>
      </c>
      <c r="BB4" s="100">
        <f>MAX(COUNTA(A8:A27),COUNTA(B8:B27),COUNTA(K8:K27),COUNTA(AE8:AE27))</f>
        <v>20</v>
      </c>
      <c r="BC4" s="101">
        <f>ROW(A7)+1</f>
        <v>8</v>
      </c>
      <c r="BD4" s="77"/>
      <c r="BE4" s="77"/>
      <c r="BQ4" s="93"/>
      <c r="BR4" s="93"/>
      <c r="BS4" s="93"/>
      <c r="BT4" s="93"/>
      <c r="BU4" s="93"/>
      <c r="BV4" s="93"/>
    </row>
    <row r="5" ht="15" customHeight="1" spans="1:76">
      <c r="A5" s="102" t="str">
        <f>参数表!F3</f>
        <v>产权持有单位:中煤第五建设有限公司</v>
      </c>
      <c r="B5" s="103"/>
      <c r="C5" s="103"/>
      <c r="D5" s="103"/>
      <c r="E5" s="103"/>
      <c r="F5" s="95"/>
      <c r="G5" s="103"/>
      <c r="H5" s="103"/>
      <c r="I5" s="103"/>
      <c r="J5" s="103"/>
      <c r="K5" s="103"/>
      <c r="L5" s="1217"/>
      <c r="M5" s="1217"/>
      <c r="N5" s="1217"/>
      <c r="O5" s="1217"/>
      <c r="P5" s="1217"/>
      <c r="Q5" s="1217"/>
      <c r="R5" s="1217"/>
      <c r="S5" s="1268"/>
      <c r="T5" s="1268"/>
      <c r="U5" s="1268"/>
      <c r="V5" s="1268"/>
      <c r="W5" s="1268"/>
      <c r="X5" s="1268"/>
      <c r="Y5" s="1268"/>
      <c r="Z5" s="1268"/>
      <c r="AA5" s="1217"/>
      <c r="AB5" s="1217"/>
      <c r="AC5" s="1268"/>
      <c r="AD5" s="1269"/>
      <c r="AE5" s="983"/>
      <c r="AF5" s="983"/>
      <c r="AG5" s="103"/>
      <c r="AH5" s="103"/>
      <c r="AI5" s="103"/>
      <c r="AJ5" s="103"/>
      <c r="AK5" s="98" t="s">
        <v>236</v>
      </c>
      <c r="BA5" s="103"/>
      <c r="BB5" s="105" t="str">
        <f ca="1">判断表!C23</f>
        <v>中煤第五建设有限公司第三工程处拟处置实物资产项目\[0000-3基础法明细表.xlsx]融资-应收账款</v>
      </c>
      <c r="BC5" s="106">
        <f>IFERROR(SUMIF(BC8:BC27,"√",AE8:AE27)/AE28,0)</f>
        <v>0</v>
      </c>
      <c r="BD5" s="107"/>
      <c r="BE5" s="107"/>
      <c r="BF5" s="284">
        <f>'融资-应收票据'!BF5</f>
        <v>0</v>
      </c>
      <c r="BG5" s="284">
        <f>'融资-应收票据'!BG5</f>
        <v>0</v>
      </c>
      <c r="BH5" s="165"/>
      <c r="BI5" s="165"/>
      <c r="BJ5" s="165"/>
      <c r="BK5" s="165"/>
      <c r="BL5" s="165"/>
      <c r="BM5" s="165"/>
      <c r="BQ5" s="93"/>
      <c r="BR5" s="93"/>
      <c r="BS5" s="93"/>
      <c r="BT5" s="93"/>
      <c r="BU5" s="93"/>
      <c r="BV5" s="93"/>
    </row>
    <row r="6" ht="15" customHeight="1" spans="1:76">
      <c r="A6" s="112" t="s">
        <v>305</v>
      </c>
      <c r="B6" s="113" t="s">
        <v>1960</v>
      </c>
      <c r="C6" s="113" t="s">
        <v>1898</v>
      </c>
      <c r="D6" s="113" t="s">
        <v>1961</v>
      </c>
      <c r="E6" s="113" t="s">
        <v>1962</v>
      </c>
      <c r="F6" s="118" t="s">
        <v>1963</v>
      </c>
      <c r="G6" s="511" t="s">
        <v>1964</v>
      </c>
      <c r="H6" s="575"/>
      <c r="I6" s="575"/>
      <c r="J6" s="576"/>
      <c r="K6" s="113" t="s">
        <v>1965</v>
      </c>
      <c r="L6" s="113"/>
      <c r="M6" s="113"/>
      <c r="N6" s="113"/>
      <c r="O6" s="113"/>
      <c r="P6" s="113"/>
      <c r="Q6" s="113"/>
      <c r="R6" s="113"/>
      <c r="S6" s="1270" t="s">
        <v>1966</v>
      </c>
      <c r="T6" s="1270"/>
      <c r="U6" s="1270"/>
      <c r="V6" s="1270"/>
      <c r="W6" s="1270"/>
      <c r="X6" s="1270"/>
      <c r="Y6" s="1270"/>
      <c r="Z6" s="1270" t="s">
        <v>1967</v>
      </c>
      <c r="AA6" s="1270"/>
      <c r="AB6" s="1270"/>
      <c r="AC6" s="1271" t="s">
        <v>1634</v>
      </c>
      <c r="AD6" s="1271"/>
      <c r="AE6" s="1220" t="s">
        <v>1567</v>
      </c>
      <c r="AF6" s="1220" t="s">
        <v>1926</v>
      </c>
      <c r="AG6" s="113" t="s">
        <v>1550</v>
      </c>
      <c r="AH6" s="908" t="s">
        <v>1929</v>
      </c>
      <c r="AI6" s="113" t="s">
        <v>1525</v>
      </c>
      <c r="AJ6" s="118" t="s">
        <v>1551</v>
      </c>
      <c r="AK6" s="113" t="s">
        <v>308</v>
      </c>
      <c r="BA6" s="103"/>
      <c r="BB6" s="100"/>
      <c r="BC6" s="100"/>
      <c r="BD6" s="100"/>
      <c r="BE6" s="100"/>
      <c r="BF6" s="192" t="s">
        <v>1639</v>
      </c>
      <c r="BG6" s="192" t="s">
        <v>1640</v>
      </c>
      <c r="BH6" s="113" t="s">
        <v>1748</v>
      </c>
      <c r="BI6" s="113" t="s">
        <v>1749</v>
      </c>
      <c r="BJ6" s="118" t="s">
        <v>1750</v>
      </c>
      <c r="BK6" s="118" t="s">
        <v>1686</v>
      </c>
      <c r="BL6" s="193" t="s">
        <v>1687</v>
      </c>
      <c r="BM6" s="908" t="s">
        <v>1688</v>
      </c>
      <c r="BN6" s="113" t="s">
        <v>1644</v>
      </c>
      <c r="BO6" s="682" t="s">
        <v>467</v>
      </c>
      <c r="BP6" s="111"/>
      <c r="BQ6" s="93"/>
      <c r="BR6" s="93"/>
      <c r="BS6" s="93"/>
      <c r="BT6" s="93"/>
      <c r="BU6" s="93"/>
      <c r="BV6" s="93"/>
      <c r="BW6" s="194"/>
      <c r="BX6" s="111"/>
    </row>
    <row r="7" s="72" customFormat="1" ht="13.2" spans="1:76">
      <c r="A7" s="112"/>
      <c r="B7" s="113"/>
      <c r="C7" s="113"/>
      <c r="D7" s="113"/>
      <c r="E7" s="113"/>
      <c r="F7" s="118"/>
      <c r="G7" s="519" t="s">
        <v>1968</v>
      </c>
      <c r="H7" s="519" t="s">
        <v>1969</v>
      </c>
      <c r="I7" s="519" t="s">
        <v>1970</v>
      </c>
      <c r="J7" s="519" t="s">
        <v>1971</v>
      </c>
      <c r="K7" s="113" t="s">
        <v>1549</v>
      </c>
      <c r="L7" s="222" t="s">
        <v>1972</v>
      </c>
      <c r="M7" s="222" t="s">
        <v>1973</v>
      </c>
      <c r="N7" s="222" t="s">
        <v>1974</v>
      </c>
      <c r="O7" s="222" t="s">
        <v>1975</v>
      </c>
      <c r="P7" s="222" t="s">
        <v>1976</v>
      </c>
      <c r="Q7" s="222" t="s">
        <v>1977</v>
      </c>
      <c r="R7" s="222" t="s">
        <v>1978</v>
      </c>
      <c r="S7" s="222" t="s">
        <v>1979</v>
      </c>
      <c r="T7" s="222" t="s">
        <v>1980</v>
      </c>
      <c r="U7" s="222" t="s">
        <v>1981</v>
      </c>
      <c r="V7" s="222" t="s">
        <v>1982</v>
      </c>
      <c r="W7" s="222" t="s">
        <v>1983</v>
      </c>
      <c r="X7" s="222" t="s">
        <v>1984</v>
      </c>
      <c r="Y7" s="222" t="s">
        <v>1985</v>
      </c>
      <c r="Z7" s="1270" t="s">
        <v>1986</v>
      </c>
      <c r="AA7" s="1270" t="s">
        <v>1987</v>
      </c>
      <c r="AB7" s="1272" t="s">
        <v>1988</v>
      </c>
      <c r="AC7" s="1271" t="s">
        <v>1989</v>
      </c>
      <c r="AD7" s="1271" t="s">
        <v>1990</v>
      </c>
      <c r="AE7" s="1223"/>
      <c r="AF7" s="1223"/>
      <c r="AG7" s="113"/>
      <c r="AH7" s="911"/>
      <c r="AI7" s="113"/>
      <c r="AJ7" s="118"/>
      <c r="AK7" s="113"/>
      <c r="BA7" s="100" t="s">
        <v>1545</v>
      </c>
      <c r="BB7" s="100" t="s">
        <v>1635</v>
      </c>
      <c r="BC7" s="100" t="s">
        <v>1636</v>
      </c>
      <c r="BD7" s="100" t="s">
        <v>1637</v>
      </c>
      <c r="BE7" s="100" t="s">
        <v>1638</v>
      </c>
      <c r="BF7" s="197"/>
      <c r="BG7" s="197"/>
      <c r="BH7" s="113"/>
      <c r="BI7" s="113"/>
      <c r="BJ7" s="118"/>
      <c r="BK7" s="118"/>
      <c r="BL7" s="198"/>
      <c r="BM7" s="911"/>
      <c r="BN7" s="113"/>
      <c r="BO7" s="682"/>
      <c r="BP7" s="119"/>
      <c r="BQ7" s="120" t="s">
        <v>1645</v>
      </c>
      <c r="BR7" s="121" t="s">
        <v>1646</v>
      </c>
      <c r="BS7" s="121" t="s">
        <v>1647</v>
      </c>
      <c r="BT7" s="121" t="s">
        <v>1648</v>
      </c>
      <c r="BU7" s="121" t="s">
        <v>1647</v>
      </c>
      <c r="BV7" s="121" t="s">
        <v>1647</v>
      </c>
      <c r="BW7" s="121" t="s">
        <v>1649</v>
      </c>
      <c r="BX7" s="122" t="s">
        <v>1650</v>
      </c>
    </row>
    <row r="8" ht="15" customHeight="1" spans="1:76">
      <c r="A8" s="785" t="str">
        <f>IF(B8="","",COUNT(A$7:A7)+1)</f>
        <v/>
      </c>
      <c r="B8" s="124"/>
      <c r="C8" s="126"/>
      <c r="D8" s="125"/>
      <c r="E8" s="126" t="str">
        <f t="shared" ref="E8:E27" si="0">IF(OR(AE8=0,AE8=""),"",IF(BO8&gt;=5,"5年以上",IF(BO8&gt;=4,"4-5年",IF(BO8&gt;=3,"3-4年",IF(BO8&gt;=2,"2-3年",IF(BO8&gt;=1,"1-2年","1年以内"))))))</f>
        <v/>
      </c>
      <c r="F8" s="126"/>
      <c r="G8" s="127"/>
      <c r="H8" s="127" t="str">
        <f>IFERROR(VLOOKUP(G8,参数表!$H$2:$I$50,2,FALSE),"")</f>
        <v/>
      </c>
      <c r="I8" s="128" t="str">
        <f>IFERROR(IF(OR(G8="人民币",G8=""),"",AE8/H8),"")</f>
        <v/>
      </c>
      <c r="J8" s="128" t="str">
        <f>IFERROR(IF(OR(G8="人民币",G8=""),"",AF8/H8),"")</f>
        <v/>
      </c>
      <c r="K8" s="129" t="str">
        <f>IF(B8="","",SUM(L8:R8))</f>
        <v/>
      </c>
      <c r="L8" s="129"/>
      <c r="M8" s="129"/>
      <c r="N8" s="129"/>
      <c r="O8" s="129"/>
      <c r="P8" s="129"/>
      <c r="Q8" s="129"/>
      <c r="R8" s="129"/>
      <c r="S8" s="1224"/>
      <c r="T8" s="1224"/>
      <c r="U8" s="1224"/>
      <c r="V8" s="1224"/>
      <c r="W8" s="1224"/>
      <c r="X8" s="1224"/>
      <c r="Y8" s="1224"/>
      <c r="Z8" s="129" t="str">
        <f>IF(B8="","",IF(F8="是",0,L8*S8+M8*T8+N8*U8+O8*V8+P8*W8+Q8*X8+R8*Y8))</f>
        <v/>
      </c>
      <c r="AA8" s="129"/>
      <c r="AB8" s="129" t="str">
        <f t="shared" ref="AB8:AB27" si="1">IFERROR(Z8+AA8,"")</f>
        <v/>
      </c>
      <c r="AC8" s="1273"/>
      <c r="AD8" s="1273"/>
      <c r="AE8" s="129" t="str">
        <f>IFERROR(K8+AC8,"")</f>
        <v/>
      </c>
      <c r="AF8" s="129" t="str">
        <f>IFERROR(AB8+AD8,"")</f>
        <v/>
      </c>
      <c r="AG8" s="129" t="str">
        <f t="shared" ref="AG8:AG27" si="2">IF(B8="","",IF(BB$3="是",AE8,""))</f>
        <v/>
      </c>
      <c r="AH8" s="129" t="str">
        <f t="shared" ref="AH8:AH27" si="3">IF(B8="","",IF(BB$3="是",AF8,""))</f>
        <v/>
      </c>
      <c r="AI8" s="129" t="str">
        <f>IFERROR((AG8-AH8)-(AE8-AF8),"")</f>
        <v/>
      </c>
      <c r="AJ8" s="491" t="str">
        <f>IFERROR(AI8/(AE8-AF8)*100,"")</f>
        <v/>
      </c>
      <c r="AK8" s="131"/>
      <c r="BA8" s="78"/>
      <c r="BB8" s="132" t="s">
        <v>2041</v>
      </c>
      <c r="BC8" s="133"/>
      <c r="BD8" s="132" t="str">
        <f>IF(OR(B8="",BC8=""),"",COUNTIF(BC$8:BC8,"√"))</f>
        <v/>
      </c>
      <c r="BE8" s="134" t="str">
        <f t="shared" ref="BE8:BE27" si="4">IF(BC8="","",BB8&amp;"︱"&amp;B8&amp;"︱"&amp;TEXT(K8,"#,##0.00"))</f>
        <v/>
      </c>
      <c r="BF8" s="135" t="str">
        <f>IF($B8="","",IF(BF$5=0,"OK","出错"))</f>
        <v/>
      </c>
      <c r="BG8" s="135" t="str">
        <f>IF($B8="","",IF(BG$5=0,"OK","出错"))</f>
        <v/>
      </c>
      <c r="BH8" s="136"/>
      <c r="BI8" s="136"/>
      <c r="BJ8" s="136"/>
      <c r="BK8" s="136"/>
      <c r="BL8" s="136"/>
      <c r="BM8" s="137"/>
      <c r="BN8" s="137"/>
      <c r="BO8" s="156">
        <f t="shared" ref="BO8:BO27" si="5">(BB$2-D8)/365</f>
        <v>125.668493150685</v>
      </c>
      <c r="BQ8" s="134" t="str">
        <f>IF(COUNTIF(BQ$7:BQ7,C8)&gt;0,"",C8)&amp;""</f>
        <v/>
      </c>
      <c r="BR8" s="138">
        <f t="shared" ref="BR8:BR27" si="6">SUMIF(C$8:C$27,BQ8,AE$8:AE$27)</f>
        <v>0</v>
      </c>
      <c r="BS8" s="132">
        <f t="shared" ref="BS8" si="7">RANK(BR8,BR$8:BR$27)</f>
        <v>1</v>
      </c>
      <c r="BT8" s="138">
        <f t="shared" ref="BT8:BT27" si="8">SUMIF(C$8:C$27,BQ8,AG$8:AG$27)</f>
        <v>0</v>
      </c>
      <c r="BU8" s="132">
        <f>RANK(BT8,BT$8:BT$27)</f>
        <v>1</v>
      </c>
      <c r="BV8" s="138">
        <f>SUM(BR8:BR27)</f>
        <v>0</v>
      </c>
      <c r="BW8" s="138"/>
      <c r="BX8" s="138"/>
    </row>
    <row r="9" ht="15" customHeight="1" spans="1:76">
      <c r="A9" s="785" t="str">
        <f>IF(B9="","",COUNT(A$7:A8)+1)</f>
        <v/>
      </c>
      <c r="B9" s="139"/>
      <c r="C9" s="141"/>
      <c r="D9" s="140"/>
      <c r="E9" s="126" t="str">
        <f t="shared" si="0"/>
        <v/>
      </c>
      <c r="F9" s="141"/>
      <c r="G9" s="142"/>
      <c r="H9" s="127" t="str">
        <f>IFERROR(VLOOKUP(G9,参数表!$H$2:$I$50,2,FALSE),"")</f>
        <v/>
      </c>
      <c r="I9" s="128" t="str">
        <f t="shared" ref="I9:I27" si="9">IFERROR(IF(OR(G9="人民币",G9=""),"",AE9/H9),"")</f>
        <v/>
      </c>
      <c r="J9" s="128" t="str">
        <f t="shared" ref="J9:J27" si="10">IFERROR(IF(OR(G9="人民币",G9=""),"",AF9/H9),"")</f>
        <v/>
      </c>
      <c r="K9" s="129" t="str">
        <f t="shared" ref="K9:K27" si="11">IF(B9="","",SUM(L9:R9))</f>
        <v/>
      </c>
      <c r="L9" s="1274"/>
      <c r="M9" s="1274"/>
      <c r="N9" s="1274"/>
      <c r="O9" s="1274"/>
      <c r="P9" s="1274"/>
      <c r="Q9" s="1274"/>
      <c r="R9" s="1274"/>
      <c r="S9" s="1275"/>
      <c r="T9" s="1275"/>
      <c r="U9" s="1275"/>
      <c r="V9" s="1275"/>
      <c r="W9" s="1275"/>
      <c r="X9" s="1275"/>
      <c r="Y9" s="1275"/>
      <c r="Z9" s="129" t="str">
        <f t="shared" ref="Z9:Z27" si="12">IF(B9="","",IF(F9="是",0,L9*S9+M9*T9+N9*U9+O9*V9+P9*W9+Q9*X9+R9*Y9))</f>
        <v/>
      </c>
      <c r="AA9" s="1274"/>
      <c r="AB9" s="129" t="str">
        <f t="shared" si="1"/>
        <v/>
      </c>
      <c r="AC9" s="1276"/>
      <c r="AD9" s="1276"/>
      <c r="AE9" s="129" t="str">
        <f t="shared" ref="AE9:AE27" si="13">IFERROR(K9+AC9,"")</f>
        <v/>
      </c>
      <c r="AF9" s="129" t="str">
        <f t="shared" ref="AF9:AF27" si="14">IFERROR(AB9+AD9,"")</f>
        <v/>
      </c>
      <c r="AG9" s="129" t="str">
        <f t="shared" si="2"/>
        <v/>
      </c>
      <c r="AH9" s="129" t="str">
        <f t="shared" si="3"/>
        <v/>
      </c>
      <c r="AI9" s="129" t="str">
        <f t="shared" ref="AI9:AI31" si="15">IFERROR((AG9-AH9)-(AE9-AF9),"")</f>
        <v/>
      </c>
      <c r="AJ9" s="491" t="str">
        <f t="shared" ref="AJ9:AJ31" si="16">IFERROR(AI9/(AE9-AF9)*100,"")</f>
        <v/>
      </c>
      <c r="AK9" s="145"/>
      <c r="BA9" s="78"/>
      <c r="BB9" s="132" t="s">
        <v>2042</v>
      </c>
      <c r="BC9" s="133"/>
      <c r="BD9" s="132" t="str">
        <f>IF(OR(B9="",BC9=""),"",COUNTIF(BC$8:BC9,"√"))</f>
        <v/>
      </c>
      <c r="BE9" s="134" t="str">
        <f t="shared" si="4"/>
        <v/>
      </c>
      <c r="BF9" s="135" t="str">
        <f t="shared" ref="BF9:BG27" si="17">IF($B9="","",IF(BF$5=0,"OK","出错"))</f>
        <v/>
      </c>
      <c r="BG9" s="135" t="str">
        <f t="shared" si="17"/>
        <v/>
      </c>
      <c r="BH9" s="136"/>
      <c r="BI9" s="136"/>
      <c r="BJ9" s="136"/>
      <c r="BK9" s="136"/>
      <c r="BL9" s="136"/>
      <c r="BM9" s="137"/>
      <c r="BN9" s="137"/>
      <c r="BO9" s="156">
        <f t="shared" si="5"/>
        <v>125.668493150685</v>
      </c>
      <c r="BQ9" s="134" t="str">
        <f>IF(COUNTIF(BQ$7:BQ8,C9)&gt;0,"",C9)&amp;""</f>
        <v/>
      </c>
      <c r="BR9" s="138">
        <f t="shared" si="6"/>
        <v>0</v>
      </c>
      <c r="BS9" s="132">
        <f t="shared" ref="BS9:BS27" si="18">RANK(BR9,BR$8:BR$27)</f>
        <v>1</v>
      </c>
      <c r="BT9" s="138">
        <f t="shared" si="8"/>
        <v>0</v>
      </c>
      <c r="BU9" s="132">
        <f t="shared" ref="BU9:BU27" si="19">RANK(BT9,BT$8:BT$27)</f>
        <v>1</v>
      </c>
      <c r="BV9" s="138">
        <f>SUM(BT8:BT27)</f>
        <v>0</v>
      </c>
      <c r="BW9" s="138"/>
      <c r="BX9" s="138"/>
    </row>
    <row r="10" ht="15" customHeight="1" spans="1:76">
      <c r="A10" s="785" t="str">
        <f>IF(B10="","",COUNT(A$7:A9)+1)</f>
        <v/>
      </c>
      <c r="B10" s="139"/>
      <c r="C10" s="141"/>
      <c r="D10" s="140"/>
      <c r="E10" s="126" t="str">
        <f t="shared" si="0"/>
        <v/>
      </c>
      <c r="F10" s="141"/>
      <c r="G10" s="142"/>
      <c r="H10" s="127" t="str">
        <f>IFERROR(VLOOKUP(G10,参数表!$H$2:$I$50,2,FALSE),"")</f>
        <v/>
      </c>
      <c r="I10" s="128" t="str">
        <f t="shared" si="9"/>
        <v/>
      </c>
      <c r="J10" s="128" t="str">
        <f t="shared" si="10"/>
        <v/>
      </c>
      <c r="K10" s="129" t="str">
        <f t="shared" si="11"/>
        <v/>
      </c>
      <c r="L10" s="1274"/>
      <c r="M10" s="1274"/>
      <c r="N10" s="1274"/>
      <c r="O10" s="1274"/>
      <c r="P10" s="1274"/>
      <c r="Q10" s="1274"/>
      <c r="R10" s="1274"/>
      <c r="S10" s="1275"/>
      <c r="T10" s="1275"/>
      <c r="U10" s="1275"/>
      <c r="V10" s="1275"/>
      <c r="W10" s="1275"/>
      <c r="X10" s="1275"/>
      <c r="Y10" s="1275"/>
      <c r="Z10" s="129" t="str">
        <f t="shared" si="12"/>
        <v/>
      </c>
      <c r="AA10" s="1274"/>
      <c r="AB10" s="129" t="str">
        <f t="shared" si="1"/>
        <v/>
      </c>
      <c r="AC10" s="1276"/>
      <c r="AD10" s="1276"/>
      <c r="AE10" s="129" t="str">
        <f t="shared" si="13"/>
        <v/>
      </c>
      <c r="AF10" s="129" t="str">
        <f t="shared" si="14"/>
        <v/>
      </c>
      <c r="AG10" s="129" t="str">
        <f t="shared" si="2"/>
        <v/>
      </c>
      <c r="AH10" s="129" t="str">
        <f t="shared" si="3"/>
        <v/>
      </c>
      <c r="AI10" s="129" t="str">
        <f t="shared" si="15"/>
        <v/>
      </c>
      <c r="AJ10" s="491" t="str">
        <f t="shared" si="16"/>
        <v/>
      </c>
      <c r="AK10" s="145"/>
      <c r="BA10" s="78"/>
      <c r="BB10" s="132" t="s">
        <v>2043</v>
      </c>
      <c r="BC10" s="133"/>
      <c r="BD10" s="132" t="str">
        <f>IF(OR(B10="",BC10=""),"",COUNTIF(BC$8:BC10,"√"))</f>
        <v/>
      </c>
      <c r="BE10" s="134" t="str">
        <f t="shared" si="4"/>
        <v/>
      </c>
      <c r="BF10" s="135" t="str">
        <f t="shared" si="17"/>
        <v/>
      </c>
      <c r="BG10" s="135" t="str">
        <f t="shared" si="17"/>
        <v/>
      </c>
      <c r="BH10" s="136"/>
      <c r="BI10" s="136"/>
      <c r="BJ10" s="136"/>
      <c r="BK10" s="136"/>
      <c r="BL10" s="136"/>
      <c r="BM10" s="137"/>
      <c r="BN10" s="137"/>
      <c r="BO10" s="156">
        <f t="shared" si="5"/>
        <v>125.668493150685</v>
      </c>
      <c r="BQ10" s="134" t="str">
        <f>IF(COUNTIF(BQ$7:BQ9,C10)&gt;0,"",C10)&amp;""</f>
        <v/>
      </c>
      <c r="BR10" s="138">
        <f t="shared" si="6"/>
        <v>0</v>
      </c>
      <c r="BS10" s="132">
        <f t="shared" si="18"/>
        <v>1</v>
      </c>
      <c r="BT10" s="138">
        <f t="shared" si="8"/>
        <v>0</v>
      </c>
      <c r="BU10" s="132">
        <f t="shared" si="19"/>
        <v>1</v>
      </c>
      <c r="BV10" s="132">
        <v>1</v>
      </c>
      <c r="BW10" s="134" t="str">
        <f>IFERROR(INDEX(BQ$8:BQ$27,MATCH(BV10,IF(BV$8=0,BU$8:BU$27,BS$8:BS$27),0))&amp;"","")</f>
        <v/>
      </c>
      <c r="BX10" s="146" t="str">
        <f>IF(BW11="","",IF(BW12="","和","、"))</f>
        <v/>
      </c>
    </row>
    <row r="11" ht="15" customHeight="1" spans="1:76">
      <c r="A11" s="785" t="str">
        <f>IF(B11="","",COUNT(A$7:A10)+1)</f>
        <v/>
      </c>
      <c r="B11" s="139"/>
      <c r="C11" s="141"/>
      <c r="D11" s="140"/>
      <c r="E11" s="126" t="str">
        <f t="shared" si="0"/>
        <v/>
      </c>
      <c r="F11" s="141"/>
      <c r="G11" s="142"/>
      <c r="H11" s="127" t="str">
        <f>IFERROR(VLOOKUP(G11,参数表!$H$2:$I$50,2,FALSE),"")</f>
        <v/>
      </c>
      <c r="I11" s="128" t="str">
        <f t="shared" si="9"/>
        <v/>
      </c>
      <c r="J11" s="128" t="str">
        <f t="shared" si="10"/>
        <v/>
      </c>
      <c r="K11" s="129" t="str">
        <f t="shared" si="11"/>
        <v/>
      </c>
      <c r="L11" s="1274"/>
      <c r="M11" s="1274"/>
      <c r="N11" s="1274"/>
      <c r="O11" s="1274"/>
      <c r="P11" s="1274"/>
      <c r="Q11" s="1274"/>
      <c r="R11" s="1274"/>
      <c r="S11" s="1275"/>
      <c r="T11" s="1275"/>
      <c r="U11" s="1275"/>
      <c r="V11" s="1275"/>
      <c r="W11" s="1275"/>
      <c r="X11" s="1275"/>
      <c r="Y11" s="1275"/>
      <c r="Z11" s="129" t="str">
        <f t="shared" si="12"/>
        <v/>
      </c>
      <c r="AA11" s="1274"/>
      <c r="AB11" s="129" t="str">
        <f t="shared" si="1"/>
        <v/>
      </c>
      <c r="AC11" s="1276"/>
      <c r="AD11" s="1276"/>
      <c r="AE11" s="129" t="str">
        <f t="shared" si="13"/>
        <v/>
      </c>
      <c r="AF11" s="129" t="str">
        <f t="shared" si="14"/>
        <v/>
      </c>
      <c r="AG11" s="129" t="str">
        <f t="shared" si="2"/>
        <v/>
      </c>
      <c r="AH11" s="129" t="str">
        <f t="shared" si="3"/>
        <v/>
      </c>
      <c r="AI11" s="129" t="str">
        <f t="shared" si="15"/>
        <v/>
      </c>
      <c r="AJ11" s="491" t="str">
        <f t="shared" si="16"/>
        <v/>
      </c>
      <c r="AK11" s="145"/>
      <c r="BA11" s="78"/>
      <c r="BB11" s="132" t="s">
        <v>2044</v>
      </c>
      <c r="BC11" s="133"/>
      <c r="BD11" s="132" t="str">
        <f>IF(OR(B11="",BC11=""),"",COUNTIF(BC$8:BC11,"√"))</f>
        <v/>
      </c>
      <c r="BE11" s="134" t="str">
        <f t="shared" si="4"/>
        <v/>
      </c>
      <c r="BF11" s="135" t="str">
        <f t="shared" si="17"/>
        <v/>
      </c>
      <c r="BG11" s="135" t="str">
        <f t="shared" si="17"/>
        <v/>
      </c>
      <c r="BH11" s="136"/>
      <c r="BI11" s="136"/>
      <c r="BJ11" s="136"/>
      <c r="BK11" s="136"/>
      <c r="BL11" s="136"/>
      <c r="BM11" s="137"/>
      <c r="BN11" s="137"/>
      <c r="BO11" s="156">
        <f t="shared" si="5"/>
        <v>125.668493150685</v>
      </c>
      <c r="BQ11" s="134" t="str">
        <f>IF(COUNTIF(BQ$7:BQ10,C11)&gt;0,"",C11)&amp;""</f>
        <v/>
      </c>
      <c r="BR11" s="138">
        <f t="shared" si="6"/>
        <v>0</v>
      </c>
      <c r="BS11" s="132">
        <f t="shared" si="18"/>
        <v>1</v>
      </c>
      <c r="BT11" s="138">
        <f t="shared" si="8"/>
        <v>0</v>
      </c>
      <c r="BU11" s="132">
        <f t="shared" si="19"/>
        <v>1</v>
      </c>
      <c r="BV11" s="132">
        <v>2</v>
      </c>
      <c r="BW11" s="134" t="str">
        <f t="shared" ref="BW11:BW14" si="20">IFERROR(INDEX(BQ$8:BQ$27,MATCH(BV11,IF(BV$8=0,BU$8:BU$27,BS$8:BS$27),0))&amp;"","")</f>
        <v/>
      </c>
      <c r="BX11" s="146" t="str">
        <f t="shared" ref="BX11:BX12" si="21">IF(BW12="","",IF(BW13="","和","、"))</f>
        <v/>
      </c>
    </row>
    <row r="12" ht="15" customHeight="1" spans="1:76">
      <c r="A12" s="785" t="str">
        <f>IF(B12="","",COUNT(A$7:A11)+1)</f>
        <v/>
      </c>
      <c r="B12" s="139"/>
      <c r="C12" s="141"/>
      <c r="D12" s="140"/>
      <c r="E12" s="126" t="str">
        <f t="shared" si="0"/>
        <v/>
      </c>
      <c r="F12" s="141"/>
      <c r="G12" s="142"/>
      <c r="H12" s="127" t="str">
        <f>IFERROR(VLOOKUP(G12,参数表!$H$2:$I$50,2,FALSE),"")</f>
        <v/>
      </c>
      <c r="I12" s="128" t="str">
        <f t="shared" si="9"/>
        <v/>
      </c>
      <c r="J12" s="128" t="str">
        <f t="shared" si="10"/>
        <v/>
      </c>
      <c r="K12" s="129" t="str">
        <f t="shared" si="11"/>
        <v/>
      </c>
      <c r="L12" s="1274"/>
      <c r="M12" s="1274"/>
      <c r="N12" s="1274"/>
      <c r="O12" s="1274"/>
      <c r="P12" s="1274"/>
      <c r="Q12" s="1274"/>
      <c r="R12" s="1274"/>
      <c r="S12" s="1275"/>
      <c r="T12" s="1275"/>
      <c r="U12" s="1275"/>
      <c r="V12" s="1275"/>
      <c r="W12" s="1275"/>
      <c r="X12" s="1275"/>
      <c r="Y12" s="1275"/>
      <c r="Z12" s="129" t="str">
        <f t="shared" si="12"/>
        <v/>
      </c>
      <c r="AA12" s="1274"/>
      <c r="AB12" s="129" t="str">
        <f t="shared" si="1"/>
        <v/>
      </c>
      <c r="AC12" s="1276"/>
      <c r="AD12" s="1276"/>
      <c r="AE12" s="129" t="str">
        <f t="shared" si="13"/>
        <v/>
      </c>
      <c r="AF12" s="129" t="str">
        <f t="shared" si="14"/>
        <v/>
      </c>
      <c r="AG12" s="129" t="str">
        <f t="shared" si="2"/>
        <v/>
      </c>
      <c r="AH12" s="129" t="str">
        <f t="shared" si="3"/>
        <v/>
      </c>
      <c r="AI12" s="129" t="str">
        <f t="shared" si="15"/>
        <v/>
      </c>
      <c r="AJ12" s="491" t="str">
        <f t="shared" si="16"/>
        <v/>
      </c>
      <c r="AK12" s="145"/>
      <c r="BA12" s="78"/>
      <c r="BB12" s="132" t="s">
        <v>2045</v>
      </c>
      <c r="BC12" s="133"/>
      <c r="BD12" s="132" t="str">
        <f>IF(OR(B12="",BC12=""),"",COUNTIF(BC$8:BC12,"√"))</f>
        <v/>
      </c>
      <c r="BE12" s="134" t="str">
        <f t="shared" si="4"/>
        <v/>
      </c>
      <c r="BF12" s="135" t="str">
        <f t="shared" si="17"/>
        <v/>
      </c>
      <c r="BG12" s="135" t="str">
        <f t="shared" si="17"/>
        <v/>
      </c>
      <c r="BH12" s="136"/>
      <c r="BI12" s="136"/>
      <c r="BJ12" s="136"/>
      <c r="BK12" s="136"/>
      <c r="BL12" s="136"/>
      <c r="BM12" s="137"/>
      <c r="BN12" s="137"/>
      <c r="BO12" s="156">
        <f t="shared" si="5"/>
        <v>125.668493150685</v>
      </c>
      <c r="BQ12" s="134" t="str">
        <f>IF(COUNTIF(BQ$7:BQ11,C12)&gt;0,"",C12)&amp;""</f>
        <v/>
      </c>
      <c r="BR12" s="138">
        <f t="shared" si="6"/>
        <v>0</v>
      </c>
      <c r="BS12" s="132">
        <f t="shared" si="18"/>
        <v>1</v>
      </c>
      <c r="BT12" s="138">
        <f t="shared" si="8"/>
        <v>0</v>
      </c>
      <c r="BU12" s="132">
        <f t="shared" si="19"/>
        <v>1</v>
      </c>
      <c r="BV12" s="132">
        <v>3</v>
      </c>
      <c r="BW12" s="134" t="str">
        <f t="shared" si="20"/>
        <v/>
      </c>
      <c r="BX12" s="146" t="str">
        <f t="shared" si="21"/>
        <v/>
      </c>
    </row>
    <row r="13" ht="15" customHeight="1" spans="1:76">
      <c r="A13" s="785" t="str">
        <f>IF(B13="","",COUNT(A$7:A12)+1)</f>
        <v/>
      </c>
      <c r="B13" s="139"/>
      <c r="C13" s="141"/>
      <c r="D13" s="140"/>
      <c r="E13" s="126" t="str">
        <f t="shared" si="0"/>
        <v/>
      </c>
      <c r="F13" s="141"/>
      <c r="G13" s="142"/>
      <c r="H13" s="127" t="str">
        <f>IFERROR(VLOOKUP(G13,参数表!$H$2:$I$50,2,FALSE),"")</f>
        <v/>
      </c>
      <c r="I13" s="128" t="str">
        <f t="shared" si="9"/>
        <v/>
      </c>
      <c r="J13" s="128" t="str">
        <f t="shared" si="10"/>
        <v/>
      </c>
      <c r="K13" s="129" t="str">
        <f t="shared" si="11"/>
        <v/>
      </c>
      <c r="L13" s="1274"/>
      <c r="M13" s="1274"/>
      <c r="N13" s="1274"/>
      <c r="O13" s="1274"/>
      <c r="P13" s="1274"/>
      <c r="Q13" s="1274"/>
      <c r="R13" s="1274"/>
      <c r="S13" s="1275"/>
      <c r="T13" s="1275"/>
      <c r="U13" s="1275"/>
      <c r="V13" s="1275"/>
      <c r="W13" s="1275"/>
      <c r="X13" s="1275"/>
      <c r="Y13" s="1275"/>
      <c r="Z13" s="129" t="str">
        <f t="shared" si="12"/>
        <v/>
      </c>
      <c r="AA13" s="1274"/>
      <c r="AB13" s="129" t="str">
        <f t="shared" si="1"/>
        <v/>
      </c>
      <c r="AC13" s="1276"/>
      <c r="AD13" s="1276"/>
      <c r="AE13" s="129" t="str">
        <f t="shared" si="13"/>
        <v/>
      </c>
      <c r="AF13" s="129" t="str">
        <f t="shared" si="14"/>
        <v/>
      </c>
      <c r="AG13" s="129" t="str">
        <f t="shared" si="2"/>
        <v/>
      </c>
      <c r="AH13" s="129" t="str">
        <f t="shared" si="3"/>
        <v/>
      </c>
      <c r="AI13" s="129" t="str">
        <f t="shared" si="15"/>
        <v/>
      </c>
      <c r="AJ13" s="491" t="str">
        <f t="shared" si="16"/>
        <v/>
      </c>
      <c r="AK13" s="145"/>
      <c r="BA13" s="78"/>
      <c r="BB13" s="132" t="s">
        <v>2046</v>
      </c>
      <c r="BC13" s="133"/>
      <c r="BD13" s="132" t="str">
        <f>IF(OR(B13="",BC13=""),"",COUNTIF(BC$8:BC13,"√"))</f>
        <v/>
      </c>
      <c r="BE13" s="134" t="str">
        <f t="shared" si="4"/>
        <v/>
      </c>
      <c r="BF13" s="135" t="str">
        <f t="shared" si="17"/>
        <v/>
      </c>
      <c r="BG13" s="135" t="str">
        <f t="shared" si="17"/>
        <v/>
      </c>
      <c r="BH13" s="136"/>
      <c r="BI13" s="136"/>
      <c r="BJ13" s="136"/>
      <c r="BK13" s="136"/>
      <c r="BL13" s="136"/>
      <c r="BM13" s="137"/>
      <c r="BN13" s="137"/>
      <c r="BO13" s="156">
        <f t="shared" si="5"/>
        <v>125.668493150685</v>
      </c>
      <c r="BQ13" s="134" t="str">
        <f>IF(COUNTIF(BQ$7:BQ12,C13)&gt;0,"",C13)&amp;""</f>
        <v/>
      </c>
      <c r="BR13" s="138">
        <f t="shared" si="6"/>
        <v>0</v>
      </c>
      <c r="BS13" s="132">
        <f t="shared" si="18"/>
        <v>1</v>
      </c>
      <c r="BT13" s="138">
        <f t="shared" si="8"/>
        <v>0</v>
      </c>
      <c r="BU13" s="132">
        <f t="shared" si="19"/>
        <v>1</v>
      </c>
      <c r="BV13" s="132">
        <v>4</v>
      </c>
      <c r="BW13" s="134" t="str">
        <f t="shared" si="20"/>
        <v/>
      </c>
      <c r="BX13" s="146" t="str">
        <f>IF(BW14="","","和")</f>
        <v/>
      </c>
    </row>
    <row r="14" ht="15" customHeight="1" spans="1:76">
      <c r="A14" s="785" t="str">
        <f>IF(B14="","",COUNT(A$7:A13)+1)</f>
        <v/>
      </c>
      <c r="B14" s="139"/>
      <c r="C14" s="141"/>
      <c r="D14" s="140"/>
      <c r="E14" s="126" t="str">
        <f t="shared" si="0"/>
        <v/>
      </c>
      <c r="F14" s="141"/>
      <c r="G14" s="142"/>
      <c r="H14" s="127" t="str">
        <f>IFERROR(VLOOKUP(G14,参数表!$H$2:$I$50,2,FALSE),"")</f>
        <v/>
      </c>
      <c r="I14" s="128" t="str">
        <f t="shared" si="9"/>
        <v/>
      </c>
      <c r="J14" s="128" t="str">
        <f t="shared" si="10"/>
        <v/>
      </c>
      <c r="K14" s="129" t="str">
        <f t="shared" si="11"/>
        <v/>
      </c>
      <c r="L14" s="1274"/>
      <c r="M14" s="1274"/>
      <c r="N14" s="1274"/>
      <c r="O14" s="1274"/>
      <c r="P14" s="1274"/>
      <c r="Q14" s="1274"/>
      <c r="R14" s="1274"/>
      <c r="S14" s="1275"/>
      <c r="T14" s="1275"/>
      <c r="U14" s="1275"/>
      <c r="V14" s="1275"/>
      <c r="W14" s="1275"/>
      <c r="X14" s="1275"/>
      <c r="Y14" s="1275"/>
      <c r="Z14" s="129" t="str">
        <f t="shared" si="12"/>
        <v/>
      </c>
      <c r="AA14" s="1274"/>
      <c r="AB14" s="129" t="str">
        <f t="shared" si="1"/>
        <v/>
      </c>
      <c r="AC14" s="1276"/>
      <c r="AD14" s="1276"/>
      <c r="AE14" s="129" t="str">
        <f t="shared" si="13"/>
        <v/>
      </c>
      <c r="AF14" s="129" t="str">
        <f t="shared" si="14"/>
        <v/>
      </c>
      <c r="AG14" s="129" t="str">
        <f t="shared" si="2"/>
        <v/>
      </c>
      <c r="AH14" s="129" t="str">
        <f t="shared" si="3"/>
        <v/>
      </c>
      <c r="AI14" s="129" t="str">
        <f t="shared" si="15"/>
        <v/>
      </c>
      <c r="AJ14" s="491" t="str">
        <f t="shared" si="16"/>
        <v/>
      </c>
      <c r="AK14" s="145"/>
      <c r="BA14" s="78"/>
      <c r="BB14" s="132" t="s">
        <v>2047</v>
      </c>
      <c r="BC14" s="133"/>
      <c r="BD14" s="132" t="str">
        <f>IF(OR(B14="",BC14=""),"",COUNTIF(BC$8:BC14,"√"))</f>
        <v/>
      </c>
      <c r="BE14" s="134" t="str">
        <f t="shared" si="4"/>
        <v/>
      </c>
      <c r="BF14" s="135" t="str">
        <f t="shared" si="17"/>
        <v/>
      </c>
      <c r="BG14" s="135" t="str">
        <f t="shared" si="17"/>
        <v/>
      </c>
      <c r="BH14" s="136"/>
      <c r="BI14" s="136"/>
      <c r="BJ14" s="136"/>
      <c r="BK14" s="136"/>
      <c r="BL14" s="136"/>
      <c r="BM14" s="137"/>
      <c r="BN14" s="137"/>
      <c r="BO14" s="156">
        <f t="shared" si="5"/>
        <v>125.668493150685</v>
      </c>
      <c r="BQ14" s="134" t="str">
        <f>IF(COUNTIF(BQ$7:BQ13,C14)&gt;0,"",C14)&amp;""</f>
        <v/>
      </c>
      <c r="BR14" s="138">
        <f t="shared" si="6"/>
        <v>0</v>
      </c>
      <c r="BS14" s="132">
        <f t="shared" si="18"/>
        <v>1</v>
      </c>
      <c r="BT14" s="138">
        <f t="shared" si="8"/>
        <v>0</v>
      </c>
      <c r="BU14" s="132">
        <f t="shared" si="19"/>
        <v>1</v>
      </c>
      <c r="BV14" s="132">
        <v>5</v>
      </c>
      <c r="BW14" s="134" t="str">
        <f t="shared" si="20"/>
        <v/>
      </c>
      <c r="BX14" s="146"/>
    </row>
    <row r="15" ht="15" customHeight="1" spans="1:76">
      <c r="A15" s="785" t="str">
        <f>IF(B15="","",COUNT(A$7:A14)+1)</f>
        <v/>
      </c>
      <c r="B15" s="139"/>
      <c r="C15" s="141"/>
      <c r="D15" s="140"/>
      <c r="E15" s="126" t="str">
        <f t="shared" si="0"/>
        <v/>
      </c>
      <c r="F15" s="141"/>
      <c r="G15" s="142"/>
      <c r="H15" s="127" t="str">
        <f>IFERROR(VLOOKUP(G15,参数表!$H$2:$I$50,2,FALSE),"")</f>
        <v/>
      </c>
      <c r="I15" s="128" t="str">
        <f t="shared" si="9"/>
        <v/>
      </c>
      <c r="J15" s="128" t="str">
        <f t="shared" si="10"/>
        <v/>
      </c>
      <c r="K15" s="129" t="str">
        <f t="shared" si="11"/>
        <v/>
      </c>
      <c r="L15" s="1274"/>
      <c r="M15" s="1274"/>
      <c r="N15" s="1274"/>
      <c r="O15" s="1274"/>
      <c r="P15" s="1274"/>
      <c r="Q15" s="1274"/>
      <c r="R15" s="1274"/>
      <c r="S15" s="1275"/>
      <c r="T15" s="1275"/>
      <c r="U15" s="1275"/>
      <c r="V15" s="1275"/>
      <c r="W15" s="1275"/>
      <c r="X15" s="1275"/>
      <c r="Y15" s="1275"/>
      <c r="Z15" s="129" t="str">
        <f t="shared" si="12"/>
        <v/>
      </c>
      <c r="AA15" s="1274"/>
      <c r="AB15" s="129" t="str">
        <f t="shared" si="1"/>
        <v/>
      </c>
      <c r="AC15" s="1276"/>
      <c r="AD15" s="1276"/>
      <c r="AE15" s="129" t="str">
        <f t="shared" si="13"/>
        <v/>
      </c>
      <c r="AF15" s="129" t="str">
        <f t="shared" si="14"/>
        <v/>
      </c>
      <c r="AG15" s="129" t="str">
        <f t="shared" si="2"/>
        <v/>
      </c>
      <c r="AH15" s="129" t="str">
        <f t="shared" si="3"/>
        <v/>
      </c>
      <c r="AI15" s="129" t="str">
        <f t="shared" si="15"/>
        <v/>
      </c>
      <c r="AJ15" s="491" t="str">
        <f t="shared" si="16"/>
        <v/>
      </c>
      <c r="AK15" s="145"/>
      <c r="BA15" s="78"/>
      <c r="BB15" s="132" t="s">
        <v>2048</v>
      </c>
      <c r="BC15" s="133"/>
      <c r="BD15" s="132" t="str">
        <f>IF(OR(B15="",BC15=""),"",COUNTIF(BC$8:BC15,"√"))</f>
        <v/>
      </c>
      <c r="BE15" s="134" t="str">
        <f t="shared" si="4"/>
        <v/>
      </c>
      <c r="BF15" s="135" t="str">
        <f t="shared" si="17"/>
        <v/>
      </c>
      <c r="BG15" s="135" t="str">
        <f t="shared" si="17"/>
        <v/>
      </c>
      <c r="BH15" s="136"/>
      <c r="BI15" s="136"/>
      <c r="BJ15" s="136"/>
      <c r="BK15" s="136"/>
      <c r="BL15" s="136"/>
      <c r="BM15" s="137"/>
      <c r="BN15" s="137"/>
      <c r="BO15" s="156">
        <f t="shared" si="5"/>
        <v>125.668493150685</v>
      </c>
      <c r="BQ15" s="134" t="str">
        <f>IF(COUNTIF(BQ$7:BQ14,C15)&gt;0,"",C15)&amp;""</f>
        <v/>
      </c>
      <c r="BR15" s="138">
        <f t="shared" si="6"/>
        <v>0</v>
      </c>
      <c r="BS15" s="132">
        <f t="shared" si="18"/>
        <v>1</v>
      </c>
      <c r="BT15" s="138">
        <f t="shared" si="8"/>
        <v>0</v>
      </c>
      <c r="BU15" s="132">
        <f t="shared" si="19"/>
        <v>1</v>
      </c>
      <c r="BV15" s="147" t="s">
        <v>1659</v>
      </c>
      <c r="BW15" s="132" t="str">
        <f>CONCATENATE(BW10,BX10,BW11,BX11,BW12,BX12,BW13,BX13,BW14)</f>
        <v/>
      </c>
      <c r="BX15" s="132"/>
    </row>
    <row r="16" ht="15" customHeight="1" spans="1:76">
      <c r="A16" s="785" t="str">
        <f>IF(B16="","",COUNT(A$7:A15)+1)</f>
        <v/>
      </c>
      <c r="B16" s="139"/>
      <c r="C16" s="141"/>
      <c r="D16" s="140"/>
      <c r="E16" s="126" t="str">
        <f t="shared" si="0"/>
        <v/>
      </c>
      <c r="F16" s="141"/>
      <c r="G16" s="142"/>
      <c r="H16" s="127" t="str">
        <f>IFERROR(VLOOKUP(G16,参数表!$H$2:$I$50,2,FALSE),"")</f>
        <v/>
      </c>
      <c r="I16" s="128" t="str">
        <f t="shared" si="9"/>
        <v/>
      </c>
      <c r="J16" s="128" t="str">
        <f t="shared" si="10"/>
        <v/>
      </c>
      <c r="K16" s="129" t="str">
        <f t="shared" si="11"/>
        <v/>
      </c>
      <c r="L16" s="1274"/>
      <c r="M16" s="1274"/>
      <c r="N16" s="1274"/>
      <c r="O16" s="1274"/>
      <c r="P16" s="1274"/>
      <c r="Q16" s="1274"/>
      <c r="R16" s="1274"/>
      <c r="S16" s="1275"/>
      <c r="T16" s="1275"/>
      <c r="U16" s="1275"/>
      <c r="V16" s="1275"/>
      <c r="W16" s="1275"/>
      <c r="X16" s="1275"/>
      <c r="Y16" s="1275"/>
      <c r="Z16" s="129" t="str">
        <f t="shared" si="12"/>
        <v/>
      </c>
      <c r="AA16" s="1274"/>
      <c r="AB16" s="129" t="str">
        <f t="shared" si="1"/>
        <v/>
      </c>
      <c r="AC16" s="1276"/>
      <c r="AD16" s="1276"/>
      <c r="AE16" s="129" t="str">
        <f t="shared" si="13"/>
        <v/>
      </c>
      <c r="AF16" s="129" t="str">
        <f t="shared" si="14"/>
        <v/>
      </c>
      <c r="AG16" s="129" t="str">
        <f t="shared" si="2"/>
        <v/>
      </c>
      <c r="AH16" s="129" t="str">
        <f t="shared" si="3"/>
        <v/>
      </c>
      <c r="AI16" s="129" t="str">
        <f t="shared" si="15"/>
        <v/>
      </c>
      <c r="AJ16" s="491" t="str">
        <f t="shared" si="16"/>
        <v/>
      </c>
      <c r="AK16" s="145"/>
      <c r="BA16" s="78"/>
      <c r="BB16" s="132" t="s">
        <v>2049</v>
      </c>
      <c r="BC16" s="133"/>
      <c r="BD16" s="132" t="str">
        <f>IF(OR(B16="",BC16=""),"",COUNTIF(BC$8:BC16,"√"))</f>
        <v/>
      </c>
      <c r="BE16" s="134" t="str">
        <f t="shared" si="4"/>
        <v/>
      </c>
      <c r="BF16" s="135" t="str">
        <f t="shared" si="17"/>
        <v/>
      </c>
      <c r="BG16" s="135" t="str">
        <f t="shared" si="17"/>
        <v/>
      </c>
      <c r="BH16" s="136"/>
      <c r="BI16" s="136"/>
      <c r="BJ16" s="136"/>
      <c r="BK16" s="136"/>
      <c r="BL16" s="136"/>
      <c r="BM16" s="137"/>
      <c r="BN16" s="137"/>
      <c r="BO16" s="156">
        <f t="shared" si="5"/>
        <v>125.668493150685</v>
      </c>
      <c r="BQ16" s="134" t="str">
        <f>IF(COUNTIF(BQ$7:BQ15,C16)&gt;0,"",C16)&amp;""</f>
        <v/>
      </c>
      <c r="BR16" s="138">
        <f t="shared" si="6"/>
        <v>0</v>
      </c>
      <c r="BS16" s="132">
        <f t="shared" si="18"/>
        <v>1</v>
      </c>
      <c r="BT16" s="138">
        <f t="shared" si="8"/>
        <v>0</v>
      </c>
      <c r="BU16" s="132">
        <f t="shared" si="19"/>
        <v>1</v>
      </c>
      <c r="BV16" s="133"/>
      <c r="BW16" s="133"/>
    </row>
    <row r="17" ht="15" customHeight="1" spans="1:76">
      <c r="A17" s="785" t="str">
        <f>IF(B17="","",COUNT(A$7:A16)+1)</f>
        <v/>
      </c>
      <c r="B17" s="139"/>
      <c r="C17" s="141"/>
      <c r="D17" s="140"/>
      <c r="E17" s="126" t="str">
        <f t="shared" si="0"/>
        <v/>
      </c>
      <c r="F17" s="141"/>
      <c r="G17" s="142"/>
      <c r="H17" s="127" t="str">
        <f>IFERROR(VLOOKUP(G17,参数表!$H$2:$I$50,2,FALSE),"")</f>
        <v/>
      </c>
      <c r="I17" s="128" t="str">
        <f t="shared" si="9"/>
        <v/>
      </c>
      <c r="J17" s="128" t="str">
        <f t="shared" si="10"/>
        <v/>
      </c>
      <c r="K17" s="129" t="str">
        <f t="shared" si="11"/>
        <v/>
      </c>
      <c r="L17" s="1274"/>
      <c r="M17" s="1274"/>
      <c r="N17" s="1274"/>
      <c r="O17" s="1274"/>
      <c r="P17" s="1274"/>
      <c r="Q17" s="1274"/>
      <c r="R17" s="1274"/>
      <c r="S17" s="1275"/>
      <c r="T17" s="1275"/>
      <c r="U17" s="1275"/>
      <c r="V17" s="1275"/>
      <c r="W17" s="1275"/>
      <c r="X17" s="1275"/>
      <c r="Y17" s="1275"/>
      <c r="Z17" s="129" t="str">
        <f t="shared" si="12"/>
        <v/>
      </c>
      <c r="AA17" s="1274"/>
      <c r="AB17" s="129" t="str">
        <f t="shared" si="1"/>
        <v/>
      </c>
      <c r="AC17" s="1276"/>
      <c r="AD17" s="1276"/>
      <c r="AE17" s="129" t="str">
        <f t="shared" si="13"/>
        <v/>
      </c>
      <c r="AF17" s="129" t="str">
        <f t="shared" si="14"/>
        <v/>
      </c>
      <c r="AG17" s="129" t="str">
        <f t="shared" si="2"/>
        <v/>
      </c>
      <c r="AH17" s="129" t="str">
        <f t="shared" si="3"/>
        <v/>
      </c>
      <c r="AI17" s="129" t="str">
        <f t="shared" si="15"/>
        <v/>
      </c>
      <c r="AJ17" s="491" t="str">
        <f t="shared" si="16"/>
        <v/>
      </c>
      <c r="AK17" s="145"/>
      <c r="BA17" s="78"/>
      <c r="BB17" s="132" t="s">
        <v>2050</v>
      </c>
      <c r="BC17" s="133"/>
      <c r="BD17" s="132" t="str">
        <f>IF(OR(B17="",BC17=""),"",COUNTIF(BC$8:BC17,"√"))</f>
        <v/>
      </c>
      <c r="BE17" s="134" t="str">
        <f t="shared" si="4"/>
        <v/>
      </c>
      <c r="BF17" s="135" t="str">
        <f t="shared" si="17"/>
        <v/>
      </c>
      <c r="BG17" s="135" t="str">
        <f t="shared" si="17"/>
        <v/>
      </c>
      <c r="BH17" s="136"/>
      <c r="BI17" s="136"/>
      <c r="BJ17" s="136"/>
      <c r="BK17" s="136"/>
      <c r="BL17" s="136"/>
      <c r="BM17" s="137"/>
      <c r="BN17" s="137"/>
      <c r="BO17" s="156">
        <f t="shared" si="5"/>
        <v>125.668493150685</v>
      </c>
      <c r="BQ17" s="134" t="str">
        <f>IF(COUNTIF(BQ$7:BQ16,C17)&gt;0,"",C17)&amp;""</f>
        <v/>
      </c>
      <c r="BR17" s="138">
        <f t="shared" si="6"/>
        <v>0</v>
      </c>
      <c r="BS17" s="132">
        <f t="shared" si="18"/>
        <v>1</v>
      </c>
      <c r="BT17" s="138">
        <f t="shared" si="8"/>
        <v>0</v>
      </c>
      <c r="BU17" s="132">
        <f t="shared" si="19"/>
        <v>1</v>
      </c>
      <c r="BV17" s="133"/>
      <c r="BW17" s="148"/>
    </row>
    <row r="18" ht="15" customHeight="1" spans="1:76">
      <c r="A18" s="785" t="str">
        <f>IF(B18="","",COUNT(A$7:A17)+1)</f>
        <v/>
      </c>
      <c r="B18" s="139"/>
      <c r="C18" s="141"/>
      <c r="D18" s="140"/>
      <c r="E18" s="126" t="str">
        <f t="shared" si="0"/>
        <v/>
      </c>
      <c r="F18" s="141"/>
      <c r="G18" s="142"/>
      <c r="H18" s="127" t="str">
        <f>IFERROR(VLOOKUP(G18,参数表!$H$2:$I$50,2,FALSE),"")</f>
        <v/>
      </c>
      <c r="I18" s="128" t="str">
        <f t="shared" si="9"/>
        <v/>
      </c>
      <c r="J18" s="128" t="str">
        <f t="shared" si="10"/>
        <v/>
      </c>
      <c r="K18" s="129" t="str">
        <f t="shared" si="11"/>
        <v/>
      </c>
      <c r="L18" s="1274"/>
      <c r="M18" s="1274"/>
      <c r="N18" s="1274"/>
      <c r="O18" s="1274"/>
      <c r="P18" s="1274"/>
      <c r="Q18" s="1274"/>
      <c r="R18" s="1274"/>
      <c r="S18" s="1275"/>
      <c r="T18" s="1275"/>
      <c r="U18" s="1275"/>
      <c r="V18" s="1275"/>
      <c r="W18" s="1275"/>
      <c r="X18" s="1275"/>
      <c r="Y18" s="1275"/>
      <c r="Z18" s="129" t="str">
        <f t="shared" si="12"/>
        <v/>
      </c>
      <c r="AA18" s="1274"/>
      <c r="AB18" s="129" t="str">
        <f t="shared" si="1"/>
        <v/>
      </c>
      <c r="AC18" s="1276"/>
      <c r="AD18" s="1276"/>
      <c r="AE18" s="129" t="str">
        <f t="shared" si="13"/>
        <v/>
      </c>
      <c r="AF18" s="129" t="str">
        <f t="shared" si="14"/>
        <v/>
      </c>
      <c r="AG18" s="129" t="str">
        <f t="shared" si="2"/>
        <v/>
      </c>
      <c r="AH18" s="129" t="str">
        <f t="shared" si="3"/>
        <v/>
      </c>
      <c r="AI18" s="129" t="str">
        <f t="shared" si="15"/>
        <v/>
      </c>
      <c r="AJ18" s="491" t="str">
        <f t="shared" si="16"/>
        <v/>
      </c>
      <c r="AK18" s="145"/>
      <c r="BA18" s="78"/>
      <c r="BB18" s="132" t="s">
        <v>2051</v>
      </c>
      <c r="BC18" s="133"/>
      <c r="BD18" s="132" t="str">
        <f>IF(OR(B18="",BC18=""),"",COUNTIF(BC$8:BC18,"√"))</f>
        <v/>
      </c>
      <c r="BE18" s="134" t="str">
        <f t="shared" si="4"/>
        <v/>
      </c>
      <c r="BF18" s="135" t="str">
        <f t="shared" si="17"/>
        <v/>
      </c>
      <c r="BG18" s="135" t="str">
        <f t="shared" si="17"/>
        <v/>
      </c>
      <c r="BH18" s="136"/>
      <c r="BI18" s="136"/>
      <c r="BJ18" s="136"/>
      <c r="BK18" s="136"/>
      <c r="BL18" s="136"/>
      <c r="BM18" s="137"/>
      <c r="BN18" s="137"/>
      <c r="BO18" s="156">
        <f t="shared" si="5"/>
        <v>125.668493150685</v>
      </c>
      <c r="BQ18" s="134" t="str">
        <f>IF(COUNTIF(BQ$7:BQ17,C18)&gt;0,"",C18)&amp;""</f>
        <v/>
      </c>
      <c r="BR18" s="138">
        <f t="shared" si="6"/>
        <v>0</v>
      </c>
      <c r="BS18" s="132">
        <f t="shared" si="18"/>
        <v>1</v>
      </c>
      <c r="BT18" s="138">
        <f t="shared" si="8"/>
        <v>0</v>
      </c>
      <c r="BU18" s="132">
        <f t="shared" si="19"/>
        <v>1</v>
      </c>
      <c r="BV18" s="133"/>
      <c r="BW18" s="133"/>
    </row>
    <row r="19" ht="15" customHeight="1" spans="1:76">
      <c r="A19" s="785" t="str">
        <f>IF(B19="","",COUNT(A$7:A18)+1)</f>
        <v/>
      </c>
      <c r="B19" s="139"/>
      <c r="C19" s="141"/>
      <c r="D19" s="140"/>
      <c r="E19" s="126" t="str">
        <f t="shared" si="0"/>
        <v/>
      </c>
      <c r="F19" s="141"/>
      <c r="G19" s="142"/>
      <c r="H19" s="127" t="str">
        <f>IFERROR(VLOOKUP(G19,参数表!$H$2:$I$50,2,FALSE),"")</f>
        <v/>
      </c>
      <c r="I19" s="128" t="str">
        <f t="shared" si="9"/>
        <v/>
      </c>
      <c r="J19" s="128" t="str">
        <f t="shared" si="10"/>
        <v/>
      </c>
      <c r="K19" s="129" t="str">
        <f t="shared" si="11"/>
        <v/>
      </c>
      <c r="L19" s="1274"/>
      <c r="M19" s="1274"/>
      <c r="N19" s="1274"/>
      <c r="O19" s="1274"/>
      <c r="P19" s="1274"/>
      <c r="Q19" s="1274"/>
      <c r="R19" s="1274"/>
      <c r="S19" s="1275"/>
      <c r="T19" s="1275"/>
      <c r="U19" s="1275"/>
      <c r="V19" s="1275"/>
      <c r="W19" s="1275"/>
      <c r="X19" s="1275"/>
      <c r="Y19" s="1275"/>
      <c r="Z19" s="129" t="str">
        <f t="shared" si="12"/>
        <v/>
      </c>
      <c r="AA19" s="1274"/>
      <c r="AB19" s="129" t="str">
        <f t="shared" si="1"/>
        <v/>
      </c>
      <c r="AC19" s="1276"/>
      <c r="AD19" s="1276"/>
      <c r="AE19" s="129" t="str">
        <f t="shared" si="13"/>
        <v/>
      </c>
      <c r="AF19" s="129" t="str">
        <f t="shared" si="14"/>
        <v/>
      </c>
      <c r="AG19" s="129" t="str">
        <f t="shared" si="2"/>
        <v/>
      </c>
      <c r="AH19" s="129" t="str">
        <f t="shared" si="3"/>
        <v/>
      </c>
      <c r="AI19" s="129" t="str">
        <f t="shared" si="15"/>
        <v/>
      </c>
      <c r="AJ19" s="491" t="str">
        <f t="shared" si="16"/>
        <v/>
      </c>
      <c r="AK19" s="145"/>
      <c r="BA19" s="78"/>
      <c r="BB19" s="132" t="s">
        <v>2052</v>
      </c>
      <c r="BC19" s="133"/>
      <c r="BD19" s="132" t="str">
        <f>IF(OR(B19="",BC19=""),"",COUNTIF(BC$8:BC19,"√"))</f>
        <v/>
      </c>
      <c r="BE19" s="134" t="str">
        <f t="shared" si="4"/>
        <v/>
      </c>
      <c r="BF19" s="135" t="str">
        <f t="shared" si="17"/>
        <v/>
      </c>
      <c r="BG19" s="135" t="str">
        <f t="shared" si="17"/>
        <v/>
      </c>
      <c r="BH19" s="136"/>
      <c r="BI19" s="136"/>
      <c r="BJ19" s="136"/>
      <c r="BK19" s="136"/>
      <c r="BL19" s="136"/>
      <c r="BM19" s="137"/>
      <c r="BN19" s="137"/>
      <c r="BO19" s="156">
        <f t="shared" si="5"/>
        <v>125.668493150685</v>
      </c>
      <c r="BQ19" s="134" t="str">
        <f>IF(COUNTIF(BQ$7:BQ18,C19)&gt;0,"",C19)&amp;""</f>
        <v/>
      </c>
      <c r="BR19" s="138">
        <f t="shared" si="6"/>
        <v>0</v>
      </c>
      <c r="BS19" s="132">
        <f t="shared" si="18"/>
        <v>1</v>
      </c>
      <c r="BT19" s="138">
        <f t="shared" si="8"/>
        <v>0</v>
      </c>
      <c r="BU19" s="132">
        <f t="shared" si="19"/>
        <v>1</v>
      </c>
      <c r="BV19" s="133"/>
      <c r="BW19" s="133"/>
    </row>
    <row r="20" ht="15" customHeight="1" spans="1:76">
      <c r="A20" s="785" t="str">
        <f>IF(B20="","",COUNT(A$7:A19)+1)</f>
        <v/>
      </c>
      <c r="B20" s="139"/>
      <c r="C20" s="141"/>
      <c r="D20" s="140"/>
      <c r="E20" s="126" t="str">
        <f t="shared" si="0"/>
        <v/>
      </c>
      <c r="F20" s="141"/>
      <c r="G20" s="142"/>
      <c r="H20" s="127" t="str">
        <f>IFERROR(VLOOKUP(G20,参数表!$H$2:$I$50,2,FALSE),"")</f>
        <v/>
      </c>
      <c r="I20" s="128" t="str">
        <f t="shared" si="9"/>
        <v/>
      </c>
      <c r="J20" s="128" t="str">
        <f t="shared" si="10"/>
        <v/>
      </c>
      <c r="K20" s="129" t="str">
        <f t="shared" si="11"/>
        <v/>
      </c>
      <c r="L20" s="1274"/>
      <c r="M20" s="1274"/>
      <c r="N20" s="1274"/>
      <c r="O20" s="1274"/>
      <c r="P20" s="1274"/>
      <c r="Q20" s="1274"/>
      <c r="R20" s="1274"/>
      <c r="S20" s="1275"/>
      <c r="T20" s="1275"/>
      <c r="U20" s="1275"/>
      <c r="V20" s="1275"/>
      <c r="W20" s="1275"/>
      <c r="X20" s="1275"/>
      <c r="Y20" s="1275"/>
      <c r="Z20" s="129" t="str">
        <f t="shared" si="12"/>
        <v/>
      </c>
      <c r="AA20" s="1274"/>
      <c r="AB20" s="129" t="str">
        <f t="shared" si="1"/>
        <v/>
      </c>
      <c r="AC20" s="1276"/>
      <c r="AD20" s="1276"/>
      <c r="AE20" s="129" t="str">
        <f t="shared" si="13"/>
        <v/>
      </c>
      <c r="AF20" s="129" t="str">
        <f t="shared" si="14"/>
        <v/>
      </c>
      <c r="AG20" s="129" t="str">
        <f t="shared" si="2"/>
        <v/>
      </c>
      <c r="AH20" s="129" t="str">
        <f t="shared" si="3"/>
        <v/>
      </c>
      <c r="AI20" s="129" t="str">
        <f t="shared" si="15"/>
        <v/>
      </c>
      <c r="AJ20" s="491" t="str">
        <f t="shared" si="16"/>
        <v/>
      </c>
      <c r="AK20" s="145"/>
      <c r="BA20" s="78"/>
      <c r="BB20" s="132" t="s">
        <v>2053</v>
      </c>
      <c r="BC20" s="133"/>
      <c r="BD20" s="132" t="str">
        <f>IF(OR(B20="",BC20=""),"",COUNTIF(BC$8:BC20,"√"))</f>
        <v/>
      </c>
      <c r="BE20" s="134" t="str">
        <f t="shared" si="4"/>
        <v/>
      </c>
      <c r="BF20" s="135" t="str">
        <f t="shared" si="17"/>
        <v/>
      </c>
      <c r="BG20" s="135" t="str">
        <f t="shared" si="17"/>
        <v/>
      </c>
      <c r="BH20" s="136"/>
      <c r="BI20" s="136"/>
      <c r="BJ20" s="136"/>
      <c r="BK20" s="136"/>
      <c r="BL20" s="136"/>
      <c r="BM20" s="137"/>
      <c r="BN20" s="137"/>
      <c r="BO20" s="156">
        <f t="shared" si="5"/>
        <v>125.668493150685</v>
      </c>
      <c r="BQ20" s="134" t="str">
        <f>IF(COUNTIF(BQ$7:BQ19,C20)&gt;0,"",C20)&amp;""</f>
        <v/>
      </c>
      <c r="BR20" s="138">
        <f t="shared" si="6"/>
        <v>0</v>
      </c>
      <c r="BS20" s="132">
        <f t="shared" si="18"/>
        <v>1</v>
      </c>
      <c r="BT20" s="138">
        <f t="shared" si="8"/>
        <v>0</v>
      </c>
      <c r="BU20" s="132">
        <f t="shared" si="19"/>
        <v>1</v>
      </c>
      <c r="BV20" s="133"/>
      <c r="BW20" s="133"/>
    </row>
    <row r="21" ht="15" customHeight="1" spans="1:76">
      <c r="A21" s="785" t="str">
        <f>IF(B21="","",COUNT(A$7:A20)+1)</f>
        <v/>
      </c>
      <c r="B21" s="139"/>
      <c r="C21" s="141"/>
      <c r="D21" s="140"/>
      <c r="E21" s="126" t="str">
        <f t="shared" si="0"/>
        <v/>
      </c>
      <c r="F21" s="141"/>
      <c r="G21" s="142"/>
      <c r="H21" s="127" t="str">
        <f>IFERROR(VLOOKUP(G21,参数表!$H$2:$I$50,2,FALSE),"")</f>
        <v/>
      </c>
      <c r="I21" s="128" t="str">
        <f t="shared" si="9"/>
        <v/>
      </c>
      <c r="J21" s="128" t="str">
        <f t="shared" si="10"/>
        <v/>
      </c>
      <c r="K21" s="129" t="str">
        <f t="shared" si="11"/>
        <v/>
      </c>
      <c r="L21" s="1274"/>
      <c r="M21" s="1274"/>
      <c r="N21" s="1274"/>
      <c r="O21" s="1274"/>
      <c r="P21" s="1274"/>
      <c r="Q21" s="1274"/>
      <c r="R21" s="1274"/>
      <c r="S21" s="1275"/>
      <c r="T21" s="1275"/>
      <c r="U21" s="1275"/>
      <c r="V21" s="1275"/>
      <c r="W21" s="1275"/>
      <c r="X21" s="1275"/>
      <c r="Y21" s="1275"/>
      <c r="Z21" s="129" t="str">
        <f t="shared" si="12"/>
        <v/>
      </c>
      <c r="AA21" s="1274"/>
      <c r="AB21" s="129" t="str">
        <f t="shared" si="1"/>
        <v/>
      </c>
      <c r="AC21" s="1276"/>
      <c r="AD21" s="1276"/>
      <c r="AE21" s="129" t="str">
        <f t="shared" si="13"/>
        <v/>
      </c>
      <c r="AF21" s="129" t="str">
        <f t="shared" si="14"/>
        <v/>
      </c>
      <c r="AG21" s="129" t="str">
        <f t="shared" si="2"/>
        <v/>
      </c>
      <c r="AH21" s="129" t="str">
        <f t="shared" si="3"/>
        <v/>
      </c>
      <c r="AI21" s="129" t="str">
        <f t="shared" si="15"/>
        <v/>
      </c>
      <c r="AJ21" s="491" t="str">
        <f t="shared" si="16"/>
        <v/>
      </c>
      <c r="AK21" s="145"/>
      <c r="BA21" s="78"/>
      <c r="BB21" s="132" t="s">
        <v>2054</v>
      </c>
      <c r="BC21" s="133"/>
      <c r="BD21" s="132" t="str">
        <f>IF(OR(B21="",BC21=""),"",COUNTIF(BC$8:BC21,"√"))</f>
        <v/>
      </c>
      <c r="BE21" s="134" t="str">
        <f t="shared" si="4"/>
        <v/>
      </c>
      <c r="BF21" s="135" t="str">
        <f t="shared" si="17"/>
        <v/>
      </c>
      <c r="BG21" s="135" t="str">
        <f t="shared" si="17"/>
        <v/>
      </c>
      <c r="BH21" s="136"/>
      <c r="BI21" s="136"/>
      <c r="BJ21" s="136"/>
      <c r="BK21" s="136"/>
      <c r="BL21" s="136"/>
      <c r="BM21" s="137"/>
      <c r="BN21" s="137"/>
      <c r="BO21" s="156">
        <f t="shared" si="5"/>
        <v>125.668493150685</v>
      </c>
      <c r="BQ21" s="134" t="str">
        <f>IF(COUNTIF(BQ$7:BQ20,C21)&gt;0,"",C21)&amp;""</f>
        <v/>
      </c>
      <c r="BR21" s="138">
        <f t="shared" si="6"/>
        <v>0</v>
      </c>
      <c r="BS21" s="132">
        <f t="shared" si="18"/>
        <v>1</v>
      </c>
      <c r="BT21" s="138">
        <f t="shared" si="8"/>
        <v>0</v>
      </c>
      <c r="BU21" s="132">
        <f t="shared" si="19"/>
        <v>1</v>
      </c>
      <c r="BV21" s="133"/>
      <c r="BW21" s="133"/>
    </row>
    <row r="22" ht="15" customHeight="1" spans="1:76">
      <c r="A22" s="785" t="str">
        <f>IF(B22="","",COUNT(A$7:A21)+1)</f>
        <v/>
      </c>
      <c r="B22" s="139"/>
      <c r="C22" s="141"/>
      <c r="D22" s="140"/>
      <c r="E22" s="126" t="str">
        <f t="shared" si="0"/>
        <v/>
      </c>
      <c r="F22" s="141"/>
      <c r="G22" s="142"/>
      <c r="H22" s="127" t="str">
        <f>IFERROR(VLOOKUP(G22,参数表!$H$2:$I$50,2,FALSE),"")</f>
        <v/>
      </c>
      <c r="I22" s="128" t="str">
        <f t="shared" si="9"/>
        <v/>
      </c>
      <c r="J22" s="128" t="str">
        <f t="shared" si="10"/>
        <v/>
      </c>
      <c r="K22" s="129" t="str">
        <f t="shared" si="11"/>
        <v/>
      </c>
      <c r="L22" s="1274"/>
      <c r="M22" s="1274"/>
      <c r="N22" s="1274"/>
      <c r="O22" s="1274"/>
      <c r="P22" s="1274"/>
      <c r="Q22" s="1274"/>
      <c r="R22" s="1274"/>
      <c r="S22" s="1275"/>
      <c r="T22" s="1275"/>
      <c r="U22" s="1275"/>
      <c r="V22" s="1275"/>
      <c r="W22" s="1275"/>
      <c r="X22" s="1275"/>
      <c r="Y22" s="1275"/>
      <c r="Z22" s="129" t="str">
        <f t="shared" si="12"/>
        <v/>
      </c>
      <c r="AA22" s="1274"/>
      <c r="AB22" s="129" t="str">
        <f t="shared" si="1"/>
        <v/>
      </c>
      <c r="AC22" s="1276"/>
      <c r="AD22" s="1276"/>
      <c r="AE22" s="129" t="str">
        <f t="shared" si="13"/>
        <v/>
      </c>
      <c r="AF22" s="129" t="str">
        <f t="shared" si="14"/>
        <v/>
      </c>
      <c r="AG22" s="129" t="str">
        <f t="shared" si="2"/>
        <v/>
      </c>
      <c r="AH22" s="129" t="str">
        <f t="shared" si="3"/>
        <v/>
      </c>
      <c r="AI22" s="129" t="str">
        <f t="shared" si="15"/>
        <v/>
      </c>
      <c r="AJ22" s="491" t="str">
        <f t="shared" si="16"/>
        <v/>
      </c>
      <c r="AK22" s="145"/>
      <c r="BA22" s="78"/>
      <c r="BB22" s="132" t="s">
        <v>2055</v>
      </c>
      <c r="BC22" s="133"/>
      <c r="BD22" s="132" t="str">
        <f>IF(OR(B22="",BC22=""),"",COUNTIF(BC$8:BC22,"√"))</f>
        <v/>
      </c>
      <c r="BE22" s="134" t="str">
        <f t="shared" si="4"/>
        <v/>
      </c>
      <c r="BF22" s="135" t="str">
        <f t="shared" si="17"/>
        <v/>
      </c>
      <c r="BG22" s="135" t="str">
        <f t="shared" si="17"/>
        <v/>
      </c>
      <c r="BH22" s="136"/>
      <c r="BI22" s="136"/>
      <c r="BJ22" s="136"/>
      <c r="BK22" s="136"/>
      <c r="BL22" s="136"/>
      <c r="BM22" s="137"/>
      <c r="BN22" s="137"/>
      <c r="BO22" s="156">
        <f t="shared" si="5"/>
        <v>125.668493150685</v>
      </c>
      <c r="BQ22" s="134" t="str">
        <f>IF(COUNTIF(BQ$7:BQ21,C22)&gt;0,"",C22)&amp;""</f>
        <v/>
      </c>
      <c r="BR22" s="138">
        <f t="shared" si="6"/>
        <v>0</v>
      </c>
      <c r="BS22" s="132">
        <f t="shared" si="18"/>
        <v>1</v>
      </c>
      <c r="BT22" s="138">
        <f t="shared" si="8"/>
        <v>0</v>
      </c>
      <c r="BU22" s="132">
        <f t="shared" si="19"/>
        <v>1</v>
      </c>
      <c r="BV22" s="133"/>
      <c r="BW22" s="133"/>
    </row>
    <row r="23" ht="15" customHeight="1" spans="1:76">
      <c r="A23" s="785" t="str">
        <f>IF(B23="","",COUNT(A$7:A22)+1)</f>
        <v/>
      </c>
      <c r="B23" s="139"/>
      <c r="C23" s="141"/>
      <c r="D23" s="140"/>
      <c r="E23" s="126" t="str">
        <f t="shared" si="0"/>
        <v/>
      </c>
      <c r="F23" s="141"/>
      <c r="G23" s="142"/>
      <c r="H23" s="127" t="str">
        <f>IFERROR(VLOOKUP(G23,参数表!$H$2:$I$50,2,FALSE),"")</f>
        <v/>
      </c>
      <c r="I23" s="128" t="str">
        <f t="shared" si="9"/>
        <v/>
      </c>
      <c r="J23" s="128" t="str">
        <f t="shared" si="10"/>
        <v/>
      </c>
      <c r="K23" s="129" t="str">
        <f t="shared" si="11"/>
        <v/>
      </c>
      <c r="L23" s="1274"/>
      <c r="M23" s="1274"/>
      <c r="N23" s="1274"/>
      <c r="O23" s="1274"/>
      <c r="P23" s="1274"/>
      <c r="Q23" s="1274"/>
      <c r="R23" s="1274"/>
      <c r="S23" s="1275"/>
      <c r="T23" s="1275"/>
      <c r="U23" s="1275"/>
      <c r="V23" s="1275"/>
      <c r="W23" s="1275"/>
      <c r="X23" s="1275"/>
      <c r="Y23" s="1275"/>
      <c r="Z23" s="129" t="str">
        <f t="shared" si="12"/>
        <v/>
      </c>
      <c r="AA23" s="1274"/>
      <c r="AB23" s="129" t="str">
        <f t="shared" si="1"/>
        <v/>
      </c>
      <c r="AC23" s="1276"/>
      <c r="AD23" s="1276"/>
      <c r="AE23" s="129" t="str">
        <f t="shared" si="13"/>
        <v/>
      </c>
      <c r="AF23" s="129" t="str">
        <f t="shared" si="14"/>
        <v/>
      </c>
      <c r="AG23" s="129" t="str">
        <f t="shared" si="2"/>
        <v/>
      </c>
      <c r="AH23" s="129" t="str">
        <f t="shared" si="3"/>
        <v/>
      </c>
      <c r="AI23" s="129" t="str">
        <f t="shared" si="15"/>
        <v/>
      </c>
      <c r="AJ23" s="491" t="str">
        <f t="shared" si="16"/>
        <v/>
      </c>
      <c r="AK23" s="145"/>
      <c r="BA23" s="78"/>
      <c r="BB23" s="132" t="s">
        <v>2056</v>
      </c>
      <c r="BC23" s="133"/>
      <c r="BD23" s="132" t="str">
        <f>IF(OR(B23="",BC23=""),"",COUNTIF(BC$8:BC23,"√"))</f>
        <v/>
      </c>
      <c r="BE23" s="134" t="str">
        <f t="shared" si="4"/>
        <v/>
      </c>
      <c r="BF23" s="135" t="str">
        <f t="shared" si="17"/>
        <v/>
      </c>
      <c r="BG23" s="135" t="str">
        <f t="shared" si="17"/>
        <v/>
      </c>
      <c r="BH23" s="136"/>
      <c r="BI23" s="136"/>
      <c r="BJ23" s="136"/>
      <c r="BK23" s="136"/>
      <c r="BL23" s="136"/>
      <c r="BM23" s="137"/>
      <c r="BN23" s="137"/>
      <c r="BO23" s="156">
        <f t="shared" si="5"/>
        <v>125.668493150685</v>
      </c>
      <c r="BQ23" s="134" t="str">
        <f>IF(COUNTIF(BQ$7:BQ22,C23)&gt;0,"",C23)&amp;""</f>
        <v/>
      </c>
      <c r="BR23" s="138">
        <f t="shared" si="6"/>
        <v>0</v>
      </c>
      <c r="BS23" s="132">
        <f t="shared" si="18"/>
        <v>1</v>
      </c>
      <c r="BT23" s="138">
        <f t="shared" si="8"/>
        <v>0</v>
      </c>
      <c r="BU23" s="132">
        <f t="shared" si="19"/>
        <v>1</v>
      </c>
      <c r="BV23" s="133"/>
      <c r="BW23" s="133"/>
    </row>
    <row r="24" ht="15" customHeight="1" spans="1:76">
      <c r="A24" s="785" t="str">
        <f>IF(B24="","",COUNT(A$7:A23)+1)</f>
        <v/>
      </c>
      <c r="B24" s="139"/>
      <c r="C24" s="141"/>
      <c r="D24" s="140"/>
      <c r="E24" s="126" t="str">
        <f t="shared" si="0"/>
        <v/>
      </c>
      <c r="F24" s="141"/>
      <c r="G24" s="142"/>
      <c r="H24" s="127" t="str">
        <f>IFERROR(VLOOKUP(G24,参数表!$H$2:$I$50,2,FALSE),"")</f>
        <v/>
      </c>
      <c r="I24" s="128" t="str">
        <f t="shared" si="9"/>
        <v/>
      </c>
      <c r="J24" s="128" t="str">
        <f t="shared" si="10"/>
        <v/>
      </c>
      <c r="K24" s="129" t="str">
        <f t="shared" si="11"/>
        <v/>
      </c>
      <c r="L24" s="1274"/>
      <c r="M24" s="1274"/>
      <c r="N24" s="1274"/>
      <c r="O24" s="1274"/>
      <c r="P24" s="1274"/>
      <c r="Q24" s="1274"/>
      <c r="R24" s="1274"/>
      <c r="S24" s="1275"/>
      <c r="T24" s="1275"/>
      <c r="U24" s="1275"/>
      <c r="V24" s="1275"/>
      <c r="W24" s="1275"/>
      <c r="X24" s="1275"/>
      <c r="Y24" s="1275"/>
      <c r="Z24" s="129" t="str">
        <f t="shared" si="12"/>
        <v/>
      </c>
      <c r="AA24" s="1274"/>
      <c r="AB24" s="129" t="str">
        <f t="shared" si="1"/>
        <v/>
      </c>
      <c r="AC24" s="1276"/>
      <c r="AD24" s="1276"/>
      <c r="AE24" s="129" t="str">
        <f t="shared" si="13"/>
        <v/>
      </c>
      <c r="AF24" s="129" t="str">
        <f t="shared" si="14"/>
        <v/>
      </c>
      <c r="AG24" s="129" t="str">
        <f t="shared" si="2"/>
        <v/>
      </c>
      <c r="AH24" s="129" t="str">
        <f t="shared" si="3"/>
        <v/>
      </c>
      <c r="AI24" s="129" t="str">
        <f t="shared" si="15"/>
        <v/>
      </c>
      <c r="AJ24" s="491" t="str">
        <f t="shared" si="16"/>
        <v/>
      </c>
      <c r="AK24" s="145"/>
      <c r="BA24" s="78"/>
      <c r="BB24" s="132" t="s">
        <v>2057</v>
      </c>
      <c r="BC24" s="133"/>
      <c r="BD24" s="132" t="str">
        <f>IF(OR(B24="",BC24=""),"",COUNTIF(BC$8:BC24,"√"))</f>
        <v/>
      </c>
      <c r="BE24" s="134" t="str">
        <f t="shared" si="4"/>
        <v/>
      </c>
      <c r="BF24" s="135" t="str">
        <f t="shared" si="17"/>
        <v/>
      </c>
      <c r="BG24" s="135" t="str">
        <f t="shared" si="17"/>
        <v/>
      </c>
      <c r="BH24" s="136"/>
      <c r="BI24" s="136"/>
      <c r="BJ24" s="136"/>
      <c r="BK24" s="136"/>
      <c r="BL24" s="136"/>
      <c r="BM24" s="137"/>
      <c r="BN24" s="137"/>
      <c r="BO24" s="156">
        <f t="shared" si="5"/>
        <v>125.668493150685</v>
      </c>
      <c r="BQ24" s="134" t="str">
        <f>IF(COUNTIF(BQ$7:BQ23,C24)&gt;0,"",C24)&amp;""</f>
        <v/>
      </c>
      <c r="BR24" s="138">
        <f t="shared" si="6"/>
        <v>0</v>
      </c>
      <c r="BS24" s="132">
        <f t="shared" si="18"/>
        <v>1</v>
      </c>
      <c r="BT24" s="138">
        <f t="shared" si="8"/>
        <v>0</v>
      </c>
      <c r="BU24" s="132">
        <f t="shared" si="19"/>
        <v>1</v>
      </c>
      <c r="BV24" s="133"/>
      <c r="BW24" s="133"/>
    </row>
    <row r="25" ht="15" customHeight="1" spans="1:76">
      <c r="A25" s="785" t="str">
        <f>IF(B25="","",COUNT(A$7:A24)+1)</f>
        <v/>
      </c>
      <c r="B25" s="139"/>
      <c r="C25" s="141"/>
      <c r="D25" s="140"/>
      <c r="E25" s="126" t="str">
        <f t="shared" si="0"/>
        <v/>
      </c>
      <c r="F25" s="141"/>
      <c r="G25" s="142"/>
      <c r="H25" s="127" t="str">
        <f>IFERROR(VLOOKUP(G25,参数表!$H$2:$I$50,2,FALSE),"")</f>
        <v/>
      </c>
      <c r="I25" s="128" t="str">
        <f t="shared" si="9"/>
        <v/>
      </c>
      <c r="J25" s="128" t="str">
        <f t="shared" si="10"/>
        <v/>
      </c>
      <c r="K25" s="129" t="str">
        <f t="shared" si="11"/>
        <v/>
      </c>
      <c r="L25" s="1274"/>
      <c r="M25" s="1274"/>
      <c r="N25" s="1274"/>
      <c r="O25" s="1274"/>
      <c r="P25" s="1274"/>
      <c r="Q25" s="1274"/>
      <c r="R25" s="1274"/>
      <c r="S25" s="1275"/>
      <c r="T25" s="1275"/>
      <c r="U25" s="1275"/>
      <c r="V25" s="1275"/>
      <c r="W25" s="1275"/>
      <c r="X25" s="1275"/>
      <c r="Y25" s="1275"/>
      <c r="Z25" s="129" t="str">
        <f t="shared" si="12"/>
        <v/>
      </c>
      <c r="AA25" s="1274"/>
      <c r="AB25" s="129" t="str">
        <f t="shared" si="1"/>
        <v/>
      </c>
      <c r="AC25" s="1276"/>
      <c r="AD25" s="1276"/>
      <c r="AE25" s="129" t="str">
        <f t="shared" si="13"/>
        <v/>
      </c>
      <c r="AF25" s="129" t="str">
        <f t="shared" si="14"/>
        <v/>
      </c>
      <c r="AG25" s="129" t="str">
        <f t="shared" si="2"/>
        <v/>
      </c>
      <c r="AH25" s="129" t="str">
        <f t="shared" si="3"/>
        <v/>
      </c>
      <c r="AI25" s="129" t="str">
        <f t="shared" si="15"/>
        <v/>
      </c>
      <c r="AJ25" s="491" t="str">
        <f t="shared" si="16"/>
        <v/>
      </c>
      <c r="AK25" s="145"/>
      <c r="BA25" s="78"/>
      <c r="BB25" s="132" t="s">
        <v>2058</v>
      </c>
      <c r="BC25" s="133"/>
      <c r="BD25" s="132" t="str">
        <f>IF(OR(B25="",BC25=""),"",COUNTIF(BC$8:BC25,"√"))</f>
        <v/>
      </c>
      <c r="BE25" s="134" t="str">
        <f t="shared" si="4"/>
        <v/>
      </c>
      <c r="BF25" s="135" t="str">
        <f t="shared" si="17"/>
        <v/>
      </c>
      <c r="BG25" s="135" t="str">
        <f t="shared" si="17"/>
        <v/>
      </c>
      <c r="BH25" s="136"/>
      <c r="BI25" s="136"/>
      <c r="BJ25" s="136"/>
      <c r="BK25" s="136"/>
      <c r="BL25" s="136"/>
      <c r="BM25" s="137"/>
      <c r="BN25" s="137"/>
      <c r="BO25" s="156">
        <f t="shared" si="5"/>
        <v>125.668493150685</v>
      </c>
      <c r="BQ25" s="134" t="str">
        <f>IF(COUNTIF(BQ$7:BQ24,C25)&gt;0,"",C25)&amp;""</f>
        <v/>
      </c>
      <c r="BR25" s="138">
        <f t="shared" si="6"/>
        <v>0</v>
      </c>
      <c r="BS25" s="132">
        <f t="shared" si="18"/>
        <v>1</v>
      </c>
      <c r="BT25" s="138">
        <f t="shared" si="8"/>
        <v>0</v>
      </c>
      <c r="BU25" s="132">
        <f t="shared" si="19"/>
        <v>1</v>
      </c>
      <c r="BV25" s="133"/>
      <c r="BW25" s="133"/>
    </row>
    <row r="26" ht="15" customHeight="1" spans="1:76">
      <c r="A26" s="785" t="str">
        <f>IF(B26="","",COUNT(A$7:A25)+1)</f>
        <v/>
      </c>
      <c r="B26" s="139"/>
      <c r="C26" s="141"/>
      <c r="D26" s="140"/>
      <c r="E26" s="126" t="str">
        <f t="shared" si="0"/>
        <v/>
      </c>
      <c r="F26" s="141"/>
      <c r="G26" s="142"/>
      <c r="H26" s="127" t="str">
        <f>IFERROR(VLOOKUP(G26,参数表!$H$2:$I$50,2,FALSE),"")</f>
        <v/>
      </c>
      <c r="I26" s="128" t="str">
        <f t="shared" si="9"/>
        <v/>
      </c>
      <c r="J26" s="128" t="str">
        <f t="shared" si="10"/>
        <v/>
      </c>
      <c r="K26" s="129" t="str">
        <f t="shared" si="11"/>
        <v/>
      </c>
      <c r="L26" s="1274"/>
      <c r="M26" s="1274"/>
      <c r="N26" s="1274"/>
      <c r="O26" s="1274"/>
      <c r="P26" s="1274"/>
      <c r="Q26" s="1274"/>
      <c r="R26" s="1274"/>
      <c r="S26" s="1275"/>
      <c r="T26" s="1275"/>
      <c r="U26" s="1275"/>
      <c r="V26" s="1275"/>
      <c r="W26" s="1275"/>
      <c r="X26" s="1275"/>
      <c r="Y26" s="1275"/>
      <c r="Z26" s="129" t="str">
        <f t="shared" si="12"/>
        <v/>
      </c>
      <c r="AA26" s="1274"/>
      <c r="AB26" s="129" t="str">
        <f t="shared" si="1"/>
        <v/>
      </c>
      <c r="AC26" s="1276"/>
      <c r="AD26" s="1276"/>
      <c r="AE26" s="129" t="str">
        <f t="shared" si="13"/>
        <v/>
      </c>
      <c r="AF26" s="129" t="str">
        <f t="shared" si="14"/>
        <v/>
      </c>
      <c r="AG26" s="129" t="str">
        <f t="shared" si="2"/>
        <v/>
      </c>
      <c r="AH26" s="129" t="str">
        <f t="shared" si="3"/>
        <v/>
      </c>
      <c r="AI26" s="129" t="str">
        <f t="shared" si="15"/>
        <v/>
      </c>
      <c r="AJ26" s="491" t="str">
        <f t="shared" si="16"/>
        <v/>
      </c>
      <c r="AK26" s="145"/>
      <c r="BA26" s="78"/>
      <c r="BB26" s="132" t="s">
        <v>2059</v>
      </c>
      <c r="BC26" s="133"/>
      <c r="BD26" s="132" t="str">
        <f>IF(OR(B26="",BC26=""),"",COUNTIF(BC$8:BC26,"√"))</f>
        <v/>
      </c>
      <c r="BE26" s="134" t="str">
        <f t="shared" si="4"/>
        <v/>
      </c>
      <c r="BF26" s="135" t="str">
        <f t="shared" si="17"/>
        <v/>
      </c>
      <c r="BG26" s="135" t="str">
        <f t="shared" si="17"/>
        <v/>
      </c>
      <c r="BH26" s="136"/>
      <c r="BI26" s="136"/>
      <c r="BJ26" s="136"/>
      <c r="BK26" s="136"/>
      <c r="BL26" s="136"/>
      <c r="BM26" s="137"/>
      <c r="BN26" s="137"/>
      <c r="BO26" s="156">
        <f t="shared" si="5"/>
        <v>125.668493150685</v>
      </c>
      <c r="BQ26" s="134" t="str">
        <f>IF(COUNTIF(BQ$7:BQ25,C26)&gt;0,"",C26)&amp;""</f>
        <v/>
      </c>
      <c r="BR26" s="138">
        <f t="shared" si="6"/>
        <v>0</v>
      </c>
      <c r="BS26" s="132">
        <f t="shared" si="18"/>
        <v>1</v>
      </c>
      <c r="BT26" s="138">
        <f t="shared" si="8"/>
        <v>0</v>
      </c>
      <c r="BU26" s="132">
        <f t="shared" si="19"/>
        <v>1</v>
      </c>
      <c r="BV26" s="133"/>
      <c r="BW26" s="133"/>
    </row>
    <row r="27" ht="15" customHeight="1" spans="1:76">
      <c r="A27" s="785" t="str">
        <f>IF(B27="","",COUNT(A$7:A26)+1)</f>
        <v/>
      </c>
      <c r="B27" s="124"/>
      <c r="C27" s="126"/>
      <c r="D27" s="125"/>
      <c r="E27" s="126" t="str">
        <f t="shared" si="0"/>
        <v/>
      </c>
      <c r="F27" s="126"/>
      <c r="G27" s="127"/>
      <c r="H27" s="127" t="str">
        <f>IFERROR(VLOOKUP(G27,参数表!$H$2:$I$50,2,FALSE),"")</f>
        <v/>
      </c>
      <c r="I27" s="128" t="str">
        <f t="shared" si="9"/>
        <v/>
      </c>
      <c r="J27" s="128" t="str">
        <f t="shared" si="10"/>
        <v/>
      </c>
      <c r="K27" s="129" t="str">
        <f t="shared" si="11"/>
        <v/>
      </c>
      <c r="L27" s="129"/>
      <c r="M27" s="129"/>
      <c r="N27" s="129"/>
      <c r="O27" s="129"/>
      <c r="P27" s="129"/>
      <c r="Q27" s="129"/>
      <c r="R27" s="129"/>
      <c r="S27" s="1224"/>
      <c r="T27" s="1224"/>
      <c r="U27" s="1224"/>
      <c r="V27" s="1224"/>
      <c r="W27" s="1224"/>
      <c r="X27" s="1224"/>
      <c r="Y27" s="1224"/>
      <c r="Z27" s="129" t="str">
        <f t="shared" si="12"/>
        <v/>
      </c>
      <c r="AA27" s="129"/>
      <c r="AB27" s="129" t="str">
        <f t="shared" si="1"/>
        <v/>
      </c>
      <c r="AC27" s="1273"/>
      <c r="AD27" s="1273"/>
      <c r="AE27" s="129" t="str">
        <f t="shared" si="13"/>
        <v/>
      </c>
      <c r="AF27" s="129" t="str">
        <f t="shared" si="14"/>
        <v/>
      </c>
      <c r="AG27" s="129" t="str">
        <f t="shared" si="2"/>
        <v/>
      </c>
      <c r="AH27" s="129" t="str">
        <f t="shared" si="3"/>
        <v/>
      </c>
      <c r="AI27" s="129" t="str">
        <f t="shared" si="15"/>
        <v/>
      </c>
      <c r="AJ27" s="491" t="str">
        <f t="shared" si="16"/>
        <v/>
      </c>
      <c r="AK27" s="131"/>
      <c r="BA27" s="78"/>
      <c r="BB27" s="132" t="s">
        <v>2060</v>
      </c>
      <c r="BC27" s="133"/>
      <c r="BD27" s="132" t="str">
        <f>IF(OR(B27="",BC27=""),"",COUNTIF(BC$8:BC27,"√"))</f>
        <v/>
      </c>
      <c r="BE27" s="134" t="str">
        <f t="shared" si="4"/>
        <v/>
      </c>
      <c r="BF27" s="135" t="str">
        <f t="shared" si="17"/>
        <v/>
      </c>
      <c r="BG27" s="135" t="str">
        <f t="shared" si="17"/>
        <v/>
      </c>
      <c r="BH27" s="136"/>
      <c r="BI27" s="136"/>
      <c r="BJ27" s="136"/>
      <c r="BK27" s="136"/>
      <c r="BL27" s="136"/>
      <c r="BM27" s="137"/>
      <c r="BN27" s="137"/>
      <c r="BO27" s="156">
        <f t="shared" si="5"/>
        <v>125.668493150685</v>
      </c>
      <c r="BQ27" s="134" t="str">
        <f>IF(COUNTIF(BQ$7:BQ26,C27)&gt;0,"",C27)&amp;""</f>
        <v/>
      </c>
      <c r="BR27" s="138">
        <f t="shared" si="6"/>
        <v>0</v>
      </c>
      <c r="BS27" s="132">
        <f t="shared" si="18"/>
        <v>1</v>
      </c>
      <c r="BT27" s="138">
        <f t="shared" si="8"/>
        <v>0</v>
      </c>
      <c r="BU27" s="132">
        <f t="shared" si="19"/>
        <v>1</v>
      </c>
      <c r="BV27" s="133"/>
      <c r="BW27" s="133"/>
    </row>
    <row r="28" s="73" customFormat="1" ht="15" customHeight="1" spans="1:76">
      <c r="A28" s="149" t="s">
        <v>1954</v>
      </c>
      <c r="B28" s="149"/>
      <c r="C28" s="149"/>
      <c r="D28" s="356"/>
      <c r="E28" s="149"/>
      <c r="F28" s="149"/>
      <c r="G28" s="149"/>
      <c r="H28" s="149"/>
      <c r="I28" s="149"/>
      <c r="J28" s="149"/>
      <c r="K28" s="152">
        <f t="shared" ref="K28:R28" si="22">SUM(K8:K27)</f>
        <v>0</v>
      </c>
      <c r="L28" s="152">
        <f t="shared" si="22"/>
        <v>0</v>
      </c>
      <c r="M28" s="152">
        <f t="shared" si="22"/>
        <v>0</v>
      </c>
      <c r="N28" s="152">
        <f t="shared" si="22"/>
        <v>0</v>
      </c>
      <c r="O28" s="152">
        <f t="shared" si="22"/>
        <v>0</v>
      </c>
      <c r="P28" s="152">
        <f t="shared" si="22"/>
        <v>0</v>
      </c>
      <c r="Q28" s="152">
        <f t="shared" si="22"/>
        <v>0</v>
      </c>
      <c r="R28" s="152">
        <f t="shared" si="22"/>
        <v>0</v>
      </c>
      <c r="S28" s="152"/>
      <c r="T28" s="152"/>
      <c r="U28" s="152"/>
      <c r="V28" s="152"/>
      <c r="W28" s="152"/>
      <c r="X28" s="152"/>
      <c r="Y28" s="152"/>
      <c r="Z28" s="152"/>
      <c r="AA28" s="152"/>
      <c r="AB28" s="152">
        <f>SUM(AB8:AB27)</f>
        <v>0</v>
      </c>
      <c r="AC28" s="152"/>
      <c r="AD28" s="1278"/>
      <c r="AE28" s="152">
        <f>SUM(AE8:AE27)</f>
        <v>0</v>
      </c>
      <c r="AF28" s="152">
        <f>SUM(AF8:AF27)</f>
        <v>0</v>
      </c>
      <c r="AG28" s="152">
        <f>SUM(AG8:AG27)</f>
        <v>0</v>
      </c>
      <c r="AH28" s="152">
        <f>SUM(AH8:AH27)</f>
        <v>0</v>
      </c>
      <c r="AI28" s="152">
        <f t="shared" si="15"/>
        <v>0</v>
      </c>
      <c r="AJ28" s="354" t="str">
        <f t="shared" si="16"/>
        <v/>
      </c>
      <c r="AK28" s="151"/>
      <c r="BH28" s="72"/>
      <c r="BI28" s="72"/>
      <c r="BJ28" s="72"/>
      <c r="BK28" s="72"/>
      <c r="BL28" s="72"/>
      <c r="BM28" s="72"/>
      <c r="BP28" s="111"/>
      <c r="BQ28" s="119"/>
      <c r="BR28" s="77"/>
      <c r="BS28" s="77"/>
      <c r="BT28" s="77"/>
      <c r="BU28" s="119"/>
      <c r="BV28" s="119"/>
      <c r="BW28" s="119"/>
      <c r="BX28" s="111"/>
    </row>
    <row r="29" ht="15" customHeight="1" spans="1:76">
      <c r="A29" s="126" t="s">
        <v>1955</v>
      </c>
      <c r="B29" s="126"/>
      <c r="C29" s="126"/>
      <c r="D29" s="125"/>
      <c r="E29" s="126"/>
      <c r="F29" s="126"/>
      <c r="G29" s="126"/>
      <c r="H29" s="126"/>
      <c r="I29" s="126"/>
      <c r="J29" s="126"/>
      <c r="K29" s="129">
        <f>AB28</f>
        <v>0</v>
      </c>
      <c r="L29" s="129"/>
      <c r="M29" s="129"/>
      <c r="N29" s="129"/>
      <c r="O29" s="129"/>
      <c r="P29" s="129"/>
      <c r="Q29" s="129"/>
      <c r="R29" s="129"/>
      <c r="S29" s="129"/>
      <c r="T29" s="129"/>
      <c r="U29" s="129"/>
      <c r="V29" s="129"/>
      <c r="W29" s="129"/>
      <c r="X29" s="129"/>
      <c r="Y29" s="129"/>
      <c r="Z29" s="129"/>
      <c r="AA29" s="129"/>
      <c r="AB29" s="129"/>
      <c r="AC29" s="129"/>
      <c r="AD29" s="1273"/>
      <c r="AE29" s="129">
        <f>AF28</f>
        <v>0</v>
      </c>
      <c r="AF29" s="129"/>
      <c r="AG29" s="129">
        <v>0</v>
      </c>
      <c r="AH29" s="129"/>
      <c r="AI29" s="129">
        <f t="shared" si="15"/>
        <v>0</v>
      </c>
      <c r="AJ29" s="491" t="str">
        <f t="shared" si="16"/>
        <v/>
      </c>
      <c r="AK29" s="131"/>
      <c r="BC29" s="75"/>
      <c r="BD29" s="75"/>
      <c r="BE29" s="75"/>
      <c r="BH29" s="165"/>
      <c r="BI29" s="165"/>
      <c r="BJ29" s="165"/>
      <c r="BK29" s="165"/>
      <c r="BL29" s="165"/>
      <c r="BM29" s="165"/>
    </row>
    <row r="30" ht="15" customHeight="1" spans="1:76">
      <c r="A30" s="126" t="s">
        <v>1956</v>
      </c>
      <c r="B30" s="126"/>
      <c r="C30" s="126"/>
      <c r="D30" s="125"/>
      <c r="E30" s="126"/>
      <c r="F30" s="126"/>
      <c r="G30" s="126"/>
      <c r="H30" s="126"/>
      <c r="I30" s="126"/>
      <c r="J30" s="126"/>
      <c r="K30" s="129"/>
      <c r="L30" s="129"/>
      <c r="M30" s="129"/>
      <c r="N30" s="129"/>
      <c r="O30" s="129"/>
      <c r="P30" s="129"/>
      <c r="Q30" s="129"/>
      <c r="R30" s="129"/>
      <c r="S30" s="129"/>
      <c r="T30" s="129"/>
      <c r="U30" s="129"/>
      <c r="V30" s="129"/>
      <c r="W30" s="129"/>
      <c r="X30" s="129"/>
      <c r="Y30" s="129"/>
      <c r="Z30" s="129"/>
      <c r="AA30" s="129"/>
      <c r="AB30" s="129"/>
      <c r="AC30" s="129"/>
      <c r="AD30" s="1273"/>
      <c r="AE30" s="129"/>
      <c r="AF30" s="129"/>
      <c r="AG30" s="129">
        <f>IF(BB3="是",AH28,0)</f>
        <v>0</v>
      </c>
      <c r="AH30" s="129"/>
      <c r="AI30" s="129">
        <f t="shared" si="15"/>
        <v>0</v>
      </c>
      <c r="AJ30" s="491" t="str">
        <f t="shared" si="16"/>
        <v/>
      </c>
      <c r="AK30" s="131"/>
      <c r="BC30" s="75"/>
      <c r="BD30" s="75"/>
      <c r="BE30" s="75"/>
      <c r="BH30" s="165"/>
      <c r="BI30" s="165"/>
      <c r="BJ30" s="165"/>
      <c r="BK30" s="165"/>
      <c r="BL30" s="165"/>
      <c r="BM30" s="165"/>
    </row>
    <row r="31" s="73" customFormat="1" ht="15" customHeight="1" spans="1:76">
      <c r="A31" s="149" t="s">
        <v>1957</v>
      </c>
      <c r="B31" s="149"/>
      <c r="C31" s="151"/>
      <c r="D31" s="356"/>
      <c r="E31" s="151"/>
      <c r="F31" s="149"/>
      <c r="G31" s="151"/>
      <c r="H31" s="151"/>
      <c r="I31" s="151"/>
      <c r="J31" s="151"/>
      <c r="K31" s="152">
        <f t="shared" ref="K31:R31" si="23">K28-K29-K30</f>
        <v>0</v>
      </c>
      <c r="L31" s="152">
        <f t="shared" si="23"/>
        <v>0</v>
      </c>
      <c r="M31" s="152"/>
      <c r="N31" s="152">
        <f t="shared" si="23"/>
        <v>0</v>
      </c>
      <c r="O31" s="152">
        <f t="shared" si="23"/>
        <v>0</v>
      </c>
      <c r="P31" s="152">
        <f t="shared" si="23"/>
        <v>0</v>
      </c>
      <c r="Q31" s="152">
        <f t="shared" si="23"/>
        <v>0</v>
      </c>
      <c r="R31" s="152">
        <f t="shared" si="23"/>
        <v>0</v>
      </c>
      <c r="S31" s="152"/>
      <c r="T31" s="152"/>
      <c r="U31" s="152"/>
      <c r="V31" s="152"/>
      <c r="W31" s="152"/>
      <c r="X31" s="152"/>
      <c r="Y31" s="152"/>
      <c r="Z31" s="152"/>
      <c r="AA31" s="152"/>
      <c r="AB31" s="152"/>
      <c r="AC31" s="152"/>
      <c r="AD31" s="1278"/>
      <c r="AE31" s="152">
        <f>AE28-AE29-AE30</f>
        <v>0</v>
      </c>
      <c r="AF31" s="152"/>
      <c r="AG31" s="152">
        <f>AG28-AG29-AG30</f>
        <v>0</v>
      </c>
      <c r="AH31" s="152"/>
      <c r="AI31" s="152">
        <f t="shared" si="15"/>
        <v>0</v>
      </c>
      <c r="AJ31" s="354" t="str">
        <f t="shared" si="16"/>
        <v/>
      </c>
      <c r="AK31" s="151"/>
      <c r="BH31" s="72"/>
      <c r="BI31" s="72"/>
      <c r="BJ31" s="72"/>
      <c r="BK31" s="72"/>
      <c r="BL31" s="72"/>
      <c r="BM31" s="72"/>
      <c r="BP31" s="77"/>
      <c r="BQ31" s="78"/>
      <c r="BR31" s="77"/>
      <c r="BS31" s="78"/>
      <c r="BT31" s="78"/>
      <c r="BU31" s="78"/>
      <c r="BV31" s="78"/>
      <c r="BW31" s="78"/>
      <c r="BX31" s="77"/>
    </row>
    <row r="32" s="73" customFormat="1" ht="15" customHeight="1" spans="1:76">
      <c r="A32" s="102" t="str">
        <f>参数表!F$6</f>
        <v>产权持有单位填表人：贾广东</v>
      </c>
      <c r="B32" s="185"/>
      <c r="C32" s="986"/>
      <c r="D32" s="987"/>
      <c r="E32" s="986"/>
      <c r="F32" s="185"/>
      <c r="G32" s="986"/>
      <c r="H32" s="986"/>
      <c r="I32" s="986"/>
      <c r="J32" s="986"/>
      <c r="K32" s="990"/>
      <c r="L32" s="990"/>
      <c r="M32" s="990"/>
      <c r="N32" s="990"/>
      <c r="O32" s="990"/>
      <c r="P32" s="990"/>
      <c r="Q32" s="990"/>
      <c r="R32" s="990"/>
      <c r="S32" s="990"/>
      <c r="T32" s="990"/>
      <c r="U32" s="990"/>
      <c r="V32" s="990"/>
      <c r="W32" s="990"/>
      <c r="X32" s="990"/>
      <c r="Y32" s="990"/>
      <c r="Z32" s="990"/>
      <c r="AA32" s="990"/>
      <c r="AB32" s="990"/>
      <c r="AC32" s="990"/>
      <c r="AD32" s="1281"/>
      <c r="AE32" s="990"/>
      <c r="AF32" s="990"/>
      <c r="AG32" s="103" t="str">
        <f>"评估人员："&amp;封面!$G$20</f>
        <v>评估人员：栗祥宁</v>
      </c>
      <c r="AH32" s="103"/>
      <c r="AI32" s="990"/>
      <c r="AJ32" s="990"/>
      <c r="AK32" s="991"/>
      <c r="BH32" s="72"/>
      <c r="BI32" s="72"/>
      <c r="BJ32" s="72"/>
      <c r="BK32" s="72"/>
      <c r="BL32" s="72"/>
      <c r="BM32" s="72"/>
      <c r="BP32" s="77"/>
      <c r="BQ32" s="78"/>
      <c r="BR32" s="77"/>
      <c r="BS32" s="78"/>
      <c r="BT32" s="78"/>
      <c r="BU32" s="78"/>
      <c r="BV32" s="78"/>
      <c r="BW32" s="78"/>
      <c r="BX32" s="77"/>
    </row>
    <row r="33" s="73" customFormat="1" ht="15" customHeight="1" spans="1:76">
      <c r="A33" s="102" t="str">
        <f>参数表!F$7</f>
        <v>填表日期：2025年9月20日</v>
      </c>
      <c r="B33" s="185"/>
      <c r="C33" s="986"/>
      <c r="D33" s="987"/>
      <c r="E33" s="986"/>
      <c r="F33" s="185"/>
      <c r="G33" s="986"/>
      <c r="H33" s="986"/>
      <c r="I33" s="986"/>
      <c r="J33" s="986"/>
      <c r="K33" s="990"/>
      <c r="L33" s="990"/>
      <c r="M33" s="990"/>
      <c r="N33" s="990"/>
      <c r="O33" s="990"/>
      <c r="P33" s="990"/>
      <c r="Q33" s="990"/>
      <c r="R33" s="990"/>
      <c r="S33" s="990"/>
      <c r="T33" s="990"/>
      <c r="U33" s="990"/>
      <c r="V33" s="990"/>
      <c r="W33" s="990"/>
      <c r="X33" s="990"/>
      <c r="Y33" s="990"/>
      <c r="Z33" s="990"/>
      <c r="AA33" s="990"/>
      <c r="AB33" s="990"/>
      <c r="AC33" s="990"/>
      <c r="AD33" s="1281"/>
      <c r="AE33" s="990"/>
      <c r="AF33" s="990"/>
      <c r="AG33" s="990"/>
      <c r="AH33" s="990"/>
      <c r="AI33" s="990"/>
      <c r="AJ33" s="990"/>
      <c r="AK33" s="991"/>
      <c r="BH33" s="72"/>
      <c r="BI33" s="72"/>
      <c r="BJ33" s="72"/>
      <c r="BK33" s="72"/>
      <c r="BL33" s="72"/>
      <c r="BM33" s="72"/>
      <c r="BP33" s="77"/>
      <c r="BQ33" s="78"/>
      <c r="BR33" s="77"/>
      <c r="BS33" s="78"/>
      <c r="BT33" s="78"/>
      <c r="BU33" s="78"/>
      <c r="BV33" s="78"/>
      <c r="BW33" s="78"/>
      <c r="BX33" s="77"/>
    </row>
    <row r="34" customHeight="1" spans="1:76">
      <c r="A34" s="157"/>
      <c r="B34" s="992" t="s">
        <v>2011</v>
      </c>
      <c r="C34" s="75" t="s">
        <v>2012</v>
      </c>
      <c r="D34" s="158"/>
      <c r="E34" s="158"/>
      <c r="F34" s="228"/>
      <c r="G34" s="158"/>
      <c r="H34" s="158"/>
      <c r="I34" s="158"/>
      <c r="J34" s="158"/>
      <c r="BC34" s="75"/>
      <c r="BD34" s="75"/>
      <c r="BE34" s="75"/>
      <c r="BH34" s="165"/>
      <c r="BI34" s="165"/>
      <c r="BJ34" s="165"/>
      <c r="BK34" s="165"/>
      <c r="BL34" s="165"/>
      <c r="BM34" s="165"/>
    </row>
    <row r="35" customHeight="1" spans="1:76">
      <c r="A35" s="157"/>
      <c r="B35" s="158"/>
      <c r="C35" s="75" t="s">
        <v>2013</v>
      </c>
      <c r="D35" s="158"/>
      <c r="E35" s="158"/>
      <c r="F35" s="228"/>
      <c r="G35" s="158"/>
      <c r="H35" s="158"/>
      <c r="I35" s="158"/>
      <c r="J35" s="158"/>
      <c r="BC35" s="75"/>
      <c r="BD35" s="75"/>
      <c r="BE35" s="75"/>
      <c r="BM35" s="165"/>
    </row>
    <row r="36" customHeight="1" spans="1:76">
      <c r="A36" s="157"/>
      <c r="B36" s="158"/>
      <c r="C36" s="75" t="s">
        <v>2014</v>
      </c>
      <c r="D36" s="158"/>
      <c r="E36" s="158"/>
      <c r="F36" s="228"/>
      <c r="G36" s="158"/>
      <c r="H36" s="158"/>
      <c r="I36" s="158"/>
      <c r="J36" s="158"/>
      <c r="BC36" s="75"/>
      <c r="BD36" s="75"/>
      <c r="BE36" s="75"/>
      <c r="BM36" s="165"/>
    </row>
    <row r="37" hidden="1" customHeight="1" outlineLevel="1" spans="1:76">
      <c r="A37" s="157"/>
      <c r="B37" s="154" t="s">
        <v>1673</v>
      </c>
      <c r="C37" s="158"/>
      <c r="D37" s="158"/>
      <c r="E37" s="158"/>
      <c r="F37" s="95" t="s">
        <v>1674</v>
      </c>
      <c r="G37" s="95"/>
      <c r="H37" s="95"/>
      <c r="I37" s="95"/>
      <c r="J37" s="95"/>
      <c r="K37" s="159">
        <f>SUMIF($BA8:$BA27,$BA37,K8:K27)</f>
        <v>0</v>
      </c>
      <c r="L37" s="176"/>
      <c r="M37" s="176"/>
      <c r="N37" s="176"/>
      <c r="O37" s="176"/>
      <c r="P37" s="176"/>
      <c r="Q37" s="176"/>
      <c r="R37" s="176"/>
      <c r="S37" s="176"/>
      <c r="T37" s="176"/>
      <c r="U37" s="176"/>
      <c r="V37" s="176"/>
      <c r="W37" s="176"/>
      <c r="X37" s="176"/>
      <c r="Y37" s="176"/>
      <c r="Z37" s="159">
        <f>SUMIF($BA8:$BA27,$BA37,Z8:Z27)</f>
        <v>0</v>
      </c>
      <c r="AA37" s="176"/>
      <c r="AB37" s="159">
        <f>SUMIF($BA8:$BA27,$BA37,AB8:AB27)</f>
        <v>0</v>
      </c>
      <c r="AC37" s="176"/>
      <c r="AD37" s="1282"/>
      <c r="AE37" s="159">
        <f>SUMIF($BA8:$BA27,$BA37,AE8:AE27)</f>
        <v>0</v>
      </c>
      <c r="AF37" s="159">
        <f>SUMIF($BA8:$BA27,$BA37,AF8:AF27)</f>
        <v>0</v>
      </c>
      <c r="AG37" s="159">
        <f>SUMIF($BA8:$BA27,$BA37,AG8:AG27)</f>
        <v>0</v>
      </c>
      <c r="AH37" s="159">
        <f>SUMIF($BA8:$BA27,$BA37,AH8:AH27)</f>
        <v>0</v>
      </c>
      <c r="BA37" s="161" t="s">
        <v>1674</v>
      </c>
      <c r="BH37" s="95" t="s">
        <v>1675</v>
      </c>
      <c r="BI37" s="95" t="s">
        <v>1675</v>
      </c>
      <c r="BJ37" s="95" t="s">
        <v>1675</v>
      </c>
      <c r="BK37" s="95" t="s">
        <v>1674</v>
      </c>
      <c r="BL37" s="95" t="s">
        <v>1674</v>
      </c>
    </row>
    <row r="38" hidden="1" customHeight="1" outlineLevel="1" spans="1:76">
      <c r="A38" s="157"/>
      <c r="B38" s="154" t="s">
        <v>1676</v>
      </c>
      <c r="C38" s="158"/>
      <c r="D38" s="158"/>
      <c r="E38" s="158"/>
      <c r="F38" s="95" t="s">
        <v>1677</v>
      </c>
      <c r="G38" s="95"/>
      <c r="H38" s="95"/>
      <c r="I38" s="95"/>
      <c r="J38" s="95"/>
      <c r="K38" s="159">
        <f>K28-K37</f>
        <v>0</v>
      </c>
      <c r="L38" s="176"/>
      <c r="M38" s="176"/>
      <c r="N38" s="176"/>
      <c r="O38" s="176"/>
      <c r="P38" s="176"/>
      <c r="Q38" s="176"/>
      <c r="R38" s="176"/>
      <c r="S38" s="176"/>
      <c r="T38" s="176"/>
      <c r="U38" s="176"/>
      <c r="V38" s="176"/>
      <c r="W38" s="176"/>
      <c r="X38" s="176"/>
      <c r="Y38" s="176"/>
      <c r="Z38" s="159">
        <f>Z28-Z37</f>
        <v>0</v>
      </c>
      <c r="AA38" s="176"/>
      <c r="AB38" s="159">
        <f>AB28-AB37</f>
        <v>0</v>
      </c>
      <c r="AC38" s="176"/>
      <c r="AD38" s="1282"/>
      <c r="AE38" s="159">
        <f>AE28-AE37</f>
        <v>0</v>
      </c>
      <c r="AF38" s="159">
        <f>AF28-AF37</f>
        <v>0</v>
      </c>
      <c r="AG38" s="159">
        <f>AG28-AG37</f>
        <v>0</v>
      </c>
      <c r="AH38" s="159">
        <f>AH28-AH37</f>
        <v>0</v>
      </c>
      <c r="BA38" s="161" t="s">
        <v>1677</v>
      </c>
      <c r="BH38" s="95" t="s">
        <v>1678</v>
      </c>
      <c r="BI38" s="95" t="s">
        <v>1678</v>
      </c>
      <c r="BJ38" s="95" t="s">
        <v>1678</v>
      </c>
      <c r="BK38" s="95" t="s">
        <v>1677</v>
      </c>
      <c r="BL38" s="95" t="s">
        <v>1677</v>
      </c>
    </row>
    <row r="39" customHeight="1" collapsed="1" spans="1:76">
      <c r="A39" s="157"/>
      <c r="B39" s="158"/>
      <c r="C39" s="158"/>
      <c r="D39" s="158"/>
      <c r="E39" s="158"/>
      <c r="F39" s="228"/>
      <c r="G39" s="158"/>
      <c r="H39" s="158"/>
      <c r="I39" s="158"/>
      <c r="J39" s="158"/>
    </row>
  </sheetData>
  <sheetProtection autoFilter="0"/>
  <mergeCells count="37">
    <mergeCell ref="A2:AK2"/>
    <mergeCell ref="A3:AK3"/>
    <mergeCell ref="G6:J6"/>
    <mergeCell ref="K6:R6"/>
    <mergeCell ref="S6:Y6"/>
    <mergeCell ref="Z6:AB6"/>
    <mergeCell ref="AC6:AD6"/>
    <mergeCell ref="BV8:BX8"/>
    <mergeCell ref="BV9:BX9"/>
    <mergeCell ref="BW15:BX15"/>
    <mergeCell ref="A28:B28"/>
    <mergeCell ref="A29:B29"/>
    <mergeCell ref="A30:B30"/>
    <mergeCell ref="A31:B31"/>
    <mergeCell ref="A6:A7"/>
    <mergeCell ref="B6:B7"/>
    <mergeCell ref="C6:C7"/>
    <mergeCell ref="D6:D7"/>
    <mergeCell ref="E6:E7"/>
    <mergeCell ref="F6:F7"/>
    <mergeCell ref="AE6:AE7"/>
    <mergeCell ref="AF6:AF7"/>
    <mergeCell ref="AG6:AG7"/>
    <mergeCell ref="AH6:AH7"/>
    <mergeCell ref="AI6:AI7"/>
    <mergeCell ref="AJ6:AJ7"/>
    <mergeCell ref="AK6:AK7"/>
    <mergeCell ref="BF6:BF7"/>
    <mergeCell ref="BG6:BG7"/>
    <mergeCell ref="BH6:BH7"/>
    <mergeCell ref="BI6:BI7"/>
    <mergeCell ref="BJ6:BJ7"/>
    <mergeCell ref="BK6:BK7"/>
    <mergeCell ref="BL6:BL7"/>
    <mergeCell ref="BM6:BM7"/>
    <mergeCell ref="BN6:BN7"/>
    <mergeCell ref="BO6:BO7"/>
  </mergeCells>
  <conditionalFormatting sqref="BI8:BL8">
    <cfRule type="expression" dxfId="5" priority="4" stopIfTrue="1">
      <formula>AND($B8&lt;&gt;"",BI8="")</formula>
    </cfRule>
  </conditionalFormatting>
  <conditionalFormatting sqref="BM8:BM27">
    <cfRule type="expression" dxfId="5" priority="3" stopIfTrue="1">
      <formula>AND(BK8="无",BM8="")</formula>
    </cfRule>
  </conditionalFormatting>
  <conditionalFormatting sqref="BF8:BG27">
    <cfRule type="containsText" dxfId="6" priority="1" stopIfTrue="1" operator="between" text="出错">
      <formula>NOT(ISERROR(SEARCH("出错",BF8)))</formula>
    </cfRule>
  </conditionalFormatting>
  <conditionalFormatting sqref="BH9:BM27 BH8:BL26">
    <cfRule type="expression" dxfId="5" priority="5" stopIfTrue="1">
      <formula>AND($B8&lt;&gt;"",BH8="")</formula>
    </cfRule>
  </conditionalFormatting>
  <dataValidations count="4">
    <dataValidation type="list" allowBlank="1" showInputMessage="1" showErrorMessage="1" sqref="F8:F27 BH8:BL27">
      <formula1>F$37:F$38</formula1>
    </dataValidation>
    <dataValidation type="list" allowBlank="1" showInputMessage="1" showErrorMessage="1" sqref="G8:G27">
      <formula1>OFFSET(参数表!$H$2:$H$50,,,COUNTA(参数表!$H$2:$H$50))</formula1>
    </dataValidation>
    <dataValidation type="list" allowBlank="1" showInputMessage="1" showErrorMessage="1" sqref="BA8:BA27 BA37:BA38">
      <formula1>"是,否"</formula1>
    </dataValidation>
    <dataValidation type="list" allowBlank="1" showInputMessage="1" showErrorMessage="1" sqref="BC8:BC27">
      <formula1>"  ,√"</formula1>
    </dataValidation>
  </dataValidations>
  <hyperlinks>
    <hyperlink ref="A1" location="索引目录!D13" display="返回索引页"/>
    <hyperlink ref="B1" location="流动资产汇总表!B12" display="返回 "/>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BX41"/>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0.7" style="75" customWidth="1"/>
    <col min="3" max="4" width="8.7" style="75" customWidth="1"/>
    <col min="5" max="5" width="5.7" style="75" customWidth="1"/>
    <col min="6" max="6" width="6.1" style="165" customWidth="1"/>
    <col min="7" max="8" width="4.6" style="75" customWidth="1" outlineLevel="1"/>
    <col min="9" max="10" width="6.1" style="75" customWidth="1" outlineLevel="1"/>
    <col min="11" max="11" width="12.7" style="75" customWidth="1" outlineLevel="1"/>
    <col min="12" max="12" width="8.7" style="75" customWidth="1" outlineLevel="1"/>
    <col min="13" max="14" width="12.7" style="76" customWidth="1" outlineLevel="1"/>
    <col min="15" max="15" width="14.6" style="75" customWidth="1"/>
    <col min="16" max="16" width="8.7" style="75" customWidth="1"/>
    <col min="17" max="17" width="14.6" style="75" customWidth="1"/>
    <col min="18" max="18" width="8.7" style="75" customWidth="1"/>
    <col min="19" max="20" width="4.7" style="75" customWidth="1"/>
    <col min="21" max="21" width="8.6" style="75" customWidth="1"/>
    <col min="22" max="52" width="9" style="75" hidden="1" customWidth="1" outlineLevel="1"/>
    <col min="53" max="53" width="14.7" style="75" customWidth="1" collapsed="1"/>
    <col min="54" max="54" width="6.7" style="75" customWidth="1"/>
    <col min="55" max="56" width="5.1" style="165" customWidth="1"/>
    <col min="57" max="57" width="8.7" style="165" customWidth="1"/>
    <col min="58" max="59" width="9.6" style="75" customWidth="1"/>
    <col min="60" max="62" width="5" style="75" customWidth="1"/>
    <col min="63" max="63" width="5.1" style="75" customWidth="1"/>
    <col min="64" max="64" width="6.7" style="75" customWidth="1"/>
    <col min="65" max="65" width="10.3" style="75" customWidth="1"/>
    <col min="66" max="66" width="8.7" style="75" customWidth="1"/>
    <col min="67" max="67" width="7.1" style="75" customWidth="1"/>
    <col min="68" max="68" width="1.6" style="77" customWidth="1"/>
    <col min="69" max="69" width="10.6" style="78" customWidth="1"/>
    <col min="70" max="70" width="10.6" style="77" customWidth="1"/>
    <col min="71" max="71" width="4.6" style="78" customWidth="1"/>
    <col min="72" max="72" width="10.6" style="78" customWidth="1"/>
    <col min="73" max="74" width="4.6" style="78" customWidth="1"/>
    <col min="75" max="75" width="10.6" style="78" customWidth="1"/>
    <col min="76" max="76" width="5" style="77" customWidth="1"/>
    <col min="77" max="16384" width="9" style="75"/>
  </cols>
  <sheetData>
    <row r="1" s="86" customFormat="1" ht="13.8" spans="1:76">
      <c r="A1" s="203" t="s">
        <v>1591</v>
      </c>
      <c r="B1" s="204" t="s">
        <v>1592</v>
      </c>
      <c r="C1" s="82"/>
      <c r="D1" s="82"/>
      <c r="E1" s="82"/>
      <c r="F1" s="82"/>
      <c r="G1" s="82"/>
      <c r="H1" s="82"/>
      <c r="I1" s="82"/>
      <c r="J1" s="82"/>
      <c r="K1" s="82"/>
      <c r="L1" s="82"/>
      <c r="M1" s="205"/>
      <c r="N1" s="205"/>
      <c r="O1" s="82"/>
      <c r="P1" s="82"/>
      <c r="Q1" s="82"/>
      <c r="R1" s="82"/>
      <c r="S1" s="82"/>
      <c r="T1" s="82"/>
      <c r="U1" s="82"/>
      <c r="BA1" s="84" t="str">
        <f>参数表!BA1</f>
        <v>注意：补充特殊事项、作价等均从BA列开始填写</v>
      </c>
      <c r="BB1" s="85"/>
      <c r="BC1" s="82"/>
      <c r="BD1" s="82"/>
      <c r="BE1" s="82"/>
      <c r="BP1" s="87"/>
      <c r="BQ1" s="88"/>
      <c r="BR1" s="87"/>
      <c r="BS1" s="88"/>
      <c r="BT1" s="88"/>
      <c r="BU1" s="88"/>
      <c r="BV1" s="88"/>
      <c r="BW1" s="88"/>
      <c r="BX1" s="87"/>
    </row>
    <row r="2" s="71" customFormat="1" ht="30" customHeight="1" spans="1:76">
      <c r="A2" s="89" t="s">
        <v>2061</v>
      </c>
      <c r="B2" s="89"/>
      <c r="C2" s="89"/>
      <c r="D2" s="89"/>
      <c r="E2" s="89"/>
      <c r="F2" s="89"/>
      <c r="G2" s="89"/>
      <c r="H2" s="89"/>
      <c r="I2" s="89"/>
      <c r="J2" s="89"/>
      <c r="K2" s="89"/>
      <c r="L2" s="89"/>
      <c r="M2" s="89"/>
      <c r="N2" s="89"/>
      <c r="O2" s="89"/>
      <c r="P2" s="89"/>
      <c r="Q2" s="89"/>
      <c r="R2" s="89"/>
      <c r="S2" s="89"/>
      <c r="T2" s="89"/>
      <c r="U2" s="89"/>
      <c r="BA2" s="90" t="str">
        <f>参数表!BA2</f>
        <v>评估基准日：</v>
      </c>
      <c r="BB2" s="91" t="str">
        <f>参数表!BB2</f>
        <v>2025年7月31日</v>
      </c>
      <c r="BC2" s="171"/>
      <c r="BD2" s="171"/>
      <c r="BE2" s="171"/>
      <c r="BP2" s="92"/>
      <c r="BQ2" s="93"/>
      <c r="BR2" s="92"/>
      <c r="BS2" s="93"/>
      <c r="BT2" s="93"/>
      <c r="BU2" s="93"/>
      <c r="BV2" s="93"/>
      <c r="BW2" s="93"/>
      <c r="BX2" s="92"/>
    </row>
    <row r="3" ht="15" customHeight="1" spans="1:76">
      <c r="A3" s="94" t="str">
        <f>参数表!F5</f>
        <v>评估基准日：2025年7月31日</v>
      </c>
      <c r="B3" s="94"/>
      <c r="C3" s="94"/>
      <c r="D3" s="94"/>
      <c r="E3" s="94"/>
      <c r="F3" s="94"/>
      <c r="G3" s="94"/>
      <c r="H3" s="94"/>
      <c r="I3" s="94"/>
      <c r="J3" s="94"/>
      <c r="K3" s="94"/>
      <c r="L3" s="94"/>
      <c r="M3" s="94"/>
      <c r="N3" s="94"/>
      <c r="O3" s="94"/>
      <c r="P3" s="94"/>
      <c r="Q3" s="95"/>
      <c r="R3" s="95"/>
      <c r="S3" s="95"/>
      <c r="T3" s="95"/>
      <c r="U3" s="95"/>
      <c r="BA3" s="90" t="str">
        <f>参数表!BA3</f>
        <v>是否显示评估值：</v>
      </c>
      <c r="BB3" s="90" t="str">
        <f>参数表!BB3</f>
        <v>是</v>
      </c>
      <c r="BR3" s="78"/>
    </row>
    <row r="4" ht="15" customHeight="1" spans="1:76">
      <c r="A4" s="96"/>
      <c r="B4" s="94"/>
      <c r="C4" s="94"/>
      <c r="D4" s="94"/>
      <c r="E4" s="94"/>
      <c r="F4" s="94"/>
      <c r="G4" s="94"/>
      <c r="H4" s="94"/>
      <c r="I4" s="94"/>
      <c r="J4" s="94"/>
      <c r="K4" s="94"/>
      <c r="L4" s="94"/>
      <c r="M4" s="97"/>
      <c r="N4" s="97"/>
      <c r="O4" s="94"/>
      <c r="P4" s="94"/>
      <c r="Q4" s="95"/>
      <c r="R4" s="95"/>
      <c r="S4" s="95"/>
      <c r="T4" s="95"/>
      <c r="U4" s="98" t="str">
        <f>"表"&amp;$BA4</f>
        <v>表3-8</v>
      </c>
      <c r="BA4" s="95" t="str">
        <f>流动资总!A14</f>
        <v>3-8</v>
      </c>
      <c r="BB4" s="100">
        <f>MAX(COUNTA(A7:A26),COUNTA(B7:B26),COUNTA(K7:K26),COUNTA(O7:O26))</f>
        <v>20</v>
      </c>
      <c r="BC4" s="101">
        <f>ROW(A6)+1</f>
        <v>7</v>
      </c>
      <c r="BD4" s="77"/>
      <c r="BE4" s="77"/>
      <c r="BR4" s="78"/>
    </row>
    <row r="5" ht="15" customHeight="1" spans="1:76">
      <c r="A5" s="102" t="str">
        <f>参数表!F3</f>
        <v>产权持有单位:中煤第五建设有限公司</v>
      </c>
      <c r="B5" s="103"/>
      <c r="C5" s="103"/>
      <c r="D5" s="103"/>
      <c r="E5" s="103"/>
      <c r="F5" s="95"/>
      <c r="G5" s="103"/>
      <c r="H5" s="103"/>
      <c r="I5" s="103"/>
      <c r="J5" s="103"/>
      <c r="K5" s="103"/>
      <c r="L5" s="103"/>
      <c r="M5" s="104"/>
      <c r="N5" s="104"/>
      <c r="O5" s="103"/>
      <c r="P5" s="103"/>
      <c r="Q5" s="103"/>
      <c r="R5" s="103"/>
      <c r="S5" s="103"/>
      <c r="T5" s="103"/>
      <c r="U5" s="98" t="s">
        <v>236</v>
      </c>
      <c r="BA5" s="103"/>
      <c r="BB5" s="105" t="str">
        <f ca="1">判断表!C24</f>
        <v>中煤第五建设有限公司第三工程处拟处置实物资产项目\[0000-3基础法明细表.xlsx]预付账款</v>
      </c>
      <c r="BC5" s="106">
        <f>IFERROR(SUMIF(BC7:BC26,"√",O7:O26)/O27,0)</f>
        <v>0</v>
      </c>
      <c r="BD5" s="107"/>
      <c r="BE5" s="107"/>
      <c r="BF5" s="284">
        <f>分类汇总!I15</f>
        <v>0</v>
      </c>
      <c r="BG5" s="284">
        <f>分类汇总!K15</f>
        <v>0</v>
      </c>
      <c r="BH5" s="165"/>
      <c r="BI5" s="165"/>
      <c r="BJ5" s="165"/>
      <c r="BK5" s="165"/>
      <c r="BL5" s="165"/>
      <c r="BM5" s="165"/>
      <c r="BP5" s="111"/>
      <c r="BR5" s="78"/>
      <c r="BW5" s="194"/>
      <c r="BX5" s="111"/>
    </row>
    <row r="6" s="72" customFormat="1" ht="26.7" customHeight="1" spans="1:76">
      <c r="A6" s="112" t="s">
        <v>305</v>
      </c>
      <c r="B6" s="113" t="s">
        <v>2062</v>
      </c>
      <c r="C6" s="113" t="s">
        <v>1898</v>
      </c>
      <c r="D6" s="113" t="s">
        <v>1961</v>
      </c>
      <c r="E6" s="113" t="s">
        <v>1962</v>
      </c>
      <c r="F6" s="118" t="s">
        <v>1963</v>
      </c>
      <c r="G6" s="114" t="s">
        <v>1631</v>
      </c>
      <c r="H6" s="115" t="s">
        <v>1632</v>
      </c>
      <c r="I6" s="115" t="s">
        <v>1633</v>
      </c>
      <c r="J6" s="116" t="s">
        <v>1925</v>
      </c>
      <c r="K6" s="113" t="s">
        <v>1549</v>
      </c>
      <c r="L6" s="113" t="s">
        <v>1926</v>
      </c>
      <c r="M6" s="285" t="s">
        <v>1927</v>
      </c>
      <c r="N6" s="285" t="s">
        <v>1928</v>
      </c>
      <c r="O6" s="113" t="s">
        <v>1523</v>
      </c>
      <c r="P6" s="113" t="s">
        <v>1926</v>
      </c>
      <c r="Q6" s="113" t="s">
        <v>1550</v>
      </c>
      <c r="R6" s="113" t="s">
        <v>1929</v>
      </c>
      <c r="S6" s="118" t="s">
        <v>1525</v>
      </c>
      <c r="T6" s="118" t="s">
        <v>1551</v>
      </c>
      <c r="U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91" t="s">
        <v>467</v>
      </c>
      <c r="BP6" s="119"/>
      <c r="BQ6" s="120" t="s">
        <v>1645</v>
      </c>
      <c r="BR6" s="121" t="s">
        <v>1646</v>
      </c>
      <c r="BS6" s="121" t="s">
        <v>1647</v>
      </c>
      <c r="BT6" s="121" t="s">
        <v>1648</v>
      </c>
      <c r="BU6" s="121" t="s">
        <v>1647</v>
      </c>
      <c r="BV6" s="121" t="s">
        <v>1647</v>
      </c>
      <c r="BW6" s="121" t="s">
        <v>1649</v>
      </c>
      <c r="BX6" s="122" t="s">
        <v>1650</v>
      </c>
    </row>
    <row r="7" ht="15" customHeight="1" spans="1:76">
      <c r="A7" s="123" t="str">
        <f>IF(B7="","",COUNT(A$6:A6)+1)</f>
        <v/>
      </c>
      <c r="B7" s="124"/>
      <c r="C7" s="126"/>
      <c r="D7" s="125"/>
      <c r="E7" s="126" t="str">
        <f t="shared" ref="E7:E26" si="0">IF(OR(O7=0,O7=""),"",IF(BO7&gt;5,"5年以上",IF(BO7&gt;4,"4-5年",IF(BO7&gt;3,"3-4年",IF(BO7&gt;2,"2-3年",IF(BO7&gt;1,"1-2年","1年以内"))))))</f>
        <v/>
      </c>
      <c r="F7" s="126"/>
      <c r="G7" s="127"/>
      <c r="H7" s="127" t="str">
        <f>IFERROR(VLOOKUP(G7,参数表!$H$2:$I$50,2,FALSE),"")</f>
        <v/>
      </c>
      <c r="I7" s="128" t="str">
        <f>IFERROR(IF(OR(G7="人民币",G7=""),"",O7/H7),"")</f>
        <v/>
      </c>
      <c r="J7" s="128" t="str">
        <f>IFERROR(IF(OR(G7="人民币",G7=""),"",P7/H7),"")</f>
        <v/>
      </c>
      <c r="K7" s="129"/>
      <c r="L7" s="129"/>
      <c r="M7" s="130"/>
      <c r="N7" s="130"/>
      <c r="O7" s="129" t="str">
        <f>IF(B7="","",K7+M7)</f>
        <v/>
      </c>
      <c r="P7" s="129" t="str">
        <f>IF(B7="","",L7+N7)</f>
        <v/>
      </c>
      <c r="Q7" s="129" t="str">
        <f t="shared" ref="Q7:Q26" si="1">IF(B7="","",IF($BB$3="是",O7,""))</f>
        <v/>
      </c>
      <c r="R7" s="129" t="str">
        <f t="shared" ref="R7:R26" si="2">IF(B7="","",IF($BB$3="是",P7,""))</f>
        <v/>
      </c>
      <c r="S7" s="129" t="str">
        <f t="shared" ref="S7:S30" si="3">IFERROR((Q7-R7)-(O7-P7),"")</f>
        <v/>
      </c>
      <c r="T7" s="129" t="str">
        <f t="shared" ref="T7:T30" si="4">IFERROR(S7/(Q7-R7)*100,"")</f>
        <v/>
      </c>
      <c r="U7" s="131"/>
      <c r="BA7" s="78"/>
      <c r="BB7" s="132" t="s">
        <v>2064</v>
      </c>
      <c r="BC7" s="133"/>
      <c r="BD7" s="132" t="str">
        <f>IF(OR(B7="",BC7=""),"",COUNTIF(BC$7:BC7,"√"))</f>
        <v/>
      </c>
      <c r="BE7" s="134" t="str">
        <f t="shared" ref="BE7:BE26" si="5">IF(BC7="","",BB7&amp;"︱"&amp;B7&amp;"︱"&amp;TEXT(K7,"#,##0.00"))</f>
        <v/>
      </c>
      <c r="BF7" s="135" t="str">
        <f>IF($B7="","",IF(BF$5=0,"OK","出错"))</f>
        <v/>
      </c>
      <c r="BG7" s="135" t="str">
        <f>IF($B7="","",IF(BG$5=0,"OK","出错"))</f>
        <v/>
      </c>
      <c r="BH7" s="136"/>
      <c r="BI7" s="136"/>
      <c r="BJ7" s="136"/>
      <c r="BK7" s="136"/>
      <c r="BL7" s="136"/>
      <c r="BM7" s="137"/>
      <c r="BN7" s="137"/>
      <c r="BO7" s="156">
        <f t="shared" ref="BO7:BO26" si="6">(BB$2-D7)/365.25</f>
        <v>125.582477754962</v>
      </c>
      <c r="BQ7" s="134" t="str">
        <f>IF(COUNTIF(BQ$6:BQ6,C7)&gt;0,"",C7)&amp;""</f>
        <v/>
      </c>
      <c r="BR7" s="138">
        <f>SUMIF(C$7:C$26,BQ7,O$7:O$26)</f>
        <v>0</v>
      </c>
      <c r="BS7" s="132">
        <f t="shared" ref="BS7" si="7">RANK(BR7,BR$7:BR$26)</f>
        <v>1</v>
      </c>
      <c r="BT7" s="138">
        <f>SUMIF(C$7:C$26,BQ7,Q$7:Q$26)</f>
        <v>0</v>
      </c>
      <c r="BU7" s="132">
        <f>RANK(BT7,BT$7:BT$26)</f>
        <v>1</v>
      </c>
      <c r="BV7" s="138">
        <f>SUM(BR7:BR26)</f>
        <v>0</v>
      </c>
      <c r="BW7" s="138"/>
      <c r="BX7" s="138"/>
    </row>
    <row r="8" ht="15" customHeight="1" spans="1:76">
      <c r="A8" s="123" t="str">
        <f>IF(B8="","",COUNT(A$6:A7)+1)</f>
        <v/>
      </c>
      <c r="B8" s="139"/>
      <c r="C8" s="141"/>
      <c r="D8" s="140"/>
      <c r="E8" s="126" t="str">
        <f t="shared" si="0"/>
        <v/>
      </c>
      <c r="F8" s="141"/>
      <c r="G8" s="142"/>
      <c r="H8" s="127" t="str">
        <f>IFERROR(VLOOKUP(G8,参数表!$H$2:$I$50,2,FALSE),"")</f>
        <v/>
      </c>
      <c r="I8" s="128" t="str">
        <f>IFERROR(IF(OR(G8="人民币",G8=""),"",O8/H8),"")</f>
        <v/>
      </c>
      <c r="J8" s="128" t="str">
        <f t="shared" ref="J8:J25" si="8">IFERROR(IF(OR(G8="人民币",G8=""),"",P8/H8),"")</f>
        <v/>
      </c>
      <c r="K8" s="143"/>
      <c r="L8" s="143"/>
      <c r="M8" s="144"/>
      <c r="N8" s="144"/>
      <c r="O8" s="129" t="str">
        <f t="shared" ref="O8:O26" si="9">IF(B8="","",K8+M8)</f>
        <v/>
      </c>
      <c r="P8" s="129" t="str">
        <f t="shared" ref="P8:P26" si="10">IF(B8="","",L8+N8)</f>
        <v/>
      </c>
      <c r="Q8" s="129" t="str">
        <f t="shared" si="1"/>
        <v/>
      </c>
      <c r="R8" s="129" t="str">
        <f t="shared" si="2"/>
        <v/>
      </c>
      <c r="S8" s="129" t="str">
        <f t="shared" si="3"/>
        <v/>
      </c>
      <c r="T8" s="129" t="str">
        <f t="shared" si="4"/>
        <v/>
      </c>
      <c r="U8" s="145"/>
      <c r="BA8" s="78"/>
      <c r="BB8" s="132" t="s">
        <v>2065</v>
      </c>
      <c r="BC8" s="133"/>
      <c r="BD8" s="132" t="str">
        <f>IF(OR(B8="",BC8=""),"",COUNTIF(BC$7:BC8,"√"))</f>
        <v/>
      </c>
      <c r="BE8" s="134" t="str">
        <f t="shared" si="5"/>
        <v/>
      </c>
      <c r="BF8" s="135" t="str">
        <f t="shared" ref="BF8:BG26" si="11">IF($B8="","",IF(BF$5=0,"OK","出错"))</f>
        <v/>
      </c>
      <c r="BG8" s="135" t="str">
        <f t="shared" si="11"/>
        <v/>
      </c>
      <c r="BH8" s="136"/>
      <c r="BI8" s="136"/>
      <c r="BJ8" s="136"/>
      <c r="BK8" s="136"/>
      <c r="BL8" s="136"/>
      <c r="BM8" s="137"/>
      <c r="BN8" s="137"/>
      <c r="BO8" s="156">
        <f t="shared" si="6"/>
        <v>125.582477754962</v>
      </c>
      <c r="BQ8" s="134" t="str">
        <f>IF(COUNTIF(BQ$6:BQ7,C8)&gt;0,"",C8)&amp;""</f>
        <v/>
      </c>
      <c r="BR8" s="138">
        <f t="shared" ref="BR8:BR26" si="12">SUMIF(C$7:C$26,BQ8,O$7:O$26)</f>
        <v>0</v>
      </c>
      <c r="BS8" s="132">
        <f t="shared" ref="BS8:BS26" si="13">RANK(BR8,BR$7:BR$26)</f>
        <v>1</v>
      </c>
      <c r="BT8" s="138">
        <f t="shared" ref="BT8:BT26" si="14">SUMIF(C$7:C$26,BQ8,Q$7:Q$26)</f>
        <v>0</v>
      </c>
      <c r="BU8" s="132">
        <f t="shared" ref="BU8:BU26" si="15">RANK(BT8,BT$7:BT$26)</f>
        <v>1</v>
      </c>
      <c r="BV8" s="138">
        <f>SUM(BT7:BT26)</f>
        <v>0</v>
      </c>
      <c r="BW8" s="138"/>
      <c r="BX8" s="138"/>
    </row>
    <row r="9" ht="15" customHeight="1" spans="1:76">
      <c r="A9" s="123" t="str">
        <f>IF(B9="","",COUNT(A$6:A8)+1)</f>
        <v/>
      </c>
      <c r="B9" s="139"/>
      <c r="C9" s="141"/>
      <c r="D9" s="140"/>
      <c r="E9" s="126" t="str">
        <f t="shared" si="0"/>
        <v/>
      </c>
      <c r="F9" s="141"/>
      <c r="G9" s="142"/>
      <c r="H9" s="127" t="str">
        <f>IFERROR(VLOOKUP(G9,参数表!$H$2:$I$50,2,FALSE),"")</f>
        <v/>
      </c>
      <c r="I9" s="128" t="str">
        <f>IFERROR(IF(OR(G9="人民币",G9=""),"",O9/H9),"")</f>
        <v/>
      </c>
      <c r="J9" s="128" t="str">
        <f t="shared" si="8"/>
        <v/>
      </c>
      <c r="K9" s="143"/>
      <c r="L9" s="143"/>
      <c r="M9" s="144"/>
      <c r="N9" s="144"/>
      <c r="O9" s="129" t="str">
        <f t="shared" si="9"/>
        <v/>
      </c>
      <c r="P9" s="129" t="str">
        <f t="shared" si="10"/>
        <v/>
      </c>
      <c r="Q9" s="129" t="str">
        <f t="shared" si="1"/>
        <v/>
      </c>
      <c r="R9" s="129" t="str">
        <f t="shared" si="2"/>
        <v/>
      </c>
      <c r="S9" s="129" t="str">
        <f t="shared" si="3"/>
        <v/>
      </c>
      <c r="T9" s="129" t="str">
        <f t="shared" si="4"/>
        <v/>
      </c>
      <c r="U9" s="145"/>
      <c r="BA9" s="78"/>
      <c r="BB9" s="132" t="s">
        <v>2066</v>
      </c>
      <c r="BC9" s="133"/>
      <c r="BD9" s="132" t="str">
        <f>IF(OR(B9="",BC9=""),"",COUNTIF(BC$7:BC9,"√"))</f>
        <v/>
      </c>
      <c r="BE9" s="134" t="str">
        <f t="shared" si="5"/>
        <v/>
      </c>
      <c r="BF9" s="135" t="str">
        <f t="shared" si="11"/>
        <v/>
      </c>
      <c r="BG9" s="135" t="str">
        <f t="shared" si="11"/>
        <v/>
      </c>
      <c r="BH9" s="136"/>
      <c r="BI9" s="136"/>
      <c r="BJ9" s="136"/>
      <c r="BK9" s="136"/>
      <c r="BL9" s="136"/>
      <c r="BM9" s="137"/>
      <c r="BN9" s="137"/>
      <c r="BO9" s="156">
        <f t="shared" si="6"/>
        <v>125.582477754962</v>
      </c>
      <c r="BQ9" s="134" t="str">
        <f>IF(COUNTIF(BQ$6:BQ8,C9)&gt;0,"",C9)&amp;""</f>
        <v/>
      </c>
      <c r="BR9" s="138">
        <f t="shared" si="12"/>
        <v>0</v>
      </c>
      <c r="BS9" s="132">
        <f t="shared" si="13"/>
        <v>1</v>
      </c>
      <c r="BT9" s="138">
        <f t="shared" si="14"/>
        <v>0</v>
      </c>
      <c r="BU9" s="132">
        <f t="shared" si="15"/>
        <v>1</v>
      </c>
      <c r="BV9" s="132">
        <v>1</v>
      </c>
      <c r="BW9" s="134" t="str">
        <f>IFERROR(INDEX(BQ$7:BQ$26,MATCH(BV9,IF(BV$7=0,BU$7:BU$26,BS$7:BS$26),0))&amp;"","")</f>
        <v/>
      </c>
      <c r="BX9" s="146" t="str">
        <f>IF(BW10="","",IF(BW11="","和","、"))</f>
        <v/>
      </c>
    </row>
    <row r="10" ht="15" customHeight="1" spans="1:76">
      <c r="A10" s="123" t="str">
        <f>IF(B10="","",COUNT(A$6:A9)+1)</f>
        <v/>
      </c>
      <c r="B10" s="139"/>
      <c r="C10" s="141"/>
      <c r="D10" s="140"/>
      <c r="E10" s="126" t="str">
        <f t="shared" si="0"/>
        <v/>
      </c>
      <c r="F10" s="141"/>
      <c r="G10" s="142"/>
      <c r="H10" s="127" t="str">
        <f>IFERROR(VLOOKUP(G10,参数表!$H$2:$I$50,2,FALSE),"")</f>
        <v/>
      </c>
      <c r="I10" s="128" t="str">
        <f t="shared" ref="I10:I26" si="16">IFERROR(IF(OR(G10="人民币",G10=""),"",O10/H10),"")</f>
        <v/>
      </c>
      <c r="J10" s="128" t="str">
        <f t="shared" si="8"/>
        <v/>
      </c>
      <c r="K10" s="143"/>
      <c r="L10" s="143"/>
      <c r="M10" s="144"/>
      <c r="N10" s="144"/>
      <c r="O10" s="129" t="str">
        <f t="shared" si="9"/>
        <v/>
      </c>
      <c r="P10" s="129" t="str">
        <f t="shared" si="10"/>
        <v/>
      </c>
      <c r="Q10" s="129" t="str">
        <f t="shared" si="1"/>
        <v/>
      </c>
      <c r="R10" s="129" t="str">
        <f t="shared" si="2"/>
        <v/>
      </c>
      <c r="S10" s="129" t="str">
        <f t="shared" si="3"/>
        <v/>
      </c>
      <c r="T10" s="129" t="str">
        <f t="shared" si="4"/>
        <v/>
      </c>
      <c r="U10" s="145"/>
      <c r="BA10" s="78"/>
      <c r="BB10" s="132" t="s">
        <v>2067</v>
      </c>
      <c r="BC10" s="133"/>
      <c r="BD10" s="132" t="str">
        <f>IF(OR(B10="",BC10=""),"",COUNTIF(BC$7:BC10,"√"))</f>
        <v/>
      </c>
      <c r="BE10" s="134" t="str">
        <f t="shared" si="5"/>
        <v/>
      </c>
      <c r="BF10" s="135" t="str">
        <f t="shared" si="11"/>
        <v/>
      </c>
      <c r="BG10" s="135" t="str">
        <f t="shared" si="11"/>
        <v/>
      </c>
      <c r="BH10" s="136"/>
      <c r="BI10" s="136"/>
      <c r="BJ10" s="136"/>
      <c r="BK10" s="136"/>
      <c r="BL10" s="136"/>
      <c r="BM10" s="137"/>
      <c r="BN10" s="137"/>
      <c r="BO10" s="156">
        <f t="shared" si="6"/>
        <v>125.582477754962</v>
      </c>
      <c r="BQ10" s="134" t="str">
        <f>IF(COUNTIF(BQ$6:BQ9,C10)&gt;0,"",C10)&amp;""</f>
        <v/>
      </c>
      <c r="BR10" s="138">
        <f t="shared" si="12"/>
        <v>0</v>
      </c>
      <c r="BS10" s="132">
        <f t="shared" si="13"/>
        <v>1</v>
      </c>
      <c r="BT10" s="138">
        <f t="shared" si="14"/>
        <v>0</v>
      </c>
      <c r="BU10" s="132">
        <f t="shared" si="15"/>
        <v>1</v>
      </c>
      <c r="BV10" s="132">
        <v>2</v>
      </c>
      <c r="BW10" s="134" t="str">
        <f t="shared" ref="BW10:BW13" si="17">IFERROR(INDEX(BQ$7:BQ$26,MATCH(BV10,IF(BV$7=0,BU$7:BU$26,BS$7:BS$26),0))&amp;"","")</f>
        <v/>
      </c>
      <c r="BX10" s="146" t="str">
        <f t="shared" ref="BX10:BX11" si="18">IF(BW11="","",IF(BW12="","和","、"))</f>
        <v/>
      </c>
    </row>
    <row r="11" ht="15" customHeight="1" spans="1:76">
      <c r="A11" s="123" t="str">
        <f>IF(B11="","",COUNT(A$6:A10)+1)</f>
        <v/>
      </c>
      <c r="B11" s="139"/>
      <c r="C11" s="141"/>
      <c r="D11" s="140"/>
      <c r="E11" s="126" t="str">
        <f t="shared" si="0"/>
        <v/>
      </c>
      <c r="F11" s="141"/>
      <c r="G11" s="142"/>
      <c r="H11" s="127" t="str">
        <f>IFERROR(VLOOKUP(G11,参数表!$H$2:$I$50,2,FALSE),"")</f>
        <v/>
      </c>
      <c r="I11" s="128" t="str">
        <f t="shared" si="16"/>
        <v/>
      </c>
      <c r="J11" s="128" t="str">
        <f t="shared" si="8"/>
        <v/>
      </c>
      <c r="K11" s="143"/>
      <c r="L11" s="143"/>
      <c r="M11" s="144"/>
      <c r="N11" s="144"/>
      <c r="O11" s="129" t="str">
        <f t="shared" si="9"/>
        <v/>
      </c>
      <c r="P11" s="129" t="str">
        <f t="shared" si="10"/>
        <v/>
      </c>
      <c r="Q11" s="129" t="str">
        <f t="shared" si="1"/>
        <v/>
      </c>
      <c r="R11" s="129" t="str">
        <f t="shared" si="2"/>
        <v/>
      </c>
      <c r="S11" s="129" t="str">
        <f t="shared" si="3"/>
        <v/>
      </c>
      <c r="T11" s="129" t="str">
        <f t="shared" si="4"/>
        <v/>
      </c>
      <c r="U11" s="145"/>
      <c r="BA11" s="78"/>
      <c r="BB11" s="132" t="s">
        <v>2068</v>
      </c>
      <c r="BC11" s="133"/>
      <c r="BD11" s="132" t="str">
        <f>IF(OR(B11="",BC11=""),"",COUNTIF(BC$7:BC11,"√"))</f>
        <v/>
      </c>
      <c r="BE11" s="134" t="str">
        <f t="shared" si="5"/>
        <v/>
      </c>
      <c r="BF11" s="135" t="str">
        <f t="shared" si="11"/>
        <v/>
      </c>
      <c r="BG11" s="135" t="str">
        <f t="shared" si="11"/>
        <v/>
      </c>
      <c r="BH11" s="136"/>
      <c r="BI11" s="136"/>
      <c r="BJ11" s="136"/>
      <c r="BK11" s="136"/>
      <c r="BL11" s="136"/>
      <c r="BM11" s="137"/>
      <c r="BN11" s="137"/>
      <c r="BO11" s="156">
        <f t="shared" si="6"/>
        <v>125.582477754962</v>
      </c>
      <c r="BQ11" s="134" t="str">
        <f>IF(COUNTIF(BQ$6:BQ10,C11)&gt;0,"",C11)&amp;""</f>
        <v/>
      </c>
      <c r="BR11" s="138">
        <f t="shared" si="12"/>
        <v>0</v>
      </c>
      <c r="BS11" s="132">
        <f t="shared" si="13"/>
        <v>1</v>
      </c>
      <c r="BT11" s="138">
        <f t="shared" si="14"/>
        <v>0</v>
      </c>
      <c r="BU11" s="132">
        <f t="shared" si="15"/>
        <v>1</v>
      </c>
      <c r="BV11" s="132">
        <v>3</v>
      </c>
      <c r="BW11" s="134" t="str">
        <f t="shared" si="17"/>
        <v/>
      </c>
      <c r="BX11" s="146" t="str">
        <f t="shared" si="18"/>
        <v/>
      </c>
    </row>
    <row r="12" ht="15" customHeight="1" spans="1:76">
      <c r="A12" s="123" t="str">
        <f>IF(B12="","",COUNT(A$6:A11)+1)</f>
        <v/>
      </c>
      <c r="B12" s="139"/>
      <c r="C12" s="141"/>
      <c r="D12" s="140"/>
      <c r="E12" s="126" t="str">
        <f t="shared" si="0"/>
        <v/>
      </c>
      <c r="F12" s="141"/>
      <c r="G12" s="142"/>
      <c r="H12" s="127" t="str">
        <f>IFERROR(VLOOKUP(G12,参数表!$H$2:$I$50,2,FALSE),"")</f>
        <v/>
      </c>
      <c r="I12" s="128" t="str">
        <f t="shared" si="16"/>
        <v/>
      </c>
      <c r="J12" s="128" t="str">
        <f t="shared" si="8"/>
        <v/>
      </c>
      <c r="K12" s="143"/>
      <c r="L12" s="143"/>
      <c r="M12" s="144"/>
      <c r="N12" s="144"/>
      <c r="O12" s="129" t="str">
        <f t="shared" si="9"/>
        <v/>
      </c>
      <c r="P12" s="129" t="str">
        <f t="shared" si="10"/>
        <v/>
      </c>
      <c r="Q12" s="129" t="str">
        <f t="shared" si="1"/>
        <v/>
      </c>
      <c r="R12" s="129" t="str">
        <f t="shared" si="2"/>
        <v/>
      </c>
      <c r="S12" s="129" t="str">
        <f t="shared" si="3"/>
        <v/>
      </c>
      <c r="T12" s="129" t="str">
        <f t="shared" si="4"/>
        <v/>
      </c>
      <c r="U12" s="145"/>
      <c r="BA12" s="78"/>
      <c r="BB12" s="132" t="s">
        <v>2069</v>
      </c>
      <c r="BC12" s="133"/>
      <c r="BD12" s="132" t="str">
        <f>IF(OR(B12="",BC12=""),"",COUNTIF(BC$7:BC12,"√"))</f>
        <v/>
      </c>
      <c r="BE12" s="134" t="str">
        <f t="shared" si="5"/>
        <v/>
      </c>
      <c r="BF12" s="135" t="str">
        <f t="shared" si="11"/>
        <v/>
      </c>
      <c r="BG12" s="135" t="str">
        <f t="shared" si="11"/>
        <v/>
      </c>
      <c r="BH12" s="136"/>
      <c r="BI12" s="136"/>
      <c r="BJ12" s="136"/>
      <c r="BK12" s="136"/>
      <c r="BL12" s="136"/>
      <c r="BM12" s="137"/>
      <c r="BN12" s="137"/>
      <c r="BO12" s="156">
        <f t="shared" si="6"/>
        <v>125.582477754962</v>
      </c>
      <c r="BQ12" s="134" t="str">
        <f>IF(COUNTIF(BQ$6:BQ11,C12)&gt;0,"",C12)&amp;""</f>
        <v/>
      </c>
      <c r="BR12" s="138">
        <f t="shared" si="12"/>
        <v>0</v>
      </c>
      <c r="BS12" s="132">
        <f t="shared" si="13"/>
        <v>1</v>
      </c>
      <c r="BT12" s="138">
        <f t="shared" si="14"/>
        <v>0</v>
      </c>
      <c r="BU12" s="132">
        <f t="shared" si="15"/>
        <v>1</v>
      </c>
      <c r="BV12" s="132">
        <v>4</v>
      </c>
      <c r="BW12" s="134" t="str">
        <f t="shared" si="17"/>
        <v/>
      </c>
      <c r="BX12" s="146" t="str">
        <f>IF(BW13="","","和")</f>
        <v/>
      </c>
    </row>
    <row r="13" ht="15" customHeight="1" spans="1:76">
      <c r="A13" s="123" t="str">
        <f>IF(B13="","",COUNT(A$6:A12)+1)</f>
        <v/>
      </c>
      <c r="B13" s="139"/>
      <c r="C13" s="141"/>
      <c r="D13" s="140"/>
      <c r="E13" s="126" t="str">
        <f t="shared" si="0"/>
        <v/>
      </c>
      <c r="F13" s="141"/>
      <c r="G13" s="142"/>
      <c r="H13" s="127" t="str">
        <f>IFERROR(VLOOKUP(G13,参数表!$H$2:$I$50,2,FALSE),"")</f>
        <v/>
      </c>
      <c r="I13" s="128" t="str">
        <f t="shared" si="16"/>
        <v/>
      </c>
      <c r="J13" s="128" t="str">
        <f t="shared" si="8"/>
        <v/>
      </c>
      <c r="K13" s="143"/>
      <c r="L13" s="143"/>
      <c r="M13" s="144"/>
      <c r="N13" s="144"/>
      <c r="O13" s="129" t="str">
        <f t="shared" si="9"/>
        <v/>
      </c>
      <c r="P13" s="129" t="str">
        <f t="shared" si="10"/>
        <v/>
      </c>
      <c r="Q13" s="129" t="str">
        <f t="shared" si="1"/>
        <v/>
      </c>
      <c r="R13" s="129" t="str">
        <f t="shared" si="2"/>
        <v/>
      </c>
      <c r="S13" s="129" t="str">
        <f t="shared" si="3"/>
        <v/>
      </c>
      <c r="T13" s="129" t="str">
        <f t="shared" si="4"/>
        <v/>
      </c>
      <c r="U13" s="145"/>
      <c r="BA13" s="78"/>
      <c r="BB13" s="132" t="s">
        <v>2070</v>
      </c>
      <c r="BC13" s="133"/>
      <c r="BD13" s="132" t="str">
        <f>IF(OR(B13="",BC13=""),"",COUNTIF(BC$7:BC13,"√"))</f>
        <v/>
      </c>
      <c r="BE13" s="134" t="str">
        <f t="shared" si="5"/>
        <v/>
      </c>
      <c r="BF13" s="135" t="str">
        <f t="shared" si="11"/>
        <v/>
      </c>
      <c r="BG13" s="135" t="str">
        <f t="shared" si="11"/>
        <v/>
      </c>
      <c r="BH13" s="136"/>
      <c r="BI13" s="136"/>
      <c r="BJ13" s="136"/>
      <c r="BK13" s="136"/>
      <c r="BL13" s="136"/>
      <c r="BM13" s="137"/>
      <c r="BN13" s="137"/>
      <c r="BO13" s="156">
        <f t="shared" si="6"/>
        <v>125.582477754962</v>
      </c>
      <c r="BQ13" s="134" t="str">
        <f>IF(COUNTIF(BQ$6:BQ12,C13)&gt;0,"",C13)&amp;""</f>
        <v/>
      </c>
      <c r="BR13" s="138">
        <f t="shared" si="12"/>
        <v>0</v>
      </c>
      <c r="BS13" s="132">
        <f t="shared" si="13"/>
        <v>1</v>
      </c>
      <c r="BT13" s="138">
        <f t="shared" si="14"/>
        <v>0</v>
      </c>
      <c r="BU13" s="132">
        <f t="shared" si="15"/>
        <v>1</v>
      </c>
      <c r="BV13" s="132">
        <v>5</v>
      </c>
      <c r="BW13" s="134" t="str">
        <f t="shared" si="17"/>
        <v/>
      </c>
      <c r="BX13" s="146"/>
    </row>
    <row r="14" ht="15" customHeight="1" spans="1:76">
      <c r="A14" s="123" t="str">
        <f>IF(B14="","",COUNT(A$6:A13)+1)</f>
        <v/>
      </c>
      <c r="B14" s="139"/>
      <c r="C14" s="141"/>
      <c r="D14" s="140"/>
      <c r="E14" s="126" t="str">
        <f t="shared" si="0"/>
        <v/>
      </c>
      <c r="F14" s="141"/>
      <c r="G14" s="142"/>
      <c r="H14" s="127" t="str">
        <f>IFERROR(VLOOKUP(G14,参数表!$H$2:$I$50,2,FALSE),"")</f>
        <v/>
      </c>
      <c r="I14" s="128" t="str">
        <f t="shared" si="16"/>
        <v/>
      </c>
      <c r="J14" s="128" t="str">
        <f t="shared" si="8"/>
        <v/>
      </c>
      <c r="K14" s="143"/>
      <c r="L14" s="143"/>
      <c r="M14" s="144"/>
      <c r="N14" s="144"/>
      <c r="O14" s="129" t="str">
        <f t="shared" si="9"/>
        <v/>
      </c>
      <c r="P14" s="129" t="str">
        <f t="shared" si="10"/>
        <v/>
      </c>
      <c r="Q14" s="129" t="str">
        <f t="shared" si="1"/>
        <v/>
      </c>
      <c r="R14" s="129" t="str">
        <f t="shared" si="2"/>
        <v/>
      </c>
      <c r="S14" s="129" t="str">
        <f t="shared" si="3"/>
        <v/>
      </c>
      <c r="T14" s="129" t="str">
        <f t="shared" si="4"/>
        <v/>
      </c>
      <c r="U14" s="145"/>
      <c r="BA14" s="78"/>
      <c r="BB14" s="132" t="s">
        <v>2071</v>
      </c>
      <c r="BC14" s="133"/>
      <c r="BD14" s="132" t="str">
        <f>IF(OR(B14="",BC14=""),"",COUNTIF(BC$7:BC14,"√"))</f>
        <v/>
      </c>
      <c r="BE14" s="134" t="str">
        <f t="shared" si="5"/>
        <v/>
      </c>
      <c r="BF14" s="135" t="str">
        <f t="shared" si="11"/>
        <v/>
      </c>
      <c r="BG14" s="135" t="str">
        <f t="shared" si="11"/>
        <v/>
      </c>
      <c r="BH14" s="136"/>
      <c r="BI14" s="136"/>
      <c r="BJ14" s="136"/>
      <c r="BK14" s="136"/>
      <c r="BL14" s="136"/>
      <c r="BM14" s="137"/>
      <c r="BN14" s="137"/>
      <c r="BO14" s="156">
        <f t="shared" si="6"/>
        <v>125.582477754962</v>
      </c>
      <c r="BQ14" s="134" t="str">
        <f>IF(COUNTIF(BQ$6:BQ13,C14)&gt;0,"",C14)&amp;""</f>
        <v/>
      </c>
      <c r="BR14" s="138">
        <f t="shared" si="12"/>
        <v>0</v>
      </c>
      <c r="BS14" s="132">
        <f t="shared" si="13"/>
        <v>1</v>
      </c>
      <c r="BT14" s="138">
        <f t="shared" si="14"/>
        <v>0</v>
      </c>
      <c r="BU14" s="132">
        <f t="shared" si="15"/>
        <v>1</v>
      </c>
      <c r="BV14" s="147" t="s">
        <v>1659</v>
      </c>
      <c r="BW14" s="132" t="str">
        <f>CONCATENATE(BW9,BX9,BW10,BX10,BW11,BX11,BW12,BX12,BW13)</f>
        <v/>
      </c>
      <c r="BX14" s="132"/>
    </row>
    <row r="15" ht="15" customHeight="1" spans="1:76">
      <c r="A15" s="123" t="str">
        <f>IF(B15="","",COUNT(A$6:A14)+1)</f>
        <v/>
      </c>
      <c r="B15" s="139"/>
      <c r="C15" s="141"/>
      <c r="D15" s="140"/>
      <c r="E15" s="126" t="str">
        <f t="shared" si="0"/>
        <v/>
      </c>
      <c r="F15" s="141"/>
      <c r="G15" s="142"/>
      <c r="H15" s="127" t="str">
        <f>IFERROR(VLOOKUP(G15,参数表!$H$2:$I$50,2,FALSE),"")</f>
        <v/>
      </c>
      <c r="I15" s="128" t="str">
        <f t="shared" si="16"/>
        <v/>
      </c>
      <c r="J15" s="128" t="str">
        <f t="shared" si="8"/>
        <v/>
      </c>
      <c r="K15" s="143"/>
      <c r="L15" s="143"/>
      <c r="M15" s="144"/>
      <c r="N15" s="144"/>
      <c r="O15" s="129" t="str">
        <f t="shared" si="9"/>
        <v/>
      </c>
      <c r="P15" s="129" t="str">
        <f t="shared" si="10"/>
        <v/>
      </c>
      <c r="Q15" s="129" t="str">
        <f t="shared" si="1"/>
        <v/>
      </c>
      <c r="R15" s="129" t="str">
        <f t="shared" si="2"/>
        <v/>
      </c>
      <c r="S15" s="129" t="str">
        <f t="shared" si="3"/>
        <v/>
      </c>
      <c r="T15" s="129" t="str">
        <f t="shared" si="4"/>
        <v/>
      </c>
      <c r="U15" s="145"/>
      <c r="BA15" s="78"/>
      <c r="BB15" s="132" t="s">
        <v>2072</v>
      </c>
      <c r="BC15" s="133"/>
      <c r="BD15" s="132" t="str">
        <f>IF(OR(B15="",BC15=""),"",COUNTIF(BC$7:BC15,"√"))</f>
        <v/>
      </c>
      <c r="BE15" s="134" t="str">
        <f t="shared" si="5"/>
        <v/>
      </c>
      <c r="BF15" s="135" t="str">
        <f t="shared" si="11"/>
        <v/>
      </c>
      <c r="BG15" s="135" t="str">
        <f t="shared" si="11"/>
        <v/>
      </c>
      <c r="BH15" s="136"/>
      <c r="BI15" s="136"/>
      <c r="BJ15" s="136"/>
      <c r="BK15" s="136"/>
      <c r="BL15" s="136"/>
      <c r="BM15" s="137"/>
      <c r="BN15" s="137"/>
      <c r="BO15" s="156">
        <f t="shared" si="6"/>
        <v>125.582477754962</v>
      </c>
      <c r="BQ15" s="134" t="str">
        <f>IF(COUNTIF(BQ$6:BQ14,C15)&gt;0,"",C15)&amp;""</f>
        <v/>
      </c>
      <c r="BR15" s="138">
        <f t="shared" si="12"/>
        <v>0</v>
      </c>
      <c r="BS15" s="132">
        <f t="shared" si="13"/>
        <v>1</v>
      </c>
      <c r="BT15" s="138">
        <f t="shared" si="14"/>
        <v>0</v>
      </c>
      <c r="BU15" s="132">
        <f t="shared" si="15"/>
        <v>1</v>
      </c>
      <c r="BV15" s="133"/>
      <c r="BW15" s="133"/>
    </row>
    <row r="16" ht="15" customHeight="1" spans="1:76">
      <c r="A16" s="123" t="str">
        <f>IF(B16="","",COUNT(A$6:A15)+1)</f>
        <v/>
      </c>
      <c r="B16" s="139"/>
      <c r="C16" s="141"/>
      <c r="D16" s="140"/>
      <c r="E16" s="126" t="str">
        <f t="shared" si="0"/>
        <v/>
      </c>
      <c r="F16" s="141"/>
      <c r="G16" s="142"/>
      <c r="H16" s="127" t="str">
        <f>IFERROR(VLOOKUP(G16,参数表!$H$2:$I$50,2,FALSE),"")</f>
        <v/>
      </c>
      <c r="I16" s="128" t="str">
        <f t="shared" si="16"/>
        <v/>
      </c>
      <c r="J16" s="128" t="str">
        <f t="shared" si="8"/>
        <v/>
      </c>
      <c r="K16" s="143"/>
      <c r="L16" s="143"/>
      <c r="M16" s="144"/>
      <c r="N16" s="144"/>
      <c r="O16" s="129" t="str">
        <f t="shared" si="9"/>
        <v/>
      </c>
      <c r="P16" s="129" t="str">
        <f t="shared" si="10"/>
        <v/>
      </c>
      <c r="Q16" s="129" t="str">
        <f t="shared" si="1"/>
        <v/>
      </c>
      <c r="R16" s="129" t="str">
        <f t="shared" si="2"/>
        <v/>
      </c>
      <c r="S16" s="129" t="str">
        <f t="shared" si="3"/>
        <v/>
      </c>
      <c r="T16" s="129" t="str">
        <f t="shared" si="4"/>
        <v/>
      </c>
      <c r="U16" s="145"/>
      <c r="BA16" s="78"/>
      <c r="BB16" s="132" t="s">
        <v>2073</v>
      </c>
      <c r="BC16" s="133"/>
      <c r="BD16" s="132" t="str">
        <f>IF(OR(B16="",BC16=""),"",COUNTIF(BC$7:BC16,"√"))</f>
        <v/>
      </c>
      <c r="BE16" s="134" t="str">
        <f t="shared" si="5"/>
        <v/>
      </c>
      <c r="BF16" s="135" t="str">
        <f t="shared" si="11"/>
        <v/>
      </c>
      <c r="BG16" s="135" t="str">
        <f t="shared" si="11"/>
        <v/>
      </c>
      <c r="BH16" s="136"/>
      <c r="BI16" s="136"/>
      <c r="BJ16" s="136"/>
      <c r="BK16" s="136"/>
      <c r="BL16" s="136"/>
      <c r="BM16" s="137"/>
      <c r="BN16" s="137"/>
      <c r="BO16" s="156">
        <f t="shared" si="6"/>
        <v>125.582477754962</v>
      </c>
      <c r="BQ16" s="134" t="str">
        <f>IF(COUNTIF(BQ$6:BQ15,C16)&gt;0,"",C16)&amp;""</f>
        <v/>
      </c>
      <c r="BR16" s="138">
        <f t="shared" si="12"/>
        <v>0</v>
      </c>
      <c r="BS16" s="132">
        <f t="shared" si="13"/>
        <v>1</v>
      </c>
      <c r="BT16" s="138">
        <f t="shared" si="14"/>
        <v>0</v>
      </c>
      <c r="BU16" s="132">
        <f t="shared" si="15"/>
        <v>1</v>
      </c>
      <c r="BV16" s="133"/>
      <c r="BW16" s="148"/>
    </row>
    <row r="17" ht="15" customHeight="1" spans="1:76">
      <c r="A17" s="123" t="str">
        <f>IF(B17="","",COUNT(A$6:A16)+1)</f>
        <v/>
      </c>
      <c r="B17" s="139"/>
      <c r="C17" s="141"/>
      <c r="D17" s="140"/>
      <c r="E17" s="126" t="str">
        <f t="shared" si="0"/>
        <v/>
      </c>
      <c r="F17" s="141"/>
      <c r="G17" s="142"/>
      <c r="H17" s="127" t="str">
        <f>IFERROR(VLOOKUP(G17,参数表!$H$2:$I$50,2,FALSE),"")</f>
        <v/>
      </c>
      <c r="I17" s="128" t="str">
        <f t="shared" si="16"/>
        <v/>
      </c>
      <c r="J17" s="128" t="str">
        <f t="shared" si="8"/>
        <v/>
      </c>
      <c r="K17" s="143"/>
      <c r="L17" s="143"/>
      <c r="M17" s="144"/>
      <c r="N17" s="144"/>
      <c r="O17" s="129" t="str">
        <f t="shared" si="9"/>
        <v/>
      </c>
      <c r="P17" s="129" t="str">
        <f t="shared" si="10"/>
        <v/>
      </c>
      <c r="Q17" s="129" t="str">
        <f t="shared" si="1"/>
        <v/>
      </c>
      <c r="R17" s="129" t="str">
        <f t="shared" si="2"/>
        <v/>
      </c>
      <c r="S17" s="129" t="str">
        <f t="shared" si="3"/>
        <v/>
      </c>
      <c r="T17" s="129" t="str">
        <f t="shared" si="4"/>
        <v/>
      </c>
      <c r="U17" s="145"/>
      <c r="BA17" s="78"/>
      <c r="BB17" s="132" t="s">
        <v>2074</v>
      </c>
      <c r="BC17" s="133"/>
      <c r="BD17" s="132" t="str">
        <f>IF(OR(B17="",BC17=""),"",COUNTIF(BC$7:BC17,"√"))</f>
        <v/>
      </c>
      <c r="BE17" s="134" t="str">
        <f t="shared" si="5"/>
        <v/>
      </c>
      <c r="BF17" s="135" t="str">
        <f t="shared" si="11"/>
        <v/>
      </c>
      <c r="BG17" s="135" t="str">
        <f t="shared" si="11"/>
        <v/>
      </c>
      <c r="BH17" s="136"/>
      <c r="BI17" s="136"/>
      <c r="BJ17" s="136"/>
      <c r="BK17" s="136"/>
      <c r="BL17" s="136"/>
      <c r="BM17" s="137"/>
      <c r="BN17" s="137"/>
      <c r="BO17" s="156">
        <f t="shared" si="6"/>
        <v>125.582477754962</v>
      </c>
      <c r="BQ17" s="134" t="str">
        <f>IF(COUNTIF(BQ$6:BQ16,C17)&gt;0,"",C17)&amp;""</f>
        <v/>
      </c>
      <c r="BR17" s="138">
        <f t="shared" si="12"/>
        <v>0</v>
      </c>
      <c r="BS17" s="132">
        <f t="shared" si="13"/>
        <v>1</v>
      </c>
      <c r="BT17" s="138">
        <f t="shared" si="14"/>
        <v>0</v>
      </c>
      <c r="BU17" s="132">
        <f t="shared" si="15"/>
        <v>1</v>
      </c>
      <c r="BV17" s="133"/>
      <c r="BW17" s="133"/>
    </row>
    <row r="18" ht="15" customHeight="1" spans="1:76">
      <c r="A18" s="123" t="str">
        <f>IF(B18="","",COUNT(A$6:A17)+1)</f>
        <v/>
      </c>
      <c r="B18" s="139"/>
      <c r="C18" s="141"/>
      <c r="D18" s="140"/>
      <c r="E18" s="126" t="str">
        <f t="shared" si="0"/>
        <v/>
      </c>
      <c r="F18" s="141"/>
      <c r="G18" s="142"/>
      <c r="H18" s="127" t="str">
        <f>IFERROR(VLOOKUP(G18,参数表!$H$2:$I$50,2,FALSE),"")</f>
        <v/>
      </c>
      <c r="I18" s="128" t="str">
        <f t="shared" si="16"/>
        <v/>
      </c>
      <c r="J18" s="128" t="str">
        <f t="shared" si="8"/>
        <v/>
      </c>
      <c r="K18" s="143"/>
      <c r="L18" s="143"/>
      <c r="M18" s="144"/>
      <c r="N18" s="144"/>
      <c r="O18" s="129" t="str">
        <f t="shared" si="9"/>
        <v/>
      </c>
      <c r="P18" s="129" t="str">
        <f t="shared" si="10"/>
        <v/>
      </c>
      <c r="Q18" s="129" t="str">
        <f t="shared" si="1"/>
        <v/>
      </c>
      <c r="R18" s="129" t="str">
        <f t="shared" si="2"/>
        <v/>
      </c>
      <c r="S18" s="129" t="str">
        <f t="shared" ref="S18:S25" si="19">IFERROR((Q18-R18)-(O18-P18),"")</f>
        <v/>
      </c>
      <c r="T18" s="129" t="str">
        <f t="shared" ref="T18:T25" si="20">IFERROR(S18/(Q18-R18)*100,"")</f>
        <v/>
      </c>
      <c r="U18" s="145"/>
      <c r="BA18" s="78"/>
      <c r="BB18" s="132" t="s">
        <v>2075</v>
      </c>
      <c r="BC18" s="133"/>
      <c r="BD18" s="132" t="str">
        <f>IF(OR(B18="",BC18=""),"",COUNTIF(BC$7:BC18,"√"))</f>
        <v/>
      </c>
      <c r="BE18" s="134" t="str">
        <f t="shared" si="5"/>
        <v/>
      </c>
      <c r="BF18" s="135" t="str">
        <f t="shared" ref="BF18:BG25" si="21">IF($B18="","",IF(BF$5=0,"OK","出错"))</f>
        <v/>
      </c>
      <c r="BG18" s="135" t="str">
        <f t="shared" si="21"/>
        <v/>
      </c>
      <c r="BH18" s="136"/>
      <c r="BI18" s="136"/>
      <c r="BJ18" s="136"/>
      <c r="BK18" s="136"/>
      <c r="BL18" s="136"/>
      <c r="BM18" s="137"/>
      <c r="BN18" s="137"/>
      <c r="BO18" s="156">
        <f t="shared" si="6"/>
        <v>125.582477754962</v>
      </c>
      <c r="BQ18" s="134" t="str">
        <f>IF(COUNTIF(BQ$6:BQ17,C18)&gt;0,"",C18)&amp;""</f>
        <v/>
      </c>
      <c r="BR18" s="138">
        <f t="shared" si="12"/>
        <v>0</v>
      </c>
      <c r="BS18" s="132">
        <f t="shared" si="13"/>
        <v>1</v>
      </c>
      <c r="BT18" s="138">
        <f t="shared" si="14"/>
        <v>0</v>
      </c>
      <c r="BU18" s="132">
        <f t="shared" si="15"/>
        <v>1</v>
      </c>
      <c r="BV18" s="133"/>
      <c r="BW18" s="133"/>
    </row>
    <row r="19" ht="15" customHeight="1" spans="1:76">
      <c r="A19" s="123" t="str">
        <f>IF(B19="","",COUNT(A$6:A18)+1)</f>
        <v/>
      </c>
      <c r="B19" s="139"/>
      <c r="C19" s="141"/>
      <c r="D19" s="140"/>
      <c r="E19" s="126" t="str">
        <f t="shared" si="0"/>
        <v/>
      </c>
      <c r="F19" s="141"/>
      <c r="G19" s="142"/>
      <c r="H19" s="127" t="str">
        <f>IFERROR(VLOOKUP(G19,参数表!$H$2:$I$50,2,FALSE),"")</f>
        <v/>
      </c>
      <c r="I19" s="128" t="str">
        <f t="shared" si="16"/>
        <v/>
      </c>
      <c r="J19" s="128" t="str">
        <f t="shared" si="8"/>
        <v/>
      </c>
      <c r="K19" s="143"/>
      <c r="L19" s="143"/>
      <c r="M19" s="144"/>
      <c r="N19" s="144"/>
      <c r="O19" s="129" t="str">
        <f t="shared" si="9"/>
        <v/>
      </c>
      <c r="P19" s="129" t="str">
        <f t="shared" si="10"/>
        <v/>
      </c>
      <c r="Q19" s="129" t="str">
        <f t="shared" si="1"/>
        <v/>
      </c>
      <c r="R19" s="129" t="str">
        <f t="shared" si="2"/>
        <v/>
      </c>
      <c r="S19" s="129" t="str">
        <f t="shared" si="19"/>
        <v/>
      </c>
      <c r="T19" s="129" t="str">
        <f t="shared" si="20"/>
        <v/>
      </c>
      <c r="U19" s="145"/>
      <c r="BA19" s="78"/>
      <c r="BB19" s="132" t="s">
        <v>2076</v>
      </c>
      <c r="BC19" s="133"/>
      <c r="BD19" s="132" t="str">
        <f>IF(OR(B19="",BC19=""),"",COUNTIF(BC$7:BC19,"√"))</f>
        <v/>
      </c>
      <c r="BE19" s="134" t="str">
        <f t="shared" si="5"/>
        <v/>
      </c>
      <c r="BF19" s="135" t="str">
        <f t="shared" si="21"/>
        <v/>
      </c>
      <c r="BG19" s="135" t="str">
        <f t="shared" si="21"/>
        <v/>
      </c>
      <c r="BH19" s="136"/>
      <c r="BI19" s="136"/>
      <c r="BJ19" s="136"/>
      <c r="BK19" s="136"/>
      <c r="BL19" s="136"/>
      <c r="BM19" s="137"/>
      <c r="BN19" s="137"/>
      <c r="BO19" s="156">
        <f t="shared" si="6"/>
        <v>125.582477754962</v>
      </c>
      <c r="BQ19" s="134" t="str">
        <f>IF(COUNTIF(BQ$6:BQ18,C19)&gt;0,"",C19)&amp;""</f>
        <v/>
      </c>
      <c r="BR19" s="138">
        <f t="shared" si="12"/>
        <v>0</v>
      </c>
      <c r="BS19" s="132">
        <f t="shared" si="13"/>
        <v>1</v>
      </c>
      <c r="BT19" s="138">
        <f t="shared" si="14"/>
        <v>0</v>
      </c>
      <c r="BU19" s="132">
        <f t="shared" si="15"/>
        <v>1</v>
      </c>
      <c r="BV19" s="133"/>
      <c r="BW19" s="133"/>
    </row>
    <row r="20" ht="15" customHeight="1" spans="1:76">
      <c r="A20" s="123" t="str">
        <f>IF(B20="","",COUNT(A$6:A19)+1)</f>
        <v/>
      </c>
      <c r="B20" s="139"/>
      <c r="C20" s="141"/>
      <c r="D20" s="140"/>
      <c r="E20" s="126" t="str">
        <f t="shared" si="0"/>
        <v/>
      </c>
      <c r="F20" s="141"/>
      <c r="G20" s="142"/>
      <c r="H20" s="127" t="str">
        <f>IFERROR(VLOOKUP(G20,参数表!$H$2:$I$50,2,FALSE),"")</f>
        <v/>
      </c>
      <c r="I20" s="128" t="str">
        <f t="shared" si="16"/>
        <v/>
      </c>
      <c r="J20" s="128" t="str">
        <f t="shared" si="8"/>
        <v/>
      </c>
      <c r="K20" s="143"/>
      <c r="L20" s="143"/>
      <c r="M20" s="144"/>
      <c r="N20" s="144"/>
      <c r="O20" s="129" t="str">
        <f t="shared" si="9"/>
        <v/>
      </c>
      <c r="P20" s="129" t="str">
        <f t="shared" si="10"/>
        <v/>
      </c>
      <c r="Q20" s="129" t="str">
        <f t="shared" si="1"/>
        <v/>
      </c>
      <c r="R20" s="129" t="str">
        <f t="shared" si="2"/>
        <v/>
      </c>
      <c r="S20" s="129" t="str">
        <f t="shared" si="19"/>
        <v/>
      </c>
      <c r="T20" s="129" t="str">
        <f t="shared" si="20"/>
        <v/>
      </c>
      <c r="U20" s="145"/>
      <c r="BA20" s="78"/>
      <c r="BB20" s="132" t="s">
        <v>2077</v>
      </c>
      <c r="BC20" s="133"/>
      <c r="BD20" s="132" t="str">
        <f>IF(OR(B20="",BC20=""),"",COUNTIF(BC$7:BC20,"√"))</f>
        <v/>
      </c>
      <c r="BE20" s="134" t="str">
        <f t="shared" si="5"/>
        <v/>
      </c>
      <c r="BF20" s="135" t="str">
        <f t="shared" si="21"/>
        <v/>
      </c>
      <c r="BG20" s="135" t="str">
        <f t="shared" si="21"/>
        <v/>
      </c>
      <c r="BH20" s="136"/>
      <c r="BI20" s="136"/>
      <c r="BJ20" s="136"/>
      <c r="BK20" s="136"/>
      <c r="BL20" s="136"/>
      <c r="BM20" s="137"/>
      <c r="BN20" s="137"/>
      <c r="BO20" s="156">
        <f t="shared" si="6"/>
        <v>125.582477754962</v>
      </c>
      <c r="BQ20" s="134" t="str">
        <f>IF(COUNTIF(BQ$6:BQ19,C20)&gt;0,"",C20)&amp;""</f>
        <v/>
      </c>
      <c r="BR20" s="138">
        <f t="shared" si="12"/>
        <v>0</v>
      </c>
      <c r="BS20" s="132">
        <f t="shared" si="13"/>
        <v>1</v>
      </c>
      <c r="BT20" s="138">
        <f t="shared" si="14"/>
        <v>0</v>
      </c>
      <c r="BU20" s="132">
        <f t="shared" si="15"/>
        <v>1</v>
      </c>
      <c r="BV20" s="133"/>
      <c r="BW20" s="133"/>
    </row>
    <row r="21" ht="15" customHeight="1" spans="1:76">
      <c r="A21" s="123" t="str">
        <f>IF(B21="","",COUNT(A$6:A20)+1)</f>
        <v/>
      </c>
      <c r="B21" s="139"/>
      <c r="C21" s="141"/>
      <c r="D21" s="140"/>
      <c r="E21" s="126" t="str">
        <f t="shared" si="0"/>
        <v/>
      </c>
      <c r="F21" s="141"/>
      <c r="G21" s="142"/>
      <c r="H21" s="127" t="str">
        <f>IFERROR(VLOOKUP(G21,参数表!$H$2:$I$50,2,FALSE),"")</f>
        <v/>
      </c>
      <c r="I21" s="128" t="str">
        <f t="shared" si="16"/>
        <v/>
      </c>
      <c r="J21" s="128" t="str">
        <f t="shared" si="8"/>
        <v/>
      </c>
      <c r="K21" s="143"/>
      <c r="L21" s="143"/>
      <c r="M21" s="144"/>
      <c r="N21" s="144"/>
      <c r="O21" s="129" t="str">
        <f t="shared" si="9"/>
        <v/>
      </c>
      <c r="P21" s="129" t="str">
        <f t="shared" si="10"/>
        <v/>
      </c>
      <c r="Q21" s="129" t="str">
        <f t="shared" si="1"/>
        <v/>
      </c>
      <c r="R21" s="129" t="str">
        <f t="shared" si="2"/>
        <v/>
      </c>
      <c r="S21" s="129" t="str">
        <f t="shared" si="19"/>
        <v/>
      </c>
      <c r="T21" s="129" t="str">
        <f t="shared" si="20"/>
        <v/>
      </c>
      <c r="U21" s="145"/>
      <c r="BA21" s="78"/>
      <c r="BB21" s="132" t="s">
        <v>2078</v>
      </c>
      <c r="BC21" s="133"/>
      <c r="BD21" s="132" t="str">
        <f>IF(OR(B21="",BC21=""),"",COUNTIF(BC$7:BC21,"√"))</f>
        <v/>
      </c>
      <c r="BE21" s="134" t="str">
        <f t="shared" si="5"/>
        <v/>
      </c>
      <c r="BF21" s="135" t="str">
        <f t="shared" si="21"/>
        <v/>
      </c>
      <c r="BG21" s="135" t="str">
        <f t="shared" si="21"/>
        <v/>
      </c>
      <c r="BH21" s="136"/>
      <c r="BI21" s="136"/>
      <c r="BJ21" s="136"/>
      <c r="BK21" s="136"/>
      <c r="BL21" s="136"/>
      <c r="BM21" s="137"/>
      <c r="BN21" s="137"/>
      <c r="BO21" s="156">
        <f t="shared" si="6"/>
        <v>125.582477754962</v>
      </c>
      <c r="BQ21" s="134" t="str">
        <f>IF(COUNTIF(BQ$6:BQ20,C21)&gt;0,"",C21)&amp;""</f>
        <v/>
      </c>
      <c r="BR21" s="138">
        <f t="shared" si="12"/>
        <v>0</v>
      </c>
      <c r="BS21" s="132">
        <f t="shared" si="13"/>
        <v>1</v>
      </c>
      <c r="BT21" s="138">
        <f t="shared" si="14"/>
        <v>0</v>
      </c>
      <c r="BU21" s="132">
        <f t="shared" si="15"/>
        <v>1</v>
      </c>
      <c r="BV21" s="133"/>
      <c r="BW21" s="133"/>
    </row>
    <row r="22" ht="15" customHeight="1" spans="1:76">
      <c r="A22" s="123" t="str">
        <f>IF(B22="","",COUNT(A$6:A21)+1)</f>
        <v/>
      </c>
      <c r="B22" s="139"/>
      <c r="C22" s="141"/>
      <c r="D22" s="140"/>
      <c r="E22" s="126" t="str">
        <f t="shared" si="0"/>
        <v/>
      </c>
      <c r="F22" s="141"/>
      <c r="G22" s="142"/>
      <c r="H22" s="127" t="str">
        <f>IFERROR(VLOOKUP(G22,参数表!$H$2:$I$50,2,FALSE),"")</f>
        <v/>
      </c>
      <c r="I22" s="128" t="str">
        <f t="shared" si="16"/>
        <v/>
      </c>
      <c r="J22" s="128" t="str">
        <f t="shared" si="8"/>
        <v/>
      </c>
      <c r="K22" s="143"/>
      <c r="L22" s="143"/>
      <c r="M22" s="144"/>
      <c r="N22" s="144"/>
      <c r="O22" s="129" t="str">
        <f t="shared" si="9"/>
        <v/>
      </c>
      <c r="P22" s="129" t="str">
        <f t="shared" si="10"/>
        <v/>
      </c>
      <c r="Q22" s="129" t="str">
        <f t="shared" si="1"/>
        <v/>
      </c>
      <c r="R22" s="129" t="str">
        <f t="shared" si="2"/>
        <v/>
      </c>
      <c r="S22" s="129" t="str">
        <f t="shared" si="19"/>
        <v/>
      </c>
      <c r="T22" s="129" t="str">
        <f t="shared" si="20"/>
        <v/>
      </c>
      <c r="U22" s="145"/>
      <c r="BA22" s="78"/>
      <c r="BB22" s="132" t="s">
        <v>2079</v>
      </c>
      <c r="BC22" s="133"/>
      <c r="BD22" s="132" t="str">
        <f>IF(OR(B22="",BC22=""),"",COUNTIF(BC$7:BC22,"√"))</f>
        <v/>
      </c>
      <c r="BE22" s="134" t="str">
        <f t="shared" si="5"/>
        <v/>
      </c>
      <c r="BF22" s="135" t="str">
        <f t="shared" si="21"/>
        <v/>
      </c>
      <c r="BG22" s="135" t="str">
        <f t="shared" si="21"/>
        <v/>
      </c>
      <c r="BH22" s="136"/>
      <c r="BI22" s="136"/>
      <c r="BJ22" s="136"/>
      <c r="BK22" s="136"/>
      <c r="BL22" s="136"/>
      <c r="BM22" s="137"/>
      <c r="BN22" s="137"/>
      <c r="BO22" s="156">
        <f t="shared" si="6"/>
        <v>125.582477754962</v>
      </c>
      <c r="BQ22" s="134" t="str">
        <f>IF(COUNTIF(BQ$6:BQ21,C22)&gt;0,"",C22)&amp;""</f>
        <v/>
      </c>
      <c r="BR22" s="138">
        <f t="shared" si="12"/>
        <v>0</v>
      </c>
      <c r="BS22" s="132">
        <f t="shared" si="13"/>
        <v>1</v>
      </c>
      <c r="BT22" s="138">
        <f t="shared" si="14"/>
        <v>0</v>
      </c>
      <c r="BU22" s="132">
        <f t="shared" si="15"/>
        <v>1</v>
      </c>
      <c r="BV22" s="133"/>
      <c r="BW22" s="133"/>
    </row>
    <row r="23" ht="15" customHeight="1" spans="1:76">
      <c r="A23" s="123" t="str">
        <f>IF(B23="","",COUNT(A$6:A22)+1)</f>
        <v/>
      </c>
      <c r="B23" s="139"/>
      <c r="C23" s="141"/>
      <c r="D23" s="140"/>
      <c r="E23" s="126" t="str">
        <f t="shared" si="0"/>
        <v/>
      </c>
      <c r="F23" s="141"/>
      <c r="G23" s="142"/>
      <c r="H23" s="127" t="str">
        <f>IFERROR(VLOOKUP(G23,参数表!$H$2:$I$50,2,FALSE),"")</f>
        <v/>
      </c>
      <c r="I23" s="128" t="str">
        <f t="shared" si="16"/>
        <v/>
      </c>
      <c r="J23" s="128" t="str">
        <f t="shared" si="8"/>
        <v/>
      </c>
      <c r="K23" s="143"/>
      <c r="L23" s="143"/>
      <c r="M23" s="144"/>
      <c r="N23" s="144"/>
      <c r="O23" s="129" t="str">
        <f t="shared" si="9"/>
        <v/>
      </c>
      <c r="P23" s="129" t="str">
        <f t="shared" si="10"/>
        <v/>
      </c>
      <c r="Q23" s="129" t="str">
        <f t="shared" si="1"/>
        <v/>
      </c>
      <c r="R23" s="129" t="str">
        <f t="shared" si="2"/>
        <v/>
      </c>
      <c r="S23" s="129" t="str">
        <f t="shared" si="19"/>
        <v/>
      </c>
      <c r="T23" s="129" t="str">
        <f t="shared" si="20"/>
        <v/>
      </c>
      <c r="U23" s="145"/>
      <c r="BA23" s="78"/>
      <c r="BB23" s="132" t="s">
        <v>2080</v>
      </c>
      <c r="BC23" s="133"/>
      <c r="BD23" s="132" t="str">
        <f>IF(OR(B23="",BC23=""),"",COUNTIF(BC$7:BC23,"√"))</f>
        <v/>
      </c>
      <c r="BE23" s="134" t="str">
        <f t="shared" si="5"/>
        <v/>
      </c>
      <c r="BF23" s="135" t="str">
        <f t="shared" si="21"/>
        <v/>
      </c>
      <c r="BG23" s="135" t="str">
        <f t="shared" si="21"/>
        <v/>
      </c>
      <c r="BH23" s="136"/>
      <c r="BI23" s="136"/>
      <c r="BJ23" s="136"/>
      <c r="BK23" s="136"/>
      <c r="BL23" s="136"/>
      <c r="BM23" s="137"/>
      <c r="BN23" s="137"/>
      <c r="BO23" s="156">
        <f t="shared" si="6"/>
        <v>125.582477754962</v>
      </c>
      <c r="BQ23" s="134" t="str">
        <f>IF(COUNTIF(BQ$6:BQ22,C23)&gt;0,"",C23)&amp;""</f>
        <v/>
      </c>
      <c r="BR23" s="138">
        <f t="shared" si="12"/>
        <v>0</v>
      </c>
      <c r="BS23" s="132">
        <f t="shared" si="13"/>
        <v>1</v>
      </c>
      <c r="BT23" s="138">
        <f t="shared" si="14"/>
        <v>0</v>
      </c>
      <c r="BU23" s="132">
        <f t="shared" si="15"/>
        <v>1</v>
      </c>
      <c r="BV23" s="133"/>
      <c r="BW23" s="133"/>
    </row>
    <row r="24" ht="15" customHeight="1" spans="1:76">
      <c r="A24" s="123" t="str">
        <f>IF(B24="","",COUNT(A$6:A23)+1)</f>
        <v/>
      </c>
      <c r="B24" s="139"/>
      <c r="C24" s="141"/>
      <c r="D24" s="140"/>
      <c r="E24" s="126" t="str">
        <f t="shared" si="0"/>
        <v/>
      </c>
      <c r="F24" s="141"/>
      <c r="G24" s="142"/>
      <c r="H24" s="127" t="str">
        <f>IFERROR(VLOOKUP(G24,参数表!$H$2:$I$50,2,FALSE),"")</f>
        <v/>
      </c>
      <c r="I24" s="128" t="str">
        <f t="shared" si="16"/>
        <v/>
      </c>
      <c r="J24" s="128" t="str">
        <f t="shared" si="8"/>
        <v/>
      </c>
      <c r="K24" s="143"/>
      <c r="L24" s="143"/>
      <c r="M24" s="144"/>
      <c r="N24" s="144"/>
      <c r="O24" s="129" t="str">
        <f t="shared" si="9"/>
        <v/>
      </c>
      <c r="P24" s="129" t="str">
        <f t="shared" si="10"/>
        <v/>
      </c>
      <c r="Q24" s="129" t="str">
        <f t="shared" si="1"/>
        <v/>
      </c>
      <c r="R24" s="129" t="str">
        <f t="shared" si="2"/>
        <v/>
      </c>
      <c r="S24" s="129" t="str">
        <f t="shared" si="19"/>
        <v/>
      </c>
      <c r="T24" s="129" t="str">
        <f t="shared" si="20"/>
        <v/>
      </c>
      <c r="U24" s="145"/>
      <c r="BA24" s="78"/>
      <c r="BB24" s="132" t="s">
        <v>2081</v>
      </c>
      <c r="BC24" s="133"/>
      <c r="BD24" s="132" t="str">
        <f>IF(OR(B24="",BC24=""),"",COUNTIF(BC$7:BC24,"√"))</f>
        <v/>
      </c>
      <c r="BE24" s="134" t="str">
        <f t="shared" si="5"/>
        <v/>
      </c>
      <c r="BF24" s="135" t="str">
        <f t="shared" si="21"/>
        <v/>
      </c>
      <c r="BG24" s="135" t="str">
        <f t="shared" si="21"/>
        <v/>
      </c>
      <c r="BH24" s="136"/>
      <c r="BI24" s="136"/>
      <c r="BJ24" s="136"/>
      <c r="BK24" s="136"/>
      <c r="BL24" s="136"/>
      <c r="BM24" s="137"/>
      <c r="BN24" s="137"/>
      <c r="BO24" s="156">
        <f t="shared" si="6"/>
        <v>125.582477754962</v>
      </c>
      <c r="BQ24" s="134" t="str">
        <f>IF(COUNTIF(BQ$6:BQ23,C24)&gt;0,"",C24)&amp;""</f>
        <v/>
      </c>
      <c r="BR24" s="138">
        <f t="shared" si="12"/>
        <v>0</v>
      </c>
      <c r="BS24" s="132">
        <f t="shared" si="13"/>
        <v>1</v>
      </c>
      <c r="BT24" s="138">
        <f t="shared" si="14"/>
        <v>0</v>
      </c>
      <c r="BU24" s="132">
        <f t="shared" si="15"/>
        <v>1</v>
      </c>
      <c r="BV24" s="133"/>
      <c r="BW24" s="133"/>
    </row>
    <row r="25" ht="15" customHeight="1" spans="1:76">
      <c r="A25" s="123" t="str">
        <f>IF(B25="","",COUNT(A$6:A24)+1)</f>
        <v/>
      </c>
      <c r="B25" s="139"/>
      <c r="C25" s="141"/>
      <c r="D25" s="140"/>
      <c r="E25" s="126" t="str">
        <f t="shared" si="0"/>
        <v/>
      </c>
      <c r="F25" s="141"/>
      <c r="G25" s="142"/>
      <c r="H25" s="127" t="str">
        <f>IFERROR(VLOOKUP(G25,参数表!$H$2:$I$50,2,FALSE),"")</f>
        <v/>
      </c>
      <c r="I25" s="128" t="str">
        <f t="shared" si="16"/>
        <v/>
      </c>
      <c r="J25" s="128" t="str">
        <f t="shared" si="8"/>
        <v/>
      </c>
      <c r="K25" s="143"/>
      <c r="L25" s="143"/>
      <c r="M25" s="144"/>
      <c r="N25" s="144"/>
      <c r="O25" s="129" t="str">
        <f t="shared" si="9"/>
        <v/>
      </c>
      <c r="P25" s="129" t="str">
        <f t="shared" si="10"/>
        <v/>
      </c>
      <c r="Q25" s="129" t="str">
        <f t="shared" si="1"/>
        <v/>
      </c>
      <c r="R25" s="129" t="str">
        <f t="shared" si="2"/>
        <v/>
      </c>
      <c r="S25" s="129" t="str">
        <f t="shared" si="19"/>
        <v/>
      </c>
      <c r="T25" s="129" t="str">
        <f t="shared" si="20"/>
        <v/>
      </c>
      <c r="U25" s="145"/>
      <c r="BA25" s="78"/>
      <c r="BB25" s="132" t="s">
        <v>2082</v>
      </c>
      <c r="BC25" s="133"/>
      <c r="BD25" s="132" t="str">
        <f>IF(OR(B25="",BC25=""),"",COUNTIF(BC$7:BC25,"√"))</f>
        <v/>
      </c>
      <c r="BE25" s="134" t="str">
        <f t="shared" si="5"/>
        <v/>
      </c>
      <c r="BF25" s="135" t="str">
        <f t="shared" si="21"/>
        <v/>
      </c>
      <c r="BG25" s="135" t="str">
        <f t="shared" si="21"/>
        <v/>
      </c>
      <c r="BH25" s="136"/>
      <c r="BI25" s="136"/>
      <c r="BJ25" s="136"/>
      <c r="BK25" s="136"/>
      <c r="BL25" s="136"/>
      <c r="BM25" s="137"/>
      <c r="BN25" s="137"/>
      <c r="BO25" s="156">
        <f t="shared" si="6"/>
        <v>125.582477754962</v>
      </c>
      <c r="BQ25" s="134" t="str">
        <f>IF(COUNTIF(BQ$6:BQ24,C25)&gt;0,"",C25)&amp;""</f>
        <v/>
      </c>
      <c r="BR25" s="138">
        <f t="shared" si="12"/>
        <v>0</v>
      </c>
      <c r="BS25" s="132">
        <f t="shared" si="13"/>
        <v>1</v>
      </c>
      <c r="BT25" s="138">
        <f t="shared" si="14"/>
        <v>0</v>
      </c>
      <c r="BU25" s="132">
        <f t="shared" si="15"/>
        <v>1</v>
      </c>
      <c r="BV25" s="133"/>
      <c r="BW25" s="133"/>
    </row>
    <row r="26" ht="15" customHeight="1" spans="1:76">
      <c r="A26" s="123" t="str">
        <f>IF(B26="","",COUNT(A$6:A25)+1)</f>
        <v/>
      </c>
      <c r="B26" s="124"/>
      <c r="C26" s="126"/>
      <c r="D26" s="125"/>
      <c r="E26" s="126" t="str">
        <f t="shared" si="0"/>
        <v/>
      </c>
      <c r="F26" s="126"/>
      <c r="G26" s="127"/>
      <c r="H26" s="127" t="str">
        <f>IFERROR(VLOOKUP(G26,参数表!$H$2:$I$50,2,FALSE),"")</f>
        <v/>
      </c>
      <c r="I26" s="128" t="str">
        <f t="shared" si="16"/>
        <v/>
      </c>
      <c r="J26" s="128"/>
      <c r="K26" s="129"/>
      <c r="L26" s="129"/>
      <c r="M26" s="130"/>
      <c r="N26" s="130"/>
      <c r="O26" s="129" t="str">
        <f t="shared" si="9"/>
        <v/>
      </c>
      <c r="P26" s="129" t="str">
        <f t="shared" si="10"/>
        <v/>
      </c>
      <c r="Q26" s="129" t="str">
        <f t="shared" si="1"/>
        <v/>
      </c>
      <c r="R26" s="129" t="str">
        <f t="shared" si="2"/>
        <v/>
      </c>
      <c r="S26" s="129" t="str">
        <f t="shared" si="3"/>
        <v/>
      </c>
      <c r="T26" s="129" t="str">
        <f t="shared" si="4"/>
        <v/>
      </c>
      <c r="U26" s="131"/>
      <c r="BA26" s="78"/>
      <c r="BB26" s="132" t="s">
        <v>2083</v>
      </c>
      <c r="BC26" s="133"/>
      <c r="BD26" s="132" t="str">
        <f>IF(OR(B26="",BC26=""),"",COUNTIF(BC$7:BC26,"√"))</f>
        <v/>
      </c>
      <c r="BE26" s="134" t="str">
        <f t="shared" si="5"/>
        <v/>
      </c>
      <c r="BF26" s="135" t="str">
        <f t="shared" si="11"/>
        <v/>
      </c>
      <c r="BG26" s="135" t="str">
        <f t="shared" si="11"/>
        <v/>
      </c>
      <c r="BH26" s="136"/>
      <c r="BI26" s="136"/>
      <c r="BJ26" s="136"/>
      <c r="BK26" s="136"/>
      <c r="BL26" s="136"/>
      <c r="BM26" s="137"/>
      <c r="BN26" s="137"/>
      <c r="BO26" s="156">
        <f t="shared" si="6"/>
        <v>125.582477754962</v>
      </c>
      <c r="BQ26" s="134" t="str">
        <f>IF(COUNTIF(BQ$6:BQ25,C26)&gt;0,"",C26)&amp;""</f>
        <v/>
      </c>
      <c r="BR26" s="138">
        <f t="shared" si="12"/>
        <v>0</v>
      </c>
      <c r="BS26" s="132">
        <f t="shared" si="13"/>
        <v>1</v>
      </c>
      <c r="BT26" s="138">
        <f t="shared" si="14"/>
        <v>0</v>
      </c>
      <c r="BU26" s="132">
        <f t="shared" si="15"/>
        <v>1</v>
      </c>
      <c r="BV26" s="133"/>
      <c r="BW26" s="133"/>
    </row>
    <row r="27" s="73" customFormat="1" ht="15" customHeight="1" spans="1:76">
      <c r="A27" s="149" t="s">
        <v>1954</v>
      </c>
      <c r="B27" s="149"/>
      <c r="C27" s="149"/>
      <c r="D27" s="150"/>
      <c r="E27" s="151"/>
      <c r="F27" s="149"/>
      <c r="G27" s="151"/>
      <c r="H27" s="151"/>
      <c r="I27" s="151"/>
      <c r="J27" s="151"/>
      <c r="K27" s="152">
        <f>SUM(K7:K26)</f>
        <v>0</v>
      </c>
      <c r="L27" s="152">
        <f>SUM(L7:L26)</f>
        <v>0</v>
      </c>
      <c r="M27" s="153"/>
      <c r="N27" s="153"/>
      <c r="O27" s="152">
        <f>SUM(O7:O26)</f>
        <v>0</v>
      </c>
      <c r="P27" s="152">
        <f>SUM(P7:P26)</f>
        <v>0</v>
      </c>
      <c r="Q27" s="152">
        <f>SUM(Q7:Q26)</f>
        <v>0</v>
      </c>
      <c r="R27" s="152">
        <f>SUM(R7:R26)</f>
        <v>0</v>
      </c>
      <c r="S27" s="152">
        <f t="shared" si="3"/>
        <v>0</v>
      </c>
      <c r="T27" s="152" t="str">
        <f t="shared" si="4"/>
        <v/>
      </c>
      <c r="U27" s="151"/>
      <c r="BH27" s="72"/>
      <c r="BI27" s="72"/>
      <c r="BJ27" s="72"/>
      <c r="BK27" s="72"/>
      <c r="BL27" s="72"/>
      <c r="BM27" s="72"/>
      <c r="BP27" s="111"/>
      <c r="BQ27" s="119"/>
      <c r="BR27" s="77"/>
      <c r="BS27" s="77"/>
      <c r="BT27" s="77"/>
      <c r="BU27" s="119"/>
      <c r="BV27" s="119"/>
      <c r="BW27" s="119"/>
      <c r="BX27" s="111"/>
    </row>
    <row r="28" ht="15" customHeight="1" spans="1:76">
      <c r="A28" s="126" t="s">
        <v>1955</v>
      </c>
      <c r="B28" s="126"/>
      <c r="C28" s="126"/>
      <c r="D28" s="213"/>
      <c r="E28" s="131"/>
      <c r="F28" s="126"/>
      <c r="G28" s="131"/>
      <c r="H28" s="131"/>
      <c r="I28" s="131"/>
      <c r="J28" s="131"/>
      <c r="K28" s="129">
        <f>L27</f>
        <v>0</v>
      </c>
      <c r="L28" s="129"/>
      <c r="M28" s="130"/>
      <c r="N28" s="130"/>
      <c r="O28" s="129">
        <f>P27</f>
        <v>0</v>
      </c>
      <c r="P28" s="129"/>
      <c r="Q28" s="129">
        <v>0</v>
      </c>
      <c r="R28" s="129"/>
      <c r="S28" s="129">
        <f t="shared" si="3"/>
        <v>0</v>
      </c>
      <c r="T28" s="129" t="str">
        <f t="shared" si="4"/>
        <v/>
      </c>
      <c r="U28" s="131"/>
      <c r="BC28" s="75"/>
      <c r="BD28" s="75"/>
      <c r="BE28" s="75"/>
      <c r="BH28" s="165"/>
      <c r="BI28" s="165"/>
      <c r="BJ28" s="165"/>
      <c r="BK28" s="165"/>
      <c r="BL28" s="165"/>
      <c r="BM28" s="165"/>
    </row>
    <row r="29" ht="15" customHeight="1" spans="1:76">
      <c r="A29" s="126" t="s">
        <v>1956</v>
      </c>
      <c r="B29" s="126"/>
      <c r="C29" s="126"/>
      <c r="D29" s="213"/>
      <c r="E29" s="131"/>
      <c r="F29" s="126"/>
      <c r="G29" s="131"/>
      <c r="H29" s="131"/>
      <c r="I29" s="131"/>
      <c r="J29" s="131"/>
      <c r="K29" s="129"/>
      <c r="L29" s="129"/>
      <c r="M29" s="130"/>
      <c r="N29" s="130"/>
      <c r="O29" s="129"/>
      <c r="P29" s="129"/>
      <c r="Q29" s="129">
        <f>IF(BB$3="是",R27,0)</f>
        <v>0</v>
      </c>
      <c r="R29" s="129"/>
      <c r="S29" s="129">
        <f t="shared" si="3"/>
        <v>0</v>
      </c>
      <c r="T29" s="129" t="str">
        <f t="shared" si="4"/>
        <v/>
      </c>
      <c r="U29" s="131"/>
      <c r="BC29" s="75"/>
      <c r="BD29" s="75"/>
      <c r="BE29" s="75"/>
      <c r="BH29" s="165"/>
      <c r="BI29" s="165"/>
      <c r="BJ29" s="165"/>
      <c r="BK29" s="165"/>
      <c r="BL29" s="165"/>
      <c r="BM29" s="165"/>
    </row>
    <row r="30" s="73" customFormat="1" ht="15" customHeight="1" spans="1:76">
      <c r="A30" s="149" t="s">
        <v>1957</v>
      </c>
      <c r="B30" s="149"/>
      <c r="C30" s="151"/>
      <c r="D30" s="356"/>
      <c r="E30" s="151"/>
      <c r="F30" s="149"/>
      <c r="G30" s="151"/>
      <c r="H30" s="151"/>
      <c r="I30" s="151"/>
      <c r="J30" s="151"/>
      <c r="K30" s="152">
        <f>K27-K28</f>
        <v>0</v>
      </c>
      <c r="L30" s="152"/>
      <c r="M30" s="153"/>
      <c r="N30" s="153"/>
      <c r="O30" s="152">
        <f>O27-O28</f>
        <v>0</v>
      </c>
      <c r="P30" s="152"/>
      <c r="Q30" s="152">
        <f>Q27-Q29</f>
        <v>0</v>
      </c>
      <c r="R30" s="152"/>
      <c r="S30" s="152">
        <f t="shared" si="3"/>
        <v>0</v>
      </c>
      <c r="T30" s="152" t="str">
        <f t="shared" si="4"/>
        <v/>
      </c>
      <c r="U30" s="151"/>
      <c r="BH30" s="72"/>
      <c r="BI30" s="72"/>
      <c r="BJ30" s="72"/>
      <c r="BK30" s="72"/>
      <c r="BL30" s="72"/>
      <c r="BM30" s="72"/>
      <c r="BP30" s="77"/>
      <c r="BQ30" s="78"/>
      <c r="BR30" s="77"/>
      <c r="BS30" s="78"/>
      <c r="BT30" s="78"/>
      <c r="BU30" s="78"/>
      <c r="BV30" s="78"/>
      <c r="BW30" s="78"/>
      <c r="BX30" s="77"/>
    </row>
    <row r="31" customHeight="1" spans="1:76">
      <c r="A31" s="102" t="str">
        <f>参数表!F$6</f>
        <v>产权持有单位填表人：贾广东</v>
      </c>
      <c r="B31" s="154"/>
      <c r="C31" s="154"/>
      <c r="D31" s="154"/>
      <c r="E31" s="154"/>
      <c r="F31" s="286"/>
      <c r="G31" s="154"/>
      <c r="H31" s="154"/>
      <c r="I31" s="154"/>
      <c r="J31" s="154"/>
      <c r="K31" s="103"/>
      <c r="L31" s="103"/>
      <c r="M31" s="104"/>
      <c r="N31" s="104"/>
      <c r="O31" s="103"/>
      <c r="P31" s="103"/>
      <c r="Q31" s="103" t="str">
        <f>"评估人员："&amp;封面!$G$20</f>
        <v>评估人员：栗祥宁</v>
      </c>
      <c r="R31" s="103"/>
      <c r="S31" s="103"/>
      <c r="T31" s="103"/>
      <c r="U31" s="103"/>
      <c r="BC31" s="75"/>
      <c r="BD31" s="75"/>
      <c r="BE31" s="75"/>
      <c r="BH31" s="165"/>
      <c r="BI31" s="165"/>
      <c r="BJ31" s="165"/>
      <c r="BK31" s="165"/>
      <c r="BL31" s="165"/>
      <c r="BM31" s="165"/>
    </row>
    <row r="32" customHeight="1" spans="1:76">
      <c r="A32" s="102" t="str">
        <f>参数表!F$7</f>
        <v>填表日期：2025年9月20日</v>
      </c>
      <c r="B32" s="154"/>
      <c r="C32" s="154"/>
      <c r="D32" s="154"/>
      <c r="E32" s="154"/>
      <c r="F32" s="286"/>
      <c r="G32" s="154"/>
      <c r="H32" s="154"/>
      <c r="I32" s="154"/>
      <c r="J32" s="154"/>
      <c r="K32" s="103"/>
      <c r="L32" s="103"/>
      <c r="M32" s="104"/>
      <c r="N32" s="104"/>
      <c r="O32" s="103"/>
      <c r="P32" s="103"/>
      <c r="Q32" s="103"/>
      <c r="R32" s="103"/>
      <c r="S32" s="103"/>
      <c r="T32" s="103"/>
      <c r="U32" s="103"/>
      <c r="BC32" s="75"/>
      <c r="BD32" s="75"/>
      <c r="BE32" s="75"/>
      <c r="BH32" s="165"/>
      <c r="BI32" s="165"/>
      <c r="BJ32" s="165"/>
      <c r="BK32" s="165"/>
      <c r="BL32" s="165"/>
      <c r="BM32" s="165"/>
    </row>
    <row r="33" hidden="1" customHeight="1" outlineLevel="1" spans="1:65">
      <c r="A33" s="157"/>
      <c r="B33" s="154" t="s">
        <v>1673</v>
      </c>
      <c r="C33" s="158"/>
      <c r="D33" s="158"/>
      <c r="E33" s="158"/>
      <c r="F33" s="1283" t="s">
        <v>127</v>
      </c>
      <c r="G33" s="158"/>
      <c r="H33" s="158"/>
      <c r="I33" s="158"/>
      <c r="J33" s="158"/>
      <c r="K33" s="159">
        <f>SUMIF($BA7:$BA26,$BA33,K7:K26)</f>
        <v>0</v>
      </c>
      <c r="L33" s="159">
        <f>SUMIF($BA7:$BA26,$BA33,L7:L26)</f>
        <v>0</v>
      </c>
      <c r="M33" s="202"/>
      <c r="N33" s="202"/>
      <c r="O33" s="159">
        <f>SUMIF($BA7:$BA26,$BA33,O7:O26)</f>
        <v>0</v>
      </c>
      <c r="P33" s="159">
        <f>SUMIF($BA7:$BA26,$BA33,P7:P26)</f>
        <v>0</v>
      </c>
      <c r="Q33" s="159">
        <f>SUMIF($BA7:$BA26,$BA33,Q7:Q26)</f>
        <v>0</v>
      </c>
      <c r="R33" s="159">
        <f>SUMIF($BA7:$BA26,$BA33,R7:R26)</f>
        <v>0</v>
      </c>
      <c r="BA33" s="161" t="s">
        <v>1674</v>
      </c>
      <c r="BC33" s="75"/>
      <c r="BD33" s="75"/>
      <c r="BE33" s="75"/>
      <c r="BH33" s="95" t="s">
        <v>1675</v>
      </c>
      <c r="BI33" s="95" t="s">
        <v>1675</v>
      </c>
      <c r="BJ33" s="95" t="s">
        <v>1675</v>
      </c>
      <c r="BK33" s="95" t="s">
        <v>1674</v>
      </c>
      <c r="BL33" s="95" t="s">
        <v>1674</v>
      </c>
      <c r="BM33" s="165"/>
    </row>
    <row r="34" hidden="1" customHeight="1" outlineLevel="1" spans="1:65">
      <c r="A34" s="157"/>
      <c r="B34" s="154" t="s">
        <v>1676</v>
      </c>
      <c r="C34" s="158"/>
      <c r="D34" s="158"/>
      <c r="E34" s="158"/>
      <c r="F34" s="1283" t="s">
        <v>228</v>
      </c>
      <c r="G34" s="158"/>
      <c r="H34" s="158"/>
      <c r="I34" s="158"/>
      <c r="J34" s="158"/>
      <c r="K34" s="159">
        <f>K27-K33</f>
        <v>0</v>
      </c>
      <c r="L34" s="159">
        <f>L27-L33</f>
        <v>0</v>
      </c>
      <c r="M34" s="202"/>
      <c r="N34" s="202"/>
      <c r="O34" s="159">
        <f>O27-O33</f>
        <v>0</v>
      </c>
      <c r="P34" s="159">
        <f>P27-P33</f>
        <v>0</v>
      </c>
      <c r="Q34" s="159">
        <f>Q27-Q33</f>
        <v>0</v>
      </c>
      <c r="R34" s="159">
        <f>R27-R33</f>
        <v>0</v>
      </c>
      <c r="BA34" s="161" t="s">
        <v>1677</v>
      </c>
      <c r="BC34" s="75"/>
      <c r="BD34" s="75"/>
      <c r="BE34" s="75"/>
      <c r="BH34" s="95" t="s">
        <v>1678</v>
      </c>
      <c r="BI34" s="95" t="s">
        <v>1678</v>
      </c>
      <c r="BJ34" s="95" t="s">
        <v>1678</v>
      </c>
      <c r="BK34" s="95" t="s">
        <v>1677</v>
      </c>
      <c r="BL34" s="95" t="s">
        <v>1677</v>
      </c>
      <c r="BM34" s="165"/>
    </row>
    <row r="35" customHeight="1" collapsed="1" spans="1:65">
      <c r="A35" s="157"/>
      <c r="B35" s="158"/>
      <c r="C35" s="158"/>
      <c r="D35" s="158"/>
      <c r="E35" s="158"/>
      <c r="F35" s="228"/>
      <c r="G35" s="158"/>
      <c r="H35" s="158"/>
      <c r="I35" s="158"/>
      <c r="J35" s="158"/>
      <c r="BC35" s="75"/>
      <c r="BD35" s="75"/>
      <c r="BE35" s="75"/>
      <c r="BH35" s="165"/>
      <c r="BI35" s="165"/>
      <c r="BJ35" s="165"/>
      <c r="BK35" s="165"/>
      <c r="BL35" s="165"/>
      <c r="BM35" s="165"/>
    </row>
    <row r="36" customHeight="1" spans="1:65">
      <c r="A36" s="157"/>
      <c r="B36" s="158"/>
      <c r="C36" s="158"/>
      <c r="D36" s="158"/>
      <c r="E36" s="158"/>
      <c r="F36" s="228"/>
      <c r="G36" s="158"/>
      <c r="H36" s="158"/>
      <c r="I36" s="158"/>
      <c r="J36" s="158"/>
    </row>
    <row r="37" customHeight="1" spans="1:65">
      <c r="A37" s="157"/>
      <c r="B37" s="158"/>
      <c r="C37" s="158"/>
      <c r="D37" s="158"/>
      <c r="E37" s="158"/>
      <c r="F37" s="228"/>
      <c r="G37" s="158"/>
      <c r="H37" s="158"/>
      <c r="I37" s="158"/>
      <c r="J37" s="158"/>
    </row>
    <row r="38" customHeight="1" spans="1:65">
      <c r="A38" s="157"/>
      <c r="B38" s="158"/>
      <c r="C38" s="158"/>
      <c r="D38" s="158"/>
      <c r="E38" s="158"/>
      <c r="F38" s="228"/>
      <c r="G38" s="158"/>
      <c r="H38" s="158"/>
      <c r="I38" s="158"/>
      <c r="J38" s="158"/>
    </row>
    <row r="39" customHeight="1" spans="1:65">
      <c r="A39" s="157"/>
      <c r="B39" s="158"/>
      <c r="C39" s="158"/>
      <c r="D39" s="158"/>
      <c r="E39" s="158"/>
      <c r="F39" s="228"/>
      <c r="G39" s="158"/>
      <c r="H39" s="158"/>
      <c r="I39" s="158"/>
      <c r="J39" s="158"/>
    </row>
    <row r="40" customHeight="1" spans="1:65">
      <c r="A40" s="157"/>
      <c r="B40" s="158"/>
      <c r="C40" s="158"/>
      <c r="D40" s="158"/>
      <c r="E40" s="158"/>
      <c r="F40" s="228"/>
      <c r="G40" s="158"/>
      <c r="H40" s="158"/>
      <c r="I40" s="158"/>
      <c r="J40" s="158"/>
    </row>
    <row r="41" customHeight="1" spans="1:65">
      <c r="A41" s="157"/>
      <c r="B41" s="158"/>
      <c r="C41" s="158"/>
      <c r="D41" s="158"/>
      <c r="E41" s="158"/>
      <c r="F41" s="228"/>
      <c r="G41" s="158"/>
      <c r="H41" s="158"/>
      <c r="I41" s="158"/>
      <c r="J41" s="158"/>
    </row>
  </sheetData>
  <sheetProtection autoFilter="0"/>
  <mergeCells count="9">
    <mergeCell ref="A2:U2"/>
    <mergeCell ref="A3:U3"/>
    <mergeCell ref="BV7:BX7"/>
    <mergeCell ref="BV8:BX8"/>
    <mergeCell ref="BW14:BX14"/>
    <mergeCell ref="A27:B27"/>
    <mergeCell ref="A28:B28"/>
    <mergeCell ref="A29:B29"/>
    <mergeCell ref="A30:B30"/>
  </mergeCells>
  <conditionalFormatting sqref="BI7:BL7">
    <cfRule type="expression" dxfId="5" priority="6" stopIfTrue="1">
      <formula>AND($B7&lt;&gt;"",BI7="")</formula>
    </cfRule>
  </conditionalFormatting>
  <conditionalFormatting sqref="BM7:BM26">
    <cfRule type="expression" dxfId="5" priority="5"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I8:BM25 BH26:BM26 BH7:BL25">
    <cfRule type="expression" dxfId="5" priority="7" stopIfTrue="1">
      <formula>AND($B7&lt;&gt;"",BH7="")</formula>
    </cfRule>
  </conditionalFormatting>
  <dataValidations count="5">
    <dataValidation type="list" allowBlank="1" showInputMessage="1" showErrorMessage="1" sqref="F7:F26">
      <formula1>$F$33:$F$34</formula1>
    </dataValidation>
    <dataValidation type="list" allowBlank="1" showInputMessage="1" showErrorMessage="1" sqref="G7:G26">
      <formula1>OFFSET(参数表!$H$2:$H$50,,,COUNTA(参数表!$H$2:$H$50))</formula1>
    </dataValidation>
    <dataValidation type="list" allowBlank="1" showInputMessage="1" showErrorMessage="1" sqref="BA7:BA26 BA33:BA34">
      <formula1>"是,否"</formula1>
    </dataValidation>
    <dataValidation type="list" allowBlank="1" showInputMessage="1" showErrorMessage="1" sqref="BC7:BC26">
      <formula1>"  ,√"</formula1>
    </dataValidation>
    <dataValidation type="list" allowBlank="1" showInputMessage="1" showErrorMessage="1" sqref="BH7:BL26">
      <formula1>BH$33:BH$34</formula1>
    </dataValidation>
  </dataValidations>
  <hyperlinks>
    <hyperlink ref="A1" location="索引目录!D14" display="返回索引页"/>
    <hyperlink ref="B1" location="流动资产汇总表!B15"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FF0000"/>
  </sheetPr>
  <dimension ref="A1:CE40"/>
  <sheetViews>
    <sheetView workbookViewId="0">
      <selection activeCell="E45" sqref="E45"/>
    </sheetView>
  </sheetViews>
  <sheetFormatPr defaultColWidth="9" defaultRowHeight="13.2"/>
  <cols>
    <col min="1" max="1" width="8.7" style="75" customWidth="1"/>
    <col min="2" max="2" width="30.8" style="75" customWidth="1"/>
    <col min="3" max="3" width="20.6" style="75" hidden="1" customWidth="1" outlineLevel="1"/>
    <col min="4" max="4" width="20.6" style="75" customWidth="1" collapsed="1"/>
    <col min="5" max="7" width="20.6" style="75" customWidth="1"/>
    <col min="8" max="52" width="9" style="75" hidden="1" customWidth="1" outlineLevel="1"/>
    <col min="53" max="53" width="10.6" style="227" customWidth="1" collapsed="1"/>
    <col min="54" max="60" width="10.6" style="227" customWidth="1"/>
    <col min="61" max="61" width="1.6" style="227" customWidth="1"/>
    <col min="62"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80" t="s">
        <v>1591</v>
      </c>
      <c r="B1" s="80" t="s">
        <v>1592</v>
      </c>
      <c r="C1" s="81"/>
      <c r="D1" s="81"/>
      <c r="E1" s="81"/>
      <c r="F1" s="81"/>
      <c r="G1" s="81"/>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233" t="s">
        <v>2084</v>
      </c>
      <c r="B2" s="233"/>
      <c r="C2" s="233"/>
      <c r="D2" s="233"/>
      <c r="E2" s="233"/>
      <c r="F2" s="233"/>
      <c r="G2" s="233"/>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5" customHeight="1" spans="1:83">
      <c r="A3" s="238" t="str">
        <f>参数表!F5</f>
        <v>评估基准日：2025年7月31日</v>
      </c>
      <c r="B3" s="238"/>
      <c r="C3" s="238"/>
      <c r="D3" s="238"/>
      <c r="E3" s="238"/>
      <c r="F3" s="238"/>
      <c r="G3" s="238"/>
      <c r="BA3" s="230" t="str">
        <f>参数表!BA3</f>
        <v>是否显示评估值：</v>
      </c>
      <c r="BB3" s="230" t="str">
        <f>参数表!BB3</f>
        <v>是</v>
      </c>
    </row>
    <row r="4" ht="15" customHeight="1" spans="1:83">
      <c r="A4" s="238"/>
      <c r="B4" s="238"/>
      <c r="C4" s="238"/>
      <c r="D4" s="238"/>
      <c r="E4" s="238"/>
      <c r="F4" s="238"/>
      <c r="G4" s="338" t="str">
        <f>"表"&amp;A25</f>
        <v>表</v>
      </c>
      <c r="BA4" s="240" t="s">
        <v>1595</v>
      </c>
      <c r="BB4" s="241"/>
      <c r="BC4" s="241"/>
      <c r="BD4" s="241"/>
      <c r="BE4" s="241"/>
      <c r="BF4" s="241"/>
      <c r="BG4" s="241"/>
      <c r="BH4" s="241"/>
      <c r="BI4" s="242"/>
      <c r="BJ4" s="241" t="s">
        <v>1545</v>
      </c>
      <c r="BK4" s="241"/>
      <c r="BL4" s="241"/>
      <c r="BM4" s="241"/>
      <c r="BN4" s="241"/>
      <c r="BO4" s="241"/>
      <c r="BP4" s="241"/>
      <c r="BQ4" s="241"/>
      <c r="BS4" s="228" t="str">
        <f>LEFT(A2,LEN(A2)-5)</f>
        <v>其他应收款</v>
      </c>
    </row>
    <row r="5" ht="15" customHeight="1" spans="1:83">
      <c r="A5" s="243" t="str">
        <f>参数表!F3</f>
        <v>产权持有单位:中煤第五建设有限公司</v>
      </c>
      <c r="G5" s="244" t="s">
        <v>236</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其他应收款为：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1525</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339" t="str">
        <f>A$28&amp;"-"&amp;SUBTOTAL(3,B$7:B7)</f>
        <v>3-9-1</v>
      </c>
      <c r="B7" s="261" t="s">
        <v>2085</v>
      </c>
      <c r="C7" s="143">
        <f>'其他应收-利息'!K27</f>
        <v>0</v>
      </c>
      <c r="D7" s="143">
        <f>'其他应收-利息'!M27</f>
        <v>0</v>
      </c>
      <c r="E7" s="143">
        <f>'其他应收-利息'!N27</f>
        <v>0</v>
      </c>
      <c r="F7" s="143">
        <f>E7-D7</f>
        <v>0</v>
      </c>
      <c r="G7" s="343" t="str">
        <f>IF(D7=0,"",F7/D7*100)</f>
        <v/>
      </c>
      <c r="BA7" s="256">
        <f>BB7</f>
        <v>0</v>
      </c>
      <c r="BB7" s="256">
        <f>其他应收总!D7</f>
        <v>0</v>
      </c>
      <c r="BC7" s="256">
        <f>BB7-BD7</f>
        <v>0</v>
      </c>
      <c r="BD7" s="256">
        <f>D7</f>
        <v>0</v>
      </c>
      <c r="BE7" s="256">
        <f>BF7</f>
        <v>0</v>
      </c>
      <c r="BF7" s="256">
        <f>E7</f>
        <v>0</v>
      </c>
      <c r="BG7" s="256">
        <f>BF7-BH7</f>
        <v>0</v>
      </c>
      <c r="BH7" s="256">
        <f>E7</f>
        <v>0</v>
      </c>
      <c r="BI7" s="242"/>
      <c r="BJ7" s="143">
        <f>BK7</f>
        <v>0</v>
      </c>
      <c r="BK7" s="256">
        <f>'其他应收-利息'!M30</f>
        <v>0</v>
      </c>
      <c r="BL7" s="256">
        <f>0</f>
        <v>0</v>
      </c>
      <c r="BM7" s="256">
        <f>BK7-BL7</f>
        <v>0</v>
      </c>
      <c r="BN7" s="143">
        <f>BO7</f>
        <v>0</v>
      </c>
      <c r="BO7" s="256">
        <f>'其他应收-利息'!N30</f>
        <v>0</v>
      </c>
      <c r="BP7" s="256">
        <f>0</f>
        <v>0</v>
      </c>
      <c r="BQ7" s="256">
        <f>BO7-BP7</f>
        <v>0</v>
      </c>
      <c r="BS7" s="228" t="str">
        <f t="shared" ref="BS7:BS9" si="0">IF(F7&gt;0,"增值",IF(F7=0,"无增减值","减值"))</f>
        <v>无增减值</v>
      </c>
      <c r="BT7" s="257">
        <f t="shared" ref="BT7:BT9" si="1">ABS(F7)</f>
        <v>0</v>
      </c>
      <c r="BU7" s="257">
        <f t="shared" ref="BU7:BU9" si="2">IFERROR(ABS(G7),0)</f>
        <v>0</v>
      </c>
      <c r="BV7" s="258">
        <f t="shared" ref="BV7:BV9" si="3">IFERROR(FIND("-",B7),0)</f>
        <v>0</v>
      </c>
      <c r="BW7" s="259" t="str">
        <f>IF(SUM(BA7:BH7)=0,"",RIGHT(B7,LEN(B7)-BV7))</f>
        <v/>
      </c>
      <c r="BX7" s="158" t="str">
        <f>IF(BY7="","",IF(BZ7&gt;1,"、",IF(BZ7=1,"和","")))</f>
        <v/>
      </c>
      <c r="BY7" s="158" t="str">
        <f>IF(BW7="","",1)</f>
        <v/>
      </c>
      <c r="BZ7" s="228">
        <f>COUNT(BY8:BY$27)</f>
        <v>0</v>
      </c>
    </row>
    <row r="8" ht="15" customHeight="1" spans="1:83">
      <c r="A8" s="339" t="str">
        <f>A$28&amp;"-"&amp;SUBTOTAL(3,B$7:B8)</f>
        <v>3-9-2</v>
      </c>
      <c r="B8" s="261" t="s">
        <v>2086</v>
      </c>
      <c r="C8" s="143">
        <f>'其他应收-股利'!H27</f>
        <v>0</v>
      </c>
      <c r="D8" s="143">
        <f>'其他应收-股利'!J27</f>
        <v>0</v>
      </c>
      <c r="E8" s="143">
        <f>'其他应收-股利'!K27</f>
        <v>0</v>
      </c>
      <c r="F8" s="143">
        <f>E8-D8</f>
        <v>0</v>
      </c>
      <c r="G8" s="143" t="str">
        <f>IF(D8=0,"",F8/D8*100)</f>
        <v/>
      </c>
      <c r="BA8" s="256">
        <f t="shared" ref="BA8:BA9" si="4">BB8</f>
        <v>0</v>
      </c>
      <c r="BB8" s="256">
        <f>D8</f>
        <v>0</v>
      </c>
      <c r="BC8" s="256">
        <f t="shared" ref="BC8:BC9" si="5">BB8-BD8</f>
        <v>0</v>
      </c>
      <c r="BD8" s="256">
        <f t="shared" ref="BD8:BD9" si="6">D8</f>
        <v>0</v>
      </c>
      <c r="BE8" s="256">
        <f t="shared" ref="BE8:BE9" si="7">BF8</f>
        <v>0</v>
      </c>
      <c r="BF8" s="256">
        <f>E8</f>
        <v>0</v>
      </c>
      <c r="BG8" s="256">
        <f t="shared" ref="BG8:BG9" si="8">BF8-BH8</f>
        <v>0</v>
      </c>
      <c r="BH8" s="256">
        <f t="shared" ref="BH8:BH9" si="9">E8</f>
        <v>0</v>
      </c>
      <c r="BI8" s="242"/>
      <c r="BJ8" s="143">
        <f t="shared" ref="BJ8:BJ9" si="10">BK8</f>
        <v>0</v>
      </c>
      <c r="BK8" s="256">
        <f>'其他应收-股利'!J30</f>
        <v>0</v>
      </c>
      <c r="BL8" s="256">
        <f>0</f>
        <v>0</v>
      </c>
      <c r="BM8" s="256">
        <f t="shared" ref="BM8:BM9" si="11">BK8-BL8</f>
        <v>0</v>
      </c>
      <c r="BN8" s="143">
        <f t="shared" ref="BN8:BN9" si="12">BO8</f>
        <v>0</v>
      </c>
      <c r="BO8" s="256">
        <f>'其他应收-股利'!K30</f>
        <v>0</v>
      </c>
      <c r="BP8" s="256">
        <f>0</f>
        <v>0</v>
      </c>
      <c r="BQ8" s="256">
        <f t="shared" ref="BQ8:BQ9" si="13">BO8-BP8</f>
        <v>0</v>
      </c>
      <c r="BS8" s="228" t="str">
        <f t="shared" si="0"/>
        <v>无增减值</v>
      </c>
      <c r="BT8" s="257">
        <f t="shared" si="1"/>
        <v>0</v>
      </c>
      <c r="BU8" s="257">
        <f t="shared" si="2"/>
        <v>0</v>
      </c>
      <c r="BV8" s="258">
        <f t="shared" si="3"/>
        <v>0</v>
      </c>
      <c r="BW8" s="259" t="str">
        <f t="shared" ref="BW8:BW9" si="14">IF(SUM(BA8:BH8)=0,"",RIGHT(B8,LEN(B8)-BV8))</f>
        <v/>
      </c>
      <c r="BX8" s="158" t="str">
        <f t="shared" ref="BX8:BX9" si="15">IF(BY8="","",IF(BZ8&gt;1,"、",IF(BZ8=1,"和","")))</f>
        <v/>
      </c>
      <c r="BY8" s="158" t="str">
        <f t="shared" ref="BY8:BY9" si="16">IF(BW8="","",1)</f>
        <v/>
      </c>
      <c r="BZ8" s="228">
        <f>COUNT(BY9:BY$27)</f>
        <v>0</v>
      </c>
    </row>
    <row r="9" ht="15" customHeight="1" spans="1:83">
      <c r="A9" s="339" t="str">
        <f>A$28&amp;"-"&amp;SUBTOTAL(3,B$7:B9)</f>
        <v>3-9-3</v>
      </c>
      <c r="B9" s="261" t="s">
        <v>2087</v>
      </c>
      <c r="C9" s="143">
        <f>'其他应收-其他'!K31</f>
        <v>0</v>
      </c>
      <c r="D9" s="143">
        <f>'其他应收-其他'!AE31</f>
        <v>0</v>
      </c>
      <c r="E9" s="143">
        <f>'其他应收-其他'!AG31</f>
        <v>0</v>
      </c>
      <c r="F9" s="143">
        <f>E9-D9</f>
        <v>0</v>
      </c>
      <c r="G9" s="143" t="str">
        <f>IF(D9=0,"",F9/D9*100)</f>
        <v/>
      </c>
      <c r="BA9" s="256">
        <f t="shared" si="4"/>
        <v>0</v>
      </c>
      <c r="BB9" s="256">
        <f>'其他应收-其他'!AE28</f>
        <v>0</v>
      </c>
      <c r="BC9" s="256">
        <f t="shared" si="5"/>
        <v>0</v>
      </c>
      <c r="BD9" s="256">
        <f t="shared" si="6"/>
        <v>0</v>
      </c>
      <c r="BE9" s="256">
        <f t="shared" si="7"/>
        <v>0</v>
      </c>
      <c r="BF9" s="256">
        <f>'其他应收-其他'!AG28</f>
        <v>0</v>
      </c>
      <c r="BG9" s="256">
        <f t="shared" si="8"/>
        <v>0</v>
      </c>
      <c r="BH9" s="256">
        <f t="shared" si="9"/>
        <v>0</v>
      </c>
      <c r="BI9" s="242"/>
      <c r="BJ9" s="143">
        <f t="shared" si="10"/>
        <v>0</v>
      </c>
      <c r="BK9" s="256">
        <f>'其他应收-其他'!AE37</f>
        <v>0</v>
      </c>
      <c r="BL9" s="256">
        <f>'其他应收-其他'!AF37</f>
        <v>0</v>
      </c>
      <c r="BM9" s="256">
        <f t="shared" si="11"/>
        <v>0</v>
      </c>
      <c r="BN9" s="143">
        <f t="shared" si="12"/>
        <v>0</v>
      </c>
      <c r="BO9" s="256">
        <f>'其他应收-其他'!AG37</f>
        <v>0</v>
      </c>
      <c r="BP9" s="256">
        <f>'其他应收-其他'!AH37</f>
        <v>0</v>
      </c>
      <c r="BQ9" s="256">
        <f t="shared" si="13"/>
        <v>0</v>
      </c>
      <c r="BS9" s="228" t="str">
        <f t="shared" si="0"/>
        <v>无增减值</v>
      </c>
      <c r="BT9" s="257">
        <f t="shared" si="1"/>
        <v>0</v>
      </c>
      <c r="BU9" s="257">
        <f t="shared" si="2"/>
        <v>0</v>
      </c>
      <c r="BV9" s="258">
        <f t="shared" si="3"/>
        <v>6</v>
      </c>
      <c r="BW9" s="259" t="str">
        <f t="shared" si="14"/>
        <v/>
      </c>
      <c r="BX9" s="158" t="str">
        <f t="shared" si="15"/>
        <v/>
      </c>
      <c r="BY9" s="158" t="str">
        <f t="shared" si="16"/>
        <v/>
      </c>
      <c r="BZ9" s="228">
        <f>COUNT(BY10:BY$27)</f>
        <v>0</v>
      </c>
    </row>
    <row r="10" ht="15" customHeight="1" spans="1:83">
      <c r="A10" s="141"/>
      <c r="B10" s="145"/>
      <c r="C10" s="143"/>
      <c r="D10" s="143"/>
      <c r="E10" s="143"/>
      <c r="F10" s="143"/>
      <c r="G10" s="143"/>
      <c r="BA10" s="256"/>
      <c r="BB10" s="256"/>
      <c r="BC10" s="256"/>
      <c r="BD10" s="256"/>
      <c r="BE10" s="256"/>
      <c r="BF10" s="256"/>
      <c r="BG10" s="256"/>
      <c r="BH10" s="256"/>
      <c r="BI10" s="242"/>
      <c r="BJ10" s="256"/>
      <c r="BK10" s="256"/>
      <c r="BL10" s="256"/>
      <c r="BM10" s="256"/>
      <c r="BN10" s="256"/>
      <c r="BO10" s="256"/>
      <c r="BP10" s="256"/>
      <c r="BQ10" s="256"/>
      <c r="BS10" s="228"/>
      <c r="BT10" s="257"/>
      <c r="BU10" s="257"/>
      <c r="BV10" s="258"/>
      <c r="BW10" s="259"/>
      <c r="BY10" s="158"/>
      <c r="BZ10" s="228"/>
    </row>
    <row r="11" ht="15" customHeight="1" spans="1:83">
      <c r="A11" s="141"/>
      <c r="B11" s="145"/>
      <c r="C11" s="143"/>
      <c r="D11" s="143"/>
      <c r="E11" s="143"/>
      <c r="F11" s="143"/>
      <c r="G11" s="143"/>
      <c r="BA11" s="256"/>
      <c r="BB11" s="256"/>
      <c r="BC11" s="256"/>
      <c r="BD11" s="256"/>
      <c r="BE11" s="256"/>
      <c r="BF11" s="256"/>
      <c r="BG11" s="256"/>
      <c r="BH11" s="256"/>
      <c r="BI11" s="242"/>
      <c r="BJ11" s="256"/>
      <c r="BK11" s="256"/>
      <c r="BL11" s="256"/>
      <c r="BM11" s="256"/>
      <c r="BN11" s="256"/>
      <c r="BO11" s="256"/>
      <c r="BP11" s="256"/>
      <c r="BQ11" s="256"/>
      <c r="BS11" s="228"/>
      <c r="BT11" s="257"/>
      <c r="BU11" s="257"/>
      <c r="BV11" s="258"/>
      <c r="BW11" s="259"/>
      <c r="BY11" s="158"/>
      <c r="BZ11" s="228"/>
    </row>
    <row r="12" ht="15" customHeight="1" spans="1:83">
      <c r="A12" s="141"/>
      <c r="B12" s="145"/>
      <c r="C12" s="143"/>
      <c r="D12" s="143"/>
      <c r="E12" s="143"/>
      <c r="F12" s="143"/>
      <c r="G12" s="143"/>
      <c r="BA12" s="256"/>
      <c r="BB12" s="256"/>
      <c r="BC12" s="256"/>
      <c r="BD12" s="256"/>
      <c r="BE12" s="256"/>
      <c r="BF12" s="256"/>
      <c r="BG12" s="256"/>
      <c r="BH12" s="256"/>
      <c r="BI12" s="242"/>
      <c r="BJ12" s="256"/>
      <c r="BK12" s="256"/>
      <c r="BL12" s="256"/>
      <c r="BM12" s="256"/>
      <c r="BN12" s="256"/>
      <c r="BO12" s="256"/>
      <c r="BP12" s="256"/>
      <c r="BQ12" s="256"/>
      <c r="BS12" s="228"/>
      <c r="BT12" s="257"/>
      <c r="BU12" s="257"/>
      <c r="BV12" s="258"/>
      <c r="BW12" s="259"/>
      <c r="BY12" s="158"/>
      <c r="BZ12" s="228"/>
    </row>
    <row r="13" ht="15" customHeight="1" spans="1:83">
      <c r="A13" s="141"/>
      <c r="B13" s="145"/>
      <c r="C13" s="143"/>
      <c r="D13" s="143"/>
      <c r="E13" s="143"/>
      <c r="F13" s="143"/>
      <c r="G13" s="143"/>
      <c r="BA13" s="256"/>
      <c r="BB13" s="256"/>
      <c r="BC13" s="256"/>
      <c r="BD13" s="256"/>
      <c r="BE13" s="256"/>
      <c r="BF13" s="256"/>
      <c r="BG13" s="256"/>
      <c r="BH13" s="256"/>
      <c r="BI13" s="242"/>
      <c r="BJ13" s="256"/>
      <c r="BK13" s="256"/>
      <c r="BL13" s="256"/>
      <c r="BM13" s="256"/>
      <c r="BN13" s="256"/>
      <c r="BO13" s="256"/>
      <c r="BP13" s="256"/>
      <c r="BQ13" s="256"/>
      <c r="BS13" s="228"/>
      <c r="BT13" s="257"/>
      <c r="BU13" s="257"/>
      <c r="BV13" s="258"/>
      <c r="BW13" s="259"/>
      <c r="BY13" s="158"/>
      <c r="BZ13" s="228"/>
    </row>
    <row r="14" ht="15" customHeight="1" spans="1:83">
      <c r="A14" s="141"/>
      <c r="B14" s="145"/>
      <c r="C14" s="143"/>
      <c r="D14" s="143"/>
      <c r="E14" s="143"/>
      <c r="F14" s="143"/>
      <c r="G14" s="143"/>
      <c r="BA14" s="256"/>
      <c r="BB14" s="256"/>
      <c r="BC14" s="256"/>
      <c r="BD14" s="256"/>
      <c r="BE14" s="256"/>
      <c r="BF14" s="256"/>
      <c r="BG14" s="256"/>
      <c r="BH14" s="256"/>
      <c r="BI14" s="242"/>
      <c r="BJ14" s="256"/>
      <c r="BK14" s="256"/>
      <c r="BL14" s="256"/>
      <c r="BM14" s="256"/>
      <c r="BN14" s="256"/>
      <c r="BO14" s="256"/>
      <c r="BP14" s="256"/>
      <c r="BQ14" s="256"/>
      <c r="BS14" s="228"/>
      <c r="BT14" s="257"/>
      <c r="BU14" s="257"/>
      <c r="BV14" s="258"/>
      <c r="BW14" s="259"/>
      <c r="BY14" s="158"/>
      <c r="BZ14" s="228"/>
    </row>
    <row r="15" ht="15" customHeight="1" spans="1:83">
      <c r="A15" s="141"/>
      <c r="B15" s="145"/>
      <c r="C15" s="143"/>
      <c r="D15" s="143"/>
      <c r="E15" s="143"/>
      <c r="F15" s="143"/>
      <c r="G15" s="143"/>
      <c r="BA15" s="256"/>
      <c r="BB15" s="256"/>
      <c r="BC15" s="256"/>
      <c r="BD15" s="256"/>
      <c r="BE15" s="256"/>
      <c r="BF15" s="256"/>
      <c r="BG15" s="256"/>
      <c r="BH15" s="256"/>
      <c r="BI15" s="242"/>
      <c r="BJ15" s="256"/>
      <c r="BK15" s="256"/>
      <c r="BL15" s="256"/>
      <c r="BM15" s="256"/>
      <c r="BN15" s="256"/>
      <c r="BO15" s="256"/>
      <c r="BP15" s="256"/>
      <c r="BQ15" s="256"/>
      <c r="BS15" s="228"/>
      <c r="BT15" s="257"/>
      <c r="BU15" s="257"/>
      <c r="BV15" s="258"/>
      <c r="BW15" s="259"/>
      <c r="BY15" s="158"/>
      <c r="BZ15" s="228"/>
    </row>
    <row r="16" ht="15" customHeight="1" spans="1:83">
      <c r="A16" s="141"/>
      <c r="B16" s="145"/>
      <c r="C16" s="143"/>
      <c r="D16" s="143"/>
      <c r="E16" s="143"/>
      <c r="F16" s="143"/>
      <c r="G16" s="143"/>
      <c r="BA16" s="256"/>
      <c r="BB16" s="256"/>
      <c r="BC16" s="256"/>
      <c r="BD16" s="256"/>
      <c r="BE16" s="256"/>
      <c r="BF16" s="256"/>
      <c r="BG16" s="256"/>
      <c r="BH16" s="256"/>
      <c r="BI16" s="242"/>
      <c r="BJ16" s="256"/>
      <c r="BK16" s="256"/>
      <c r="BL16" s="256"/>
      <c r="BM16" s="256"/>
      <c r="BN16" s="256"/>
      <c r="BO16" s="256"/>
      <c r="BP16" s="256"/>
      <c r="BQ16" s="256"/>
      <c r="BS16" s="228"/>
      <c r="BT16" s="257"/>
      <c r="BU16" s="257"/>
      <c r="BV16" s="258"/>
      <c r="BW16" s="259"/>
      <c r="BY16" s="158"/>
      <c r="BZ16" s="228"/>
    </row>
    <row r="17" ht="15" customHeight="1" spans="1:83">
      <c r="A17" s="141"/>
      <c r="B17" s="145"/>
      <c r="C17" s="143"/>
      <c r="D17" s="143"/>
      <c r="E17" s="143"/>
      <c r="F17" s="143"/>
      <c r="G17" s="143"/>
      <c r="BA17" s="256"/>
      <c r="BB17" s="256"/>
      <c r="BC17" s="256"/>
      <c r="BD17" s="256"/>
      <c r="BE17" s="256"/>
      <c r="BF17" s="256"/>
      <c r="BG17" s="256"/>
      <c r="BH17" s="256"/>
      <c r="BI17" s="242"/>
      <c r="BJ17" s="256"/>
      <c r="BK17" s="256"/>
      <c r="BL17" s="256"/>
      <c r="BM17" s="256"/>
      <c r="BN17" s="256"/>
      <c r="BO17" s="256"/>
      <c r="BP17" s="256"/>
      <c r="BQ17" s="256"/>
      <c r="BS17" s="228"/>
      <c r="BT17" s="257"/>
      <c r="BU17" s="257"/>
      <c r="BV17" s="258"/>
      <c r="BW17" s="259"/>
      <c r="BY17" s="158"/>
      <c r="BZ17" s="228"/>
    </row>
    <row r="18" ht="15" customHeight="1" spans="1:83">
      <c r="A18" s="141"/>
      <c r="B18" s="145"/>
      <c r="C18" s="143"/>
      <c r="D18" s="143"/>
      <c r="E18" s="143"/>
      <c r="F18" s="143"/>
      <c r="G18" s="143"/>
      <c r="BA18" s="256"/>
      <c r="BB18" s="256"/>
      <c r="BC18" s="256"/>
      <c r="BD18" s="256"/>
      <c r="BE18" s="256"/>
      <c r="BF18" s="256"/>
      <c r="BG18" s="256"/>
      <c r="BH18" s="256"/>
      <c r="BI18" s="242"/>
      <c r="BJ18" s="256"/>
      <c r="BK18" s="256"/>
      <c r="BL18" s="256"/>
      <c r="BM18" s="256"/>
      <c r="BN18" s="256"/>
      <c r="BO18" s="256"/>
      <c r="BP18" s="256"/>
      <c r="BQ18" s="256"/>
      <c r="BS18" s="228"/>
      <c r="BT18" s="257"/>
      <c r="BU18" s="257"/>
      <c r="BV18" s="258"/>
      <c r="BW18" s="259"/>
      <c r="BY18" s="158"/>
      <c r="BZ18" s="228"/>
    </row>
    <row r="19" ht="15" customHeight="1" spans="1:83">
      <c r="A19" s="141"/>
      <c r="B19" s="145"/>
      <c r="C19" s="143"/>
      <c r="D19" s="143"/>
      <c r="E19" s="143"/>
      <c r="F19" s="143"/>
      <c r="G19" s="143"/>
      <c r="BA19" s="256"/>
      <c r="BB19" s="256"/>
      <c r="BC19" s="256"/>
      <c r="BD19" s="256"/>
      <c r="BE19" s="256"/>
      <c r="BF19" s="256"/>
      <c r="BG19" s="256"/>
      <c r="BH19" s="256"/>
      <c r="BI19" s="242"/>
      <c r="BJ19" s="256"/>
      <c r="BK19" s="256"/>
      <c r="BL19" s="256"/>
      <c r="BM19" s="256"/>
      <c r="BN19" s="256"/>
      <c r="BO19" s="256"/>
      <c r="BP19" s="256"/>
      <c r="BQ19" s="256"/>
      <c r="BS19" s="228"/>
      <c r="BT19" s="257"/>
      <c r="BU19" s="257"/>
      <c r="BV19" s="258"/>
      <c r="BW19" s="259"/>
      <c r="BY19" s="158"/>
      <c r="BZ19" s="228"/>
    </row>
    <row r="20" ht="15" customHeight="1" spans="1:83">
      <c r="A20" s="141"/>
      <c r="B20" s="145"/>
      <c r="C20" s="143"/>
      <c r="D20" s="143"/>
      <c r="E20" s="143"/>
      <c r="F20" s="143"/>
      <c r="G20" s="143"/>
      <c r="BA20" s="256"/>
      <c r="BB20" s="256"/>
      <c r="BC20" s="256"/>
      <c r="BD20" s="256"/>
      <c r="BE20" s="256"/>
      <c r="BF20" s="256"/>
      <c r="BG20" s="256"/>
      <c r="BH20" s="256"/>
      <c r="BI20" s="242"/>
      <c r="BJ20" s="256"/>
      <c r="BK20" s="256"/>
      <c r="BL20" s="256"/>
      <c r="BM20" s="256"/>
      <c r="BN20" s="256"/>
      <c r="BO20" s="256"/>
      <c r="BP20" s="256"/>
      <c r="BQ20" s="256"/>
      <c r="BS20" s="228"/>
      <c r="BT20" s="257"/>
      <c r="BU20" s="257"/>
      <c r="BV20" s="258"/>
      <c r="BW20" s="259"/>
      <c r="BY20" s="158"/>
      <c r="BZ20" s="228"/>
    </row>
    <row r="21" ht="15" customHeight="1" spans="1:83">
      <c r="A21" s="141"/>
      <c r="B21" s="145"/>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ht="15" customHeight="1" spans="1:83">
      <c r="A22" s="141"/>
      <c r="B22" s="145"/>
      <c r="C22" s="143"/>
      <c r="D22" s="143"/>
      <c r="E22" s="143"/>
      <c r="F22" s="143"/>
      <c r="G22" s="143"/>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ht="15" customHeight="1" spans="1:83">
      <c r="A23" s="141"/>
      <c r="B23" s="145"/>
      <c r="C23" s="143"/>
      <c r="D23" s="143"/>
      <c r="E23" s="143"/>
      <c r="F23" s="143"/>
      <c r="G23" s="143"/>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ht="15" customHeight="1" spans="1:83">
      <c r="A24" s="141"/>
      <c r="B24" s="145"/>
      <c r="C24" s="143"/>
      <c r="D24" s="143"/>
      <c r="E24" s="143"/>
      <c r="F24" s="143"/>
      <c r="G24" s="143"/>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s="73" customFormat="1" ht="15" customHeight="1" spans="1:83">
      <c r="A25" s="143"/>
      <c r="B25" s="143"/>
      <c r="C25" s="143"/>
      <c r="D25" s="143"/>
      <c r="E25" s="143"/>
      <c r="F25" s="143"/>
      <c r="G25" s="143"/>
      <c r="BA25" s="256"/>
      <c r="BB25" s="256"/>
      <c r="BC25" s="256"/>
      <c r="BD25" s="256"/>
      <c r="BE25" s="256"/>
      <c r="BF25" s="256"/>
      <c r="BG25" s="256"/>
      <c r="BH25" s="256"/>
      <c r="BI25" s="242"/>
      <c r="BJ25" s="256"/>
      <c r="BK25" s="256"/>
      <c r="BL25" s="256"/>
      <c r="BM25" s="256"/>
      <c r="BN25" s="256"/>
      <c r="BO25" s="256"/>
      <c r="BP25" s="256"/>
      <c r="BQ25" s="256"/>
      <c r="BR25" s="75"/>
      <c r="BS25" s="228"/>
      <c r="BT25" s="257"/>
      <c r="BU25" s="257"/>
      <c r="BV25" s="258"/>
      <c r="BW25" s="259"/>
      <c r="BX25" s="158"/>
      <c r="BY25" s="158"/>
      <c r="BZ25" s="228"/>
      <c r="CA25" s="75"/>
      <c r="CB25" s="75"/>
      <c r="CC25" s="75"/>
      <c r="CD25" s="229"/>
      <c r="CE25" s="229"/>
    </row>
    <row r="26" ht="15" customHeight="1" spans="1:83">
      <c r="A26" s="143"/>
      <c r="B26" s="143"/>
      <c r="C26" s="143"/>
      <c r="D26" s="143"/>
      <c r="E26" s="143"/>
      <c r="F26" s="143"/>
      <c r="G26" s="143"/>
      <c r="BA26" s="256"/>
      <c r="BB26" s="256"/>
      <c r="BC26" s="256"/>
      <c r="BD26" s="256"/>
      <c r="BE26" s="256"/>
      <c r="BF26" s="256"/>
      <c r="BG26" s="256"/>
      <c r="BH26" s="256"/>
      <c r="BI26" s="242"/>
      <c r="BJ26" s="256"/>
      <c r="BK26" s="256"/>
      <c r="BL26" s="256"/>
      <c r="BM26" s="256"/>
      <c r="BN26" s="256"/>
      <c r="BO26" s="256"/>
      <c r="BP26" s="256"/>
      <c r="BQ26" s="256"/>
      <c r="BS26" s="228"/>
      <c r="BT26" s="257"/>
      <c r="BU26" s="257"/>
      <c r="BV26" s="258"/>
      <c r="BW26" s="259"/>
      <c r="BY26" s="158"/>
      <c r="BZ26" s="228"/>
    </row>
    <row r="27" ht="15" customHeight="1" spans="1:83">
      <c r="A27" s="143"/>
      <c r="B27" s="143"/>
      <c r="C27" s="143"/>
      <c r="D27" s="143"/>
      <c r="E27" s="143"/>
      <c r="F27" s="143"/>
      <c r="G27" s="143"/>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341" t="str">
        <f>流动资总!A15</f>
        <v>3-9</v>
      </c>
      <c r="B28" s="342" t="s">
        <v>2088</v>
      </c>
      <c r="C28" s="264">
        <f>SUM(C7:C27)</f>
        <v>0</v>
      </c>
      <c r="D28" s="264">
        <f>SUM(D7:D27)</f>
        <v>0</v>
      </c>
      <c r="E28" s="264">
        <f>SUM(E7:E27)</f>
        <v>0</v>
      </c>
      <c r="F28" s="264">
        <f>SUM(F7:F26)</f>
        <v>0</v>
      </c>
      <c r="G28" s="265" t="str">
        <f>IF(D28=0,"",F28/D28*100)</f>
        <v/>
      </c>
      <c r="BA28" s="266">
        <f t="shared" ref="BA28:BH28" si="17">SUM(BA7:BA27)</f>
        <v>0</v>
      </c>
      <c r="BB28" s="266">
        <f t="shared" si="17"/>
        <v>0</v>
      </c>
      <c r="BC28" s="266">
        <f t="shared" si="17"/>
        <v>0</v>
      </c>
      <c r="BD28" s="266">
        <f t="shared" si="17"/>
        <v>0</v>
      </c>
      <c r="BE28" s="266">
        <f t="shared" si="17"/>
        <v>0</v>
      </c>
      <c r="BF28" s="266">
        <f t="shared" si="17"/>
        <v>0</v>
      </c>
      <c r="BG28" s="266">
        <f t="shared" si="17"/>
        <v>0</v>
      </c>
      <c r="BH28" s="266">
        <f t="shared" si="17"/>
        <v>0</v>
      </c>
      <c r="BI28" s="267"/>
      <c r="BJ28" s="266">
        <f t="shared" ref="BJ28:BQ28" si="18">SUM(BJ7:BJ27)</f>
        <v>0</v>
      </c>
      <c r="BK28" s="266">
        <f t="shared" si="18"/>
        <v>0</v>
      </c>
      <c r="BL28" s="266">
        <f t="shared" si="18"/>
        <v>0</v>
      </c>
      <c r="BM28" s="266">
        <f t="shared" si="18"/>
        <v>0</v>
      </c>
      <c r="BN28" s="266">
        <f t="shared" si="18"/>
        <v>0</v>
      </c>
      <c r="BO28" s="266">
        <f t="shared" si="18"/>
        <v>0</v>
      </c>
      <c r="BP28" s="266">
        <f t="shared" si="18"/>
        <v>0</v>
      </c>
      <c r="BQ28" s="266">
        <f t="shared" si="18"/>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ht="15" customHeight="1" spans="1:83">
      <c r="A29" s="75" t="str">
        <f>参数表!F$6</f>
        <v>产权持有单位填表人：贾广东</v>
      </c>
      <c r="B29" s="158"/>
      <c r="C29" s="158"/>
      <c r="D29" s="158"/>
      <c r="E29" s="158" t="str">
        <f>"评估人员："&amp;封面!$G$20</f>
        <v>评估人员：栗祥宁</v>
      </c>
      <c r="F29" s="158"/>
      <c r="G29" s="277"/>
    </row>
    <row r="30" ht="15" customHeight="1" spans="1:83">
      <c r="A30" s="75" t="str">
        <f>参数表!F$7</f>
        <v>填表日期：2025年9月20日</v>
      </c>
      <c r="B30" s="158"/>
      <c r="C30" s="158"/>
      <c r="D30" s="158"/>
      <c r="E30" s="158"/>
      <c r="F30" s="158"/>
    </row>
    <row r="31" ht="15.75" customHeight="1" spans="1:83">
      <c r="A31" s="158"/>
      <c r="B31" s="158"/>
      <c r="C31" s="158"/>
      <c r="D31" s="158"/>
      <c r="E31" s="158"/>
      <c r="F31" s="158"/>
    </row>
    <row r="32" ht="15.75" customHeight="1" spans="1:83">
      <c r="A32" s="158"/>
      <c r="B32" s="158"/>
      <c r="C32" s="158"/>
      <c r="D32" s="158"/>
      <c r="E32" s="158"/>
      <c r="F32" s="158"/>
    </row>
    <row r="33" ht="15.75" customHeight="1" spans="1:6">
      <c r="A33" s="158"/>
      <c r="B33" s="158"/>
      <c r="C33" s="158"/>
      <c r="D33" s="158"/>
      <c r="E33" s="158"/>
      <c r="F33" s="158"/>
    </row>
    <row r="34" ht="15.75" customHeight="1" spans="1:6">
      <c r="A34" s="158"/>
      <c r="B34" s="158"/>
      <c r="C34" s="158"/>
      <c r="D34" s="158"/>
      <c r="E34" s="158"/>
      <c r="F34" s="158"/>
    </row>
    <row r="35" ht="15.75" customHeight="1" spans="1:6">
      <c r="A35" s="158"/>
      <c r="B35" s="158"/>
      <c r="C35" s="158"/>
      <c r="D35" s="158"/>
      <c r="E35" s="158"/>
      <c r="F35" s="158"/>
    </row>
    <row r="36" ht="15.75" customHeight="1" spans="1:6">
      <c r="A36" s="158"/>
      <c r="B36" s="158"/>
      <c r="C36" s="158"/>
      <c r="D36" s="158"/>
      <c r="E36" s="158"/>
      <c r="F36" s="158"/>
    </row>
    <row r="37" ht="15.75" customHeight="1" spans="1:6">
      <c r="A37" s="158"/>
      <c r="B37" s="158"/>
      <c r="C37" s="158"/>
      <c r="D37" s="158"/>
      <c r="E37" s="158"/>
      <c r="F37" s="158"/>
    </row>
    <row r="38" ht="15.75" customHeight="1" spans="1:6">
      <c r="A38" s="158"/>
      <c r="B38" s="158"/>
      <c r="C38" s="158"/>
      <c r="D38" s="158"/>
      <c r="E38" s="158"/>
      <c r="F38" s="158"/>
    </row>
    <row r="39" ht="15.75" customHeight="1" spans="1:6">
      <c r="A39" s="158"/>
      <c r="B39" s="158"/>
      <c r="C39" s="158"/>
      <c r="D39" s="158"/>
      <c r="E39" s="158"/>
      <c r="F39" s="158"/>
    </row>
    <row r="40" ht="15.75" customHeight="1" spans="1:6">
      <c r="A40" s="158"/>
      <c r="B40" s="158"/>
      <c r="C40" s="158"/>
      <c r="D40" s="158"/>
      <c r="E40" s="158"/>
      <c r="F40" s="158"/>
    </row>
  </sheetData>
  <sheetProtection autoFilter="0"/>
  <mergeCells count="8">
    <mergeCell ref="A2:G2"/>
    <mergeCell ref="A3:G3"/>
    <mergeCell ref="BA4:BH4"/>
    <mergeCell ref="BJ4:BQ4"/>
    <mergeCell ref="BA5:BD5"/>
    <mergeCell ref="BE5:BH5"/>
    <mergeCell ref="BJ5:BM5"/>
    <mergeCell ref="BN5:BQ5"/>
  </mergeCells>
  <conditionalFormatting sqref="C7:C9">
    <cfRule type="expression" dxfId="3" priority="1">
      <formula>$D7+$E7=0</formula>
    </cfRule>
  </conditionalFormatting>
  <conditionalFormatting sqref="D7:G24">
    <cfRule type="expression" dxfId="3" priority="4">
      <formula>$D7+$E7=0</formula>
    </cfRule>
  </conditionalFormatting>
  <conditionalFormatting sqref="A25:G27">
    <cfRule type="expression" dxfId="3" priority="2">
      <formula>$D25+$E25=0</formula>
    </cfRule>
  </conditionalFormatting>
  <hyperlinks>
    <hyperlink ref="A1" location="索引目录!D9" display="返回索引页"/>
    <hyperlink ref="B1" location="流动资产汇总表!B8" display="返回"/>
  </hyperlinks>
  <printOptions horizontalCentered="1"/>
  <pageMargins left="0.393700787401575" right="0.393700787401575" top="0.984251968503937" bottom="0.393700787401575" header="0.984251968503937" footer="0.393700787401575"/>
  <pageSetup paperSize="9" orientation="landscape" blackAndWhite="1"/>
  <headerFooter alignWithMargins="0">
    <oddHeader>&amp;R&amp;"宋体,常规"&amp;11共&amp;N页，第&amp;P页&amp;"Times New Roman,常规"</oddHeader>
  </headerFooter>
  <colBreaks count="1" manualBreakCount="1">
    <brk id="7" max="32"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BW36"/>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2.7" style="75" customWidth="1"/>
    <col min="3" max="3" width="9" style="75"/>
    <col min="4" max="5" width="4.6" style="75" customWidth="1" outlineLevel="1"/>
    <col min="6" max="7" width="6.1" style="75" customWidth="1" outlineLevel="1"/>
    <col min="8" max="8" width="12.6" style="75" customWidth="1"/>
    <col min="9" max="9" width="11.2" style="75" customWidth="1"/>
    <col min="10" max="10" width="8.1" style="75" customWidth="1"/>
    <col min="11" max="11" width="12.6" style="75" customWidth="1" outlineLevel="1"/>
    <col min="12" max="12" width="12.6" style="76" customWidth="1" outlineLevel="1"/>
    <col min="13" max="14" width="12.6" style="75" customWidth="1"/>
    <col min="15" max="16" width="8.7" style="75" customWidth="1"/>
    <col min="17" max="17" width="9" style="75"/>
    <col min="18" max="52" width="9" style="75" hidden="1" customWidth="1" outlineLevel="1"/>
    <col min="53" max="53" width="14.7" style="75" customWidth="1" collapsed="1"/>
    <col min="54" max="54" width="6.7" style="75" customWidth="1"/>
    <col min="55" max="56" width="5.1" style="75" customWidth="1"/>
    <col min="57" max="57" width="8.7" style="75" customWidth="1"/>
    <col min="58" max="59" width="9.6" style="75" customWidth="1"/>
    <col min="60" max="62" width="5" style="75" customWidth="1"/>
    <col min="63" max="63" width="5.1" style="75" customWidth="1"/>
    <col min="64" max="64" width="6.7" style="75" customWidth="1"/>
    <col min="65" max="65" width="10.3" style="75" customWidth="1"/>
    <col min="66" max="66" width="8.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82"/>
      <c r="D1" s="82"/>
      <c r="E1" s="82"/>
      <c r="F1" s="82"/>
      <c r="G1" s="82"/>
      <c r="H1" s="82"/>
      <c r="I1" s="82"/>
      <c r="J1" s="82"/>
      <c r="K1" s="82"/>
      <c r="L1" s="205"/>
      <c r="M1" s="82"/>
      <c r="N1" s="82"/>
      <c r="O1" s="82"/>
      <c r="P1" s="82"/>
      <c r="Q1" s="82"/>
      <c r="BA1" s="84" t="str">
        <f>参数表!BA1</f>
        <v>注意：补充特殊事项、作价等均从BA列开始填写</v>
      </c>
      <c r="BB1" s="85"/>
      <c r="BO1" s="87"/>
      <c r="BP1" s="88"/>
      <c r="BQ1" s="87"/>
      <c r="BR1" s="88"/>
      <c r="BS1" s="88"/>
      <c r="BT1" s="88"/>
      <c r="BU1" s="88"/>
      <c r="BV1" s="88"/>
      <c r="BW1" s="87"/>
    </row>
    <row r="2" s="71" customFormat="1" ht="30" customHeight="1" spans="1:75">
      <c r="A2" s="89" t="s">
        <v>2089</v>
      </c>
      <c r="B2" s="89"/>
      <c r="C2" s="89"/>
      <c r="D2" s="89"/>
      <c r="E2" s="89"/>
      <c r="F2" s="89"/>
      <c r="G2" s="89"/>
      <c r="H2" s="89"/>
      <c r="I2" s="89"/>
      <c r="J2" s="89"/>
      <c r="K2" s="89"/>
      <c r="L2" s="89"/>
      <c r="M2" s="89"/>
      <c r="N2" s="89"/>
      <c r="O2" s="89"/>
      <c r="P2" s="89"/>
      <c r="Q2" s="89"/>
      <c r="BA2" s="90" t="str">
        <f>参数表!BA2</f>
        <v>评估基准日：</v>
      </c>
      <c r="BB2" s="91" t="str">
        <f>参数表!BB2</f>
        <v>2025年7月31日</v>
      </c>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4"/>
      <c r="L3" s="94"/>
      <c r="M3" s="94"/>
      <c r="N3" s="95"/>
      <c r="O3" s="95"/>
      <c r="P3" s="95"/>
      <c r="Q3" s="95"/>
      <c r="BA3" s="90" t="str">
        <f>参数表!BA3</f>
        <v>是否显示评估值：</v>
      </c>
      <c r="BB3" s="90" t="str">
        <f>参数表!BB3</f>
        <v>是</v>
      </c>
      <c r="BQ3" s="78"/>
    </row>
    <row r="4" ht="15" customHeight="1" spans="1:75">
      <c r="A4" s="96"/>
      <c r="B4" s="94"/>
      <c r="C4" s="94"/>
      <c r="D4" s="94"/>
      <c r="E4" s="94"/>
      <c r="F4" s="94"/>
      <c r="G4" s="94"/>
      <c r="H4" s="94"/>
      <c r="I4" s="94"/>
      <c r="J4" s="94"/>
      <c r="K4" s="94"/>
      <c r="L4" s="97"/>
      <c r="M4" s="94"/>
      <c r="N4" s="95"/>
      <c r="O4" s="95"/>
      <c r="P4" s="98"/>
      <c r="Q4" s="98" t="str">
        <f>"表"&amp;$BA4</f>
        <v>表3-9-1</v>
      </c>
      <c r="BA4" s="95" t="str">
        <f>其他应收总!A7</f>
        <v>3-9-1</v>
      </c>
      <c r="BB4" s="100">
        <f>MAX(COUNTA(A7:A26),COUNTA(B7:B26),COUNTA(K7:K26),COUNTA(M7:M26))</f>
        <v>20</v>
      </c>
      <c r="BC4" s="101">
        <f>ROW(A6)+1</f>
        <v>7</v>
      </c>
      <c r="BD4" s="77"/>
      <c r="BE4" s="77"/>
      <c r="BQ4" s="78"/>
    </row>
    <row r="5" ht="15" customHeight="1" spans="1:75">
      <c r="A5" s="102" t="str">
        <f>参数表!F3</f>
        <v>产权持有单位:中煤第五建设有限公司</v>
      </c>
      <c r="B5" s="103"/>
      <c r="C5" s="103"/>
      <c r="D5" s="103"/>
      <c r="E5" s="103"/>
      <c r="F5" s="103"/>
      <c r="G5" s="103"/>
      <c r="H5" s="103"/>
      <c r="I5" s="103"/>
      <c r="J5" s="103"/>
      <c r="K5" s="103"/>
      <c r="L5" s="104"/>
      <c r="M5" s="103"/>
      <c r="N5" s="103"/>
      <c r="O5" s="103"/>
      <c r="P5" s="103"/>
      <c r="Q5" s="98" t="s">
        <v>236</v>
      </c>
      <c r="BA5" s="103"/>
      <c r="BB5" s="105" t="str">
        <f ca="1">判断表!C26</f>
        <v>中煤第五建设有限公司第三工程处拟处置实物资产项目\[0000-3基础法明细表.xlsx]其他应收-利息</v>
      </c>
      <c r="BC5" s="106">
        <f>IFERROR(SUMIF(BC7:BC26,"√",M7:M26)/M27,0)</f>
        <v>0</v>
      </c>
      <c r="BD5" s="107"/>
      <c r="BE5" s="107"/>
      <c r="BF5" s="284">
        <f>分类汇总!I16</f>
        <v>0</v>
      </c>
      <c r="BG5" s="284">
        <f>分类汇总!K16</f>
        <v>0</v>
      </c>
      <c r="BO5" s="111"/>
      <c r="BQ5" s="78"/>
      <c r="BV5" s="194"/>
      <c r="BW5" s="111"/>
    </row>
    <row r="6" s="72" customFormat="1" ht="25.2" customHeight="1" spans="1:75">
      <c r="A6" s="112" t="s">
        <v>305</v>
      </c>
      <c r="B6" s="113" t="s">
        <v>1960</v>
      </c>
      <c r="C6" s="113" t="s">
        <v>1961</v>
      </c>
      <c r="D6" s="114" t="s">
        <v>1631</v>
      </c>
      <c r="E6" s="115" t="s">
        <v>1632</v>
      </c>
      <c r="F6" s="116" t="s">
        <v>2090</v>
      </c>
      <c r="G6" s="115" t="s">
        <v>1633</v>
      </c>
      <c r="H6" s="113" t="s">
        <v>2091</v>
      </c>
      <c r="I6" s="113" t="s">
        <v>2092</v>
      </c>
      <c r="J6" s="113" t="s">
        <v>2093</v>
      </c>
      <c r="K6" s="113" t="s">
        <v>1549</v>
      </c>
      <c r="L6" s="117" t="s">
        <v>1634</v>
      </c>
      <c r="M6" s="113" t="s">
        <v>1523</v>
      </c>
      <c r="N6" s="113" t="s">
        <v>1550</v>
      </c>
      <c r="O6" s="113" t="s">
        <v>1525</v>
      </c>
      <c r="P6" s="113" t="s">
        <v>1551</v>
      </c>
      <c r="Q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19"/>
      <c r="BP6" s="120" t="s">
        <v>1645</v>
      </c>
      <c r="BQ6" s="121" t="s">
        <v>1646</v>
      </c>
      <c r="BR6" s="121" t="s">
        <v>1647</v>
      </c>
      <c r="BS6" s="121" t="s">
        <v>1648</v>
      </c>
      <c r="BT6" s="121" t="s">
        <v>1647</v>
      </c>
      <c r="BU6" s="121" t="s">
        <v>1647</v>
      </c>
      <c r="BV6" s="121" t="s">
        <v>1649</v>
      </c>
      <c r="BW6" s="122" t="s">
        <v>1650</v>
      </c>
    </row>
    <row r="7" ht="15" customHeight="1" spans="1:75">
      <c r="A7" s="123" t="str">
        <f>IF(B7="","",COUNT(A$6:A6)+1)</f>
        <v/>
      </c>
      <c r="B7" s="124"/>
      <c r="C7" s="125"/>
      <c r="D7" s="127"/>
      <c r="E7" s="127" t="str">
        <f>IFERROR(VLOOKUP(D7,参数表!$H$2:$I$50,2,FALSE),"")</f>
        <v/>
      </c>
      <c r="F7" s="128" t="str">
        <f>IFERROR(IF(OR(D7="人民币",D7=""),"",H7/E7),"")</f>
        <v/>
      </c>
      <c r="G7" s="128" t="str">
        <f>IFERROR(IF(OR(D7="人民币",D7=""),"",M7/E7),"")</f>
        <v/>
      </c>
      <c r="H7" s="129"/>
      <c r="I7" s="126"/>
      <c r="J7" s="225"/>
      <c r="K7" s="129"/>
      <c r="L7" s="130"/>
      <c r="M7" s="129" t="str">
        <f>IF(B7="","",K7+L7)</f>
        <v/>
      </c>
      <c r="N7" s="129" t="str">
        <f t="shared" ref="N7:N26" si="0">IF(B7="","",IF($BB$3="是",M7,""))</f>
        <v/>
      </c>
      <c r="O7" s="129" t="str">
        <f>IFERROR(N7-M7,"")</f>
        <v/>
      </c>
      <c r="P7" s="129" t="str">
        <f>IFERROR(O7/M7*100,"")</f>
        <v/>
      </c>
      <c r="Q7" s="131"/>
      <c r="BA7" s="78"/>
      <c r="BB7" s="132" t="s">
        <v>2094</v>
      </c>
      <c r="BC7" s="133"/>
      <c r="BD7" s="132" t="str">
        <f>IF(OR(B7="",BC7=""),"",COUNTIF(BC$7:BC7,"√"))</f>
        <v/>
      </c>
      <c r="BE7" s="134" t="str">
        <f t="shared" ref="BE7:BE26" si="1">IF(BC7="","",BB7&amp;"︱"&amp;B7&amp;"︱"&amp;TEXT(K7,"#,##0.00"))</f>
        <v/>
      </c>
      <c r="BF7" s="135" t="str">
        <f>IF($B7="","",IF(BF$5=0,"OK","出错"))</f>
        <v/>
      </c>
      <c r="BG7" s="135" t="str">
        <f>IF($B7="","",IF(BG$5=0,"OK","出错"))</f>
        <v/>
      </c>
      <c r="BH7" s="136"/>
      <c r="BI7" s="136"/>
      <c r="BJ7" s="136"/>
      <c r="BK7" s="136"/>
      <c r="BL7" s="136"/>
      <c r="BM7" s="137"/>
      <c r="BN7" s="137"/>
      <c r="BP7" s="134" t="str">
        <f>IF(COUNTIF(BP$6:BP6,B7)&gt;0,"",B7)&amp;""</f>
        <v/>
      </c>
      <c r="BQ7" s="138">
        <f>SUMIF(B$7:B$26,BP7,M$7:M$26)</f>
        <v>0</v>
      </c>
      <c r="BR7" s="132">
        <f t="shared" ref="BR7" si="2">RANK(BQ7,BQ$7:BQ$26)</f>
        <v>1</v>
      </c>
      <c r="BS7" s="138">
        <f>SUMIF(B$7:B$26,BP7,N$7:N$26)</f>
        <v>0</v>
      </c>
      <c r="BT7" s="132">
        <f>RANK(BS7,BS$7:BS$26)</f>
        <v>1</v>
      </c>
      <c r="BU7" s="138">
        <f>SUM(BQ7:BQ26)</f>
        <v>0</v>
      </c>
      <c r="BV7" s="138"/>
      <c r="BW7" s="138"/>
    </row>
    <row r="8" ht="15" customHeight="1" spans="1:75">
      <c r="A8" s="123" t="str">
        <f>IF(B8="","",COUNT(A$6:A7)+1)</f>
        <v/>
      </c>
      <c r="B8" s="139"/>
      <c r="C8" s="140"/>
      <c r="D8" s="142"/>
      <c r="E8" s="127" t="str">
        <f>IFERROR(VLOOKUP(D8,参数表!$H$2:$I$50,2,FALSE),"")</f>
        <v/>
      </c>
      <c r="F8" s="128" t="str">
        <f t="shared" ref="F8:F26" si="3">IFERROR(IF(OR(D8="人民币",D8=""),"",H8/E8),"")</f>
        <v/>
      </c>
      <c r="G8" s="128" t="str">
        <f t="shared" ref="G8:G26" si="4">IFERROR(IF(OR(D8="人民币",D8=""),"",M8/E8),"")</f>
        <v/>
      </c>
      <c r="H8" s="143"/>
      <c r="I8" s="141"/>
      <c r="J8" s="255"/>
      <c r="K8" s="143"/>
      <c r="L8" s="144"/>
      <c r="M8" s="129" t="str">
        <f t="shared" ref="M8:M26" si="5">IF(B8="","",K8+L8)</f>
        <v/>
      </c>
      <c r="N8" s="129" t="str">
        <f t="shared" si="0"/>
        <v/>
      </c>
      <c r="O8" s="129" t="str">
        <f t="shared" ref="O8:O27" si="6">IFERROR(N8-M8,"")</f>
        <v/>
      </c>
      <c r="P8" s="129" t="str">
        <f t="shared" ref="P8:P27" si="7">IFERROR(O8/M8*100,"")</f>
        <v/>
      </c>
      <c r="Q8" s="145"/>
      <c r="BA8" s="78"/>
      <c r="BB8" s="132" t="s">
        <v>2095</v>
      </c>
      <c r="BC8" s="133"/>
      <c r="BD8" s="132" t="str">
        <f>IF(OR(B8="",BC8=""),"",COUNTIF(BC$7:BC8,"√"))</f>
        <v/>
      </c>
      <c r="BE8" s="134" t="str">
        <f t="shared" si="1"/>
        <v/>
      </c>
      <c r="BF8" s="135" t="str">
        <f t="shared" ref="BF8:BG26" si="8">IF($B8="","",IF(BF$5=0,"OK","出错"))</f>
        <v/>
      </c>
      <c r="BG8" s="135" t="str">
        <f t="shared" si="8"/>
        <v/>
      </c>
      <c r="BH8" s="136"/>
      <c r="BI8" s="136"/>
      <c r="BJ8" s="136"/>
      <c r="BK8" s="136"/>
      <c r="BL8" s="136"/>
      <c r="BM8" s="137"/>
      <c r="BN8" s="137"/>
      <c r="BP8" s="134" t="str">
        <f>IF(COUNTIF(BP$6:BP7,B8)&gt;0,"",B8)&amp;""</f>
        <v/>
      </c>
      <c r="BQ8" s="138">
        <f t="shared" ref="BQ8:BQ26" si="9">SUMIF(B$7:B$26,BP8,M$7:M$26)</f>
        <v>0</v>
      </c>
      <c r="BR8" s="132">
        <f t="shared" ref="BR8:BR26" si="10">RANK(BQ8,BQ$7:BQ$26)</f>
        <v>1</v>
      </c>
      <c r="BS8" s="138">
        <f t="shared" ref="BS8:BS26" si="11">SUMIF(B$7:B$26,BP8,N$7:N$26)</f>
        <v>0</v>
      </c>
      <c r="BT8" s="132">
        <f t="shared" ref="BT8:BT26" si="12">RANK(BS8,BS$7:BS$26)</f>
        <v>1</v>
      </c>
      <c r="BU8" s="138">
        <f>SUM(BS7:BS26)</f>
        <v>0</v>
      </c>
      <c r="BV8" s="138"/>
      <c r="BW8" s="138"/>
    </row>
    <row r="9" ht="15" customHeight="1" spans="1:75">
      <c r="A9" s="123" t="str">
        <f>IF(B9="","",COUNT(A$6:A8)+1)</f>
        <v/>
      </c>
      <c r="B9" s="139"/>
      <c r="C9" s="140"/>
      <c r="D9" s="142"/>
      <c r="E9" s="127" t="str">
        <f>IFERROR(VLOOKUP(D9,参数表!$H$2:$I$50,2,FALSE),"")</f>
        <v/>
      </c>
      <c r="F9" s="128" t="str">
        <f t="shared" si="3"/>
        <v/>
      </c>
      <c r="G9" s="128" t="str">
        <f t="shared" si="4"/>
        <v/>
      </c>
      <c r="H9" s="143"/>
      <c r="I9" s="141"/>
      <c r="J9" s="255"/>
      <c r="K9" s="143"/>
      <c r="L9" s="144"/>
      <c r="M9" s="129" t="str">
        <f t="shared" si="5"/>
        <v/>
      </c>
      <c r="N9" s="129" t="str">
        <f t="shared" si="0"/>
        <v/>
      </c>
      <c r="O9" s="129" t="str">
        <f t="shared" si="6"/>
        <v/>
      </c>
      <c r="P9" s="129" t="str">
        <f t="shared" si="7"/>
        <v/>
      </c>
      <c r="Q9" s="145"/>
      <c r="BA9" s="78"/>
      <c r="BB9" s="132" t="s">
        <v>2096</v>
      </c>
      <c r="BC9" s="133"/>
      <c r="BD9" s="132" t="str">
        <f>IF(OR(B9="",BC9=""),"",COUNTIF(BC$7:BC9,"√"))</f>
        <v/>
      </c>
      <c r="BE9" s="134" t="str">
        <f t="shared" si="1"/>
        <v/>
      </c>
      <c r="BF9" s="135" t="str">
        <f t="shared" si="8"/>
        <v/>
      </c>
      <c r="BG9" s="135" t="str">
        <f t="shared" si="8"/>
        <v/>
      </c>
      <c r="BH9" s="136"/>
      <c r="BI9" s="136"/>
      <c r="BJ9" s="136"/>
      <c r="BK9" s="136"/>
      <c r="BL9" s="136"/>
      <c r="BM9" s="137"/>
      <c r="BN9" s="137"/>
      <c r="BP9" s="134" t="str">
        <f>IF(COUNTIF(BP$6:BP8,B9)&gt;0,"",B9)&amp;""</f>
        <v/>
      </c>
      <c r="BQ9" s="138">
        <f t="shared" si="9"/>
        <v>0</v>
      </c>
      <c r="BR9" s="132">
        <f t="shared" si="10"/>
        <v>1</v>
      </c>
      <c r="BS9" s="138">
        <f t="shared" si="11"/>
        <v>0</v>
      </c>
      <c r="BT9" s="132">
        <f t="shared" si="12"/>
        <v>1</v>
      </c>
      <c r="BU9" s="132">
        <v>1</v>
      </c>
      <c r="BV9" s="134" t="str">
        <f>IFERROR(INDEX(BP$7:BP$26,MATCH(BU9,IF(BU$7=0,BT$7:BT$26,BR$7:BR$26),0))&amp;"","")</f>
        <v/>
      </c>
      <c r="BW9" s="146" t="str">
        <f>IF(BV10="","",IF(BV11="","和","、"))</f>
        <v/>
      </c>
    </row>
    <row r="10" ht="15" customHeight="1" spans="1:75">
      <c r="A10" s="123" t="str">
        <f>IF(B10="","",COUNT(A$6:A9)+1)</f>
        <v/>
      </c>
      <c r="B10" s="139"/>
      <c r="C10" s="140"/>
      <c r="D10" s="142"/>
      <c r="E10" s="127" t="str">
        <f>IFERROR(VLOOKUP(D10,参数表!$H$2:$I$50,2,FALSE),"")</f>
        <v/>
      </c>
      <c r="F10" s="128" t="str">
        <f t="shared" si="3"/>
        <v/>
      </c>
      <c r="G10" s="128" t="str">
        <f t="shared" si="4"/>
        <v/>
      </c>
      <c r="H10" s="143"/>
      <c r="I10" s="141"/>
      <c r="J10" s="255"/>
      <c r="K10" s="143"/>
      <c r="L10" s="144"/>
      <c r="M10" s="129" t="str">
        <f t="shared" si="5"/>
        <v/>
      </c>
      <c r="N10" s="129" t="str">
        <f t="shared" si="0"/>
        <v/>
      </c>
      <c r="O10" s="129" t="str">
        <f t="shared" si="6"/>
        <v/>
      </c>
      <c r="P10" s="129" t="str">
        <f t="shared" si="7"/>
        <v/>
      </c>
      <c r="Q10" s="145"/>
      <c r="BA10" s="78"/>
      <c r="BB10" s="132" t="s">
        <v>2097</v>
      </c>
      <c r="BC10" s="133"/>
      <c r="BD10" s="132" t="str">
        <f>IF(OR(B10="",BC10=""),"",COUNTIF(BC$7:BC10,"√"))</f>
        <v/>
      </c>
      <c r="BE10" s="134" t="str">
        <f t="shared" si="1"/>
        <v/>
      </c>
      <c r="BF10" s="135" t="str">
        <f t="shared" si="8"/>
        <v/>
      </c>
      <c r="BG10" s="135" t="str">
        <f t="shared" si="8"/>
        <v/>
      </c>
      <c r="BH10" s="136"/>
      <c r="BI10" s="136"/>
      <c r="BJ10" s="136"/>
      <c r="BK10" s="136"/>
      <c r="BL10" s="136"/>
      <c r="BM10" s="137"/>
      <c r="BN10" s="137"/>
      <c r="BP10" s="134" t="str">
        <f>IF(COUNTIF(BP$6:BP9,B10)&gt;0,"",B10)&amp;""</f>
        <v/>
      </c>
      <c r="BQ10" s="138">
        <f t="shared" si="9"/>
        <v>0</v>
      </c>
      <c r="BR10" s="132">
        <f t="shared" si="10"/>
        <v>1</v>
      </c>
      <c r="BS10" s="138">
        <f t="shared" si="11"/>
        <v>0</v>
      </c>
      <c r="BT10" s="132">
        <f t="shared" si="12"/>
        <v>1</v>
      </c>
      <c r="BU10" s="132">
        <v>2</v>
      </c>
      <c r="BV10" s="134" t="str">
        <f t="shared" ref="BV10:BV13" si="13">IFERROR(INDEX(BP$7:BP$26,MATCH(BU10,IF(BU$7=0,BT$7:BT$26,BR$7:BR$26),0))&amp;"","")</f>
        <v/>
      </c>
      <c r="BW10" s="146" t="str">
        <f t="shared" ref="BW10:BW11" si="14">IF(BV11="","",IF(BV12="","和","、"))</f>
        <v/>
      </c>
    </row>
    <row r="11" ht="15" customHeight="1" spans="1:75">
      <c r="A11" s="123" t="str">
        <f>IF(B11="","",COUNT(A$6:A10)+1)</f>
        <v/>
      </c>
      <c r="B11" s="139"/>
      <c r="C11" s="140"/>
      <c r="D11" s="142"/>
      <c r="E11" s="127" t="str">
        <f>IFERROR(VLOOKUP(D11,参数表!$H$2:$I$50,2,FALSE),"")</f>
        <v/>
      </c>
      <c r="F11" s="128" t="str">
        <f t="shared" si="3"/>
        <v/>
      </c>
      <c r="G11" s="128" t="str">
        <f t="shared" si="4"/>
        <v/>
      </c>
      <c r="H11" s="143"/>
      <c r="I11" s="141"/>
      <c r="J11" s="255"/>
      <c r="K11" s="143"/>
      <c r="L11" s="144"/>
      <c r="M11" s="129" t="str">
        <f t="shared" si="5"/>
        <v/>
      </c>
      <c r="N11" s="129" t="str">
        <f t="shared" si="0"/>
        <v/>
      </c>
      <c r="O11" s="129" t="str">
        <f t="shared" si="6"/>
        <v/>
      </c>
      <c r="P11" s="129" t="str">
        <f t="shared" si="7"/>
        <v/>
      </c>
      <c r="Q11" s="145"/>
      <c r="BA11" s="78"/>
      <c r="BB11" s="132" t="s">
        <v>2098</v>
      </c>
      <c r="BC11" s="133"/>
      <c r="BD11" s="132" t="str">
        <f>IF(OR(B11="",BC11=""),"",COUNTIF(BC$7:BC11,"√"))</f>
        <v/>
      </c>
      <c r="BE11" s="134" t="str">
        <f t="shared" si="1"/>
        <v/>
      </c>
      <c r="BF11" s="135" t="str">
        <f t="shared" si="8"/>
        <v/>
      </c>
      <c r="BG11" s="135" t="str">
        <f t="shared" si="8"/>
        <v/>
      </c>
      <c r="BH11" s="136"/>
      <c r="BI11" s="136"/>
      <c r="BJ11" s="136"/>
      <c r="BK11" s="136"/>
      <c r="BL11" s="136"/>
      <c r="BM11" s="137"/>
      <c r="BN11" s="137"/>
      <c r="BP11" s="134" t="str">
        <f>IF(COUNTIF(BP$6:BP10,B11)&gt;0,"",B11)&amp;""</f>
        <v/>
      </c>
      <c r="BQ11" s="138">
        <f t="shared" si="9"/>
        <v>0</v>
      </c>
      <c r="BR11" s="132">
        <f t="shared" si="10"/>
        <v>1</v>
      </c>
      <c r="BS11" s="138">
        <f t="shared" si="11"/>
        <v>0</v>
      </c>
      <c r="BT11" s="132">
        <f t="shared" si="12"/>
        <v>1</v>
      </c>
      <c r="BU11" s="132">
        <v>3</v>
      </c>
      <c r="BV11" s="134" t="str">
        <f t="shared" si="13"/>
        <v/>
      </c>
      <c r="BW11" s="146" t="str">
        <f t="shared" si="14"/>
        <v/>
      </c>
    </row>
    <row r="12" ht="15" customHeight="1" spans="1:75">
      <c r="A12" s="123" t="str">
        <f>IF(B12="","",COUNT(A$6:A11)+1)</f>
        <v/>
      </c>
      <c r="B12" s="139"/>
      <c r="C12" s="140"/>
      <c r="D12" s="142"/>
      <c r="E12" s="127" t="str">
        <f>IFERROR(VLOOKUP(D12,参数表!$H$2:$I$50,2,FALSE),"")</f>
        <v/>
      </c>
      <c r="F12" s="128" t="str">
        <f t="shared" si="3"/>
        <v/>
      </c>
      <c r="G12" s="128" t="str">
        <f t="shared" si="4"/>
        <v/>
      </c>
      <c r="H12" s="143"/>
      <c r="I12" s="141"/>
      <c r="J12" s="255"/>
      <c r="K12" s="143"/>
      <c r="L12" s="144"/>
      <c r="M12" s="129" t="str">
        <f t="shared" si="5"/>
        <v/>
      </c>
      <c r="N12" s="129" t="str">
        <f t="shared" si="0"/>
        <v/>
      </c>
      <c r="O12" s="129" t="str">
        <f t="shared" si="6"/>
        <v/>
      </c>
      <c r="P12" s="129" t="str">
        <f t="shared" si="7"/>
        <v/>
      </c>
      <c r="Q12" s="145"/>
      <c r="BA12" s="78"/>
      <c r="BB12" s="132" t="s">
        <v>2099</v>
      </c>
      <c r="BC12" s="133"/>
      <c r="BD12" s="132" t="str">
        <f>IF(OR(B12="",BC12=""),"",COUNTIF(BC$7:BC12,"√"))</f>
        <v/>
      </c>
      <c r="BE12" s="134" t="str">
        <f t="shared" si="1"/>
        <v/>
      </c>
      <c r="BF12" s="135" t="str">
        <f t="shared" si="8"/>
        <v/>
      </c>
      <c r="BG12" s="135" t="str">
        <f t="shared" si="8"/>
        <v/>
      </c>
      <c r="BH12" s="136"/>
      <c r="BI12" s="136"/>
      <c r="BJ12" s="136"/>
      <c r="BK12" s="136"/>
      <c r="BL12" s="136"/>
      <c r="BM12" s="137"/>
      <c r="BN12" s="137"/>
      <c r="BP12" s="134" t="str">
        <f>IF(COUNTIF(BP$6:BP11,B12)&gt;0,"",B12)&amp;""</f>
        <v/>
      </c>
      <c r="BQ12" s="138">
        <f t="shared" si="9"/>
        <v>0</v>
      </c>
      <c r="BR12" s="132">
        <f t="shared" si="10"/>
        <v>1</v>
      </c>
      <c r="BS12" s="138">
        <f t="shared" si="11"/>
        <v>0</v>
      </c>
      <c r="BT12" s="132">
        <f t="shared" si="12"/>
        <v>1</v>
      </c>
      <c r="BU12" s="132">
        <v>4</v>
      </c>
      <c r="BV12" s="134" t="str">
        <f t="shared" si="13"/>
        <v/>
      </c>
      <c r="BW12" s="146" t="str">
        <f>IF(BV13="","","和")</f>
        <v/>
      </c>
    </row>
    <row r="13" ht="15" customHeight="1" spans="1:75">
      <c r="A13" s="123" t="str">
        <f>IF(B13="","",COUNT(A$6:A12)+1)</f>
        <v/>
      </c>
      <c r="B13" s="139"/>
      <c r="C13" s="140"/>
      <c r="D13" s="142"/>
      <c r="E13" s="127" t="str">
        <f>IFERROR(VLOOKUP(D13,参数表!$H$2:$I$50,2,FALSE),"")</f>
        <v/>
      </c>
      <c r="F13" s="128" t="str">
        <f t="shared" si="3"/>
        <v/>
      </c>
      <c r="G13" s="128" t="str">
        <f t="shared" si="4"/>
        <v/>
      </c>
      <c r="H13" s="143"/>
      <c r="I13" s="141"/>
      <c r="J13" s="255"/>
      <c r="K13" s="143"/>
      <c r="L13" s="144"/>
      <c r="M13" s="129" t="str">
        <f t="shared" si="5"/>
        <v/>
      </c>
      <c r="N13" s="129" t="str">
        <f t="shared" si="0"/>
        <v/>
      </c>
      <c r="O13" s="129" t="str">
        <f t="shared" si="6"/>
        <v/>
      </c>
      <c r="P13" s="129" t="str">
        <f t="shared" si="7"/>
        <v/>
      </c>
      <c r="Q13" s="145"/>
      <c r="BA13" s="78"/>
      <c r="BB13" s="132" t="s">
        <v>2100</v>
      </c>
      <c r="BC13" s="133"/>
      <c r="BD13" s="132" t="str">
        <f>IF(OR(B13="",BC13=""),"",COUNTIF(BC$7:BC13,"√"))</f>
        <v/>
      </c>
      <c r="BE13" s="134" t="str">
        <f t="shared" si="1"/>
        <v/>
      </c>
      <c r="BF13" s="135" t="str">
        <f t="shared" si="8"/>
        <v/>
      </c>
      <c r="BG13" s="135" t="str">
        <f t="shared" si="8"/>
        <v/>
      </c>
      <c r="BH13" s="136"/>
      <c r="BI13" s="136"/>
      <c r="BJ13" s="136"/>
      <c r="BK13" s="136"/>
      <c r="BL13" s="136"/>
      <c r="BM13" s="137"/>
      <c r="BN13" s="137"/>
      <c r="BP13" s="134" t="str">
        <f>IF(COUNTIF(BP$6:BP12,B13)&gt;0,"",B13)&amp;""</f>
        <v/>
      </c>
      <c r="BQ13" s="138">
        <f t="shared" si="9"/>
        <v>0</v>
      </c>
      <c r="BR13" s="132">
        <f t="shared" si="10"/>
        <v>1</v>
      </c>
      <c r="BS13" s="138">
        <f t="shared" si="11"/>
        <v>0</v>
      </c>
      <c r="BT13" s="132">
        <f t="shared" si="12"/>
        <v>1</v>
      </c>
      <c r="BU13" s="132">
        <v>5</v>
      </c>
      <c r="BV13" s="134" t="str">
        <f t="shared" si="13"/>
        <v/>
      </c>
      <c r="BW13" s="146"/>
    </row>
    <row r="14" ht="15" customHeight="1" spans="1:75">
      <c r="A14" s="123" t="str">
        <f>IF(B14="","",COUNT(A$6:A13)+1)</f>
        <v/>
      </c>
      <c r="B14" s="139"/>
      <c r="C14" s="140"/>
      <c r="D14" s="142"/>
      <c r="E14" s="127" t="str">
        <f>IFERROR(VLOOKUP(D14,参数表!$H$2:$I$50,2,FALSE),"")</f>
        <v/>
      </c>
      <c r="F14" s="128" t="str">
        <f t="shared" si="3"/>
        <v/>
      </c>
      <c r="G14" s="128" t="str">
        <f t="shared" si="4"/>
        <v/>
      </c>
      <c r="H14" s="143"/>
      <c r="I14" s="141"/>
      <c r="J14" s="255"/>
      <c r="K14" s="143"/>
      <c r="L14" s="144"/>
      <c r="M14" s="129" t="str">
        <f t="shared" si="5"/>
        <v/>
      </c>
      <c r="N14" s="129" t="str">
        <f t="shared" si="0"/>
        <v/>
      </c>
      <c r="O14" s="129" t="str">
        <f t="shared" si="6"/>
        <v/>
      </c>
      <c r="P14" s="129" t="str">
        <f t="shared" si="7"/>
        <v/>
      </c>
      <c r="Q14" s="145"/>
      <c r="BA14" s="78"/>
      <c r="BB14" s="132" t="s">
        <v>2101</v>
      </c>
      <c r="BC14" s="133"/>
      <c r="BD14" s="132" t="str">
        <f>IF(OR(B14="",BC14=""),"",COUNTIF(BC$7:BC14,"√"))</f>
        <v/>
      </c>
      <c r="BE14" s="134" t="str">
        <f t="shared" si="1"/>
        <v/>
      </c>
      <c r="BF14" s="135" t="str">
        <f t="shared" si="8"/>
        <v/>
      </c>
      <c r="BG14" s="135" t="str">
        <f t="shared" si="8"/>
        <v/>
      </c>
      <c r="BH14" s="136"/>
      <c r="BI14" s="136"/>
      <c r="BJ14" s="136"/>
      <c r="BK14" s="136"/>
      <c r="BL14" s="136"/>
      <c r="BM14" s="137"/>
      <c r="BN14" s="137"/>
      <c r="BP14" s="134" t="str">
        <f>IF(COUNTIF(BP$6:BP13,B14)&gt;0,"",B14)&amp;""</f>
        <v/>
      </c>
      <c r="BQ14" s="138">
        <f t="shared" si="9"/>
        <v>0</v>
      </c>
      <c r="BR14" s="132">
        <f t="shared" si="10"/>
        <v>1</v>
      </c>
      <c r="BS14" s="138">
        <f t="shared" si="11"/>
        <v>0</v>
      </c>
      <c r="BT14" s="132">
        <f t="shared" si="12"/>
        <v>1</v>
      </c>
      <c r="BU14" s="147" t="s">
        <v>1659</v>
      </c>
      <c r="BV14" s="132" t="str">
        <f>CONCATENATE(BV9,BW9,BV10,BW10,BV11,BW11,BV12,BW12,BV13)</f>
        <v/>
      </c>
      <c r="BW14" s="132"/>
    </row>
    <row r="15" ht="15" customHeight="1" spans="1:75">
      <c r="A15" s="123" t="str">
        <f>IF(B15="","",COUNT(A$6:A14)+1)</f>
        <v/>
      </c>
      <c r="B15" s="139"/>
      <c r="C15" s="140"/>
      <c r="D15" s="142"/>
      <c r="E15" s="127" t="str">
        <f>IFERROR(VLOOKUP(D15,参数表!$H$2:$I$50,2,FALSE),"")</f>
        <v/>
      </c>
      <c r="F15" s="128" t="str">
        <f t="shared" si="3"/>
        <v/>
      </c>
      <c r="G15" s="128" t="str">
        <f t="shared" si="4"/>
        <v/>
      </c>
      <c r="H15" s="143"/>
      <c r="I15" s="141"/>
      <c r="J15" s="255"/>
      <c r="K15" s="143"/>
      <c r="L15" s="144"/>
      <c r="M15" s="129" t="str">
        <f t="shared" si="5"/>
        <v/>
      </c>
      <c r="N15" s="129" t="str">
        <f t="shared" si="0"/>
        <v/>
      </c>
      <c r="O15" s="129" t="str">
        <f t="shared" si="6"/>
        <v/>
      </c>
      <c r="P15" s="129" t="str">
        <f t="shared" si="7"/>
        <v/>
      </c>
      <c r="Q15" s="145"/>
      <c r="BA15" s="78"/>
      <c r="BB15" s="132" t="s">
        <v>2102</v>
      </c>
      <c r="BC15" s="133"/>
      <c r="BD15" s="132" t="str">
        <f>IF(OR(B15="",BC15=""),"",COUNTIF(BC$7:BC15,"√"))</f>
        <v/>
      </c>
      <c r="BE15" s="134" t="str">
        <f t="shared" si="1"/>
        <v/>
      </c>
      <c r="BF15" s="135" t="str">
        <f t="shared" si="8"/>
        <v/>
      </c>
      <c r="BG15" s="135" t="str">
        <f t="shared" si="8"/>
        <v/>
      </c>
      <c r="BH15" s="136"/>
      <c r="BI15" s="136"/>
      <c r="BJ15" s="136"/>
      <c r="BK15" s="136"/>
      <c r="BL15" s="136"/>
      <c r="BM15" s="137"/>
      <c r="BN15" s="137"/>
      <c r="BP15" s="134" t="str">
        <f>IF(COUNTIF(BP$6:BP14,B15)&gt;0,"",B15)&amp;""</f>
        <v/>
      </c>
      <c r="BQ15" s="138">
        <f t="shared" si="9"/>
        <v>0</v>
      </c>
      <c r="BR15" s="132">
        <f t="shared" si="10"/>
        <v>1</v>
      </c>
      <c r="BS15" s="138">
        <f t="shared" si="11"/>
        <v>0</v>
      </c>
      <c r="BT15" s="132">
        <f t="shared" si="12"/>
        <v>1</v>
      </c>
      <c r="BU15" s="133"/>
      <c r="BV15" s="133"/>
    </row>
    <row r="16" ht="15" customHeight="1" spans="1:75">
      <c r="A16" s="123" t="str">
        <f>IF(B16="","",COUNT(A$6:A15)+1)</f>
        <v/>
      </c>
      <c r="B16" s="139"/>
      <c r="C16" s="140"/>
      <c r="D16" s="142"/>
      <c r="E16" s="127" t="str">
        <f>IFERROR(VLOOKUP(D16,参数表!$H$2:$I$50,2,FALSE),"")</f>
        <v/>
      </c>
      <c r="F16" s="128" t="str">
        <f t="shared" si="3"/>
        <v/>
      </c>
      <c r="G16" s="128" t="str">
        <f t="shared" si="4"/>
        <v/>
      </c>
      <c r="H16" s="143"/>
      <c r="I16" s="141"/>
      <c r="J16" s="255"/>
      <c r="K16" s="143"/>
      <c r="L16" s="144"/>
      <c r="M16" s="129" t="str">
        <f t="shared" si="5"/>
        <v/>
      </c>
      <c r="N16" s="129" t="str">
        <f t="shared" si="0"/>
        <v/>
      </c>
      <c r="O16" s="129" t="str">
        <f t="shared" si="6"/>
        <v/>
      </c>
      <c r="P16" s="129" t="str">
        <f t="shared" si="7"/>
        <v/>
      </c>
      <c r="Q16" s="145"/>
      <c r="BA16" s="78"/>
      <c r="BB16" s="132" t="s">
        <v>2103</v>
      </c>
      <c r="BC16" s="133"/>
      <c r="BD16" s="132" t="str">
        <f>IF(OR(B16="",BC16=""),"",COUNTIF(BC$7:BC16,"√"))</f>
        <v/>
      </c>
      <c r="BE16" s="134" t="str">
        <f t="shared" si="1"/>
        <v/>
      </c>
      <c r="BF16" s="135" t="str">
        <f t="shared" si="8"/>
        <v/>
      </c>
      <c r="BG16" s="135" t="str">
        <f t="shared" si="8"/>
        <v/>
      </c>
      <c r="BH16" s="136"/>
      <c r="BI16" s="136"/>
      <c r="BJ16" s="136"/>
      <c r="BK16" s="136"/>
      <c r="BL16" s="136"/>
      <c r="BM16" s="137"/>
      <c r="BN16" s="137"/>
      <c r="BP16" s="134" t="str">
        <f>IF(COUNTIF(BP$6:BP15,B16)&gt;0,"",B16)&amp;""</f>
        <v/>
      </c>
      <c r="BQ16" s="138">
        <f t="shared" si="9"/>
        <v>0</v>
      </c>
      <c r="BR16" s="132">
        <f t="shared" si="10"/>
        <v>1</v>
      </c>
      <c r="BS16" s="138">
        <f t="shared" si="11"/>
        <v>0</v>
      </c>
      <c r="BT16" s="132">
        <f t="shared" si="12"/>
        <v>1</v>
      </c>
      <c r="BU16" s="133"/>
      <c r="BV16" s="148"/>
    </row>
    <row r="17" ht="15" customHeight="1" spans="1:75">
      <c r="A17" s="123" t="str">
        <f>IF(B17="","",COUNT(A$6:A16)+1)</f>
        <v/>
      </c>
      <c r="B17" s="139"/>
      <c r="C17" s="140"/>
      <c r="D17" s="142"/>
      <c r="E17" s="127" t="str">
        <f>IFERROR(VLOOKUP(D17,参数表!$H$2:$I$50,2,FALSE),"")</f>
        <v/>
      </c>
      <c r="F17" s="128" t="str">
        <f t="shared" si="3"/>
        <v/>
      </c>
      <c r="G17" s="128" t="str">
        <f t="shared" si="4"/>
        <v/>
      </c>
      <c r="H17" s="143"/>
      <c r="I17" s="141"/>
      <c r="J17" s="255"/>
      <c r="K17" s="143"/>
      <c r="L17" s="144"/>
      <c r="M17" s="129" t="str">
        <f t="shared" si="5"/>
        <v/>
      </c>
      <c r="N17" s="129" t="str">
        <f t="shared" si="0"/>
        <v/>
      </c>
      <c r="O17" s="129" t="str">
        <f t="shared" si="6"/>
        <v/>
      </c>
      <c r="P17" s="129" t="str">
        <f t="shared" si="7"/>
        <v/>
      </c>
      <c r="Q17" s="145"/>
      <c r="BA17" s="78"/>
      <c r="BB17" s="132" t="s">
        <v>2104</v>
      </c>
      <c r="BC17" s="133"/>
      <c r="BD17" s="132" t="str">
        <f>IF(OR(B17="",BC17=""),"",COUNTIF(BC$7:BC17,"√"))</f>
        <v/>
      </c>
      <c r="BE17" s="134" t="str">
        <f t="shared" si="1"/>
        <v/>
      </c>
      <c r="BF17" s="135" t="str">
        <f t="shared" si="8"/>
        <v/>
      </c>
      <c r="BG17" s="135" t="str">
        <f t="shared" si="8"/>
        <v/>
      </c>
      <c r="BH17" s="136"/>
      <c r="BI17" s="136"/>
      <c r="BJ17" s="136"/>
      <c r="BK17" s="136"/>
      <c r="BL17" s="136"/>
      <c r="BM17" s="137"/>
      <c r="BN17" s="137"/>
      <c r="BP17" s="134" t="str">
        <f>IF(COUNTIF(BP$6:BP16,B17)&gt;0,"",B17)&amp;""</f>
        <v/>
      </c>
      <c r="BQ17" s="138">
        <f t="shared" si="9"/>
        <v>0</v>
      </c>
      <c r="BR17" s="132">
        <f t="shared" si="10"/>
        <v>1</v>
      </c>
      <c r="BS17" s="138">
        <f t="shared" si="11"/>
        <v>0</v>
      </c>
      <c r="BT17" s="132">
        <f t="shared" si="12"/>
        <v>1</v>
      </c>
      <c r="BU17" s="133"/>
      <c r="BV17" s="133"/>
    </row>
    <row r="18" ht="15" customHeight="1" spans="1:75">
      <c r="A18" s="123" t="str">
        <f>IF(B18="","",COUNT(A$6:A17)+1)</f>
        <v/>
      </c>
      <c r="B18" s="139"/>
      <c r="C18" s="140"/>
      <c r="D18" s="142"/>
      <c r="E18" s="127" t="str">
        <f>IFERROR(VLOOKUP(D18,参数表!$H$2:$I$50,2,FALSE),"")</f>
        <v/>
      </c>
      <c r="F18" s="128" t="str">
        <f t="shared" si="3"/>
        <v/>
      </c>
      <c r="G18" s="128" t="str">
        <f t="shared" si="4"/>
        <v/>
      </c>
      <c r="H18" s="143"/>
      <c r="I18" s="141"/>
      <c r="J18" s="255"/>
      <c r="K18" s="143"/>
      <c r="L18" s="144"/>
      <c r="M18" s="129" t="str">
        <f t="shared" si="5"/>
        <v/>
      </c>
      <c r="N18" s="129" t="str">
        <f t="shared" si="0"/>
        <v/>
      </c>
      <c r="O18" s="129" t="str">
        <f t="shared" si="6"/>
        <v/>
      </c>
      <c r="P18" s="129" t="str">
        <f t="shared" si="7"/>
        <v/>
      </c>
      <c r="Q18" s="145"/>
      <c r="BA18" s="78"/>
      <c r="BB18" s="132" t="s">
        <v>2105</v>
      </c>
      <c r="BC18" s="133"/>
      <c r="BD18" s="132" t="str">
        <f>IF(OR(B18="",BC18=""),"",COUNTIF(BC$7:BC18,"√"))</f>
        <v/>
      </c>
      <c r="BE18" s="134" t="str">
        <f t="shared" si="1"/>
        <v/>
      </c>
      <c r="BF18" s="135" t="str">
        <f t="shared" si="8"/>
        <v/>
      </c>
      <c r="BG18" s="135" t="str">
        <f t="shared" si="8"/>
        <v/>
      </c>
      <c r="BH18" s="136"/>
      <c r="BI18" s="136"/>
      <c r="BJ18" s="136"/>
      <c r="BK18" s="136"/>
      <c r="BL18" s="136"/>
      <c r="BM18" s="137"/>
      <c r="BN18" s="137"/>
      <c r="BP18" s="134" t="str">
        <f>IF(COUNTIF(BP$6:BP17,B18)&gt;0,"",B18)&amp;""</f>
        <v/>
      </c>
      <c r="BQ18" s="138">
        <f t="shared" si="9"/>
        <v>0</v>
      </c>
      <c r="BR18" s="132">
        <f t="shared" si="10"/>
        <v>1</v>
      </c>
      <c r="BS18" s="138">
        <f t="shared" si="11"/>
        <v>0</v>
      </c>
      <c r="BT18" s="132">
        <f t="shared" si="12"/>
        <v>1</v>
      </c>
      <c r="BU18" s="133"/>
      <c r="BV18" s="133"/>
    </row>
    <row r="19" ht="15" customHeight="1" spans="1:75">
      <c r="A19" s="123" t="str">
        <f>IF(B19="","",COUNT(A$6:A18)+1)</f>
        <v/>
      </c>
      <c r="B19" s="139"/>
      <c r="C19" s="140"/>
      <c r="D19" s="142"/>
      <c r="E19" s="127" t="str">
        <f>IFERROR(VLOOKUP(D19,参数表!$H$2:$I$50,2,FALSE),"")</f>
        <v/>
      </c>
      <c r="F19" s="128" t="str">
        <f t="shared" si="3"/>
        <v/>
      </c>
      <c r="G19" s="128" t="str">
        <f t="shared" si="4"/>
        <v/>
      </c>
      <c r="H19" s="143"/>
      <c r="I19" s="141"/>
      <c r="J19" s="255"/>
      <c r="K19" s="143"/>
      <c r="L19" s="144"/>
      <c r="M19" s="129" t="str">
        <f t="shared" si="5"/>
        <v/>
      </c>
      <c r="N19" s="129" t="str">
        <f t="shared" si="0"/>
        <v/>
      </c>
      <c r="O19" s="129" t="str">
        <f t="shared" si="6"/>
        <v/>
      </c>
      <c r="P19" s="129" t="str">
        <f t="shared" si="7"/>
        <v/>
      </c>
      <c r="Q19" s="145"/>
      <c r="BA19" s="78"/>
      <c r="BB19" s="132" t="s">
        <v>2106</v>
      </c>
      <c r="BC19" s="133"/>
      <c r="BD19" s="132" t="str">
        <f>IF(OR(B19="",BC19=""),"",COUNTIF(BC$7:BC19,"√"))</f>
        <v/>
      </c>
      <c r="BE19" s="134" t="str">
        <f t="shared" si="1"/>
        <v/>
      </c>
      <c r="BF19" s="135" t="str">
        <f t="shared" si="8"/>
        <v/>
      </c>
      <c r="BG19" s="135" t="str">
        <f t="shared" si="8"/>
        <v/>
      </c>
      <c r="BH19" s="136"/>
      <c r="BI19" s="136"/>
      <c r="BJ19" s="136"/>
      <c r="BK19" s="136"/>
      <c r="BL19" s="136"/>
      <c r="BM19" s="137"/>
      <c r="BN19" s="137"/>
      <c r="BP19" s="134" t="str">
        <f>IF(COUNTIF(BP$6:BP18,B19)&gt;0,"",B19)&amp;""</f>
        <v/>
      </c>
      <c r="BQ19" s="138">
        <f t="shared" si="9"/>
        <v>0</v>
      </c>
      <c r="BR19" s="132">
        <f t="shared" si="10"/>
        <v>1</v>
      </c>
      <c r="BS19" s="138">
        <f t="shared" si="11"/>
        <v>0</v>
      </c>
      <c r="BT19" s="132">
        <f t="shared" si="12"/>
        <v>1</v>
      </c>
      <c r="BU19" s="133"/>
      <c r="BV19" s="133"/>
    </row>
    <row r="20" ht="15" customHeight="1" spans="1:75">
      <c r="A20" s="123" t="str">
        <f>IF(B20="","",COUNT(A$6:A19)+1)</f>
        <v/>
      </c>
      <c r="B20" s="139"/>
      <c r="C20" s="140"/>
      <c r="D20" s="142"/>
      <c r="E20" s="127" t="str">
        <f>IFERROR(VLOOKUP(D20,参数表!$H$2:$I$50,2,FALSE),"")</f>
        <v/>
      </c>
      <c r="F20" s="128" t="str">
        <f t="shared" si="3"/>
        <v/>
      </c>
      <c r="G20" s="128" t="str">
        <f t="shared" si="4"/>
        <v/>
      </c>
      <c r="H20" s="143"/>
      <c r="I20" s="141"/>
      <c r="J20" s="255"/>
      <c r="K20" s="143"/>
      <c r="L20" s="144"/>
      <c r="M20" s="129" t="str">
        <f t="shared" si="5"/>
        <v/>
      </c>
      <c r="N20" s="129" t="str">
        <f t="shared" si="0"/>
        <v/>
      </c>
      <c r="O20" s="129" t="str">
        <f t="shared" si="6"/>
        <v/>
      </c>
      <c r="P20" s="129" t="str">
        <f t="shared" si="7"/>
        <v/>
      </c>
      <c r="Q20" s="145"/>
      <c r="BA20" s="78"/>
      <c r="BB20" s="132" t="s">
        <v>2107</v>
      </c>
      <c r="BC20" s="133"/>
      <c r="BD20" s="132" t="str">
        <f>IF(OR(B20="",BC20=""),"",COUNTIF(BC$7:BC20,"√"))</f>
        <v/>
      </c>
      <c r="BE20" s="134" t="str">
        <f t="shared" si="1"/>
        <v/>
      </c>
      <c r="BF20" s="135" t="str">
        <f t="shared" si="8"/>
        <v/>
      </c>
      <c r="BG20" s="135" t="str">
        <f t="shared" si="8"/>
        <v/>
      </c>
      <c r="BH20" s="136"/>
      <c r="BI20" s="136"/>
      <c r="BJ20" s="136"/>
      <c r="BK20" s="136"/>
      <c r="BL20" s="136"/>
      <c r="BM20" s="137"/>
      <c r="BN20" s="137"/>
      <c r="BP20" s="134" t="str">
        <f>IF(COUNTIF(BP$6:BP19,B20)&gt;0,"",B20)&amp;""</f>
        <v/>
      </c>
      <c r="BQ20" s="138">
        <f t="shared" si="9"/>
        <v>0</v>
      </c>
      <c r="BR20" s="132">
        <f t="shared" si="10"/>
        <v>1</v>
      </c>
      <c r="BS20" s="138">
        <f t="shared" si="11"/>
        <v>0</v>
      </c>
      <c r="BT20" s="132">
        <f t="shared" si="12"/>
        <v>1</v>
      </c>
      <c r="BU20" s="133"/>
      <c r="BV20" s="133"/>
    </row>
    <row r="21" ht="15" customHeight="1" spans="1:75">
      <c r="A21" s="123" t="str">
        <f>IF(B21="","",COUNT(A$6:A20)+1)</f>
        <v/>
      </c>
      <c r="B21" s="139"/>
      <c r="C21" s="140"/>
      <c r="D21" s="142"/>
      <c r="E21" s="127" t="str">
        <f>IFERROR(VLOOKUP(D21,参数表!$H$2:$I$50,2,FALSE),"")</f>
        <v/>
      </c>
      <c r="F21" s="128" t="str">
        <f t="shared" si="3"/>
        <v/>
      </c>
      <c r="G21" s="128" t="str">
        <f t="shared" si="4"/>
        <v/>
      </c>
      <c r="H21" s="143"/>
      <c r="I21" s="141"/>
      <c r="J21" s="255"/>
      <c r="K21" s="143"/>
      <c r="L21" s="144"/>
      <c r="M21" s="129" t="str">
        <f t="shared" si="5"/>
        <v/>
      </c>
      <c r="N21" s="129" t="str">
        <f t="shared" si="0"/>
        <v/>
      </c>
      <c r="O21" s="129" t="str">
        <f t="shared" si="6"/>
        <v/>
      </c>
      <c r="P21" s="129" t="str">
        <f t="shared" si="7"/>
        <v/>
      </c>
      <c r="Q21" s="145"/>
      <c r="BA21" s="78"/>
      <c r="BB21" s="132" t="s">
        <v>2108</v>
      </c>
      <c r="BC21" s="133"/>
      <c r="BD21" s="132" t="str">
        <f>IF(OR(B21="",BC21=""),"",COUNTIF(BC$7:BC21,"√"))</f>
        <v/>
      </c>
      <c r="BE21" s="134" t="str">
        <f t="shared" si="1"/>
        <v/>
      </c>
      <c r="BF21" s="135" t="str">
        <f t="shared" si="8"/>
        <v/>
      </c>
      <c r="BG21" s="135" t="str">
        <f t="shared" si="8"/>
        <v/>
      </c>
      <c r="BH21" s="136"/>
      <c r="BI21" s="136"/>
      <c r="BJ21" s="136"/>
      <c r="BK21" s="136"/>
      <c r="BL21" s="136"/>
      <c r="BM21" s="137"/>
      <c r="BN21" s="137"/>
      <c r="BP21" s="134" t="str">
        <f>IF(COUNTIF(BP$6:BP20,B21)&gt;0,"",B21)&amp;""</f>
        <v/>
      </c>
      <c r="BQ21" s="138">
        <f t="shared" si="9"/>
        <v>0</v>
      </c>
      <c r="BR21" s="132">
        <f t="shared" si="10"/>
        <v>1</v>
      </c>
      <c r="BS21" s="138">
        <f t="shared" si="11"/>
        <v>0</v>
      </c>
      <c r="BT21" s="132">
        <f t="shared" si="12"/>
        <v>1</v>
      </c>
      <c r="BU21" s="133"/>
      <c r="BV21" s="133"/>
    </row>
    <row r="22" ht="15" customHeight="1" spans="1:75">
      <c r="A22" s="123" t="str">
        <f>IF(B22="","",COUNT(A$6:A21)+1)</f>
        <v/>
      </c>
      <c r="B22" s="139"/>
      <c r="C22" s="140"/>
      <c r="D22" s="142"/>
      <c r="E22" s="127" t="str">
        <f>IFERROR(VLOOKUP(D22,参数表!$H$2:$I$50,2,FALSE),"")</f>
        <v/>
      </c>
      <c r="F22" s="128" t="str">
        <f t="shared" si="3"/>
        <v/>
      </c>
      <c r="G22" s="128" t="str">
        <f t="shared" si="4"/>
        <v/>
      </c>
      <c r="H22" s="143"/>
      <c r="I22" s="141"/>
      <c r="J22" s="255"/>
      <c r="K22" s="143"/>
      <c r="L22" s="144"/>
      <c r="M22" s="129" t="str">
        <f t="shared" si="5"/>
        <v/>
      </c>
      <c r="N22" s="129" t="str">
        <f t="shared" si="0"/>
        <v/>
      </c>
      <c r="O22" s="129" t="str">
        <f t="shared" si="6"/>
        <v/>
      </c>
      <c r="P22" s="129" t="str">
        <f t="shared" si="7"/>
        <v/>
      </c>
      <c r="Q22" s="145"/>
      <c r="BA22" s="78"/>
      <c r="BB22" s="132" t="s">
        <v>2109</v>
      </c>
      <c r="BC22" s="133"/>
      <c r="BD22" s="132" t="str">
        <f>IF(OR(B22="",BC22=""),"",COUNTIF(BC$7:BC22,"√"))</f>
        <v/>
      </c>
      <c r="BE22" s="134" t="str">
        <f t="shared" si="1"/>
        <v/>
      </c>
      <c r="BF22" s="135" t="str">
        <f t="shared" si="8"/>
        <v/>
      </c>
      <c r="BG22" s="135" t="str">
        <f t="shared" si="8"/>
        <v/>
      </c>
      <c r="BH22" s="136"/>
      <c r="BI22" s="136"/>
      <c r="BJ22" s="136"/>
      <c r="BK22" s="136"/>
      <c r="BL22" s="136"/>
      <c r="BM22" s="137"/>
      <c r="BN22" s="137"/>
      <c r="BP22" s="134" t="str">
        <f>IF(COUNTIF(BP$6:BP21,B22)&gt;0,"",B22)&amp;""</f>
        <v/>
      </c>
      <c r="BQ22" s="138">
        <f t="shared" si="9"/>
        <v>0</v>
      </c>
      <c r="BR22" s="132">
        <f t="shared" si="10"/>
        <v>1</v>
      </c>
      <c r="BS22" s="138">
        <f t="shared" si="11"/>
        <v>0</v>
      </c>
      <c r="BT22" s="132">
        <f t="shared" si="12"/>
        <v>1</v>
      </c>
      <c r="BU22" s="133"/>
      <c r="BV22" s="133"/>
    </row>
    <row r="23" ht="15" customHeight="1" spans="1:75">
      <c r="A23" s="123" t="str">
        <f>IF(B23="","",COUNT(A$6:A22)+1)</f>
        <v/>
      </c>
      <c r="B23" s="139"/>
      <c r="C23" s="140"/>
      <c r="D23" s="142"/>
      <c r="E23" s="127" t="str">
        <f>IFERROR(VLOOKUP(D23,参数表!$H$2:$I$50,2,FALSE),"")</f>
        <v/>
      </c>
      <c r="F23" s="128" t="str">
        <f t="shared" si="3"/>
        <v/>
      </c>
      <c r="G23" s="128" t="str">
        <f t="shared" si="4"/>
        <v/>
      </c>
      <c r="H23" s="143"/>
      <c r="I23" s="141"/>
      <c r="J23" s="255"/>
      <c r="K23" s="143"/>
      <c r="L23" s="144"/>
      <c r="M23" s="129" t="str">
        <f t="shared" si="5"/>
        <v/>
      </c>
      <c r="N23" s="129" t="str">
        <f t="shared" si="0"/>
        <v/>
      </c>
      <c r="O23" s="129" t="str">
        <f t="shared" si="6"/>
        <v/>
      </c>
      <c r="P23" s="129" t="str">
        <f t="shared" si="7"/>
        <v/>
      </c>
      <c r="Q23" s="145"/>
      <c r="BA23" s="78"/>
      <c r="BB23" s="132" t="s">
        <v>2110</v>
      </c>
      <c r="BC23" s="133"/>
      <c r="BD23" s="132" t="str">
        <f>IF(OR(B23="",BC23=""),"",COUNTIF(BC$7:BC23,"√"))</f>
        <v/>
      </c>
      <c r="BE23" s="134" t="str">
        <f t="shared" si="1"/>
        <v/>
      </c>
      <c r="BF23" s="135" t="str">
        <f t="shared" si="8"/>
        <v/>
      </c>
      <c r="BG23" s="135" t="str">
        <f t="shared" si="8"/>
        <v/>
      </c>
      <c r="BH23" s="136"/>
      <c r="BI23" s="136"/>
      <c r="BJ23" s="136"/>
      <c r="BK23" s="136"/>
      <c r="BL23" s="136"/>
      <c r="BM23" s="137"/>
      <c r="BN23" s="137"/>
      <c r="BP23" s="134" t="str">
        <f>IF(COUNTIF(BP$6:BP22,B23)&gt;0,"",B23)&amp;""</f>
        <v/>
      </c>
      <c r="BQ23" s="138">
        <f t="shared" si="9"/>
        <v>0</v>
      </c>
      <c r="BR23" s="132">
        <f t="shared" si="10"/>
        <v>1</v>
      </c>
      <c r="BS23" s="138">
        <f t="shared" si="11"/>
        <v>0</v>
      </c>
      <c r="BT23" s="132">
        <f t="shared" si="12"/>
        <v>1</v>
      </c>
      <c r="BU23" s="133"/>
      <c r="BV23" s="133"/>
    </row>
    <row r="24" ht="15" customHeight="1" spans="1:75">
      <c r="A24" s="123" t="str">
        <f>IF(B24="","",COUNT(A$6:A23)+1)</f>
        <v/>
      </c>
      <c r="B24" s="139"/>
      <c r="C24" s="140"/>
      <c r="D24" s="142"/>
      <c r="E24" s="127" t="str">
        <f>IFERROR(VLOOKUP(D24,参数表!$H$2:$I$50,2,FALSE),"")</f>
        <v/>
      </c>
      <c r="F24" s="128" t="str">
        <f t="shared" si="3"/>
        <v/>
      </c>
      <c r="G24" s="128" t="str">
        <f t="shared" si="4"/>
        <v/>
      </c>
      <c r="H24" s="143"/>
      <c r="I24" s="141"/>
      <c r="J24" s="255"/>
      <c r="K24" s="143"/>
      <c r="L24" s="144"/>
      <c r="M24" s="129" t="str">
        <f t="shared" si="5"/>
        <v/>
      </c>
      <c r="N24" s="129" t="str">
        <f t="shared" si="0"/>
        <v/>
      </c>
      <c r="O24" s="129" t="str">
        <f t="shared" si="6"/>
        <v/>
      </c>
      <c r="P24" s="129" t="str">
        <f t="shared" si="7"/>
        <v/>
      </c>
      <c r="Q24" s="145"/>
      <c r="BA24" s="78"/>
      <c r="BB24" s="132" t="s">
        <v>2111</v>
      </c>
      <c r="BC24" s="133"/>
      <c r="BD24" s="132" t="str">
        <f>IF(OR(B24="",BC24=""),"",COUNTIF(BC$7:BC24,"√"))</f>
        <v/>
      </c>
      <c r="BE24" s="134" t="str">
        <f t="shared" si="1"/>
        <v/>
      </c>
      <c r="BF24" s="135" t="str">
        <f t="shared" si="8"/>
        <v/>
      </c>
      <c r="BG24" s="135" t="str">
        <f t="shared" si="8"/>
        <v/>
      </c>
      <c r="BH24" s="136"/>
      <c r="BI24" s="136"/>
      <c r="BJ24" s="136"/>
      <c r="BK24" s="136"/>
      <c r="BL24" s="136"/>
      <c r="BM24" s="137"/>
      <c r="BN24" s="137"/>
      <c r="BP24" s="134" t="str">
        <f>IF(COUNTIF(BP$6:BP23,B24)&gt;0,"",B24)&amp;""</f>
        <v/>
      </c>
      <c r="BQ24" s="138">
        <f t="shared" si="9"/>
        <v>0</v>
      </c>
      <c r="BR24" s="132">
        <f t="shared" si="10"/>
        <v>1</v>
      </c>
      <c r="BS24" s="138">
        <f t="shared" si="11"/>
        <v>0</v>
      </c>
      <c r="BT24" s="132">
        <f t="shared" si="12"/>
        <v>1</v>
      </c>
      <c r="BU24" s="133"/>
      <c r="BV24" s="133"/>
    </row>
    <row r="25" ht="15" customHeight="1" spans="1:75">
      <c r="A25" s="123" t="str">
        <f>IF(B25="","",COUNT(A$6:A24)+1)</f>
        <v/>
      </c>
      <c r="B25" s="139"/>
      <c r="C25" s="140"/>
      <c r="D25" s="142"/>
      <c r="E25" s="127" t="str">
        <f>IFERROR(VLOOKUP(D25,参数表!$H$2:$I$50,2,FALSE),"")</f>
        <v/>
      </c>
      <c r="F25" s="128" t="str">
        <f t="shared" si="3"/>
        <v/>
      </c>
      <c r="G25" s="128" t="str">
        <f t="shared" si="4"/>
        <v/>
      </c>
      <c r="H25" s="143"/>
      <c r="I25" s="141"/>
      <c r="J25" s="255"/>
      <c r="K25" s="143"/>
      <c r="L25" s="144"/>
      <c r="M25" s="129" t="str">
        <f t="shared" si="5"/>
        <v/>
      </c>
      <c r="N25" s="129" t="str">
        <f t="shared" si="0"/>
        <v/>
      </c>
      <c r="O25" s="129" t="str">
        <f t="shared" si="6"/>
        <v/>
      </c>
      <c r="P25" s="129" t="str">
        <f t="shared" si="7"/>
        <v/>
      </c>
      <c r="Q25" s="145"/>
      <c r="BA25" s="78"/>
      <c r="BB25" s="132" t="s">
        <v>2112</v>
      </c>
      <c r="BC25" s="133"/>
      <c r="BD25" s="132" t="str">
        <f>IF(OR(B25="",BC25=""),"",COUNTIF(BC$7:BC25,"√"))</f>
        <v/>
      </c>
      <c r="BE25" s="134" t="str">
        <f t="shared" si="1"/>
        <v/>
      </c>
      <c r="BF25" s="135" t="str">
        <f t="shared" si="8"/>
        <v/>
      </c>
      <c r="BG25" s="135" t="str">
        <f t="shared" si="8"/>
        <v/>
      </c>
      <c r="BH25" s="136"/>
      <c r="BI25" s="136"/>
      <c r="BJ25" s="136"/>
      <c r="BK25" s="136"/>
      <c r="BL25" s="136"/>
      <c r="BM25" s="137"/>
      <c r="BN25" s="137"/>
      <c r="BP25" s="134" t="str">
        <f>IF(COUNTIF(BP$6:BP24,B25)&gt;0,"",B25)&amp;""</f>
        <v/>
      </c>
      <c r="BQ25" s="138">
        <f t="shared" si="9"/>
        <v>0</v>
      </c>
      <c r="BR25" s="132">
        <f t="shared" si="10"/>
        <v>1</v>
      </c>
      <c r="BS25" s="138">
        <f t="shared" si="11"/>
        <v>0</v>
      </c>
      <c r="BT25" s="132">
        <f t="shared" si="12"/>
        <v>1</v>
      </c>
      <c r="BU25" s="133"/>
      <c r="BV25" s="133"/>
    </row>
    <row r="26" ht="15" customHeight="1" spans="1:75">
      <c r="A26" s="123" t="str">
        <f>IF(B26="","",COUNT(A$6:A25)+1)</f>
        <v/>
      </c>
      <c r="B26" s="124"/>
      <c r="C26" s="125"/>
      <c r="D26" s="127"/>
      <c r="E26" s="127" t="str">
        <f>IFERROR(VLOOKUP(D26,参数表!$H$2:$I$50,2,FALSE),"")</f>
        <v/>
      </c>
      <c r="F26" s="128" t="str">
        <f t="shared" si="3"/>
        <v/>
      </c>
      <c r="G26" s="128" t="str">
        <f t="shared" si="4"/>
        <v/>
      </c>
      <c r="H26" s="129"/>
      <c r="I26" s="126"/>
      <c r="J26" s="225"/>
      <c r="K26" s="129"/>
      <c r="L26" s="130"/>
      <c r="M26" s="129" t="str">
        <f t="shared" si="5"/>
        <v/>
      </c>
      <c r="N26" s="129" t="str">
        <f t="shared" si="0"/>
        <v/>
      </c>
      <c r="O26" s="129" t="str">
        <f t="shared" si="6"/>
        <v/>
      </c>
      <c r="P26" s="129" t="str">
        <f t="shared" si="7"/>
        <v/>
      </c>
      <c r="Q26" s="131"/>
      <c r="BA26" s="78"/>
      <c r="BB26" s="132" t="s">
        <v>2113</v>
      </c>
      <c r="BC26" s="133"/>
      <c r="BD26" s="132" t="str">
        <f>IF(OR(B26="",BC26=""),"",COUNTIF(BC$7:BC26,"√"))</f>
        <v/>
      </c>
      <c r="BE26" s="134" t="str">
        <f t="shared" si="1"/>
        <v/>
      </c>
      <c r="BF26" s="135" t="str">
        <f t="shared" si="8"/>
        <v/>
      </c>
      <c r="BG26" s="135" t="str">
        <f t="shared" si="8"/>
        <v/>
      </c>
      <c r="BH26" s="136"/>
      <c r="BI26" s="136"/>
      <c r="BJ26" s="136"/>
      <c r="BK26" s="136"/>
      <c r="BL26" s="136"/>
      <c r="BM26" s="137"/>
      <c r="BN26" s="137"/>
      <c r="BP26" s="134" t="str">
        <f>IF(COUNTIF(BP$6:BP25,B26)&gt;0,"",B26)&amp;""</f>
        <v/>
      </c>
      <c r="BQ26" s="138">
        <f t="shared" si="9"/>
        <v>0</v>
      </c>
      <c r="BR26" s="132">
        <f t="shared" si="10"/>
        <v>1</v>
      </c>
      <c r="BS26" s="138">
        <f t="shared" si="11"/>
        <v>0</v>
      </c>
      <c r="BT26" s="132">
        <f t="shared" si="12"/>
        <v>1</v>
      </c>
      <c r="BU26" s="133"/>
      <c r="BV26" s="133"/>
    </row>
    <row r="27" s="73" customFormat="1" ht="15" customHeight="1" spans="1:75">
      <c r="A27" s="149" t="s">
        <v>1922</v>
      </c>
      <c r="B27" s="149"/>
      <c r="C27" s="226"/>
      <c r="D27" s="226"/>
      <c r="E27" s="226"/>
      <c r="F27" s="226"/>
      <c r="G27" s="226"/>
      <c r="H27" s="152">
        <f>SUM(H7:H26)</f>
        <v>0</v>
      </c>
      <c r="I27" s="151"/>
      <c r="J27" s="225"/>
      <c r="K27" s="152">
        <f>SUM(K7:K26)</f>
        <v>0</v>
      </c>
      <c r="L27" s="153"/>
      <c r="M27" s="152">
        <f>SUM(M7:M26)</f>
        <v>0</v>
      </c>
      <c r="N27" s="152">
        <f>SUM(N7:N26)</f>
        <v>0</v>
      </c>
      <c r="O27" s="152">
        <f t="shared" si="6"/>
        <v>0</v>
      </c>
      <c r="P27" s="152" t="str">
        <f t="shared" si="7"/>
        <v/>
      </c>
      <c r="Q27" s="151"/>
      <c r="BF27" s="72"/>
      <c r="BG27" s="72"/>
      <c r="BH27" s="72"/>
      <c r="BI27" s="72"/>
      <c r="BJ27" s="72"/>
      <c r="BO27" s="111"/>
      <c r="BP27" s="119"/>
      <c r="BQ27" s="77"/>
      <c r="BR27" s="77"/>
      <c r="BS27" s="77"/>
      <c r="BT27" s="119"/>
      <c r="BU27" s="119"/>
      <c r="BV27" s="119"/>
      <c r="BW27" s="111"/>
    </row>
    <row r="28" customHeight="1" spans="1:75">
      <c r="A28" s="102" t="str">
        <f>参数表!F$6</f>
        <v>产权持有单位填表人：贾广东</v>
      </c>
      <c r="B28" s="154"/>
      <c r="C28" s="154"/>
      <c r="D28" s="154"/>
      <c r="E28" s="154"/>
      <c r="F28" s="154"/>
      <c r="G28" s="154"/>
      <c r="H28" s="154"/>
      <c r="I28" s="154"/>
      <c r="J28" s="154"/>
      <c r="K28" s="103"/>
      <c r="L28" s="104"/>
      <c r="M28" s="103"/>
      <c r="N28" s="103" t="str">
        <f>"评估人员："&amp;封面!$G$20</f>
        <v>评估人员：栗祥宁</v>
      </c>
      <c r="O28" s="103"/>
      <c r="P28" s="103"/>
      <c r="Q28" s="103"/>
      <c r="BF28" s="165"/>
      <c r="BG28" s="165"/>
      <c r="BH28" s="165"/>
      <c r="BI28" s="165"/>
      <c r="BJ28" s="165"/>
    </row>
    <row r="29" customHeight="1" spans="1:75">
      <c r="A29" s="102" t="str">
        <f>参数表!F$7</f>
        <v>填表日期：2025年9月20日</v>
      </c>
      <c r="B29" s="154"/>
      <c r="C29" s="154"/>
      <c r="D29" s="154"/>
      <c r="E29" s="154"/>
      <c r="F29" s="154"/>
      <c r="G29" s="154"/>
      <c r="H29" s="154"/>
      <c r="I29" s="154"/>
      <c r="J29" s="154"/>
      <c r="K29" s="103"/>
      <c r="L29" s="104"/>
      <c r="M29" s="103"/>
      <c r="N29" s="103"/>
      <c r="O29" s="103"/>
      <c r="P29" s="103"/>
      <c r="Q29" s="103"/>
      <c r="BF29" s="165"/>
      <c r="BG29" s="165"/>
      <c r="BH29" s="165"/>
      <c r="BI29" s="165"/>
      <c r="BJ29" s="165"/>
    </row>
    <row r="30" hidden="1" customHeight="1" outlineLevel="1" spans="1:75">
      <c r="A30" s="157"/>
      <c r="B30" s="154" t="s">
        <v>1673</v>
      </c>
      <c r="C30" s="158"/>
      <c r="D30" s="158"/>
      <c r="E30" s="158"/>
      <c r="F30" s="158"/>
      <c r="G30" s="158"/>
      <c r="H30" s="158"/>
      <c r="I30" s="158"/>
      <c r="J30" s="158"/>
      <c r="K30" s="159">
        <f>SUMIF($BA7:$BA26,$BA30,K7:K26)</f>
        <v>0</v>
      </c>
      <c r="L30" s="202"/>
      <c r="M30" s="159">
        <f>SUMIF($BA7:$BA26,$BA30,M7:M26)</f>
        <v>0</v>
      </c>
      <c r="N30" s="159">
        <f>SUMIF($BA7:$BA26,$BA30,N7:N26)</f>
        <v>0</v>
      </c>
      <c r="BA30" s="161" t="s">
        <v>1674</v>
      </c>
      <c r="BH30" s="95" t="s">
        <v>1675</v>
      </c>
      <c r="BI30" s="95" t="s">
        <v>1675</v>
      </c>
      <c r="BJ30" s="95" t="s">
        <v>1675</v>
      </c>
      <c r="BK30" s="95" t="s">
        <v>1674</v>
      </c>
      <c r="BL30" s="95" t="s">
        <v>1674</v>
      </c>
    </row>
    <row r="31" hidden="1" customHeight="1" outlineLevel="1" spans="1:75">
      <c r="A31" s="157"/>
      <c r="B31" s="154" t="s">
        <v>1676</v>
      </c>
      <c r="C31" s="158"/>
      <c r="D31" s="158"/>
      <c r="E31" s="158"/>
      <c r="F31" s="158"/>
      <c r="G31" s="158"/>
      <c r="H31" s="158"/>
      <c r="I31" s="158"/>
      <c r="J31" s="158"/>
      <c r="K31" s="159">
        <f>K27-K30</f>
        <v>0</v>
      </c>
      <c r="L31" s="202"/>
      <c r="M31" s="159">
        <f>M27-M30</f>
        <v>0</v>
      </c>
      <c r="N31" s="159">
        <f>N27-N30</f>
        <v>0</v>
      </c>
      <c r="BA31" s="161" t="s">
        <v>1677</v>
      </c>
      <c r="BH31" s="95" t="s">
        <v>1678</v>
      </c>
      <c r="BI31" s="95" t="s">
        <v>1678</v>
      </c>
      <c r="BJ31" s="95" t="s">
        <v>1678</v>
      </c>
      <c r="BK31" s="95" t="s">
        <v>1677</v>
      </c>
      <c r="BL31" s="95" t="s">
        <v>1677</v>
      </c>
    </row>
    <row r="32" customHeight="1" collapsed="1" spans="1:75">
      <c r="A32" s="157"/>
      <c r="B32" s="158"/>
      <c r="C32" s="158"/>
      <c r="D32" s="158"/>
      <c r="E32" s="158"/>
      <c r="F32" s="158"/>
      <c r="G32" s="158"/>
      <c r="H32" s="158"/>
      <c r="I32" s="158"/>
      <c r="J32" s="158"/>
    </row>
    <row r="33" customHeight="1" spans="1:10">
      <c r="A33" s="157"/>
      <c r="B33" s="158"/>
      <c r="C33" s="158"/>
      <c r="D33" s="158"/>
      <c r="E33" s="158"/>
      <c r="F33" s="158"/>
      <c r="G33" s="158"/>
      <c r="H33" s="158"/>
      <c r="I33" s="158"/>
      <c r="J33" s="158"/>
    </row>
    <row r="34" customHeight="1" spans="1:10">
      <c r="A34" s="157"/>
      <c r="B34" s="158"/>
      <c r="C34" s="158"/>
      <c r="D34" s="158"/>
      <c r="E34" s="158"/>
      <c r="F34" s="158"/>
      <c r="G34" s="158"/>
      <c r="H34" s="158"/>
      <c r="I34" s="158"/>
      <c r="J34" s="158"/>
    </row>
    <row r="35" customHeight="1" spans="1:10">
      <c r="A35" s="157"/>
      <c r="B35" s="158"/>
      <c r="C35" s="158"/>
      <c r="D35" s="158"/>
      <c r="E35" s="158"/>
      <c r="F35" s="158"/>
      <c r="G35" s="158"/>
      <c r="H35" s="158"/>
      <c r="I35" s="158"/>
      <c r="J35" s="158"/>
    </row>
    <row r="36" customHeight="1" spans="1:10">
      <c r="A36" s="157"/>
      <c r="B36" s="158"/>
      <c r="C36" s="158"/>
      <c r="D36" s="158"/>
      <c r="E36" s="158"/>
      <c r="F36" s="158"/>
      <c r="G36" s="158"/>
      <c r="H36" s="158"/>
      <c r="I36" s="158"/>
      <c r="J36" s="158"/>
    </row>
  </sheetData>
  <sheetProtection autoFilter="0"/>
  <mergeCells count="6">
    <mergeCell ref="A2:Q2"/>
    <mergeCell ref="A3:Q3"/>
    <mergeCell ref="BU7:BW7"/>
    <mergeCell ref="BU8:BW8"/>
    <mergeCell ref="BV14:BW14"/>
    <mergeCell ref="A27:B27"/>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6" stopIfTrue="1">
      <formula>AND($B7&lt;&gt;"",BH7="")</formula>
    </cfRule>
  </conditionalFormatting>
  <dataValidations count="4">
    <dataValidation type="list" allowBlank="1" showInputMessage="1" showErrorMessage="1" sqref="D7:D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L26">
      <formula1>BH$30:BH$31</formula1>
    </dataValidation>
  </dataValidations>
  <hyperlinks>
    <hyperlink ref="A1" location="索引目录!D15" display="返回索引页"/>
    <hyperlink ref="B1" location="流动资产汇总表!B18"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BW36"/>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6.3" style="75" customWidth="1"/>
    <col min="3" max="3" width="9.2" style="75" customWidth="1"/>
    <col min="4" max="4" width="12" style="75" customWidth="1"/>
    <col min="5" max="6" width="4.6" style="75" customWidth="1" outlineLevel="1"/>
    <col min="7" max="7" width="6.1" style="75" customWidth="1" outlineLevel="1"/>
    <col min="8" max="8" width="16.6" style="75" customWidth="1" outlineLevel="1"/>
    <col min="9" max="9" width="16.6" style="76" customWidth="1" outlineLevel="1"/>
    <col min="10" max="11" width="16.6" style="75" customWidth="1"/>
    <col min="12" max="13" width="10.6" style="75" customWidth="1"/>
    <col min="14" max="14" width="13.2" style="75" customWidth="1"/>
    <col min="15" max="52" width="9" style="75" hidden="1" customWidth="1" outlineLevel="1"/>
    <col min="53" max="53" width="14.7" style="75" customWidth="1" collapsed="1"/>
    <col min="54" max="54" width="6.7" style="75" customWidth="1"/>
    <col min="55" max="56" width="5.1" style="165" customWidth="1"/>
    <col min="57" max="57" width="8.7" style="165" customWidth="1"/>
    <col min="58" max="59" width="9.6" style="165" customWidth="1"/>
    <col min="60" max="62" width="5" style="75" customWidth="1"/>
    <col min="63" max="63" width="5.1" style="75" customWidth="1"/>
    <col min="64" max="64" width="6.7" style="75" customWidth="1"/>
    <col min="65" max="65" width="10.3" style="75" customWidth="1"/>
    <col min="66" max="66" width="8.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82"/>
      <c r="D1" s="82"/>
      <c r="E1" s="82"/>
      <c r="F1" s="82"/>
      <c r="G1" s="82"/>
      <c r="H1" s="82"/>
      <c r="I1" s="205"/>
      <c r="J1" s="82"/>
      <c r="K1" s="82"/>
      <c r="L1" s="82"/>
      <c r="M1" s="82"/>
      <c r="N1" s="82"/>
      <c r="BA1" s="84" t="str">
        <f>参数表!BA1</f>
        <v>注意：补充特殊事项、作价等均从BA列开始填写</v>
      </c>
      <c r="BB1" s="85"/>
      <c r="BC1" s="82"/>
      <c r="BD1" s="82"/>
      <c r="BE1" s="82"/>
      <c r="BF1" s="82"/>
      <c r="BG1" s="82"/>
      <c r="BO1" s="87"/>
      <c r="BP1" s="88"/>
      <c r="BQ1" s="87"/>
      <c r="BR1" s="88"/>
      <c r="BS1" s="88"/>
      <c r="BT1" s="88"/>
      <c r="BU1" s="88"/>
      <c r="BV1" s="88"/>
      <c r="BW1" s="87"/>
    </row>
    <row r="2" s="71" customFormat="1" ht="30" customHeight="1" spans="1:75">
      <c r="A2" s="89" t="s">
        <v>2114</v>
      </c>
      <c r="B2" s="89"/>
      <c r="C2" s="89"/>
      <c r="D2" s="89"/>
      <c r="E2" s="89"/>
      <c r="F2" s="89"/>
      <c r="G2" s="89"/>
      <c r="H2" s="89"/>
      <c r="I2" s="89"/>
      <c r="J2" s="89"/>
      <c r="K2" s="89"/>
      <c r="L2" s="89"/>
      <c r="M2" s="89"/>
      <c r="N2" s="89"/>
      <c r="BA2" s="90" t="str">
        <f>参数表!BA2</f>
        <v>评估基准日：</v>
      </c>
      <c r="BB2" s="91" t="str">
        <f>参数表!BB2</f>
        <v>2025年7月31日</v>
      </c>
      <c r="BC2" s="171"/>
      <c r="BD2" s="171"/>
      <c r="BE2" s="171"/>
      <c r="BF2" s="171"/>
      <c r="BG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4"/>
      <c r="L3" s="94"/>
      <c r="M3" s="95"/>
      <c r="N3" s="95"/>
      <c r="BA3" s="90" t="str">
        <f>参数表!BA3</f>
        <v>是否显示评估值：</v>
      </c>
      <c r="BB3" s="90" t="str">
        <f>参数表!BB3</f>
        <v>是</v>
      </c>
      <c r="BQ3" s="78"/>
    </row>
    <row r="4" ht="15" customHeight="1" spans="1:75">
      <c r="A4" s="96"/>
      <c r="B4" s="94"/>
      <c r="C4" s="94"/>
      <c r="D4" s="94"/>
      <c r="E4" s="94"/>
      <c r="F4" s="94"/>
      <c r="G4" s="94"/>
      <c r="H4" s="94"/>
      <c r="I4" s="97"/>
      <c r="J4" s="94"/>
      <c r="K4" s="94"/>
      <c r="L4" s="94"/>
      <c r="M4" s="95"/>
      <c r="N4" s="98" t="str">
        <f>"表"&amp;$BA4</f>
        <v>表3-9-2</v>
      </c>
      <c r="O4" s="277"/>
      <c r="BA4" s="95" t="str">
        <f>其他应收总!A8</f>
        <v>3-9-2</v>
      </c>
      <c r="BB4" s="100">
        <f>MAX(COUNTA(A7:A26),COUNTA(B7:B26),COUNTA(H7:H26),COUNTA(J7:J26))</f>
        <v>20</v>
      </c>
      <c r="BC4" s="101">
        <f>ROW(A6)+1</f>
        <v>7</v>
      </c>
      <c r="BD4" s="77"/>
      <c r="BE4" s="77"/>
      <c r="BQ4" s="78"/>
    </row>
    <row r="5" ht="15" customHeight="1" spans="1:75">
      <c r="A5" s="102" t="str">
        <f>参数表!F3</f>
        <v>产权持有单位:中煤第五建设有限公司</v>
      </c>
      <c r="B5" s="103"/>
      <c r="C5" s="103"/>
      <c r="D5" s="103"/>
      <c r="E5" s="103"/>
      <c r="F5" s="103"/>
      <c r="G5" s="103"/>
      <c r="H5" s="103"/>
      <c r="I5" s="104"/>
      <c r="J5" s="103"/>
      <c r="K5" s="103"/>
      <c r="L5" s="103"/>
      <c r="M5" s="103"/>
      <c r="N5" s="98" t="s">
        <v>236</v>
      </c>
      <c r="BA5" s="103"/>
      <c r="BB5" s="105" t="str">
        <f ca="1">判断表!C27</f>
        <v>中煤第五建设有限公司第三工程处拟处置实物资产项目\[0000-3基础法明细表.xlsx]其他应收-股利</v>
      </c>
      <c r="BC5" s="106">
        <f>IFERROR(SUMIF(BC7:BC26,"√",J7:J26)/J27,0)</f>
        <v>0</v>
      </c>
      <c r="BD5" s="107"/>
      <c r="BE5" s="107"/>
      <c r="BF5" s="284">
        <f>'其他应收-利息'!BF5</f>
        <v>0</v>
      </c>
      <c r="BG5" s="284">
        <f>'其他应收-利息'!BG5</f>
        <v>0</v>
      </c>
      <c r="BH5" s="165"/>
      <c r="BI5" s="165"/>
      <c r="BJ5" s="165"/>
      <c r="BK5" s="165"/>
      <c r="BL5" s="165"/>
      <c r="BO5" s="111"/>
      <c r="BQ5" s="78"/>
      <c r="BU5" s="194"/>
      <c r="BV5" s="194"/>
      <c r="BW5" s="111"/>
    </row>
    <row r="6" s="72" customFormat="1" ht="25.2" customHeight="1" spans="1:75">
      <c r="A6" s="112" t="s">
        <v>305</v>
      </c>
      <c r="B6" s="113" t="s">
        <v>1897</v>
      </c>
      <c r="C6" s="113" t="s">
        <v>1961</v>
      </c>
      <c r="D6" s="113" t="s">
        <v>2115</v>
      </c>
      <c r="E6" s="114" t="s">
        <v>1631</v>
      </c>
      <c r="F6" s="115" t="s">
        <v>1632</v>
      </c>
      <c r="G6" s="115" t="s">
        <v>1633</v>
      </c>
      <c r="H6" s="113" t="s">
        <v>1549</v>
      </c>
      <c r="I6" s="117" t="s">
        <v>1634</v>
      </c>
      <c r="J6" s="113" t="s">
        <v>1523</v>
      </c>
      <c r="K6" s="113" t="s">
        <v>1550</v>
      </c>
      <c r="L6" s="113" t="s">
        <v>1525</v>
      </c>
      <c r="M6" s="113" t="s">
        <v>1551</v>
      </c>
      <c r="N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19"/>
      <c r="BP6" s="120" t="s">
        <v>1645</v>
      </c>
      <c r="BQ6" s="121" t="s">
        <v>1646</v>
      </c>
      <c r="BR6" s="121" t="s">
        <v>1647</v>
      </c>
      <c r="BS6" s="121" t="s">
        <v>1648</v>
      </c>
      <c r="BT6" s="121" t="s">
        <v>1647</v>
      </c>
      <c r="BU6" s="121" t="s">
        <v>1647</v>
      </c>
      <c r="BV6" s="121" t="s">
        <v>1649</v>
      </c>
      <c r="BW6" s="122" t="s">
        <v>1650</v>
      </c>
    </row>
    <row r="7" ht="15" customHeight="1" spans="1:75">
      <c r="A7" s="123" t="str">
        <f>IF(B7="","",COUNT(A$6:A6)+1)</f>
        <v/>
      </c>
      <c r="B7" s="124"/>
      <c r="C7" s="125"/>
      <c r="D7" s="131"/>
      <c r="E7" s="127"/>
      <c r="F7" s="127" t="str">
        <f>IFERROR(VLOOKUP(E7,参数表!$H$2:$I$50,2,FALSE),"")</f>
        <v/>
      </c>
      <c r="G7" s="128" t="str">
        <f>IFERROR(IF(OR(E7="人民币",E7=""),"",J7/F7),"")</f>
        <v/>
      </c>
      <c r="H7" s="129"/>
      <c r="I7" s="130"/>
      <c r="J7" s="129" t="str">
        <f>IF(B7="","",H7+I7)</f>
        <v/>
      </c>
      <c r="K7" s="129" t="str">
        <f t="shared" ref="K7:K26" si="0">IF(B7="","",IF($BB$3="是",J7,""))</f>
        <v/>
      </c>
      <c r="L7" s="129" t="str">
        <f t="shared" ref="L7:L27" si="1">IFERROR(K7-J7,"")</f>
        <v/>
      </c>
      <c r="M7" s="129" t="str">
        <f t="shared" ref="M7:M27" si="2">IFERROR(L7/J7*100,"")</f>
        <v/>
      </c>
      <c r="N7" s="131"/>
      <c r="BA7" s="78"/>
      <c r="BB7" s="132" t="s">
        <v>2116</v>
      </c>
      <c r="BC7" s="133"/>
      <c r="BD7" s="132" t="str">
        <f>IF(OR(B7="",BC7=""),"",COUNTIF(BC$7:BC7,"√"))</f>
        <v/>
      </c>
      <c r="BE7" s="134" t="str">
        <f t="shared" ref="BE7:BE26" si="3">IF(BC7="","",BB7&amp;"︱"&amp;B7&amp;"︱"&amp;TEXT(H7,"#,##0.00"))</f>
        <v/>
      </c>
      <c r="BF7" s="135" t="str">
        <f>IF($B7="","",IF(BF$5=0,"OK","出错"))</f>
        <v/>
      </c>
      <c r="BG7" s="135" t="str">
        <f>IF($B7="","",IF(BG$5=0,"OK","出错"))</f>
        <v/>
      </c>
      <c r="BH7" s="136"/>
      <c r="BI7" s="136"/>
      <c r="BJ7" s="136"/>
      <c r="BK7" s="136"/>
      <c r="BL7" s="136"/>
      <c r="BM7" s="137"/>
      <c r="BN7" s="137"/>
      <c r="BP7" s="134" t="str">
        <f>IF(COUNTIF(BP$6:BP6,B7)&gt;0,"",B7)&amp;""</f>
        <v/>
      </c>
      <c r="BQ7" s="138">
        <f>SUMIF(B$7:B$26,BP7,J$7:J$26)</f>
        <v>0</v>
      </c>
      <c r="BR7" s="132">
        <f t="shared" ref="BR7" si="4">RANK(BQ7,BQ$7:BQ$26)</f>
        <v>1</v>
      </c>
      <c r="BS7" s="138">
        <f>SUMIF(B$7:B$26,BP7,K$7:K$26)</f>
        <v>0</v>
      </c>
      <c r="BT7" s="132">
        <f>RANK(BS7,BS$7:BS$26)</f>
        <v>1</v>
      </c>
      <c r="BU7" s="138">
        <f>SUM(BQ7:BQ26)</f>
        <v>0</v>
      </c>
      <c r="BV7" s="138"/>
      <c r="BW7" s="138"/>
    </row>
    <row r="8" ht="15" customHeight="1" spans="1:75">
      <c r="A8" s="123" t="str">
        <f>IF(B8="","",COUNT(A$6:A7)+1)</f>
        <v/>
      </c>
      <c r="B8" s="139"/>
      <c r="C8" s="140"/>
      <c r="D8" s="145"/>
      <c r="E8" s="142"/>
      <c r="F8" s="127" t="str">
        <f>IFERROR(VLOOKUP(E8,参数表!$H$2:$I$50,2,FALSE),"")</f>
        <v/>
      </c>
      <c r="G8" s="128" t="str">
        <f t="shared" ref="G8:G26" si="5">IFERROR(IF(OR(E8="人民币",E8=""),"",J8/F8),"")</f>
        <v/>
      </c>
      <c r="H8" s="143"/>
      <c r="I8" s="144"/>
      <c r="J8" s="129" t="str">
        <f t="shared" ref="J8:J26" si="6">IF(B8="","",H8+I8)</f>
        <v/>
      </c>
      <c r="K8" s="129" t="str">
        <f t="shared" si="0"/>
        <v/>
      </c>
      <c r="L8" s="129" t="str">
        <f t="shared" si="1"/>
        <v/>
      </c>
      <c r="M8" s="129" t="str">
        <f t="shared" si="2"/>
        <v/>
      </c>
      <c r="N8" s="145"/>
      <c r="BA8" s="78"/>
      <c r="BB8" s="132" t="s">
        <v>2117</v>
      </c>
      <c r="BC8" s="133"/>
      <c r="BD8" s="132" t="str">
        <f>IF(OR(B8="",BC8=""),"",COUNTIF(BC$7:BC8,"√"))</f>
        <v/>
      </c>
      <c r="BE8" s="134" t="str">
        <f t="shared" si="3"/>
        <v/>
      </c>
      <c r="BF8" s="135" t="str">
        <f t="shared" ref="BF8:BG26" si="7">IF($B8="","",IF(BF$5=0,"OK","出错"))</f>
        <v/>
      </c>
      <c r="BG8" s="135" t="str">
        <f t="shared" si="7"/>
        <v/>
      </c>
      <c r="BH8" s="136"/>
      <c r="BI8" s="136"/>
      <c r="BJ8" s="136"/>
      <c r="BK8" s="136"/>
      <c r="BL8" s="136"/>
      <c r="BM8" s="137"/>
      <c r="BN8" s="137"/>
      <c r="BP8" s="134" t="str">
        <f>IF(COUNTIF(BP$6:BP7,B8)&gt;0,"",B8)&amp;""</f>
        <v/>
      </c>
      <c r="BQ8" s="138">
        <f t="shared" ref="BQ8:BQ26" si="8">SUMIF(B$7:B$26,BP8,J$7:J$26)</f>
        <v>0</v>
      </c>
      <c r="BR8" s="132">
        <f t="shared" ref="BR8:BR26" si="9">RANK(BQ8,BQ$7:BQ$26)</f>
        <v>1</v>
      </c>
      <c r="BS8" s="138">
        <f t="shared" ref="BS8:BS26" si="10">SUMIF(B$7:B$26,BP8,K$7:K$26)</f>
        <v>0</v>
      </c>
      <c r="BT8" s="132">
        <f t="shared" ref="BT8:BT26" si="11">RANK(BS8,BS$7:BS$26)</f>
        <v>1</v>
      </c>
      <c r="BU8" s="138">
        <f>SUM(BS7:BS26)</f>
        <v>0</v>
      </c>
      <c r="BV8" s="138"/>
      <c r="BW8" s="138"/>
    </row>
    <row r="9" ht="15" customHeight="1" spans="1:75">
      <c r="A9" s="123" t="str">
        <f>IF(B9="","",COUNT(A$6:A8)+1)</f>
        <v/>
      </c>
      <c r="B9" s="139"/>
      <c r="C9" s="140"/>
      <c r="D9" s="145"/>
      <c r="E9" s="142"/>
      <c r="F9" s="127" t="str">
        <f>IFERROR(VLOOKUP(E9,参数表!$H$2:$I$50,2,FALSE),"")</f>
        <v/>
      </c>
      <c r="G9" s="128" t="str">
        <f t="shared" si="5"/>
        <v/>
      </c>
      <c r="H9" s="143"/>
      <c r="I9" s="144"/>
      <c r="J9" s="129" t="str">
        <f t="shared" si="6"/>
        <v/>
      </c>
      <c r="K9" s="129" t="str">
        <f t="shared" si="0"/>
        <v/>
      </c>
      <c r="L9" s="129" t="str">
        <f t="shared" si="1"/>
        <v/>
      </c>
      <c r="M9" s="129" t="str">
        <f t="shared" si="2"/>
        <v/>
      </c>
      <c r="N9" s="145"/>
      <c r="BA9" s="78"/>
      <c r="BB9" s="132" t="s">
        <v>2118</v>
      </c>
      <c r="BC9" s="133"/>
      <c r="BD9" s="132" t="str">
        <f>IF(OR(B9="",BC9=""),"",COUNTIF(BC$7:BC9,"√"))</f>
        <v/>
      </c>
      <c r="BE9" s="134" t="str">
        <f t="shared" si="3"/>
        <v/>
      </c>
      <c r="BF9" s="135" t="str">
        <f t="shared" si="7"/>
        <v/>
      </c>
      <c r="BG9" s="135" t="str">
        <f t="shared" si="7"/>
        <v/>
      </c>
      <c r="BH9" s="136"/>
      <c r="BI9" s="136"/>
      <c r="BJ9" s="136"/>
      <c r="BK9" s="136"/>
      <c r="BL9" s="136"/>
      <c r="BM9" s="137"/>
      <c r="BN9" s="137"/>
      <c r="BP9" s="134" t="str">
        <f>IF(COUNTIF(BP$6:BP8,B9)&gt;0,"",B9)&amp;""</f>
        <v/>
      </c>
      <c r="BQ9" s="138">
        <f t="shared" si="8"/>
        <v>0</v>
      </c>
      <c r="BR9" s="132">
        <f t="shared" si="9"/>
        <v>1</v>
      </c>
      <c r="BS9" s="138">
        <f t="shared" si="10"/>
        <v>0</v>
      </c>
      <c r="BT9" s="132">
        <f t="shared" si="11"/>
        <v>1</v>
      </c>
      <c r="BU9" s="132">
        <v>1</v>
      </c>
      <c r="BV9" s="134" t="str">
        <f>IFERROR(INDEX(BP$7:BP$26,MATCH(BU9,IF(BU$7=0,BT$7:BT$26,BR$7:BR$26),0))&amp;"","")</f>
        <v/>
      </c>
      <c r="BW9" s="146" t="str">
        <f>IF(BV10="","",IF(BV11="","和","、"))</f>
        <v/>
      </c>
    </row>
    <row r="10" ht="15" customHeight="1" spans="1:75">
      <c r="A10" s="123" t="str">
        <f>IF(B10="","",COUNT(A$6:A9)+1)</f>
        <v/>
      </c>
      <c r="B10" s="139"/>
      <c r="C10" s="140"/>
      <c r="D10" s="145"/>
      <c r="E10" s="142"/>
      <c r="F10" s="127" t="str">
        <f>IFERROR(VLOOKUP(E10,参数表!$H$2:$I$50,2,FALSE),"")</f>
        <v/>
      </c>
      <c r="G10" s="128" t="str">
        <f t="shared" si="5"/>
        <v/>
      </c>
      <c r="H10" s="143"/>
      <c r="I10" s="144"/>
      <c r="J10" s="129" t="str">
        <f t="shared" si="6"/>
        <v/>
      </c>
      <c r="K10" s="129" t="str">
        <f t="shared" si="0"/>
        <v/>
      </c>
      <c r="L10" s="129" t="str">
        <f t="shared" si="1"/>
        <v/>
      </c>
      <c r="M10" s="129" t="str">
        <f t="shared" si="2"/>
        <v/>
      </c>
      <c r="N10" s="145"/>
      <c r="BA10" s="78"/>
      <c r="BB10" s="132" t="s">
        <v>2119</v>
      </c>
      <c r="BC10" s="133"/>
      <c r="BD10" s="132" t="str">
        <f>IF(OR(B10="",BC10=""),"",COUNTIF(BC$7:BC10,"√"))</f>
        <v/>
      </c>
      <c r="BE10" s="134" t="str">
        <f t="shared" si="3"/>
        <v/>
      </c>
      <c r="BF10" s="135" t="str">
        <f t="shared" si="7"/>
        <v/>
      </c>
      <c r="BG10" s="135" t="str">
        <f t="shared" si="7"/>
        <v/>
      </c>
      <c r="BH10" s="136"/>
      <c r="BI10" s="136"/>
      <c r="BJ10" s="136"/>
      <c r="BK10" s="136"/>
      <c r="BL10" s="136"/>
      <c r="BM10" s="137"/>
      <c r="BN10" s="137"/>
      <c r="BP10" s="134" t="str">
        <f>IF(COUNTIF(BP$6:BP9,B10)&gt;0,"",B10)&amp;""</f>
        <v/>
      </c>
      <c r="BQ10" s="138">
        <f t="shared" si="8"/>
        <v>0</v>
      </c>
      <c r="BR10" s="132">
        <f t="shared" si="9"/>
        <v>1</v>
      </c>
      <c r="BS10" s="138">
        <f t="shared" si="10"/>
        <v>0</v>
      </c>
      <c r="BT10" s="132">
        <f t="shared" si="11"/>
        <v>1</v>
      </c>
      <c r="BU10" s="132">
        <v>2</v>
      </c>
      <c r="BV10" s="134" t="str">
        <f t="shared" ref="BV10:BV13" si="12">IFERROR(INDEX(BP$7:BP$26,MATCH(BU10,IF(BU$7=0,BT$7:BT$26,BR$7:BR$26),0))&amp;"","")</f>
        <v/>
      </c>
      <c r="BW10" s="146" t="str">
        <f t="shared" ref="BW10:BW11" si="13">IF(BV11="","",IF(BV12="","和","、"))</f>
        <v/>
      </c>
    </row>
    <row r="11" ht="15" customHeight="1" spans="1:75">
      <c r="A11" s="123" t="str">
        <f>IF(B11="","",COUNT(A$6:A10)+1)</f>
        <v/>
      </c>
      <c r="B11" s="139"/>
      <c r="C11" s="140"/>
      <c r="D11" s="145"/>
      <c r="E11" s="142"/>
      <c r="F11" s="127" t="str">
        <f>IFERROR(VLOOKUP(E11,参数表!$H$2:$I$50,2,FALSE),"")</f>
        <v/>
      </c>
      <c r="G11" s="128" t="str">
        <f t="shared" si="5"/>
        <v/>
      </c>
      <c r="H11" s="143"/>
      <c r="I11" s="144"/>
      <c r="J11" s="129" t="str">
        <f t="shared" si="6"/>
        <v/>
      </c>
      <c r="K11" s="129" t="str">
        <f t="shared" si="0"/>
        <v/>
      </c>
      <c r="L11" s="129" t="str">
        <f t="shared" si="1"/>
        <v/>
      </c>
      <c r="M11" s="129" t="str">
        <f t="shared" si="2"/>
        <v/>
      </c>
      <c r="N11" s="145"/>
      <c r="BA11" s="78"/>
      <c r="BB11" s="132" t="s">
        <v>2120</v>
      </c>
      <c r="BC11" s="133"/>
      <c r="BD11" s="132" t="str">
        <f>IF(OR(B11="",BC11=""),"",COUNTIF(BC$7:BC11,"√"))</f>
        <v/>
      </c>
      <c r="BE11" s="134" t="str">
        <f t="shared" si="3"/>
        <v/>
      </c>
      <c r="BF11" s="135" t="str">
        <f t="shared" si="7"/>
        <v/>
      </c>
      <c r="BG11" s="135" t="str">
        <f t="shared" si="7"/>
        <v/>
      </c>
      <c r="BH11" s="136"/>
      <c r="BI11" s="136"/>
      <c r="BJ11" s="136"/>
      <c r="BK11" s="136"/>
      <c r="BL11" s="136"/>
      <c r="BM11" s="137"/>
      <c r="BN11" s="137"/>
      <c r="BP11" s="134" t="str">
        <f>IF(COUNTIF(BP$6:BP10,B11)&gt;0,"",B11)&amp;""</f>
        <v/>
      </c>
      <c r="BQ11" s="138">
        <f t="shared" si="8"/>
        <v>0</v>
      </c>
      <c r="BR11" s="132">
        <f t="shared" si="9"/>
        <v>1</v>
      </c>
      <c r="BS11" s="138">
        <f t="shared" si="10"/>
        <v>0</v>
      </c>
      <c r="BT11" s="132">
        <f t="shared" si="11"/>
        <v>1</v>
      </c>
      <c r="BU11" s="132">
        <v>3</v>
      </c>
      <c r="BV11" s="134" t="str">
        <f t="shared" si="12"/>
        <v/>
      </c>
      <c r="BW11" s="146" t="str">
        <f t="shared" si="13"/>
        <v/>
      </c>
    </row>
    <row r="12" ht="15" customHeight="1" spans="1:75">
      <c r="A12" s="123" t="str">
        <f>IF(B12="","",COUNT(A$6:A11)+1)</f>
        <v/>
      </c>
      <c r="B12" s="139"/>
      <c r="C12" s="140"/>
      <c r="D12" s="145"/>
      <c r="E12" s="142"/>
      <c r="F12" s="127" t="str">
        <f>IFERROR(VLOOKUP(E12,参数表!$H$2:$I$50,2,FALSE),"")</f>
        <v/>
      </c>
      <c r="G12" s="128" t="str">
        <f t="shared" si="5"/>
        <v/>
      </c>
      <c r="H12" s="143"/>
      <c r="I12" s="144"/>
      <c r="J12" s="129" t="str">
        <f t="shared" si="6"/>
        <v/>
      </c>
      <c r="K12" s="129" t="str">
        <f t="shared" si="0"/>
        <v/>
      </c>
      <c r="L12" s="129" t="str">
        <f t="shared" si="1"/>
        <v/>
      </c>
      <c r="M12" s="129" t="str">
        <f t="shared" si="2"/>
        <v/>
      </c>
      <c r="N12" s="145"/>
      <c r="BA12" s="78"/>
      <c r="BB12" s="132" t="s">
        <v>2121</v>
      </c>
      <c r="BC12" s="133"/>
      <c r="BD12" s="132" t="str">
        <f>IF(OR(B12="",BC12=""),"",COUNTIF(BC$7:BC12,"√"))</f>
        <v/>
      </c>
      <c r="BE12" s="134" t="str">
        <f t="shared" si="3"/>
        <v/>
      </c>
      <c r="BF12" s="135" t="str">
        <f t="shared" si="7"/>
        <v/>
      </c>
      <c r="BG12" s="135" t="str">
        <f t="shared" si="7"/>
        <v/>
      </c>
      <c r="BH12" s="136"/>
      <c r="BI12" s="136"/>
      <c r="BJ12" s="136"/>
      <c r="BK12" s="136"/>
      <c r="BL12" s="136"/>
      <c r="BM12" s="137"/>
      <c r="BN12" s="137"/>
      <c r="BP12" s="134" t="str">
        <f>IF(COUNTIF(BP$6:BP11,B12)&gt;0,"",B12)&amp;""</f>
        <v/>
      </c>
      <c r="BQ12" s="138">
        <f t="shared" si="8"/>
        <v>0</v>
      </c>
      <c r="BR12" s="132">
        <f t="shared" si="9"/>
        <v>1</v>
      </c>
      <c r="BS12" s="138">
        <f t="shared" si="10"/>
        <v>0</v>
      </c>
      <c r="BT12" s="132">
        <f t="shared" si="11"/>
        <v>1</v>
      </c>
      <c r="BU12" s="132">
        <v>4</v>
      </c>
      <c r="BV12" s="134" t="str">
        <f t="shared" si="12"/>
        <v/>
      </c>
      <c r="BW12" s="146" t="str">
        <f>IF(BV13="","","和")</f>
        <v/>
      </c>
    </row>
    <row r="13" ht="15" customHeight="1" spans="1:75">
      <c r="A13" s="123" t="str">
        <f>IF(B13="","",COUNT(A$6:A12)+1)</f>
        <v/>
      </c>
      <c r="B13" s="139"/>
      <c r="C13" s="140"/>
      <c r="D13" s="145"/>
      <c r="E13" s="142"/>
      <c r="F13" s="127" t="str">
        <f>IFERROR(VLOOKUP(E13,参数表!$H$2:$I$50,2,FALSE),"")</f>
        <v/>
      </c>
      <c r="G13" s="128" t="str">
        <f t="shared" si="5"/>
        <v/>
      </c>
      <c r="H13" s="143"/>
      <c r="I13" s="144"/>
      <c r="J13" s="129" t="str">
        <f t="shared" si="6"/>
        <v/>
      </c>
      <c r="K13" s="129" t="str">
        <f t="shared" si="0"/>
        <v/>
      </c>
      <c r="L13" s="129" t="str">
        <f t="shared" si="1"/>
        <v/>
      </c>
      <c r="M13" s="129" t="str">
        <f t="shared" si="2"/>
        <v/>
      </c>
      <c r="N13" s="145"/>
      <c r="BA13" s="78"/>
      <c r="BB13" s="132" t="s">
        <v>2122</v>
      </c>
      <c r="BC13" s="133"/>
      <c r="BD13" s="132" t="str">
        <f>IF(OR(B13="",BC13=""),"",COUNTIF(BC$7:BC13,"√"))</f>
        <v/>
      </c>
      <c r="BE13" s="134" t="str">
        <f t="shared" si="3"/>
        <v/>
      </c>
      <c r="BF13" s="135" t="str">
        <f t="shared" si="7"/>
        <v/>
      </c>
      <c r="BG13" s="135" t="str">
        <f t="shared" si="7"/>
        <v/>
      </c>
      <c r="BH13" s="136"/>
      <c r="BI13" s="136"/>
      <c r="BJ13" s="136"/>
      <c r="BK13" s="136"/>
      <c r="BL13" s="136"/>
      <c r="BM13" s="137"/>
      <c r="BN13" s="137"/>
      <c r="BP13" s="134" t="str">
        <f>IF(COUNTIF(BP$6:BP12,B13)&gt;0,"",B13)&amp;""</f>
        <v/>
      </c>
      <c r="BQ13" s="138">
        <f t="shared" si="8"/>
        <v>0</v>
      </c>
      <c r="BR13" s="132">
        <f t="shared" si="9"/>
        <v>1</v>
      </c>
      <c r="BS13" s="138">
        <f t="shared" si="10"/>
        <v>0</v>
      </c>
      <c r="BT13" s="132">
        <f t="shared" si="11"/>
        <v>1</v>
      </c>
      <c r="BU13" s="132">
        <v>5</v>
      </c>
      <c r="BV13" s="134" t="str">
        <f t="shared" si="12"/>
        <v/>
      </c>
      <c r="BW13" s="146"/>
    </row>
    <row r="14" ht="15" customHeight="1" spans="1:75">
      <c r="A14" s="123" t="str">
        <f>IF(B14="","",COUNT(A$6:A13)+1)</f>
        <v/>
      </c>
      <c r="B14" s="139"/>
      <c r="C14" s="140"/>
      <c r="D14" s="145"/>
      <c r="E14" s="142"/>
      <c r="F14" s="127" t="str">
        <f>IFERROR(VLOOKUP(E14,参数表!$H$2:$I$50,2,FALSE),"")</f>
        <v/>
      </c>
      <c r="G14" s="128" t="str">
        <f t="shared" si="5"/>
        <v/>
      </c>
      <c r="H14" s="143"/>
      <c r="I14" s="144"/>
      <c r="J14" s="129" t="str">
        <f t="shared" si="6"/>
        <v/>
      </c>
      <c r="K14" s="129" t="str">
        <f t="shared" si="0"/>
        <v/>
      </c>
      <c r="L14" s="129" t="str">
        <f t="shared" si="1"/>
        <v/>
      </c>
      <c r="M14" s="129" t="str">
        <f t="shared" si="2"/>
        <v/>
      </c>
      <c r="N14" s="145"/>
      <c r="BA14" s="78"/>
      <c r="BB14" s="132" t="s">
        <v>2123</v>
      </c>
      <c r="BC14" s="133"/>
      <c r="BD14" s="132" t="str">
        <f>IF(OR(B14="",BC14=""),"",COUNTIF(BC$7:BC14,"√"))</f>
        <v/>
      </c>
      <c r="BE14" s="134" t="str">
        <f t="shared" si="3"/>
        <v/>
      </c>
      <c r="BF14" s="135" t="str">
        <f t="shared" si="7"/>
        <v/>
      </c>
      <c r="BG14" s="135" t="str">
        <f t="shared" si="7"/>
        <v/>
      </c>
      <c r="BH14" s="136"/>
      <c r="BI14" s="136"/>
      <c r="BJ14" s="136"/>
      <c r="BK14" s="136"/>
      <c r="BL14" s="136"/>
      <c r="BM14" s="137"/>
      <c r="BN14" s="137"/>
      <c r="BP14" s="134" t="str">
        <f>IF(COUNTIF(BP$6:BP13,B14)&gt;0,"",B14)&amp;""</f>
        <v/>
      </c>
      <c r="BQ14" s="138">
        <f t="shared" si="8"/>
        <v>0</v>
      </c>
      <c r="BR14" s="132">
        <f t="shared" si="9"/>
        <v>1</v>
      </c>
      <c r="BS14" s="138">
        <f t="shared" si="10"/>
        <v>0</v>
      </c>
      <c r="BT14" s="132">
        <f t="shared" si="11"/>
        <v>1</v>
      </c>
      <c r="BU14" s="147" t="s">
        <v>1659</v>
      </c>
      <c r="BV14" s="132" t="str">
        <f>CONCATENATE(BV9,BW9,BV10,BW10,BV11,BW11,BV12,BW12,BV13)</f>
        <v/>
      </c>
      <c r="BW14" s="132"/>
    </row>
    <row r="15" ht="15" customHeight="1" spans="1:75">
      <c r="A15" s="123" t="str">
        <f>IF(B15="","",COUNT(A$6:A14)+1)</f>
        <v/>
      </c>
      <c r="B15" s="139"/>
      <c r="C15" s="140"/>
      <c r="D15" s="145"/>
      <c r="E15" s="142"/>
      <c r="F15" s="127" t="str">
        <f>IFERROR(VLOOKUP(E15,参数表!$H$2:$I$50,2,FALSE),"")</f>
        <v/>
      </c>
      <c r="G15" s="128" t="str">
        <f t="shared" si="5"/>
        <v/>
      </c>
      <c r="H15" s="143"/>
      <c r="I15" s="144"/>
      <c r="J15" s="129" t="str">
        <f t="shared" si="6"/>
        <v/>
      </c>
      <c r="K15" s="129" t="str">
        <f t="shared" si="0"/>
        <v/>
      </c>
      <c r="L15" s="129" t="str">
        <f t="shared" si="1"/>
        <v/>
      </c>
      <c r="M15" s="129" t="str">
        <f t="shared" si="2"/>
        <v/>
      </c>
      <c r="N15" s="145"/>
      <c r="BA15" s="78"/>
      <c r="BB15" s="132" t="s">
        <v>2124</v>
      </c>
      <c r="BC15" s="133"/>
      <c r="BD15" s="132" t="str">
        <f>IF(OR(B15="",BC15=""),"",COUNTIF(BC$7:BC15,"√"))</f>
        <v/>
      </c>
      <c r="BE15" s="134" t="str">
        <f t="shared" si="3"/>
        <v/>
      </c>
      <c r="BF15" s="135" t="str">
        <f t="shared" si="7"/>
        <v/>
      </c>
      <c r="BG15" s="135" t="str">
        <f t="shared" si="7"/>
        <v/>
      </c>
      <c r="BH15" s="136"/>
      <c r="BI15" s="136"/>
      <c r="BJ15" s="136"/>
      <c r="BK15" s="136"/>
      <c r="BL15" s="136"/>
      <c r="BM15" s="137"/>
      <c r="BN15" s="137"/>
      <c r="BP15" s="134" t="str">
        <f>IF(COUNTIF(BP$6:BP14,B15)&gt;0,"",B15)&amp;""</f>
        <v/>
      </c>
      <c r="BQ15" s="138">
        <f t="shared" si="8"/>
        <v>0</v>
      </c>
      <c r="BR15" s="132">
        <f t="shared" si="9"/>
        <v>1</v>
      </c>
      <c r="BS15" s="138">
        <f t="shared" si="10"/>
        <v>0</v>
      </c>
      <c r="BT15" s="132">
        <f t="shared" si="11"/>
        <v>1</v>
      </c>
      <c r="BU15" s="133"/>
      <c r="BV15" s="133"/>
    </row>
    <row r="16" ht="15" customHeight="1" spans="1:75">
      <c r="A16" s="123" t="str">
        <f>IF(B16="","",COUNT(A$6:A15)+1)</f>
        <v/>
      </c>
      <c r="B16" s="139"/>
      <c r="C16" s="140"/>
      <c r="D16" s="145"/>
      <c r="E16" s="142"/>
      <c r="F16" s="127" t="str">
        <f>IFERROR(VLOOKUP(E16,参数表!$H$2:$I$50,2,FALSE),"")</f>
        <v/>
      </c>
      <c r="G16" s="128" t="str">
        <f t="shared" si="5"/>
        <v/>
      </c>
      <c r="H16" s="143"/>
      <c r="I16" s="144"/>
      <c r="J16" s="129" t="str">
        <f t="shared" si="6"/>
        <v/>
      </c>
      <c r="K16" s="129" t="str">
        <f t="shared" si="0"/>
        <v/>
      </c>
      <c r="L16" s="129" t="str">
        <f t="shared" si="1"/>
        <v/>
      </c>
      <c r="M16" s="129" t="str">
        <f t="shared" si="2"/>
        <v/>
      </c>
      <c r="N16" s="145"/>
      <c r="BA16" s="78"/>
      <c r="BB16" s="132" t="s">
        <v>2125</v>
      </c>
      <c r="BC16" s="133"/>
      <c r="BD16" s="132" t="str">
        <f>IF(OR(B16="",BC16=""),"",COUNTIF(BC$7:BC16,"√"))</f>
        <v/>
      </c>
      <c r="BE16" s="134" t="str">
        <f t="shared" si="3"/>
        <v/>
      </c>
      <c r="BF16" s="135" t="str">
        <f t="shared" si="7"/>
        <v/>
      </c>
      <c r="BG16" s="135" t="str">
        <f t="shared" si="7"/>
        <v/>
      </c>
      <c r="BH16" s="136"/>
      <c r="BI16" s="136"/>
      <c r="BJ16" s="136"/>
      <c r="BK16" s="136"/>
      <c r="BL16" s="136"/>
      <c r="BM16" s="137"/>
      <c r="BN16" s="137"/>
      <c r="BP16" s="134" t="str">
        <f>IF(COUNTIF(BP$6:BP15,B16)&gt;0,"",B16)&amp;""</f>
        <v/>
      </c>
      <c r="BQ16" s="138">
        <f t="shared" si="8"/>
        <v>0</v>
      </c>
      <c r="BR16" s="132">
        <f t="shared" si="9"/>
        <v>1</v>
      </c>
      <c r="BS16" s="138">
        <f t="shared" si="10"/>
        <v>0</v>
      </c>
      <c r="BT16" s="132">
        <f t="shared" si="11"/>
        <v>1</v>
      </c>
      <c r="BU16" s="133"/>
      <c r="BV16" s="148"/>
    </row>
    <row r="17" ht="15" customHeight="1" spans="1:75">
      <c r="A17" s="123" t="str">
        <f>IF(B17="","",COUNT(A$6:A16)+1)</f>
        <v/>
      </c>
      <c r="B17" s="139"/>
      <c r="C17" s="140"/>
      <c r="D17" s="145"/>
      <c r="E17" s="142"/>
      <c r="F17" s="127" t="str">
        <f>IFERROR(VLOOKUP(E17,参数表!$H$2:$I$50,2,FALSE),"")</f>
        <v/>
      </c>
      <c r="G17" s="128" t="str">
        <f t="shared" si="5"/>
        <v/>
      </c>
      <c r="H17" s="143"/>
      <c r="I17" s="144"/>
      <c r="J17" s="129" t="str">
        <f t="shared" si="6"/>
        <v/>
      </c>
      <c r="K17" s="129" t="str">
        <f t="shared" si="0"/>
        <v/>
      </c>
      <c r="L17" s="129" t="str">
        <f t="shared" si="1"/>
        <v/>
      </c>
      <c r="M17" s="129" t="str">
        <f t="shared" si="2"/>
        <v/>
      </c>
      <c r="N17" s="145"/>
      <c r="BA17" s="78"/>
      <c r="BB17" s="132" t="s">
        <v>2126</v>
      </c>
      <c r="BC17" s="133"/>
      <c r="BD17" s="132" t="str">
        <f>IF(OR(B17="",BC17=""),"",COUNTIF(BC$7:BC17,"√"))</f>
        <v/>
      </c>
      <c r="BE17" s="134" t="str">
        <f t="shared" si="3"/>
        <v/>
      </c>
      <c r="BF17" s="135" t="str">
        <f t="shared" si="7"/>
        <v/>
      </c>
      <c r="BG17" s="135" t="str">
        <f t="shared" si="7"/>
        <v/>
      </c>
      <c r="BH17" s="136"/>
      <c r="BI17" s="136"/>
      <c r="BJ17" s="136"/>
      <c r="BK17" s="136"/>
      <c r="BL17" s="136"/>
      <c r="BM17" s="137"/>
      <c r="BN17" s="137"/>
      <c r="BP17" s="134" t="str">
        <f>IF(COUNTIF(BP$6:BP16,B17)&gt;0,"",B17)&amp;""</f>
        <v/>
      </c>
      <c r="BQ17" s="138">
        <f t="shared" si="8"/>
        <v>0</v>
      </c>
      <c r="BR17" s="132">
        <f t="shared" si="9"/>
        <v>1</v>
      </c>
      <c r="BS17" s="138">
        <f t="shared" si="10"/>
        <v>0</v>
      </c>
      <c r="BT17" s="132">
        <f t="shared" si="11"/>
        <v>1</v>
      </c>
      <c r="BU17" s="133"/>
      <c r="BV17" s="133"/>
    </row>
    <row r="18" ht="15" customHeight="1" spans="1:75">
      <c r="A18" s="123" t="str">
        <f>IF(B18="","",COUNT(A$6:A17)+1)</f>
        <v/>
      </c>
      <c r="B18" s="139"/>
      <c r="C18" s="140"/>
      <c r="D18" s="145"/>
      <c r="E18" s="142"/>
      <c r="F18" s="127" t="str">
        <f>IFERROR(VLOOKUP(E18,参数表!$H$2:$I$50,2,FALSE),"")</f>
        <v/>
      </c>
      <c r="G18" s="128" t="str">
        <f t="shared" si="5"/>
        <v/>
      </c>
      <c r="H18" s="143"/>
      <c r="I18" s="144"/>
      <c r="J18" s="129" t="str">
        <f t="shared" si="6"/>
        <v/>
      </c>
      <c r="K18" s="129" t="str">
        <f t="shared" si="0"/>
        <v/>
      </c>
      <c r="L18" s="129" t="str">
        <f t="shared" si="1"/>
        <v/>
      </c>
      <c r="M18" s="129" t="str">
        <f t="shared" si="2"/>
        <v/>
      </c>
      <c r="N18" s="145"/>
      <c r="BA18" s="78"/>
      <c r="BB18" s="132" t="s">
        <v>2127</v>
      </c>
      <c r="BC18" s="133"/>
      <c r="BD18" s="132" t="str">
        <f>IF(OR(B18="",BC18=""),"",COUNTIF(BC$7:BC18,"√"))</f>
        <v/>
      </c>
      <c r="BE18" s="134" t="str">
        <f t="shared" si="3"/>
        <v/>
      </c>
      <c r="BF18" s="135" t="str">
        <f t="shared" si="7"/>
        <v/>
      </c>
      <c r="BG18" s="135" t="str">
        <f t="shared" si="7"/>
        <v/>
      </c>
      <c r="BH18" s="136"/>
      <c r="BI18" s="136"/>
      <c r="BJ18" s="136"/>
      <c r="BK18" s="136"/>
      <c r="BL18" s="136"/>
      <c r="BM18" s="137"/>
      <c r="BN18" s="137"/>
      <c r="BP18" s="134" t="str">
        <f>IF(COUNTIF(BP$6:BP17,B18)&gt;0,"",B18)&amp;""</f>
        <v/>
      </c>
      <c r="BQ18" s="138">
        <f t="shared" si="8"/>
        <v>0</v>
      </c>
      <c r="BR18" s="132">
        <f t="shared" si="9"/>
        <v>1</v>
      </c>
      <c r="BS18" s="138">
        <f t="shared" si="10"/>
        <v>0</v>
      </c>
      <c r="BT18" s="132">
        <f t="shared" si="11"/>
        <v>1</v>
      </c>
      <c r="BU18" s="133"/>
      <c r="BV18" s="133"/>
    </row>
    <row r="19" ht="15" customHeight="1" spans="1:75">
      <c r="A19" s="123" t="str">
        <f>IF(B19="","",COUNT(A$6:A18)+1)</f>
        <v/>
      </c>
      <c r="B19" s="139"/>
      <c r="C19" s="140"/>
      <c r="D19" s="145"/>
      <c r="E19" s="142"/>
      <c r="F19" s="127" t="str">
        <f>IFERROR(VLOOKUP(E19,参数表!$H$2:$I$50,2,FALSE),"")</f>
        <v/>
      </c>
      <c r="G19" s="128" t="str">
        <f t="shared" si="5"/>
        <v/>
      </c>
      <c r="H19" s="143"/>
      <c r="I19" s="144"/>
      <c r="J19" s="129" t="str">
        <f t="shared" si="6"/>
        <v/>
      </c>
      <c r="K19" s="129" t="str">
        <f t="shared" si="0"/>
        <v/>
      </c>
      <c r="L19" s="129" t="str">
        <f t="shared" si="1"/>
        <v/>
      </c>
      <c r="M19" s="129" t="str">
        <f t="shared" si="2"/>
        <v/>
      </c>
      <c r="N19" s="145"/>
      <c r="BA19" s="78"/>
      <c r="BB19" s="132" t="s">
        <v>2128</v>
      </c>
      <c r="BC19" s="133"/>
      <c r="BD19" s="132" t="str">
        <f>IF(OR(B19="",BC19=""),"",COUNTIF(BC$7:BC19,"√"))</f>
        <v/>
      </c>
      <c r="BE19" s="134" t="str">
        <f t="shared" si="3"/>
        <v/>
      </c>
      <c r="BF19" s="135" t="str">
        <f t="shared" si="7"/>
        <v/>
      </c>
      <c r="BG19" s="135" t="str">
        <f t="shared" si="7"/>
        <v/>
      </c>
      <c r="BH19" s="136"/>
      <c r="BI19" s="136"/>
      <c r="BJ19" s="136"/>
      <c r="BK19" s="136"/>
      <c r="BL19" s="136"/>
      <c r="BM19" s="137"/>
      <c r="BN19" s="137"/>
      <c r="BP19" s="134" t="str">
        <f>IF(COUNTIF(BP$6:BP18,B19)&gt;0,"",B19)&amp;""</f>
        <v/>
      </c>
      <c r="BQ19" s="138">
        <f t="shared" si="8"/>
        <v>0</v>
      </c>
      <c r="BR19" s="132">
        <f t="shared" si="9"/>
        <v>1</v>
      </c>
      <c r="BS19" s="138">
        <f t="shared" si="10"/>
        <v>0</v>
      </c>
      <c r="BT19" s="132">
        <f t="shared" si="11"/>
        <v>1</v>
      </c>
      <c r="BU19" s="133"/>
      <c r="BV19" s="133"/>
    </row>
    <row r="20" ht="15" customHeight="1" spans="1:75">
      <c r="A20" s="123" t="str">
        <f>IF(B20="","",COUNT(A$6:A19)+1)</f>
        <v/>
      </c>
      <c r="B20" s="139"/>
      <c r="C20" s="140"/>
      <c r="D20" s="145"/>
      <c r="E20" s="142"/>
      <c r="F20" s="127" t="str">
        <f>IFERROR(VLOOKUP(E20,参数表!$H$2:$I$50,2,FALSE),"")</f>
        <v/>
      </c>
      <c r="G20" s="128" t="str">
        <f t="shared" si="5"/>
        <v/>
      </c>
      <c r="H20" s="143"/>
      <c r="I20" s="144"/>
      <c r="J20" s="129" t="str">
        <f t="shared" si="6"/>
        <v/>
      </c>
      <c r="K20" s="129" t="str">
        <f t="shared" si="0"/>
        <v/>
      </c>
      <c r="L20" s="129" t="str">
        <f t="shared" si="1"/>
        <v/>
      </c>
      <c r="M20" s="129" t="str">
        <f t="shared" si="2"/>
        <v/>
      </c>
      <c r="N20" s="145"/>
      <c r="BA20" s="78"/>
      <c r="BB20" s="132" t="s">
        <v>2129</v>
      </c>
      <c r="BC20" s="133"/>
      <c r="BD20" s="132" t="str">
        <f>IF(OR(B20="",BC20=""),"",COUNTIF(BC$7:BC20,"√"))</f>
        <v/>
      </c>
      <c r="BE20" s="134" t="str">
        <f t="shared" si="3"/>
        <v/>
      </c>
      <c r="BF20" s="135" t="str">
        <f t="shared" si="7"/>
        <v/>
      </c>
      <c r="BG20" s="135" t="str">
        <f t="shared" si="7"/>
        <v/>
      </c>
      <c r="BH20" s="136"/>
      <c r="BI20" s="136"/>
      <c r="BJ20" s="136"/>
      <c r="BK20" s="136"/>
      <c r="BL20" s="136"/>
      <c r="BM20" s="137"/>
      <c r="BN20" s="137"/>
      <c r="BP20" s="134" t="str">
        <f>IF(COUNTIF(BP$6:BP19,B20)&gt;0,"",B20)&amp;""</f>
        <v/>
      </c>
      <c r="BQ20" s="138">
        <f t="shared" si="8"/>
        <v>0</v>
      </c>
      <c r="BR20" s="132">
        <f t="shared" si="9"/>
        <v>1</v>
      </c>
      <c r="BS20" s="138">
        <f t="shared" si="10"/>
        <v>0</v>
      </c>
      <c r="BT20" s="132">
        <f t="shared" si="11"/>
        <v>1</v>
      </c>
      <c r="BU20" s="133"/>
      <c r="BV20" s="133"/>
    </row>
    <row r="21" ht="15" customHeight="1" spans="1:75">
      <c r="A21" s="123" t="str">
        <f>IF(B21="","",COUNT(A$6:A20)+1)</f>
        <v/>
      </c>
      <c r="B21" s="139"/>
      <c r="C21" s="140"/>
      <c r="D21" s="145"/>
      <c r="E21" s="142"/>
      <c r="F21" s="127" t="str">
        <f>IFERROR(VLOOKUP(E21,参数表!$H$2:$I$50,2,FALSE),"")</f>
        <v/>
      </c>
      <c r="G21" s="128" t="str">
        <f t="shared" si="5"/>
        <v/>
      </c>
      <c r="H21" s="143"/>
      <c r="I21" s="144"/>
      <c r="J21" s="129" t="str">
        <f t="shared" si="6"/>
        <v/>
      </c>
      <c r="K21" s="129" t="str">
        <f t="shared" si="0"/>
        <v/>
      </c>
      <c r="L21" s="129" t="str">
        <f t="shared" si="1"/>
        <v/>
      </c>
      <c r="M21" s="129" t="str">
        <f t="shared" si="2"/>
        <v/>
      </c>
      <c r="N21" s="145"/>
      <c r="BA21" s="78"/>
      <c r="BB21" s="132" t="s">
        <v>2130</v>
      </c>
      <c r="BC21" s="133"/>
      <c r="BD21" s="132" t="str">
        <f>IF(OR(B21="",BC21=""),"",COUNTIF(BC$7:BC21,"√"))</f>
        <v/>
      </c>
      <c r="BE21" s="134" t="str">
        <f t="shared" si="3"/>
        <v/>
      </c>
      <c r="BF21" s="135" t="str">
        <f t="shared" si="7"/>
        <v/>
      </c>
      <c r="BG21" s="135" t="str">
        <f t="shared" si="7"/>
        <v/>
      </c>
      <c r="BH21" s="136"/>
      <c r="BI21" s="136"/>
      <c r="BJ21" s="136"/>
      <c r="BK21" s="136"/>
      <c r="BL21" s="136"/>
      <c r="BM21" s="137"/>
      <c r="BN21" s="137"/>
      <c r="BP21" s="134" t="str">
        <f>IF(COUNTIF(BP$6:BP20,B21)&gt;0,"",B21)&amp;""</f>
        <v/>
      </c>
      <c r="BQ21" s="138">
        <f t="shared" si="8"/>
        <v>0</v>
      </c>
      <c r="BR21" s="132">
        <f t="shared" si="9"/>
        <v>1</v>
      </c>
      <c r="BS21" s="138">
        <f t="shared" si="10"/>
        <v>0</v>
      </c>
      <c r="BT21" s="132">
        <f t="shared" si="11"/>
        <v>1</v>
      </c>
      <c r="BU21" s="133"/>
      <c r="BV21" s="133"/>
    </row>
    <row r="22" ht="15" customHeight="1" spans="1:75">
      <c r="A22" s="123" t="str">
        <f>IF(B22="","",COUNT(A$6:A21)+1)</f>
        <v/>
      </c>
      <c r="B22" s="139"/>
      <c r="C22" s="140"/>
      <c r="D22" s="145"/>
      <c r="E22" s="142"/>
      <c r="F22" s="127" t="str">
        <f>IFERROR(VLOOKUP(E22,参数表!$H$2:$I$50,2,FALSE),"")</f>
        <v/>
      </c>
      <c r="G22" s="128" t="str">
        <f t="shared" si="5"/>
        <v/>
      </c>
      <c r="H22" s="143"/>
      <c r="I22" s="144"/>
      <c r="J22" s="129" t="str">
        <f t="shared" si="6"/>
        <v/>
      </c>
      <c r="K22" s="129" t="str">
        <f t="shared" si="0"/>
        <v/>
      </c>
      <c r="L22" s="129" t="str">
        <f t="shared" si="1"/>
        <v/>
      </c>
      <c r="M22" s="129" t="str">
        <f t="shared" si="2"/>
        <v/>
      </c>
      <c r="N22" s="145"/>
      <c r="BA22" s="78"/>
      <c r="BB22" s="132" t="s">
        <v>2131</v>
      </c>
      <c r="BC22" s="133"/>
      <c r="BD22" s="132" t="str">
        <f>IF(OR(B22="",BC22=""),"",COUNTIF(BC$7:BC22,"√"))</f>
        <v/>
      </c>
      <c r="BE22" s="134" t="str">
        <f t="shared" si="3"/>
        <v/>
      </c>
      <c r="BF22" s="135" t="str">
        <f t="shared" si="7"/>
        <v/>
      </c>
      <c r="BG22" s="135" t="str">
        <f t="shared" si="7"/>
        <v/>
      </c>
      <c r="BH22" s="136"/>
      <c r="BI22" s="136"/>
      <c r="BJ22" s="136"/>
      <c r="BK22" s="136"/>
      <c r="BL22" s="136"/>
      <c r="BM22" s="137"/>
      <c r="BN22" s="137"/>
      <c r="BP22" s="134" t="str">
        <f>IF(COUNTIF(BP$6:BP21,B22)&gt;0,"",B22)&amp;""</f>
        <v/>
      </c>
      <c r="BQ22" s="138">
        <f t="shared" si="8"/>
        <v>0</v>
      </c>
      <c r="BR22" s="132">
        <f t="shared" si="9"/>
        <v>1</v>
      </c>
      <c r="BS22" s="138">
        <f t="shared" si="10"/>
        <v>0</v>
      </c>
      <c r="BT22" s="132">
        <f t="shared" si="11"/>
        <v>1</v>
      </c>
      <c r="BU22" s="133"/>
      <c r="BV22" s="133"/>
    </row>
    <row r="23" ht="15" customHeight="1" spans="1:75">
      <c r="A23" s="123" t="str">
        <f>IF(B23="","",COUNT(A$6:A22)+1)</f>
        <v/>
      </c>
      <c r="B23" s="139"/>
      <c r="C23" s="140"/>
      <c r="D23" s="145"/>
      <c r="E23" s="142"/>
      <c r="F23" s="127" t="str">
        <f>IFERROR(VLOOKUP(E23,参数表!$H$2:$I$50,2,FALSE),"")</f>
        <v/>
      </c>
      <c r="G23" s="128" t="str">
        <f t="shared" si="5"/>
        <v/>
      </c>
      <c r="H23" s="143"/>
      <c r="I23" s="144"/>
      <c r="J23" s="129" t="str">
        <f t="shared" si="6"/>
        <v/>
      </c>
      <c r="K23" s="129" t="str">
        <f t="shared" si="0"/>
        <v/>
      </c>
      <c r="L23" s="129" t="str">
        <f t="shared" si="1"/>
        <v/>
      </c>
      <c r="M23" s="129" t="str">
        <f t="shared" si="2"/>
        <v/>
      </c>
      <c r="N23" s="145"/>
      <c r="BA23" s="78"/>
      <c r="BB23" s="132" t="s">
        <v>2132</v>
      </c>
      <c r="BC23" s="133"/>
      <c r="BD23" s="132" t="str">
        <f>IF(OR(B23="",BC23=""),"",COUNTIF(BC$7:BC23,"√"))</f>
        <v/>
      </c>
      <c r="BE23" s="134" t="str">
        <f t="shared" si="3"/>
        <v/>
      </c>
      <c r="BF23" s="135" t="str">
        <f t="shared" si="7"/>
        <v/>
      </c>
      <c r="BG23" s="135" t="str">
        <f t="shared" si="7"/>
        <v/>
      </c>
      <c r="BH23" s="136"/>
      <c r="BI23" s="136"/>
      <c r="BJ23" s="136"/>
      <c r="BK23" s="136"/>
      <c r="BL23" s="136"/>
      <c r="BM23" s="137"/>
      <c r="BN23" s="137"/>
      <c r="BP23" s="134" t="str">
        <f>IF(COUNTIF(BP$6:BP22,B23)&gt;0,"",B23)&amp;""</f>
        <v/>
      </c>
      <c r="BQ23" s="138">
        <f t="shared" si="8"/>
        <v>0</v>
      </c>
      <c r="BR23" s="132">
        <f t="shared" si="9"/>
        <v>1</v>
      </c>
      <c r="BS23" s="138">
        <f t="shared" si="10"/>
        <v>0</v>
      </c>
      <c r="BT23" s="132">
        <f t="shared" si="11"/>
        <v>1</v>
      </c>
      <c r="BU23" s="133"/>
      <c r="BV23" s="133"/>
    </row>
    <row r="24" ht="15" customHeight="1" spans="1:75">
      <c r="A24" s="123" t="str">
        <f>IF(B24="","",COUNT(A$6:A23)+1)</f>
        <v/>
      </c>
      <c r="B24" s="139"/>
      <c r="C24" s="140"/>
      <c r="D24" s="145"/>
      <c r="E24" s="142"/>
      <c r="F24" s="127" t="str">
        <f>IFERROR(VLOOKUP(E24,参数表!$H$2:$I$50,2,FALSE),"")</f>
        <v/>
      </c>
      <c r="G24" s="128" t="str">
        <f t="shared" si="5"/>
        <v/>
      </c>
      <c r="H24" s="143"/>
      <c r="I24" s="144"/>
      <c r="J24" s="129" t="str">
        <f t="shared" si="6"/>
        <v/>
      </c>
      <c r="K24" s="129" t="str">
        <f t="shared" si="0"/>
        <v/>
      </c>
      <c r="L24" s="129" t="str">
        <f t="shared" si="1"/>
        <v/>
      </c>
      <c r="M24" s="129" t="str">
        <f t="shared" si="2"/>
        <v/>
      </c>
      <c r="N24" s="145"/>
      <c r="BA24" s="78"/>
      <c r="BB24" s="132" t="s">
        <v>2133</v>
      </c>
      <c r="BC24" s="133"/>
      <c r="BD24" s="132" t="str">
        <f>IF(OR(B24="",BC24=""),"",COUNTIF(BC$7:BC24,"√"))</f>
        <v/>
      </c>
      <c r="BE24" s="134" t="str">
        <f t="shared" si="3"/>
        <v/>
      </c>
      <c r="BF24" s="135" t="str">
        <f t="shared" si="7"/>
        <v/>
      </c>
      <c r="BG24" s="135" t="str">
        <f t="shared" si="7"/>
        <v/>
      </c>
      <c r="BH24" s="136"/>
      <c r="BI24" s="136"/>
      <c r="BJ24" s="136"/>
      <c r="BK24" s="136"/>
      <c r="BL24" s="136"/>
      <c r="BM24" s="137"/>
      <c r="BN24" s="137"/>
      <c r="BP24" s="134" t="str">
        <f>IF(COUNTIF(BP$6:BP23,B24)&gt;0,"",B24)&amp;""</f>
        <v/>
      </c>
      <c r="BQ24" s="138">
        <f t="shared" si="8"/>
        <v>0</v>
      </c>
      <c r="BR24" s="132">
        <f t="shared" si="9"/>
        <v>1</v>
      </c>
      <c r="BS24" s="138">
        <f t="shared" si="10"/>
        <v>0</v>
      </c>
      <c r="BT24" s="132">
        <f t="shared" si="11"/>
        <v>1</v>
      </c>
      <c r="BU24" s="133"/>
      <c r="BV24" s="133"/>
    </row>
    <row r="25" ht="15" customHeight="1" spans="1:75">
      <c r="A25" s="123" t="str">
        <f>IF(B25="","",COUNT(A$6:A24)+1)</f>
        <v/>
      </c>
      <c r="B25" s="139"/>
      <c r="C25" s="140"/>
      <c r="D25" s="145"/>
      <c r="E25" s="142"/>
      <c r="F25" s="127" t="str">
        <f>IFERROR(VLOOKUP(E25,参数表!$H$2:$I$50,2,FALSE),"")</f>
        <v/>
      </c>
      <c r="G25" s="128" t="str">
        <f t="shared" si="5"/>
        <v/>
      </c>
      <c r="H25" s="143"/>
      <c r="I25" s="144"/>
      <c r="J25" s="129" t="str">
        <f t="shared" si="6"/>
        <v/>
      </c>
      <c r="K25" s="129" t="str">
        <f t="shared" si="0"/>
        <v/>
      </c>
      <c r="L25" s="129" t="str">
        <f t="shared" si="1"/>
        <v/>
      </c>
      <c r="M25" s="129" t="str">
        <f t="shared" si="2"/>
        <v/>
      </c>
      <c r="N25" s="145"/>
      <c r="BA25" s="78"/>
      <c r="BB25" s="132" t="s">
        <v>2134</v>
      </c>
      <c r="BC25" s="133"/>
      <c r="BD25" s="132" t="str">
        <f>IF(OR(B25="",BC25=""),"",COUNTIF(BC$7:BC25,"√"))</f>
        <v/>
      </c>
      <c r="BE25" s="134" t="str">
        <f t="shared" si="3"/>
        <v/>
      </c>
      <c r="BF25" s="135" t="str">
        <f t="shared" si="7"/>
        <v/>
      </c>
      <c r="BG25" s="135" t="str">
        <f t="shared" si="7"/>
        <v/>
      </c>
      <c r="BH25" s="136"/>
      <c r="BI25" s="136"/>
      <c r="BJ25" s="136"/>
      <c r="BK25" s="136"/>
      <c r="BL25" s="136"/>
      <c r="BM25" s="137"/>
      <c r="BN25" s="137"/>
      <c r="BP25" s="134" t="str">
        <f>IF(COUNTIF(BP$6:BP24,B25)&gt;0,"",B25)&amp;""</f>
        <v/>
      </c>
      <c r="BQ25" s="138">
        <f t="shared" si="8"/>
        <v>0</v>
      </c>
      <c r="BR25" s="132">
        <f t="shared" si="9"/>
        <v>1</v>
      </c>
      <c r="BS25" s="138">
        <f t="shared" si="10"/>
        <v>0</v>
      </c>
      <c r="BT25" s="132">
        <f t="shared" si="11"/>
        <v>1</v>
      </c>
      <c r="BU25" s="133"/>
      <c r="BV25" s="133"/>
    </row>
    <row r="26" ht="15" customHeight="1" spans="1:75">
      <c r="A26" s="123" t="str">
        <f>IF(B26="","",COUNT(A$6:A25)+1)</f>
        <v/>
      </c>
      <c r="B26" s="124"/>
      <c r="C26" s="125"/>
      <c r="D26" s="131"/>
      <c r="E26" s="127"/>
      <c r="F26" s="127" t="str">
        <f>IFERROR(VLOOKUP(E26,参数表!$H$2:$I$50,2,FALSE),"")</f>
        <v/>
      </c>
      <c r="G26" s="128" t="str">
        <f t="shared" si="5"/>
        <v/>
      </c>
      <c r="H26" s="129"/>
      <c r="I26" s="130"/>
      <c r="J26" s="129" t="str">
        <f t="shared" si="6"/>
        <v/>
      </c>
      <c r="K26" s="129" t="str">
        <f t="shared" si="0"/>
        <v/>
      </c>
      <c r="L26" s="129" t="str">
        <f t="shared" si="1"/>
        <v/>
      </c>
      <c r="M26" s="129" t="str">
        <f t="shared" si="2"/>
        <v/>
      </c>
      <c r="N26" s="131"/>
      <c r="BA26" s="78"/>
      <c r="BB26" s="132" t="s">
        <v>2135</v>
      </c>
      <c r="BC26" s="133"/>
      <c r="BD26" s="132" t="str">
        <f>IF(OR(B26="",BC26=""),"",COUNTIF(BC$7:BC26,"√"))</f>
        <v/>
      </c>
      <c r="BE26" s="134" t="str">
        <f t="shared" si="3"/>
        <v/>
      </c>
      <c r="BF26" s="135" t="str">
        <f t="shared" si="7"/>
        <v/>
      </c>
      <c r="BG26" s="135" t="str">
        <f t="shared" si="7"/>
        <v/>
      </c>
      <c r="BH26" s="136"/>
      <c r="BI26" s="136"/>
      <c r="BJ26" s="136"/>
      <c r="BK26" s="136"/>
      <c r="BL26" s="136"/>
      <c r="BM26" s="137"/>
      <c r="BN26" s="137"/>
      <c r="BP26" s="134" t="str">
        <f>IF(COUNTIF(BP$6:BP25,B26)&gt;0,"",B26)&amp;""</f>
        <v/>
      </c>
      <c r="BQ26" s="138">
        <f t="shared" si="8"/>
        <v>0</v>
      </c>
      <c r="BR26" s="132">
        <f t="shared" si="9"/>
        <v>1</v>
      </c>
      <c r="BS26" s="138">
        <f t="shared" si="10"/>
        <v>0</v>
      </c>
      <c r="BT26" s="132">
        <f t="shared" si="11"/>
        <v>1</v>
      </c>
      <c r="BU26" s="133"/>
      <c r="BV26" s="133"/>
    </row>
    <row r="27" s="73" customFormat="1" ht="15" customHeight="1" spans="1:75">
      <c r="A27" s="149" t="s">
        <v>1922</v>
      </c>
      <c r="B27" s="149"/>
      <c r="C27" s="150"/>
      <c r="D27" s="151"/>
      <c r="E27" s="151"/>
      <c r="F27" s="151"/>
      <c r="G27" s="151"/>
      <c r="H27" s="152">
        <f>SUM(H7:H26)</f>
        <v>0</v>
      </c>
      <c r="I27" s="153"/>
      <c r="J27" s="152">
        <f>SUM(J7:J26)</f>
        <v>0</v>
      </c>
      <c r="K27" s="152">
        <f>SUM(K7:K26)</f>
        <v>0</v>
      </c>
      <c r="L27" s="152">
        <f t="shared" si="1"/>
        <v>0</v>
      </c>
      <c r="M27" s="152" t="str">
        <f t="shared" si="2"/>
        <v/>
      </c>
      <c r="N27" s="151"/>
      <c r="BH27" s="72"/>
      <c r="BI27" s="72"/>
      <c r="BJ27" s="72"/>
      <c r="BK27" s="72"/>
      <c r="BL27" s="72"/>
      <c r="BO27" s="111"/>
      <c r="BP27" s="119"/>
      <c r="BQ27" s="77"/>
      <c r="BR27" s="77"/>
      <c r="BS27" s="77"/>
      <c r="BT27" s="119"/>
      <c r="BU27" s="119"/>
      <c r="BV27" s="119"/>
      <c r="BW27" s="111"/>
    </row>
    <row r="28" customHeight="1" spans="1:75">
      <c r="A28" s="102" t="str">
        <f>参数表!F$6</f>
        <v>产权持有单位填表人：贾广东</v>
      </c>
      <c r="B28" s="154"/>
      <c r="C28" s="154"/>
      <c r="D28" s="154"/>
      <c r="E28" s="154"/>
      <c r="F28" s="154"/>
      <c r="G28" s="154"/>
      <c r="H28" s="154"/>
      <c r="I28" s="155"/>
      <c r="J28" s="103"/>
      <c r="K28" s="103" t="str">
        <f>"评估人员："&amp;封面!$G$20</f>
        <v>评估人员：栗祥宁</v>
      </c>
      <c r="L28" s="103"/>
      <c r="M28" s="103"/>
      <c r="N28" s="103"/>
      <c r="BC28" s="75"/>
      <c r="BD28" s="75"/>
      <c r="BE28" s="75"/>
      <c r="BF28" s="75"/>
      <c r="BG28" s="75"/>
      <c r="BH28" s="165"/>
      <c r="BI28" s="165"/>
      <c r="BJ28" s="165"/>
      <c r="BK28" s="165"/>
      <c r="BL28" s="165"/>
    </row>
    <row r="29" customHeight="1" spans="1:75">
      <c r="A29" s="102" t="str">
        <f>参数表!F$7</f>
        <v>填表日期：2025年9月20日</v>
      </c>
      <c r="B29" s="154"/>
      <c r="C29" s="154"/>
      <c r="D29" s="154"/>
      <c r="E29" s="154"/>
      <c r="F29" s="154"/>
      <c r="G29" s="154"/>
      <c r="H29" s="154"/>
      <c r="I29" s="155"/>
      <c r="J29" s="103"/>
      <c r="K29" s="103"/>
      <c r="L29" s="103"/>
      <c r="M29" s="103"/>
      <c r="N29" s="103"/>
      <c r="BC29" s="75"/>
      <c r="BD29" s="75"/>
      <c r="BE29" s="75"/>
      <c r="BF29" s="75"/>
      <c r="BG29" s="75"/>
      <c r="BH29" s="165"/>
      <c r="BI29" s="165"/>
      <c r="BJ29" s="165"/>
      <c r="BK29" s="165"/>
      <c r="BL29" s="165"/>
    </row>
    <row r="30" hidden="1" customHeight="1" outlineLevel="1" spans="1:75">
      <c r="A30" s="157"/>
      <c r="B30" s="154" t="s">
        <v>1673</v>
      </c>
      <c r="C30" s="158"/>
      <c r="D30" s="158"/>
      <c r="E30" s="158"/>
      <c r="F30" s="158"/>
      <c r="G30" s="158"/>
      <c r="H30" s="159">
        <f>SUMIF($BA7:$BA26,$BA30,H7:H26)</f>
        <v>0</v>
      </c>
      <c r="I30" s="160"/>
      <c r="J30" s="159">
        <f>SUMIF($BA7:$BA26,$BA30,J7:J26)</f>
        <v>0</v>
      </c>
      <c r="K30" s="159">
        <f>SUMIF($BA7:$BA26,$BA30,K7:K26)</f>
        <v>0</v>
      </c>
      <c r="BA30" s="161" t="s">
        <v>1674</v>
      </c>
      <c r="BH30" s="95" t="s">
        <v>1675</v>
      </c>
      <c r="BI30" s="95" t="s">
        <v>1675</v>
      </c>
      <c r="BJ30" s="95" t="s">
        <v>1675</v>
      </c>
      <c r="BK30" s="95" t="s">
        <v>1674</v>
      </c>
      <c r="BL30" s="95" t="s">
        <v>1674</v>
      </c>
    </row>
    <row r="31" hidden="1" customHeight="1" outlineLevel="1" spans="1:75">
      <c r="A31" s="157"/>
      <c r="B31" s="154" t="s">
        <v>1676</v>
      </c>
      <c r="C31" s="158"/>
      <c r="D31" s="158"/>
      <c r="E31" s="158"/>
      <c r="F31" s="158"/>
      <c r="G31" s="158"/>
      <c r="H31" s="159">
        <f>H27-H30</f>
        <v>0</v>
      </c>
      <c r="I31" s="160"/>
      <c r="J31" s="159">
        <f>J27-J30</f>
        <v>0</v>
      </c>
      <c r="K31" s="159">
        <f>K27-K30</f>
        <v>0</v>
      </c>
      <c r="BA31" s="161" t="s">
        <v>1677</v>
      </c>
      <c r="BH31" s="95" t="s">
        <v>1678</v>
      </c>
      <c r="BI31" s="95" t="s">
        <v>1678</v>
      </c>
      <c r="BJ31" s="95" t="s">
        <v>1678</v>
      </c>
      <c r="BK31" s="95" t="s">
        <v>1677</v>
      </c>
      <c r="BL31" s="95" t="s">
        <v>1677</v>
      </c>
    </row>
    <row r="32" customHeight="1" collapsed="1" spans="1:75">
      <c r="A32" s="157"/>
      <c r="B32" s="158"/>
      <c r="C32" s="158"/>
      <c r="D32" s="158"/>
      <c r="E32" s="158"/>
      <c r="F32" s="158"/>
      <c r="G32" s="158"/>
      <c r="H32" s="158"/>
      <c r="I32" s="164"/>
    </row>
    <row r="33" customHeight="1" spans="1:9">
      <c r="A33" s="157"/>
      <c r="B33" s="158"/>
      <c r="C33" s="158"/>
      <c r="D33" s="158"/>
      <c r="E33" s="158"/>
      <c r="F33" s="158"/>
      <c r="G33" s="158"/>
      <c r="H33" s="158"/>
      <c r="I33" s="164"/>
    </row>
    <row r="34" customHeight="1" spans="1:9">
      <c r="A34" s="157"/>
      <c r="B34" s="158"/>
      <c r="C34" s="158"/>
      <c r="D34" s="158"/>
      <c r="E34" s="158"/>
      <c r="F34" s="158"/>
      <c r="G34" s="158"/>
      <c r="H34" s="158"/>
      <c r="I34" s="164"/>
    </row>
    <row r="35" customHeight="1" spans="1:9">
      <c r="A35" s="157"/>
      <c r="B35" s="158"/>
      <c r="C35" s="158"/>
      <c r="D35" s="158"/>
      <c r="E35" s="158"/>
      <c r="F35" s="158"/>
      <c r="G35" s="158"/>
      <c r="H35" s="158"/>
      <c r="I35" s="164"/>
    </row>
    <row r="36" customHeight="1" spans="1:9">
      <c r="A36" s="157"/>
      <c r="B36" s="158"/>
      <c r="C36" s="158"/>
      <c r="D36" s="158"/>
      <c r="E36" s="158"/>
      <c r="F36" s="158"/>
      <c r="G36" s="158"/>
      <c r="H36" s="158"/>
      <c r="I36" s="164"/>
    </row>
  </sheetData>
  <sheetProtection autoFilter="0"/>
  <mergeCells count="6">
    <mergeCell ref="A2:N2"/>
    <mergeCell ref="A3:N3"/>
    <mergeCell ref="BU7:BW7"/>
    <mergeCell ref="BU8:BW8"/>
    <mergeCell ref="BV14:BW14"/>
    <mergeCell ref="A27:B27"/>
  </mergeCells>
  <conditionalFormatting sqref="BM7:BM26">
    <cfRule type="expression" dxfId="5" priority="3"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5" stopIfTrue="1">
      <formula>AND($B7&lt;&gt;"",BH7="")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L26">
      <formula1>BH$30:BH$31</formula1>
    </dataValidation>
  </dataValidations>
  <hyperlinks>
    <hyperlink ref="A1" location="索引目录!D16" display="返回索引页"/>
    <hyperlink ref="B1" location="流动资产汇总表!B19"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0000"/>
  </sheetPr>
  <dimension ref="A1:BB57"/>
  <sheetViews>
    <sheetView showGridLines="0" workbookViewId="0">
      <pane ySplit="1" topLeftCell="A2" activePane="bottomLeft" state="frozen"/>
      <selection/>
      <selection pane="bottomLeft" activeCell="B3" sqref="B3"/>
    </sheetView>
  </sheetViews>
  <sheetFormatPr defaultColWidth="8.7" defaultRowHeight="13.8"/>
  <cols>
    <col min="1" max="5" width="15.6" style="1957" customWidth="1"/>
    <col min="6" max="6" width="15.6" style="1956" customWidth="1"/>
    <col min="7" max="7" width="1.6" style="1957" customWidth="1"/>
    <col min="8" max="9" width="12.6" style="1957" customWidth="1"/>
    <col min="10" max="10" width="1.6" style="1957" customWidth="1"/>
    <col min="11" max="21" width="12.6" style="1957" customWidth="1"/>
    <col min="22" max="52" width="8.7" style="1957" customWidth="1"/>
    <col min="53" max="54" width="10.6" style="1957" customWidth="1"/>
    <col min="55" max="65" width="8.6" style="1957" customWidth="1"/>
    <col min="66" max="16384" width="8.7" style="1957"/>
  </cols>
  <sheetData>
    <row r="1" s="1956" customFormat="1" ht="14.4" spans="1:54">
      <c r="A1" s="1958" t="s">
        <v>114</v>
      </c>
      <c r="B1" s="1958" t="s">
        <v>115</v>
      </c>
      <c r="C1" s="1958" t="s">
        <v>114</v>
      </c>
      <c r="D1" s="1958" t="s">
        <v>115</v>
      </c>
      <c r="E1" s="1958" t="s">
        <v>116</v>
      </c>
      <c r="F1" s="1958" t="s">
        <v>117</v>
      </c>
      <c r="H1" s="1958" t="s">
        <v>118</v>
      </c>
      <c r="I1" s="1958" t="s">
        <v>119</v>
      </c>
      <c r="K1" s="1958" t="s">
        <v>114</v>
      </c>
      <c r="L1" s="1958" t="s">
        <v>120</v>
      </c>
      <c r="M1" s="1959" t="s">
        <v>121</v>
      </c>
      <c r="N1" s="1958" t="s">
        <v>114</v>
      </c>
      <c r="O1" s="1958" t="s">
        <v>122</v>
      </c>
      <c r="P1" s="1958" t="s">
        <v>123</v>
      </c>
      <c r="Q1" s="1958" t="s">
        <v>124</v>
      </c>
      <c r="BA1" s="1960" t="s">
        <v>125</v>
      </c>
    </row>
    <row r="2" ht="14.4" spans="1:54">
      <c r="A2" s="1961" t="s">
        <v>126</v>
      </c>
      <c r="B2" s="1962" t="s">
        <v>127</v>
      </c>
      <c r="C2" s="1963" t="s">
        <v>128</v>
      </c>
      <c r="D2" s="1964" t="s">
        <v>129</v>
      </c>
      <c r="E2" s="1961"/>
      <c r="F2" s="1961"/>
      <c r="H2" s="1961" t="s">
        <v>130</v>
      </c>
      <c r="I2" s="1965">
        <f>1</f>
        <v>1</v>
      </c>
      <c r="K2" s="1966" t="s">
        <v>131</v>
      </c>
      <c r="L2" s="1967">
        <v>6</v>
      </c>
      <c r="M2" s="1958" t="str">
        <f>IF(L3="是","永续年",IF(M4=12,YEAR(Q2)+L2,YEAR(Q2)+L2-1)&amp;IF(L4=12,"年度","年1-"&amp;L4&amp;"月"))</f>
        <v>永续年</v>
      </c>
      <c r="N2" s="1968" t="s">
        <v>132</v>
      </c>
      <c r="O2" s="1958" t="str">
        <f>P2&amp;"-"&amp;Q2</f>
        <v>2022年12月31日-2025年7月31日</v>
      </c>
      <c r="P2" s="1962" t="str">
        <f>N8</f>
        <v>2022年12月31日</v>
      </c>
      <c r="Q2" s="1969" t="str">
        <f>Q8</f>
        <v>2025年7月31日</v>
      </c>
      <c r="BA2" s="1960" t="s">
        <v>133</v>
      </c>
      <c r="BB2" s="1970" t="str">
        <f>B5</f>
        <v>2025年7月31日</v>
      </c>
    </row>
    <row r="3" ht="14.4" spans="1:54">
      <c r="A3" s="1968" t="s">
        <v>134</v>
      </c>
      <c r="B3" s="1964" t="s">
        <v>135</v>
      </c>
      <c r="C3" s="1968" t="str">
        <f>$E$6&amp;":"</f>
        <v>产权持有单位:</v>
      </c>
      <c r="D3" s="1971" t="str">
        <f>封面!F7</f>
        <v>中煤第五建设有限公司</v>
      </c>
      <c r="E3" s="1961"/>
      <c r="F3" s="1961" t="str">
        <f>C3&amp;D3</f>
        <v>产权持有单位:中煤第五建设有限公司</v>
      </c>
      <c r="H3" s="1968" t="s">
        <v>136</v>
      </c>
      <c r="I3" s="1965">
        <f>LOOKUP(B5*1,基础数据!A4:AE835)</f>
        <v>0</v>
      </c>
      <c r="K3" s="1966" t="s">
        <v>137</v>
      </c>
      <c r="L3" s="1967" t="s">
        <v>127</v>
      </c>
      <c r="M3" s="1959" t="s">
        <v>138</v>
      </c>
      <c r="N3" s="1968" t="s">
        <v>139</v>
      </c>
      <c r="O3" s="1958" t="str">
        <f>P3&amp;"-"&amp;Q3</f>
        <v>2022年度-2025年7月</v>
      </c>
      <c r="P3" s="1972" t="str">
        <f>HLOOKUP(P2,L8:Q9,2,FALSE)</f>
        <v>2022年度</v>
      </c>
      <c r="Q3" s="1972" t="str">
        <f>YEAR(Q2)&amp;"年"&amp;IF(M4=12,"",MONTH(Q2)&amp;"月")</f>
        <v>2025年7月</v>
      </c>
      <c r="BA3" s="1960" t="s">
        <v>126</v>
      </c>
      <c r="BB3" s="1957" t="str">
        <f>B2</f>
        <v>是</v>
      </c>
    </row>
    <row r="4" ht="14.4" spans="1:54">
      <c r="A4" s="1968" t="s">
        <v>140</v>
      </c>
      <c r="B4" s="1962" t="s">
        <v>141</v>
      </c>
      <c r="C4" s="1963" t="s">
        <v>142</v>
      </c>
      <c r="D4" s="1964" t="s">
        <v>143</v>
      </c>
      <c r="E4" s="1973" t="s">
        <v>144</v>
      </c>
      <c r="F4" s="1974" t="s">
        <v>145</v>
      </c>
      <c r="H4" s="1968" t="s">
        <v>146</v>
      </c>
      <c r="I4" s="1965">
        <f>LOOKUP(B5*1,基础数据!A4:AF835)</f>
        <v>0</v>
      </c>
      <c r="K4" s="1966" t="s">
        <v>147</v>
      </c>
      <c r="L4" s="1967">
        <v>7</v>
      </c>
      <c r="M4" s="1975">
        <f>IF(MONTH(Q8)=12,12,12-MONTH(Q8))</f>
        <v>5</v>
      </c>
      <c r="N4" s="1968" t="s">
        <v>148</v>
      </c>
      <c r="O4" s="1958" t="str">
        <f>P4&amp;"-"&amp;Q4</f>
        <v>2025年8月-2029年</v>
      </c>
      <c r="P4" s="1972" t="str">
        <f>IF(M4=12,YEAR(Q2)+1&amp;"年",YEAR(Q2)&amp;"年"&amp;MONTH(Q2)+1&amp;"月")</f>
        <v>2025年8月</v>
      </c>
      <c r="Q4" s="1962" t="str">
        <f>IF(L3="是",IF(M4=12,YEAR(Q2)+L2-1&amp;"年",YEAR(Q2)+L2-2&amp;"年"),IF(L4=12,IF(M4=12,YEAR(Q2)+L2&amp;"年",YEAR(Q2)+L2-1&amp;"年"),IF(M4=12,YEAR(Q2)+L2&amp;"年",YEAR(Q2)+L2-1&amp;"年")&amp;L4&amp;"月"))</f>
        <v>2029年</v>
      </c>
      <c r="BA4" s="1976"/>
      <c r="BB4" s="1970"/>
    </row>
    <row r="5" ht="15.6" spans="1:54">
      <c r="A5" s="1968" t="s">
        <v>133</v>
      </c>
      <c r="B5" s="1977" t="str">
        <f>封面!F9&amp;封面!G9&amp;封面!H9&amp;封面!I9&amp;封面!J9&amp;封面!K9</f>
        <v>2025年7月31日</v>
      </c>
      <c r="C5" s="1968" t="s">
        <v>149</v>
      </c>
      <c r="D5" s="1978" t="str">
        <f>NUMBERSTRING(YEAR(E5),3)&amp;"年"&amp;IF(MONTH(E5)&gt;=10,IF(MONTH(E5)=10,"十","十"&amp;NUMBERSTRING(MONTH(E5)-10,3))&amp;"月",NUMBERSTRING(MONTH(E5),3)&amp;"月")&amp;IF(AND(DAY(E5)&gt;=10,DAY(E5)&lt;20),IF(DAY(E5)=10,"十","十"&amp;NUMBERSTRING(DAY(E5)-10,3))&amp;"日",NUMBERSTRING(DAY(E5),1)&amp;"日")</f>
        <v>二○二○年三月三十一日</v>
      </c>
      <c r="E5" s="1979">
        <v>43921</v>
      </c>
      <c r="F5" s="1961" t="str">
        <f>A5&amp;B5</f>
        <v>评估基准日：2025年7月31日</v>
      </c>
      <c r="H5" s="1968" t="s">
        <v>150</v>
      </c>
      <c r="I5" s="1965">
        <f>LOOKUP(B5*1,基础数据!A4:AG835)</f>
        <v>0</v>
      </c>
      <c r="K5" s="279"/>
      <c r="BA5" s="1960"/>
      <c r="BB5" s="1970"/>
    </row>
    <row r="6" ht="14.4" spans="1:54">
      <c r="A6" s="1968" t="str">
        <f>$E$6&amp;"填表人："</f>
        <v>产权持有单位填表人：</v>
      </c>
      <c r="B6" s="1980" t="str">
        <f>封面!F11&amp;""</f>
        <v>贾广东</v>
      </c>
      <c r="C6" s="1968" t="s">
        <v>151</v>
      </c>
      <c r="D6" s="1981" t="s">
        <v>152</v>
      </c>
      <c r="E6" s="1958" t="str">
        <f>IF(D6="股东全部权益","被评估单位","产权持有单位")</f>
        <v>产权持有单位</v>
      </c>
      <c r="F6" s="1961" t="str">
        <f>A6&amp;B6</f>
        <v>产权持有单位填表人：贾广东</v>
      </c>
      <c r="H6" s="1968" t="s">
        <v>153</v>
      </c>
      <c r="I6" s="1965">
        <f>LOOKUP(B5*1,基础数据!A4:AH835)</f>
        <v>0</v>
      </c>
      <c r="K6" s="1958" t="s">
        <v>114</v>
      </c>
      <c r="L6" s="1958" t="s">
        <v>154</v>
      </c>
      <c r="M6" s="1958"/>
      <c r="N6" s="1958"/>
      <c r="O6" s="1958"/>
      <c r="P6" s="1958"/>
      <c r="Q6" s="1958"/>
      <c r="BA6" s="1960"/>
      <c r="BB6" s="1970"/>
    </row>
    <row r="7" ht="14.4" spans="1:54">
      <c r="A7" s="1968" t="s">
        <v>155</v>
      </c>
      <c r="B7" s="1977" t="str">
        <f>封面!F13&amp;封面!G13&amp;封面!H13&amp;封面!I13&amp;封面!J13&amp;封面!K13</f>
        <v>2025年9月20日</v>
      </c>
      <c r="C7" s="1968" t="s">
        <v>156</v>
      </c>
      <c r="D7" s="1982">
        <f>DATE(YEAR(B5)+1,MONTH(B5),DAY(B5)-1)</f>
        <v>46233</v>
      </c>
      <c r="E7" s="1982">
        <f>DATE(YEAR(B5)+2,MONTH(B5),DAY(B5))</f>
        <v>46599</v>
      </c>
      <c r="F7" s="1961" t="str">
        <f>A7&amp;B7</f>
        <v>填表日期：2025年9月20日</v>
      </c>
      <c r="H7" s="1968" t="s">
        <v>157</v>
      </c>
      <c r="I7" s="1965">
        <f>LOOKUP(B5*1,基础数据!A4:AI835)</f>
        <v>0</v>
      </c>
      <c r="K7" s="1958"/>
      <c r="L7" s="1958" t="str">
        <f>"第"&amp;MID(M7,2,1)+1&amp;"年"</f>
        <v>第6年</v>
      </c>
      <c r="M7" s="1958" t="str">
        <f>"第"&amp;MID(N7,2,1)+1&amp;"年"</f>
        <v>第5年</v>
      </c>
      <c r="N7" s="1958" t="str">
        <f>"第"&amp;MID(O7,2,1)+1&amp;"年"</f>
        <v>第4年</v>
      </c>
      <c r="O7" s="1958" t="str">
        <f>"第"&amp;MID(P7,2,1)+1&amp;"年"</f>
        <v>第3年</v>
      </c>
      <c r="P7" s="1958" t="str">
        <f>"第"&amp;MID(Q7,2,1)+1&amp;"年"</f>
        <v>第2年</v>
      </c>
      <c r="Q7" s="1958" t="s">
        <v>158</v>
      </c>
      <c r="BA7" s="1960"/>
      <c r="BB7" s="1970"/>
    </row>
    <row r="8" ht="14.4" spans="1:54">
      <c r="A8" s="1968" t="s">
        <v>159</v>
      </c>
      <c r="B8" s="1982">
        <f ca="1">TODAY()</f>
        <v>46014</v>
      </c>
      <c r="C8" s="1963" t="s">
        <v>160</v>
      </c>
      <c r="D8" s="1983"/>
      <c r="E8" s="1984" t="s">
        <v>161</v>
      </c>
      <c r="F8" s="1961"/>
      <c r="H8" s="1968" t="s">
        <v>162</v>
      </c>
      <c r="I8" s="1965">
        <f>LOOKUP(B5*1,基础数据!A4:AJ835)</f>
        <v>0</v>
      </c>
      <c r="K8" s="1968" t="s">
        <v>163</v>
      </c>
      <c r="L8" s="1958" t="str">
        <f>LEFT(L9,5)&amp;"12月31日"</f>
        <v>2020年12月31日</v>
      </c>
      <c r="M8" s="1958" t="str">
        <f>LEFT(M9,5)&amp;"12月31日"</f>
        <v>2021年12月31日</v>
      </c>
      <c r="N8" s="1958" t="str">
        <f>LEFT(N9,5)&amp;"12月31日"</f>
        <v>2022年12月31日</v>
      </c>
      <c r="O8" s="1958" t="str">
        <f>LEFT(O9,5)&amp;"12月31日"</f>
        <v>2023年12月31日</v>
      </c>
      <c r="P8" s="1958" t="str">
        <f>LEFT(P9,5)&amp;"12月31日"</f>
        <v>2024年12月31日</v>
      </c>
      <c r="Q8" s="1985" t="str">
        <f>B5</f>
        <v>2025年7月31日</v>
      </c>
      <c r="BA8" s="1960"/>
      <c r="BB8" s="1970"/>
    </row>
    <row r="9" ht="14.4" spans="1:54">
      <c r="A9" s="1968" t="s">
        <v>164</v>
      </c>
      <c r="B9" s="1958" t="str">
        <f ca="1">IF(B8-D7&gt;0,"报告已到期",ABS(B8-D7)&amp;"天")</f>
        <v>219天</v>
      </c>
      <c r="C9" s="1961" t="s">
        <v>165</v>
      </c>
      <c r="D9" s="1958" t="str">
        <f>TEXT(B5,"yyyy/m/d")</f>
        <v>2025/7/31</v>
      </c>
      <c r="E9" s="1986" t="str">
        <f>TEXT(B5,"yyyy.m.d")</f>
        <v>2025.7.31</v>
      </c>
      <c r="F9" s="1961"/>
      <c r="H9" s="1968" t="s">
        <v>166</v>
      </c>
      <c r="I9" s="1965">
        <f>LOOKUP(B5*1,基础数据!A4:AK835)</f>
        <v>0</v>
      </c>
      <c r="K9" s="1968" t="s">
        <v>167</v>
      </c>
      <c r="L9" s="1958" t="str">
        <f>LEFT(M9,4)-1&amp;"年度"</f>
        <v>2020年度</v>
      </c>
      <c r="M9" s="1958" t="str">
        <f>LEFT(N9,4)-1&amp;"年度"</f>
        <v>2021年度</v>
      </c>
      <c r="N9" s="1958" t="str">
        <f>LEFT(O9,4)-1&amp;"年度"</f>
        <v>2022年度</v>
      </c>
      <c r="O9" s="1958" t="str">
        <f>LEFT(P9,4)-1&amp;"年度"</f>
        <v>2023年度</v>
      </c>
      <c r="P9" s="1958" t="str">
        <f>LEFT(Q9,4)-1&amp;"年度"</f>
        <v>2024年度</v>
      </c>
      <c r="Q9" s="1958" t="str">
        <f>YEAR(Q8)&amp;"年"&amp;IF(MONTH(Q8)=1,"1月",IF(MONTH(Q8)=12,"度","1-"&amp;MONTH(Q8)&amp;"月"))</f>
        <v>2025年1-7月</v>
      </c>
      <c r="BA9" s="1960"/>
      <c r="BB9" s="1970"/>
    </row>
    <row r="10" ht="14.4" spans="1:54">
      <c r="A10" s="1968" t="s">
        <v>168</v>
      </c>
      <c r="B10" s="1958">
        <f>IF(MONTH(B5)=12,12,12-MONTH(B5))</f>
        <v>5</v>
      </c>
      <c r="C10" s="1984" t="s">
        <v>169</v>
      </c>
      <c r="D10" s="1962" t="s">
        <v>170</v>
      </c>
      <c r="E10" s="1984" t="s">
        <v>171</v>
      </c>
      <c r="F10" s="1962" t="s">
        <v>172</v>
      </c>
      <c r="H10" s="1968" t="s">
        <v>173</v>
      </c>
      <c r="I10" s="1965">
        <f>LOOKUP(B5*1,基础数据!A4:AL835)</f>
        <v>0</v>
      </c>
      <c r="K10" s="1987" t="s">
        <v>174</v>
      </c>
      <c r="L10" s="1958">
        <f>1</f>
        <v>1</v>
      </c>
      <c r="M10" s="1958">
        <f>L10</f>
        <v>1</v>
      </c>
      <c r="N10" s="1958">
        <f t="shared" ref="N10:P10" si="0">M10</f>
        <v>1</v>
      </c>
      <c r="O10" s="1958">
        <f t="shared" si="0"/>
        <v>1</v>
      </c>
      <c r="P10" s="1958">
        <f t="shared" si="0"/>
        <v>1</v>
      </c>
      <c r="Q10" s="1988">
        <f>IF(L13=1,1,1-L13)</f>
        <v>0.583333333333333</v>
      </c>
      <c r="BA10" s="1960"/>
      <c r="BB10" s="1970"/>
    </row>
    <row r="11" ht="15.6" spans="1:54">
      <c r="A11" s="1968" t="s">
        <v>175</v>
      </c>
      <c r="B11" s="1958" t="str">
        <f>"中致成评报字["&amp;D11&amp;"]第"&amp;F11&amp;"号"</f>
        <v>中致成评报字[2020]第0202号</v>
      </c>
      <c r="C11" s="1961" t="s">
        <v>176</v>
      </c>
      <c r="D11" s="1962">
        <v>2020</v>
      </c>
      <c r="E11" s="1961" t="s">
        <v>177</v>
      </c>
      <c r="F11" s="1962" t="str">
        <f>"0202"</f>
        <v>0202</v>
      </c>
      <c r="H11" s="1968" t="s">
        <v>178</v>
      </c>
      <c r="I11" s="1965">
        <f>LOOKUP(B5*1,基础数据!A4:AM835)</f>
        <v>0</v>
      </c>
      <c r="O11" s="279"/>
      <c r="P11" s="279"/>
      <c r="Q11" s="279"/>
      <c r="BA11" s="1960"/>
      <c r="BB11" s="1970"/>
    </row>
    <row r="12" ht="15.6" spans="1:54">
      <c r="B12" s="1956"/>
      <c r="D12" s="1956"/>
      <c r="H12" s="1968" t="s">
        <v>179</v>
      </c>
      <c r="I12" s="1965">
        <f>LOOKUP(B5*1,基础数据!A4:AK835)</f>
        <v>0</v>
      </c>
      <c r="K12" s="1958" t="s">
        <v>114</v>
      </c>
      <c r="L12" s="1968" t="s">
        <v>180</v>
      </c>
      <c r="M12" s="1968"/>
      <c r="N12" s="1968"/>
      <c r="O12" s="279"/>
      <c r="P12" s="279"/>
      <c r="Q12" s="279"/>
      <c r="BA12" s="1960"/>
      <c r="BB12" s="1970"/>
    </row>
    <row r="13" ht="15.6" spans="1:54">
      <c r="A13" s="1958" t="s">
        <v>181</v>
      </c>
      <c r="B13" s="1958" t="s">
        <v>182</v>
      </c>
      <c r="C13" s="1970"/>
      <c r="D13" s="1958" t="s">
        <v>183</v>
      </c>
      <c r="E13" s="1958" t="s">
        <v>184</v>
      </c>
      <c r="H13" s="1968" t="s">
        <v>185</v>
      </c>
      <c r="I13" s="1965">
        <f>LOOKUP(B5*1,基础数据!A4:AO835)</f>
        <v>0</v>
      </c>
      <c r="K13" s="1987" t="s">
        <v>174</v>
      </c>
      <c r="L13" s="1988">
        <f>M4/12</f>
        <v>0.416666666666667</v>
      </c>
      <c r="M13" s="1988">
        <f>IF($M2="永续年",1,IF(M14=$C2,$L4/12,1))</f>
        <v>1</v>
      </c>
      <c r="N13" s="1988">
        <f>IF($M2="永续年",1,IF(N14=$C2,$L4/12,1))</f>
        <v>1</v>
      </c>
      <c r="O13" s="279"/>
      <c r="P13" s="279"/>
      <c r="Q13" s="279"/>
      <c r="BA13" s="1960"/>
      <c r="BB13" s="1970"/>
    </row>
    <row r="14" ht="15.6" spans="1:54">
      <c r="A14" s="1958">
        <v>0</v>
      </c>
      <c r="B14" s="1989">
        <f>B23</f>
        <v>0</v>
      </c>
      <c r="D14" s="1968" t="s">
        <v>186</v>
      </c>
      <c r="E14" s="1990">
        <f>LOOKUP(B5*1,基础数据!A4:J835)</f>
        <v>0</v>
      </c>
      <c r="H14" s="1968" t="s">
        <v>187</v>
      </c>
      <c r="I14" s="1965">
        <f>LOOKUP(B5*1,基础数据!A4:AP835)</f>
        <v>0</v>
      </c>
      <c r="K14" s="1958" t="s">
        <v>188</v>
      </c>
      <c r="L14" s="1958" t="str">
        <f>IF(M4=12,YEAR(B5)+1,YEAR(B5))&amp;"年"&amp;IF(M4=12,"度",IF(M4=11,"12月",MONTH(B5)+1&amp;"-12月"))</f>
        <v>2025年8-12月</v>
      </c>
      <c r="M14" s="1958" t="str">
        <f>LEFT(L14,4)+1&amp;"年度"</f>
        <v>2026年度</v>
      </c>
      <c r="N14" s="1958" t="str">
        <f>LEFT(M14,4)+1&amp;"年度"</f>
        <v>2027年度</v>
      </c>
      <c r="O14" s="279"/>
      <c r="P14" s="279"/>
      <c r="Q14" s="279"/>
      <c r="BA14" s="1960"/>
      <c r="BB14" s="1970"/>
    </row>
    <row r="15" ht="15.6" spans="1:54">
      <c r="A15" s="1958">
        <v>1.0001</v>
      </c>
      <c r="B15" s="1991">
        <f>(B$19-B$14)/5+B14</f>
        <v>0</v>
      </c>
      <c r="D15" s="1968" t="s">
        <v>189</v>
      </c>
      <c r="E15" s="1990">
        <f>LOOKUP(B5*1,基础数据!A4:K835)</f>
        <v>0</v>
      </c>
      <c r="H15" s="1968" t="s">
        <v>190</v>
      </c>
      <c r="I15" s="1965">
        <f>LOOKUP(B5*1,基础数据!A4:AQ835)</f>
        <v>0</v>
      </c>
      <c r="K15" s="279"/>
      <c r="L15" s="279"/>
      <c r="M15" s="279"/>
      <c r="N15" s="279"/>
      <c r="O15" s="279"/>
      <c r="P15" s="279"/>
      <c r="Q15" s="279"/>
      <c r="BA15" s="1960"/>
      <c r="BB15" s="1970"/>
    </row>
    <row r="16" ht="15.6" spans="1:54">
      <c r="A16" s="1958">
        <v>2.0001</v>
      </c>
      <c r="B16" s="1989">
        <f>(B$19-B$14)/5+B15</f>
        <v>0</v>
      </c>
      <c r="D16" s="1968" t="s">
        <v>191</v>
      </c>
      <c r="E16" s="1992">
        <f>E14</f>
        <v>0</v>
      </c>
      <c r="H16" s="1968" t="s">
        <v>192</v>
      </c>
      <c r="I16" s="1965">
        <f>LOOKUP(B5*1,基础数据!A4:AR835)</f>
        <v>0</v>
      </c>
      <c r="K16" s="1993" t="s">
        <v>193</v>
      </c>
      <c r="L16" s="1993" t="s">
        <v>194</v>
      </c>
      <c r="M16" s="279"/>
      <c r="N16" s="279"/>
      <c r="O16" s="279"/>
      <c r="P16" s="279"/>
      <c r="Q16" s="279"/>
      <c r="BA16" s="1960"/>
      <c r="BB16" s="1970"/>
    </row>
    <row r="17" ht="15.6" spans="1:54">
      <c r="A17" s="1958">
        <v>3.0001</v>
      </c>
      <c r="B17" s="1989">
        <f>(B$19-B$14)/5+B16</f>
        <v>0</v>
      </c>
      <c r="D17" s="1968" t="s">
        <v>195</v>
      </c>
      <c r="E17" s="1992">
        <f>E15</f>
        <v>0</v>
      </c>
      <c r="H17" s="1968" t="s">
        <v>196</v>
      </c>
      <c r="I17" s="1965">
        <f>LOOKUP(B5*1,基础数据!A4:AS835)</f>
        <v>0</v>
      </c>
      <c r="K17" s="1961" t="s">
        <v>197</v>
      </c>
      <c r="L17" s="1961" t="s">
        <v>198</v>
      </c>
      <c r="M17" s="279"/>
      <c r="N17" s="279"/>
      <c r="O17" s="279"/>
      <c r="P17" s="279"/>
      <c r="Q17" s="279"/>
      <c r="BA17" s="1960"/>
      <c r="BB17" s="1970"/>
    </row>
    <row r="18" ht="15.6" spans="1:54">
      <c r="A18" s="1958">
        <v>4.0001</v>
      </c>
      <c r="B18" s="1989">
        <f>(B$19-B$14)/5+B17</f>
        <v>0</v>
      </c>
      <c r="D18" s="1968" t="s">
        <v>199</v>
      </c>
      <c r="E18" s="1992">
        <f>E17</f>
        <v>0</v>
      </c>
      <c r="H18" s="1968" t="s">
        <v>200</v>
      </c>
      <c r="I18" s="1965">
        <f>LOOKUP(B5*1,基础数据!A4:AT835)</f>
        <v>0</v>
      </c>
      <c r="K18" s="1961" t="s">
        <v>201</v>
      </c>
      <c r="L18" s="1961" t="s">
        <v>202</v>
      </c>
      <c r="M18" s="279"/>
      <c r="N18" s="279"/>
      <c r="O18" s="279"/>
      <c r="P18" s="279"/>
      <c r="Q18" s="279"/>
      <c r="BA18" s="1960"/>
      <c r="BB18" s="1970"/>
    </row>
    <row r="19" ht="15.6" spans="1:54">
      <c r="A19" s="1958">
        <v>5.0001</v>
      </c>
      <c r="B19" s="1989">
        <f>B24</f>
        <v>0</v>
      </c>
      <c r="D19" s="1968" t="s">
        <v>203</v>
      </c>
      <c r="E19" s="1994">
        <f>LOOKUP(B5*1,基础数据!A4:L835)</f>
        <v>0</v>
      </c>
      <c r="H19" s="1968" t="s">
        <v>204</v>
      </c>
      <c r="I19" s="1965">
        <f>LOOKUP(B5*1,基础数据!A4:AU835)</f>
        <v>0</v>
      </c>
      <c r="K19" s="1961" t="s">
        <v>205</v>
      </c>
      <c r="L19" s="1961" t="s">
        <v>206</v>
      </c>
      <c r="M19" s="279"/>
      <c r="N19" s="279"/>
      <c r="O19" s="279"/>
      <c r="P19" s="279"/>
      <c r="Q19" s="279"/>
      <c r="BA19" s="1960"/>
      <c r="BB19" s="1970"/>
    </row>
    <row r="20" ht="14.4" spans="1:54">
      <c r="A20" s="1958" t="s">
        <v>207</v>
      </c>
      <c r="B20" s="1989">
        <f>AVERAGE(B14,B19)</f>
        <v>0</v>
      </c>
      <c r="H20" s="1968" t="s">
        <v>208</v>
      </c>
      <c r="I20" s="1965">
        <f>LOOKUP(B5*1,基础数据!A4:AV835)</f>
        <v>0</v>
      </c>
      <c r="BA20" s="1960"/>
      <c r="BB20" s="1970"/>
    </row>
    <row r="21" ht="14.4" spans="1:54">
      <c r="H21" s="1968" t="s">
        <v>209</v>
      </c>
      <c r="I21" s="1965">
        <f>LOOKUP(B5*1,基础数据!A4:AW835)</f>
        <v>0</v>
      </c>
      <c r="BA21" s="1960"/>
      <c r="BB21" s="1970"/>
    </row>
    <row r="22" ht="14.4" spans="1:54">
      <c r="A22" s="1958" t="s">
        <v>114</v>
      </c>
      <c r="B22" s="1958" t="s">
        <v>210</v>
      </c>
      <c r="D22" s="1958" t="s">
        <v>114</v>
      </c>
      <c r="E22" s="1958" t="s">
        <v>210</v>
      </c>
      <c r="H22" s="1968" t="s">
        <v>211</v>
      </c>
      <c r="I22" s="1965">
        <f>LOOKUP(B5*1,基础数据!A4:AX835)</f>
        <v>0</v>
      </c>
      <c r="BA22" s="1960"/>
      <c r="BB22" s="1970"/>
    </row>
    <row r="23" ht="14.4" spans="1:54">
      <c r="A23" s="1995" t="s">
        <v>212</v>
      </c>
      <c r="B23" s="1995">
        <f>LOOKUP(B5*1,基础数据!A4:AB835)</f>
        <v>0</v>
      </c>
      <c r="D23" s="1996" t="s">
        <v>213</v>
      </c>
      <c r="E23" s="1996">
        <f>LOOKUP(B5*1,基础数据!A4:N835)</f>
        <v>0</v>
      </c>
      <c r="H23" s="1968" t="s">
        <v>214</v>
      </c>
      <c r="I23" s="1965">
        <f>LOOKUP(B5*1,基础数据!A4:AY835)</f>
        <v>0</v>
      </c>
      <c r="BA23" s="1960"/>
      <c r="BB23" s="1970"/>
    </row>
    <row r="24" ht="14.4" spans="1:54">
      <c r="A24" s="1995" t="s">
        <v>215</v>
      </c>
      <c r="B24" s="1995">
        <f>LOOKUP(B5*1,基础数据!A4:AC835)</f>
        <v>0</v>
      </c>
      <c r="D24" s="1996" t="s">
        <v>216</v>
      </c>
      <c r="E24" s="1996">
        <f>LOOKUP(B5*1,基础数据!A4:O835)</f>
        <v>0</v>
      </c>
      <c r="H24" s="1968" t="s">
        <v>217</v>
      </c>
      <c r="I24" s="1965">
        <f>LOOKUP(B5*1,基础数据!A4:AZ835)</f>
        <v>0</v>
      </c>
    </row>
    <row r="25" ht="14.4" spans="1:54">
      <c r="D25" s="1996" t="s">
        <v>218</v>
      </c>
      <c r="E25" s="1996">
        <f>LOOKUP(B5*1,基础数据!A4:P835)</f>
        <v>0</v>
      </c>
      <c r="H25" s="1968" t="s">
        <v>219</v>
      </c>
      <c r="I25" s="1965">
        <f>LOOKUP(B5*1,基础数据!A4:BA835)</f>
        <v>0</v>
      </c>
    </row>
    <row r="26" ht="14.4" spans="1:54">
      <c r="A26" s="1958" t="s">
        <v>114</v>
      </c>
      <c r="B26" s="1958" t="s">
        <v>210</v>
      </c>
      <c r="D26" s="1968" t="s">
        <v>220</v>
      </c>
      <c r="E26" s="1996">
        <f>LOOKUP(B5*1,基础数据!A4:Q835)</f>
        <v>0</v>
      </c>
      <c r="H26" s="1968" t="s">
        <v>221</v>
      </c>
      <c r="I26" s="1965">
        <f>LOOKUP(B5*1,基础数据!A4:BB835)</f>
        <v>0</v>
      </c>
    </row>
    <row r="27" ht="14.4" spans="1:54">
      <c r="A27" s="1996" t="s">
        <v>222</v>
      </c>
      <c r="B27" s="1996">
        <f>LOOKUP(B5*1,基础数据!A4:U835)</f>
        <v>0</v>
      </c>
      <c r="D27" s="1968" t="s">
        <v>223</v>
      </c>
      <c r="E27" s="1996">
        <f>LOOKUP(B5*1,基础数据!A4:R835)</f>
        <v>0</v>
      </c>
      <c r="H27" s="1997"/>
      <c r="I27" s="1998"/>
    </row>
    <row r="28" spans="1:54">
      <c r="H28" s="1997"/>
      <c r="I28" s="1998"/>
    </row>
    <row r="29" ht="14.4" spans="1:54">
      <c r="A29" s="1958" t="s">
        <v>154</v>
      </c>
      <c r="B29" s="1958"/>
      <c r="C29" s="1958"/>
      <c r="D29" s="1958"/>
      <c r="E29" s="1958"/>
      <c r="F29" s="1958"/>
      <c r="H29" s="1997"/>
      <c r="I29" s="1998"/>
    </row>
    <row r="30" ht="14.4" spans="1:54">
      <c r="A30" s="1958" t="str">
        <f>"第"&amp;MID(B30,2,1)+1&amp;"年"</f>
        <v>第6年</v>
      </c>
      <c r="B30" s="1958" t="str">
        <f>"第"&amp;MID(C30,2,1)+1&amp;"年"</f>
        <v>第5年</v>
      </c>
      <c r="C30" s="1958" t="str">
        <f>"第"&amp;MID(D30,2,1)+1&amp;"年"</f>
        <v>第4年</v>
      </c>
      <c r="D30" s="1958" t="str">
        <f>"第"&amp;MID(E30,2,1)+1&amp;"年"</f>
        <v>第3年</v>
      </c>
      <c r="E30" s="1958" t="str">
        <f>"第"&amp;MID(F30,2,1)+1&amp;"年"</f>
        <v>第2年</v>
      </c>
      <c r="F30" s="1958" t="s">
        <v>158</v>
      </c>
      <c r="H30" s="1997"/>
      <c r="I30" s="1998"/>
    </row>
    <row r="31" spans="1:54">
      <c r="A31" s="1958" t="str">
        <f>LEFT(A32,5)&amp;"12月31日"</f>
        <v>2020年12月31日</v>
      </c>
      <c r="B31" s="1958" t="str">
        <f>LEFT(B32,5)&amp;"12月31日"</f>
        <v>2021年12月31日</v>
      </c>
      <c r="C31" s="1958" t="str">
        <f>LEFT(C32,5)&amp;"12月31日"</f>
        <v>2022年12月31日</v>
      </c>
      <c r="D31" s="1958" t="str">
        <f>LEFT(D32,5)&amp;"12月31日"</f>
        <v>2023年12月31日</v>
      </c>
      <c r="E31" s="1958" t="str">
        <f>LEFT(E32,5)&amp;"12月31日"</f>
        <v>2024年12月31日</v>
      </c>
      <c r="F31" s="1985" t="str">
        <f>B5</f>
        <v>2025年7月31日</v>
      </c>
      <c r="H31" s="1997"/>
      <c r="I31" s="1998"/>
    </row>
    <row r="32" spans="1:54">
      <c r="A32" s="1958" t="str">
        <f>LEFT(B32,4)-1&amp;"年度"</f>
        <v>2020年度</v>
      </c>
      <c r="B32" s="1958" t="str">
        <f>LEFT(C32,4)-1&amp;"年度"</f>
        <v>2021年度</v>
      </c>
      <c r="C32" s="1958" t="str">
        <f>LEFT(D32,4)-1&amp;"年度"</f>
        <v>2022年度</v>
      </c>
      <c r="D32" s="1958" t="str">
        <f>LEFT(E32,4)-1&amp;"年度"</f>
        <v>2023年度</v>
      </c>
      <c r="E32" s="1958" t="str">
        <f>LEFT(F32,4)-1&amp;"年度"</f>
        <v>2024年度</v>
      </c>
      <c r="F32" s="1958" t="str">
        <f>YEAR(F31)&amp;"年"&amp;IF(MONTH(F31)=1,"1月",IF(MONTH(F31)=12,"度","1-"&amp;MONTH(F31)&amp;"月"))</f>
        <v>2025年1-7月</v>
      </c>
      <c r="H32" s="1997"/>
      <c r="I32" s="1998"/>
    </row>
    <row r="33" spans="1:9">
      <c r="H33" s="1997"/>
      <c r="I33" s="1998"/>
    </row>
    <row r="34" ht="14.4" spans="1:9">
      <c r="A34" s="1987" t="s">
        <v>169</v>
      </c>
      <c r="B34" s="1999" t="s">
        <v>171</v>
      </c>
      <c r="C34" s="1987" t="s">
        <v>224</v>
      </c>
      <c r="D34" s="1987" t="s">
        <v>225</v>
      </c>
      <c r="E34" s="1987" t="s">
        <v>226</v>
      </c>
      <c r="F34" s="1957"/>
      <c r="H34" s="1997"/>
      <c r="I34" s="1998"/>
    </row>
    <row r="35" ht="14.4" spans="1:9">
      <c r="A35" s="1963" t="s">
        <v>227</v>
      </c>
      <c r="B35" s="2000" t="s">
        <v>227</v>
      </c>
      <c r="C35" s="1987" t="s">
        <v>228</v>
      </c>
      <c r="D35" s="1987" t="s">
        <v>127</v>
      </c>
      <c r="E35" s="1987" t="s">
        <v>127</v>
      </c>
      <c r="H35" s="1997"/>
      <c r="I35" s="1998"/>
    </row>
    <row r="36" ht="14.4" spans="1:9">
      <c r="A36" s="1963" t="s">
        <v>229</v>
      </c>
      <c r="B36" s="2000" t="s">
        <v>172</v>
      </c>
      <c r="C36" s="1987" t="s">
        <v>228</v>
      </c>
      <c r="D36" s="1987" t="s">
        <v>127</v>
      </c>
      <c r="E36" s="1987" t="s">
        <v>127</v>
      </c>
      <c r="H36" s="1997"/>
      <c r="I36" s="1998"/>
    </row>
    <row r="37" ht="14.4" spans="1:9">
      <c r="A37" s="1963" t="s">
        <v>172</v>
      </c>
      <c r="B37" s="2000" t="s">
        <v>230</v>
      </c>
      <c r="C37" s="1987" t="s">
        <v>127</v>
      </c>
      <c r="D37" s="1987" t="s">
        <v>228</v>
      </c>
      <c r="E37" s="1987" t="s">
        <v>127</v>
      </c>
      <c r="H37" s="1997"/>
      <c r="I37" s="1998"/>
    </row>
    <row r="38" ht="14.4" spans="1:9">
      <c r="A38" s="1963" t="s">
        <v>230</v>
      </c>
      <c r="C38" s="1987" t="s">
        <v>127</v>
      </c>
      <c r="D38" s="1987" t="s">
        <v>127</v>
      </c>
      <c r="E38" s="1987" t="s">
        <v>228</v>
      </c>
      <c r="H38" s="1997"/>
      <c r="I38" s="1998"/>
    </row>
    <row r="39" ht="14.4" spans="1:9">
      <c r="A39" s="1963" t="s">
        <v>170</v>
      </c>
      <c r="C39" s="1987" t="s">
        <v>228</v>
      </c>
      <c r="D39" s="1987" t="s">
        <v>228</v>
      </c>
      <c r="E39" s="1987" t="s">
        <v>127</v>
      </c>
      <c r="H39" s="1997"/>
      <c r="I39" s="1998"/>
    </row>
    <row r="40" ht="14.4" spans="1:9">
      <c r="A40" s="1963" t="s">
        <v>231</v>
      </c>
      <c r="C40" s="1987" t="s">
        <v>228</v>
      </c>
      <c r="D40" s="1987" t="s">
        <v>127</v>
      </c>
      <c r="E40" s="1987" t="s">
        <v>228</v>
      </c>
      <c r="H40" s="1997"/>
      <c r="I40" s="1998"/>
    </row>
    <row r="41" ht="14.4" spans="1:9">
      <c r="A41" s="1963" t="s">
        <v>232</v>
      </c>
      <c r="C41" s="1987" t="s">
        <v>127</v>
      </c>
      <c r="D41" s="1987" t="s">
        <v>228</v>
      </c>
      <c r="E41" s="1987" t="s">
        <v>228</v>
      </c>
      <c r="H41" s="1997"/>
      <c r="I41" s="1998"/>
    </row>
    <row r="42" spans="1:9">
      <c r="H42" s="1997"/>
      <c r="I42" s="1998"/>
    </row>
    <row r="43" spans="1:9">
      <c r="H43" s="1997"/>
      <c r="I43" s="1998"/>
    </row>
    <row r="44" spans="1:9">
      <c r="H44" s="1997"/>
      <c r="I44" s="1998"/>
    </row>
    <row r="45" spans="1:9">
      <c r="H45" s="1997"/>
      <c r="I45" s="1998"/>
    </row>
    <row r="46" spans="1:9">
      <c r="H46" s="1997"/>
      <c r="I46" s="1998"/>
    </row>
    <row r="47" spans="1:9">
      <c r="H47" s="1997"/>
      <c r="I47" s="1998"/>
    </row>
    <row r="48" spans="1:9">
      <c r="H48" s="1997"/>
      <c r="I48" s="1998"/>
    </row>
    <row r="49" spans="1:9">
      <c r="A49" s="1956"/>
      <c r="B49" s="1956"/>
      <c r="C49" s="1956"/>
      <c r="D49" s="1956"/>
      <c r="E49" s="1956"/>
      <c r="H49" s="1997"/>
      <c r="I49" s="1998"/>
    </row>
    <row r="50" spans="1:9">
      <c r="H50" s="1997"/>
      <c r="I50" s="1998"/>
    </row>
    <row r="51" s="1956" customFormat="1" spans="1:9">
      <c r="A51" s="1957"/>
      <c r="B51" s="1957"/>
      <c r="C51" s="1957"/>
      <c r="D51" s="1957"/>
      <c r="E51" s="1957"/>
    </row>
    <row r="55" spans="1:9">
      <c r="A55" s="1956"/>
      <c r="B55" s="1956"/>
      <c r="C55" s="1956"/>
      <c r="D55" s="1956"/>
      <c r="E55" s="1956"/>
    </row>
    <row r="56" ht="15.75" customHeight="1"/>
    <row r="57" s="1956" customFormat="1" spans="1:9">
      <c r="A57" s="1957"/>
      <c r="B57" s="1957"/>
      <c r="C57" s="1957"/>
      <c r="D57" s="1957"/>
      <c r="E57" s="1957"/>
    </row>
  </sheetData>
  <sheetProtection autoFilter="0"/>
  <mergeCells count="3">
    <mergeCell ref="L6:Q6"/>
    <mergeCell ref="A29:F29"/>
    <mergeCell ref="K6:K7"/>
  </mergeCells>
  <conditionalFormatting sqref="K4:L4">
    <cfRule type="expression" dxfId="0" priority="2">
      <formula>$B$24="是"</formula>
    </cfRule>
  </conditionalFormatting>
  <conditionalFormatting sqref="L4">
    <cfRule type="expression" dxfId="0" priority="65548">
      <formula>$L$3="是"</formula>
    </cfRule>
  </conditionalFormatting>
  <dataValidations count="3">
    <dataValidation type="list" allowBlank="1" showInputMessage="1" showErrorMessage="1" sqref="B2 L3 B4">
      <formula1>"是,否"</formula1>
    </dataValidation>
    <dataValidation type="list" allowBlank="1" showInputMessage="1" showErrorMessage="1" sqref="D10">
      <formula1>$A$35:$A$41</formula1>
    </dataValidation>
    <dataValidation type="list" allowBlank="1" showInputMessage="1" showErrorMessage="1" sqref="F10">
      <formula1>$B$35:$B$37</formula1>
    </dataValidation>
  </dataValidations>
  <pageMargins left="0.7" right="0.7" top="0.75" bottom="0.75" header="0.3" footer="0.3"/>
  <pageSetup paperSize="9" orientation="portrait"/>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BX40"/>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0.6" style="75" customWidth="1"/>
    <col min="3" max="4" width="8.7" style="75" customWidth="1"/>
    <col min="5" max="5" width="6.7" style="75" customWidth="1"/>
    <col min="6" max="6" width="6.1" style="165" customWidth="1"/>
    <col min="7" max="8" width="4.6" style="75" customWidth="1" outlineLevel="1"/>
    <col min="9" max="10" width="6.1" style="75" customWidth="1" outlineLevel="1"/>
    <col min="11" max="11" width="12.3" style="227" customWidth="1" outlineLevel="1"/>
    <col min="12" max="18" width="10.6" style="227" customWidth="1" outlineLevel="1"/>
    <col min="19" max="25" width="5.6" style="227" customWidth="1" outlineLevel="1"/>
    <col min="26" max="26" width="8.7" style="227" customWidth="1" outlineLevel="1"/>
    <col min="27" max="28" width="10.7" style="1267" customWidth="1" outlineLevel="1"/>
    <col min="29" max="30" width="8.6" style="1267" customWidth="1" outlineLevel="1"/>
    <col min="31" max="31" width="14.6" style="75" customWidth="1"/>
    <col min="32" max="32" width="8.7" style="75" customWidth="1"/>
    <col min="33" max="33" width="14.6" style="75" customWidth="1"/>
    <col min="34" max="35" width="8.7" style="75" customWidth="1"/>
    <col min="36" max="36" width="5.2" style="75" customWidth="1"/>
    <col min="37" max="37" width="8.6" style="75" customWidth="1"/>
    <col min="38"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2" width="5" style="165" customWidth="1"/>
    <col min="63" max="63" width="5.1" style="165" customWidth="1"/>
    <col min="64" max="64" width="6.7" style="165" customWidth="1"/>
    <col min="65" max="65" width="10.3" style="75" customWidth="1"/>
    <col min="66" max="66" width="8.7" style="75" customWidth="1"/>
    <col min="67" max="67" width="7.1" style="75" customWidth="1"/>
    <col min="68" max="68" width="1.6" style="77" customWidth="1"/>
    <col min="69" max="69" width="10.6" style="78" customWidth="1"/>
    <col min="70" max="70" width="10.6" style="77" customWidth="1"/>
    <col min="71" max="71" width="4.6" style="78" customWidth="1"/>
    <col min="72" max="72" width="10.6" style="78" customWidth="1"/>
    <col min="73" max="74" width="4.6" style="78" customWidth="1"/>
    <col min="75" max="75" width="10.6" style="78" customWidth="1"/>
    <col min="76" max="76" width="5" style="77" customWidth="1"/>
    <col min="77" max="16384" width="9" style="75"/>
  </cols>
  <sheetData>
    <row r="1" s="86" customFormat="1" ht="13.8" spans="1:76">
      <c r="A1" s="203" t="s">
        <v>1591</v>
      </c>
      <c r="B1" s="204" t="s">
        <v>1958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BA1" s="84" t="str">
        <f>参数表!BA1</f>
        <v>注意：补充特殊事项、作价等均从BA列开始填写</v>
      </c>
      <c r="BB1" s="85"/>
      <c r="BH1" s="82"/>
      <c r="BI1" s="82"/>
      <c r="BJ1" s="82"/>
      <c r="BK1" s="82"/>
      <c r="BL1" s="82"/>
      <c r="BP1" s="87"/>
      <c r="BQ1" s="88"/>
      <c r="BR1" s="87"/>
      <c r="BS1" s="88"/>
      <c r="BT1" s="88"/>
      <c r="BU1" s="88"/>
      <c r="BV1" s="88"/>
      <c r="BW1" s="88"/>
      <c r="BX1" s="87"/>
    </row>
    <row r="2" s="71" customFormat="1" ht="30" customHeight="1" spans="1:76">
      <c r="A2" s="89" t="s">
        <v>2136</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BA2" s="90" t="str">
        <f>参数表!BA2</f>
        <v>评估基准日：</v>
      </c>
      <c r="BB2" s="91" t="str">
        <f>参数表!BB2</f>
        <v>2025年7月31日</v>
      </c>
      <c r="BH2" s="171"/>
      <c r="BI2" s="171"/>
      <c r="BJ2" s="171"/>
      <c r="BK2" s="171"/>
      <c r="BL2" s="171"/>
      <c r="BP2" s="92"/>
      <c r="BQ2" s="93"/>
      <c r="BR2" s="92"/>
      <c r="BS2" s="93"/>
      <c r="BT2" s="93"/>
      <c r="BU2" s="93"/>
      <c r="BV2" s="93"/>
      <c r="BW2" s="93"/>
      <c r="BX2" s="92"/>
    </row>
    <row r="3" ht="15" customHeight="1" spans="1:76">
      <c r="A3" s="94" t="str">
        <f>参数表!F5</f>
        <v>评估基准日：2025年7月31日</v>
      </c>
      <c r="B3" s="94"/>
      <c r="C3" s="94"/>
      <c r="D3" s="94"/>
      <c r="E3" s="94"/>
      <c r="F3" s="94"/>
      <c r="G3" s="94"/>
      <c r="H3" s="94"/>
      <c r="I3" s="94"/>
      <c r="J3" s="94"/>
      <c r="K3" s="94"/>
      <c r="L3" s="94"/>
      <c r="M3" s="94"/>
      <c r="N3" s="95"/>
      <c r="O3" s="95"/>
      <c r="P3" s="95"/>
      <c r="Q3" s="95"/>
      <c r="R3" s="95"/>
      <c r="S3" s="95"/>
      <c r="T3" s="95"/>
      <c r="U3" s="95"/>
      <c r="V3" s="95"/>
      <c r="W3" s="95"/>
      <c r="X3" s="95"/>
      <c r="Y3" s="95"/>
      <c r="Z3" s="95"/>
      <c r="AA3" s="95"/>
      <c r="AB3" s="95"/>
      <c r="AC3" s="95"/>
      <c r="AD3" s="95"/>
      <c r="AE3" s="95"/>
      <c r="AF3" s="95"/>
      <c r="AG3" s="95"/>
      <c r="AH3" s="95"/>
      <c r="AI3" s="95"/>
      <c r="AJ3" s="95"/>
      <c r="AK3" s="95"/>
      <c r="BA3" s="90" t="str">
        <f>参数表!BA3</f>
        <v>是否显示评估值：</v>
      </c>
      <c r="BB3" s="90" t="str">
        <f>参数表!BB3</f>
        <v>是</v>
      </c>
      <c r="BP3" s="92"/>
      <c r="BQ3" s="93"/>
      <c r="BR3" s="92"/>
      <c r="BS3" s="93"/>
      <c r="BT3" s="93"/>
      <c r="BU3" s="93"/>
      <c r="BV3" s="93"/>
      <c r="BW3" s="93"/>
      <c r="BX3" s="92"/>
    </row>
    <row r="4" ht="15" customHeight="1" spans="1:76">
      <c r="A4" s="96"/>
      <c r="B4" s="94"/>
      <c r="C4" s="94"/>
      <c r="D4" s="94"/>
      <c r="E4" s="94"/>
      <c r="F4" s="94"/>
      <c r="G4" s="94"/>
      <c r="H4" s="94"/>
      <c r="I4" s="94"/>
      <c r="J4" s="94"/>
      <c r="K4" s="94"/>
      <c r="L4" s="94"/>
      <c r="M4" s="94"/>
      <c r="N4" s="94"/>
      <c r="O4" s="95"/>
      <c r="P4" s="95"/>
      <c r="Q4" s="98"/>
      <c r="R4" s="95"/>
      <c r="S4" s="95"/>
      <c r="T4" s="95"/>
      <c r="U4" s="95"/>
      <c r="V4" s="95"/>
      <c r="W4" s="95"/>
      <c r="X4" s="95"/>
      <c r="Y4" s="95"/>
      <c r="Z4" s="95"/>
      <c r="AA4" s="95"/>
      <c r="AB4" s="95"/>
      <c r="AC4" s="95"/>
      <c r="AD4" s="95"/>
      <c r="AE4" s="95"/>
      <c r="AF4" s="95"/>
      <c r="AG4" s="95"/>
      <c r="AH4" s="95"/>
      <c r="AI4" s="95"/>
      <c r="AJ4" s="95"/>
      <c r="AK4" s="98" t="str">
        <f>"表"&amp;$BA4</f>
        <v>表3-9-3</v>
      </c>
      <c r="BA4" s="95" t="str">
        <f>其他应收总!A9</f>
        <v>3-9-3</v>
      </c>
      <c r="BB4" s="100">
        <f>MAX(COUNTA(A8:A27),COUNTA(B8:B27),COUNTA(K8:K27),COUNTA(AE8:AE27))</f>
        <v>20</v>
      </c>
      <c r="BC4" s="101">
        <f>ROW(A7)+1</f>
        <v>8</v>
      </c>
      <c r="BD4" s="77"/>
      <c r="BE4" s="77"/>
    </row>
    <row r="5" ht="15" customHeight="1" spans="1:76">
      <c r="A5" s="102" t="str">
        <f>参数表!F3</f>
        <v>产权持有单位:中煤第五建设有限公司</v>
      </c>
      <c r="B5" s="103"/>
      <c r="C5" s="103"/>
      <c r="D5" s="103"/>
      <c r="E5" s="103"/>
      <c r="F5" s="95"/>
      <c r="G5" s="103"/>
      <c r="H5" s="103"/>
      <c r="I5" s="103"/>
      <c r="J5" s="103"/>
      <c r="K5" s="1217"/>
      <c r="L5" s="1217"/>
      <c r="M5" s="1217"/>
      <c r="N5" s="1217"/>
      <c r="O5" s="1217"/>
      <c r="P5" s="1217"/>
      <c r="Q5" s="1217"/>
      <c r="R5" s="1217"/>
      <c r="S5" s="1268"/>
      <c r="T5" s="1268"/>
      <c r="U5" s="1268"/>
      <c r="V5" s="1268"/>
      <c r="W5" s="1268"/>
      <c r="X5" s="1268"/>
      <c r="Y5" s="1268"/>
      <c r="Z5" s="1268"/>
      <c r="AA5" s="1269"/>
      <c r="AB5" s="1269"/>
      <c r="AC5" s="1269"/>
      <c r="AD5" s="1269"/>
      <c r="AE5" s="983"/>
      <c r="AF5" s="983"/>
      <c r="AG5" s="103"/>
      <c r="AH5" s="103"/>
      <c r="AI5" s="103"/>
      <c r="AJ5" s="103"/>
      <c r="AK5" s="98" t="s">
        <v>236</v>
      </c>
      <c r="BA5" s="103"/>
      <c r="BB5" s="105" t="str">
        <f ca="1">判断表!C28</f>
        <v>中煤第五建设有限公司第三工程处拟处置实物资产项目\[0000-3基础法明细表.xlsx]其他应收-其他</v>
      </c>
      <c r="BC5" s="106">
        <f>IFERROR(SUMIF(BC8:BC27,"√",AE8:AE27)/AE28,0)</f>
        <v>0</v>
      </c>
      <c r="BD5" s="107"/>
      <c r="BE5" s="107"/>
      <c r="BF5" s="284">
        <f>'其他应收-利息'!BF5</f>
        <v>0</v>
      </c>
      <c r="BG5" s="284">
        <f>'其他应收-利息'!BG5</f>
        <v>0</v>
      </c>
      <c r="BQ5" s="77"/>
      <c r="BS5" s="77"/>
      <c r="BT5" s="77"/>
      <c r="BU5" s="77"/>
    </row>
    <row r="6" ht="15" customHeight="1" spans="1:76">
      <c r="A6" s="112" t="s">
        <v>305</v>
      </c>
      <c r="B6" s="113" t="s">
        <v>1960</v>
      </c>
      <c r="C6" s="113" t="s">
        <v>1898</v>
      </c>
      <c r="D6" s="113" t="s">
        <v>1961</v>
      </c>
      <c r="E6" s="113" t="s">
        <v>1962</v>
      </c>
      <c r="F6" s="118" t="s">
        <v>1963</v>
      </c>
      <c r="G6" s="511" t="s">
        <v>1964</v>
      </c>
      <c r="H6" s="575"/>
      <c r="I6" s="575"/>
      <c r="J6" s="576"/>
      <c r="K6" s="113" t="s">
        <v>1965</v>
      </c>
      <c r="L6" s="113"/>
      <c r="M6" s="113"/>
      <c r="N6" s="113"/>
      <c r="O6" s="113"/>
      <c r="P6" s="113"/>
      <c r="Q6" s="113"/>
      <c r="R6" s="113"/>
      <c r="S6" s="1270" t="s">
        <v>1966</v>
      </c>
      <c r="T6" s="1270"/>
      <c r="U6" s="1270"/>
      <c r="V6" s="1270"/>
      <c r="W6" s="1270"/>
      <c r="X6" s="1270"/>
      <c r="Y6" s="1270"/>
      <c r="Z6" s="1270" t="s">
        <v>1967</v>
      </c>
      <c r="AA6" s="1270"/>
      <c r="AB6" s="1270"/>
      <c r="AC6" s="1271" t="s">
        <v>1634</v>
      </c>
      <c r="AD6" s="1271"/>
      <c r="AE6" s="1220" t="s">
        <v>1567</v>
      </c>
      <c r="AF6" s="1220" t="s">
        <v>1926</v>
      </c>
      <c r="AG6" s="113" t="s">
        <v>1550</v>
      </c>
      <c r="AH6" s="908" t="s">
        <v>1929</v>
      </c>
      <c r="AI6" s="113" t="s">
        <v>1525</v>
      </c>
      <c r="AJ6" s="118" t="s">
        <v>1551</v>
      </c>
      <c r="AK6" s="113" t="s">
        <v>308</v>
      </c>
      <c r="BA6" s="103"/>
      <c r="BB6" s="100"/>
      <c r="BC6" s="100"/>
      <c r="BD6" s="100"/>
      <c r="BE6" s="100"/>
      <c r="BF6" s="192" t="s">
        <v>1639</v>
      </c>
      <c r="BG6" s="192" t="s">
        <v>1640</v>
      </c>
      <c r="BH6" s="113" t="s">
        <v>1748</v>
      </c>
      <c r="BI6" s="113" t="s">
        <v>1749</v>
      </c>
      <c r="BJ6" s="118" t="s">
        <v>1750</v>
      </c>
      <c r="BK6" s="118" t="s">
        <v>1686</v>
      </c>
      <c r="BL6" s="193" t="s">
        <v>1687</v>
      </c>
      <c r="BM6" s="908" t="s">
        <v>1688</v>
      </c>
      <c r="BN6" s="113" t="s">
        <v>1644</v>
      </c>
      <c r="BO6" s="682" t="s">
        <v>467</v>
      </c>
      <c r="BP6" s="111"/>
      <c r="BQ6" s="77"/>
      <c r="BS6" s="77"/>
      <c r="BT6" s="77"/>
      <c r="BU6" s="77"/>
      <c r="BV6" s="194"/>
      <c r="BW6" s="194"/>
      <c r="BX6" s="111"/>
    </row>
    <row r="7" s="72" customFormat="1" ht="15" customHeight="1" spans="1:76">
      <c r="A7" s="112"/>
      <c r="B7" s="113"/>
      <c r="C7" s="113"/>
      <c r="D7" s="113"/>
      <c r="E7" s="113"/>
      <c r="F7" s="118"/>
      <c r="G7" s="519" t="s">
        <v>1968</v>
      </c>
      <c r="H7" s="519" t="s">
        <v>1969</v>
      </c>
      <c r="I7" s="519" t="s">
        <v>1970</v>
      </c>
      <c r="J7" s="519" t="s">
        <v>1971</v>
      </c>
      <c r="K7" s="113" t="s">
        <v>1549</v>
      </c>
      <c r="L7" s="222" t="s">
        <v>1972</v>
      </c>
      <c r="M7" s="222" t="s">
        <v>1973</v>
      </c>
      <c r="N7" s="222" t="s">
        <v>1974</v>
      </c>
      <c r="O7" s="222" t="s">
        <v>1975</v>
      </c>
      <c r="P7" s="222" t="s">
        <v>1976</v>
      </c>
      <c r="Q7" s="222" t="s">
        <v>1977</v>
      </c>
      <c r="R7" s="222" t="s">
        <v>1978</v>
      </c>
      <c r="S7" s="222" t="s">
        <v>1979</v>
      </c>
      <c r="T7" s="222" t="s">
        <v>1980</v>
      </c>
      <c r="U7" s="222" t="s">
        <v>1981</v>
      </c>
      <c r="V7" s="222" t="s">
        <v>1982</v>
      </c>
      <c r="W7" s="222" t="s">
        <v>1983</v>
      </c>
      <c r="X7" s="222" t="s">
        <v>1984</v>
      </c>
      <c r="Y7" s="222" t="s">
        <v>1985</v>
      </c>
      <c r="Z7" s="1270" t="s">
        <v>1986</v>
      </c>
      <c r="AA7" s="1270" t="s">
        <v>1987</v>
      </c>
      <c r="AB7" s="1272" t="s">
        <v>1988</v>
      </c>
      <c r="AC7" s="1271" t="s">
        <v>1989</v>
      </c>
      <c r="AD7" s="1271" t="s">
        <v>1990</v>
      </c>
      <c r="AE7" s="1223"/>
      <c r="AF7" s="1223"/>
      <c r="AG7" s="113"/>
      <c r="AH7" s="911"/>
      <c r="AI7" s="113"/>
      <c r="AJ7" s="118"/>
      <c r="AK7" s="113"/>
      <c r="BA7" s="100" t="s">
        <v>1545</v>
      </c>
      <c r="BB7" s="100" t="s">
        <v>1635</v>
      </c>
      <c r="BC7" s="100" t="s">
        <v>1636</v>
      </c>
      <c r="BD7" s="100" t="s">
        <v>1637</v>
      </c>
      <c r="BE7" s="100" t="s">
        <v>1638</v>
      </c>
      <c r="BF7" s="197"/>
      <c r="BG7" s="197"/>
      <c r="BH7" s="113"/>
      <c r="BI7" s="113"/>
      <c r="BJ7" s="118"/>
      <c r="BK7" s="118"/>
      <c r="BL7" s="198"/>
      <c r="BM7" s="911"/>
      <c r="BN7" s="113"/>
      <c r="BO7" s="682"/>
      <c r="BP7" s="119"/>
      <c r="BQ7" s="120" t="s">
        <v>1645</v>
      </c>
      <c r="BR7" s="121" t="s">
        <v>1646</v>
      </c>
      <c r="BS7" s="121" t="s">
        <v>1647</v>
      </c>
      <c r="BT7" s="121" t="s">
        <v>1648</v>
      </c>
      <c r="BU7" s="121" t="s">
        <v>1647</v>
      </c>
      <c r="BV7" s="121" t="s">
        <v>1647</v>
      </c>
      <c r="BW7" s="121" t="s">
        <v>1649</v>
      </c>
      <c r="BX7" s="122" t="s">
        <v>1650</v>
      </c>
    </row>
    <row r="8" ht="15" customHeight="1" spans="1:76">
      <c r="A8" s="123" t="str">
        <f>IF(B8="","",COUNT(A$7:A7)+1)</f>
        <v/>
      </c>
      <c r="B8" s="124"/>
      <c r="C8" s="126"/>
      <c r="D8" s="125"/>
      <c r="E8" s="126" t="str">
        <f t="shared" ref="E8:E27" si="0">IF(OR(AE8=0,AE8=""),"",IF(BO8&gt;=5,"5年以上",IF(BO8&gt;=4,"4-5年",IF(BO8&gt;=3,"3-4年",IF(BO8&gt;=2,"2-3年",IF(BO8&gt;=1,"1-2年","1年以内"))))))</f>
        <v/>
      </c>
      <c r="F8" s="126"/>
      <c r="G8" s="127"/>
      <c r="H8" s="127" t="str">
        <f>IFERROR(VLOOKUP(G8,参数表!$H$2:$I$50,2,FALSE),"")</f>
        <v/>
      </c>
      <c r="I8" s="128" t="str">
        <f>IFERROR(IF(OR(G8="人民币",G8=""),"",AE8/H8),"")</f>
        <v/>
      </c>
      <c r="J8" s="128" t="str">
        <f>IFERROR(IF(OR(G8="人民币",G8=""),"",AF8/H8),"")</f>
        <v/>
      </c>
      <c r="K8" s="129" t="str">
        <f>IF(B8="","",SUM(L8:R8))</f>
        <v/>
      </c>
      <c r="L8" s="129"/>
      <c r="M8" s="129"/>
      <c r="N8" s="129"/>
      <c r="O8" s="129"/>
      <c r="P8" s="129"/>
      <c r="Q8" s="129"/>
      <c r="R8" s="129"/>
      <c r="S8" s="1224"/>
      <c r="T8" s="1224"/>
      <c r="U8" s="1224"/>
      <c r="V8" s="1224"/>
      <c r="W8" s="1224"/>
      <c r="X8" s="1224"/>
      <c r="Y8" s="1224"/>
      <c r="Z8" s="129" t="str">
        <f>IF(B8="","",IF(F8="是",0,L8*S8+M8*T8+N8*U8+O8*V8+P8*W8+Q8*X8+R8*Y8))</f>
        <v/>
      </c>
      <c r="AA8" s="1273"/>
      <c r="AB8" s="129" t="str">
        <f>IFERROR(Z8+AA8,"")</f>
        <v/>
      </c>
      <c r="AC8" s="1273"/>
      <c r="AD8" s="1273"/>
      <c r="AE8" s="129" t="str">
        <f t="shared" ref="AE8:AE27" si="1">IFERROR(K8+AC8,"")</f>
        <v/>
      </c>
      <c r="AF8" s="129" t="str">
        <f t="shared" ref="AF8:AF27" si="2">IFERROR(AB8+AD8,"")</f>
        <v/>
      </c>
      <c r="AG8" s="129" t="str">
        <f t="shared" ref="AG8:AG27" si="3">IF(B8="","",IF(BB$3="是",AE8,""))</f>
        <v/>
      </c>
      <c r="AH8" s="129" t="str">
        <f t="shared" ref="AH8:AH27" si="4">IF(B8="","",IF(BB$3="是",AF8,""))</f>
        <v/>
      </c>
      <c r="AI8" s="129" t="str">
        <f t="shared" ref="AI8:AI31" si="5">IFERROR((AG8-AH8)-(AE8-AF8),"")</f>
        <v/>
      </c>
      <c r="AJ8" s="129" t="str">
        <f>IFERROR(AI8/(AE8-AF8)*100,"")</f>
        <v/>
      </c>
      <c r="AK8" s="131"/>
      <c r="BA8" s="78"/>
      <c r="BB8" s="132" t="s">
        <v>2137</v>
      </c>
      <c r="BC8" s="133"/>
      <c r="BD8" s="132" t="str">
        <f>IF(OR(B8="",BC8=""),"",COUNTIF(BC$8:BC8,"√"))</f>
        <v/>
      </c>
      <c r="BE8" s="134" t="str">
        <f t="shared" ref="BE8:BE27" si="6">IF(BC8="","",BB8&amp;"︱"&amp;B8&amp;"︱"&amp;TEXT(K8,"#,##0.00"))</f>
        <v/>
      </c>
      <c r="BF8" s="135" t="str">
        <f>IF($B8="","",IF(BF$5=0,"OK","出错"))</f>
        <v/>
      </c>
      <c r="BG8" s="135" t="str">
        <f>IF($B8="","",IF(BG$5=0,"OK","出错"))</f>
        <v/>
      </c>
      <c r="BH8" s="136"/>
      <c r="BI8" s="136"/>
      <c r="BJ8" s="136"/>
      <c r="BK8" s="136"/>
      <c r="BL8" s="136"/>
      <c r="BM8" s="137"/>
      <c r="BN8" s="137"/>
      <c r="BO8" s="156">
        <f t="shared" ref="BO8:BO27" si="7">(BB$2-D8)/365.25</f>
        <v>125.582477754962</v>
      </c>
      <c r="BQ8" s="134" t="str">
        <f>IF(COUNTIF(BQ$7:BQ7,C8)&gt;0,"",C8)&amp;""</f>
        <v/>
      </c>
      <c r="BR8" s="138">
        <f t="shared" ref="BR8:BR27" si="8">SUMIF(C$8:C$27,BQ8,AE$8:AE$27)</f>
        <v>0</v>
      </c>
      <c r="BS8" s="132">
        <f t="shared" ref="BS8" si="9">RANK(BR8,BR$8:BR$27)</f>
        <v>1</v>
      </c>
      <c r="BT8" s="138">
        <f t="shared" ref="BT8:BT27" si="10">SUMIF(C$8:C$27,BQ8,AG$8:AG$27)</f>
        <v>0</v>
      </c>
      <c r="BU8" s="132">
        <f>RANK(BT8,BT$8:BT$27)</f>
        <v>1</v>
      </c>
      <c r="BV8" s="138">
        <f>SUM(BR8:BR27)</f>
        <v>0</v>
      </c>
      <c r="BW8" s="138"/>
      <c r="BX8" s="138"/>
    </row>
    <row r="9" ht="15" customHeight="1" spans="1:76">
      <c r="A9" s="123" t="str">
        <f>IF(B9="","",COUNT(A$7:A8)+1)</f>
        <v/>
      </c>
      <c r="B9" s="139"/>
      <c r="C9" s="141"/>
      <c r="D9" s="140"/>
      <c r="E9" s="126" t="str">
        <f t="shared" si="0"/>
        <v/>
      </c>
      <c r="F9" s="141"/>
      <c r="G9" s="142"/>
      <c r="H9" s="127" t="str">
        <f>IFERROR(VLOOKUP(G9,参数表!$H$2:$I$50,2,FALSE),"")</f>
        <v/>
      </c>
      <c r="I9" s="128" t="str">
        <f t="shared" ref="I9:I27" si="11">IFERROR(IF(OR(G9="人民币",G9=""),"",AE9/H9),"")</f>
        <v/>
      </c>
      <c r="J9" s="128" t="str">
        <f t="shared" ref="J9:J27" si="12">IFERROR(IF(OR(G9="人民币",G9=""),"",AF9/H9),"")</f>
        <v/>
      </c>
      <c r="K9" s="129" t="str">
        <f t="shared" ref="K9:K27" si="13">IF(B9="","",SUM(L9:R9))</f>
        <v/>
      </c>
      <c r="L9" s="1274"/>
      <c r="M9" s="1274"/>
      <c r="N9" s="1274"/>
      <c r="O9" s="1274"/>
      <c r="P9" s="1274"/>
      <c r="Q9" s="1274"/>
      <c r="R9" s="1274"/>
      <c r="S9" s="1275"/>
      <c r="T9" s="1275"/>
      <c r="U9" s="1275"/>
      <c r="V9" s="1275"/>
      <c r="W9" s="1275"/>
      <c r="X9" s="1275"/>
      <c r="Y9" s="1275"/>
      <c r="Z9" s="129" t="str">
        <f t="shared" ref="Z9:Z27" si="14">IF(B9="","",IF(F9="是",0,L9*S9+M9*T9+N9*U9+O9*V9+P9*W9+Q9*X9+R9*Y9))</f>
        <v/>
      </c>
      <c r="AA9" s="1276"/>
      <c r="AB9" s="129" t="str">
        <f t="shared" ref="AB9:AB27" si="15">IFERROR(Z9+AA9,"")</f>
        <v/>
      </c>
      <c r="AC9" s="1276"/>
      <c r="AD9" s="1276"/>
      <c r="AE9" s="129" t="str">
        <f t="shared" si="1"/>
        <v/>
      </c>
      <c r="AF9" s="129" t="str">
        <f t="shared" si="2"/>
        <v/>
      </c>
      <c r="AG9" s="129" t="str">
        <f t="shared" si="3"/>
        <v/>
      </c>
      <c r="AH9" s="129" t="str">
        <f t="shared" si="4"/>
        <v/>
      </c>
      <c r="AI9" s="129" t="str">
        <f t="shared" si="5"/>
        <v/>
      </c>
      <c r="AJ9" s="129" t="str">
        <f t="shared" ref="AJ9:AJ31" si="16">IFERROR(AI9/(AE9-AF9)*100,"")</f>
        <v/>
      </c>
      <c r="AK9" s="145"/>
      <c r="BA9" s="78"/>
      <c r="BB9" s="132" t="s">
        <v>2138</v>
      </c>
      <c r="BC9" s="133"/>
      <c r="BD9" s="132" t="str">
        <f>IF(OR(B9="",BC9=""),"",COUNTIF(BC$8:BC9,"√"))</f>
        <v/>
      </c>
      <c r="BE9" s="134" t="str">
        <f t="shared" si="6"/>
        <v/>
      </c>
      <c r="BF9" s="135" t="str">
        <f t="shared" ref="BF9:BG27" si="17">IF($B9="","",IF(BF$5=0,"OK","出错"))</f>
        <v/>
      </c>
      <c r="BG9" s="135" t="str">
        <f t="shared" si="17"/>
        <v/>
      </c>
      <c r="BH9" s="136"/>
      <c r="BI9" s="136"/>
      <c r="BJ9" s="136"/>
      <c r="BK9" s="136"/>
      <c r="BL9" s="136"/>
      <c r="BM9" s="137"/>
      <c r="BN9" s="137"/>
      <c r="BO9" s="156">
        <f t="shared" si="7"/>
        <v>125.582477754962</v>
      </c>
      <c r="BQ9" s="134" t="str">
        <f>IF(COUNTIF(BQ$7:BQ8,C9)&gt;0,"",C9)&amp;""</f>
        <v/>
      </c>
      <c r="BR9" s="138">
        <f t="shared" si="8"/>
        <v>0</v>
      </c>
      <c r="BS9" s="132">
        <f t="shared" ref="BS9:BS27" si="18">RANK(BR9,BR$8:BR$27)</f>
        <v>1</v>
      </c>
      <c r="BT9" s="138">
        <f t="shared" si="10"/>
        <v>0</v>
      </c>
      <c r="BU9" s="132">
        <f t="shared" ref="BU9:BU27" si="19">RANK(BT9,BT$8:BT$27)</f>
        <v>1</v>
      </c>
      <c r="BV9" s="138">
        <f>SUM(BT8:BT27)</f>
        <v>0</v>
      </c>
      <c r="BW9" s="138"/>
      <c r="BX9" s="138"/>
    </row>
    <row r="10" ht="15" customHeight="1" spans="1:76">
      <c r="A10" s="123" t="str">
        <f>IF(B10="","",COUNT(A$7:A9)+1)</f>
        <v/>
      </c>
      <c r="B10" s="139"/>
      <c r="C10" s="141"/>
      <c r="D10" s="140"/>
      <c r="E10" s="126" t="str">
        <f t="shared" si="0"/>
        <v/>
      </c>
      <c r="F10" s="141"/>
      <c r="G10" s="142"/>
      <c r="H10" s="127" t="str">
        <f>IFERROR(VLOOKUP(G10,参数表!$H$2:$I$50,2,FALSE),"")</f>
        <v/>
      </c>
      <c r="I10" s="128" t="str">
        <f t="shared" si="11"/>
        <v/>
      </c>
      <c r="J10" s="128" t="str">
        <f t="shared" si="12"/>
        <v/>
      </c>
      <c r="K10" s="129" t="str">
        <f t="shared" si="13"/>
        <v/>
      </c>
      <c r="L10" s="1274"/>
      <c r="M10" s="1274"/>
      <c r="N10" s="1274"/>
      <c r="O10" s="1274"/>
      <c r="P10" s="1274"/>
      <c r="Q10" s="1274"/>
      <c r="R10" s="1274"/>
      <c r="S10" s="1275"/>
      <c r="T10" s="1275"/>
      <c r="U10" s="1275"/>
      <c r="V10" s="1275"/>
      <c r="W10" s="1275"/>
      <c r="X10" s="1275"/>
      <c r="Y10" s="1275"/>
      <c r="Z10" s="129" t="str">
        <f t="shared" si="14"/>
        <v/>
      </c>
      <c r="AA10" s="1276"/>
      <c r="AB10" s="129" t="str">
        <f t="shared" si="15"/>
        <v/>
      </c>
      <c r="AC10" s="1276"/>
      <c r="AD10" s="1276"/>
      <c r="AE10" s="129" t="str">
        <f t="shared" si="1"/>
        <v/>
      </c>
      <c r="AF10" s="129" t="str">
        <f t="shared" si="2"/>
        <v/>
      </c>
      <c r="AG10" s="129" t="str">
        <f t="shared" si="3"/>
        <v/>
      </c>
      <c r="AH10" s="129" t="str">
        <f t="shared" si="4"/>
        <v/>
      </c>
      <c r="AI10" s="129" t="str">
        <f t="shared" si="5"/>
        <v/>
      </c>
      <c r="AJ10" s="129" t="str">
        <f t="shared" si="16"/>
        <v/>
      </c>
      <c r="AK10" s="145"/>
      <c r="BA10" s="78"/>
      <c r="BB10" s="132" t="s">
        <v>2139</v>
      </c>
      <c r="BC10" s="133"/>
      <c r="BD10" s="132" t="str">
        <f>IF(OR(B10="",BC10=""),"",COUNTIF(BC$8:BC10,"√"))</f>
        <v/>
      </c>
      <c r="BE10" s="134" t="str">
        <f t="shared" si="6"/>
        <v/>
      </c>
      <c r="BF10" s="135" t="str">
        <f t="shared" si="17"/>
        <v/>
      </c>
      <c r="BG10" s="135" t="str">
        <f t="shared" si="17"/>
        <v/>
      </c>
      <c r="BH10" s="136"/>
      <c r="BI10" s="136"/>
      <c r="BJ10" s="136"/>
      <c r="BK10" s="136"/>
      <c r="BL10" s="136"/>
      <c r="BM10" s="137"/>
      <c r="BN10" s="137"/>
      <c r="BO10" s="156">
        <f t="shared" si="7"/>
        <v>125.582477754962</v>
      </c>
      <c r="BQ10" s="134" t="str">
        <f>IF(COUNTIF(BQ$7:BQ9,C10)&gt;0,"",C10)&amp;""</f>
        <v/>
      </c>
      <c r="BR10" s="138">
        <f t="shared" si="8"/>
        <v>0</v>
      </c>
      <c r="BS10" s="132">
        <f t="shared" si="18"/>
        <v>1</v>
      </c>
      <c r="BT10" s="138">
        <f t="shared" si="10"/>
        <v>0</v>
      </c>
      <c r="BU10" s="132">
        <f t="shared" si="19"/>
        <v>1</v>
      </c>
      <c r="BV10" s="132">
        <v>1</v>
      </c>
      <c r="BW10" s="134" t="str">
        <f>IFERROR(INDEX(BQ$8:BQ$27,MATCH(BV10,IF(BV$8=0,BU$8:BU$27,BS$8:BS$27),0))&amp;"","")</f>
        <v/>
      </c>
      <c r="BX10" s="146" t="str">
        <f>IF(BW11="","",IF(BW12="","和","、"))</f>
        <v/>
      </c>
    </row>
    <row r="11" ht="15" customHeight="1" spans="1:76">
      <c r="A11" s="123" t="str">
        <f>IF(B11="","",COUNT(A$7:A10)+1)</f>
        <v/>
      </c>
      <c r="B11" s="139"/>
      <c r="C11" s="141"/>
      <c r="D11" s="140"/>
      <c r="E11" s="126" t="str">
        <f t="shared" si="0"/>
        <v/>
      </c>
      <c r="F11" s="141"/>
      <c r="G11" s="142"/>
      <c r="H11" s="127" t="str">
        <f>IFERROR(VLOOKUP(G11,参数表!$H$2:$I$50,2,FALSE),"")</f>
        <v/>
      </c>
      <c r="I11" s="128" t="str">
        <f t="shared" si="11"/>
        <v/>
      </c>
      <c r="J11" s="128" t="str">
        <f t="shared" si="12"/>
        <v/>
      </c>
      <c r="K11" s="129" t="str">
        <f t="shared" si="13"/>
        <v/>
      </c>
      <c r="L11" s="1274"/>
      <c r="M11" s="1274"/>
      <c r="N11" s="1274"/>
      <c r="O11" s="1274"/>
      <c r="P11" s="1274"/>
      <c r="Q11" s="1274"/>
      <c r="R11" s="1274"/>
      <c r="S11" s="1275"/>
      <c r="T11" s="1275"/>
      <c r="U11" s="1275"/>
      <c r="V11" s="1275"/>
      <c r="W11" s="1275"/>
      <c r="X11" s="1275"/>
      <c r="Y11" s="1275"/>
      <c r="Z11" s="129" t="str">
        <f t="shared" si="14"/>
        <v/>
      </c>
      <c r="AA11" s="1276"/>
      <c r="AB11" s="129" t="str">
        <f t="shared" si="15"/>
        <v/>
      </c>
      <c r="AC11" s="1276"/>
      <c r="AD11" s="1276"/>
      <c r="AE11" s="129" t="str">
        <f t="shared" si="1"/>
        <v/>
      </c>
      <c r="AF11" s="129" t="str">
        <f t="shared" si="2"/>
        <v/>
      </c>
      <c r="AG11" s="129" t="str">
        <f t="shared" si="3"/>
        <v/>
      </c>
      <c r="AH11" s="129" t="str">
        <f t="shared" si="4"/>
        <v/>
      </c>
      <c r="AI11" s="129" t="str">
        <f t="shared" si="5"/>
        <v/>
      </c>
      <c r="AJ11" s="129" t="str">
        <f t="shared" si="16"/>
        <v/>
      </c>
      <c r="AK11" s="145"/>
      <c r="BA11" s="78"/>
      <c r="BB11" s="132" t="s">
        <v>2140</v>
      </c>
      <c r="BC11" s="133"/>
      <c r="BD11" s="132" t="str">
        <f>IF(OR(B11="",BC11=""),"",COUNTIF(BC$8:BC11,"√"))</f>
        <v/>
      </c>
      <c r="BE11" s="134" t="str">
        <f t="shared" si="6"/>
        <v/>
      </c>
      <c r="BF11" s="135" t="str">
        <f t="shared" si="17"/>
        <v/>
      </c>
      <c r="BG11" s="135" t="str">
        <f t="shared" si="17"/>
        <v/>
      </c>
      <c r="BH11" s="136"/>
      <c r="BI11" s="136"/>
      <c r="BJ11" s="136"/>
      <c r="BK11" s="136"/>
      <c r="BL11" s="136"/>
      <c r="BM11" s="137"/>
      <c r="BN11" s="137"/>
      <c r="BO11" s="156">
        <f t="shared" si="7"/>
        <v>125.582477754962</v>
      </c>
      <c r="BQ11" s="134" t="str">
        <f>IF(COUNTIF(BQ$7:BQ10,C11)&gt;0,"",C11)&amp;""</f>
        <v/>
      </c>
      <c r="BR11" s="138">
        <f t="shared" si="8"/>
        <v>0</v>
      </c>
      <c r="BS11" s="132">
        <f t="shared" si="18"/>
        <v>1</v>
      </c>
      <c r="BT11" s="138">
        <f t="shared" si="10"/>
        <v>0</v>
      </c>
      <c r="BU11" s="132">
        <f t="shared" si="19"/>
        <v>1</v>
      </c>
      <c r="BV11" s="132">
        <v>2</v>
      </c>
      <c r="BW11" s="134" t="str">
        <f t="shared" ref="BW11:BW14" si="20">IFERROR(INDEX(BQ$8:BQ$27,MATCH(BV11,IF(BV$8=0,BU$8:BU$27,BS$8:BS$27),0))&amp;"","")</f>
        <v/>
      </c>
      <c r="BX11" s="146" t="str">
        <f t="shared" ref="BX11:BX12" si="21">IF(BW12="","",IF(BW13="","和","、"))</f>
        <v/>
      </c>
    </row>
    <row r="12" ht="15" customHeight="1" spans="1:76">
      <c r="A12" s="123" t="str">
        <f>IF(B12="","",COUNT(A$7:A11)+1)</f>
        <v/>
      </c>
      <c r="B12" s="139"/>
      <c r="C12" s="141"/>
      <c r="D12" s="140"/>
      <c r="E12" s="126" t="str">
        <f t="shared" si="0"/>
        <v/>
      </c>
      <c r="F12" s="141"/>
      <c r="G12" s="142"/>
      <c r="H12" s="127" t="str">
        <f>IFERROR(VLOOKUP(G12,参数表!$H$2:$I$50,2,FALSE),"")</f>
        <v/>
      </c>
      <c r="I12" s="128" t="str">
        <f t="shared" si="11"/>
        <v/>
      </c>
      <c r="J12" s="128" t="str">
        <f t="shared" si="12"/>
        <v/>
      </c>
      <c r="K12" s="129" t="str">
        <f t="shared" si="13"/>
        <v/>
      </c>
      <c r="L12" s="1274"/>
      <c r="M12" s="1274"/>
      <c r="N12" s="1274"/>
      <c r="O12" s="1274"/>
      <c r="P12" s="1274"/>
      <c r="Q12" s="1274"/>
      <c r="R12" s="1274"/>
      <c r="S12" s="1275"/>
      <c r="T12" s="1275"/>
      <c r="U12" s="1275"/>
      <c r="V12" s="1275"/>
      <c r="W12" s="1275"/>
      <c r="X12" s="1275"/>
      <c r="Y12" s="1275"/>
      <c r="Z12" s="129" t="str">
        <f t="shared" si="14"/>
        <v/>
      </c>
      <c r="AA12" s="1276"/>
      <c r="AB12" s="129" t="str">
        <f t="shared" si="15"/>
        <v/>
      </c>
      <c r="AC12" s="1276"/>
      <c r="AD12" s="1276"/>
      <c r="AE12" s="129" t="str">
        <f t="shared" si="1"/>
        <v/>
      </c>
      <c r="AF12" s="129" t="str">
        <f t="shared" si="2"/>
        <v/>
      </c>
      <c r="AG12" s="129" t="str">
        <f t="shared" si="3"/>
        <v/>
      </c>
      <c r="AH12" s="129" t="str">
        <f t="shared" si="4"/>
        <v/>
      </c>
      <c r="AI12" s="129" t="str">
        <f t="shared" si="5"/>
        <v/>
      </c>
      <c r="AJ12" s="129" t="str">
        <f t="shared" si="16"/>
        <v/>
      </c>
      <c r="AK12" s="145"/>
      <c r="BA12" s="78"/>
      <c r="BB12" s="132" t="s">
        <v>2141</v>
      </c>
      <c r="BC12" s="133"/>
      <c r="BD12" s="132" t="str">
        <f>IF(OR(B12="",BC12=""),"",COUNTIF(BC$8:BC12,"√"))</f>
        <v/>
      </c>
      <c r="BE12" s="134" t="str">
        <f t="shared" si="6"/>
        <v/>
      </c>
      <c r="BF12" s="135" t="str">
        <f t="shared" si="17"/>
        <v/>
      </c>
      <c r="BG12" s="135" t="str">
        <f t="shared" si="17"/>
        <v/>
      </c>
      <c r="BH12" s="136"/>
      <c r="BI12" s="136"/>
      <c r="BJ12" s="136"/>
      <c r="BK12" s="136"/>
      <c r="BL12" s="136"/>
      <c r="BM12" s="137"/>
      <c r="BN12" s="137"/>
      <c r="BO12" s="156">
        <f t="shared" si="7"/>
        <v>125.582477754962</v>
      </c>
      <c r="BQ12" s="134" t="str">
        <f>IF(COUNTIF(BQ$7:BQ11,C12)&gt;0,"",C12)&amp;""</f>
        <v/>
      </c>
      <c r="BR12" s="138">
        <f t="shared" si="8"/>
        <v>0</v>
      </c>
      <c r="BS12" s="132">
        <f t="shared" si="18"/>
        <v>1</v>
      </c>
      <c r="BT12" s="138">
        <f t="shared" si="10"/>
        <v>0</v>
      </c>
      <c r="BU12" s="132">
        <f t="shared" si="19"/>
        <v>1</v>
      </c>
      <c r="BV12" s="132">
        <v>3</v>
      </c>
      <c r="BW12" s="134" t="str">
        <f t="shared" si="20"/>
        <v/>
      </c>
      <c r="BX12" s="146" t="str">
        <f t="shared" si="21"/>
        <v/>
      </c>
    </row>
    <row r="13" ht="15" customHeight="1" spans="1:76">
      <c r="A13" s="123" t="str">
        <f>IF(B13="","",COUNT(A$7:A12)+1)</f>
        <v/>
      </c>
      <c r="B13" s="139"/>
      <c r="C13" s="141"/>
      <c r="D13" s="140"/>
      <c r="E13" s="126" t="str">
        <f t="shared" si="0"/>
        <v/>
      </c>
      <c r="F13" s="141"/>
      <c r="G13" s="142"/>
      <c r="H13" s="127" t="str">
        <f>IFERROR(VLOOKUP(G13,参数表!$H$2:$I$50,2,FALSE),"")</f>
        <v/>
      </c>
      <c r="I13" s="128" t="str">
        <f t="shared" si="11"/>
        <v/>
      </c>
      <c r="J13" s="128" t="str">
        <f t="shared" si="12"/>
        <v/>
      </c>
      <c r="K13" s="129" t="str">
        <f t="shared" si="13"/>
        <v/>
      </c>
      <c r="L13" s="1274"/>
      <c r="M13" s="1274"/>
      <c r="N13" s="1274"/>
      <c r="O13" s="1274"/>
      <c r="P13" s="1274"/>
      <c r="Q13" s="1274"/>
      <c r="R13" s="1274"/>
      <c r="S13" s="1275"/>
      <c r="T13" s="1275"/>
      <c r="U13" s="1275"/>
      <c r="V13" s="1275"/>
      <c r="W13" s="1275"/>
      <c r="X13" s="1275"/>
      <c r="Y13" s="1275"/>
      <c r="Z13" s="129" t="str">
        <f t="shared" si="14"/>
        <v/>
      </c>
      <c r="AA13" s="1276"/>
      <c r="AB13" s="129" t="str">
        <f t="shared" si="15"/>
        <v/>
      </c>
      <c r="AC13" s="1276"/>
      <c r="AD13" s="1276"/>
      <c r="AE13" s="129" t="str">
        <f t="shared" si="1"/>
        <v/>
      </c>
      <c r="AF13" s="129" t="str">
        <f t="shared" si="2"/>
        <v/>
      </c>
      <c r="AG13" s="129" t="str">
        <f t="shared" si="3"/>
        <v/>
      </c>
      <c r="AH13" s="129" t="str">
        <f t="shared" si="4"/>
        <v/>
      </c>
      <c r="AI13" s="129" t="str">
        <f t="shared" si="5"/>
        <v/>
      </c>
      <c r="AJ13" s="129" t="str">
        <f t="shared" si="16"/>
        <v/>
      </c>
      <c r="AK13" s="145"/>
      <c r="BA13" s="78"/>
      <c r="BB13" s="132" t="s">
        <v>2142</v>
      </c>
      <c r="BC13" s="133"/>
      <c r="BD13" s="132" t="str">
        <f>IF(OR(B13="",BC13=""),"",COUNTIF(BC$8:BC13,"√"))</f>
        <v/>
      </c>
      <c r="BE13" s="134" t="str">
        <f t="shared" si="6"/>
        <v/>
      </c>
      <c r="BF13" s="135" t="str">
        <f t="shared" si="17"/>
        <v/>
      </c>
      <c r="BG13" s="135" t="str">
        <f t="shared" si="17"/>
        <v/>
      </c>
      <c r="BH13" s="136"/>
      <c r="BI13" s="136"/>
      <c r="BJ13" s="136"/>
      <c r="BK13" s="136"/>
      <c r="BL13" s="136"/>
      <c r="BM13" s="137"/>
      <c r="BN13" s="137"/>
      <c r="BO13" s="156">
        <f t="shared" si="7"/>
        <v>125.582477754962</v>
      </c>
      <c r="BQ13" s="134" t="str">
        <f>IF(COUNTIF(BQ$7:BQ12,C13)&gt;0,"",C13)&amp;""</f>
        <v/>
      </c>
      <c r="BR13" s="138">
        <f t="shared" si="8"/>
        <v>0</v>
      </c>
      <c r="BS13" s="132">
        <f t="shared" si="18"/>
        <v>1</v>
      </c>
      <c r="BT13" s="138">
        <f t="shared" si="10"/>
        <v>0</v>
      </c>
      <c r="BU13" s="132">
        <f t="shared" si="19"/>
        <v>1</v>
      </c>
      <c r="BV13" s="132">
        <v>4</v>
      </c>
      <c r="BW13" s="134" t="str">
        <f t="shared" si="20"/>
        <v/>
      </c>
      <c r="BX13" s="146" t="str">
        <f>IF(BW14="","","和")</f>
        <v/>
      </c>
    </row>
    <row r="14" ht="15" customHeight="1" spans="1:76">
      <c r="A14" s="123" t="str">
        <f>IF(B14="","",COUNT(A$7:A13)+1)</f>
        <v/>
      </c>
      <c r="B14" s="139"/>
      <c r="C14" s="141"/>
      <c r="D14" s="140"/>
      <c r="E14" s="126" t="str">
        <f t="shared" si="0"/>
        <v/>
      </c>
      <c r="F14" s="141"/>
      <c r="G14" s="142"/>
      <c r="H14" s="127" t="str">
        <f>IFERROR(VLOOKUP(G14,参数表!$H$2:$I$50,2,FALSE),"")</f>
        <v/>
      </c>
      <c r="I14" s="128" t="str">
        <f t="shared" si="11"/>
        <v/>
      </c>
      <c r="J14" s="128" t="str">
        <f t="shared" si="12"/>
        <v/>
      </c>
      <c r="K14" s="129" t="str">
        <f t="shared" si="13"/>
        <v/>
      </c>
      <c r="L14" s="1274"/>
      <c r="M14" s="1274"/>
      <c r="N14" s="1274"/>
      <c r="O14" s="1274"/>
      <c r="P14" s="1274"/>
      <c r="Q14" s="1274"/>
      <c r="R14" s="1274"/>
      <c r="S14" s="1275"/>
      <c r="T14" s="1275"/>
      <c r="U14" s="1275"/>
      <c r="V14" s="1275"/>
      <c r="W14" s="1275"/>
      <c r="X14" s="1275"/>
      <c r="Y14" s="1275"/>
      <c r="Z14" s="129" t="str">
        <f t="shared" si="14"/>
        <v/>
      </c>
      <c r="AA14" s="1276"/>
      <c r="AB14" s="129" t="str">
        <f t="shared" si="15"/>
        <v/>
      </c>
      <c r="AC14" s="1276"/>
      <c r="AD14" s="1276"/>
      <c r="AE14" s="129" t="str">
        <f t="shared" si="1"/>
        <v/>
      </c>
      <c r="AF14" s="129" t="str">
        <f t="shared" si="2"/>
        <v/>
      </c>
      <c r="AG14" s="129" t="str">
        <f t="shared" si="3"/>
        <v/>
      </c>
      <c r="AH14" s="129" t="str">
        <f t="shared" si="4"/>
        <v/>
      </c>
      <c r="AI14" s="129" t="str">
        <f t="shared" si="5"/>
        <v/>
      </c>
      <c r="AJ14" s="129" t="str">
        <f t="shared" si="16"/>
        <v/>
      </c>
      <c r="AK14" s="145"/>
      <c r="BA14" s="78"/>
      <c r="BB14" s="132" t="s">
        <v>2143</v>
      </c>
      <c r="BC14" s="133"/>
      <c r="BD14" s="132" t="str">
        <f>IF(OR(B14="",BC14=""),"",COUNTIF(BC$8:BC14,"√"))</f>
        <v/>
      </c>
      <c r="BE14" s="134" t="str">
        <f t="shared" si="6"/>
        <v/>
      </c>
      <c r="BF14" s="135" t="str">
        <f t="shared" si="17"/>
        <v/>
      </c>
      <c r="BG14" s="135" t="str">
        <f t="shared" si="17"/>
        <v/>
      </c>
      <c r="BH14" s="136"/>
      <c r="BI14" s="136"/>
      <c r="BJ14" s="136"/>
      <c r="BK14" s="136"/>
      <c r="BL14" s="136"/>
      <c r="BM14" s="137"/>
      <c r="BN14" s="137"/>
      <c r="BO14" s="156">
        <f t="shared" si="7"/>
        <v>125.582477754962</v>
      </c>
      <c r="BQ14" s="134" t="str">
        <f>IF(COUNTIF(BQ$7:BQ13,C14)&gt;0,"",C14)&amp;""</f>
        <v/>
      </c>
      <c r="BR14" s="138">
        <f t="shared" si="8"/>
        <v>0</v>
      </c>
      <c r="BS14" s="132">
        <f t="shared" si="18"/>
        <v>1</v>
      </c>
      <c r="BT14" s="138">
        <f t="shared" si="10"/>
        <v>0</v>
      </c>
      <c r="BU14" s="132">
        <f t="shared" si="19"/>
        <v>1</v>
      </c>
      <c r="BV14" s="132">
        <v>5</v>
      </c>
      <c r="BW14" s="134" t="str">
        <f t="shared" si="20"/>
        <v/>
      </c>
      <c r="BX14" s="146"/>
    </row>
    <row r="15" ht="15" customHeight="1" spans="1:76">
      <c r="A15" s="123" t="str">
        <f>IF(B15="","",COUNT(A$7:A14)+1)</f>
        <v/>
      </c>
      <c r="B15" s="139"/>
      <c r="C15" s="141"/>
      <c r="D15" s="140"/>
      <c r="E15" s="126" t="str">
        <f t="shared" si="0"/>
        <v/>
      </c>
      <c r="F15" s="141"/>
      <c r="G15" s="142"/>
      <c r="H15" s="127" t="str">
        <f>IFERROR(VLOOKUP(G15,参数表!$H$2:$I$50,2,FALSE),"")</f>
        <v/>
      </c>
      <c r="I15" s="128" t="str">
        <f t="shared" si="11"/>
        <v/>
      </c>
      <c r="J15" s="128" t="str">
        <f t="shared" si="12"/>
        <v/>
      </c>
      <c r="K15" s="129" t="str">
        <f t="shared" si="13"/>
        <v/>
      </c>
      <c r="L15" s="1274"/>
      <c r="M15" s="1274"/>
      <c r="N15" s="1274"/>
      <c r="O15" s="1274"/>
      <c r="P15" s="1274"/>
      <c r="Q15" s="1274"/>
      <c r="R15" s="1274"/>
      <c r="S15" s="1275"/>
      <c r="T15" s="1275"/>
      <c r="U15" s="1275"/>
      <c r="V15" s="1275"/>
      <c r="W15" s="1275"/>
      <c r="X15" s="1275"/>
      <c r="Y15" s="1275"/>
      <c r="Z15" s="129" t="str">
        <f t="shared" si="14"/>
        <v/>
      </c>
      <c r="AA15" s="1276"/>
      <c r="AB15" s="129" t="str">
        <f t="shared" si="15"/>
        <v/>
      </c>
      <c r="AC15" s="1276"/>
      <c r="AD15" s="1276"/>
      <c r="AE15" s="129" t="str">
        <f t="shared" si="1"/>
        <v/>
      </c>
      <c r="AF15" s="129" t="str">
        <f t="shared" si="2"/>
        <v/>
      </c>
      <c r="AG15" s="129" t="str">
        <f t="shared" si="3"/>
        <v/>
      </c>
      <c r="AH15" s="129" t="str">
        <f t="shared" si="4"/>
        <v/>
      </c>
      <c r="AI15" s="129" t="str">
        <f t="shared" si="5"/>
        <v/>
      </c>
      <c r="AJ15" s="129" t="str">
        <f t="shared" si="16"/>
        <v/>
      </c>
      <c r="AK15" s="145"/>
      <c r="BA15" s="78"/>
      <c r="BB15" s="132" t="s">
        <v>2144</v>
      </c>
      <c r="BC15" s="133"/>
      <c r="BD15" s="132" t="str">
        <f>IF(OR(B15="",BC15=""),"",COUNTIF(BC$8:BC15,"√"))</f>
        <v/>
      </c>
      <c r="BE15" s="134" t="str">
        <f t="shared" si="6"/>
        <v/>
      </c>
      <c r="BF15" s="135" t="str">
        <f t="shared" si="17"/>
        <v/>
      </c>
      <c r="BG15" s="135" t="str">
        <f t="shared" si="17"/>
        <v/>
      </c>
      <c r="BH15" s="136"/>
      <c r="BI15" s="136"/>
      <c r="BJ15" s="136"/>
      <c r="BK15" s="136"/>
      <c r="BL15" s="136"/>
      <c r="BM15" s="137"/>
      <c r="BN15" s="137"/>
      <c r="BO15" s="156">
        <f t="shared" si="7"/>
        <v>125.582477754962</v>
      </c>
      <c r="BQ15" s="134" t="str">
        <f>IF(COUNTIF(BQ$7:BQ14,C15)&gt;0,"",C15)&amp;""</f>
        <v/>
      </c>
      <c r="BR15" s="138">
        <f t="shared" si="8"/>
        <v>0</v>
      </c>
      <c r="BS15" s="132">
        <f t="shared" si="18"/>
        <v>1</v>
      </c>
      <c r="BT15" s="138">
        <f t="shared" si="10"/>
        <v>0</v>
      </c>
      <c r="BU15" s="132">
        <f t="shared" si="19"/>
        <v>1</v>
      </c>
      <c r="BV15" s="147" t="s">
        <v>1659</v>
      </c>
      <c r="BW15" s="132" t="str">
        <f>CONCATENATE(BW10,BX10,BW11,BX11,BW12,BX12,BW13,BX13,BW14)</f>
        <v/>
      </c>
      <c r="BX15" s="132"/>
    </row>
    <row r="16" ht="15" customHeight="1" spans="1:76">
      <c r="A16" s="123" t="str">
        <f>IF(B16="","",COUNT(A$7:A15)+1)</f>
        <v/>
      </c>
      <c r="B16" s="139"/>
      <c r="C16" s="141"/>
      <c r="D16" s="140"/>
      <c r="E16" s="126" t="str">
        <f t="shared" si="0"/>
        <v/>
      </c>
      <c r="F16" s="141"/>
      <c r="G16" s="142"/>
      <c r="H16" s="127" t="str">
        <f>IFERROR(VLOOKUP(G16,参数表!$H$2:$I$50,2,FALSE),"")</f>
        <v/>
      </c>
      <c r="I16" s="128" t="str">
        <f t="shared" si="11"/>
        <v/>
      </c>
      <c r="J16" s="128" t="str">
        <f t="shared" si="12"/>
        <v/>
      </c>
      <c r="K16" s="129" t="str">
        <f t="shared" si="13"/>
        <v/>
      </c>
      <c r="L16" s="1274"/>
      <c r="M16" s="1274"/>
      <c r="N16" s="1274"/>
      <c r="O16" s="1274"/>
      <c r="P16" s="1274"/>
      <c r="Q16" s="1274"/>
      <c r="R16" s="1274"/>
      <c r="S16" s="1275"/>
      <c r="T16" s="1275"/>
      <c r="U16" s="1275"/>
      <c r="V16" s="1275"/>
      <c r="W16" s="1275"/>
      <c r="X16" s="1275"/>
      <c r="Y16" s="1275"/>
      <c r="Z16" s="129" t="str">
        <f t="shared" si="14"/>
        <v/>
      </c>
      <c r="AA16" s="1276"/>
      <c r="AB16" s="129" t="str">
        <f t="shared" si="15"/>
        <v/>
      </c>
      <c r="AC16" s="1276"/>
      <c r="AD16" s="1276"/>
      <c r="AE16" s="129" t="str">
        <f t="shared" si="1"/>
        <v/>
      </c>
      <c r="AF16" s="129" t="str">
        <f t="shared" si="2"/>
        <v/>
      </c>
      <c r="AG16" s="129" t="str">
        <f t="shared" si="3"/>
        <v/>
      </c>
      <c r="AH16" s="129" t="str">
        <f t="shared" si="4"/>
        <v/>
      </c>
      <c r="AI16" s="129" t="str">
        <f t="shared" si="5"/>
        <v/>
      </c>
      <c r="AJ16" s="129" t="str">
        <f t="shared" si="16"/>
        <v/>
      </c>
      <c r="AK16" s="145"/>
      <c r="BA16" s="78"/>
      <c r="BB16" s="132" t="s">
        <v>2145</v>
      </c>
      <c r="BC16" s="133"/>
      <c r="BD16" s="132" t="str">
        <f>IF(OR(B16="",BC16=""),"",COUNTIF(BC$8:BC16,"√"))</f>
        <v/>
      </c>
      <c r="BE16" s="134" t="str">
        <f t="shared" si="6"/>
        <v/>
      </c>
      <c r="BF16" s="135" t="str">
        <f t="shared" si="17"/>
        <v/>
      </c>
      <c r="BG16" s="135" t="str">
        <f t="shared" si="17"/>
        <v/>
      </c>
      <c r="BH16" s="136"/>
      <c r="BI16" s="136"/>
      <c r="BJ16" s="136"/>
      <c r="BK16" s="136"/>
      <c r="BL16" s="136"/>
      <c r="BM16" s="137"/>
      <c r="BN16" s="137"/>
      <c r="BO16" s="156">
        <f t="shared" si="7"/>
        <v>125.582477754962</v>
      </c>
      <c r="BQ16" s="134" t="str">
        <f>IF(COUNTIF(BQ$7:BQ15,C16)&gt;0,"",C16)&amp;""</f>
        <v/>
      </c>
      <c r="BR16" s="138">
        <f t="shared" si="8"/>
        <v>0</v>
      </c>
      <c r="BS16" s="132">
        <f t="shared" si="18"/>
        <v>1</v>
      </c>
      <c r="BT16" s="138">
        <f t="shared" si="10"/>
        <v>0</v>
      </c>
      <c r="BU16" s="132">
        <f t="shared" si="19"/>
        <v>1</v>
      </c>
      <c r="BV16" s="133"/>
      <c r="BW16" s="133"/>
    </row>
    <row r="17" ht="15" customHeight="1" spans="1:76">
      <c r="A17" s="123" t="str">
        <f>IF(B17="","",COUNT(A$7:A16)+1)</f>
        <v/>
      </c>
      <c r="B17" s="139"/>
      <c r="C17" s="141"/>
      <c r="D17" s="140"/>
      <c r="E17" s="126" t="str">
        <f t="shared" si="0"/>
        <v/>
      </c>
      <c r="F17" s="141"/>
      <c r="G17" s="142"/>
      <c r="H17" s="127" t="str">
        <f>IFERROR(VLOOKUP(G17,参数表!$H$2:$I$50,2,FALSE),"")</f>
        <v/>
      </c>
      <c r="I17" s="128" t="str">
        <f t="shared" si="11"/>
        <v/>
      </c>
      <c r="J17" s="128" t="str">
        <f t="shared" si="12"/>
        <v/>
      </c>
      <c r="K17" s="129" t="str">
        <f t="shared" si="13"/>
        <v/>
      </c>
      <c r="L17" s="1274"/>
      <c r="M17" s="1274"/>
      <c r="N17" s="1274"/>
      <c r="O17" s="1274"/>
      <c r="P17" s="1274"/>
      <c r="Q17" s="1274"/>
      <c r="R17" s="1274"/>
      <c r="S17" s="1275"/>
      <c r="T17" s="1275"/>
      <c r="U17" s="1275"/>
      <c r="V17" s="1275"/>
      <c r="W17" s="1275"/>
      <c r="X17" s="1275"/>
      <c r="Y17" s="1275"/>
      <c r="Z17" s="129" t="str">
        <f t="shared" si="14"/>
        <v/>
      </c>
      <c r="AA17" s="1276"/>
      <c r="AB17" s="129" t="str">
        <f t="shared" si="15"/>
        <v/>
      </c>
      <c r="AC17" s="1276"/>
      <c r="AD17" s="1276"/>
      <c r="AE17" s="129" t="str">
        <f t="shared" si="1"/>
        <v/>
      </c>
      <c r="AF17" s="129" t="str">
        <f t="shared" si="2"/>
        <v/>
      </c>
      <c r="AG17" s="129" t="str">
        <f t="shared" si="3"/>
        <v/>
      </c>
      <c r="AH17" s="129" t="str">
        <f t="shared" si="4"/>
        <v/>
      </c>
      <c r="AI17" s="129" t="str">
        <f t="shared" si="5"/>
        <v/>
      </c>
      <c r="AJ17" s="129" t="str">
        <f t="shared" si="16"/>
        <v/>
      </c>
      <c r="AK17" s="145"/>
      <c r="BA17" s="78"/>
      <c r="BB17" s="132" t="s">
        <v>2146</v>
      </c>
      <c r="BC17" s="133"/>
      <c r="BD17" s="132" t="str">
        <f>IF(OR(B17="",BC17=""),"",COUNTIF(BC$8:BC17,"√"))</f>
        <v/>
      </c>
      <c r="BE17" s="134" t="str">
        <f t="shared" si="6"/>
        <v/>
      </c>
      <c r="BF17" s="135" t="str">
        <f t="shared" si="17"/>
        <v/>
      </c>
      <c r="BG17" s="135" t="str">
        <f t="shared" si="17"/>
        <v/>
      </c>
      <c r="BH17" s="136"/>
      <c r="BI17" s="136"/>
      <c r="BJ17" s="136"/>
      <c r="BK17" s="136"/>
      <c r="BL17" s="136"/>
      <c r="BM17" s="137"/>
      <c r="BN17" s="137"/>
      <c r="BO17" s="156">
        <f t="shared" si="7"/>
        <v>125.582477754962</v>
      </c>
      <c r="BQ17" s="134" t="str">
        <f>IF(COUNTIF(BQ$7:BQ16,C17)&gt;0,"",C17)&amp;""</f>
        <v/>
      </c>
      <c r="BR17" s="138">
        <f t="shared" si="8"/>
        <v>0</v>
      </c>
      <c r="BS17" s="132">
        <f t="shared" si="18"/>
        <v>1</v>
      </c>
      <c r="BT17" s="138">
        <f t="shared" si="10"/>
        <v>0</v>
      </c>
      <c r="BU17" s="132">
        <f t="shared" si="19"/>
        <v>1</v>
      </c>
      <c r="BV17" s="133"/>
      <c r="BW17" s="148"/>
    </row>
    <row r="18" ht="15" customHeight="1" spans="1:76">
      <c r="A18" s="123" t="str">
        <f>IF(B18="","",COUNT(A$7:A17)+1)</f>
        <v/>
      </c>
      <c r="B18" s="139"/>
      <c r="C18" s="141"/>
      <c r="D18" s="140"/>
      <c r="E18" s="126" t="str">
        <f t="shared" si="0"/>
        <v/>
      </c>
      <c r="F18" s="141"/>
      <c r="G18" s="142"/>
      <c r="H18" s="127" t="str">
        <f>IFERROR(VLOOKUP(G18,参数表!$H$2:$I$50,2,FALSE),"")</f>
        <v/>
      </c>
      <c r="I18" s="128" t="str">
        <f t="shared" si="11"/>
        <v/>
      </c>
      <c r="J18" s="128" t="str">
        <f t="shared" si="12"/>
        <v/>
      </c>
      <c r="K18" s="129" t="str">
        <f t="shared" si="13"/>
        <v/>
      </c>
      <c r="L18" s="1274"/>
      <c r="M18" s="1274"/>
      <c r="N18" s="1274"/>
      <c r="O18" s="1274"/>
      <c r="P18" s="1274"/>
      <c r="Q18" s="1274"/>
      <c r="R18" s="1274"/>
      <c r="S18" s="1275"/>
      <c r="T18" s="1275"/>
      <c r="U18" s="1275"/>
      <c r="V18" s="1275"/>
      <c r="W18" s="1275"/>
      <c r="X18" s="1275"/>
      <c r="Y18" s="1275"/>
      <c r="Z18" s="129" t="str">
        <f t="shared" si="14"/>
        <v/>
      </c>
      <c r="AA18" s="1276"/>
      <c r="AB18" s="129" t="str">
        <f t="shared" si="15"/>
        <v/>
      </c>
      <c r="AC18" s="1276"/>
      <c r="AD18" s="1276"/>
      <c r="AE18" s="129" t="str">
        <f t="shared" si="1"/>
        <v/>
      </c>
      <c r="AF18" s="129" t="str">
        <f t="shared" si="2"/>
        <v/>
      </c>
      <c r="AG18" s="129" t="str">
        <f t="shared" si="3"/>
        <v/>
      </c>
      <c r="AH18" s="129" t="str">
        <f t="shared" si="4"/>
        <v/>
      </c>
      <c r="AI18" s="129" t="str">
        <f t="shared" si="5"/>
        <v/>
      </c>
      <c r="AJ18" s="129" t="str">
        <f t="shared" si="16"/>
        <v/>
      </c>
      <c r="AK18" s="145"/>
      <c r="BA18" s="78"/>
      <c r="BB18" s="132" t="s">
        <v>2147</v>
      </c>
      <c r="BC18" s="133"/>
      <c r="BD18" s="132" t="str">
        <f>IF(OR(B18="",BC18=""),"",COUNTIF(BC$8:BC18,"√"))</f>
        <v/>
      </c>
      <c r="BE18" s="134" t="str">
        <f t="shared" si="6"/>
        <v/>
      </c>
      <c r="BF18" s="135" t="str">
        <f t="shared" si="17"/>
        <v/>
      </c>
      <c r="BG18" s="135" t="str">
        <f t="shared" si="17"/>
        <v/>
      </c>
      <c r="BH18" s="136"/>
      <c r="BI18" s="136"/>
      <c r="BJ18" s="136"/>
      <c r="BK18" s="136"/>
      <c r="BL18" s="136"/>
      <c r="BM18" s="137"/>
      <c r="BN18" s="137"/>
      <c r="BO18" s="156">
        <f t="shared" si="7"/>
        <v>125.582477754962</v>
      </c>
      <c r="BQ18" s="134" t="str">
        <f>IF(COUNTIF(BQ$7:BQ17,C18)&gt;0,"",C18)&amp;""</f>
        <v/>
      </c>
      <c r="BR18" s="138">
        <f t="shared" si="8"/>
        <v>0</v>
      </c>
      <c r="BS18" s="132">
        <f t="shared" si="18"/>
        <v>1</v>
      </c>
      <c r="BT18" s="138">
        <f t="shared" si="10"/>
        <v>0</v>
      </c>
      <c r="BU18" s="132">
        <f t="shared" si="19"/>
        <v>1</v>
      </c>
      <c r="BV18" s="133"/>
      <c r="BW18" s="133"/>
    </row>
    <row r="19" ht="15" customHeight="1" spans="1:76">
      <c r="A19" s="123" t="str">
        <f>IF(B19="","",COUNT(A$7:A18)+1)</f>
        <v/>
      </c>
      <c r="B19" s="139"/>
      <c r="C19" s="141"/>
      <c r="D19" s="140"/>
      <c r="E19" s="126" t="str">
        <f t="shared" si="0"/>
        <v/>
      </c>
      <c r="F19" s="141"/>
      <c r="G19" s="142"/>
      <c r="H19" s="127" t="str">
        <f>IFERROR(VLOOKUP(G19,参数表!$H$2:$I$50,2,FALSE),"")</f>
        <v/>
      </c>
      <c r="I19" s="128" t="str">
        <f t="shared" si="11"/>
        <v/>
      </c>
      <c r="J19" s="128" t="str">
        <f t="shared" si="12"/>
        <v/>
      </c>
      <c r="K19" s="129" t="str">
        <f t="shared" si="13"/>
        <v/>
      </c>
      <c r="L19" s="1274"/>
      <c r="M19" s="1274"/>
      <c r="N19" s="1274"/>
      <c r="O19" s="1274"/>
      <c r="P19" s="1274"/>
      <c r="Q19" s="1274"/>
      <c r="R19" s="1274"/>
      <c r="S19" s="1275"/>
      <c r="T19" s="1275"/>
      <c r="U19" s="1275"/>
      <c r="V19" s="1275"/>
      <c r="W19" s="1275"/>
      <c r="X19" s="1275"/>
      <c r="Y19" s="1275"/>
      <c r="Z19" s="129" t="str">
        <f t="shared" si="14"/>
        <v/>
      </c>
      <c r="AA19" s="1276"/>
      <c r="AB19" s="129" t="str">
        <f t="shared" si="15"/>
        <v/>
      </c>
      <c r="AC19" s="1276"/>
      <c r="AD19" s="1276"/>
      <c r="AE19" s="129" t="str">
        <f t="shared" si="1"/>
        <v/>
      </c>
      <c r="AF19" s="129" t="str">
        <f t="shared" si="2"/>
        <v/>
      </c>
      <c r="AG19" s="129" t="str">
        <f t="shared" si="3"/>
        <v/>
      </c>
      <c r="AH19" s="129" t="str">
        <f t="shared" si="4"/>
        <v/>
      </c>
      <c r="AI19" s="129" t="str">
        <f t="shared" si="5"/>
        <v/>
      </c>
      <c r="AJ19" s="129" t="str">
        <f t="shared" si="16"/>
        <v/>
      </c>
      <c r="AK19" s="145"/>
      <c r="BA19" s="78"/>
      <c r="BB19" s="132" t="s">
        <v>2148</v>
      </c>
      <c r="BC19" s="133"/>
      <c r="BD19" s="132" t="str">
        <f>IF(OR(B19="",BC19=""),"",COUNTIF(BC$8:BC19,"√"))</f>
        <v/>
      </c>
      <c r="BE19" s="134" t="str">
        <f t="shared" si="6"/>
        <v/>
      </c>
      <c r="BF19" s="135" t="str">
        <f t="shared" si="17"/>
        <v/>
      </c>
      <c r="BG19" s="135" t="str">
        <f t="shared" si="17"/>
        <v/>
      </c>
      <c r="BH19" s="136"/>
      <c r="BI19" s="136"/>
      <c r="BJ19" s="136"/>
      <c r="BK19" s="136"/>
      <c r="BL19" s="136"/>
      <c r="BM19" s="137"/>
      <c r="BN19" s="137"/>
      <c r="BO19" s="156">
        <f t="shared" si="7"/>
        <v>125.582477754962</v>
      </c>
      <c r="BQ19" s="134" t="str">
        <f>IF(COUNTIF(BQ$7:BQ18,C19)&gt;0,"",C19)&amp;""</f>
        <v/>
      </c>
      <c r="BR19" s="138">
        <f t="shared" si="8"/>
        <v>0</v>
      </c>
      <c r="BS19" s="132">
        <f t="shared" si="18"/>
        <v>1</v>
      </c>
      <c r="BT19" s="138">
        <f t="shared" si="10"/>
        <v>0</v>
      </c>
      <c r="BU19" s="132">
        <f t="shared" si="19"/>
        <v>1</v>
      </c>
      <c r="BV19" s="133"/>
      <c r="BW19" s="133"/>
    </row>
    <row r="20" ht="15" customHeight="1" spans="1:76">
      <c r="A20" s="123" t="str">
        <f>IF(B20="","",COUNT(A$7:A19)+1)</f>
        <v/>
      </c>
      <c r="B20" s="139"/>
      <c r="C20" s="141"/>
      <c r="D20" s="140"/>
      <c r="E20" s="126" t="str">
        <f t="shared" si="0"/>
        <v/>
      </c>
      <c r="F20" s="141"/>
      <c r="G20" s="142"/>
      <c r="H20" s="127" t="str">
        <f>IFERROR(VLOOKUP(G20,参数表!$H$2:$I$50,2,FALSE),"")</f>
        <v/>
      </c>
      <c r="I20" s="128" t="str">
        <f t="shared" si="11"/>
        <v/>
      </c>
      <c r="J20" s="128" t="str">
        <f t="shared" si="12"/>
        <v/>
      </c>
      <c r="K20" s="129" t="str">
        <f t="shared" si="13"/>
        <v/>
      </c>
      <c r="L20" s="1274"/>
      <c r="M20" s="1274"/>
      <c r="N20" s="1274"/>
      <c r="O20" s="1274"/>
      <c r="P20" s="1274"/>
      <c r="Q20" s="1274"/>
      <c r="R20" s="1274"/>
      <c r="S20" s="1275"/>
      <c r="T20" s="1275"/>
      <c r="U20" s="1275"/>
      <c r="V20" s="1275"/>
      <c r="W20" s="1275"/>
      <c r="X20" s="1275"/>
      <c r="Y20" s="1275"/>
      <c r="Z20" s="129" t="str">
        <f t="shared" si="14"/>
        <v/>
      </c>
      <c r="AA20" s="1276"/>
      <c r="AB20" s="129" t="str">
        <f t="shared" si="15"/>
        <v/>
      </c>
      <c r="AC20" s="1276"/>
      <c r="AD20" s="1276"/>
      <c r="AE20" s="129" t="str">
        <f t="shared" si="1"/>
        <v/>
      </c>
      <c r="AF20" s="129" t="str">
        <f t="shared" si="2"/>
        <v/>
      </c>
      <c r="AG20" s="129" t="str">
        <f t="shared" si="3"/>
        <v/>
      </c>
      <c r="AH20" s="129" t="str">
        <f t="shared" si="4"/>
        <v/>
      </c>
      <c r="AI20" s="129" t="str">
        <f t="shared" si="5"/>
        <v/>
      </c>
      <c r="AJ20" s="129" t="str">
        <f t="shared" si="16"/>
        <v/>
      </c>
      <c r="AK20" s="145"/>
      <c r="BA20" s="78"/>
      <c r="BB20" s="132" t="s">
        <v>2149</v>
      </c>
      <c r="BC20" s="133"/>
      <c r="BD20" s="132" t="str">
        <f>IF(OR(B20="",BC20=""),"",COUNTIF(BC$8:BC20,"√"))</f>
        <v/>
      </c>
      <c r="BE20" s="134" t="str">
        <f t="shared" si="6"/>
        <v/>
      </c>
      <c r="BF20" s="135" t="str">
        <f t="shared" si="17"/>
        <v/>
      </c>
      <c r="BG20" s="135" t="str">
        <f t="shared" si="17"/>
        <v/>
      </c>
      <c r="BH20" s="136"/>
      <c r="BI20" s="136"/>
      <c r="BJ20" s="136"/>
      <c r="BK20" s="136"/>
      <c r="BL20" s="136"/>
      <c r="BM20" s="137"/>
      <c r="BN20" s="137"/>
      <c r="BO20" s="156">
        <f t="shared" si="7"/>
        <v>125.582477754962</v>
      </c>
      <c r="BQ20" s="134" t="str">
        <f>IF(COUNTIF(BQ$7:BQ19,C20)&gt;0,"",C20)&amp;""</f>
        <v/>
      </c>
      <c r="BR20" s="138">
        <f t="shared" si="8"/>
        <v>0</v>
      </c>
      <c r="BS20" s="132">
        <f t="shared" si="18"/>
        <v>1</v>
      </c>
      <c r="BT20" s="138">
        <f t="shared" si="10"/>
        <v>0</v>
      </c>
      <c r="BU20" s="132">
        <f t="shared" si="19"/>
        <v>1</v>
      </c>
      <c r="BV20" s="133"/>
      <c r="BW20" s="133"/>
    </row>
    <row r="21" ht="15" customHeight="1" spans="1:76">
      <c r="A21" s="123" t="str">
        <f>IF(B21="","",COUNT(A$7:A20)+1)</f>
        <v/>
      </c>
      <c r="B21" s="139"/>
      <c r="C21" s="141"/>
      <c r="D21" s="140"/>
      <c r="E21" s="126" t="str">
        <f t="shared" si="0"/>
        <v/>
      </c>
      <c r="F21" s="141"/>
      <c r="G21" s="142"/>
      <c r="H21" s="127" t="str">
        <f>IFERROR(VLOOKUP(G21,参数表!$H$2:$I$50,2,FALSE),"")</f>
        <v/>
      </c>
      <c r="I21" s="128" t="str">
        <f t="shared" si="11"/>
        <v/>
      </c>
      <c r="J21" s="128" t="str">
        <f t="shared" si="12"/>
        <v/>
      </c>
      <c r="K21" s="129" t="str">
        <f t="shared" si="13"/>
        <v/>
      </c>
      <c r="L21" s="1274"/>
      <c r="M21" s="1274"/>
      <c r="N21" s="1274"/>
      <c r="O21" s="1274"/>
      <c r="P21" s="1274"/>
      <c r="Q21" s="1274"/>
      <c r="R21" s="1274"/>
      <c r="S21" s="1275"/>
      <c r="T21" s="1275"/>
      <c r="U21" s="1275"/>
      <c r="V21" s="1275"/>
      <c r="W21" s="1275"/>
      <c r="X21" s="1275"/>
      <c r="Y21" s="1275"/>
      <c r="Z21" s="129" t="str">
        <f t="shared" si="14"/>
        <v/>
      </c>
      <c r="AA21" s="1276"/>
      <c r="AB21" s="129" t="str">
        <f t="shared" si="15"/>
        <v/>
      </c>
      <c r="AC21" s="1276"/>
      <c r="AD21" s="1276"/>
      <c r="AE21" s="129" t="str">
        <f t="shared" si="1"/>
        <v/>
      </c>
      <c r="AF21" s="129" t="str">
        <f t="shared" si="2"/>
        <v/>
      </c>
      <c r="AG21" s="129" t="str">
        <f t="shared" si="3"/>
        <v/>
      </c>
      <c r="AH21" s="129" t="str">
        <f t="shared" si="4"/>
        <v/>
      </c>
      <c r="AI21" s="129" t="str">
        <f t="shared" si="5"/>
        <v/>
      </c>
      <c r="AJ21" s="129" t="str">
        <f t="shared" si="16"/>
        <v/>
      </c>
      <c r="AK21" s="145"/>
      <c r="BA21" s="78"/>
      <c r="BB21" s="132" t="s">
        <v>2150</v>
      </c>
      <c r="BC21" s="133"/>
      <c r="BD21" s="132" t="str">
        <f>IF(OR(B21="",BC21=""),"",COUNTIF(BC$8:BC21,"√"))</f>
        <v/>
      </c>
      <c r="BE21" s="134" t="str">
        <f t="shared" si="6"/>
        <v/>
      </c>
      <c r="BF21" s="135" t="str">
        <f t="shared" si="17"/>
        <v/>
      </c>
      <c r="BG21" s="135" t="str">
        <f t="shared" si="17"/>
        <v/>
      </c>
      <c r="BH21" s="136"/>
      <c r="BI21" s="136"/>
      <c r="BJ21" s="136"/>
      <c r="BK21" s="136"/>
      <c r="BL21" s="136"/>
      <c r="BM21" s="137"/>
      <c r="BN21" s="137"/>
      <c r="BO21" s="156">
        <f t="shared" si="7"/>
        <v>125.582477754962</v>
      </c>
      <c r="BQ21" s="134" t="str">
        <f>IF(COUNTIF(BQ$7:BQ20,C21)&gt;0,"",C21)&amp;""</f>
        <v/>
      </c>
      <c r="BR21" s="138">
        <f t="shared" si="8"/>
        <v>0</v>
      </c>
      <c r="BS21" s="132">
        <f t="shared" si="18"/>
        <v>1</v>
      </c>
      <c r="BT21" s="138">
        <f t="shared" si="10"/>
        <v>0</v>
      </c>
      <c r="BU21" s="132">
        <f t="shared" si="19"/>
        <v>1</v>
      </c>
      <c r="BV21" s="133"/>
      <c r="BW21" s="133"/>
    </row>
    <row r="22" ht="15" customHeight="1" spans="1:76">
      <c r="A22" s="123" t="str">
        <f>IF(B22="","",COUNT(A$7:A21)+1)</f>
        <v/>
      </c>
      <c r="B22" s="139"/>
      <c r="C22" s="141"/>
      <c r="D22" s="140"/>
      <c r="E22" s="126" t="str">
        <f t="shared" si="0"/>
        <v/>
      </c>
      <c r="F22" s="141"/>
      <c r="G22" s="142"/>
      <c r="H22" s="127" t="str">
        <f>IFERROR(VLOOKUP(G22,参数表!$H$2:$I$50,2,FALSE),"")</f>
        <v/>
      </c>
      <c r="I22" s="128" t="str">
        <f t="shared" si="11"/>
        <v/>
      </c>
      <c r="J22" s="128" t="str">
        <f t="shared" si="12"/>
        <v/>
      </c>
      <c r="K22" s="129" t="str">
        <f t="shared" si="13"/>
        <v/>
      </c>
      <c r="L22" s="1274"/>
      <c r="M22" s="1274"/>
      <c r="N22" s="1274"/>
      <c r="O22" s="1274"/>
      <c r="P22" s="1274"/>
      <c r="Q22" s="1274"/>
      <c r="R22" s="1274"/>
      <c r="S22" s="1275"/>
      <c r="T22" s="1275"/>
      <c r="U22" s="1275"/>
      <c r="V22" s="1275"/>
      <c r="W22" s="1275"/>
      <c r="X22" s="1275"/>
      <c r="Y22" s="1275"/>
      <c r="Z22" s="129" t="str">
        <f t="shared" si="14"/>
        <v/>
      </c>
      <c r="AA22" s="1276"/>
      <c r="AB22" s="129" t="str">
        <f t="shared" si="15"/>
        <v/>
      </c>
      <c r="AC22" s="1276"/>
      <c r="AD22" s="1276"/>
      <c r="AE22" s="129" t="str">
        <f t="shared" si="1"/>
        <v/>
      </c>
      <c r="AF22" s="129" t="str">
        <f t="shared" si="2"/>
        <v/>
      </c>
      <c r="AG22" s="129" t="str">
        <f t="shared" si="3"/>
        <v/>
      </c>
      <c r="AH22" s="129" t="str">
        <f t="shared" si="4"/>
        <v/>
      </c>
      <c r="AI22" s="129" t="str">
        <f t="shared" si="5"/>
        <v/>
      </c>
      <c r="AJ22" s="129" t="str">
        <f t="shared" si="16"/>
        <v/>
      </c>
      <c r="AK22" s="145"/>
      <c r="BA22" s="78"/>
      <c r="BB22" s="132" t="s">
        <v>2151</v>
      </c>
      <c r="BC22" s="133"/>
      <c r="BD22" s="132" t="str">
        <f>IF(OR(B22="",BC22=""),"",COUNTIF(BC$8:BC22,"√"))</f>
        <v/>
      </c>
      <c r="BE22" s="134" t="str">
        <f t="shared" si="6"/>
        <v/>
      </c>
      <c r="BF22" s="135" t="str">
        <f t="shared" si="17"/>
        <v/>
      </c>
      <c r="BG22" s="135" t="str">
        <f t="shared" si="17"/>
        <v/>
      </c>
      <c r="BH22" s="136"/>
      <c r="BI22" s="136"/>
      <c r="BJ22" s="136"/>
      <c r="BK22" s="136"/>
      <c r="BL22" s="136"/>
      <c r="BM22" s="137"/>
      <c r="BN22" s="137"/>
      <c r="BO22" s="156">
        <f t="shared" si="7"/>
        <v>125.582477754962</v>
      </c>
      <c r="BQ22" s="134" t="str">
        <f>IF(COUNTIF(BQ$7:BQ21,C22)&gt;0,"",C22)&amp;""</f>
        <v/>
      </c>
      <c r="BR22" s="138">
        <f t="shared" si="8"/>
        <v>0</v>
      </c>
      <c r="BS22" s="132">
        <f t="shared" si="18"/>
        <v>1</v>
      </c>
      <c r="BT22" s="138">
        <f t="shared" si="10"/>
        <v>0</v>
      </c>
      <c r="BU22" s="132">
        <f t="shared" si="19"/>
        <v>1</v>
      </c>
      <c r="BV22" s="133"/>
      <c r="BW22" s="133"/>
    </row>
    <row r="23" ht="15" customHeight="1" spans="1:76">
      <c r="A23" s="123" t="str">
        <f>IF(B23="","",COUNT(A$7:A22)+1)</f>
        <v/>
      </c>
      <c r="B23" s="139"/>
      <c r="C23" s="141"/>
      <c r="D23" s="140"/>
      <c r="E23" s="126" t="str">
        <f t="shared" si="0"/>
        <v/>
      </c>
      <c r="F23" s="141"/>
      <c r="G23" s="142"/>
      <c r="H23" s="127" t="str">
        <f>IFERROR(VLOOKUP(G23,参数表!$H$2:$I$50,2,FALSE),"")</f>
        <v/>
      </c>
      <c r="I23" s="128" t="str">
        <f t="shared" si="11"/>
        <v/>
      </c>
      <c r="J23" s="128" t="str">
        <f t="shared" si="12"/>
        <v/>
      </c>
      <c r="K23" s="129" t="str">
        <f t="shared" si="13"/>
        <v/>
      </c>
      <c r="L23" s="1274"/>
      <c r="M23" s="1274"/>
      <c r="N23" s="1274"/>
      <c r="O23" s="1274"/>
      <c r="P23" s="1274"/>
      <c r="Q23" s="1274"/>
      <c r="R23" s="1274"/>
      <c r="S23" s="1275"/>
      <c r="T23" s="1275"/>
      <c r="U23" s="1275"/>
      <c r="V23" s="1275"/>
      <c r="W23" s="1275"/>
      <c r="X23" s="1275"/>
      <c r="Y23" s="1275"/>
      <c r="Z23" s="129" t="str">
        <f t="shared" si="14"/>
        <v/>
      </c>
      <c r="AA23" s="1276"/>
      <c r="AB23" s="129" t="str">
        <f t="shared" si="15"/>
        <v/>
      </c>
      <c r="AC23" s="1276"/>
      <c r="AD23" s="1276"/>
      <c r="AE23" s="129" t="str">
        <f t="shared" si="1"/>
        <v/>
      </c>
      <c r="AF23" s="129" t="str">
        <f t="shared" si="2"/>
        <v/>
      </c>
      <c r="AG23" s="129" t="str">
        <f t="shared" si="3"/>
        <v/>
      </c>
      <c r="AH23" s="129" t="str">
        <f t="shared" si="4"/>
        <v/>
      </c>
      <c r="AI23" s="129" t="str">
        <f t="shared" si="5"/>
        <v/>
      </c>
      <c r="AJ23" s="129" t="str">
        <f t="shared" si="16"/>
        <v/>
      </c>
      <c r="AK23" s="145"/>
      <c r="BA23" s="78"/>
      <c r="BB23" s="132" t="s">
        <v>2152</v>
      </c>
      <c r="BC23" s="133"/>
      <c r="BD23" s="132" t="str">
        <f>IF(OR(B23="",BC23=""),"",COUNTIF(BC$8:BC23,"√"))</f>
        <v/>
      </c>
      <c r="BE23" s="134" t="str">
        <f t="shared" si="6"/>
        <v/>
      </c>
      <c r="BF23" s="135" t="str">
        <f t="shared" si="17"/>
        <v/>
      </c>
      <c r="BG23" s="135" t="str">
        <f t="shared" si="17"/>
        <v/>
      </c>
      <c r="BH23" s="136"/>
      <c r="BI23" s="136"/>
      <c r="BJ23" s="136"/>
      <c r="BK23" s="136"/>
      <c r="BL23" s="136"/>
      <c r="BM23" s="137"/>
      <c r="BN23" s="137"/>
      <c r="BO23" s="156">
        <f t="shared" si="7"/>
        <v>125.582477754962</v>
      </c>
      <c r="BQ23" s="134" t="str">
        <f>IF(COUNTIF(BQ$7:BQ22,C23)&gt;0,"",C23)&amp;""</f>
        <v/>
      </c>
      <c r="BR23" s="138">
        <f t="shared" si="8"/>
        <v>0</v>
      </c>
      <c r="BS23" s="132">
        <f t="shared" si="18"/>
        <v>1</v>
      </c>
      <c r="BT23" s="138">
        <f t="shared" si="10"/>
        <v>0</v>
      </c>
      <c r="BU23" s="132">
        <f t="shared" si="19"/>
        <v>1</v>
      </c>
      <c r="BV23" s="133"/>
      <c r="BW23" s="133"/>
    </row>
    <row r="24" ht="15" customHeight="1" spans="1:76">
      <c r="A24" s="123" t="str">
        <f>IF(B24="","",COUNT(A$7:A23)+1)</f>
        <v/>
      </c>
      <c r="B24" s="139"/>
      <c r="C24" s="141"/>
      <c r="D24" s="140"/>
      <c r="E24" s="126" t="str">
        <f t="shared" si="0"/>
        <v/>
      </c>
      <c r="F24" s="141"/>
      <c r="G24" s="142"/>
      <c r="H24" s="127" t="str">
        <f>IFERROR(VLOOKUP(G24,参数表!$H$2:$I$50,2,FALSE),"")</f>
        <v/>
      </c>
      <c r="I24" s="128" t="str">
        <f t="shared" si="11"/>
        <v/>
      </c>
      <c r="J24" s="128" t="str">
        <f t="shared" si="12"/>
        <v/>
      </c>
      <c r="K24" s="129" t="str">
        <f t="shared" si="13"/>
        <v/>
      </c>
      <c r="L24" s="1274"/>
      <c r="M24" s="1274"/>
      <c r="N24" s="1274"/>
      <c r="O24" s="1274"/>
      <c r="P24" s="1274"/>
      <c r="Q24" s="1274"/>
      <c r="R24" s="1274"/>
      <c r="S24" s="1275"/>
      <c r="T24" s="1275"/>
      <c r="U24" s="1275"/>
      <c r="V24" s="1275"/>
      <c r="W24" s="1275"/>
      <c r="X24" s="1275"/>
      <c r="Y24" s="1275"/>
      <c r="Z24" s="129" t="str">
        <f t="shared" si="14"/>
        <v/>
      </c>
      <c r="AA24" s="1276"/>
      <c r="AB24" s="129" t="str">
        <f t="shared" si="15"/>
        <v/>
      </c>
      <c r="AC24" s="1276"/>
      <c r="AD24" s="1276"/>
      <c r="AE24" s="129" t="str">
        <f t="shared" si="1"/>
        <v/>
      </c>
      <c r="AF24" s="129" t="str">
        <f t="shared" si="2"/>
        <v/>
      </c>
      <c r="AG24" s="129" t="str">
        <f t="shared" si="3"/>
        <v/>
      </c>
      <c r="AH24" s="129" t="str">
        <f t="shared" si="4"/>
        <v/>
      </c>
      <c r="AI24" s="129" t="str">
        <f t="shared" si="5"/>
        <v/>
      </c>
      <c r="AJ24" s="129" t="str">
        <f t="shared" si="16"/>
        <v/>
      </c>
      <c r="AK24" s="145"/>
      <c r="BA24" s="78"/>
      <c r="BB24" s="132" t="s">
        <v>2153</v>
      </c>
      <c r="BC24" s="133"/>
      <c r="BD24" s="132" t="str">
        <f>IF(OR(B24="",BC24=""),"",COUNTIF(BC$8:BC24,"√"))</f>
        <v/>
      </c>
      <c r="BE24" s="134" t="str">
        <f t="shared" si="6"/>
        <v/>
      </c>
      <c r="BF24" s="135" t="str">
        <f t="shared" si="17"/>
        <v/>
      </c>
      <c r="BG24" s="135" t="str">
        <f t="shared" si="17"/>
        <v/>
      </c>
      <c r="BH24" s="136"/>
      <c r="BI24" s="136"/>
      <c r="BJ24" s="136"/>
      <c r="BK24" s="136"/>
      <c r="BL24" s="136"/>
      <c r="BM24" s="137"/>
      <c r="BN24" s="137"/>
      <c r="BO24" s="156">
        <f t="shared" si="7"/>
        <v>125.582477754962</v>
      </c>
      <c r="BQ24" s="134" t="str">
        <f>IF(COUNTIF(BQ$7:BQ23,C24)&gt;0,"",C24)&amp;""</f>
        <v/>
      </c>
      <c r="BR24" s="138">
        <f t="shared" si="8"/>
        <v>0</v>
      </c>
      <c r="BS24" s="132">
        <f t="shared" si="18"/>
        <v>1</v>
      </c>
      <c r="BT24" s="138">
        <f t="shared" si="10"/>
        <v>0</v>
      </c>
      <c r="BU24" s="132">
        <f t="shared" si="19"/>
        <v>1</v>
      </c>
      <c r="BV24" s="133"/>
      <c r="BW24" s="133"/>
    </row>
    <row r="25" ht="15" customHeight="1" spans="1:76">
      <c r="A25" s="123" t="str">
        <f>IF(B25="","",COUNT(A$7:A24)+1)</f>
        <v/>
      </c>
      <c r="B25" s="139"/>
      <c r="C25" s="141"/>
      <c r="D25" s="140"/>
      <c r="E25" s="126" t="str">
        <f t="shared" si="0"/>
        <v/>
      </c>
      <c r="F25" s="141"/>
      <c r="G25" s="142"/>
      <c r="H25" s="127" t="str">
        <f>IFERROR(VLOOKUP(G25,参数表!$H$2:$I$50,2,FALSE),"")</f>
        <v/>
      </c>
      <c r="I25" s="128" t="str">
        <f t="shared" si="11"/>
        <v/>
      </c>
      <c r="J25" s="128" t="str">
        <f t="shared" si="12"/>
        <v/>
      </c>
      <c r="K25" s="129" t="str">
        <f t="shared" si="13"/>
        <v/>
      </c>
      <c r="L25" s="1274"/>
      <c r="M25" s="1274"/>
      <c r="N25" s="1274"/>
      <c r="O25" s="1274"/>
      <c r="P25" s="1274"/>
      <c r="Q25" s="1274"/>
      <c r="R25" s="1274"/>
      <c r="S25" s="1275"/>
      <c r="T25" s="1275"/>
      <c r="U25" s="1275"/>
      <c r="V25" s="1275"/>
      <c r="W25" s="1275"/>
      <c r="X25" s="1275"/>
      <c r="Y25" s="1275"/>
      <c r="Z25" s="129" t="str">
        <f t="shared" si="14"/>
        <v/>
      </c>
      <c r="AA25" s="1276"/>
      <c r="AB25" s="129" t="str">
        <f t="shared" si="15"/>
        <v/>
      </c>
      <c r="AC25" s="1276"/>
      <c r="AD25" s="1276"/>
      <c r="AE25" s="129" t="str">
        <f t="shared" si="1"/>
        <v/>
      </c>
      <c r="AF25" s="129" t="str">
        <f t="shared" si="2"/>
        <v/>
      </c>
      <c r="AG25" s="129" t="str">
        <f t="shared" si="3"/>
        <v/>
      </c>
      <c r="AH25" s="129" t="str">
        <f t="shared" si="4"/>
        <v/>
      </c>
      <c r="AI25" s="129" t="str">
        <f t="shared" si="5"/>
        <v/>
      </c>
      <c r="AJ25" s="129" t="str">
        <f t="shared" si="16"/>
        <v/>
      </c>
      <c r="AK25" s="145"/>
      <c r="BA25" s="78"/>
      <c r="BB25" s="132" t="s">
        <v>2154</v>
      </c>
      <c r="BC25" s="133"/>
      <c r="BD25" s="132" t="str">
        <f>IF(OR(B25="",BC25=""),"",COUNTIF(BC$8:BC25,"√"))</f>
        <v/>
      </c>
      <c r="BE25" s="134" t="str">
        <f t="shared" si="6"/>
        <v/>
      </c>
      <c r="BF25" s="135" t="str">
        <f t="shared" si="17"/>
        <v/>
      </c>
      <c r="BG25" s="135" t="str">
        <f t="shared" si="17"/>
        <v/>
      </c>
      <c r="BH25" s="136"/>
      <c r="BI25" s="136"/>
      <c r="BJ25" s="136"/>
      <c r="BK25" s="136"/>
      <c r="BL25" s="136"/>
      <c r="BM25" s="137"/>
      <c r="BN25" s="137"/>
      <c r="BO25" s="156">
        <f t="shared" si="7"/>
        <v>125.582477754962</v>
      </c>
      <c r="BQ25" s="134" t="str">
        <f>IF(COUNTIF(BQ$7:BQ24,C25)&gt;0,"",C25)&amp;""</f>
        <v/>
      </c>
      <c r="BR25" s="138">
        <f t="shared" si="8"/>
        <v>0</v>
      </c>
      <c r="BS25" s="132">
        <f t="shared" si="18"/>
        <v>1</v>
      </c>
      <c r="BT25" s="138">
        <f t="shared" si="10"/>
        <v>0</v>
      </c>
      <c r="BU25" s="132">
        <f t="shared" si="19"/>
        <v>1</v>
      </c>
      <c r="BV25" s="133"/>
      <c r="BW25" s="133"/>
    </row>
    <row r="26" ht="15" customHeight="1" spans="1:76">
      <c r="A26" s="123" t="str">
        <f>IF(B26="","",COUNT(A$7:A25)+1)</f>
        <v/>
      </c>
      <c r="B26" s="139"/>
      <c r="C26" s="141"/>
      <c r="D26" s="140"/>
      <c r="E26" s="126" t="str">
        <f t="shared" si="0"/>
        <v/>
      </c>
      <c r="F26" s="141"/>
      <c r="G26" s="142"/>
      <c r="H26" s="127" t="str">
        <f>IFERROR(VLOOKUP(G26,参数表!$H$2:$I$50,2,FALSE),"")</f>
        <v/>
      </c>
      <c r="I26" s="128" t="str">
        <f t="shared" si="11"/>
        <v/>
      </c>
      <c r="J26" s="128" t="str">
        <f t="shared" si="12"/>
        <v/>
      </c>
      <c r="K26" s="129" t="str">
        <f t="shared" si="13"/>
        <v/>
      </c>
      <c r="L26" s="1274"/>
      <c r="M26" s="1274"/>
      <c r="N26" s="1274"/>
      <c r="O26" s="1274"/>
      <c r="P26" s="1274"/>
      <c r="Q26" s="1274"/>
      <c r="R26" s="1274"/>
      <c r="S26" s="1275"/>
      <c r="T26" s="1275"/>
      <c r="U26" s="1275"/>
      <c r="V26" s="1275"/>
      <c r="W26" s="1275"/>
      <c r="X26" s="1275"/>
      <c r="Y26" s="1275"/>
      <c r="Z26" s="129" t="str">
        <f t="shared" si="14"/>
        <v/>
      </c>
      <c r="AA26" s="1276"/>
      <c r="AB26" s="129" t="str">
        <f t="shared" si="15"/>
        <v/>
      </c>
      <c r="AC26" s="1276"/>
      <c r="AD26" s="1276"/>
      <c r="AE26" s="129" t="str">
        <f t="shared" si="1"/>
        <v/>
      </c>
      <c r="AF26" s="129" t="str">
        <f t="shared" si="2"/>
        <v/>
      </c>
      <c r="AG26" s="129" t="str">
        <f t="shared" si="3"/>
        <v/>
      </c>
      <c r="AH26" s="129" t="str">
        <f t="shared" si="4"/>
        <v/>
      </c>
      <c r="AI26" s="129" t="str">
        <f t="shared" si="5"/>
        <v/>
      </c>
      <c r="AJ26" s="129" t="str">
        <f t="shared" si="16"/>
        <v/>
      </c>
      <c r="AK26" s="145"/>
      <c r="BA26" s="78"/>
      <c r="BB26" s="132" t="s">
        <v>2155</v>
      </c>
      <c r="BC26" s="133"/>
      <c r="BD26" s="132" t="str">
        <f>IF(OR(B26="",BC26=""),"",COUNTIF(BC$8:BC26,"√"))</f>
        <v/>
      </c>
      <c r="BE26" s="134" t="str">
        <f t="shared" si="6"/>
        <v/>
      </c>
      <c r="BF26" s="135" t="str">
        <f t="shared" si="17"/>
        <v/>
      </c>
      <c r="BG26" s="135" t="str">
        <f t="shared" si="17"/>
        <v/>
      </c>
      <c r="BH26" s="136"/>
      <c r="BI26" s="136"/>
      <c r="BJ26" s="136"/>
      <c r="BK26" s="136"/>
      <c r="BL26" s="136"/>
      <c r="BM26" s="137"/>
      <c r="BN26" s="137"/>
      <c r="BO26" s="156">
        <f t="shared" si="7"/>
        <v>125.582477754962</v>
      </c>
      <c r="BQ26" s="134" t="str">
        <f>IF(COUNTIF(BQ$7:BQ25,C26)&gt;0,"",C26)&amp;""</f>
        <v/>
      </c>
      <c r="BR26" s="138">
        <f t="shared" si="8"/>
        <v>0</v>
      </c>
      <c r="BS26" s="132">
        <f t="shared" si="18"/>
        <v>1</v>
      </c>
      <c r="BT26" s="138">
        <f t="shared" si="10"/>
        <v>0</v>
      </c>
      <c r="BU26" s="132">
        <f t="shared" si="19"/>
        <v>1</v>
      </c>
      <c r="BV26" s="133"/>
      <c r="BW26" s="133"/>
    </row>
    <row r="27" ht="15" customHeight="1" spans="1:76">
      <c r="A27" s="123" t="str">
        <f>IF(B27="","",COUNT(A$7:A26)+1)</f>
        <v/>
      </c>
      <c r="B27" s="124"/>
      <c r="C27" s="126"/>
      <c r="D27" s="125"/>
      <c r="E27" s="126" t="str">
        <f t="shared" si="0"/>
        <v/>
      </c>
      <c r="F27" s="126"/>
      <c r="G27" s="127"/>
      <c r="H27" s="127" t="str">
        <f>IFERROR(VLOOKUP(G27,参数表!$H$2:$I$50,2,FALSE),"")</f>
        <v/>
      </c>
      <c r="I27" s="128" t="str">
        <f t="shared" si="11"/>
        <v/>
      </c>
      <c r="J27" s="128" t="str">
        <f t="shared" si="12"/>
        <v/>
      </c>
      <c r="K27" s="129" t="str">
        <f t="shared" si="13"/>
        <v/>
      </c>
      <c r="L27" s="129"/>
      <c r="M27" s="129"/>
      <c r="N27" s="129"/>
      <c r="O27" s="129"/>
      <c r="P27" s="129"/>
      <c r="Q27" s="129"/>
      <c r="R27" s="129"/>
      <c r="S27" s="1224"/>
      <c r="T27" s="1224"/>
      <c r="U27" s="1224"/>
      <c r="V27" s="1224"/>
      <c r="W27" s="1224"/>
      <c r="X27" s="1224"/>
      <c r="Y27" s="1224"/>
      <c r="Z27" s="129" t="str">
        <f t="shared" si="14"/>
        <v/>
      </c>
      <c r="AA27" s="1273"/>
      <c r="AB27" s="129" t="str">
        <f t="shared" si="15"/>
        <v/>
      </c>
      <c r="AC27" s="1273"/>
      <c r="AD27" s="1273"/>
      <c r="AE27" s="129" t="str">
        <f t="shared" si="1"/>
        <v/>
      </c>
      <c r="AF27" s="129" t="str">
        <f t="shared" si="2"/>
        <v/>
      </c>
      <c r="AG27" s="129" t="str">
        <f t="shared" si="3"/>
        <v/>
      </c>
      <c r="AH27" s="129" t="str">
        <f t="shared" si="4"/>
        <v/>
      </c>
      <c r="AI27" s="129" t="str">
        <f t="shared" si="5"/>
        <v/>
      </c>
      <c r="AJ27" s="129" t="str">
        <f t="shared" si="16"/>
        <v/>
      </c>
      <c r="AK27" s="131"/>
      <c r="BA27" s="78"/>
      <c r="BB27" s="132" t="s">
        <v>2156</v>
      </c>
      <c r="BC27" s="133"/>
      <c r="BD27" s="132" t="str">
        <f>IF(OR(B27="",BC27=""),"",COUNTIF(BC$8:BC27,"√"))</f>
        <v/>
      </c>
      <c r="BE27" s="134" t="str">
        <f t="shared" si="6"/>
        <v/>
      </c>
      <c r="BF27" s="135" t="str">
        <f t="shared" si="17"/>
        <v/>
      </c>
      <c r="BG27" s="135" t="str">
        <f t="shared" si="17"/>
        <v/>
      </c>
      <c r="BH27" s="136"/>
      <c r="BI27" s="136"/>
      <c r="BJ27" s="136"/>
      <c r="BK27" s="136"/>
      <c r="BL27" s="136"/>
      <c r="BM27" s="137"/>
      <c r="BN27" s="137"/>
      <c r="BO27" s="156">
        <f t="shared" si="7"/>
        <v>125.582477754962</v>
      </c>
      <c r="BQ27" s="134" t="str">
        <f>IF(COUNTIF(BQ$7:BQ26,C27)&gt;0,"",C27)&amp;""</f>
        <v/>
      </c>
      <c r="BR27" s="138">
        <f t="shared" si="8"/>
        <v>0</v>
      </c>
      <c r="BS27" s="132">
        <f t="shared" si="18"/>
        <v>1</v>
      </c>
      <c r="BT27" s="138">
        <f t="shared" si="10"/>
        <v>0</v>
      </c>
      <c r="BU27" s="132">
        <f t="shared" si="19"/>
        <v>1</v>
      </c>
      <c r="BV27" s="133"/>
      <c r="BW27" s="133"/>
    </row>
    <row r="28" s="73" customFormat="1" ht="15" customHeight="1" spans="1:76">
      <c r="A28" s="149" t="s">
        <v>1954</v>
      </c>
      <c r="B28" s="149"/>
      <c r="C28" s="149"/>
      <c r="D28" s="356"/>
      <c r="E28" s="149"/>
      <c r="F28" s="1277"/>
      <c r="G28" s="354"/>
      <c r="H28" s="354"/>
      <c r="I28" s="354"/>
      <c r="J28" s="354"/>
      <c r="K28" s="152">
        <f t="shared" ref="K28:R28" si="22">SUM(K8:K27)</f>
        <v>0</v>
      </c>
      <c r="L28" s="152">
        <f t="shared" si="22"/>
        <v>0</v>
      </c>
      <c r="M28" s="152">
        <f t="shared" si="22"/>
        <v>0</v>
      </c>
      <c r="N28" s="152">
        <f t="shared" si="22"/>
        <v>0</v>
      </c>
      <c r="O28" s="152">
        <f t="shared" si="22"/>
        <v>0</v>
      </c>
      <c r="P28" s="152">
        <f t="shared" si="22"/>
        <v>0</v>
      </c>
      <c r="Q28" s="152">
        <f t="shared" si="22"/>
        <v>0</v>
      </c>
      <c r="R28" s="152">
        <f t="shared" si="22"/>
        <v>0</v>
      </c>
      <c r="S28" s="152"/>
      <c r="T28" s="152"/>
      <c r="U28" s="152"/>
      <c r="V28" s="152"/>
      <c r="W28" s="152"/>
      <c r="X28" s="152"/>
      <c r="Y28" s="152"/>
      <c r="Z28" s="152"/>
      <c r="AA28" s="1278"/>
      <c r="AB28" s="152">
        <f>SUM(AB8:AB27)</f>
        <v>0</v>
      </c>
      <c r="AC28" s="1278"/>
      <c r="AD28" s="1278"/>
      <c r="AE28" s="152">
        <f>SUM(AE8:AE27)</f>
        <v>0</v>
      </c>
      <c r="AF28" s="152">
        <f>SUM(AF8:AF27)</f>
        <v>0</v>
      </c>
      <c r="AG28" s="152">
        <f>SUM(AG8:AG27)</f>
        <v>0</v>
      </c>
      <c r="AH28" s="152">
        <f>SUM(AH8:AH27)</f>
        <v>0</v>
      </c>
      <c r="AI28" s="152">
        <f t="shared" si="5"/>
        <v>0</v>
      </c>
      <c r="AJ28" s="152" t="str">
        <f t="shared" si="16"/>
        <v/>
      </c>
      <c r="AK28" s="151"/>
      <c r="BH28" s="72"/>
      <c r="BI28" s="72"/>
      <c r="BJ28" s="72"/>
      <c r="BK28" s="72"/>
      <c r="BL28" s="72"/>
      <c r="BP28" s="111"/>
      <c r="BQ28" s="119"/>
      <c r="BR28" s="77"/>
      <c r="BS28" s="77"/>
      <c r="BT28" s="77"/>
      <c r="BU28" s="119"/>
      <c r="BV28" s="119"/>
      <c r="BW28" s="119"/>
      <c r="BX28" s="111"/>
    </row>
    <row r="29" ht="15" customHeight="1" spans="1:76">
      <c r="A29" s="126" t="s">
        <v>1955</v>
      </c>
      <c r="B29" s="126"/>
      <c r="C29" s="126"/>
      <c r="D29" s="125"/>
      <c r="E29" s="126"/>
      <c r="F29" s="1279"/>
      <c r="G29" s="491"/>
      <c r="H29" s="491"/>
      <c r="I29" s="491"/>
      <c r="J29" s="491"/>
      <c r="K29" s="129">
        <f>AB28</f>
        <v>0</v>
      </c>
      <c r="L29" s="129"/>
      <c r="M29" s="129"/>
      <c r="N29" s="129"/>
      <c r="O29" s="129"/>
      <c r="P29" s="129"/>
      <c r="Q29" s="129"/>
      <c r="R29" s="129"/>
      <c r="S29" s="129"/>
      <c r="T29" s="129"/>
      <c r="U29" s="129"/>
      <c r="V29" s="129"/>
      <c r="W29" s="129"/>
      <c r="X29" s="129"/>
      <c r="Y29" s="129"/>
      <c r="Z29" s="129"/>
      <c r="AA29" s="1273"/>
      <c r="AB29" s="1273"/>
      <c r="AC29" s="1273"/>
      <c r="AD29" s="1273"/>
      <c r="AE29" s="129">
        <f>AF28</f>
        <v>0</v>
      </c>
      <c r="AF29" s="129"/>
      <c r="AG29" s="129">
        <v>0</v>
      </c>
      <c r="AH29" s="129"/>
      <c r="AI29" s="129">
        <f t="shared" si="5"/>
        <v>0</v>
      </c>
      <c r="AJ29" s="129" t="str">
        <f t="shared" si="16"/>
        <v/>
      </c>
      <c r="AK29" s="131"/>
    </row>
    <row r="30" ht="15" customHeight="1" spans="1:76">
      <c r="A30" s="126" t="s">
        <v>1956</v>
      </c>
      <c r="B30" s="126"/>
      <c r="C30" s="126"/>
      <c r="D30" s="125"/>
      <c r="E30" s="126"/>
      <c r="F30" s="1279"/>
      <c r="G30" s="491"/>
      <c r="H30" s="491"/>
      <c r="I30" s="491"/>
      <c r="J30" s="491"/>
      <c r="K30" s="129"/>
      <c r="L30" s="129"/>
      <c r="M30" s="129"/>
      <c r="N30" s="129"/>
      <c r="O30" s="129"/>
      <c r="P30" s="129"/>
      <c r="Q30" s="129"/>
      <c r="R30" s="129"/>
      <c r="S30" s="129"/>
      <c r="T30" s="129"/>
      <c r="U30" s="129"/>
      <c r="V30" s="129"/>
      <c r="W30" s="129"/>
      <c r="X30" s="129"/>
      <c r="Y30" s="129"/>
      <c r="Z30" s="129"/>
      <c r="AA30" s="1273"/>
      <c r="AB30" s="1273"/>
      <c r="AC30" s="1273"/>
      <c r="AD30" s="1273"/>
      <c r="AE30" s="129"/>
      <c r="AF30" s="129"/>
      <c r="AG30" s="129">
        <f>IF(BB$3="是",AH28,0)</f>
        <v>0</v>
      </c>
      <c r="AH30" s="129"/>
      <c r="AI30" s="129">
        <f t="shared" si="5"/>
        <v>0</v>
      </c>
      <c r="AJ30" s="129" t="str">
        <f t="shared" si="16"/>
        <v/>
      </c>
      <c r="AK30" s="131"/>
    </row>
    <row r="31" s="73" customFormat="1" ht="15" customHeight="1" spans="1:76">
      <c r="A31" s="149" t="s">
        <v>1957</v>
      </c>
      <c r="B31" s="149"/>
      <c r="C31" s="151"/>
      <c r="D31" s="356"/>
      <c r="E31" s="151"/>
      <c r="F31" s="1277"/>
      <c r="G31" s="354"/>
      <c r="H31" s="354"/>
      <c r="I31" s="354"/>
      <c r="J31" s="354"/>
      <c r="K31" s="152">
        <f>K28-K29-K30</f>
        <v>0</v>
      </c>
      <c r="L31" s="152">
        <f t="shared" ref="L31:R31" si="23">L28-L29-L30</f>
        <v>0</v>
      </c>
      <c r="M31" s="152"/>
      <c r="N31" s="152">
        <f t="shared" si="23"/>
        <v>0</v>
      </c>
      <c r="O31" s="152">
        <f t="shared" si="23"/>
        <v>0</v>
      </c>
      <c r="P31" s="152">
        <f t="shared" si="23"/>
        <v>0</v>
      </c>
      <c r="Q31" s="152">
        <f t="shared" si="23"/>
        <v>0</v>
      </c>
      <c r="R31" s="152">
        <f t="shared" si="23"/>
        <v>0</v>
      </c>
      <c r="S31" s="152"/>
      <c r="T31" s="152"/>
      <c r="U31" s="152"/>
      <c r="V31" s="152"/>
      <c r="W31" s="152"/>
      <c r="X31" s="152"/>
      <c r="Y31" s="152"/>
      <c r="Z31" s="152"/>
      <c r="AA31" s="1278"/>
      <c r="AB31" s="1278"/>
      <c r="AC31" s="1278"/>
      <c r="AD31" s="1278"/>
      <c r="AE31" s="152">
        <f>AE28-AE29-AE30</f>
        <v>0</v>
      </c>
      <c r="AF31" s="152"/>
      <c r="AG31" s="152">
        <f>AG28-AG29-AG30</f>
        <v>0</v>
      </c>
      <c r="AH31" s="152"/>
      <c r="AI31" s="152">
        <f t="shared" si="5"/>
        <v>0</v>
      </c>
      <c r="AJ31" s="152" t="str">
        <f t="shared" si="16"/>
        <v/>
      </c>
      <c r="AK31" s="151"/>
      <c r="BH31" s="72"/>
      <c r="BI31" s="72"/>
      <c r="BJ31" s="72"/>
      <c r="BK31" s="72"/>
      <c r="BL31" s="72"/>
      <c r="BP31" s="77"/>
      <c r="BQ31" s="78"/>
      <c r="BR31" s="77"/>
      <c r="BS31" s="78"/>
      <c r="BT31" s="78"/>
      <c r="BU31" s="78"/>
      <c r="BV31" s="78"/>
      <c r="BW31" s="78"/>
      <c r="BX31" s="77"/>
    </row>
    <row r="32" s="73" customFormat="1" ht="15" customHeight="1" spans="1:76">
      <c r="A32" s="102" t="str">
        <f>参数表!F$6</f>
        <v>产权持有单位填表人：贾广东</v>
      </c>
      <c r="B32" s="185"/>
      <c r="C32" s="986"/>
      <c r="D32" s="987"/>
      <c r="E32" s="986"/>
      <c r="F32" s="1280"/>
      <c r="G32" s="988"/>
      <c r="H32" s="988"/>
      <c r="I32" s="988"/>
      <c r="J32" s="988"/>
      <c r="K32" s="990"/>
      <c r="L32" s="990"/>
      <c r="M32" s="990"/>
      <c r="N32" s="990"/>
      <c r="O32" s="990"/>
      <c r="P32" s="990"/>
      <c r="Q32" s="990"/>
      <c r="R32" s="990"/>
      <c r="S32" s="990"/>
      <c r="T32" s="990"/>
      <c r="U32" s="990"/>
      <c r="V32" s="990"/>
      <c r="W32" s="990"/>
      <c r="X32" s="990"/>
      <c r="Y32" s="990"/>
      <c r="Z32" s="990"/>
      <c r="AA32" s="1281"/>
      <c r="AB32" s="1281"/>
      <c r="AC32" s="1281"/>
      <c r="AD32" s="1281"/>
      <c r="AE32" s="990"/>
      <c r="AF32" s="990"/>
      <c r="AG32" s="103" t="str">
        <f>"评估人员："&amp;封面!$G$20</f>
        <v>评估人员：栗祥宁</v>
      </c>
      <c r="AH32" s="103"/>
      <c r="AI32" s="990"/>
      <c r="AJ32" s="990"/>
      <c r="AK32" s="991"/>
      <c r="BH32" s="72"/>
      <c r="BI32" s="72"/>
      <c r="BJ32" s="72"/>
      <c r="BK32" s="72"/>
      <c r="BL32" s="72"/>
      <c r="BP32" s="77"/>
      <c r="BQ32" s="78"/>
      <c r="BR32" s="77"/>
      <c r="BS32" s="78"/>
      <c r="BT32" s="78"/>
      <c r="BU32" s="78"/>
      <c r="BV32" s="78"/>
      <c r="BW32" s="78"/>
      <c r="BX32" s="77"/>
    </row>
    <row r="33" s="73" customFormat="1" ht="15" customHeight="1" spans="1:76">
      <c r="A33" s="102" t="str">
        <f>参数表!F$7</f>
        <v>填表日期：2025年9月20日</v>
      </c>
      <c r="B33" s="185"/>
      <c r="C33" s="986"/>
      <c r="D33" s="987"/>
      <c r="E33" s="986"/>
      <c r="F33" s="1280"/>
      <c r="G33" s="988"/>
      <c r="H33" s="988"/>
      <c r="I33" s="988"/>
      <c r="J33" s="988"/>
      <c r="K33" s="990"/>
      <c r="L33" s="990"/>
      <c r="M33" s="990"/>
      <c r="N33" s="990"/>
      <c r="O33" s="990"/>
      <c r="P33" s="990"/>
      <c r="Q33" s="990"/>
      <c r="R33" s="990"/>
      <c r="S33" s="990"/>
      <c r="T33" s="990"/>
      <c r="U33" s="990"/>
      <c r="V33" s="990"/>
      <c r="W33" s="990"/>
      <c r="X33" s="990"/>
      <c r="Y33" s="990"/>
      <c r="Z33" s="990"/>
      <c r="AA33" s="1281"/>
      <c r="AB33" s="1281"/>
      <c r="AC33" s="1281"/>
      <c r="AD33" s="1281"/>
      <c r="AE33" s="990"/>
      <c r="AF33" s="990"/>
      <c r="AG33" s="990"/>
      <c r="AH33" s="990"/>
      <c r="AI33" s="990"/>
      <c r="AJ33" s="990"/>
      <c r="AK33" s="991"/>
      <c r="BH33" s="72"/>
      <c r="BI33" s="72"/>
      <c r="BJ33" s="72"/>
      <c r="BK33" s="72"/>
      <c r="BL33" s="72"/>
      <c r="BP33" s="77"/>
      <c r="BQ33" s="78"/>
      <c r="BR33" s="77"/>
      <c r="BS33" s="78"/>
      <c r="BT33" s="78"/>
      <c r="BU33" s="78"/>
      <c r="BV33" s="78"/>
      <c r="BW33" s="78"/>
      <c r="BX33" s="77"/>
    </row>
    <row r="34" customHeight="1" spans="1:76">
      <c r="A34" s="157"/>
      <c r="B34" s="247" t="s">
        <v>2011</v>
      </c>
      <c r="C34" s="75" t="s">
        <v>2012</v>
      </c>
      <c r="D34" s="158"/>
      <c r="E34" s="158"/>
      <c r="F34" s="228"/>
      <c r="G34" s="158"/>
      <c r="H34" s="158"/>
      <c r="I34" s="158"/>
      <c r="J34" s="158"/>
    </row>
    <row r="35" customHeight="1" spans="1:76">
      <c r="A35" s="157"/>
      <c r="B35" s="158"/>
      <c r="C35" s="75" t="s">
        <v>2013</v>
      </c>
      <c r="D35" s="158"/>
      <c r="E35" s="158"/>
      <c r="F35" s="228"/>
      <c r="G35" s="158"/>
      <c r="H35" s="158"/>
      <c r="I35" s="158"/>
      <c r="J35" s="158"/>
      <c r="BM35" s="165"/>
    </row>
    <row r="36" customHeight="1" spans="1:76">
      <c r="A36" s="157"/>
      <c r="B36" s="158"/>
      <c r="C36" s="75" t="s">
        <v>2014</v>
      </c>
      <c r="D36" s="158"/>
      <c r="E36" s="158"/>
      <c r="F36" s="228"/>
      <c r="G36" s="158"/>
      <c r="H36" s="158"/>
      <c r="I36" s="158"/>
      <c r="J36" s="158"/>
      <c r="BM36" s="165"/>
    </row>
    <row r="37" hidden="1" customHeight="1" outlineLevel="1" spans="1:76">
      <c r="A37" s="157"/>
      <c r="B37" s="154" t="s">
        <v>1673</v>
      </c>
      <c r="C37" s="158"/>
      <c r="D37" s="158"/>
      <c r="E37" s="158"/>
      <c r="F37" s="95" t="s">
        <v>1674</v>
      </c>
      <c r="G37" s="95"/>
      <c r="H37" s="95"/>
      <c r="I37" s="95"/>
      <c r="J37" s="95"/>
      <c r="K37" s="159">
        <f>SUMIF($BA8:$BA27,$BA37,K8:K27)</f>
        <v>0</v>
      </c>
      <c r="L37" s="176"/>
      <c r="M37" s="176"/>
      <c r="N37" s="176"/>
      <c r="O37" s="176"/>
      <c r="P37" s="176"/>
      <c r="Q37" s="176"/>
      <c r="R37" s="176"/>
      <c r="S37" s="176"/>
      <c r="T37" s="176"/>
      <c r="U37" s="176"/>
      <c r="V37" s="176"/>
      <c r="W37" s="176"/>
      <c r="X37" s="176"/>
      <c r="Y37" s="176"/>
      <c r="Z37" s="159">
        <f>SUMIF($BA8:$BA27,$BA37,Z8:Z27)</f>
        <v>0</v>
      </c>
      <c r="AA37" s="1282"/>
      <c r="AB37" s="159">
        <f>SUMIF($BA8:$BA27,$BA37,AB8:AB27)</f>
        <v>0</v>
      </c>
      <c r="AC37" s="1282"/>
      <c r="AD37" s="1282"/>
      <c r="AE37" s="159">
        <f>SUMIF($BA8:$BA27,$BA37,AE8:AE27)</f>
        <v>0</v>
      </c>
      <c r="AF37" s="159">
        <f>SUMIF($BA8:$BA27,$BA37,AF8:AF27)</f>
        <v>0</v>
      </c>
      <c r="AG37" s="159">
        <f>SUMIF($BA8:$BA27,$BA37,AG8:AG27)</f>
        <v>0</v>
      </c>
      <c r="AH37" s="159">
        <f>SUMIF($BA8:$BA27,$BA37,AH8:AH27)</f>
        <v>0</v>
      </c>
      <c r="BA37" s="161" t="s">
        <v>1674</v>
      </c>
      <c r="BH37" s="95" t="s">
        <v>1675</v>
      </c>
      <c r="BI37" s="95" t="s">
        <v>1675</v>
      </c>
      <c r="BJ37" s="95" t="s">
        <v>1675</v>
      </c>
      <c r="BK37" s="95" t="s">
        <v>1674</v>
      </c>
      <c r="BL37" s="95" t="s">
        <v>1674</v>
      </c>
    </row>
    <row r="38" hidden="1" customHeight="1" outlineLevel="1" spans="1:76">
      <c r="A38" s="157"/>
      <c r="B38" s="154" t="s">
        <v>1676</v>
      </c>
      <c r="C38" s="158"/>
      <c r="D38" s="158"/>
      <c r="E38" s="158"/>
      <c r="F38" s="95" t="s">
        <v>1677</v>
      </c>
      <c r="G38" s="95"/>
      <c r="H38" s="95"/>
      <c r="I38" s="95"/>
      <c r="J38" s="95"/>
      <c r="K38" s="159">
        <f>K28-K37</f>
        <v>0</v>
      </c>
      <c r="L38" s="176"/>
      <c r="M38" s="176"/>
      <c r="N38" s="176"/>
      <c r="O38" s="176"/>
      <c r="P38" s="176"/>
      <c r="Q38" s="176"/>
      <c r="R38" s="176"/>
      <c r="S38" s="176"/>
      <c r="T38" s="176"/>
      <c r="U38" s="176"/>
      <c r="V38" s="176"/>
      <c r="W38" s="176"/>
      <c r="X38" s="176"/>
      <c r="Y38" s="176"/>
      <c r="Z38" s="159">
        <f>Z28-Z37</f>
        <v>0</v>
      </c>
      <c r="AA38" s="1282"/>
      <c r="AB38" s="159">
        <f>AB28-AB37</f>
        <v>0</v>
      </c>
      <c r="AC38" s="1282"/>
      <c r="AD38" s="1282"/>
      <c r="AE38" s="159">
        <f>AE28-AE37</f>
        <v>0</v>
      </c>
      <c r="AF38" s="159">
        <f>AF28-AF37</f>
        <v>0</v>
      </c>
      <c r="AG38" s="159">
        <f>AG28-AG37</f>
        <v>0</v>
      </c>
      <c r="AH38" s="159">
        <f>AH28-AH37</f>
        <v>0</v>
      </c>
      <c r="BA38" s="161" t="s">
        <v>1677</v>
      </c>
      <c r="BH38" s="95" t="s">
        <v>1678</v>
      </c>
      <c r="BI38" s="95" t="s">
        <v>1678</v>
      </c>
      <c r="BJ38" s="95" t="s">
        <v>1678</v>
      </c>
      <c r="BK38" s="95" t="s">
        <v>1677</v>
      </c>
      <c r="BL38" s="95" t="s">
        <v>1677</v>
      </c>
    </row>
    <row r="39" customHeight="1" collapsed="1" spans="1:76">
      <c r="A39" s="157"/>
      <c r="B39" s="158"/>
      <c r="C39" s="158"/>
      <c r="D39" s="158"/>
      <c r="E39" s="158"/>
      <c r="F39" s="228"/>
      <c r="G39" s="158"/>
      <c r="H39" s="158"/>
      <c r="I39" s="158"/>
      <c r="J39" s="158"/>
    </row>
    <row r="40" customHeight="1" spans="1:76">
      <c r="A40" s="157"/>
      <c r="B40" s="158"/>
      <c r="C40" s="158"/>
      <c r="D40" s="158"/>
      <c r="E40" s="158"/>
      <c r="F40" s="228"/>
      <c r="G40" s="158"/>
      <c r="H40" s="158"/>
      <c r="I40" s="158"/>
      <c r="J40" s="158"/>
    </row>
  </sheetData>
  <sheetProtection autoFilter="0"/>
  <mergeCells count="37">
    <mergeCell ref="A2:AK2"/>
    <mergeCell ref="A3:AK3"/>
    <mergeCell ref="G6:J6"/>
    <mergeCell ref="K6:R6"/>
    <mergeCell ref="S6:Y6"/>
    <mergeCell ref="Z6:AB6"/>
    <mergeCell ref="AC6:AD6"/>
    <mergeCell ref="BV8:BX8"/>
    <mergeCell ref="BV9:BX9"/>
    <mergeCell ref="BW15:BX15"/>
    <mergeCell ref="A28:B28"/>
    <mergeCell ref="A29:B29"/>
    <mergeCell ref="A30:B30"/>
    <mergeCell ref="A31:B31"/>
    <mergeCell ref="A6:A7"/>
    <mergeCell ref="B6:B7"/>
    <mergeCell ref="C6:C7"/>
    <mergeCell ref="D6:D7"/>
    <mergeCell ref="E6:E7"/>
    <mergeCell ref="F6:F7"/>
    <mergeCell ref="AE6:AE7"/>
    <mergeCell ref="AF6:AF7"/>
    <mergeCell ref="AG6:AG7"/>
    <mergeCell ref="AH6:AH7"/>
    <mergeCell ref="AI6:AI7"/>
    <mergeCell ref="AJ6:AJ7"/>
    <mergeCell ref="AK6:AK7"/>
    <mergeCell ref="BF6:BF7"/>
    <mergeCell ref="BG6:BG7"/>
    <mergeCell ref="BH6:BH7"/>
    <mergeCell ref="BI6:BI7"/>
    <mergeCell ref="BJ6:BJ7"/>
    <mergeCell ref="BK6:BK7"/>
    <mergeCell ref="BL6:BL7"/>
    <mergeCell ref="BM6:BM7"/>
    <mergeCell ref="BN6:BN7"/>
    <mergeCell ref="BO6:BO7"/>
  </mergeCells>
  <conditionalFormatting sqref="BI8:BL8">
    <cfRule type="expression" dxfId="5" priority="4" stopIfTrue="1">
      <formula>AND($B8&lt;&gt;"",BI8="")</formula>
    </cfRule>
  </conditionalFormatting>
  <conditionalFormatting sqref="BM8:BM27">
    <cfRule type="expression" dxfId="5" priority="3" stopIfTrue="1">
      <formula>AND(BK8="无",BM8="")</formula>
    </cfRule>
  </conditionalFormatting>
  <conditionalFormatting sqref="BF8:BG27">
    <cfRule type="containsText" dxfId="6" priority="1" stopIfTrue="1" operator="between" text="出错">
      <formula>NOT(ISERROR(SEARCH("出错",BF8)))</formula>
    </cfRule>
  </conditionalFormatting>
  <conditionalFormatting sqref="BH9:BM27 BH8:BL26">
    <cfRule type="expression" dxfId="5" priority="5" stopIfTrue="1">
      <formula>AND($B8&lt;&gt;"",BH8="")</formula>
    </cfRule>
  </conditionalFormatting>
  <dataValidations count="4">
    <dataValidation type="list" allowBlank="1" showInputMessage="1" showErrorMessage="1" sqref="F8:F27 BH8:BL27">
      <formula1>F$37:F$38</formula1>
    </dataValidation>
    <dataValidation type="list" allowBlank="1" showInputMessage="1" showErrorMessage="1" sqref="G8:G27">
      <formula1>OFFSET(参数表!$H$2:$H$50,,,COUNTA(参数表!$H$2:$H$50))</formula1>
    </dataValidation>
    <dataValidation type="list" allowBlank="1" showInputMessage="1" showErrorMessage="1" sqref="BA8:BA27 BA37:BA38">
      <formula1>"是,否"</formula1>
    </dataValidation>
    <dataValidation type="list" allowBlank="1" showInputMessage="1" showErrorMessage="1" sqref="BC8:BC27">
      <formula1>"  ,√"</formula1>
    </dataValidation>
  </dataValidations>
  <hyperlinks>
    <hyperlink ref="A1" location="索引目录!D17" display="返回索引页"/>
    <hyperlink ref="B1" location="流动资产汇总表!B20" display="返回 "/>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FF0000"/>
  </sheetPr>
  <dimension ref="A1:CE31"/>
  <sheetViews>
    <sheetView zoomScale="90" zoomScaleNormal="90" workbookViewId="0">
      <pane xSplit="2" ySplit="6" topLeftCell="C7" activePane="bottomRight" state="frozen"/>
      <selection/>
      <selection pane="topRight"/>
      <selection pane="bottomLeft"/>
      <selection pane="bottomRight" activeCell="G28" sqref="G28"/>
    </sheetView>
  </sheetViews>
  <sheetFormatPr defaultColWidth="9" defaultRowHeight="15.75" customHeight="1"/>
  <cols>
    <col min="1" max="1" width="7.6" style="75" customWidth="1"/>
    <col min="2" max="2" width="34.1" style="75" customWidth="1"/>
    <col min="3" max="3" width="20.6" style="75" hidden="1" customWidth="1" outlineLevel="1"/>
    <col min="4" max="4" width="20.6" style="75" customWidth="1" collapsed="1"/>
    <col min="5" max="7" width="20.6" style="75" customWidth="1"/>
    <col min="8" max="8" width="5" style="165" hidden="1" customWidth="1" outlineLevel="1"/>
    <col min="9" max="9" width="5" style="75" hidden="1" customWidth="1" outlineLevel="1"/>
    <col min="10" max="52" width="9" style="75" hidden="1" customWidth="1" outlineLevel="1"/>
    <col min="53" max="53" width="10.6" style="227" customWidth="1" collapsed="1"/>
    <col min="54" max="60" width="10.6" style="227" customWidth="1"/>
    <col min="61" max="61" width="1.6" style="227" customWidth="1"/>
    <col min="62"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80" t="s">
        <v>1591</v>
      </c>
      <c r="B1" s="80" t="s">
        <v>1592</v>
      </c>
      <c r="C1" s="81"/>
      <c r="D1" s="81"/>
      <c r="E1" s="81"/>
      <c r="F1" s="81"/>
      <c r="G1" s="81"/>
      <c r="H1" s="168"/>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233" t="s">
        <v>2157</v>
      </c>
      <c r="B2" s="233"/>
      <c r="C2" s="233"/>
      <c r="D2" s="233"/>
      <c r="E2" s="233"/>
      <c r="F2" s="233"/>
      <c r="G2" s="233"/>
      <c r="H2" s="171"/>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5" customHeight="1" spans="1:83">
      <c r="A3" s="238" t="str">
        <f>参数表!F5</f>
        <v>评估基准日：2025年7月31日</v>
      </c>
      <c r="B3" s="238"/>
      <c r="C3" s="238"/>
      <c r="D3" s="238"/>
      <c r="E3" s="238"/>
      <c r="F3" s="238"/>
      <c r="G3" s="238"/>
      <c r="BA3" s="230" t="str">
        <f>参数表!BA3</f>
        <v>是否显示评估值：</v>
      </c>
      <c r="BB3" s="230" t="str">
        <f>参数表!BB3</f>
        <v>是</v>
      </c>
    </row>
    <row r="4" ht="15" customHeight="1" spans="1:83">
      <c r="A4" s="238"/>
      <c r="B4" s="238"/>
      <c r="C4" s="238"/>
      <c r="D4" s="238"/>
      <c r="E4" s="238"/>
      <c r="F4" s="238"/>
      <c r="G4" s="338" t="str">
        <f>"表"&amp;A28</f>
        <v>表3-10</v>
      </c>
      <c r="K4" s="277"/>
      <c r="BA4" s="240" t="s">
        <v>1595</v>
      </c>
      <c r="BB4" s="241"/>
      <c r="BC4" s="241"/>
      <c r="BD4" s="241"/>
      <c r="BE4" s="241"/>
      <c r="BF4" s="241"/>
      <c r="BG4" s="241"/>
      <c r="BH4" s="241"/>
      <c r="BI4" s="242"/>
      <c r="BJ4" s="241" t="s">
        <v>1545</v>
      </c>
      <c r="BK4" s="241"/>
      <c r="BL4" s="241"/>
      <c r="BM4" s="241"/>
      <c r="BN4" s="241"/>
      <c r="BO4" s="241"/>
      <c r="BP4" s="241"/>
      <c r="BQ4" s="241"/>
      <c r="BS4" s="228" t="str">
        <f>LEFT(A2,LEN(A2)-5)</f>
        <v>存货</v>
      </c>
    </row>
    <row r="5" ht="15" customHeight="1" spans="1:83">
      <c r="A5" s="243" t="str">
        <f>参数表!F3</f>
        <v>产权持有单位:中煤第五建设有限公司</v>
      </c>
      <c r="G5" s="244" t="s">
        <v>236</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存货为：</v>
      </c>
      <c r="BT5" s="248" t="str">
        <f>CONCATENATE(BW7,BX7,BW8,BX8,BW9,BX9,BW10,BX10,BW11,BX11,BW12,BX12,BW13,BX13,BW14,BX14,BW15,BX15,BW16,BX16)&amp;CONCATENATE(BW17,BX17,BW18,BX18,BW19,BX19,BW20,BX20,BW21,BX21,BW22,BX22,BW23,BX23,BW24,BX24,BW25,BX25,BW26,BX26,BW27)</f>
        <v>在用周转材料</v>
      </c>
    </row>
    <row r="6" s="72" customFormat="1" ht="15" customHeight="1" spans="1:83">
      <c r="A6" s="249" t="s">
        <v>1734</v>
      </c>
      <c r="B6" s="249" t="s">
        <v>1735</v>
      </c>
      <c r="C6" s="250" t="s">
        <v>1549</v>
      </c>
      <c r="D6" s="249" t="s">
        <v>1523</v>
      </c>
      <c r="E6" s="249" t="s">
        <v>1550</v>
      </c>
      <c r="F6" s="249" t="s">
        <v>1525</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339" t="str">
        <f>A$28&amp;"-"&amp;SUBTOTAL(103,B$7:B7)</f>
        <v>3-10-1</v>
      </c>
      <c r="B7" s="507" t="s">
        <v>2158</v>
      </c>
      <c r="C7" s="143">
        <f>'采购（在途）'!K30</f>
        <v>0</v>
      </c>
      <c r="D7" s="143">
        <f>'采购（在途）'!R30</f>
        <v>0</v>
      </c>
      <c r="E7" s="143">
        <f>'采购（在途）'!V30</f>
        <v>0</v>
      </c>
      <c r="F7" s="143">
        <f t="shared" ref="F7:F14" si="0">E7-D7</f>
        <v>0</v>
      </c>
      <c r="G7" s="143" t="str">
        <f t="shared" ref="G7:G14" si="1">IF(D7=0,"",(E7-D7)/D7*100)</f>
        <v/>
      </c>
      <c r="I7" s="165" t="s">
        <v>2159</v>
      </c>
      <c r="BA7" s="256">
        <f>BB7</f>
        <v>0</v>
      </c>
      <c r="BB7" s="256">
        <f>'采购（在途）'!R28</f>
        <v>0</v>
      </c>
      <c r="BC7" s="256">
        <f>BB7-BD7</f>
        <v>0</v>
      </c>
      <c r="BD7" s="256">
        <f>D7</f>
        <v>0</v>
      </c>
      <c r="BE7" s="256">
        <f>BF7</f>
        <v>0</v>
      </c>
      <c r="BF7" s="256">
        <f>'采购（在途）'!V28</f>
        <v>0</v>
      </c>
      <c r="BG7" s="256">
        <f>BF7-BH7</f>
        <v>0</v>
      </c>
      <c r="BH7" s="256">
        <f>E7</f>
        <v>0</v>
      </c>
      <c r="BI7" s="242"/>
      <c r="BJ7" s="143">
        <f>BK7</f>
        <v>0</v>
      </c>
      <c r="BK7" s="256">
        <f>'采购（在途）'!R33</f>
        <v>0</v>
      </c>
      <c r="BL7" s="256">
        <f>'采购（在途）'!S33</f>
        <v>0</v>
      </c>
      <c r="BM7" s="256">
        <f>BK7-BL7</f>
        <v>0</v>
      </c>
      <c r="BN7" s="143">
        <f>BO7</f>
        <v>0</v>
      </c>
      <c r="BO7" s="256">
        <f>'采购（在途）'!V33</f>
        <v>0</v>
      </c>
      <c r="BP7" s="256">
        <f t="shared" ref="BP7:BP17" si="2">0</f>
        <v>0</v>
      </c>
      <c r="BQ7" s="256">
        <f>BO7-BP7</f>
        <v>0</v>
      </c>
      <c r="BS7" s="228" t="str">
        <f t="shared" ref="BS7:BS18" si="3">IF(F7&gt;0,"增值",IF(F7=0,"无增减值","减值"))</f>
        <v>无增减值</v>
      </c>
      <c r="BT7" s="257">
        <f t="shared" ref="BT7:BT18" si="4">ABS(F7)</f>
        <v>0</v>
      </c>
      <c r="BU7" s="257">
        <f t="shared" ref="BU7:BU18" si="5">IFERROR(ABS(G7),0)</f>
        <v>0</v>
      </c>
      <c r="BV7" s="258">
        <f t="shared" ref="BV7:BV18" si="6">IFERROR(FIND("-",B7),0)</f>
        <v>0</v>
      </c>
      <c r="BW7" s="259" t="str">
        <f>IF(SUM(BA7:BH7)=0,"",RIGHT(B7,LEN(B7)-BV7))</f>
        <v/>
      </c>
      <c r="BX7" s="158" t="str">
        <f>IF(BY7="","",IF(BZ7&gt;1,"、",IF(BZ7=1,"和","")))</f>
        <v/>
      </c>
      <c r="BY7" s="158" t="str">
        <f>IF(BW7="","",1)</f>
        <v/>
      </c>
      <c r="BZ7" s="228">
        <f>COUNT(BY8:BY$27)</f>
        <v>1</v>
      </c>
    </row>
    <row r="8" ht="15" customHeight="1" spans="1:83">
      <c r="A8" s="339" t="str">
        <f>A$28&amp;"-"&amp;SUBTOTAL(103,B$7:B8)</f>
        <v>3-10-2</v>
      </c>
      <c r="B8" s="507" t="s">
        <v>2160</v>
      </c>
      <c r="C8" s="143">
        <f>原材料!L30</f>
        <v>0</v>
      </c>
      <c r="D8" s="143">
        <f>原材料!T30</f>
        <v>0</v>
      </c>
      <c r="E8" s="143">
        <f>原材料!X30</f>
        <v>0</v>
      </c>
      <c r="F8" s="143">
        <f t="shared" si="0"/>
        <v>0</v>
      </c>
      <c r="G8" s="143" t="str">
        <f t="shared" si="1"/>
        <v/>
      </c>
      <c r="I8" s="165" t="s">
        <v>2159</v>
      </c>
      <c r="BA8" s="256">
        <f t="shared" ref="BA8:BA18" si="7">BB8</f>
        <v>0</v>
      </c>
      <c r="BB8" s="256">
        <f>原材料!T28</f>
        <v>0</v>
      </c>
      <c r="BC8" s="256">
        <f t="shared" ref="BC8:BC18" si="8">BB8-BD8</f>
        <v>0</v>
      </c>
      <c r="BD8" s="256">
        <f t="shared" ref="BD8:BD18" si="9">D8</f>
        <v>0</v>
      </c>
      <c r="BE8" s="256">
        <f t="shared" ref="BE8:BE18" si="10">BF8</f>
        <v>0</v>
      </c>
      <c r="BF8" s="256">
        <f>原材料!X28</f>
        <v>0</v>
      </c>
      <c r="BG8" s="256">
        <f t="shared" ref="BG8:BG18" si="11">BF8-BH8</f>
        <v>0</v>
      </c>
      <c r="BH8" s="256">
        <f t="shared" ref="BH8:BH18" si="12">E8</f>
        <v>0</v>
      </c>
      <c r="BI8" s="242"/>
      <c r="BJ8" s="143">
        <f t="shared" ref="BJ8:BJ18" si="13">BK8</f>
        <v>0</v>
      </c>
      <c r="BK8" s="256">
        <f>原材料!T34</f>
        <v>0</v>
      </c>
      <c r="BL8" s="256">
        <f>原材料!U34</f>
        <v>0</v>
      </c>
      <c r="BM8" s="256">
        <f t="shared" ref="BM8:BM18" si="14">BK8-BL8</f>
        <v>0</v>
      </c>
      <c r="BN8" s="143">
        <f t="shared" ref="BN8:BN18" si="15">BO8</f>
        <v>0</v>
      </c>
      <c r="BO8" s="256">
        <f>原材料!X34</f>
        <v>0</v>
      </c>
      <c r="BP8" s="256">
        <f t="shared" si="2"/>
        <v>0</v>
      </c>
      <c r="BQ8" s="256">
        <f t="shared" ref="BQ8:BQ18" si="16">BO8-BP8</f>
        <v>0</v>
      </c>
      <c r="BS8" s="228" t="str">
        <f t="shared" si="3"/>
        <v>无增减值</v>
      </c>
      <c r="BT8" s="257">
        <f t="shared" si="4"/>
        <v>0</v>
      </c>
      <c r="BU8" s="257">
        <f t="shared" si="5"/>
        <v>0</v>
      </c>
      <c r="BV8" s="258">
        <f t="shared" si="6"/>
        <v>0</v>
      </c>
      <c r="BW8" s="259" t="str">
        <f t="shared" ref="BW8:BW18" si="17">IF(SUM(BA8:BH8)=0,"",RIGHT(B8,LEN(B8)-BV8))</f>
        <v/>
      </c>
      <c r="BX8" s="158" t="str">
        <f t="shared" ref="BX8:BX18" si="18">IF(BY8="","",IF(BZ8&gt;1,"、",IF(BZ8=1,"和","")))</f>
        <v/>
      </c>
      <c r="BY8" s="158" t="str">
        <f t="shared" ref="BY8:BY18" si="19">IF(BW8="","",1)</f>
        <v/>
      </c>
      <c r="BZ8" s="228">
        <f>COUNT(BY9:BY$27)</f>
        <v>1</v>
      </c>
    </row>
    <row r="9" ht="15" customHeight="1" spans="1:83">
      <c r="A9" s="339" t="str">
        <f>A$28&amp;"-"&amp;SUBTOTAL(103,B$7:B9)</f>
        <v>3-10-3</v>
      </c>
      <c r="B9" s="507" t="s">
        <v>2161</v>
      </c>
      <c r="C9" s="143">
        <f>在库周转!M400</f>
        <v>0</v>
      </c>
      <c r="D9" s="143">
        <f>在库周转!T400</f>
        <v>0</v>
      </c>
      <c r="E9" s="143">
        <f>在库周转!X400</f>
        <v>0</v>
      </c>
      <c r="F9" s="143">
        <f t="shared" si="0"/>
        <v>0</v>
      </c>
      <c r="G9" s="143" t="str">
        <f t="shared" si="1"/>
        <v/>
      </c>
      <c r="I9" s="165" t="s">
        <v>2159</v>
      </c>
      <c r="BA9" s="256">
        <f t="shared" si="7"/>
        <v>0</v>
      </c>
      <c r="BB9" s="256">
        <f>在库周转!U398</f>
        <v>0</v>
      </c>
      <c r="BC9" s="256">
        <f t="shared" si="8"/>
        <v>0</v>
      </c>
      <c r="BD9" s="256">
        <f t="shared" si="9"/>
        <v>0</v>
      </c>
      <c r="BE9" s="256">
        <f t="shared" si="10"/>
        <v>0</v>
      </c>
      <c r="BF9" s="256">
        <f>在库周转!Y398</f>
        <v>0</v>
      </c>
      <c r="BG9" s="256">
        <f t="shared" si="11"/>
        <v>0</v>
      </c>
      <c r="BH9" s="256">
        <f t="shared" si="12"/>
        <v>0</v>
      </c>
      <c r="BI9" s="242"/>
      <c r="BJ9" s="143">
        <f t="shared" si="13"/>
        <v>0</v>
      </c>
      <c r="BK9" s="256">
        <f>在库周转!U403</f>
        <v>0</v>
      </c>
      <c r="BL9" s="256">
        <f>在库周转!V403</f>
        <v>0</v>
      </c>
      <c r="BM9" s="256">
        <f t="shared" si="14"/>
        <v>0</v>
      </c>
      <c r="BN9" s="143">
        <f t="shared" si="15"/>
        <v>0</v>
      </c>
      <c r="BO9" s="256">
        <f>在库周转!Y403</f>
        <v>0</v>
      </c>
      <c r="BP9" s="256">
        <f t="shared" si="2"/>
        <v>0</v>
      </c>
      <c r="BQ9" s="256">
        <f t="shared" si="16"/>
        <v>0</v>
      </c>
      <c r="BS9" s="228" t="str">
        <f t="shared" si="3"/>
        <v>无增减值</v>
      </c>
      <c r="BT9" s="257">
        <f t="shared" si="4"/>
        <v>0</v>
      </c>
      <c r="BU9" s="257">
        <f t="shared" si="5"/>
        <v>0</v>
      </c>
      <c r="BV9" s="258">
        <f t="shared" si="6"/>
        <v>0</v>
      </c>
      <c r="BW9" s="259" t="str">
        <f t="shared" si="17"/>
        <v/>
      </c>
      <c r="BX9" s="158" t="str">
        <f t="shared" si="18"/>
        <v/>
      </c>
      <c r="BY9" s="158" t="str">
        <f t="shared" si="19"/>
        <v/>
      </c>
      <c r="BZ9" s="228">
        <f>COUNT(BY10:BY$27)</f>
        <v>1</v>
      </c>
    </row>
    <row r="10" ht="15" customHeight="1" spans="1:83">
      <c r="A10" s="339" t="str">
        <f>A$28&amp;"-"&amp;SUBTOTAL(103,B$7:B10)</f>
        <v>3-10-4</v>
      </c>
      <c r="B10" s="507" t="s">
        <v>2162</v>
      </c>
      <c r="C10" s="143">
        <f>委托加工!L30</f>
        <v>0</v>
      </c>
      <c r="D10" s="143">
        <f>委托加工!S30</f>
        <v>0</v>
      </c>
      <c r="E10" s="143">
        <f>委托加工!W30</f>
        <v>0</v>
      </c>
      <c r="F10" s="143">
        <f t="shared" si="0"/>
        <v>0</v>
      </c>
      <c r="G10" s="143" t="str">
        <f t="shared" si="1"/>
        <v/>
      </c>
      <c r="I10" s="165" t="s">
        <v>2159</v>
      </c>
      <c r="BA10" s="256">
        <f t="shared" si="7"/>
        <v>0</v>
      </c>
      <c r="BB10" s="256">
        <f>委托加工!S28</f>
        <v>0</v>
      </c>
      <c r="BC10" s="256">
        <f t="shared" si="8"/>
        <v>0</v>
      </c>
      <c r="BD10" s="256">
        <f t="shared" si="9"/>
        <v>0</v>
      </c>
      <c r="BE10" s="256">
        <f t="shared" si="10"/>
        <v>0</v>
      </c>
      <c r="BF10" s="256">
        <f>委托加工!W28</f>
        <v>0</v>
      </c>
      <c r="BG10" s="256">
        <f t="shared" si="11"/>
        <v>0</v>
      </c>
      <c r="BH10" s="256">
        <f t="shared" si="12"/>
        <v>0</v>
      </c>
      <c r="BI10" s="242"/>
      <c r="BJ10" s="143">
        <f t="shared" si="13"/>
        <v>0</v>
      </c>
      <c r="BK10" s="256">
        <f>委托加工!S33</f>
        <v>0</v>
      </c>
      <c r="BL10" s="256">
        <f>委托加工!T33</f>
        <v>0</v>
      </c>
      <c r="BM10" s="256">
        <f t="shared" si="14"/>
        <v>0</v>
      </c>
      <c r="BN10" s="143">
        <f t="shared" si="15"/>
        <v>0</v>
      </c>
      <c r="BO10" s="256">
        <f>委托加工!W33</f>
        <v>0</v>
      </c>
      <c r="BP10" s="256">
        <f t="shared" si="2"/>
        <v>0</v>
      </c>
      <c r="BQ10" s="256">
        <f t="shared" si="16"/>
        <v>0</v>
      </c>
      <c r="BS10" s="228" t="str">
        <f t="shared" si="3"/>
        <v>无增减值</v>
      </c>
      <c r="BT10" s="257">
        <f t="shared" si="4"/>
        <v>0</v>
      </c>
      <c r="BU10" s="257">
        <f t="shared" si="5"/>
        <v>0</v>
      </c>
      <c r="BV10" s="258">
        <f t="shared" si="6"/>
        <v>0</v>
      </c>
      <c r="BW10" s="259" t="str">
        <f t="shared" si="17"/>
        <v/>
      </c>
      <c r="BX10" s="158" t="str">
        <f t="shared" si="18"/>
        <v/>
      </c>
      <c r="BY10" s="158" t="str">
        <f t="shared" si="19"/>
        <v/>
      </c>
      <c r="BZ10" s="228">
        <f>COUNT(BY11:BY$27)</f>
        <v>1</v>
      </c>
    </row>
    <row r="11" ht="15" customHeight="1" spans="1:83">
      <c r="A11" s="339" t="str">
        <f>A$28&amp;"-"&amp;SUBTOTAL(103,B$7:B11)</f>
        <v>3-10-5</v>
      </c>
      <c r="B11" s="507" t="s">
        <v>2163</v>
      </c>
      <c r="C11" s="143">
        <f>'产成品（商品）'!N30</f>
        <v>0</v>
      </c>
      <c r="D11" s="143">
        <f>'产成品（商品）'!U30</f>
        <v>0</v>
      </c>
      <c r="E11" s="143">
        <f>'产成品（商品）'!Y30</f>
        <v>0</v>
      </c>
      <c r="F11" s="143">
        <f t="shared" si="0"/>
        <v>0</v>
      </c>
      <c r="G11" s="143" t="str">
        <f t="shared" si="1"/>
        <v/>
      </c>
      <c r="I11" s="165" t="s">
        <v>2159</v>
      </c>
      <c r="BA11" s="256">
        <f t="shared" si="7"/>
        <v>0</v>
      </c>
      <c r="BB11" s="256">
        <f>'产成品（商品）'!U28</f>
        <v>0</v>
      </c>
      <c r="BC11" s="256">
        <f t="shared" si="8"/>
        <v>0</v>
      </c>
      <c r="BD11" s="256">
        <f t="shared" si="9"/>
        <v>0</v>
      </c>
      <c r="BE11" s="256">
        <f t="shared" si="10"/>
        <v>0</v>
      </c>
      <c r="BF11" s="256">
        <f>'产成品（商品）'!Y28</f>
        <v>0</v>
      </c>
      <c r="BG11" s="256">
        <f t="shared" si="11"/>
        <v>0</v>
      </c>
      <c r="BH11" s="256">
        <f t="shared" si="12"/>
        <v>0</v>
      </c>
      <c r="BI11" s="242"/>
      <c r="BJ11" s="143">
        <f t="shared" si="13"/>
        <v>0</v>
      </c>
      <c r="BK11" s="256">
        <f>'产成品（商品）'!U35</f>
        <v>0</v>
      </c>
      <c r="BL11" s="256">
        <f>'产成品（商品）'!V35</f>
        <v>0</v>
      </c>
      <c r="BM11" s="256">
        <f t="shared" si="14"/>
        <v>0</v>
      </c>
      <c r="BN11" s="143">
        <f t="shared" si="15"/>
        <v>0</v>
      </c>
      <c r="BO11" s="256">
        <f>'产成品（商品）'!Y35</f>
        <v>0</v>
      </c>
      <c r="BP11" s="256">
        <f t="shared" si="2"/>
        <v>0</v>
      </c>
      <c r="BQ11" s="256">
        <f t="shared" si="16"/>
        <v>0</v>
      </c>
      <c r="BS11" s="228" t="str">
        <f t="shared" si="3"/>
        <v>无增减值</v>
      </c>
      <c r="BT11" s="257">
        <f t="shared" si="4"/>
        <v>0</v>
      </c>
      <c r="BU11" s="257">
        <f t="shared" si="5"/>
        <v>0</v>
      </c>
      <c r="BV11" s="258">
        <f t="shared" si="6"/>
        <v>0</v>
      </c>
      <c r="BW11" s="259" t="str">
        <f t="shared" si="17"/>
        <v/>
      </c>
      <c r="BX11" s="158" t="str">
        <f t="shared" si="18"/>
        <v/>
      </c>
      <c r="BY11" s="158" t="str">
        <f t="shared" si="19"/>
        <v/>
      </c>
      <c r="BZ11" s="228">
        <f>COUNT(BY12:BY$27)</f>
        <v>1</v>
      </c>
    </row>
    <row r="12" ht="15" customHeight="1" spans="1:83">
      <c r="A12" s="339" t="str">
        <f>A$28&amp;"-"&amp;SUBTOTAL(103,B$7:B12)</f>
        <v>3-10-6</v>
      </c>
      <c r="B12" s="507" t="s">
        <v>2164</v>
      </c>
      <c r="C12" s="143">
        <f>'在产品（半成品）'!N30</f>
        <v>0</v>
      </c>
      <c r="D12" s="143">
        <f>'在产品（半成品）'!U30</f>
        <v>0</v>
      </c>
      <c r="E12" s="143">
        <f>'在产品（半成品）'!Y30</f>
        <v>0</v>
      </c>
      <c r="F12" s="143">
        <f t="shared" si="0"/>
        <v>0</v>
      </c>
      <c r="G12" s="143" t="str">
        <f t="shared" si="1"/>
        <v/>
      </c>
      <c r="I12" s="165" t="s">
        <v>2159</v>
      </c>
      <c r="BA12" s="256">
        <f t="shared" si="7"/>
        <v>0</v>
      </c>
      <c r="BB12" s="256">
        <f>'在产品（半成品）'!U28</f>
        <v>0</v>
      </c>
      <c r="BC12" s="256">
        <f t="shared" si="8"/>
        <v>0</v>
      </c>
      <c r="BD12" s="256">
        <f t="shared" si="9"/>
        <v>0</v>
      </c>
      <c r="BE12" s="256">
        <f t="shared" si="10"/>
        <v>0</v>
      </c>
      <c r="BF12" s="256">
        <f>'在产品（半成品）'!Y28</f>
        <v>0</v>
      </c>
      <c r="BG12" s="256">
        <f t="shared" si="11"/>
        <v>0</v>
      </c>
      <c r="BH12" s="256">
        <f t="shared" si="12"/>
        <v>0</v>
      </c>
      <c r="BI12" s="242"/>
      <c r="BJ12" s="143">
        <f t="shared" si="13"/>
        <v>0</v>
      </c>
      <c r="BK12" s="256">
        <f>'在产品（半成品）'!U34</f>
        <v>0</v>
      </c>
      <c r="BL12" s="256">
        <f>'在产品（半成品）'!V34</f>
        <v>0</v>
      </c>
      <c r="BM12" s="256">
        <f t="shared" si="14"/>
        <v>0</v>
      </c>
      <c r="BN12" s="143">
        <f t="shared" si="15"/>
        <v>0</v>
      </c>
      <c r="BO12" s="256">
        <f>'在产品（半成品）'!Y34</f>
        <v>0</v>
      </c>
      <c r="BP12" s="256">
        <f t="shared" si="2"/>
        <v>0</v>
      </c>
      <c r="BQ12" s="256">
        <f t="shared" si="16"/>
        <v>0</v>
      </c>
      <c r="BS12" s="228" t="str">
        <f t="shared" si="3"/>
        <v>无增减值</v>
      </c>
      <c r="BT12" s="257">
        <f t="shared" si="4"/>
        <v>0</v>
      </c>
      <c r="BU12" s="257">
        <f t="shared" si="5"/>
        <v>0</v>
      </c>
      <c r="BV12" s="258">
        <f t="shared" si="6"/>
        <v>0</v>
      </c>
      <c r="BW12" s="259" t="str">
        <f t="shared" si="17"/>
        <v/>
      </c>
      <c r="BX12" s="158" t="str">
        <f t="shared" si="18"/>
        <v/>
      </c>
      <c r="BY12" s="158" t="str">
        <f t="shared" si="19"/>
        <v/>
      </c>
      <c r="BZ12" s="228">
        <f>COUNT(BY13:BY$27)</f>
        <v>1</v>
      </c>
    </row>
    <row r="13" ht="15" customHeight="1" spans="1:83">
      <c r="A13" s="339" t="str">
        <f>A$28&amp;"-"&amp;SUBTOTAL(103,B$7:B13)</f>
        <v>3-10-7</v>
      </c>
      <c r="B13" s="507" t="s">
        <v>2165</v>
      </c>
      <c r="C13" s="143">
        <f>发出商品!M30</f>
        <v>0</v>
      </c>
      <c r="D13" s="143">
        <f>发出商品!T30</f>
        <v>0</v>
      </c>
      <c r="E13" s="143">
        <f>发出商品!X30</f>
        <v>0</v>
      </c>
      <c r="F13" s="143">
        <f t="shared" si="0"/>
        <v>0</v>
      </c>
      <c r="G13" s="143" t="str">
        <f t="shared" si="1"/>
        <v/>
      </c>
      <c r="I13" s="165" t="s">
        <v>2159</v>
      </c>
      <c r="BA13" s="256">
        <f t="shared" si="7"/>
        <v>0</v>
      </c>
      <c r="BB13" s="256">
        <f>发出商品!T28</f>
        <v>0</v>
      </c>
      <c r="BC13" s="256">
        <f t="shared" si="8"/>
        <v>0</v>
      </c>
      <c r="BD13" s="256">
        <f t="shared" si="9"/>
        <v>0</v>
      </c>
      <c r="BE13" s="256">
        <f t="shared" si="10"/>
        <v>0</v>
      </c>
      <c r="BF13" s="256">
        <f>发出商品!X28</f>
        <v>0</v>
      </c>
      <c r="BG13" s="256">
        <f t="shared" si="11"/>
        <v>0</v>
      </c>
      <c r="BH13" s="256">
        <f t="shared" si="12"/>
        <v>0</v>
      </c>
      <c r="BI13" s="242"/>
      <c r="BJ13" s="143">
        <f t="shared" si="13"/>
        <v>0</v>
      </c>
      <c r="BK13" s="256">
        <f>发出商品!T33</f>
        <v>0</v>
      </c>
      <c r="BL13" s="256">
        <f>发出商品!U33</f>
        <v>0</v>
      </c>
      <c r="BM13" s="256">
        <f t="shared" si="14"/>
        <v>0</v>
      </c>
      <c r="BN13" s="143">
        <f t="shared" si="15"/>
        <v>0</v>
      </c>
      <c r="BO13" s="256">
        <f>发出商品!X33</f>
        <v>0</v>
      </c>
      <c r="BP13" s="256">
        <f t="shared" si="2"/>
        <v>0</v>
      </c>
      <c r="BQ13" s="256">
        <f t="shared" si="16"/>
        <v>0</v>
      </c>
      <c r="BS13" s="228" t="str">
        <f t="shared" si="3"/>
        <v>无增减值</v>
      </c>
      <c r="BT13" s="257">
        <f t="shared" si="4"/>
        <v>0</v>
      </c>
      <c r="BU13" s="257">
        <f t="shared" si="5"/>
        <v>0</v>
      </c>
      <c r="BV13" s="258">
        <f t="shared" si="6"/>
        <v>0</v>
      </c>
      <c r="BW13" s="259" t="str">
        <f t="shared" si="17"/>
        <v/>
      </c>
      <c r="BX13" s="158" t="str">
        <f t="shared" si="18"/>
        <v/>
      </c>
      <c r="BY13" s="158" t="str">
        <f t="shared" si="19"/>
        <v/>
      </c>
      <c r="BZ13" s="228">
        <f>COUNT(BY14:BY$27)</f>
        <v>1</v>
      </c>
    </row>
    <row r="14" ht="15" customHeight="1" spans="1:83">
      <c r="A14" s="339" t="str">
        <f>A$28&amp;"-"&amp;SUBTOTAL(103,B$7:B14)</f>
        <v>3-10-8</v>
      </c>
      <c r="B14" s="507" t="s">
        <v>2166</v>
      </c>
      <c r="C14" s="143">
        <f>在用周转!L403</f>
        <v>35557.52</v>
      </c>
      <c r="D14" s="143">
        <f>在用周转!R403</f>
        <v>35557.52</v>
      </c>
      <c r="E14" s="143">
        <f>在用周转!W403</f>
        <v>2837062.634</v>
      </c>
      <c r="F14" s="143">
        <f t="shared" si="0"/>
        <v>2801505.114</v>
      </c>
      <c r="G14" s="143">
        <f t="shared" si="1"/>
        <v>7878.79782954491</v>
      </c>
      <c r="I14" s="165" t="s">
        <v>2159</v>
      </c>
      <c r="BA14" s="256">
        <f t="shared" si="7"/>
        <v>35557.52</v>
      </c>
      <c r="BB14" s="256">
        <f>在用周转!R401</f>
        <v>35557.52</v>
      </c>
      <c r="BC14" s="256">
        <f t="shared" si="8"/>
        <v>0</v>
      </c>
      <c r="BD14" s="256">
        <f t="shared" si="9"/>
        <v>35557.52</v>
      </c>
      <c r="BE14" s="256">
        <f t="shared" si="10"/>
        <v>2837062.634</v>
      </c>
      <c r="BF14" s="256">
        <f>在用周转!W401</f>
        <v>2837062.634</v>
      </c>
      <c r="BG14" s="256">
        <f t="shared" si="11"/>
        <v>0</v>
      </c>
      <c r="BH14" s="256">
        <f t="shared" si="12"/>
        <v>2837062.634</v>
      </c>
      <c r="BI14" s="242"/>
      <c r="BJ14" s="143">
        <f t="shared" si="13"/>
        <v>0</v>
      </c>
      <c r="BK14" s="256">
        <f>在用周转!R406</f>
        <v>0</v>
      </c>
      <c r="BL14" s="256">
        <f>在用周转!S406</f>
        <v>0</v>
      </c>
      <c r="BM14" s="256">
        <f t="shared" si="14"/>
        <v>0</v>
      </c>
      <c r="BN14" s="143">
        <f t="shared" si="15"/>
        <v>0</v>
      </c>
      <c r="BO14" s="256">
        <f>在用周转!W406</f>
        <v>0</v>
      </c>
      <c r="BP14" s="256">
        <f t="shared" si="2"/>
        <v>0</v>
      </c>
      <c r="BQ14" s="256">
        <f t="shared" si="16"/>
        <v>0</v>
      </c>
      <c r="BS14" s="228" t="str">
        <f t="shared" si="3"/>
        <v>增值</v>
      </c>
      <c r="BT14" s="257">
        <f t="shared" si="4"/>
        <v>2801505.114</v>
      </c>
      <c r="BU14" s="257">
        <f t="shared" si="5"/>
        <v>7878.79782954491</v>
      </c>
      <c r="BV14" s="258">
        <f t="shared" si="6"/>
        <v>0</v>
      </c>
      <c r="BW14" s="259" t="str">
        <f t="shared" si="17"/>
        <v>在用周转材料</v>
      </c>
      <c r="BX14" s="158" t="str">
        <f t="shared" si="18"/>
        <v/>
      </c>
      <c r="BY14" s="158">
        <f t="shared" si="19"/>
        <v>1</v>
      </c>
      <c r="BZ14" s="228">
        <f>COUNT(BY15:BY$27)</f>
        <v>0</v>
      </c>
    </row>
    <row r="15" ht="15" customHeight="1" spans="1:83">
      <c r="A15" s="339" t="str">
        <f>A$28&amp;"-"&amp;SUBTOTAL(103,B$7:B15)</f>
        <v>3-10-9</v>
      </c>
      <c r="B15" s="507" t="s">
        <v>2167</v>
      </c>
      <c r="C15" s="143">
        <f>开发产品!AA28</f>
        <v>0</v>
      </c>
      <c r="D15" s="143">
        <f>开发产品!AT28</f>
        <v>0</v>
      </c>
      <c r="E15" s="143">
        <f>开发产品!AV28</f>
        <v>0</v>
      </c>
      <c r="F15" s="143">
        <f t="shared" ref="F15:F18" si="20">E15-D15</f>
        <v>0</v>
      </c>
      <c r="G15" s="143" t="str">
        <f t="shared" ref="G15:G18" si="21">IF(D15=0,"",(E15-D15)/D15*100)</f>
        <v/>
      </c>
      <c r="I15" s="165" t="s">
        <v>2159</v>
      </c>
      <c r="BA15" s="256">
        <f t="shared" si="7"/>
        <v>0</v>
      </c>
      <c r="BB15" s="256">
        <f>开发产品!AT26</f>
        <v>0</v>
      </c>
      <c r="BC15" s="256">
        <f t="shared" si="8"/>
        <v>0</v>
      </c>
      <c r="BD15" s="256">
        <f t="shared" si="9"/>
        <v>0</v>
      </c>
      <c r="BE15" s="256">
        <f t="shared" si="10"/>
        <v>0</v>
      </c>
      <c r="BF15" s="256">
        <f>开发产品!AV26</f>
        <v>0</v>
      </c>
      <c r="BG15" s="256">
        <f t="shared" si="11"/>
        <v>0</v>
      </c>
      <c r="BH15" s="256">
        <f t="shared" si="12"/>
        <v>0</v>
      </c>
      <c r="BI15" s="242"/>
      <c r="BJ15" s="143">
        <f t="shared" si="13"/>
        <v>0</v>
      </c>
      <c r="BK15" s="256">
        <f>开发产品!AT42</f>
        <v>0</v>
      </c>
      <c r="BL15" s="256">
        <f>开发产品!AU42</f>
        <v>0</v>
      </c>
      <c r="BM15" s="256">
        <f t="shared" si="14"/>
        <v>0</v>
      </c>
      <c r="BN15" s="143">
        <f t="shared" si="15"/>
        <v>0</v>
      </c>
      <c r="BO15" s="256">
        <f>开发产品!AV42</f>
        <v>0</v>
      </c>
      <c r="BP15" s="256">
        <f t="shared" si="2"/>
        <v>0</v>
      </c>
      <c r="BQ15" s="256">
        <f t="shared" si="16"/>
        <v>0</v>
      </c>
      <c r="BS15" s="228" t="str">
        <f t="shared" si="3"/>
        <v>无增减值</v>
      </c>
      <c r="BT15" s="257">
        <f t="shared" si="4"/>
        <v>0</v>
      </c>
      <c r="BU15" s="257">
        <f t="shared" si="5"/>
        <v>0</v>
      </c>
      <c r="BV15" s="258">
        <f t="shared" si="6"/>
        <v>0</v>
      </c>
      <c r="BW15" s="259" t="str">
        <f t="shared" si="17"/>
        <v/>
      </c>
      <c r="BX15" s="158" t="str">
        <f t="shared" si="18"/>
        <v/>
      </c>
      <c r="BY15" s="158" t="str">
        <f t="shared" si="19"/>
        <v/>
      </c>
      <c r="BZ15" s="228">
        <f>COUNT(BY16:BY$27)</f>
        <v>0</v>
      </c>
    </row>
    <row r="16" ht="15" customHeight="1" spans="1:83">
      <c r="A16" s="339" t="str">
        <f>A$28&amp;"-"&amp;SUBTOTAL(103,B$7:B16)</f>
        <v>3-10-10</v>
      </c>
      <c r="B16" s="507" t="s">
        <v>2168</v>
      </c>
      <c r="C16" s="143">
        <f>出租开发产品!AE28</f>
        <v>0</v>
      </c>
      <c r="D16" s="143">
        <f>出租开发产品!AK28</f>
        <v>0</v>
      </c>
      <c r="E16" s="143">
        <f>出租开发产品!AM28</f>
        <v>0</v>
      </c>
      <c r="F16" s="143">
        <f t="shared" si="20"/>
        <v>0</v>
      </c>
      <c r="G16" s="143" t="str">
        <f t="shared" si="21"/>
        <v/>
      </c>
      <c r="I16" s="165" t="s">
        <v>2159</v>
      </c>
      <c r="BA16" s="256">
        <f t="shared" si="7"/>
        <v>0</v>
      </c>
      <c r="BB16" s="256">
        <f>出租开发产品!AK26</f>
        <v>0</v>
      </c>
      <c r="BC16" s="256">
        <f t="shared" si="8"/>
        <v>0</v>
      </c>
      <c r="BD16" s="256">
        <f t="shared" si="9"/>
        <v>0</v>
      </c>
      <c r="BE16" s="256">
        <f t="shared" si="10"/>
        <v>0</v>
      </c>
      <c r="BF16" s="256">
        <f>出租开发产品!AM26</f>
        <v>0</v>
      </c>
      <c r="BG16" s="256">
        <f t="shared" si="11"/>
        <v>0</v>
      </c>
      <c r="BH16" s="256">
        <f t="shared" si="12"/>
        <v>0</v>
      </c>
      <c r="BI16" s="242"/>
      <c r="BJ16" s="143">
        <f t="shared" si="13"/>
        <v>0</v>
      </c>
      <c r="BK16" s="256">
        <f>出租开发产品!AK42</f>
        <v>0</v>
      </c>
      <c r="BL16" s="256">
        <f>出租开发产品!AL42</f>
        <v>0</v>
      </c>
      <c r="BM16" s="256">
        <f t="shared" si="14"/>
        <v>0</v>
      </c>
      <c r="BN16" s="143">
        <f t="shared" si="15"/>
        <v>0</v>
      </c>
      <c r="BO16" s="256">
        <f>出租开发产品!AM42</f>
        <v>0</v>
      </c>
      <c r="BP16" s="256">
        <f t="shared" si="2"/>
        <v>0</v>
      </c>
      <c r="BQ16" s="256">
        <f t="shared" si="16"/>
        <v>0</v>
      </c>
      <c r="BS16" s="228" t="str">
        <f t="shared" si="3"/>
        <v>无增减值</v>
      </c>
      <c r="BT16" s="257">
        <f t="shared" si="4"/>
        <v>0</v>
      </c>
      <c r="BU16" s="257">
        <f t="shared" si="5"/>
        <v>0</v>
      </c>
      <c r="BV16" s="258">
        <f t="shared" si="6"/>
        <v>0</v>
      </c>
      <c r="BW16" s="259" t="str">
        <f t="shared" si="17"/>
        <v/>
      </c>
      <c r="BX16" s="158" t="str">
        <f t="shared" si="18"/>
        <v/>
      </c>
      <c r="BY16" s="158" t="str">
        <f t="shared" si="19"/>
        <v/>
      </c>
      <c r="BZ16" s="228">
        <f>COUNT(BY17:BY$27)</f>
        <v>0</v>
      </c>
    </row>
    <row r="17" ht="15" customHeight="1" spans="1:83">
      <c r="A17" s="339" t="str">
        <f>A$28&amp;"-"&amp;SUBTOTAL(103,B$7:B17)</f>
        <v>3-10-11</v>
      </c>
      <c r="B17" s="507" t="s">
        <v>2169</v>
      </c>
      <c r="C17" s="143">
        <f>开发成本!AA28</f>
        <v>0</v>
      </c>
      <c r="D17" s="143">
        <f>开发成本!AT28</f>
        <v>0</v>
      </c>
      <c r="E17" s="143">
        <f>开发成本!AV28</f>
        <v>0</v>
      </c>
      <c r="F17" s="143">
        <f t="shared" si="20"/>
        <v>0</v>
      </c>
      <c r="G17" s="143" t="str">
        <f t="shared" si="21"/>
        <v/>
      </c>
      <c r="I17" s="165" t="s">
        <v>2159</v>
      </c>
      <c r="BA17" s="256">
        <f t="shared" si="7"/>
        <v>0</v>
      </c>
      <c r="BB17" s="256">
        <f>开发成本!AT26</f>
        <v>0</v>
      </c>
      <c r="BC17" s="256">
        <f t="shared" si="8"/>
        <v>0</v>
      </c>
      <c r="BD17" s="256">
        <f t="shared" si="9"/>
        <v>0</v>
      </c>
      <c r="BE17" s="256">
        <f t="shared" si="10"/>
        <v>0</v>
      </c>
      <c r="BF17" s="256">
        <f>开发成本!AV26</f>
        <v>0</v>
      </c>
      <c r="BG17" s="256">
        <f t="shared" si="11"/>
        <v>0</v>
      </c>
      <c r="BH17" s="256">
        <f t="shared" si="12"/>
        <v>0</v>
      </c>
      <c r="BI17" s="242"/>
      <c r="BJ17" s="143">
        <f t="shared" si="13"/>
        <v>0</v>
      </c>
      <c r="BK17" s="256">
        <f>开发成本!AT46</f>
        <v>0</v>
      </c>
      <c r="BL17" s="256">
        <f>开发成本!AU46</f>
        <v>0</v>
      </c>
      <c r="BM17" s="256">
        <f t="shared" si="14"/>
        <v>0</v>
      </c>
      <c r="BN17" s="143">
        <f t="shared" si="15"/>
        <v>0</v>
      </c>
      <c r="BO17" s="256">
        <f>开发成本!AV46</f>
        <v>0</v>
      </c>
      <c r="BP17" s="256">
        <f t="shared" si="2"/>
        <v>0</v>
      </c>
      <c r="BQ17" s="256">
        <f t="shared" si="16"/>
        <v>0</v>
      </c>
      <c r="BS17" s="228" t="str">
        <f t="shared" si="3"/>
        <v>无增减值</v>
      </c>
      <c r="BT17" s="257">
        <f t="shared" si="4"/>
        <v>0</v>
      </c>
      <c r="BU17" s="257">
        <f t="shared" si="5"/>
        <v>0</v>
      </c>
      <c r="BV17" s="258">
        <f t="shared" si="6"/>
        <v>0</v>
      </c>
      <c r="BW17" s="259" t="str">
        <f t="shared" si="17"/>
        <v/>
      </c>
      <c r="BX17" s="158" t="str">
        <f t="shared" si="18"/>
        <v/>
      </c>
      <c r="BY17" s="158" t="str">
        <f t="shared" si="19"/>
        <v/>
      </c>
      <c r="BZ17" s="228">
        <f>COUNT(BY18:BY$27)</f>
        <v>0</v>
      </c>
    </row>
    <row r="18" ht="15" customHeight="1" spans="1:83">
      <c r="A18" s="339" t="str">
        <f>A$28&amp;"-"&amp;SUBTOTAL(103,B$7:B18)</f>
        <v>3-10-12</v>
      </c>
      <c r="B18" s="507" t="s">
        <v>2170</v>
      </c>
      <c r="C18" s="143">
        <f>未完施工!AB29</f>
        <v>0</v>
      </c>
      <c r="D18" s="143">
        <f>未完施工!AF29</f>
        <v>0</v>
      </c>
      <c r="E18" s="143">
        <f>未完施工!AH29</f>
        <v>0</v>
      </c>
      <c r="F18" s="143">
        <f t="shared" si="20"/>
        <v>0</v>
      </c>
      <c r="G18" s="143" t="str">
        <f t="shared" si="21"/>
        <v/>
      </c>
      <c r="I18" s="165" t="s">
        <v>2159</v>
      </c>
      <c r="BA18" s="256">
        <f t="shared" si="7"/>
        <v>0</v>
      </c>
      <c r="BB18" s="256">
        <f>未完施工!AF26</f>
        <v>0</v>
      </c>
      <c r="BC18" s="256">
        <f t="shared" si="8"/>
        <v>0</v>
      </c>
      <c r="BD18" s="256">
        <f t="shared" si="9"/>
        <v>0</v>
      </c>
      <c r="BE18" s="256">
        <f t="shared" si="10"/>
        <v>0</v>
      </c>
      <c r="BF18" s="256">
        <f>未完施工!AH26</f>
        <v>0</v>
      </c>
      <c r="BG18" s="256">
        <f t="shared" si="11"/>
        <v>0</v>
      </c>
      <c r="BH18" s="256">
        <f t="shared" si="12"/>
        <v>0</v>
      </c>
      <c r="BI18" s="242"/>
      <c r="BJ18" s="143">
        <f t="shared" si="13"/>
        <v>0</v>
      </c>
      <c r="BK18" s="256">
        <f>未完施工!AF32</f>
        <v>0</v>
      </c>
      <c r="BL18" s="256">
        <f>未完施工!AG32</f>
        <v>0</v>
      </c>
      <c r="BM18" s="256">
        <f t="shared" si="14"/>
        <v>0</v>
      </c>
      <c r="BN18" s="143">
        <f t="shared" si="15"/>
        <v>0</v>
      </c>
      <c r="BO18" s="256">
        <f>未完施工!AH32</f>
        <v>0</v>
      </c>
      <c r="BP18" s="256">
        <f>未完施工!AI32</f>
        <v>0</v>
      </c>
      <c r="BQ18" s="256">
        <f t="shared" si="16"/>
        <v>0</v>
      </c>
      <c r="BS18" s="228" t="str">
        <f t="shared" si="3"/>
        <v>无增减值</v>
      </c>
      <c r="BT18" s="257">
        <f t="shared" si="4"/>
        <v>0</v>
      </c>
      <c r="BU18" s="257">
        <f t="shared" si="5"/>
        <v>0</v>
      </c>
      <c r="BV18" s="258">
        <f t="shared" si="6"/>
        <v>0</v>
      </c>
      <c r="BW18" s="259" t="str">
        <f t="shared" si="17"/>
        <v/>
      </c>
      <c r="BX18" s="158" t="str">
        <f t="shared" si="18"/>
        <v/>
      </c>
      <c r="BY18" s="158" t="str">
        <f t="shared" si="19"/>
        <v/>
      </c>
      <c r="BZ18" s="228">
        <f>COUNT(BY19:BY$27)</f>
        <v>0</v>
      </c>
    </row>
    <row r="19" ht="15" customHeight="1" spans="1:83">
      <c r="A19" s="339"/>
      <c r="B19" s="145"/>
      <c r="C19" s="143"/>
      <c r="D19" s="143"/>
      <c r="E19" s="143"/>
      <c r="F19" s="143"/>
      <c r="G19" s="143" t="str">
        <f t="shared" ref="G19:G28" si="22">IF(D19=0,"",(E19-D19)/D19*100)</f>
        <v/>
      </c>
      <c r="BA19" s="256"/>
      <c r="BB19" s="256"/>
      <c r="BC19" s="256"/>
      <c r="BD19" s="256"/>
      <c r="BE19" s="256"/>
      <c r="BF19" s="256"/>
      <c r="BG19" s="256"/>
      <c r="BH19" s="256"/>
      <c r="BI19" s="242"/>
      <c r="BJ19" s="256"/>
      <c r="BK19" s="256"/>
      <c r="BL19" s="256"/>
      <c r="BM19" s="256"/>
      <c r="BN19" s="256"/>
      <c r="BO19" s="256"/>
      <c r="BP19" s="256"/>
      <c r="BQ19" s="256"/>
      <c r="BS19" s="228"/>
      <c r="BT19" s="257"/>
      <c r="BU19" s="257"/>
      <c r="BV19" s="258"/>
      <c r="BW19" s="259"/>
      <c r="BY19" s="158"/>
      <c r="BZ19" s="228"/>
    </row>
    <row r="20" ht="15" customHeight="1" spans="1:83">
      <c r="A20" s="339"/>
      <c r="B20" s="145"/>
      <c r="C20" s="143"/>
      <c r="D20" s="143"/>
      <c r="E20" s="143"/>
      <c r="F20" s="143"/>
      <c r="G20" s="143" t="str">
        <f t="shared" si="22"/>
        <v/>
      </c>
      <c r="BA20" s="256"/>
      <c r="BB20" s="256"/>
      <c r="BC20" s="256"/>
      <c r="BD20" s="256"/>
      <c r="BE20" s="256"/>
      <c r="BF20" s="256"/>
      <c r="BG20" s="256"/>
      <c r="BH20" s="256"/>
      <c r="BI20" s="242"/>
      <c r="BJ20" s="256"/>
      <c r="BK20" s="256"/>
      <c r="BL20" s="256"/>
      <c r="BM20" s="256"/>
      <c r="BN20" s="256"/>
      <c r="BO20" s="256"/>
      <c r="BP20" s="256"/>
      <c r="BQ20" s="256"/>
      <c r="BS20" s="228"/>
      <c r="BT20" s="257"/>
      <c r="BU20" s="257"/>
      <c r="BV20" s="258"/>
      <c r="BW20" s="259"/>
      <c r="BY20" s="158"/>
      <c r="BZ20" s="228"/>
    </row>
    <row r="21" ht="15" customHeight="1" spans="1:83">
      <c r="A21" s="339"/>
      <c r="B21" s="145"/>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ht="15" customHeight="1" spans="1:83">
      <c r="A22" s="339"/>
      <c r="B22" s="145"/>
      <c r="C22" s="143"/>
      <c r="D22" s="143"/>
      <c r="E22" s="143"/>
      <c r="F22" s="143"/>
      <c r="G22" s="143" t="str">
        <f t="shared" si="22"/>
        <v/>
      </c>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ht="15" customHeight="1" spans="1:83">
      <c r="A23" s="339"/>
      <c r="B23" s="145"/>
      <c r="C23" s="143"/>
      <c r="D23" s="143"/>
      <c r="E23" s="143"/>
      <c r="F23" s="143"/>
      <c r="G23" s="143"/>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ht="15" customHeight="1" spans="1:83">
      <c r="A24" s="143"/>
      <c r="B24" s="143"/>
      <c r="C24" s="143"/>
      <c r="D24" s="143"/>
      <c r="E24" s="143"/>
      <c r="F24" s="143"/>
      <c r="G24" s="143"/>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ht="15" customHeight="1" spans="1:83">
      <c r="A25" s="143"/>
      <c r="B25" s="143"/>
      <c r="C25" s="143"/>
      <c r="D25" s="143"/>
      <c r="E25" s="143"/>
      <c r="F25" s="143"/>
      <c r="G25" s="143"/>
      <c r="BA25" s="256"/>
      <c r="BB25" s="256"/>
      <c r="BC25" s="256"/>
      <c r="BD25" s="256"/>
      <c r="BE25" s="256"/>
      <c r="BF25" s="256"/>
      <c r="BG25" s="256"/>
      <c r="BH25" s="256"/>
      <c r="BI25" s="242"/>
      <c r="BJ25" s="256"/>
      <c r="BK25" s="256"/>
      <c r="BL25" s="256"/>
      <c r="BM25" s="256"/>
      <c r="BN25" s="256"/>
      <c r="BO25" s="256"/>
      <c r="BP25" s="256"/>
      <c r="BQ25" s="256"/>
      <c r="BS25" s="228"/>
      <c r="BT25" s="257"/>
      <c r="BU25" s="257"/>
      <c r="BV25" s="258"/>
      <c r="BW25" s="259"/>
      <c r="BY25" s="158"/>
      <c r="BZ25" s="228"/>
    </row>
    <row r="26" s="73" customFormat="1" ht="15" customHeight="1" spans="1:83">
      <c r="A26" s="143"/>
      <c r="B26" s="143"/>
      <c r="C26" s="143"/>
      <c r="D26" s="143"/>
      <c r="E26" s="143"/>
      <c r="F26" s="143"/>
      <c r="G26" s="143"/>
      <c r="H26" s="165" t="s">
        <v>408</v>
      </c>
      <c r="BA26" s="256"/>
      <c r="BB26" s="256"/>
      <c r="BC26" s="256"/>
      <c r="BD26" s="256"/>
      <c r="BE26" s="256"/>
      <c r="BF26" s="256"/>
      <c r="BG26" s="256"/>
      <c r="BH26" s="256"/>
      <c r="BI26" s="242"/>
      <c r="BJ26" s="256"/>
      <c r="BK26" s="256"/>
      <c r="BL26" s="256"/>
      <c r="BM26" s="256"/>
      <c r="BN26" s="256"/>
      <c r="BO26" s="256"/>
      <c r="BP26" s="256"/>
      <c r="BQ26" s="256"/>
      <c r="BR26" s="75"/>
      <c r="BS26" s="228"/>
      <c r="BT26" s="257"/>
      <c r="BU26" s="257"/>
      <c r="BV26" s="258"/>
      <c r="BW26" s="259"/>
      <c r="BX26" s="158"/>
      <c r="BY26" s="158"/>
      <c r="BZ26" s="228"/>
      <c r="CA26" s="75"/>
      <c r="CB26" s="75"/>
      <c r="CC26" s="75"/>
      <c r="CD26" s="229"/>
      <c r="CE26" s="229"/>
    </row>
    <row r="27" ht="15" customHeight="1" spans="1:83">
      <c r="A27" s="143"/>
      <c r="B27" s="143"/>
      <c r="C27" s="143"/>
      <c r="D27" s="143"/>
      <c r="E27" s="143"/>
      <c r="F27" s="143"/>
      <c r="G27" s="143"/>
      <c r="H27" s="165" t="s">
        <v>2171</v>
      </c>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1265" t="str">
        <f>流动资总!A16</f>
        <v>3-10</v>
      </c>
      <c r="B28" s="1266" t="s">
        <v>2172</v>
      </c>
      <c r="C28" s="265">
        <f>SUM(C7:C27)</f>
        <v>35557.52</v>
      </c>
      <c r="D28" s="265">
        <f>SUM(D7:D18)</f>
        <v>35557.52</v>
      </c>
      <c r="E28" s="265">
        <f>SUM(E7:E18)</f>
        <v>2837062.634</v>
      </c>
      <c r="F28" s="265">
        <f>E28-D28</f>
        <v>2801505.114</v>
      </c>
      <c r="G28" s="265">
        <f t="shared" si="22"/>
        <v>7878.79782954491</v>
      </c>
      <c r="H28" s="72"/>
      <c r="BA28" s="266">
        <f t="shared" ref="BA28:BH28" si="23">SUM(BA7:BA27)</f>
        <v>35557.52</v>
      </c>
      <c r="BB28" s="266">
        <f t="shared" si="23"/>
        <v>35557.52</v>
      </c>
      <c r="BC28" s="266">
        <f t="shared" si="23"/>
        <v>0</v>
      </c>
      <c r="BD28" s="266">
        <f t="shared" si="23"/>
        <v>35557.52</v>
      </c>
      <c r="BE28" s="266">
        <f t="shared" si="23"/>
        <v>2837062.634</v>
      </c>
      <c r="BF28" s="266">
        <f t="shared" si="23"/>
        <v>2837062.634</v>
      </c>
      <c r="BG28" s="266">
        <f t="shared" si="23"/>
        <v>0</v>
      </c>
      <c r="BH28" s="266">
        <f t="shared" si="23"/>
        <v>2837062.634</v>
      </c>
      <c r="BI28" s="267"/>
      <c r="BJ28" s="266">
        <f t="shared" ref="BJ28:BQ28" si="24">SUM(BJ7:BJ27)</f>
        <v>0</v>
      </c>
      <c r="BK28" s="266">
        <f t="shared" si="24"/>
        <v>0</v>
      </c>
      <c r="BL28" s="266">
        <f t="shared" si="24"/>
        <v>0</v>
      </c>
      <c r="BM28" s="266">
        <f t="shared" si="24"/>
        <v>0</v>
      </c>
      <c r="BN28" s="266">
        <f t="shared" si="24"/>
        <v>0</v>
      </c>
      <c r="BO28" s="266">
        <f t="shared" si="24"/>
        <v>0</v>
      </c>
      <c r="BP28" s="266">
        <f t="shared" si="24"/>
        <v>0</v>
      </c>
      <c r="BQ28" s="266">
        <f t="shared" si="24"/>
        <v>0</v>
      </c>
      <c r="BS28" s="268" t="str">
        <f>IF(F28&gt;0,"增值",IF(F28=0,"无增减值","减值"))</f>
        <v>增值</v>
      </c>
      <c r="BT28" s="269">
        <f>ABS(F28)</f>
        <v>2801505.114</v>
      </c>
      <c r="BU28" s="269">
        <f>IFERROR(ABS(G28),0)</f>
        <v>7878.79782954491</v>
      </c>
      <c r="BV28" s="270"/>
      <c r="BW28" s="247"/>
      <c r="BX28" s="247"/>
      <c r="BY28" s="268">
        <f>SUM(BY7:BY27)</f>
        <v>1</v>
      </c>
      <c r="BZ28" s="247"/>
      <c r="CA28" s="271"/>
      <c r="CB28" s="271"/>
      <c r="CC28" s="271"/>
      <c r="CD28" s="271"/>
      <c r="CE28" s="271"/>
    </row>
    <row r="29" ht="15" customHeight="1" spans="1:83">
      <c r="A29" s="75" t="str">
        <f>参数表!F$6</f>
        <v>产权持有单位填表人：贾广东</v>
      </c>
      <c r="E29" s="75" t="str">
        <f>"评估人员："&amp;封面!$G$20</f>
        <v>评估人员：栗祥宁</v>
      </c>
      <c r="G29" s="244"/>
      <c r="H29" s="238"/>
      <c r="I29" s="244"/>
    </row>
    <row r="30" ht="15" customHeight="1" spans="1:83">
      <c r="A30" s="75" t="str">
        <f>参数表!F$7</f>
        <v>填表日期：2025年9月20日</v>
      </c>
      <c r="D30" s="75">
        <f>D9/10000</f>
        <v>0</v>
      </c>
    </row>
    <row r="31" customHeight="1" spans="1:83">
      <c r="D31" s="75">
        <f>D28/10000</f>
        <v>3.555752</v>
      </c>
      <c r="E31" s="75">
        <f t="shared" ref="E31:F31" si="25">E28/10000</f>
        <v>283.7062634</v>
      </c>
      <c r="F31" s="75">
        <f t="shared" si="25"/>
        <v>280.1505114</v>
      </c>
      <c r="I31" s="165" t="s">
        <v>2159</v>
      </c>
    </row>
  </sheetData>
  <sheetProtection autoFilter="0"/>
  <mergeCells count="8">
    <mergeCell ref="A2:G2"/>
    <mergeCell ref="A3:G3"/>
    <mergeCell ref="BA4:BH4"/>
    <mergeCell ref="BJ4:BQ4"/>
    <mergeCell ref="BA5:BD5"/>
    <mergeCell ref="BE5:BH5"/>
    <mergeCell ref="BJ5:BM5"/>
    <mergeCell ref="BN5:BQ5"/>
  </mergeCells>
  <conditionalFormatting sqref="C7:G23">
    <cfRule type="expression" dxfId="3" priority="2">
      <formula>$D7+$E7=0</formula>
    </cfRule>
  </conditionalFormatting>
  <conditionalFormatting sqref="A24:G27">
    <cfRule type="expression" dxfId="3" priority="1">
      <formula>$D24+$E24=0</formula>
    </cfRule>
  </conditionalFormatting>
  <hyperlinks>
    <hyperlink ref="A1" location="索引目录!D18" display="返回索引页"/>
    <hyperlink ref="B1" location="流动资产汇总表!B23" display="返回"/>
    <hyperlink ref="B7" location="'材料采购（在途物资）'!B1" display="材料采购（在途物资）"/>
    <hyperlink ref="B8" location="原材料!B1" display="原材料"/>
    <hyperlink ref="B9" location="在库周转材料!B1" display="在库周转材料"/>
    <hyperlink ref="B10" location="委托加工物资!B1" display="委托加工物资"/>
    <hyperlink ref="B11" location="'产成品（库存商品）'!B1" display="产成品（库存商品）"/>
    <hyperlink ref="B12" location="'在产品（自制半成品）'!B1" display="在产品（自制半成品）"/>
    <hyperlink ref="B13" location="发出商品!B1" display="发出商品"/>
    <hyperlink ref="B14" location="在用周转材料!B1" display="在用周转材料"/>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BW39"/>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11.1" style="75" customWidth="1"/>
    <col min="3" max="3" width="11.8" style="75" customWidth="1"/>
    <col min="4" max="4" width="4.6" style="165" customWidth="1"/>
    <col min="5" max="6" width="4.6" style="75" customWidth="1" outlineLevel="1"/>
    <col min="7" max="8" width="6.1" style="75" customWidth="1" outlineLevel="1"/>
    <col min="9" max="10" width="9.6" style="75" customWidth="1" outlineLevel="1"/>
    <col min="11" max="11" width="12.6" style="75" customWidth="1" outlineLevel="1"/>
    <col min="12" max="12" width="9.7" style="75" customWidth="1" outlineLevel="1"/>
    <col min="13" max="13" width="9.6" style="76" customWidth="1" outlineLevel="1"/>
    <col min="14" max="15" width="12.6" style="76" customWidth="1" outlineLevel="1"/>
    <col min="16" max="17" width="9.6" style="75" customWidth="1"/>
    <col min="18" max="18" width="12.6" style="75" customWidth="1"/>
    <col min="19" max="19" width="8.2" style="75" customWidth="1"/>
    <col min="20" max="21" width="9.6" style="75" customWidth="1"/>
    <col min="22" max="22" width="12.6" style="75" customWidth="1"/>
    <col min="23" max="23" width="8.6" style="75" customWidth="1"/>
    <col min="24" max="24" width="5.2" style="75" customWidth="1"/>
    <col min="25" max="25" width="7.7" style="75" customWidth="1"/>
    <col min="26" max="52" width="9" style="75" hidden="1" customWidth="1" outlineLevel="1"/>
    <col min="53" max="53" width="14.7" style="75" customWidth="1" collapsed="1"/>
    <col min="54" max="54" width="6.7" style="75" customWidth="1"/>
    <col min="55" max="56" width="5.1" style="165" customWidth="1"/>
    <col min="57" max="57" width="8.7" style="165" customWidth="1"/>
    <col min="58" max="59" width="9.6" style="165" customWidth="1"/>
    <col min="60" max="62" width="5" style="75" customWidth="1"/>
    <col min="63" max="63" width="5.1" style="75" customWidth="1"/>
    <col min="64" max="64" width="6.7" style="75" customWidth="1"/>
    <col min="65" max="65" width="10.3" style="75" customWidth="1"/>
    <col min="66" max="66" width="8.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204"/>
      <c r="D1" s="82"/>
      <c r="E1" s="82"/>
      <c r="F1" s="82"/>
      <c r="G1" s="82"/>
      <c r="H1" s="82"/>
      <c r="I1" s="82"/>
      <c r="J1" s="82"/>
      <c r="K1" s="82"/>
      <c r="L1" s="82"/>
      <c r="M1" s="205"/>
      <c r="N1" s="205"/>
      <c r="O1" s="205"/>
      <c r="P1" s="82"/>
      <c r="Q1" s="82"/>
      <c r="R1" s="82"/>
      <c r="S1" s="82"/>
      <c r="T1" s="82"/>
      <c r="U1" s="82"/>
      <c r="V1" s="82"/>
      <c r="W1" s="82"/>
      <c r="X1" s="82"/>
      <c r="Y1" s="82"/>
      <c r="BA1" s="84" t="str">
        <f>参数表!BA1</f>
        <v>注意：补充特殊事项、作价等均从BA列开始填写</v>
      </c>
      <c r="BB1" s="85"/>
      <c r="BC1" s="82"/>
      <c r="BD1" s="82"/>
      <c r="BE1" s="82"/>
      <c r="BF1" s="82"/>
      <c r="BG1" s="82"/>
      <c r="BO1" s="87"/>
      <c r="BP1" s="88"/>
      <c r="BQ1" s="87"/>
      <c r="BR1" s="88"/>
      <c r="BS1" s="88"/>
      <c r="BT1" s="88"/>
      <c r="BU1" s="88"/>
      <c r="BV1" s="88"/>
      <c r="BW1" s="87"/>
    </row>
    <row r="2" s="71" customFormat="1" ht="30" customHeight="1" spans="1:75">
      <c r="A2" s="89" t="s">
        <v>2173</v>
      </c>
      <c r="B2" s="89"/>
      <c r="C2" s="89"/>
      <c r="D2" s="89"/>
      <c r="E2" s="89"/>
      <c r="F2" s="89"/>
      <c r="G2" s="89"/>
      <c r="H2" s="89"/>
      <c r="I2" s="89"/>
      <c r="J2" s="89"/>
      <c r="K2" s="89"/>
      <c r="L2" s="89"/>
      <c r="M2" s="89"/>
      <c r="N2" s="89"/>
      <c r="O2" s="89"/>
      <c r="P2" s="89"/>
      <c r="Q2" s="89"/>
      <c r="R2" s="89"/>
      <c r="S2" s="89"/>
      <c r="T2" s="89"/>
      <c r="U2" s="89"/>
      <c r="V2" s="89"/>
      <c r="W2" s="89"/>
      <c r="X2" s="89"/>
      <c r="Y2" s="89"/>
      <c r="BA2" s="90" t="str">
        <f>参数表!BA2</f>
        <v>评估基准日：</v>
      </c>
      <c r="BB2" s="91" t="str">
        <f>参数表!BB2</f>
        <v>2025年7月31日</v>
      </c>
      <c r="BC2" s="171"/>
      <c r="BD2" s="171"/>
      <c r="BE2" s="171"/>
      <c r="BF2" s="171"/>
      <c r="BG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4"/>
      <c r="L3" s="94"/>
      <c r="M3" s="94"/>
      <c r="N3" s="94"/>
      <c r="O3" s="94"/>
      <c r="P3" s="94"/>
      <c r="Q3" s="94"/>
      <c r="R3" s="94"/>
      <c r="S3" s="94"/>
      <c r="T3" s="95"/>
      <c r="U3" s="95"/>
      <c r="V3" s="95"/>
      <c r="W3" s="95"/>
      <c r="X3" s="95"/>
      <c r="Y3" s="95"/>
      <c r="BA3" s="90" t="str">
        <f>参数表!BA3</f>
        <v>是否显示评估值：</v>
      </c>
      <c r="BB3" s="90" t="str">
        <f>参数表!BB3</f>
        <v>是</v>
      </c>
      <c r="BO3" s="92"/>
      <c r="BP3" s="93"/>
      <c r="BQ3" s="92"/>
      <c r="BR3" s="93"/>
      <c r="BS3" s="93"/>
      <c r="BT3" s="93"/>
      <c r="BU3" s="93"/>
      <c r="BV3" s="93"/>
      <c r="BW3" s="92"/>
    </row>
    <row r="4" ht="15" customHeight="1" spans="1:75">
      <c r="A4" s="96"/>
      <c r="B4" s="94"/>
      <c r="C4" s="94"/>
      <c r="D4" s="94"/>
      <c r="E4" s="94"/>
      <c r="F4" s="94"/>
      <c r="G4" s="94"/>
      <c r="H4" s="94"/>
      <c r="I4" s="94"/>
      <c r="J4" s="94"/>
      <c r="K4" s="94"/>
      <c r="L4" s="94"/>
      <c r="M4" s="97"/>
      <c r="N4" s="97"/>
      <c r="O4" s="97"/>
      <c r="P4" s="94"/>
      <c r="Q4" s="94"/>
      <c r="R4" s="94"/>
      <c r="S4" s="94"/>
      <c r="T4" s="98"/>
      <c r="U4" s="95"/>
      <c r="V4" s="95"/>
      <c r="W4" s="95"/>
      <c r="X4" s="95"/>
      <c r="Y4" s="98" t="str">
        <f>"表"&amp;$BA4</f>
        <v>表3-10-1</v>
      </c>
      <c r="BA4" s="95" t="str">
        <f>存货总!A7</f>
        <v>3-10-1</v>
      </c>
      <c r="BB4" s="100">
        <f>MAX(COUNTA(A8:A27),COUNTA(B8:B27),COUNTA(K8:K27),COUNTA(R8:R27))</f>
        <v>20</v>
      </c>
      <c r="BC4" s="101">
        <f>ROW(A7)+1</f>
        <v>8</v>
      </c>
      <c r="BD4" s="77"/>
      <c r="BE4" s="77"/>
      <c r="BQ4" s="78"/>
    </row>
    <row r="5" ht="15" customHeight="1" spans="1:75">
      <c r="A5" s="102" t="str">
        <f>参数表!F3</f>
        <v>产权持有单位:中煤第五建设有限公司</v>
      </c>
      <c r="B5" s="103"/>
      <c r="C5" s="103"/>
      <c r="D5" s="95"/>
      <c r="E5" s="103"/>
      <c r="F5" s="103"/>
      <c r="G5" s="103"/>
      <c r="H5" s="103"/>
      <c r="I5" s="103"/>
      <c r="J5" s="103"/>
      <c r="K5" s="103"/>
      <c r="L5" s="103"/>
      <c r="M5" s="104"/>
      <c r="N5" s="104"/>
      <c r="O5" s="104"/>
      <c r="P5" s="103"/>
      <c r="Q5" s="103"/>
      <c r="R5" s="103"/>
      <c r="S5" s="103"/>
      <c r="T5" s="103"/>
      <c r="U5" s="103"/>
      <c r="V5" s="103"/>
      <c r="W5" s="103"/>
      <c r="X5" s="103"/>
      <c r="Y5" s="98" t="s">
        <v>236</v>
      </c>
      <c r="BA5" s="103"/>
      <c r="BB5" s="105" t="str">
        <f ca="1">判断表!C30</f>
        <v>中煤第五建设有限公司第三工程处拟处置实物资产项目\[0000-3基础法明细表.xlsx]采购（在途）</v>
      </c>
      <c r="BC5" s="106">
        <f>IFERROR(SUMIF(BC8:BC27,"√",R8:R27)/R28,0)</f>
        <v>0</v>
      </c>
      <c r="BD5" s="107"/>
      <c r="BE5" s="107"/>
      <c r="BF5" s="284">
        <f>分类汇总!I17</f>
        <v>35557.52</v>
      </c>
      <c r="BG5" s="284">
        <f>分类汇总!K17</f>
        <v>35557.52</v>
      </c>
      <c r="BH5" s="165"/>
      <c r="BI5" s="165"/>
      <c r="BJ5" s="165"/>
      <c r="BK5" s="165"/>
      <c r="BL5" s="165"/>
      <c r="BQ5" s="78"/>
    </row>
    <row r="6" s="72" customFormat="1" ht="15" customHeight="1" spans="1:75">
      <c r="A6" s="112" t="s">
        <v>305</v>
      </c>
      <c r="B6" s="113" t="s">
        <v>2174</v>
      </c>
      <c r="C6" s="113" t="s">
        <v>2175</v>
      </c>
      <c r="D6" s="118" t="s">
        <v>2176</v>
      </c>
      <c r="E6" s="511" t="s">
        <v>1964</v>
      </c>
      <c r="F6" s="512"/>
      <c r="G6" s="512"/>
      <c r="H6" s="513"/>
      <c r="I6" s="514" t="s">
        <v>1549</v>
      </c>
      <c r="J6" s="189"/>
      <c r="K6" s="189"/>
      <c r="L6" s="190"/>
      <c r="M6" s="515" t="s">
        <v>1634</v>
      </c>
      <c r="N6" s="516"/>
      <c r="O6" s="517"/>
      <c r="P6" s="514" t="s">
        <v>1523</v>
      </c>
      <c r="Q6" s="189"/>
      <c r="R6" s="189"/>
      <c r="S6" s="190"/>
      <c r="T6" s="113" t="s">
        <v>1550</v>
      </c>
      <c r="U6" s="113"/>
      <c r="V6" s="113"/>
      <c r="W6" s="113" t="s">
        <v>1525</v>
      </c>
      <c r="X6" s="118" t="s">
        <v>1551</v>
      </c>
      <c r="Y6" s="113" t="s">
        <v>308</v>
      </c>
      <c r="BA6" s="191"/>
      <c r="BB6" s="100"/>
      <c r="BC6" s="100"/>
      <c r="BD6" s="100"/>
      <c r="BE6" s="100"/>
      <c r="BF6" s="192" t="s">
        <v>1639</v>
      </c>
      <c r="BG6" s="192" t="s">
        <v>1640</v>
      </c>
      <c r="BH6" s="113" t="s">
        <v>1748</v>
      </c>
      <c r="BI6" s="113" t="s">
        <v>1749</v>
      </c>
      <c r="BJ6" s="118" t="s">
        <v>1750</v>
      </c>
      <c r="BK6" s="118" t="s">
        <v>1686</v>
      </c>
      <c r="BL6" s="193" t="s">
        <v>1687</v>
      </c>
      <c r="BM6" s="118" t="s">
        <v>2063</v>
      </c>
      <c r="BN6" s="113" t="s">
        <v>1644</v>
      </c>
      <c r="BO6" s="111"/>
      <c r="BP6" s="78"/>
      <c r="BQ6" s="78"/>
      <c r="BR6" s="78"/>
      <c r="BS6" s="78"/>
      <c r="BT6" s="78"/>
      <c r="BU6" s="194"/>
      <c r="BV6" s="194"/>
      <c r="BW6" s="111"/>
    </row>
    <row r="7" s="72" customFormat="1" ht="15" customHeight="1" spans="1:75">
      <c r="A7" s="195"/>
      <c r="B7" s="149"/>
      <c r="C7" s="149"/>
      <c r="D7" s="149"/>
      <c r="E7" s="519" t="s">
        <v>1968</v>
      </c>
      <c r="F7" s="519" t="s">
        <v>1969</v>
      </c>
      <c r="G7" s="519" t="s">
        <v>1970</v>
      </c>
      <c r="H7" s="519" t="s">
        <v>2177</v>
      </c>
      <c r="I7" s="149" t="s">
        <v>1637</v>
      </c>
      <c r="J7" s="149" t="s">
        <v>2178</v>
      </c>
      <c r="K7" s="1222" t="s">
        <v>271</v>
      </c>
      <c r="L7" s="1222" t="s">
        <v>2179</v>
      </c>
      <c r="M7" s="1205" t="s">
        <v>2180</v>
      </c>
      <c r="N7" s="1205" t="s">
        <v>2181</v>
      </c>
      <c r="O7" s="1205" t="s">
        <v>2182</v>
      </c>
      <c r="P7" s="113" t="s">
        <v>1637</v>
      </c>
      <c r="Q7" s="113" t="s">
        <v>2178</v>
      </c>
      <c r="R7" s="113" t="s">
        <v>271</v>
      </c>
      <c r="S7" s="113" t="s">
        <v>2179</v>
      </c>
      <c r="T7" s="113" t="s">
        <v>2183</v>
      </c>
      <c r="U7" s="113" t="s">
        <v>2184</v>
      </c>
      <c r="V7" s="113" t="s">
        <v>271</v>
      </c>
      <c r="W7" s="113"/>
      <c r="X7" s="118"/>
      <c r="Y7" s="113"/>
      <c r="BA7" s="100" t="s">
        <v>1545</v>
      </c>
      <c r="BB7" s="100" t="s">
        <v>1635</v>
      </c>
      <c r="BC7" s="100" t="s">
        <v>1636</v>
      </c>
      <c r="BD7" s="100" t="s">
        <v>1637</v>
      </c>
      <c r="BE7" s="100" t="s">
        <v>1638</v>
      </c>
      <c r="BF7" s="197"/>
      <c r="BG7" s="197"/>
      <c r="BH7" s="113"/>
      <c r="BI7" s="113"/>
      <c r="BJ7" s="118"/>
      <c r="BK7" s="118"/>
      <c r="BL7" s="198"/>
      <c r="BM7" s="118"/>
      <c r="BN7" s="113"/>
      <c r="BO7" s="119"/>
      <c r="BP7" s="120" t="s">
        <v>1645</v>
      </c>
      <c r="BQ7" s="121" t="s">
        <v>1646</v>
      </c>
      <c r="BR7" s="121" t="s">
        <v>1647</v>
      </c>
      <c r="BS7" s="121" t="s">
        <v>1648</v>
      </c>
      <c r="BT7" s="121" t="s">
        <v>1647</v>
      </c>
      <c r="BU7" s="121" t="s">
        <v>1647</v>
      </c>
      <c r="BV7" s="121" t="s">
        <v>1649</v>
      </c>
      <c r="BW7" s="122" t="s">
        <v>1650</v>
      </c>
    </row>
    <row r="8" ht="15" customHeight="1" spans="1:75">
      <c r="A8" s="123" t="str">
        <f>IF(B8="","",COUNT(A$7:A7)+1)</f>
        <v/>
      </c>
      <c r="B8" s="982"/>
      <c r="C8" s="982"/>
      <c r="D8" s="775"/>
      <c r="E8" s="127"/>
      <c r="F8" s="127" t="str">
        <f>IFERROR(VLOOKUP(E8,参数表!$H$2:$I$50,2,FALSE),"")</f>
        <v/>
      </c>
      <c r="G8" s="128" t="str">
        <f>IFERROR(IF(OR(E8="人民币",E8=""),"",R8/F8),"")</f>
        <v/>
      </c>
      <c r="H8" s="128" t="str">
        <f>IFERROR(IF(OR(E8="人民币",E8=""),"",S8/F8),"")</f>
        <v/>
      </c>
      <c r="I8" s="353"/>
      <c r="J8" s="129" t="str">
        <f>IF(I8=0,"",K8/I8)</f>
        <v/>
      </c>
      <c r="K8" s="129"/>
      <c r="L8" s="129"/>
      <c r="M8" s="130"/>
      <c r="N8" s="130"/>
      <c r="O8" s="130"/>
      <c r="P8" s="353" t="str">
        <f>IF(B8="","",I8+M8)</f>
        <v/>
      </c>
      <c r="Q8" s="129" t="str">
        <f>IFERROR(R8/P8,"")</f>
        <v/>
      </c>
      <c r="R8" s="1226" t="str">
        <f>IF(B8="","",K8+N8)</f>
        <v/>
      </c>
      <c r="S8" s="1226" t="str">
        <f>IF(B8="","",L8+O8)</f>
        <v/>
      </c>
      <c r="T8" s="353" t="str">
        <f t="shared" ref="T8:T27" si="0">IF(B8="","",IF($BB$3="是",P8,""))</f>
        <v/>
      </c>
      <c r="U8" s="129" t="str">
        <f>IFERROR(V8/T8,"")</f>
        <v/>
      </c>
      <c r="V8" s="129" t="str">
        <f t="shared" ref="V8:V27" si="1">IF(B8="","",IF($BB$3="是",R8-S8,""))</f>
        <v/>
      </c>
      <c r="W8" s="129" t="str">
        <f>IFERROR(V8-(R8-S8),"")</f>
        <v/>
      </c>
      <c r="X8" s="129" t="str">
        <f>IFERROR(W8/(R8-S8)*100,"")</f>
        <v/>
      </c>
      <c r="Y8" s="131"/>
      <c r="BA8" s="78"/>
      <c r="BB8" s="132" t="s">
        <v>2185</v>
      </c>
      <c r="BC8" s="133"/>
      <c r="BD8" s="132" t="str">
        <f>IF(OR(B8="",BC8=""),"",COUNTIF(BC$8:BC8,"√"))</f>
        <v/>
      </c>
      <c r="BE8" s="134" t="str">
        <f t="shared" ref="BE8:BE27" si="2">IF(BC8="","",BB8&amp;"︱"&amp;B8&amp;"︱"&amp;TEXT(K8,"#,##0.00"))</f>
        <v/>
      </c>
      <c r="BF8" s="135" t="str">
        <f>IF($B8="","",IF(BF$5=0,"OK","出错"))</f>
        <v/>
      </c>
      <c r="BG8" s="135" t="str">
        <f>IF($B8="","",IF(BG$5=0,"OK","出错"))</f>
        <v/>
      </c>
      <c r="BH8" s="136"/>
      <c r="BI8" s="136"/>
      <c r="BJ8" s="136"/>
      <c r="BK8" s="136"/>
      <c r="BL8" s="136"/>
      <c r="BM8" s="137"/>
      <c r="BN8" s="137"/>
      <c r="BP8" s="134" t="str">
        <f>IF(COUNTIF(BP$7:BP7,B8)&gt;0,"",B8)&amp;""</f>
        <v/>
      </c>
      <c r="BQ8" s="138">
        <f>SUMIF(B$8:B$27,BP8,R$8:R$27)</f>
        <v>0</v>
      </c>
      <c r="BR8" s="132">
        <f t="shared" ref="BR8" si="3">RANK(BQ8,BQ$8:BQ$27)</f>
        <v>1</v>
      </c>
      <c r="BS8" s="138">
        <f>SUMIF(B$8:B$27,BP8,V$8:V$27)</f>
        <v>0</v>
      </c>
      <c r="BT8" s="132">
        <f>RANK(BS8,BS$8:BS$27)</f>
        <v>1</v>
      </c>
      <c r="BU8" s="138">
        <f>SUM(BQ8:BQ27)</f>
        <v>0</v>
      </c>
      <c r="BV8" s="138"/>
      <c r="BW8" s="138"/>
    </row>
    <row r="9" ht="15" customHeight="1" spans="1:75">
      <c r="A9" s="123" t="str">
        <f>IF(B9="","",COUNT(A$7:A8)+1)</f>
        <v/>
      </c>
      <c r="B9" s="507"/>
      <c r="C9" s="507"/>
      <c r="D9" s="260"/>
      <c r="E9" s="142"/>
      <c r="F9" s="127" t="str">
        <f>IFERROR(VLOOKUP(E9,参数表!$H$2:$I$50,2,FALSE),"")</f>
        <v/>
      </c>
      <c r="G9" s="128" t="str">
        <f t="shared" ref="G9:G27" si="4">IFERROR(IF(OR(E9="人民币",E9=""),"",R9/F9),"")</f>
        <v/>
      </c>
      <c r="H9" s="128" t="str">
        <f t="shared" ref="H9:H27" si="5">IFERROR(IF(OR(E9="人民币",E9=""),"",S9/F9),"")</f>
        <v/>
      </c>
      <c r="I9" s="980"/>
      <c r="J9" s="143" t="str">
        <f t="shared" ref="J9:J28" si="6">IF(I9=0,"",K9/I9)</f>
        <v/>
      </c>
      <c r="K9" s="143"/>
      <c r="L9" s="143"/>
      <c r="M9" s="144"/>
      <c r="N9" s="144"/>
      <c r="O9" s="144"/>
      <c r="P9" s="353" t="str">
        <f t="shared" ref="P9:P27" si="7">IF(B9="","",I9+M9)</f>
        <v/>
      </c>
      <c r="Q9" s="129" t="str">
        <f t="shared" ref="Q9:Q27" si="8">IFERROR(R9/P9,"")</f>
        <v/>
      </c>
      <c r="R9" s="1226" t="str">
        <f t="shared" ref="R9:R27" si="9">IF(B9="","",K9+N9)</f>
        <v/>
      </c>
      <c r="S9" s="1226" t="str">
        <f t="shared" ref="S9:S27" si="10">IF(B9="","",L9+O9)</f>
        <v/>
      </c>
      <c r="T9" s="353" t="str">
        <f t="shared" si="0"/>
        <v/>
      </c>
      <c r="U9" s="129" t="str">
        <f t="shared" ref="U9:U27" si="11">IFERROR(V9/T9,"")</f>
        <v/>
      </c>
      <c r="V9" s="129" t="str">
        <f t="shared" si="1"/>
        <v/>
      </c>
      <c r="W9" s="129" t="str">
        <f t="shared" ref="W9:W30" si="12">IFERROR(V9-(R9-S9),"")</f>
        <v/>
      </c>
      <c r="X9" s="129" t="str">
        <f t="shared" ref="X9:X30" si="13">IFERROR(W9/(R9-S9)*100,"")</f>
        <v/>
      </c>
      <c r="Y9" s="145"/>
      <c r="BA9" s="78"/>
      <c r="BB9" s="132" t="s">
        <v>2186</v>
      </c>
      <c r="BC9" s="133"/>
      <c r="BD9" s="132" t="str">
        <f>IF(OR(B9="",BC9=""),"",COUNTIF(BC$8:BC9,"√"))</f>
        <v/>
      </c>
      <c r="BE9" s="134" t="str">
        <f t="shared" si="2"/>
        <v/>
      </c>
      <c r="BF9" s="135" t="str">
        <f t="shared" ref="BF9:BG27" si="14">IF($B9="","",IF(BF$5=0,"OK","出错"))</f>
        <v/>
      </c>
      <c r="BG9" s="135" t="str">
        <f t="shared" si="14"/>
        <v/>
      </c>
      <c r="BH9" s="136"/>
      <c r="BI9" s="136"/>
      <c r="BJ9" s="136"/>
      <c r="BK9" s="136"/>
      <c r="BL9" s="136"/>
      <c r="BM9" s="137"/>
      <c r="BN9" s="137"/>
      <c r="BP9" s="134" t="str">
        <f>IF(COUNTIF(BP$7:BP8,B9)&gt;0,"",B9)&amp;""</f>
        <v/>
      </c>
      <c r="BQ9" s="138">
        <f t="shared" ref="BQ9:BQ27" si="15">SUMIF(B$8:B$27,BP9,R$8:R$27)</f>
        <v>0</v>
      </c>
      <c r="BR9" s="132">
        <f t="shared" ref="BR9:BR27" si="16">RANK(BQ9,BQ$8:BQ$27)</f>
        <v>1</v>
      </c>
      <c r="BS9" s="138">
        <f t="shared" ref="BS9:BS27" si="17">SUMIF(B$8:B$27,BP9,V$8:V$27)</f>
        <v>0</v>
      </c>
      <c r="BT9" s="132">
        <f t="shared" ref="BT9:BT27" si="18">RANK(BS9,BS$8:BS$27)</f>
        <v>1</v>
      </c>
      <c r="BU9" s="138">
        <f>SUM(BS8:BS27)</f>
        <v>0</v>
      </c>
      <c r="BV9" s="138"/>
      <c r="BW9" s="138"/>
    </row>
    <row r="10" ht="15" customHeight="1" spans="1:75">
      <c r="A10" s="123" t="str">
        <f>IF(B10="","",COUNT(A$7:A9)+1)</f>
        <v/>
      </c>
      <c r="B10" s="507"/>
      <c r="C10" s="507"/>
      <c r="D10" s="260"/>
      <c r="E10" s="142"/>
      <c r="F10" s="127" t="str">
        <f>IFERROR(VLOOKUP(E10,参数表!$H$2:$I$50,2,FALSE),"")</f>
        <v/>
      </c>
      <c r="G10" s="128" t="str">
        <f t="shared" si="4"/>
        <v/>
      </c>
      <c r="H10" s="128" t="str">
        <f t="shared" si="5"/>
        <v/>
      </c>
      <c r="I10" s="980"/>
      <c r="J10" s="143" t="str">
        <f t="shared" si="6"/>
        <v/>
      </c>
      <c r="K10" s="143"/>
      <c r="L10" s="143"/>
      <c r="M10" s="144"/>
      <c r="N10" s="144"/>
      <c r="O10" s="144"/>
      <c r="P10" s="353" t="str">
        <f t="shared" si="7"/>
        <v/>
      </c>
      <c r="Q10" s="129" t="str">
        <f t="shared" si="8"/>
        <v/>
      </c>
      <c r="R10" s="1226" t="str">
        <f t="shared" si="9"/>
        <v/>
      </c>
      <c r="S10" s="1226" t="str">
        <f t="shared" si="10"/>
        <v/>
      </c>
      <c r="T10" s="353" t="str">
        <f t="shared" si="0"/>
        <v/>
      </c>
      <c r="U10" s="129" t="str">
        <f t="shared" si="11"/>
        <v/>
      </c>
      <c r="V10" s="129" t="str">
        <f t="shared" si="1"/>
        <v/>
      </c>
      <c r="W10" s="129" t="str">
        <f t="shared" si="12"/>
        <v/>
      </c>
      <c r="X10" s="129" t="str">
        <f t="shared" si="13"/>
        <v/>
      </c>
      <c r="Y10" s="145"/>
      <c r="BA10" s="78"/>
      <c r="BB10" s="132" t="s">
        <v>2187</v>
      </c>
      <c r="BC10" s="133"/>
      <c r="BD10" s="132" t="str">
        <f>IF(OR(B10="",BC10=""),"",COUNTIF(BC$8:BC10,"√"))</f>
        <v/>
      </c>
      <c r="BE10" s="134" t="str">
        <f t="shared" si="2"/>
        <v/>
      </c>
      <c r="BF10" s="135" t="str">
        <f t="shared" si="14"/>
        <v/>
      </c>
      <c r="BG10" s="135" t="str">
        <f t="shared" si="14"/>
        <v/>
      </c>
      <c r="BH10" s="136"/>
      <c r="BI10" s="136"/>
      <c r="BJ10" s="136"/>
      <c r="BK10" s="136"/>
      <c r="BL10" s="136"/>
      <c r="BM10" s="137"/>
      <c r="BN10" s="137"/>
      <c r="BP10" s="134" t="str">
        <f>IF(COUNTIF(BP$7:BP9,B10)&gt;0,"",B10)&amp;""</f>
        <v/>
      </c>
      <c r="BQ10" s="138">
        <f t="shared" si="15"/>
        <v>0</v>
      </c>
      <c r="BR10" s="132">
        <f t="shared" si="16"/>
        <v>1</v>
      </c>
      <c r="BS10" s="138">
        <f t="shared" si="17"/>
        <v>0</v>
      </c>
      <c r="BT10" s="132">
        <f t="shared" si="18"/>
        <v>1</v>
      </c>
      <c r="BU10" s="132">
        <v>1</v>
      </c>
      <c r="BV10" s="134" t="str">
        <f>IFERROR(INDEX(BP$8:BP$27,MATCH(BU10,IF(BU$8=0,BT$8:BT$27,BR$8:BR$27),0))&amp;"","")</f>
        <v/>
      </c>
      <c r="BW10" s="146" t="str">
        <f>IF(BV11="","",IF(BV12="","和","、"))</f>
        <v/>
      </c>
    </row>
    <row r="11" ht="15" customHeight="1" spans="1:75">
      <c r="A11" s="123" t="str">
        <f>IF(B11="","",COUNT(A$7:A10)+1)</f>
        <v/>
      </c>
      <c r="B11" s="507"/>
      <c r="C11" s="507"/>
      <c r="D11" s="260"/>
      <c r="E11" s="142"/>
      <c r="F11" s="127" t="str">
        <f>IFERROR(VLOOKUP(E11,参数表!$H$2:$I$50,2,FALSE),"")</f>
        <v/>
      </c>
      <c r="G11" s="128" t="str">
        <f t="shared" si="4"/>
        <v/>
      </c>
      <c r="H11" s="128" t="str">
        <f t="shared" si="5"/>
        <v/>
      </c>
      <c r="I11" s="980"/>
      <c r="J11" s="143" t="str">
        <f t="shared" si="6"/>
        <v/>
      </c>
      <c r="K11" s="143"/>
      <c r="L11" s="143"/>
      <c r="M11" s="144"/>
      <c r="N11" s="144"/>
      <c r="O11" s="144"/>
      <c r="P11" s="353" t="str">
        <f t="shared" si="7"/>
        <v/>
      </c>
      <c r="Q11" s="129" t="str">
        <f t="shared" si="8"/>
        <v/>
      </c>
      <c r="R11" s="1226" t="str">
        <f t="shared" si="9"/>
        <v/>
      </c>
      <c r="S11" s="1226" t="str">
        <f t="shared" si="10"/>
        <v/>
      </c>
      <c r="T11" s="353" t="str">
        <f t="shared" si="0"/>
        <v/>
      </c>
      <c r="U11" s="129" t="str">
        <f t="shared" si="11"/>
        <v/>
      </c>
      <c r="V11" s="129" t="str">
        <f t="shared" si="1"/>
        <v/>
      </c>
      <c r="W11" s="129" t="str">
        <f t="shared" si="12"/>
        <v/>
      </c>
      <c r="X11" s="129" t="str">
        <f t="shared" si="13"/>
        <v/>
      </c>
      <c r="Y11" s="145"/>
      <c r="BA11" s="78"/>
      <c r="BB11" s="132" t="s">
        <v>2188</v>
      </c>
      <c r="BC11" s="133"/>
      <c r="BD11" s="132" t="str">
        <f>IF(OR(B11="",BC11=""),"",COUNTIF(BC$8:BC11,"√"))</f>
        <v/>
      </c>
      <c r="BE11" s="134" t="str">
        <f t="shared" si="2"/>
        <v/>
      </c>
      <c r="BF11" s="135" t="str">
        <f t="shared" si="14"/>
        <v/>
      </c>
      <c r="BG11" s="135" t="str">
        <f t="shared" si="14"/>
        <v/>
      </c>
      <c r="BH11" s="136"/>
      <c r="BI11" s="136"/>
      <c r="BJ11" s="136"/>
      <c r="BK11" s="136"/>
      <c r="BL11" s="136"/>
      <c r="BM11" s="137"/>
      <c r="BN11" s="137"/>
      <c r="BP11" s="134" t="str">
        <f>IF(COUNTIF(BP$7:BP10,B11)&gt;0,"",B11)&amp;""</f>
        <v/>
      </c>
      <c r="BQ11" s="138">
        <f t="shared" si="15"/>
        <v>0</v>
      </c>
      <c r="BR11" s="132">
        <f t="shared" si="16"/>
        <v>1</v>
      </c>
      <c r="BS11" s="138">
        <f t="shared" si="17"/>
        <v>0</v>
      </c>
      <c r="BT11" s="132">
        <f t="shared" si="18"/>
        <v>1</v>
      </c>
      <c r="BU11" s="132">
        <v>2</v>
      </c>
      <c r="BV11" s="134" t="str">
        <f t="shared" ref="BV11:BV14" si="19">IFERROR(INDEX(BP$8:BP$27,MATCH(BU11,IF(BU$8=0,BT$8:BT$27,BR$8:BR$27),0))&amp;"","")</f>
        <v/>
      </c>
      <c r="BW11" s="146" t="str">
        <f t="shared" ref="BW11:BW12" si="20">IF(BV12="","",IF(BV13="","和","、"))</f>
        <v/>
      </c>
    </row>
    <row r="12" ht="15" customHeight="1" spans="1:75">
      <c r="A12" s="123" t="str">
        <f>IF(B12="","",COUNT(A$7:A11)+1)</f>
        <v/>
      </c>
      <c r="B12" s="507"/>
      <c r="C12" s="507"/>
      <c r="D12" s="260"/>
      <c r="E12" s="142"/>
      <c r="F12" s="127" t="str">
        <f>IFERROR(VLOOKUP(E12,参数表!$H$2:$I$50,2,FALSE),"")</f>
        <v/>
      </c>
      <c r="G12" s="128" t="str">
        <f t="shared" si="4"/>
        <v/>
      </c>
      <c r="H12" s="128" t="str">
        <f t="shared" si="5"/>
        <v/>
      </c>
      <c r="I12" s="980"/>
      <c r="J12" s="143" t="str">
        <f t="shared" si="6"/>
        <v/>
      </c>
      <c r="K12" s="143"/>
      <c r="L12" s="143"/>
      <c r="M12" s="144"/>
      <c r="N12" s="144"/>
      <c r="O12" s="144"/>
      <c r="P12" s="353" t="str">
        <f t="shared" si="7"/>
        <v/>
      </c>
      <c r="Q12" s="129" t="str">
        <f t="shared" si="8"/>
        <v/>
      </c>
      <c r="R12" s="1226" t="str">
        <f t="shared" si="9"/>
        <v/>
      </c>
      <c r="S12" s="1226" t="str">
        <f t="shared" si="10"/>
        <v/>
      </c>
      <c r="T12" s="353" t="str">
        <f t="shared" si="0"/>
        <v/>
      </c>
      <c r="U12" s="129" t="str">
        <f t="shared" si="11"/>
        <v/>
      </c>
      <c r="V12" s="129" t="str">
        <f t="shared" si="1"/>
        <v/>
      </c>
      <c r="W12" s="129" t="str">
        <f t="shared" si="12"/>
        <v/>
      </c>
      <c r="X12" s="129" t="str">
        <f t="shared" si="13"/>
        <v/>
      </c>
      <c r="Y12" s="145"/>
      <c r="BA12" s="78"/>
      <c r="BB12" s="132" t="s">
        <v>2189</v>
      </c>
      <c r="BC12" s="133"/>
      <c r="BD12" s="132" t="str">
        <f>IF(OR(B12="",BC12=""),"",COUNTIF(BC$8:BC12,"√"))</f>
        <v/>
      </c>
      <c r="BE12" s="134" t="str">
        <f t="shared" si="2"/>
        <v/>
      </c>
      <c r="BF12" s="135" t="str">
        <f t="shared" si="14"/>
        <v/>
      </c>
      <c r="BG12" s="135" t="str">
        <f t="shared" si="14"/>
        <v/>
      </c>
      <c r="BH12" s="136"/>
      <c r="BI12" s="136"/>
      <c r="BJ12" s="136"/>
      <c r="BK12" s="136"/>
      <c r="BL12" s="136"/>
      <c r="BM12" s="137"/>
      <c r="BN12" s="137"/>
      <c r="BP12" s="134" t="str">
        <f>IF(COUNTIF(BP$7:BP11,B12)&gt;0,"",B12)&amp;""</f>
        <v/>
      </c>
      <c r="BQ12" s="138">
        <f t="shared" si="15"/>
        <v>0</v>
      </c>
      <c r="BR12" s="132">
        <f t="shared" si="16"/>
        <v>1</v>
      </c>
      <c r="BS12" s="138">
        <f t="shared" si="17"/>
        <v>0</v>
      </c>
      <c r="BT12" s="132">
        <f t="shared" si="18"/>
        <v>1</v>
      </c>
      <c r="BU12" s="132">
        <v>3</v>
      </c>
      <c r="BV12" s="134" t="str">
        <f t="shared" si="19"/>
        <v/>
      </c>
      <c r="BW12" s="146" t="str">
        <f t="shared" si="20"/>
        <v/>
      </c>
    </row>
    <row r="13" ht="15" customHeight="1" spans="1:75">
      <c r="A13" s="123" t="str">
        <f>IF(B13="","",COUNT(A$7:A12)+1)</f>
        <v/>
      </c>
      <c r="B13" s="507"/>
      <c r="C13" s="507"/>
      <c r="D13" s="260"/>
      <c r="E13" s="142"/>
      <c r="F13" s="127" t="str">
        <f>IFERROR(VLOOKUP(E13,参数表!$H$2:$I$50,2,FALSE),"")</f>
        <v/>
      </c>
      <c r="G13" s="128" t="str">
        <f t="shared" si="4"/>
        <v/>
      </c>
      <c r="H13" s="128" t="str">
        <f t="shared" si="5"/>
        <v/>
      </c>
      <c r="I13" s="980"/>
      <c r="J13" s="143" t="str">
        <f t="shared" si="6"/>
        <v/>
      </c>
      <c r="K13" s="143"/>
      <c r="L13" s="143"/>
      <c r="M13" s="144"/>
      <c r="N13" s="144"/>
      <c r="O13" s="144"/>
      <c r="P13" s="353" t="str">
        <f t="shared" si="7"/>
        <v/>
      </c>
      <c r="Q13" s="129" t="str">
        <f t="shared" si="8"/>
        <v/>
      </c>
      <c r="R13" s="1226" t="str">
        <f t="shared" si="9"/>
        <v/>
      </c>
      <c r="S13" s="1226" t="str">
        <f t="shared" si="10"/>
        <v/>
      </c>
      <c r="T13" s="353" t="str">
        <f t="shared" si="0"/>
        <v/>
      </c>
      <c r="U13" s="129" t="str">
        <f t="shared" si="11"/>
        <v/>
      </c>
      <c r="V13" s="129" t="str">
        <f t="shared" si="1"/>
        <v/>
      </c>
      <c r="W13" s="129" t="str">
        <f t="shared" si="12"/>
        <v/>
      </c>
      <c r="X13" s="129" t="str">
        <f t="shared" si="13"/>
        <v/>
      </c>
      <c r="Y13" s="145"/>
      <c r="BA13" s="78"/>
      <c r="BB13" s="132" t="s">
        <v>2190</v>
      </c>
      <c r="BC13" s="133"/>
      <c r="BD13" s="132" t="str">
        <f>IF(OR(B13="",BC13=""),"",COUNTIF(BC$8:BC13,"√"))</f>
        <v/>
      </c>
      <c r="BE13" s="134" t="str">
        <f t="shared" si="2"/>
        <v/>
      </c>
      <c r="BF13" s="135" t="str">
        <f t="shared" si="14"/>
        <v/>
      </c>
      <c r="BG13" s="135" t="str">
        <f t="shared" si="14"/>
        <v/>
      </c>
      <c r="BH13" s="136"/>
      <c r="BI13" s="136"/>
      <c r="BJ13" s="136"/>
      <c r="BK13" s="136"/>
      <c r="BL13" s="136"/>
      <c r="BM13" s="137"/>
      <c r="BN13" s="137"/>
      <c r="BP13" s="134" t="str">
        <f>IF(COUNTIF(BP$7:BP12,B13)&gt;0,"",B13)&amp;""</f>
        <v/>
      </c>
      <c r="BQ13" s="138">
        <f t="shared" si="15"/>
        <v>0</v>
      </c>
      <c r="BR13" s="132">
        <f t="shared" si="16"/>
        <v>1</v>
      </c>
      <c r="BS13" s="138">
        <f t="shared" si="17"/>
        <v>0</v>
      </c>
      <c r="BT13" s="132">
        <f t="shared" si="18"/>
        <v>1</v>
      </c>
      <c r="BU13" s="132">
        <v>4</v>
      </c>
      <c r="BV13" s="134" t="str">
        <f t="shared" si="19"/>
        <v/>
      </c>
      <c r="BW13" s="146" t="str">
        <f>IF(BV14="","","和")</f>
        <v/>
      </c>
    </row>
    <row r="14" ht="15" customHeight="1" spans="1:75">
      <c r="A14" s="123" t="str">
        <f>IF(B14="","",COUNT(A$7:A13)+1)</f>
        <v/>
      </c>
      <c r="B14" s="507"/>
      <c r="C14" s="507"/>
      <c r="D14" s="260"/>
      <c r="E14" s="142"/>
      <c r="F14" s="127" t="str">
        <f>IFERROR(VLOOKUP(E14,参数表!$H$2:$I$50,2,FALSE),"")</f>
        <v/>
      </c>
      <c r="G14" s="128" t="str">
        <f t="shared" si="4"/>
        <v/>
      </c>
      <c r="H14" s="128" t="str">
        <f t="shared" si="5"/>
        <v/>
      </c>
      <c r="I14" s="980"/>
      <c r="J14" s="143" t="str">
        <f t="shared" si="6"/>
        <v/>
      </c>
      <c r="K14" s="143"/>
      <c r="L14" s="143"/>
      <c r="M14" s="144"/>
      <c r="N14" s="144"/>
      <c r="O14" s="144"/>
      <c r="P14" s="353" t="str">
        <f t="shared" si="7"/>
        <v/>
      </c>
      <c r="Q14" s="129" t="str">
        <f t="shared" si="8"/>
        <v/>
      </c>
      <c r="R14" s="1226" t="str">
        <f t="shared" si="9"/>
        <v/>
      </c>
      <c r="S14" s="1226" t="str">
        <f t="shared" si="10"/>
        <v/>
      </c>
      <c r="T14" s="353" t="str">
        <f t="shared" si="0"/>
        <v/>
      </c>
      <c r="U14" s="129" t="str">
        <f t="shared" si="11"/>
        <v/>
      </c>
      <c r="V14" s="129" t="str">
        <f t="shared" si="1"/>
        <v/>
      </c>
      <c r="W14" s="129" t="str">
        <f t="shared" si="12"/>
        <v/>
      </c>
      <c r="X14" s="129" t="str">
        <f t="shared" si="13"/>
        <v/>
      </c>
      <c r="Y14" s="145"/>
      <c r="BA14" s="78"/>
      <c r="BB14" s="132" t="s">
        <v>2191</v>
      </c>
      <c r="BC14" s="133"/>
      <c r="BD14" s="132" t="str">
        <f>IF(OR(B14="",BC14=""),"",COUNTIF(BC$8:BC14,"√"))</f>
        <v/>
      </c>
      <c r="BE14" s="134" t="str">
        <f t="shared" si="2"/>
        <v/>
      </c>
      <c r="BF14" s="135" t="str">
        <f t="shared" si="14"/>
        <v/>
      </c>
      <c r="BG14" s="135" t="str">
        <f t="shared" si="14"/>
        <v/>
      </c>
      <c r="BH14" s="136"/>
      <c r="BI14" s="136"/>
      <c r="BJ14" s="136"/>
      <c r="BK14" s="136"/>
      <c r="BL14" s="136"/>
      <c r="BM14" s="137"/>
      <c r="BN14" s="137"/>
      <c r="BP14" s="134" t="str">
        <f>IF(COUNTIF(BP$7:BP13,B14)&gt;0,"",B14)&amp;""</f>
        <v/>
      </c>
      <c r="BQ14" s="138">
        <f t="shared" si="15"/>
        <v>0</v>
      </c>
      <c r="BR14" s="132">
        <f t="shared" si="16"/>
        <v>1</v>
      </c>
      <c r="BS14" s="138">
        <f t="shared" si="17"/>
        <v>0</v>
      </c>
      <c r="BT14" s="132">
        <f t="shared" si="18"/>
        <v>1</v>
      </c>
      <c r="BU14" s="132">
        <v>5</v>
      </c>
      <c r="BV14" s="134" t="str">
        <f t="shared" si="19"/>
        <v/>
      </c>
      <c r="BW14" s="146"/>
    </row>
    <row r="15" ht="15" customHeight="1" spans="1:75">
      <c r="A15" s="123" t="str">
        <f>IF(B15="","",COUNT(A$7:A14)+1)</f>
        <v/>
      </c>
      <c r="B15" s="507"/>
      <c r="C15" s="507"/>
      <c r="D15" s="260"/>
      <c r="E15" s="142"/>
      <c r="F15" s="127" t="str">
        <f>IFERROR(VLOOKUP(E15,参数表!$H$2:$I$50,2,FALSE),"")</f>
        <v/>
      </c>
      <c r="G15" s="128" t="str">
        <f t="shared" si="4"/>
        <v/>
      </c>
      <c r="H15" s="128" t="str">
        <f t="shared" si="5"/>
        <v/>
      </c>
      <c r="I15" s="980"/>
      <c r="J15" s="143" t="str">
        <f t="shared" si="6"/>
        <v/>
      </c>
      <c r="K15" s="143"/>
      <c r="L15" s="143"/>
      <c r="M15" s="144"/>
      <c r="N15" s="144"/>
      <c r="O15" s="144"/>
      <c r="P15" s="353" t="str">
        <f t="shared" si="7"/>
        <v/>
      </c>
      <c r="Q15" s="129" t="str">
        <f t="shared" si="8"/>
        <v/>
      </c>
      <c r="R15" s="1226" t="str">
        <f t="shared" si="9"/>
        <v/>
      </c>
      <c r="S15" s="1226" t="str">
        <f t="shared" si="10"/>
        <v/>
      </c>
      <c r="T15" s="353" t="str">
        <f t="shared" si="0"/>
        <v/>
      </c>
      <c r="U15" s="129" t="str">
        <f t="shared" si="11"/>
        <v/>
      </c>
      <c r="V15" s="129" t="str">
        <f t="shared" si="1"/>
        <v/>
      </c>
      <c r="W15" s="129" t="str">
        <f t="shared" si="12"/>
        <v/>
      </c>
      <c r="X15" s="129" t="str">
        <f t="shared" si="13"/>
        <v/>
      </c>
      <c r="Y15" s="145"/>
      <c r="BA15" s="78"/>
      <c r="BB15" s="132" t="s">
        <v>2192</v>
      </c>
      <c r="BC15" s="133"/>
      <c r="BD15" s="132" t="str">
        <f>IF(OR(B15="",BC15=""),"",COUNTIF(BC$8:BC15,"√"))</f>
        <v/>
      </c>
      <c r="BE15" s="134" t="str">
        <f t="shared" si="2"/>
        <v/>
      </c>
      <c r="BF15" s="135" t="str">
        <f t="shared" si="14"/>
        <v/>
      </c>
      <c r="BG15" s="135" t="str">
        <f t="shared" si="14"/>
        <v/>
      </c>
      <c r="BH15" s="136"/>
      <c r="BI15" s="136"/>
      <c r="BJ15" s="136"/>
      <c r="BK15" s="136"/>
      <c r="BL15" s="136"/>
      <c r="BM15" s="137"/>
      <c r="BN15" s="137"/>
      <c r="BP15" s="134" t="str">
        <f>IF(COUNTIF(BP$7:BP14,B15)&gt;0,"",B15)&amp;""</f>
        <v/>
      </c>
      <c r="BQ15" s="138">
        <f t="shared" si="15"/>
        <v>0</v>
      </c>
      <c r="BR15" s="132">
        <f t="shared" si="16"/>
        <v>1</v>
      </c>
      <c r="BS15" s="138">
        <f t="shared" si="17"/>
        <v>0</v>
      </c>
      <c r="BT15" s="132">
        <f t="shared" si="18"/>
        <v>1</v>
      </c>
      <c r="BU15" s="147" t="s">
        <v>1659</v>
      </c>
      <c r="BV15" s="132" t="str">
        <f>CONCATENATE(BV10,BW10,BV11,BW11,BV12,BW12,BV13,BW13,BV14)</f>
        <v/>
      </c>
      <c r="BW15" s="132"/>
    </row>
    <row r="16" ht="15" customHeight="1" spans="1:75">
      <c r="A16" s="123" t="str">
        <f>IF(B16="","",COUNT(A$7:A15)+1)</f>
        <v/>
      </c>
      <c r="B16" s="507"/>
      <c r="C16" s="507"/>
      <c r="D16" s="260"/>
      <c r="E16" s="142"/>
      <c r="F16" s="127" t="str">
        <f>IFERROR(VLOOKUP(E16,参数表!$H$2:$I$50,2,FALSE),"")</f>
        <v/>
      </c>
      <c r="G16" s="128" t="str">
        <f t="shared" si="4"/>
        <v/>
      </c>
      <c r="H16" s="128" t="str">
        <f t="shared" si="5"/>
        <v/>
      </c>
      <c r="I16" s="980"/>
      <c r="J16" s="143" t="str">
        <f t="shared" si="6"/>
        <v/>
      </c>
      <c r="K16" s="143"/>
      <c r="L16" s="143"/>
      <c r="M16" s="144"/>
      <c r="N16" s="144"/>
      <c r="O16" s="144"/>
      <c r="P16" s="353" t="str">
        <f t="shared" si="7"/>
        <v/>
      </c>
      <c r="Q16" s="129" t="str">
        <f t="shared" si="8"/>
        <v/>
      </c>
      <c r="R16" s="1226" t="str">
        <f t="shared" si="9"/>
        <v/>
      </c>
      <c r="S16" s="1226" t="str">
        <f t="shared" si="10"/>
        <v/>
      </c>
      <c r="T16" s="353" t="str">
        <f t="shared" si="0"/>
        <v/>
      </c>
      <c r="U16" s="129" t="str">
        <f t="shared" si="11"/>
        <v/>
      </c>
      <c r="V16" s="129" t="str">
        <f t="shared" si="1"/>
        <v/>
      </c>
      <c r="W16" s="129" t="str">
        <f t="shared" si="12"/>
        <v/>
      </c>
      <c r="X16" s="129" t="str">
        <f t="shared" si="13"/>
        <v/>
      </c>
      <c r="Y16" s="145"/>
      <c r="BA16" s="78"/>
      <c r="BB16" s="132" t="s">
        <v>2193</v>
      </c>
      <c r="BC16" s="133"/>
      <c r="BD16" s="132" t="str">
        <f>IF(OR(B16="",BC16=""),"",COUNTIF(BC$8:BC16,"√"))</f>
        <v/>
      </c>
      <c r="BE16" s="134" t="str">
        <f t="shared" si="2"/>
        <v/>
      </c>
      <c r="BF16" s="135" t="str">
        <f t="shared" si="14"/>
        <v/>
      </c>
      <c r="BG16" s="135" t="str">
        <f t="shared" si="14"/>
        <v/>
      </c>
      <c r="BH16" s="136"/>
      <c r="BI16" s="136"/>
      <c r="BJ16" s="136"/>
      <c r="BK16" s="136"/>
      <c r="BL16" s="136"/>
      <c r="BM16" s="137"/>
      <c r="BN16" s="137"/>
      <c r="BP16" s="134" t="str">
        <f>IF(COUNTIF(BP$7:BP15,B16)&gt;0,"",B16)&amp;""</f>
        <v/>
      </c>
      <c r="BQ16" s="138">
        <f t="shared" si="15"/>
        <v>0</v>
      </c>
      <c r="BR16" s="132">
        <f t="shared" si="16"/>
        <v>1</v>
      </c>
      <c r="BS16" s="138">
        <f t="shared" si="17"/>
        <v>0</v>
      </c>
      <c r="BT16" s="132">
        <f t="shared" si="18"/>
        <v>1</v>
      </c>
      <c r="BU16" s="133"/>
      <c r="BV16" s="133"/>
    </row>
    <row r="17" ht="15" customHeight="1" spans="1:75">
      <c r="A17" s="123" t="str">
        <f>IF(B17="","",COUNT(A$7:A16)+1)</f>
        <v/>
      </c>
      <c r="B17" s="507"/>
      <c r="C17" s="507"/>
      <c r="D17" s="260"/>
      <c r="E17" s="142"/>
      <c r="F17" s="127" t="str">
        <f>IFERROR(VLOOKUP(E17,参数表!$H$2:$I$50,2,FALSE),"")</f>
        <v/>
      </c>
      <c r="G17" s="128" t="str">
        <f t="shared" si="4"/>
        <v/>
      </c>
      <c r="H17" s="128" t="str">
        <f t="shared" si="5"/>
        <v/>
      </c>
      <c r="I17" s="980"/>
      <c r="J17" s="143" t="str">
        <f t="shared" si="6"/>
        <v/>
      </c>
      <c r="K17" s="143"/>
      <c r="L17" s="143"/>
      <c r="M17" s="144"/>
      <c r="N17" s="144"/>
      <c r="O17" s="144"/>
      <c r="P17" s="353" t="str">
        <f t="shared" si="7"/>
        <v/>
      </c>
      <c r="Q17" s="129" t="str">
        <f t="shared" si="8"/>
        <v/>
      </c>
      <c r="R17" s="1226" t="str">
        <f t="shared" si="9"/>
        <v/>
      </c>
      <c r="S17" s="1226" t="str">
        <f t="shared" si="10"/>
        <v/>
      </c>
      <c r="T17" s="353" t="str">
        <f t="shared" si="0"/>
        <v/>
      </c>
      <c r="U17" s="129" t="str">
        <f t="shared" si="11"/>
        <v/>
      </c>
      <c r="V17" s="129" t="str">
        <f t="shared" si="1"/>
        <v/>
      </c>
      <c r="W17" s="129" t="str">
        <f t="shared" si="12"/>
        <v/>
      </c>
      <c r="X17" s="129" t="str">
        <f t="shared" si="13"/>
        <v/>
      </c>
      <c r="Y17" s="145"/>
      <c r="BA17" s="78"/>
      <c r="BB17" s="132" t="s">
        <v>2194</v>
      </c>
      <c r="BC17" s="133"/>
      <c r="BD17" s="132" t="str">
        <f>IF(OR(B17="",BC17=""),"",COUNTIF(BC$8:BC17,"√"))</f>
        <v/>
      </c>
      <c r="BE17" s="134" t="str">
        <f t="shared" si="2"/>
        <v/>
      </c>
      <c r="BF17" s="135" t="str">
        <f t="shared" si="14"/>
        <v/>
      </c>
      <c r="BG17" s="135" t="str">
        <f t="shared" si="14"/>
        <v/>
      </c>
      <c r="BH17" s="136"/>
      <c r="BI17" s="136"/>
      <c r="BJ17" s="136"/>
      <c r="BK17" s="136"/>
      <c r="BL17" s="136"/>
      <c r="BM17" s="137"/>
      <c r="BN17" s="137"/>
      <c r="BP17" s="134" t="str">
        <f>IF(COUNTIF(BP$7:BP16,B17)&gt;0,"",B17)&amp;""</f>
        <v/>
      </c>
      <c r="BQ17" s="138">
        <f t="shared" si="15"/>
        <v>0</v>
      </c>
      <c r="BR17" s="132">
        <f t="shared" si="16"/>
        <v>1</v>
      </c>
      <c r="BS17" s="138">
        <f t="shared" si="17"/>
        <v>0</v>
      </c>
      <c r="BT17" s="132">
        <f t="shared" si="18"/>
        <v>1</v>
      </c>
      <c r="BU17" s="133"/>
      <c r="BV17" s="148"/>
    </row>
    <row r="18" ht="15" customHeight="1" spans="1:75">
      <c r="A18" s="123" t="str">
        <f>IF(B18="","",COUNT(A$7:A17)+1)</f>
        <v/>
      </c>
      <c r="B18" s="507"/>
      <c r="C18" s="507"/>
      <c r="D18" s="260"/>
      <c r="E18" s="142"/>
      <c r="F18" s="127" t="str">
        <f>IFERROR(VLOOKUP(E18,参数表!$H$2:$I$50,2,FALSE),"")</f>
        <v/>
      </c>
      <c r="G18" s="128" t="str">
        <f t="shared" si="4"/>
        <v/>
      </c>
      <c r="H18" s="128" t="str">
        <f t="shared" si="5"/>
        <v/>
      </c>
      <c r="I18" s="980"/>
      <c r="J18" s="143" t="str">
        <f t="shared" si="6"/>
        <v/>
      </c>
      <c r="K18" s="143"/>
      <c r="L18" s="143"/>
      <c r="M18" s="144"/>
      <c r="N18" s="144"/>
      <c r="O18" s="144"/>
      <c r="P18" s="353" t="str">
        <f t="shared" si="7"/>
        <v/>
      </c>
      <c r="Q18" s="129" t="str">
        <f t="shared" si="8"/>
        <v/>
      </c>
      <c r="R18" s="1226" t="str">
        <f t="shared" si="9"/>
        <v/>
      </c>
      <c r="S18" s="1226" t="str">
        <f t="shared" si="10"/>
        <v/>
      </c>
      <c r="T18" s="353" t="str">
        <f t="shared" si="0"/>
        <v/>
      </c>
      <c r="U18" s="129" t="str">
        <f t="shared" si="11"/>
        <v/>
      </c>
      <c r="V18" s="129" t="str">
        <f t="shared" si="1"/>
        <v/>
      </c>
      <c r="W18" s="129" t="str">
        <f t="shared" si="12"/>
        <v/>
      </c>
      <c r="X18" s="129" t="str">
        <f t="shared" si="13"/>
        <v/>
      </c>
      <c r="Y18" s="145"/>
      <c r="BA18" s="78"/>
      <c r="BB18" s="132" t="s">
        <v>2195</v>
      </c>
      <c r="BC18" s="133"/>
      <c r="BD18" s="132" t="str">
        <f>IF(OR(B18="",BC18=""),"",COUNTIF(BC$8:BC18,"√"))</f>
        <v/>
      </c>
      <c r="BE18" s="134" t="str">
        <f t="shared" si="2"/>
        <v/>
      </c>
      <c r="BF18" s="135" t="str">
        <f t="shared" si="14"/>
        <v/>
      </c>
      <c r="BG18" s="135" t="str">
        <f t="shared" si="14"/>
        <v/>
      </c>
      <c r="BH18" s="136"/>
      <c r="BI18" s="136"/>
      <c r="BJ18" s="136"/>
      <c r="BK18" s="136"/>
      <c r="BL18" s="136"/>
      <c r="BM18" s="137"/>
      <c r="BN18" s="137"/>
      <c r="BP18" s="134" t="str">
        <f>IF(COUNTIF(BP$7:BP17,B18)&gt;0,"",B18)&amp;""</f>
        <v/>
      </c>
      <c r="BQ18" s="138">
        <f t="shared" si="15"/>
        <v>0</v>
      </c>
      <c r="BR18" s="132">
        <f t="shared" si="16"/>
        <v>1</v>
      </c>
      <c r="BS18" s="138">
        <f t="shared" si="17"/>
        <v>0</v>
      </c>
      <c r="BT18" s="132">
        <f t="shared" si="18"/>
        <v>1</v>
      </c>
      <c r="BU18" s="133"/>
      <c r="BV18" s="133"/>
    </row>
    <row r="19" ht="15" customHeight="1" spans="1:75">
      <c r="A19" s="123" t="str">
        <f>IF(B19="","",COUNT(A$7:A18)+1)</f>
        <v/>
      </c>
      <c r="B19" s="507"/>
      <c r="C19" s="507"/>
      <c r="D19" s="260"/>
      <c r="E19" s="142"/>
      <c r="F19" s="127" t="str">
        <f>IFERROR(VLOOKUP(E19,参数表!$H$2:$I$50,2,FALSE),"")</f>
        <v/>
      </c>
      <c r="G19" s="128" t="str">
        <f t="shared" si="4"/>
        <v/>
      </c>
      <c r="H19" s="128" t="str">
        <f t="shared" si="5"/>
        <v/>
      </c>
      <c r="I19" s="980"/>
      <c r="J19" s="143" t="str">
        <f t="shared" si="6"/>
        <v/>
      </c>
      <c r="K19" s="143"/>
      <c r="L19" s="143"/>
      <c r="M19" s="144"/>
      <c r="N19" s="144"/>
      <c r="O19" s="144"/>
      <c r="P19" s="353" t="str">
        <f t="shared" si="7"/>
        <v/>
      </c>
      <c r="Q19" s="129" t="str">
        <f t="shared" si="8"/>
        <v/>
      </c>
      <c r="R19" s="1226" t="str">
        <f t="shared" si="9"/>
        <v/>
      </c>
      <c r="S19" s="1226" t="str">
        <f t="shared" si="10"/>
        <v/>
      </c>
      <c r="T19" s="353" t="str">
        <f t="shared" si="0"/>
        <v/>
      </c>
      <c r="U19" s="129" t="str">
        <f t="shared" si="11"/>
        <v/>
      </c>
      <c r="V19" s="129" t="str">
        <f t="shared" si="1"/>
        <v/>
      </c>
      <c r="W19" s="129" t="str">
        <f t="shared" si="12"/>
        <v/>
      </c>
      <c r="X19" s="129" t="str">
        <f t="shared" si="13"/>
        <v/>
      </c>
      <c r="Y19" s="145"/>
      <c r="BA19" s="78"/>
      <c r="BB19" s="132" t="s">
        <v>2196</v>
      </c>
      <c r="BC19" s="133"/>
      <c r="BD19" s="132" t="str">
        <f>IF(OR(B19="",BC19=""),"",COUNTIF(BC$8:BC19,"√"))</f>
        <v/>
      </c>
      <c r="BE19" s="134" t="str">
        <f t="shared" si="2"/>
        <v/>
      </c>
      <c r="BF19" s="135" t="str">
        <f t="shared" si="14"/>
        <v/>
      </c>
      <c r="BG19" s="135" t="str">
        <f t="shared" si="14"/>
        <v/>
      </c>
      <c r="BH19" s="136"/>
      <c r="BI19" s="136"/>
      <c r="BJ19" s="136"/>
      <c r="BK19" s="136"/>
      <c r="BL19" s="136"/>
      <c r="BM19" s="137"/>
      <c r="BN19" s="137"/>
      <c r="BP19" s="134" t="str">
        <f>IF(COUNTIF(BP$7:BP18,B19)&gt;0,"",B19)&amp;""</f>
        <v/>
      </c>
      <c r="BQ19" s="138">
        <f t="shared" si="15"/>
        <v>0</v>
      </c>
      <c r="BR19" s="132">
        <f t="shared" si="16"/>
        <v>1</v>
      </c>
      <c r="BS19" s="138">
        <f t="shared" si="17"/>
        <v>0</v>
      </c>
      <c r="BT19" s="132">
        <f t="shared" si="18"/>
        <v>1</v>
      </c>
      <c r="BU19" s="133"/>
      <c r="BV19" s="133"/>
    </row>
    <row r="20" ht="15" customHeight="1" spans="1:75">
      <c r="A20" s="123" t="str">
        <f>IF(B20="","",COUNT(A$7:A19)+1)</f>
        <v/>
      </c>
      <c r="B20" s="507"/>
      <c r="C20" s="507"/>
      <c r="D20" s="260"/>
      <c r="E20" s="142"/>
      <c r="F20" s="127" t="str">
        <f>IFERROR(VLOOKUP(E20,参数表!$H$2:$I$50,2,FALSE),"")</f>
        <v/>
      </c>
      <c r="G20" s="128" t="str">
        <f t="shared" si="4"/>
        <v/>
      </c>
      <c r="H20" s="128" t="str">
        <f t="shared" si="5"/>
        <v/>
      </c>
      <c r="I20" s="980"/>
      <c r="J20" s="143" t="str">
        <f t="shared" si="6"/>
        <v/>
      </c>
      <c r="K20" s="143"/>
      <c r="L20" s="143"/>
      <c r="M20" s="144"/>
      <c r="N20" s="144"/>
      <c r="O20" s="144"/>
      <c r="P20" s="353" t="str">
        <f t="shared" si="7"/>
        <v/>
      </c>
      <c r="Q20" s="129" t="str">
        <f t="shared" si="8"/>
        <v/>
      </c>
      <c r="R20" s="1226" t="str">
        <f t="shared" si="9"/>
        <v/>
      </c>
      <c r="S20" s="1226" t="str">
        <f t="shared" si="10"/>
        <v/>
      </c>
      <c r="T20" s="353" t="str">
        <f t="shared" si="0"/>
        <v/>
      </c>
      <c r="U20" s="129" t="str">
        <f t="shared" si="11"/>
        <v/>
      </c>
      <c r="V20" s="129" t="str">
        <f t="shared" si="1"/>
        <v/>
      </c>
      <c r="W20" s="129" t="str">
        <f t="shared" si="12"/>
        <v/>
      </c>
      <c r="X20" s="129" t="str">
        <f t="shared" si="13"/>
        <v/>
      </c>
      <c r="Y20" s="145"/>
      <c r="BA20" s="78"/>
      <c r="BB20" s="132" t="s">
        <v>2197</v>
      </c>
      <c r="BC20" s="133"/>
      <c r="BD20" s="132" t="str">
        <f>IF(OR(B20="",BC20=""),"",COUNTIF(BC$8:BC20,"√"))</f>
        <v/>
      </c>
      <c r="BE20" s="134" t="str">
        <f t="shared" si="2"/>
        <v/>
      </c>
      <c r="BF20" s="135" t="str">
        <f t="shared" si="14"/>
        <v/>
      </c>
      <c r="BG20" s="135" t="str">
        <f t="shared" si="14"/>
        <v/>
      </c>
      <c r="BH20" s="136"/>
      <c r="BI20" s="136"/>
      <c r="BJ20" s="136"/>
      <c r="BK20" s="136"/>
      <c r="BL20" s="136"/>
      <c r="BM20" s="137"/>
      <c r="BN20" s="137"/>
      <c r="BP20" s="134" t="str">
        <f>IF(COUNTIF(BP$7:BP19,B20)&gt;0,"",B20)&amp;""</f>
        <v/>
      </c>
      <c r="BQ20" s="138">
        <f t="shared" si="15"/>
        <v>0</v>
      </c>
      <c r="BR20" s="132">
        <f t="shared" si="16"/>
        <v>1</v>
      </c>
      <c r="BS20" s="138">
        <f t="shared" si="17"/>
        <v>0</v>
      </c>
      <c r="BT20" s="132">
        <f t="shared" si="18"/>
        <v>1</v>
      </c>
      <c r="BU20" s="133"/>
      <c r="BV20" s="133"/>
    </row>
    <row r="21" ht="15" customHeight="1" spans="1:75">
      <c r="A21" s="123" t="str">
        <f>IF(B21="","",COUNT(A$7:A20)+1)</f>
        <v/>
      </c>
      <c r="B21" s="507"/>
      <c r="C21" s="507"/>
      <c r="D21" s="260"/>
      <c r="E21" s="142"/>
      <c r="F21" s="127" t="str">
        <f>IFERROR(VLOOKUP(E21,参数表!$H$2:$I$50,2,FALSE),"")</f>
        <v/>
      </c>
      <c r="G21" s="128" t="str">
        <f t="shared" si="4"/>
        <v/>
      </c>
      <c r="H21" s="128" t="str">
        <f t="shared" si="5"/>
        <v/>
      </c>
      <c r="I21" s="980"/>
      <c r="J21" s="143" t="str">
        <f t="shared" si="6"/>
        <v/>
      </c>
      <c r="K21" s="143"/>
      <c r="L21" s="143"/>
      <c r="M21" s="144"/>
      <c r="N21" s="144"/>
      <c r="O21" s="144"/>
      <c r="P21" s="353" t="str">
        <f t="shared" si="7"/>
        <v/>
      </c>
      <c r="Q21" s="129" t="str">
        <f t="shared" si="8"/>
        <v/>
      </c>
      <c r="R21" s="1226" t="str">
        <f t="shared" si="9"/>
        <v/>
      </c>
      <c r="S21" s="1226" t="str">
        <f t="shared" si="10"/>
        <v/>
      </c>
      <c r="T21" s="353" t="str">
        <f t="shared" si="0"/>
        <v/>
      </c>
      <c r="U21" s="129" t="str">
        <f t="shared" si="11"/>
        <v/>
      </c>
      <c r="V21" s="129" t="str">
        <f t="shared" si="1"/>
        <v/>
      </c>
      <c r="W21" s="129" t="str">
        <f t="shared" si="12"/>
        <v/>
      </c>
      <c r="X21" s="129" t="str">
        <f t="shared" si="13"/>
        <v/>
      </c>
      <c r="Y21" s="145"/>
      <c r="BA21" s="78"/>
      <c r="BB21" s="132" t="s">
        <v>2198</v>
      </c>
      <c r="BC21" s="133"/>
      <c r="BD21" s="132" t="str">
        <f>IF(OR(B21="",BC21=""),"",COUNTIF(BC$8:BC21,"√"))</f>
        <v/>
      </c>
      <c r="BE21" s="134" t="str">
        <f t="shared" si="2"/>
        <v/>
      </c>
      <c r="BF21" s="135" t="str">
        <f t="shared" si="14"/>
        <v/>
      </c>
      <c r="BG21" s="135" t="str">
        <f t="shared" si="14"/>
        <v/>
      </c>
      <c r="BH21" s="136"/>
      <c r="BI21" s="136"/>
      <c r="BJ21" s="136"/>
      <c r="BK21" s="136"/>
      <c r="BL21" s="136"/>
      <c r="BM21" s="137"/>
      <c r="BN21" s="137"/>
      <c r="BP21" s="134" t="str">
        <f>IF(COUNTIF(BP$7:BP20,B21)&gt;0,"",B21)&amp;""</f>
        <v/>
      </c>
      <c r="BQ21" s="138">
        <f t="shared" si="15"/>
        <v>0</v>
      </c>
      <c r="BR21" s="132">
        <f t="shared" si="16"/>
        <v>1</v>
      </c>
      <c r="BS21" s="138">
        <f t="shared" si="17"/>
        <v>0</v>
      </c>
      <c r="BT21" s="132">
        <f t="shared" si="18"/>
        <v>1</v>
      </c>
      <c r="BU21" s="133"/>
      <c r="BV21" s="133"/>
    </row>
    <row r="22" ht="15" customHeight="1" spans="1:75">
      <c r="A22" s="123" t="str">
        <f>IF(B22="","",COUNT(A$7:A21)+1)</f>
        <v/>
      </c>
      <c r="B22" s="507"/>
      <c r="C22" s="507"/>
      <c r="D22" s="260"/>
      <c r="E22" s="142"/>
      <c r="F22" s="127" t="str">
        <f>IFERROR(VLOOKUP(E22,参数表!$H$2:$I$50,2,FALSE),"")</f>
        <v/>
      </c>
      <c r="G22" s="128" t="str">
        <f t="shared" si="4"/>
        <v/>
      </c>
      <c r="H22" s="128" t="str">
        <f t="shared" si="5"/>
        <v/>
      </c>
      <c r="I22" s="980"/>
      <c r="J22" s="143" t="str">
        <f t="shared" si="6"/>
        <v/>
      </c>
      <c r="K22" s="143"/>
      <c r="L22" s="143"/>
      <c r="M22" s="144"/>
      <c r="N22" s="144"/>
      <c r="O22" s="144"/>
      <c r="P22" s="353" t="str">
        <f t="shared" si="7"/>
        <v/>
      </c>
      <c r="Q22" s="129" t="str">
        <f t="shared" si="8"/>
        <v/>
      </c>
      <c r="R22" s="1226" t="str">
        <f t="shared" si="9"/>
        <v/>
      </c>
      <c r="S22" s="1226" t="str">
        <f t="shared" si="10"/>
        <v/>
      </c>
      <c r="T22" s="353" t="str">
        <f t="shared" si="0"/>
        <v/>
      </c>
      <c r="U22" s="129" t="str">
        <f t="shared" si="11"/>
        <v/>
      </c>
      <c r="V22" s="129" t="str">
        <f t="shared" si="1"/>
        <v/>
      </c>
      <c r="W22" s="129" t="str">
        <f t="shared" si="12"/>
        <v/>
      </c>
      <c r="X22" s="129" t="str">
        <f t="shared" si="13"/>
        <v/>
      </c>
      <c r="Y22" s="145"/>
      <c r="BA22" s="78"/>
      <c r="BB22" s="132" t="s">
        <v>2199</v>
      </c>
      <c r="BC22" s="133"/>
      <c r="BD22" s="132" t="str">
        <f>IF(OR(B22="",BC22=""),"",COUNTIF(BC$8:BC22,"√"))</f>
        <v/>
      </c>
      <c r="BE22" s="134" t="str">
        <f t="shared" si="2"/>
        <v/>
      </c>
      <c r="BF22" s="135" t="str">
        <f t="shared" si="14"/>
        <v/>
      </c>
      <c r="BG22" s="135" t="str">
        <f t="shared" si="14"/>
        <v/>
      </c>
      <c r="BH22" s="136"/>
      <c r="BI22" s="136"/>
      <c r="BJ22" s="136"/>
      <c r="BK22" s="136"/>
      <c r="BL22" s="136"/>
      <c r="BM22" s="137"/>
      <c r="BN22" s="137"/>
      <c r="BP22" s="134" t="str">
        <f>IF(COUNTIF(BP$7:BP21,B22)&gt;0,"",B22)&amp;""</f>
        <v/>
      </c>
      <c r="BQ22" s="138">
        <f t="shared" si="15"/>
        <v>0</v>
      </c>
      <c r="BR22" s="132">
        <f t="shared" si="16"/>
        <v>1</v>
      </c>
      <c r="BS22" s="138">
        <f t="shared" si="17"/>
        <v>0</v>
      </c>
      <c r="BT22" s="132">
        <f t="shared" si="18"/>
        <v>1</v>
      </c>
      <c r="BU22" s="133"/>
      <c r="BV22" s="133"/>
    </row>
    <row r="23" ht="15" customHeight="1" spans="1:75">
      <c r="A23" s="123" t="str">
        <f>IF(B23="","",COUNT(A$7:A22)+1)</f>
        <v/>
      </c>
      <c r="B23" s="507"/>
      <c r="C23" s="507"/>
      <c r="D23" s="260"/>
      <c r="E23" s="142"/>
      <c r="F23" s="127" t="str">
        <f>IFERROR(VLOOKUP(E23,参数表!$H$2:$I$50,2,FALSE),"")</f>
        <v/>
      </c>
      <c r="G23" s="128" t="str">
        <f t="shared" si="4"/>
        <v/>
      </c>
      <c r="H23" s="128" t="str">
        <f t="shared" si="5"/>
        <v/>
      </c>
      <c r="I23" s="980"/>
      <c r="J23" s="143" t="str">
        <f t="shared" si="6"/>
        <v/>
      </c>
      <c r="K23" s="143"/>
      <c r="L23" s="143"/>
      <c r="M23" s="144"/>
      <c r="N23" s="144"/>
      <c r="O23" s="144"/>
      <c r="P23" s="353" t="str">
        <f t="shared" si="7"/>
        <v/>
      </c>
      <c r="Q23" s="129" t="str">
        <f t="shared" si="8"/>
        <v/>
      </c>
      <c r="R23" s="1226" t="str">
        <f t="shared" si="9"/>
        <v/>
      </c>
      <c r="S23" s="1226" t="str">
        <f t="shared" si="10"/>
        <v/>
      </c>
      <c r="T23" s="353" t="str">
        <f t="shared" si="0"/>
        <v/>
      </c>
      <c r="U23" s="129" t="str">
        <f t="shared" si="11"/>
        <v/>
      </c>
      <c r="V23" s="129" t="str">
        <f t="shared" si="1"/>
        <v/>
      </c>
      <c r="W23" s="129" t="str">
        <f t="shared" si="12"/>
        <v/>
      </c>
      <c r="X23" s="129" t="str">
        <f t="shared" si="13"/>
        <v/>
      </c>
      <c r="Y23" s="145"/>
      <c r="BA23" s="78"/>
      <c r="BB23" s="132" t="s">
        <v>2200</v>
      </c>
      <c r="BC23" s="133"/>
      <c r="BD23" s="132" t="str">
        <f>IF(OR(B23="",BC23=""),"",COUNTIF(BC$8:BC23,"√"))</f>
        <v/>
      </c>
      <c r="BE23" s="134" t="str">
        <f t="shared" si="2"/>
        <v/>
      </c>
      <c r="BF23" s="135" t="str">
        <f t="shared" si="14"/>
        <v/>
      </c>
      <c r="BG23" s="135" t="str">
        <f t="shared" si="14"/>
        <v/>
      </c>
      <c r="BH23" s="136"/>
      <c r="BI23" s="136"/>
      <c r="BJ23" s="136"/>
      <c r="BK23" s="136"/>
      <c r="BL23" s="136"/>
      <c r="BM23" s="137"/>
      <c r="BN23" s="137"/>
      <c r="BP23" s="134" t="str">
        <f>IF(COUNTIF(BP$7:BP22,B23)&gt;0,"",B23)&amp;""</f>
        <v/>
      </c>
      <c r="BQ23" s="138">
        <f t="shared" si="15"/>
        <v>0</v>
      </c>
      <c r="BR23" s="132">
        <f t="shared" si="16"/>
        <v>1</v>
      </c>
      <c r="BS23" s="138">
        <f t="shared" si="17"/>
        <v>0</v>
      </c>
      <c r="BT23" s="132">
        <f t="shared" si="18"/>
        <v>1</v>
      </c>
      <c r="BU23" s="133"/>
      <c r="BV23" s="133"/>
    </row>
    <row r="24" ht="15" customHeight="1" spans="1:75">
      <c r="A24" s="123" t="str">
        <f>IF(B24="","",COUNT(A$7:A23)+1)</f>
        <v/>
      </c>
      <c r="B24" s="507"/>
      <c r="C24" s="507"/>
      <c r="D24" s="260"/>
      <c r="E24" s="142"/>
      <c r="F24" s="127" t="str">
        <f>IFERROR(VLOOKUP(E24,参数表!$H$2:$I$50,2,FALSE),"")</f>
        <v/>
      </c>
      <c r="G24" s="128" t="str">
        <f t="shared" si="4"/>
        <v/>
      </c>
      <c r="H24" s="128" t="str">
        <f t="shared" si="5"/>
        <v/>
      </c>
      <c r="I24" s="980"/>
      <c r="J24" s="143" t="str">
        <f t="shared" si="6"/>
        <v/>
      </c>
      <c r="K24" s="143"/>
      <c r="L24" s="143"/>
      <c r="M24" s="144"/>
      <c r="N24" s="144"/>
      <c r="O24" s="144"/>
      <c r="P24" s="353" t="str">
        <f t="shared" si="7"/>
        <v/>
      </c>
      <c r="Q24" s="129" t="str">
        <f t="shared" si="8"/>
        <v/>
      </c>
      <c r="R24" s="1226" t="str">
        <f t="shared" si="9"/>
        <v/>
      </c>
      <c r="S24" s="1226" t="str">
        <f t="shared" si="10"/>
        <v/>
      </c>
      <c r="T24" s="353" t="str">
        <f t="shared" si="0"/>
        <v/>
      </c>
      <c r="U24" s="129" t="str">
        <f t="shared" si="11"/>
        <v/>
      </c>
      <c r="V24" s="129" t="str">
        <f t="shared" si="1"/>
        <v/>
      </c>
      <c r="W24" s="129" t="str">
        <f t="shared" si="12"/>
        <v/>
      </c>
      <c r="X24" s="129" t="str">
        <f t="shared" si="13"/>
        <v/>
      </c>
      <c r="Y24" s="145"/>
      <c r="BA24" s="78"/>
      <c r="BB24" s="132" t="s">
        <v>2201</v>
      </c>
      <c r="BC24" s="133"/>
      <c r="BD24" s="132" t="str">
        <f>IF(OR(B24="",BC24=""),"",COUNTIF(BC$8:BC24,"√"))</f>
        <v/>
      </c>
      <c r="BE24" s="134" t="str">
        <f t="shared" si="2"/>
        <v/>
      </c>
      <c r="BF24" s="135" t="str">
        <f t="shared" si="14"/>
        <v/>
      </c>
      <c r="BG24" s="135" t="str">
        <f t="shared" si="14"/>
        <v/>
      </c>
      <c r="BH24" s="136"/>
      <c r="BI24" s="136"/>
      <c r="BJ24" s="136"/>
      <c r="BK24" s="136"/>
      <c r="BL24" s="136"/>
      <c r="BM24" s="137"/>
      <c r="BN24" s="137"/>
      <c r="BP24" s="134" t="str">
        <f>IF(COUNTIF(BP$7:BP23,B24)&gt;0,"",B24)&amp;""</f>
        <v/>
      </c>
      <c r="BQ24" s="138">
        <f t="shared" si="15"/>
        <v>0</v>
      </c>
      <c r="BR24" s="132">
        <f t="shared" si="16"/>
        <v>1</v>
      </c>
      <c r="BS24" s="138">
        <f t="shared" si="17"/>
        <v>0</v>
      </c>
      <c r="BT24" s="132">
        <f t="shared" si="18"/>
        <v>1</v>
      </c>
      <c r="BU24" s="133"/>
      <c r="BV24" s="133"/>
    </row>
    <row r="25" ht="15" customHeight="1" spans="1:75">
      <c r="A25" s="123" t="str">
        <f>IF(B25="","",COUNT(A$7:A24)+1)</f>
        <v/>
      </c>
      <c r="B25" s="507"/>
      <c r="C25" s="507"/>
      <c r="D25" s="260"/>
      <c r="E25" s="142"/>
      <c r="F25" s="127" t="str">
        <f>IFERROR(VLOOKUP(E25,参数表!$H$2:$I$50,2,FALSE),"")</f>
        <v/>
      </c>
      <c r="G25" s="128" t="str">
        <f t="shared" si="4"/>
        <v/>
      </c>
      <c r="H25" s="128" t="str">
        <f t="shared" si="5"/>
        <v/>
      </c>
      <c r="I25" s="980"/>
      <c r="J25" s="143" t="str">
        <f t="shared" si="6"/>
        <v/>
      </c>
      <c r="K25" s="143"/>
      <c r="L25" s="143"/>
      <c r="M25" s="144"/>
      <c r="N25" s="144"/>
      <c r="O25" s="144"/>
      <c r="P25" s="353" t="str">
        <f t="shared" si="7"/>
        <v/>
      </c>
      <c r="Q25" s="129" t="str">
        <f t="shared" si="8"/>
        <v/>
      </c>
      <c r="R25" s="1226" t="str">
        <f t="shared" si="9"/>
        <v/>
      </c>
      <c r="S25" s="1226" t="str">
        <f t="shared" si="10"/>
        <v/>
      </c>
      <c r="T25" s="353" t="str">
        <f t="shared" si="0"/>
        <v/>
      </c>
      <c r="U25" s="129" t="str">
        <f t="shared" si="11"/>
        <v/>
      </c>
      <c r="V25" s="129" t="str">
        <f t="shared" si="1"/>
        <v/>
      </c>
      <c r="W25" s="129" t="str">
        <f t="shared" si="12"/>
        <v/>
      </c>
      <c r="X25" s="129" t="str">
        <f t="shared" si="13"/>
        <v/>
      </c>
      <c r="Y25" s="145"/>
      <c r="BA25" s="78"/>
      <c r="BB25" s="132" t="s">
        <v>2202</v>
      </c>
      <c r="BC25" s="133"/>
      <c r="BD25" s="132" t="str">
        <f>IF(OR(B25="",BC25=""),"",COUNTIF(BC$8:BC25,"√"))</f>
        <v/>
      </c>
      <c r="BE25" s="134" t="str">
        <f t="shared" si="2"/>
        <v/>
      </c>
      <c r="BF25" s="135" t="str">
        <f t="shared" si="14"/>
        <v/>
      </c>
      <c r="BG25" s="135" t="str">
        <f t="shared" si="14"/>
        <v/>
      </c>
      <c r="BH25" s="136"/>
      <c r="BI25" s="136"/>
      <c r="BJ25" s="136"/>
      <c r="BK25" s="136"/>
      <c r="BL25" s="136"/>
      <c r="BM25" s="137"/>
      <c r="BN25" s="137"/>
      <c r="BP25" s="134" t="str">
        <f>IF(COUNTIF(BP$7:BP24,B25)&gt;0,"",B25)&amp;""</f>
        <v/>
      </c>
      <c r="BQ25" s="138">
        <f t="shared" si="15"/>
        <v>0</v>
      </c>
      <c r="BR25" s="132">
        <f t="shared" si="16"/>
        <v>1</v>
      </c>
      <c r="BS25" s="138">
        <f t="shared" si="17"/>
        <v>0</v>
      </c>
      <c r="BT25" s="132">
        <f t="shared" si="18"/>
        <v>1</v>
      </c>
      <c r="BU25" s="133"/>
      <c r="BV25" s="133"/>
    </row>
    <row r="26" ht="15" customHeight="1" spans="1:75">
      <c r="A26" s="123" t="str">
        <f>IF(B26="","",COUNT(A$7:A25)+1)</f>
        <v/>
      </c>
      <c r="B26" s="507"/>
      <c r="C26" s="507"/>
      <c r="D26" s="260"/>
      <c r="E26" s="142"/>
      <c r="F26" s="127" t="str">
        <f>IFERROR(VLOOKUP(E26,参数表!$H$2:$I$50,2,FALSE),"")</f>
        <v/>
      </c>
      <c r="G26" s="128" t="str">
        <f t="shared" si="4"/>
        <v/>
      </c>
      <c r="H26" s="128" t="str">
        <f t="shared" si="5"/>
        <v/>
      </c>
      <c r="I26" s="980"/>
      <c r="J26" s="143" t="str">
        <f t="shared" si="6"/>
        <v/>
      </c>
      <c r="K26" s="143"/>
      <c r="L26" s="143"/>
      <c r="M26" s="144"/>
      <c r="N26" s="144"/>
      <c r="O26" s="144"/>
      <c r="P26" s="353" t="str">
        <f t="shared" si="7"/>
        <v/>
      </c>
      <c r="Q26" s="129" t="str">
        <f t="shared" si="8"/>
        <v/>
      </c>
      <c r="R26" s="1226" t="str">
        <f t="shared" si="9"/>
        <v/>
      </c>
      <c r="S26" s="1226" t="str">
        <f t="shared" si="10"/>
        <v/>
      </c>
      <c r="T26" s="353" t="str">
        <f t="shared" si="0"/>
        <v/>
      </c>
      <c r="U26" s="129" t="str">
        <f t="shared" si="11"/>
        <v/>
      </c>
      <c r="V26" s="129" t="str">
        <f t="shared" si="1"/>
        <v/>
      </c>
      <c r="W26" s="129" t="str">
        <f t="shared" si="12"/>
        <v/>
      </c>
      <c r="X26" s="129" t="str">
        <f t="shared" si="13"/>
        <v/>
      </c>
      <c r="Y26" s="145"/>
      <c r="BA26" s="78"/>
      <c r="BB26" s="132" t="s">
        <v>2203</v>
      </c>
      <c r="BC26" s="133"/>
      <c r="BD26" s="132" t="str">
        <f>IF(OR(B26="",BC26=""),"",COUNTIF(BC$8:BC26,"√"))</f>
        <v/>
      </c>
      <c r="BE26" s="134" t="str">
        <f t="shared" si="2"/>
        <v/>
      </c>
      <c r="BF26" s="135" t="str">
        <f t="shared" si="14"/>
        <v/>
      </c>
      <c r="BG26" s="135" t="str">
        <f t="shared" si="14"/>
        <v/>
      </c>
      <c r="BH26" s="136"/>
      <c r="BI26" s="136"/>
      <c r="BJ26" s="136"/>
      <c r="BK26" s="136"/>
      <c r="BL26" s="136"/>
      <c r="BM26" s="137"/>
      <c r="BN26" s="137"/>
      <c r="BP26" s="134" t="str">
        <f>IF(COUNTIF(BP$7:BP25,B26)&gt;0,"",B26)&amp;""</f>
        <v/>
      </c>
      <c r="BQ26" s="138">
        <f t="shared" si="15"/>
        <v>0</v>
      </c>
      <c r="BR26" s="132">
        <f t="shared" si="16"/>
        <v>1</v>
      </c>
      <c r="BS26" s="138">
        <f t="shared" si="17"/>
        <v>0</v>
      </c>
      <c r="BT26" s="132">
        <f t="shared" si="18"/>
        <v>1</v>
      </c>
      <c r="BU26" s="133"/>
      <c r="BV26" s="133"/>
    </row>
    <row r="27" ht="15" customHeight="1" spans="1:75">
      <c r="A27" s="123" t="str">
        <f>IF(B27="","",COUNT(A$7:A26)+1)</f>
        <v/>
      </c>
      <c r="B27" s="982"/>
      <c r="C27" s="982"/>
      <c r="D27" s="775"/>
      <c r="E27" s="127"/>
      <c r="F27" s="127" t="str">
        <f>IFERROR(VLOOKUP(E27,参数表!$H$2:$I$50,2,FALSE),"")</f>
        <v/>
      </c>
      <c r="G27" s="128" t="str">
        <f t="shared" si="4"/>
        <v/>
      </c>
      <c r="H27" s="128" t="str">
        <f t="shared" si="5"/>
        <v/>
      </c>
      <c r="I27" s="353"/>
      <c r="J27" s="129" t="str">
        <f t="shared" si="6"/>
        <v/>
      </c>
      <c r="K27" s="129"/>
      <c r="L27" s="129"/>
      <c r="M27" s="130"/>
      <c r="N27" s="130"/>
      <c r="O27" s="130"/>
      <c r="P27" s="353" t="str">
        <f t="shared" si="7"/>
        <v/>
      </c>
      <c r="Q27" s="129" t="str">
        <f t="shared" si="8"/>
        <v/>
      </c>
      <c r="R27" s="1226" t="str">
        <f t="shared" si="9"/>
        <v/>
      </c>
      <c r="S27" s="1226" t="str">
        <f t="shared" si="10"/>
        <v/>
      </c>
      <c r="T27" s="353" t="str">
        <f t="shared" si="0"/>
        <v/>
      </c>
      <c r="U27" s="129" t="str">
        <f t="shared" si="11"/>
        <v/>
      </c>
      <c r="V27" s="129" t="str">
        <f t="shared" si="1"/>
        <v/>
      </c>
      <c r="W27" s="129" t="str">
        <f t="shared" si="12"/>
        <v/>
      </c>
      <c r="X27" s="129" t="str">
        <f t="shared" si="13"/>
        <v/>
      </c>
      <c r="Y27" s="131"/>
      <c r="BA27" s="78"/>
      <c r="BB27" s="132" t="s">
        <v>2204</v>
      </c>
      <c r="BC27" s="133"/>
      <c r="BD27" s="132" t="str">
        <f>IF(OR(B27="",BC27=""),"",COUNTIF(BC$8:BC27,"√"))</f>
        <v/>
      </c>
      <c r="BE27" s="134" t="str">
        <f t="shared" si="2"/>
        <v/>
      </c>
      <c r="BF27" s="135" t="str">
        <f t="shared" si="14"/>
        <v/>
      </c>
      <c r="BG27" s="135" t="str">
        <f t="shared" si="14"/>
        <v/>
      </c>
      <c r="BH27" s="136"/>
      <c r="BI27" s="136"/>
      <c r="BJ27" s="136"/>
      <c r="BK27" s="136"/>
      <c r="BL27" s="136"/>
      <c r="BM27" s="137"/>
      <c r="BN27" s="137"/>
      <c r="BP27" s="134" t="str">
        <f>IF(COUNTIF(BP$7:BP26,B27)&gt;0,"",B27)&amp;""</f>
        <v/>
      </c>
      <c r="BQ27" s="138">
        <f t="shared" si="15"/>
        <v>0</v>
      </c>
      <c r="BR27" s="132">
        <f t="shared" si="16"/>
        <v>1</v>
      </c>
      <c r="BS27" s="138">
        <f t="shared" si="17"/>
        <v>0</v>
      </c>
      <c r="BT27" s="132">
        <f t="shared" si="18"/>
        <v>1</v>
      </c>
      <c r="BU27" s="133"/>
      <c r="BV27" s="133"/>
    </row>
    <row r="28" ht="15" customHeight="1" spans="1:75">
      <c r="A28" s="149" t="s">
        <v>1954</v>
      </c>
      <c r="B28" s="149"/>
      <c r="C28" s="982"/>
      <c r="D28" s="775"/>
      <c r="E28" s="775"/>
      <c r="F28" s="775"/>
      <c r="G28" s="775"/>
      <c r="H28" s="775"/>
      <c r="I28" s="353"/>
      <c r="J28" s="129" t="str">
        <f t="shared" si="6"/>
        <v/>
      </c>
      <c r="K28" s="152">
        <f>SUM(K8:K27)</f>
        <v>0</v>
      </c>
      <c r="L28" s="152">
        <f>SUM(L8:L27)</f>
        <v>0</v>
      </c>
      <c r="M28" s="153"/>
      <c r="N28" s="153"/>
      <c r="O28" s="153"/>
      <c r="P28" s="353"/>
      <c r="Q28" s="129" t="str">
        <f>IF(P28=0,"",R28/P28)</f>
        <v/>
      </c>
      <c r="R28" s="152">
        <f>SUM(R8:R27)</f>
        <v>0</v>
      </c>
      <c r="S28" s="152">
        <f>SUM(S8:S27)</f>
        <v>0</v>
      </c>
      <c r="T28" s="353"/>
      <c r="U28" s="129"/>
      <c r="V28" s="152">
        <f>SUM(V8:V27)</f>
        <v>0</v>
      </c>
      <c r="W28" s="152">
        <f t="shared" si="12"/>
        <v>0</v>
      </c>
      <c r="X28" s="152" t="str">
        <f t="shared" si="13"/>
        <v/>
      </c>
      <c r="Y28" s="131"/>
      <c r="BC28" s="75"/>
      <c r="BD28" s="75"/>
      <c r="BE28" s="75"/>
      <c r="BF28" s="75"/>
      <c r="BG28" s="75"/>
      <c r="BH28" s="165"/>
      <c r="BI28" s="165"/>
      <c r="BJ28" s="165"/>
      <c r="BK28" s="165"/>
      <c r="BL28" s="165"/>
      <c r="BO28" s="111"/>
      <c r="BP28" s="119"/>
      <c r="BR28" s="77"/>
      <c r="BS28" s="77"/>
      <c r="BT28" s="119"/>
      <c r="BU28" s="119"/>
      <c r="BV28" s="119"/>
      <c r="BW28" s="111"/>
    </row>
    <row r="29" ht="15" customHeight="1" spans="1:75">
      <c r="A29" s="775" t="s">
        <v>2205</v>
      </c>
      <c r="B29" s="775"/>
      <c r="C29" s="131"/>
      <c r="D29" s="126"/>
      <c r="E29" s="131"/>
      <c r="F29" s="131"/>
      <c r="G29" s="131"/>
      <c r="H29" s="131"/>
      <c r="I29" s="174"/>
      <c r="J29" s="1226"/>
      <c r="K29" s="129">
        <f>L28</f>
        <v>0</v>
      </c>
      <c r="L29" s="129"/>
      <c r="M29" s="130"/>
      <c r="N29" s="130"/>
      <c r="O29" s="130"/>
      <c r="P29" s="353"/>
      <c r="Q29" s="1226"/>
      <c r="R29" s="1226">
        <f>S28</f>
        <v>0</v>
      </c>
      <c r="S29" s="1226"/>
      <c r="T29" s="174"/>
      <c r="U29" s="174"/>
      <c r="V29" s="174"/>
      <c r="W29" s="129">
        <f t="shared" si="12"/>
        <v>0</v>
      </c>
      <c r="X29" s="129" t="str">
        <f t="shared" si="13"/>
        <v/>
      </c>
      <c r="Y29" s="131"/>
      <c r="BC29" s="75"/>
      <c r="BD29" s="75"/>
      <c r="BE29" s="75"/>
      <c r="BF29" s="75"/>
      <c r="BG29" s="75"/>
      <c r="BH29" s="165"/>
      <c r="BI29" s="165"/>
      <c r="BJ29" s="165"/>
      <c r="BK29" s="165"/>
      <c r="BL29" s="165"/>
    </row>
    <row r="30" s="73" customFormat="1" ht="15" customHeight="1" spans="1:75">
      <c r="A30" s="149" t="s">
        <v>1957</v>
      </c>
      <c r="B30" s="149"/>
      <c r="C30" s="149"/>
      <c r="D30" s="149"/>
      <c r="E30" s="151"/>
      <c r="F30" s="151"/>
      <c r="G30" s="151"/>
      <c r="H30" s="151"/>
      <c r="I30" s="152"/>
      <c r="J30" s="152"/>
      <c r="K30" s="152">
        <f>K28-K29</f>
        <v>0</v>
      </c>
      <c r="L30" s="152"/>
      <c r="M30" s="153"/>
      <c r="N30" s="153"/>
      <c r="O30" s="153"/>
      <c r="P30" s="353"/>
      <c r="Q30" s="152"/>
      <c r="R30" s="152">
        <f>R28-R29</f>
        <v>0</v>
      </c>
      <c r="S30" s="152"/>
      <c r="T30" s="152"/>
      <c r="U30" s="152"/>
      <c r="V30" s="152">
        <f>V28-V29</f>
        <v>0</v>
      </c>
      <c r="W30" s="152">
        <f t="shared" si="12"/>
        <v>0</v>
      </c>
      <c r="X30" s="152" t="str">
        <f t="shared" si="13"/>
        <v/>
      </c>
      <c r="Y30" s="151"/>
      <c r="BH30" s="72"/>
      <c r="BI30" s="72"/>
      <c r="BJ30" s="72"/>
      <c r="BK30" s="72"/>
      <c r="BL30" s="72"/>
      <c r="BO30" s="77"/>
      <c r="BP30" s="78"/>
      <c r="BQ30" s="77"/>
      <c r="BR30" s="78"/>
      <c r="BS30" s="78"/>
      <c r="BT30" s="78"/>
      <c r="BU30" s="78"/>
      <c r="BV30" s="78"/>
      <c r="BW30" s="77"/>
    </row>
    <row r="31" customHeight="1" spans="1:75">
      <c r="A31" s="102" t="str">
        <f>参数表!F$6</f>
        <v>产权持有单位填表人：贾广东</v>
      </c>
      <c r="B31" s="154"/>
      <c r="C31" s="154"/>
      <c r="D31" s="286"/>
      <c r="E31" s="154"/>
      <c r="F31" s="154"/>
      <c r="G31" s="154"/>
      <c r="H31" s="154"/>
      <c r="I31" s="154"/>
      <c r="J31" s="154"/>
      <c r="K31" s="103"/>
      <c r="L31" s="103"/>
      <c r="M31" s="104"/>
      <c r="N31" s="104"/>
      <c r="O31" s="104"/>
      <c r="P31" s="103"/>
      <c r="Q31" s="103"/>
      <c r="R31" s="103"/>
      <c r="S31" s="103"/>
      <c r="T31" s="103"/>
      <c r="U31" s="103"/>
      <c r="V31" s="103" t="str">
        <f>"评估人员："&amp;封面!$G$20</f>
        <v>评估人员：栗祥宁</v>
      </c>
      <c r="W31" s="103"/>
      <c r="X31" s="103"/>
      <c r="Y31" s="103"/>
      <c r="BC31" s="75"/>
      <c r="BD31" s="75"/>
      <c r="BE31" s="75"/>
      <c r="BF31" s="75"/>
      <c r="BG31" s="75"/>
      <c r="BH31" s="165"/>
      <c r="BI31" s="165"/>
      <c r="BJ31" s="165"/>
      <c r="BK31" s="165"/>
      <c r="BL31" s="165"/>
    </row>
    <row r="32" customHeight="1" spans="1:75">
      <c r="A32" s="102" t="str">
        <f>参数表!F$7</f>
        <v>填表日期：2025年9月20日</v>
      </c>
      <c r="B32" s="154"/>
      <c r="C32" s="154"/>
      <c r="D32" s="286"/>
      <c r="E32" s="154"/>
      <c r="F32" s="154"/>
      <c r="G32" s="154"/>
      <c r="H32" s="154"/>
      <c r="I32" s="154"/>
      <c r="J32" s="154"/>
      <c r="K32" s="103"/>
      <c r="L32" s="103"/>
      <c r="M32" s="104"/>
      <c r="N32" s="104"/>
      <c r="O32" s="104"/>
      <c r="P32" s="103"/>
      <c r="Q32" s="103"/>
      <c r="R32" s="103"/>
      <c r="S32" s="103"/>
      <c r="T32" s="103"/>
      <c r="U32" s="103"/>
      <c r="V32" s="103"/>
      <c r="W32" s="103"/>
      <c r="X32" s="103"/>
      <c r="Y32" s="103"/>
      <c r="BC32" s="75"/>
      <c r="BD32" s="75"/>
      <c r="BE32" s="75"/>
      <c r="BF32" s="75"/>
      <c r="BG32" s="75"/>
      <c r="BH32" s="165"/>
      <c r="BI32" s="165"/>
      <c r="BJ32" s="165"/>
      <c r="BK32" s="165"/>
      <c r="BL32" s="165"/>
    </row>
    <row r="33" hidden="1" customHeight="1" outlineLevel="1" spans="1:64">
      <c r="A33" s="157"/>
      <c r="B33" s="154" t="s">
        <v>1673</v>
      </c>
      <c r="C33" s="158"/>
      <c r="D33" s="228"/>
      <c r="E33" s="158"/>
      <c r="F33" s="158"/>
      <c r="G33" s="158"/>
      <c r="H33" s="158"/>
      <c r="I33" s="158"/>
      <c r="J33" s="158"/>
      <c r="K33" s="159">
        <f>SUMIF($BA8:$BA27,$BA33,K8:K27)</f>
        <v>0</v>
      </c>
      <c r="L33" s="159">
        <f>SUMIF($BA8:$BA27,$BA33,L8:L27)</f>
        <v>0</v>
      </c>
      <c r="M33" s="202"/>
      <c r="N33" s="202"/>
      <c r="O33" s="202"/>
      <c r="P33" s="176"/>
      <c r="Q33" s="176"/>
      <c r="R33" s="159">
        <f>SUMIF($BA8:$BA27,$BA33,R8:R27)</f>
        <v>0</v>
      </c>
      <c r="S33" s="159">
        <f>SUMIF($BA8:$BA27,$BA33,S8:S27)</f>
        <v>0</v>
      </c>
      <c r="T33" s="176"/>
      <c r="U33" s="176"/>
      <c r="V33" s="159">
        <f>SUMIF($BA8:$BA27,$BA33,V8:V27)</f>
        <v>0</v>
      </c>
      <c r="BA33" s="161" t="s">
        <v>1674</v>
      </c>
      <c r="BH33" s="95" t="s">
        <v>1675</v>
      </c>
      <c r="BI33" s="95" t="s">
        <v>1675</v>
      </c>
      <c r="BJ33" s="95" t="s">
        <v>1675</v>
      </c>
      <c r="BK33" s="95" t="s">
        <v>1674</v>
      </c>
      <c r="BL33" s="95" t="s">
        <v>1674</v>
      </c>
    </row>
    <row r="34" hidden="1" customHeight="1" outlineLevel="1" spans="1:64">
      <c r="A34" s="157"/>
      <c r="B34" s="154" t="s">
        <v>1676</v>
      </c>
      <c r="C34" s="158"/>
      <c r="D34" s="228"/>
      <c r="E34" s="158"/>
      <c r="F34" s="158"/>
      <c r="G34" s="158"/>
      <c r="H34" s="158"/>
      <c r="I34" s="158"/>
      <c r="J34" s="158"/>
      <c r="K34" s="159">
        <f>K28-K33</f>
        <v>0</v>
      </c>
      <c r="L34" s="159">
        <f>L28-L33</f>
        <v>0</v>
      </c>
      <c r="M34" s="202"/>
      <c r="N34" s="202"/>
      <c r="O34" s="202"/>
      <c r="P34" s="176"/>
      <c r="Q34" s="176"/>
      <c r="R34" s="159">
        <f>R28-R33</f>
        <v>0</v>
      </c>
      <c r="S34" s="159">
        <f>S28-S33</f>
        <v>0</v>
      </c>
      <c r="T34" s="176"/>
      <c r="U34" s="176"/>
      <c r="V34" s="159">
        <f>V28-V33</f>
        <v>0</v>
      </c>
      <c r="BA34" s="161" t="s">
        <v>1677</v>
      </c>
      <c r="BH34" s="95" t="s">
        <v>1678</v>
      </c>
      <c r="BI34" s="95" t="s">
        <v>1678</v>
      </c>
      <c r="BJ34" s="95" t="s">
        <v>1678</v>
      </c>
      <c r="BK34" s="95" t="s">
        <v>1677</v>
      </c>
      <c r="BL34" s="95" t="s">
        <v>1677</v>
      </c>
    </row>
    <row r="35" customHeight="1" collapsed="1" spans="1:64">
      <c r="A35" s="157"/>
      <c r="B35" s="158"/>
      <c r="C35" s="158"/>
      <c r="D35" s="228"/>
      <c r="E35" s="158"/>
      <c r="F35" s="158"/>
      <c r="G35" s="158"/>
      <c r="H35" s="158"/>
      <c r="I35" s="158"/>
      <c r="J35" s="158"/>
    </row>
    <row r="36" customHeight="1" spans="1:64">
      <c r="A36" s="157"/>
      <c r="B36" s="158"/>
      <c r="C36" s="158"/>
      <c r="D36" s="228"/>
      <c r="E36" s="158"/>
      <c r="F36" s="158"/>
      <c r="G36" s="158"/>
      <c r="H36" s="158"/>
      <c r="I36" s="158"/>
      <c r="J36" s="158"/>
    </row>
    <row r="37" customHeight="1" spans="1:64">
      <c r="A37" s="157"/>
      <c r="B37" s="158"/>
      <c r="C37" s="158"/>
      <c r="D37" s="228"/>
      <c r="E37" s="158"/>
      <c r="F37" s="158"/>
      <c r="G37" s="158"/>
      <c r="H37" s="158"/>
      <c r="I37" s="158"/>
      <c r="J37" s="158"/>
    </row>
    <row r="38" customHeight="1" spans="1:64">
      <c r="A38" s="157"/>
      <c r="B38" s="158"/>
      <c r="C38" s="158"/>
      <c r="D38" s="228"/>
      <c r="E38" s="158"/>
      <c r="F38" s="158"/>
      <c r="G38" s="158"/>
      <c r="H38" s="158"/>
      <c r="I38" s="158"/>
      <c r="J38" s="158"/>
    </row>
    <row r="39" customHeight="1" spans="1:64">
      <c r="A39" s="157"/>
      <c r="B39" s="158"/>
      <c r="C39" s="158"/>
      <c r="D39" s="228"/>
      <c r="E39" s="158"/>
      <c r="F39" s="158"/>
      <c r="G39" s="158"/>
      <c r="H39" s="158"/>
      <c r="I39" s="158"/>
      <c r="J39" s="158"/>
    </row>
  </sheetData>
  <sheetProtection autoFilter="0"/>
  <mergeCells count="29">
    <mergeCell ref="A2:Y2"/>
    <mergeCell ref="A3:Y3"/>
    <mergeCell ref="E6:H6"/>
    <mergeCell ref="I6:L6"/>
    <mergeCell ref="M6:O6"/>
    <mergeCell ref="P6:S6"/>
    <mergeCell ref="T6:V6"/>
    <mergeCell ref="BU8:BW8"/>
    <mergeCell ref="BU9:BW9"/>
    <mergeCell ref="BV15:BW15"/>
    <mergeCell ref="A28:B28"/>
    <mergeCell ref="A29:B29"/>
    <mergeCell ref="A30:B30"/>
    <mergeCell ref="A6:A7"/>
    <mergeCell ref="B6:B7"/>
    <mergeCell ref="C6:C7"/>
    <mergeCell ref="D6:D7"/>
    <mergeCell ref="W6:W7"/>
    <mergeCell ref="X6:X7"/>
    <mergeCell ref="Y6:Y7"/>
    <mergeCell ref="BF6:BF7"/>
    <mergeCell ref="BG6:BG7"/>
    <mergeCell ref="BH6:BH7"/>
    <mergeCell ref="BI6:BI7"/>
    <mergeCell ref="BJ6:BJ7"/>
    <mergeCell ref="BK6:BK7"/>
    <mergeCell ref="BL6:BL7"/>
    <mergeCell ref="BM6:BM7"/>
    <mergeCell ref="BN6:BN7"/>
  </mergeCells>
  <conditionalFormatting sqref="BM8:BM27">
    <cfRule type="expression" dxfId="5" priority="4" stopIfTrue="1">
      <formula>AND(BK8="无",BM8="")</formula>
    </cfRule>
  </conditionalFormatting>
  <conditionalFormatting sqref="BF8:BG27">
    <cfRule type="containsText" dxfId="6" priority="1" stopIfTrue="1" operator="between" text="出错">
      <formula>NOT(ISERROR(SEARCH("出错",BF8)))</formula>
    </cfRule>
  </conditionalFormatting>
  <conditionalFormatting sqref="BH8:BL27">
    <cfRule type="expression" dxfId="5" priority="6" stopIfTrue="1">
      <formula>AND($B8&lt;&gt;"",BH8="")</formula>
    </cfRule>
  </conditionalFormatting>
  <dataValidations count="4">
    <dataValidation type="list" allowBlank="1" showInputMessage="1" showErrorMessage="1" sqref="E8:E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H8:BL27">
      <formula1>BH$33:BH$34</formula1>
    </dataValidation>
  </dataValidations>
  <hyperlinks>
    <hyperlink ref="A1" location="索引目录!E18" display="返回索引页"/>
    <hyperlink ref="B1" location="存货汇总!B9"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BW38"/>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4.6" style="688" customWidth="1"/>
    <col min="2" max="3" width="10.6" style="75" customWidth="1"/>
    <col min="4" max="5" width="4.6" style="165" customWidth="1"/>
    <col min="6" max="7" width="4.6" style="75" customWidth="1" outlineLevel="1"/>
    <col min="8" max="9" width="6.1" style="75" customWidth="1" outlineLevel="1"/>
    <col min="10" max="11" width="9.6" style="75" customWidth="1" outlineLevel="1"/>
    <col min="12" max="12" width="12.6" style="75" customWidth="1" outlineLevel="1"/>
    <col min="13" max="13" width="9.7" style="75" customWidth="1" outlineLevel="1"/>
    <col min="14" max="14" width="9.6" style="76" customWidth="1" outlineLevel="1"/>
    <col min="15" max="16" width="12.6" style="76" customWidth="1" outlineLevel="1"/>
    <col min="17" max="17" width="8.2" style="75" customWidth="1" outlineLevel="1"/>
    <col min="18" max="19" width="9.6" style="1238" customWidth="1"/>
    <col min="20" max="20" width="12.6" style="1238" customWidth="1"/>
    <col min="21" max="21" width="8" style="1238" customWidth="1"/>
    <col min="22" max="23" width="9.6" style="75" customWidth="1"/>
    <col min="24" max="24" width="12.6" style="75" customWidth="1"/>
    <col min="25" max="25" width="8.6" style="75" customWidth="1"/>
    <col min="26" max="26" width="5" style="75" customWidth="1"/>
    <col min="27" max="27" width="5.6" style="75" customWidth="1"/>
    <col min="28" max="28" width="9.2" style="75" hidden="1" customWidth="1" outlineLevel="1"/>
    <col min="29" max="52" width="9" style="75" hidden="1" customWidth="1" outlineLevel="1"/>
    <col min="53" max="53" width="14.7" style="75" customWidth="1" collapsed="1"/>
    <col min="54" max="54" width="6.7" style="75" customWidth="1"/>
    <col min="55" max="56" width="5.1" style="165" customWidth="1"/>
    <col min="57" max="57" width="8.7" style="165" customWidth="1"/>
    <col min="58" max="59" width="9.6" style="75" customWidth="1"/>
    <col min="60" max="62" width="5" style="75" customWidth="1"/>
    <col min="63" max="63" width="6.8" style="75" customWidth="1"/>
    <col min="64" max="64" width="10.3" style="75" customWidth="1"/>
    <col min="65" max="65" width="8.7" style="75" customWidth="1"/>
    <col min="66" max="66" width="9" style="75"/>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204"/>
      <c r="D1" s="82"/>
      <c r="E1" s="82"/>
      <c r="F1" s="82"/>
      <c r="G1" s="82"/>
      <c r="H1" s="82"/>
      <c r="I1" s="82"/>
      <c r="J1" s="82"/>
      <c r="K1" s="82"/>
      <c r="L1" s="82"/>
      <c r="M1" s="82"/>
      <c r="N1" s="205"/>
      <c r="O1" s="205"/>
      <c r="P1" s="205"/>
      <c r="Q1" s="82"/>
      <c r="R1" s="82"/>
      <c r="S1" s="82"/>
      <c r="T1" s="82"/>
      <c r="U1" s="82"/>
      <c r="V1" s="82"/>
      <c r="W1" s="82"/>
      <c r="X1" s="82"/>
      <c r="Y1" s="82"/>
      <c r="Z1" s="82"/>
      <c r="AA1" s="82"/>
      <c r="AB1" s="82"/>
      <c r="BA1" s="84" t="str">
        <f>参数表!BA1</f>
        <v>注意：补充特殊事项、作价等均从BA列开始填写</v>
      </c>
      <c r="BB1" s="85"/>
      <c r="BC1" s="82"/>
      <c r="BD1" s="82"/>
      <c r="BE1" s="82"/>
      <c r="BO1" s="87"/>
      <c r="BP1" s="88"/>
      <c r="BQ1" s="87"/>
      <c r="BR1" s="88"/>
      <c r="BS1" s="88"/>
      <c r="BT1" s="88"/>
      <c r="BU1" s="88"/>
      <c r="BV1" s="88"/>
      <c r="BW1" s="87"/>
    </row>
    <row r="2" s="71" customFormat="1" ht="30" customHeight="1" spans="1:75">
      <c r="A2" s="89" t="s">
        <v>2206</v>
      </c>
      <c r="B2" s="89"/>
      <c r="C2" s="89"/>
      <c r="D2" s="89"/>
      <c r="E2" s="89"/>
      <c r="F2" s="89"/>
      <c r="G2" s="89"/>
      <c r="H2" s="89"/>
      <c r="I2" s="89"/>
      <c r="J2" s="89"/>
      <c r="K2" s="89"/>
      <c r="L2" s="89"/>
      <c r="M2" s="89"/>
      <c r="N2" s="89"/>
      <c r="O2" s="89"/>
      <c r="P2" s="89"/>
      <c r="Q2" s="89"/>
      <c r="R2" s="89"/>
      <c r="S2" s="89"/>
      <c r="T2" s="89"/>
      <c r="U2" s="89"/>
      <c r="V2" s="89"/>
      <c r="W2" s="89"/>
      <c r="X2" s="89"/>
      <c r="Y2" s="89"/>
      <c r="Z2" s="89"/>
      <c r="AA2" s="89"/>
      <c r="AB2" s="906"/>
      <c r="BA2" s="90" t="str">
        <f>参数表!BA2</f>
        <v>评估基准日：</v>
      </c>
      <c r="BB2" s="91" t="str">
        <f>参数表!BB2</f>
        <v>2025年7月31日</v>
      </c>
      <c r="BC2" s="171"/>
      <c r="BD2" s="171"/>
      <c r="BE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4"/>
      <c r="L3" s="94"/>
      <c r="M3" s="94"/>
      <c r="N3" s="94"/>
      <c r="O3" s="94"/>
      <c r="P3" s="94"/>
      <c r="Q3" s="94"/>
      <c r="R3" s="94"/>
      <c r="S3" s="94"/>
      <c r="T3" s="94"/>
      <c r="U3" s="94"/>
      <c r="V3" s="94"/>
      <c r="W3" s="94"/>
      <c r="X3" s="94"/>
      <c r="Y3" s="94"/>
      <c r="Z3" s="94"/>
      <c r="AA3" s="94"/>
      <c r="BA3" s="90" t="str">
        <f>参数表!BA3</f>
        <v>是否显示评估值：</v>
      </c>
      <c r="BB3" s="90" t="str">
        <f>参数表!BB3</f>
        <v>是</v>
      </c>
      <c r="BO3" s="92"/>
      <c r="BP3" s="93"/>
      <c r="BQ3" s="92"/>
      <c r="BR3" s="93"/>
      <c r="BS3" s="93"/>
      <c r="BT3" s="93"/>
      <c r="BU3" s="93"/>
      <c r="BV3" s="93"/>
      <c r="BW3" s="92"/>
    </row>
    <row r="4" ht="15" customHeight="1" spans="1:75">
      <c r="A4" s="96"/>
      <c r="B4" s="94"/>
      <c r="C4" s="94"/>
      <c r="D4" s="94"/>
      <c r="E4" s="94"/>
      <c r="F4" s="94"/>
      <c r="G4" s="94"/>
      <c r="H4" s="94"/>
      <c r="I4" s="94"/>
      <c r="J4" s="94"/>
      <c r="K4" s="94"/>
      <c r="L4" s="94"/>
      <c r="M4" s="94"/>
      <c r="N4" s="97"/>
      <c r="O4" s="97"/>
      <c r="P4" s="97"/>
      <c r="Q4" s="94"/>
      <c r="R4" s="94"/>
      <c r="S4" s="680"/>
      <c r="T4" s="94"/>
      <c r="U4" s="94"/>
      <c r="V4" s="94"/>
      <c r="W4" s="94"/>
      <c r="X4" s="94"/>
      <c r="Y4" s="94"/>
      <c r="Z4" s="94"/>
      <c r="AA4" s="98" t="str">
        <f>"表"&amp;$BA4</f>
        <v>表3-10-2</v>
      </c>
      <c r="BA4" s="95" t="str">
        <f>存货总!A8</f>
        <v>3-10-2</v>
      </c>
      <c r="BB4" s="100">
        <f>MAX(COUNTA(A8:A27),COUNTA(B8:B27),COUNTA(L8:L27),COUNTA(T8:T27))</f>
        <v>20</v>
      </c>
      <c r="BC4" s="101">
        <f>ROW(A7)+1</f>
        <v>8</v>
      </c>
      <c r="BD4" s="77"/>
      <c r="BE4" s="77"/>
      <c r="BQ4" s="78"/>
    </row>
    <row r="5" ht="15" customHeight="1" spans="1:75">
      <c r="A5" s="102" t="str">
        <f>参数表!F3</f>
        <v>产权持有单位:中煤第五建设有限公司</v>
      </c>
      <c r="B5" s="103"/>
      <c r="C5" s="103"/>
      <c r="D5" s="95"/>
      <c r="E5" s="95"/>
      <c r="F5" s="103"/>
      <c r="G5" s="103"/>
      <c r="H5" s="103"/>
      <c r="I5" s="103"/>
      <c r="J5" s="103"/>
      <c r="K5" s="103"/>
      <c r="L5" s="103"/>
      <c r="M5" s="103"/>
      <c r="N5" s="104"/>
      <c r="O5" s="104"/>
      <c r="P5" s="104"/>
      <c r="Q5" s="103"/>
      <c r="R5" s="1239"/>
      <c r="S5" s="1239"/>
      <c r="T5" s="1239"/>
      <c r="U5" s="1239"/>
      <c r="V5" s="103"/>
      <c r="W5" s="103"/>
      <c r="X5" s="103"/>
      <c r="Y5" s="103"/>
      <c r="Z5" s="103"/>
      <c r="AA5" s="98" t="s">
        <v>236</v>
      </c>
      <c r="BA5" s="103"/>
      <c r="BB5" s="105" t="str">
        <f ca="1">判断表!C31</f>
        <v>中煤第五建设有限公司第三工程处拟处置实物资产项目\[0000-3基础法明细表.xlsx]原材料</v>
      </c>
      <c r="BC5" s="106">
        <f>IFERROR(SUMIF(BC8:BC27,"√",T8:T27)/T28,0)</f>
        <v>0</v>
      </c>
      <c r="BD5" s="107"/>
      <c r="BE5" s="107"/>
      <c r="BF5" s="284">
        <f>'采购（在途）'!BF5</f>
        <v>35557.52</v>
      </c>
      <c r="BG5" s="284">
        <f>'采购（在途）'!BG5</f>
        <v>35557.52</v>
      </c>
      <c r="BH5" s="165"/>
      <c r="BI5" s="165"/>
      <c r="BJ5" s="165"/>
      <c r="BK5" s="165"/>
      <c r="BQ5" s="78"/>
    </row>
    <row r="6" s="72" customFormat="1" ht="15" customHeight="1" spans="1:75">
      <c r="A6" s="112" t="s">
        <v>305</v>
      </c>
      <c r="B6" s="113" t="s">
        <v>2174</v>
      </c>
      <c r="C6" s="113" t="s">
        <v>2175</v>
      </c>
      <c r="D6" s="118" t="s">
        <v>2176</v>
      </c>
      <c r="E6" s="118" t="s">
        <v>2207</v>
      </c>
      <c r="F6" s="511" t="s">
        <v>1964</v>
      </c>
      <c r="G6" s="512"/>
      <c r="H6" s="512"/>
      <c r="I6" s="513"/>
      <c r="J6" s="514" t="s">
        <v>1549</v>
      </c>
      <c r="K6" s="189"/>
      <c r="L6" s="189"/>
      <c r="M6" s="190"/>
      <c r="N6" s="515" t="s">
        <v>1634</v>
      </c>
      <c r="O6" s="516"/>
      <c r="P6" s="517"/>
      <c r="Q6" s="118" t="s">
        <v>2208</v>
      </c>
      <c r="R6" s="514" t="s">
        <v>1523</v>
      </c>
      <c r="S6" s="189"/>
      <c r="T6" s="189"/>
      <c r="U6" s="190"/>
      <c r="V6" s="113" t="s">
        <v>1550</v>
      </c>
      <c r="W6" s="113"/>
      <c r="X6" s="113"/>
      <c r="Y6" s="113" t="s">
        <v>1525</v>
      </c>
      <c r="Z6" s="118" t="s">
        <v>1551</v>
      </c>
      <c r="AA6" s="113" t="s">
        <v>308</v>
      </c>
      <c r="BA6" s="191"/>
      <c r="BB6" s="100"/>
      <c r="BC6" s="100"/>
      <c r="BD6" s="100"/>
      <c r="BE6" s="100"/>
      <c r="BF6" s="192" t="s">
        <v>1639</v>
      </c>
      <c r="BG6" s="192" t="s">
        <v>1640</v>
      </c>
      <c r="BH6" s="113" t="s">
        <v>1748</v>
      </c>
      <c r="BI6" s="113" t="s">
        <v>1749</v>
      </c>
      <c r="BJ6" s="118" t="s">
        <v>1750</v>
      </c>
      <c r="BK6" s="118" t="s">
        <v>1641</v>
      </c>
      <c r="BL6" s="118" t="s">
        <v>2209</v>
      </c>
      <c r="BM6" s="113" t="s">
        <v>1644</v>
      </c>
      <c r="BN6" s="682" t="s">
        <v>2210</v>
      </c>
      <c r="BO6" s="111"/>
      <c r="BP6" s="78"/>
      <c r="BQ6" s="78"/>
      <c r="BR6" s="78"/>
      <c r="BS6" s="78"/>
      <c r="BT6" s="78"/>
      <c r="BU6" s="78"/>
      <c r="BV6" s="194"/>
      <c r="BW6" s="111"/>
    </row>
    <row r="7" s="72" customFormat="1" ht="15" customHeight="1" spans="1:75">
      <c r="A7" s="195"/>
      <c r="B7" s="149"/>
      <c r="C7" s="149"/>
      <c r="D7" s="149"/>
      <c r="E7" s="149" t="s">
        <v>2211</v>
      </c>
      <c r="F7" s="519" t="s">
        <v>1968</v>
      </c>
      <c r="G7" s="519" t="s">
        <v>1969</v>
      </c>
      <c r="H7" s="519" t="s">
        <v>1970</v>
      </c>
      <c r="I7" s="519" t="s">
        <v>2177</v>
      </c>
      <c r="J7" s="149" t="s">
        <v>1637</v>
      </c>
      <c r="K7" s="113" t="s">
        <v>2178</v>
      </c>
      <c r="L7" s="113" t="s">
        <v>271</v>
      </c>
      <c r="M7" s="113" t="s">
        <v>2179</v>
      </c>
      <c r="N7" s="1205" t="s">
        <v>2180</v>
      </c>
      <c r="O7" s="1205" t="s">
        <v>2181</v>
      </c>
      <c r="P7" s="1205" t="s">
        <v>2182</v>
      </c>
      <c r="Q7" s="118"/>
      <c r="R7" s="113" t="s">
        <v>1637</v>
      </c>
      <c r="S7" s="113" t="s">
        <v>2178</v>
      </c>
      <c r="T7" s="113" t="s">
        <v>271</v>
      </c>
      <c r="U7" s="113" t="s">
        <v>2179</v>
      </c>
      <c r="V7" s="113" t="s">
        <v>2183</v>
      </c>
      <c r="W7" s="113" t="s">
        <v>2184</v>
      </c>
      <c r="X7" s="113" t="s">
        <v>271</v>
      </c>
      <c r="Y7" s="113"/>
      <c r="Z7" s="118"/>
      <c r="AA7" s="113"/>
      <c r="AB7" s="72"/>
      <c r="BA7" s="100" t="s">
        <v>1545</v>
      </c>
      <c r="BB7" s="100" t="s">
        <v>1635</v>
      </c>
      <c r="BC7" s="100" t="s">
        <v>1636</v>
      </c>
      <c r="BD7" s="100" t="s">
        <v>1637</v>
      </c>
      <c r="BE7" s="100" t="s">
        <v>1638</v>
      </c>
      <c r="BF7" s="197"/>
      <c r="BG7" s="197"/>
      <c r="BH7" s="113"/>
      <c r="BI7" s="113"/>
      <c r="BJ7" s="118"/>
      <c r="BK7" s="118"/>
      <c r="BL7" s="118"/>
      <c r="BM7" s="113"/>
      <c r="BN7" s="682"/>
      <c r="BO7" s="119"/>
      <c r="BP7" s="120" t="s">
        <v>1645</v>
      </c>
      <c r="BQ7" s="121" t="s">
        <v>1646</v>
      </c>
      <c r="BR7" s="121" t="s">
        <v>1647</v>
      </c>
      <c r="BS7" s="121" t="s">
        <v>1648</v>
      </c>
      <c r="BT7" s="121" t="s">
        <v>1647</v>
      </c>
      <c r="BU7" s="121" t="s">
        <v>1647</v>
      </c>
      <c r="BV7" s="121" t="s">
        <v>1649</v>
      </c>
      <c r="BW7" s="122" t="s">
        <v>1650</v>
      </c>
    </row>
    <row r="8" s="1228" customFormat="1" ht="15" customHeight="1" spans="1:75">
      <c r="A8" s="123" t="str">
        <f>IF(B8="","",COUNT(A$7:A7)+1)</f>
        <v/>
      </c>
      <c r="B8" s="982"/>
      <c r="C8" s="982"/>
      <c r="D8" s="775"/>
      <c r="E8" s="775"/>
      <c r="F8" s="127"/>
      <c r="G8" s="127" t="str">
        <f>IFERROR(VLOOKUP(F8,参数表!$H$2:$I$50,2,FALSE),"")</f>
        <v/>
      </c>
      <c r="H8" s="128" t="str">
        <f>IFERROR(IF(OR(F8="人民币",F8=""),"",T8/G8),"")</f>
        <v/>
      </c>
      <c r="I8" s="128" t="str">
        <f>IFERROR(IF(OR(F8="人民币",F8=""),"",U8/G8),"")</f>
        <v/>
      </c>
      <c r="J8" s="353"/>
      <c r="K8" s="129" t="str">
        <f>IF(J8=0,"",L8/J8)</f>
        <v/>
      </c>
      <c r="L8" s="129"/>
      <c r="M8" s="129"/>
      <c r="N8" s="130"/>
      <c r="O8" s="130"/>
      <c r="P8" s="130"/>
      <c r="Q8" s="129"/>
      <c r="R8" s="353" t="str">
        <f>IF(B8="","",J8+N8)</f>
        <v/>
      </c>
      <c r="S8" s="129" t="str">
        <f>IFERROR(T8/R8,"")</f>
        <v/>
      </c>
      <c r="T8" s="1226" t="str">
        <f>IF(B8="","",L8+O8)</f>
        <v/>
      </c>
      <c r="U8" s="1226" t="str">
        <f>IF(B8="","",M8+P8)</f>
        <v/>
      </c>
      <c r="V8" s="353" t="str">
        <f t="shared" ref="V8:V27" si="0">IF(B8="","",IF($BB$3="是",R8,""))</f>
        <v/>
      </c>
      <c r="W8" s="129" t="str">
        <f t="shared" ref="W8:W27" si="1">IF(B8="","",IF($BB$3="是",IF(BN8="",S8,BN8),""))</f>
        <v/>
      </c>
      <c r="X8" s="129" t="str">
        <f>IFERROR(V8*W8,"")</f>
        <v/>
      </c>
      <c r="Y8" s="129" t="str">
        <f>IFERROR(X8-(T8-U8),"")</f>
        <v/>
      </c>
      <c r="Z8" s="129" t="str">
        <f>IFERROR(Y8/(T8-U8)*100,"")</f>
        <v/>
      </c>
      <c r="AA8" s="131"/>
      <c r="BA8" s="78"/>
      <c r="BB8" s="132" t="s">
        <v>2212</v>
      </c>
      <c r="BC8" s="133"/>
      <c r="BD8" s="132" t="str">
        <f>IF(OR(B8="",BC8=""),"",COUNTIF(BC$8:BC8,"√"))</f>
        <v/>
      </c>
      <c r="BE8" s="134" t="str">
        <f t="shared" ref="BE8:BE27" si="2">IF(BC8="","",BB8&amp;"︱"&amp;B8&amp;"︱"&amp;TEXT(L8,"#,##0.00"))</f>
        <v/>
      </c>
      <c r="BF8" s="135" t="str">
        <f>IF($B8="","",IF(BF$5=0,"OK","出错"))</f>
        <v/>
      </c>
      <c r="BG8" s="135" t="str">
        <f>IF($B8="","",IF(BG$5=0,"OK","出错"))</f>
        <v/>
      </c>
      <c r="BH8" s="136"/>
      <c r="BI8" s="136"/>
      <c r="BJ8" s="136"/>
      <c r="BK8" s="136"/>
      <c r="BL8" s="137"/>
      <c r="BM8" s="137"/>
      <c r="BO8" s="77"/>
      <c r="BP8" s="134" t="str">
        <f>IF(COUNTIF(BP$7:BP7,B8)&gt;0,"",B8)&amp;""</f>
        <v/>
      </c>
      <c r="BQ8" s="138">
        <f>SUMIF(B$8:B$27,BP8,T$8:T$27)</f>
        <v>0</v>
      </c>
      <c r="BR8" s="132">
        <f t="shared" ref="BR8" si="3">RANK(BQ8,BQ$8:BQ$27)</f>
        <v>1</v>
      </c>
      <c r="BS8" s="138">
        <f>SUMIF(B$8:B$27,BP8,X$8:X$27)</f>
        <v>0</v>
      </c>
      <c r="BT8" s="132">
        <f>RANK(BS8,BS$8:BS$27)</f>
        <v>1</v>
      </c>
      <c r="BU8" s="138">
        <f>SUM(BQ8:BQ27)</f>
        <v>0</v>
      </c>
      <c r="BV8" s="138"/>
      <c r="BW8" s="138"/>
    </row>
    <row r="9" ht="15" customHeight="1" spans="1:75">
      <c r="A9" s="123" t="str">
        <f>IF(B9="","",COUNT(A$7:A8)+1)</f>
        <v/>
      </c>
      <c r="B9" s="139"/>
      <c r="C9" s="139"/>
      <c r="D9" s="141"/>
      <c r="E9" s="141"/>
      <c r="F9" s="142"/>
      <c r="G9" s="127" t="str">
        <f>IFERROR(VLOOKUP(F9,参数表!$H$2:$I$50,2,FALSE),"")</f>
        <v/>
      </c>
      <c r="H9" s="128" t="str">
        <f t="shared" ref="H9:H27" si="4">IFERROR(IF(OR(F9="人民币",F9=""),"",T9/G9),"")</f>
        <v/>
      </c>
      <c r="I9" s="128" t="str">
        <f t="shared" ref="I9:I27" si="5">IFERROR(IF(OR(F9="人民币",F9=""),"",U9/G9),"")</f>
        <v/>
      </c>
      <c r="J9" s="980"/>
      <c r="K9" s="143" t="str">
        <f t="shared" ref="K9:K28" si="6">IF(J9=0,"",L9/J9)</f>
        <v/>
      </c>
      <c r="L9" s="143"/>
      <c r="M9" s="143"/>
      <c r="N9" s="144"/>
      <c r="O9" s="144"/>
      <c r="P9" s="144"/>
      <c r="Q9" s="143"/>
      <c r="R9" s="353" t="str">
        <f t="shared" ref="R9:R27" si="7">IF(B9="","",J9+N9)</f>
        <v/>
      </c>
      <c r="S9" s="129" t="str">
        <f t="shared" ref="S9:S27" si="8">IFERROR(T9/R9,"")</f>
        <v/>
      </c>
      <c r="T9" s="1226" t="str">
        <f t="shared" ref="T9:T27" si="9">IF(B9="","",L9+O9)</f>
        <v/>
      </c>
      <c r="U9" s="1226" t="str">
        <f t="shared" ref="U9:U27" si="10">IF(B9="","",M9+P9)</f>
        <v/>
      </c>
      <c r="V9" s="353" t="str">
        <f t="shared" si="0"/>
        <v/>
      </c>
      <c r="W9" s="129" t="str">
        <f t="shared" si="1"/>
        <v/>
      </c>
      <c r="X9" s="129" t="str">
        <f t="shared" ref="X9:X27" si="11">IFERROR(V9*W9,"")</f>
        <v/>
      </c>
      <c r="Y9" s="129" t="str">
        <f t="shared" ref="Y9:Y30" si="12">IFERROR(X9-(T9-U9),"")</f>
        <v/>
      </c>
      <c r="Z9" s="129" t="str">
        <f t="shared" ref="Z9:Z30" si="13">IFERROR(Y9/(T9-U9)*100,"")</f>
        <v/>
      </c>
      <c r="AA9" s="145"/>
      <c r="BA9" s="78"/>
      <c r="BB9" s="132" t="s">
        <v>2213</v>
      </c>
      <c r="BC9" s="133"/>
      <c r="BD9" s="132" t="str">
        <f>IF(OR(B9="",BC9=""),"",COUNTIF(BC$8:BC9,"√"))</f>
        <v/>
      </c>
      <c r="BE9" s="134" t="str">
        <f t="shared" si="2"/>
        <v/>
      </c>
      <c r="BF9" s="135" t="str">
        <f t="shared" ref="BF9:BG27" si="14">IF($B9="","",IF(BF$5=0,"OK","出错"))</f>
        <v/>
      </c>
      <c r="BG9" s="135" t="str">
        <f t="shared" si="14"/>
        <v/>
      </c>
      <c r="BH9" s="136"/>
      <c r="BI9" s="136"/>
      <c r="BJ9" s="136"/>
      <c r="BK9" s="136"/>
      <c r="BL9" s="137"/>
      <c r="BM9" s="137"/>
      <c r="BP9" s="134" t="str">
        <f>IF(COUNTIF(BP$7:BP8,B9)&gt;0,"",B9)&amp;""</f>
        <v/>
      </c>
      <c r="BQ9" s="138">
        <f t="shared" ref="BQ9:BQ27" si="15">SUMIF(B$8:B$27,BP9,T$8:T$27)</f>
        <v>0</v>
      </c>
      <c r="BR9" s="132">
        <f t="shared" ref="BR9:BR27" si="16">RANK(BQ9,BQ$8:BQ$27)</f>
        <v>1</v>
      </c>
      <c r="BS9" s="138">
        <f t="shared" ref="BS9:BS27" si="17">SUMIF(B$8:B$27,BP9,X$8:X$27)</f>
        <v>0</v>
      </c>
      <c r="BT9" s="132">
        <f t="shared" ref="BT9:BT27" si="18">RANK(BS9,BS$8:BS$27)</f>
        <v>1</v>
      </c>
      <c r="BU9" s="138">
        <f>SUM(BS8:BS27)</f>
        <v>0</v>
      </c>
      <c r="BV9" s="138"/>
      <c r="BW9" s="138"/>
    </row>
    <row r="10" ht="15" customHeight="1" spans="1:75">
      <c r="A10" s="123" t="str">
        <f>IF(B10="","",COUNT(A$7:A9)+1)</f>
        <v/>
      </c>
      <c r="B10" s="139"/>
      <c r="C10" s="139"/>
      <c r="D10" s="141"/>
      <c r="E10" s="141"/>
      <c r="F10" s="142"/>
      <c r="G10" s="127" t="str">
        <f>IFERROR(VLOOKUP(F10,参数表!$H$2:$I$50,2,FALSE),"")</f>
        <v/>
      </c>
      <c r="H10" s="128" t="str">
        <f t="shared" si="4"/>
        <v/>
      </c>
      <c r="I10" s="128" t="str">
        <f t="shared" si="5"/>
        <v/>
      </c>
      <c r="J10" s="980"/>
      <c r="K10" s="143" t="str">
        <f t="shared" si="6"/>
        <v/>
      </c>
      <c r="L10" s="143"/>
      <c r="M10" s="143"/>
      <c r="N10" s="144"/>
      <c r="O10" s="144"/>
      <c r="P10" s="144"/>
      <c r="Q10" s="143"/>
      <c r="R10" s="353" t="str">
        <f t="shared" si="7"/>
        <v/>
      </c>
      <c r="S10" s="129" t="str">
        <f t="shared" si="8"/>
        <v/>
      </c>
      <c r="T10" s="1226" t="str">
        <f t="shared" si="9"/>
        <v/>
      </c>
      <c r="U10" s="1226" t="str">
        <f t="shared" si="10"/>
        <v/>
      </c>
      <c r="V10" s="353" t="str">
        <f t="shared" si="0"/>
        <v/>
      </c>
      <c r="W10" s="129" t="str">
        <f t="shared" si="1"/>
        <v/>
      </c>
      <c r="X10" s="129" t="str">
        <f t="shared" si="11"/>
        <v/>
      </c>
      <c r="Y10" s="129" t="str">
        <f t="shared" si="12"/>
        <v/>
      </c>
      <c r="Z10" s="129" t="str">
        <f t="shared" si="13"/>
        <v/>
      </c>
      <c r="AA10" s="145"/>
      <c r="BA10" s="78"/>
      <c r="BB10" s="132" t="s">
        <v>2214</v>
      </c>
      <c r="BC10" s="133"/>
      <c r="BD10" s="132" t="str">
        <f>IF(OR(B10="",BC10=""),"",COUNTIF(BC$8:BC10,"√"))</f>
        <v/>
      </c>
      <c r="BE10" s="134" t="str">
        <f t="shared" si="2"/>
        <v/>
      </c>
      <c r="BF10" s="135" t="str">
        <f t="shared" si="14"/>
        <v/>
      </c>
      <c r="BG10" s="135" t="str">
        <f t="shared" si="14"/>
        <v/>
      </c>
      <c r="BH10" s="136"/>
      <c r="BI10" s="136"/>
      <c r="BJ10" s="136"/>
      <c r="BK10" s="136"/>
      <c r="BL10" s="137"/>
      <c r="BM10" s="137"/>
      <c r="BP10" s="134" t="str">
        <f>IF(COUNTIF(BP$7:BP9,B10)&gt;0,"",B10)&amp;""</f>
        <v/>
      </c>
      <c r="BQ10" s="138">
        <f t="shared" si="15"/>
        <v>0</v>
      </c>
      <c r="BR10" s="132">
        <f t="shared" si="16"/>
        <v>1</v>
      </c>
      <c r="BS10" s="138">
        <f t="shared" si="17"/>
        <v>0</v>
      </c>
      <c r="BT10" s="132">
        <f t="shared" si="18"/>
        <v>1</v>
      </c>
      <c r="BU10" s="132">
        <v>1</v>
      </c>
      <c r="BV10" s="134" t="str">
        <f>IFERROR(INDEX(BP$8:BP$27,MATCH(BU10,IF(BU$8=0,BT$8:BT$27,BR$8:BR$27),0))&amp;"","")</f>
        <v/>
      </c>
      <c r="BW10" s="146" t="str">
        <f>IF(BV11="","",IF(BV12="","和","、"))</f>
        <v/>
      </c>
    </row>
    <row r="11" ht="15" customHeight="1" spans="1:75">
      <c r="A11" s="123" t="str">
        <f>IF(B11="","",COUNT(A$7:A10)+1)</f>
        <v/>
      </c>
      <c r="B11" s="139"/>
      <c r="C11" s="139"/>
      <c r="D11" s="141"/>
      <c r="E11" s="141"/>
      <c r="F11" s="142"/>
      <c r="G11" s="127" t="str">
        <f>IFERROR(VLOOKUP(F11,参数表!$H$2:$I$50,2,FALSE),"")</f>
        <v/>
      </c>
      <c r="H11" s="128" t="str">
        <f t="shared" si="4"/>
        <v/>
      </c>
      <c r="I11" s="128" t="str">
        <f t="shared" si="5"/>
        <v/>
      </c>
      <c r="J11" s="980"/>
      <c r="K11" s="143" t="str">
        <f t="shared" si="6"/>
        <v/>
      </c>
      <c r="L11" s="143"/>
      <c r="M11" s="143"/>
      <c r="N11" s="144"/>
      <c r="O11" s="144"/>
      <c r="P11" s="144"/>
      <c r="Q11" s="143"/>
      <c r="R11" s="353" t="str">
        <f t="shared" si="7"/>
        <v/>
      </c>
      <c r="S11" s="129" t="str">
        <f t="shared" si="8"/>
        <v/>
      </c>
      <c r="T11" s="1226" t="str">
        <f t="shared" si="9"/>
        <v/>
      </c>
      <c r="U11" s="1226" t="str">
        <f t="shared" si="10"/>
        <v/>
      </c>
      <c r="V11" s="353" t="str">
        <f t="shared" si="0"/>
        <v/>
      </c>
      <c r="W11" s="129" t="str">
        <f t="shared" si="1"/>
        <v/>
      </c>
      <c r="X11" s="129" t="str">
        <f t="shared" si="11"/>
        <v/>
      </c>
      <c r="Y11" s="129" t="str">
        <f t="shared" si="12"/>
        <v/>
      </c>
      <c r="Z11" s="129" t="str">
        <f t="shared" si="13"/>
        <v/>
      </c>
      <c r="AA11" s="145"/>
      <c r="BA11" s="78"/>
      <c r="BB11" s="132" t="s">
        <v>2215</v>
      </c>
      <c r="BC11" s="133"/>
      <c r="BD11" s="132" t="str">
        <f>IF(OR(B11="",BC11=""),"",COUNTIF(BC$8:BC11,"√"))</f>
        <v/>
      </c>
      <c r="BE11" s="134" t="str">
        <f t="shared" si="2"/>
        <v/>
      </c>
      <c r="BF11" s="135" t="str">
        <f t="shared" si="14"/>
        <v/>
      </c>
      <c r="BG11" s="135" t="str">
        <f t="shared" si="14"/>
        <v/>
      </c>
      <c r="BH11" s="136"/>
      <c r="BI11" s="136"/>
      <c r="BJ11" s="136"/>
      <c r="BK11" s="136"/>
      <c r="BL11" s="137"/>
      <c r="BM11" s="137"/>
      <c r="BP11" s="134" t="str">
        <f>IF(COUNTIF(BP$7:BP10,B11)&gt;0,"",B11)&amp;""</f>
        <v/>
      </c>
      <c r="BQ11" s="138">
        <f t="shared" si="15"/>
        <v>0</v>
      </c>
      <c r="BR11" s="132">
        <f t="shared" si="16"/>
        <v>1</v>
      </c>
      <c r="BS11" s="138">
        <f t="shared" si="17"/>
        <v>0</v>
      </c>
      <c r="BT11" s="132">
        <f t="shared" si="18"/>
        <v>1</v>
      </c>
      <c r="BU11" s="132">
        <v>2</v>
      </c>
      <c r="BV11" s="134" t="str">
        <f t="shared" ref="BV11:BV14" si="19">IFERROR(INDEX(BP$8:BP$27,MATCH(BU11,IF(BU$8=0,BT$8:BT$27,BR$8:BR$27),0))&amp;"","")</f>
        <v/>
      </c>
      <c r="BW11" s="146" t="str">
        <f t="shared" ref="BW11:BW12" si="20">IF(BV12="","",IF(BV13="","和","、"))</f>
        <v/>
      </c>
    </row>
    <row r="12" ht="15" customHeight="1" spans="1:75">
      <c r="A12" s="123" t="str">
        <f>IF(B12="","",COUNT(A$7:A11)+1)</f>
        <v/>
      </c>
      <c r="B12" s="139"/>
      <c r="C12" s="139"/>
      <c r="D12" s="141"/>
      <c r="E12" s="141"/>
      <c r="F12" s="142"/>
      <c r="G12" s="127" t="str">
        <f>IFERROR(VLOOKUP(F12,参数表!$H$2:$I$50,2,FALSE),"")</f>
        <v/>
      </c>
      <c r="H12" s="128" t="str">
        <f t="shared" si="4"/>
        <v/>
      </c>
      <c r="I12" s="128" t="str">
        <f t="shared" si="5"/>
        <v/>
      </c>
      <c r="J12" s="980"/>
      <c r="K12" s="143" t="str">
        <f t="shared" si="6"/>
        <v/>
      </c>
      <c r="L12" s="143"/>
      <c r="M12" s="143"/>
      <c r="N12" s="144"/>
      <c r="O12" s="144"/>
      <c r="P12" s="144"/>
      <c r="Q12" s="143"/>
      <c r="R12" s="353" t="str">
        <f t="shared" si="7"/>
        <v/>
      </c>
      <c r="S12" s="129" t="str">
        <f t="shared" si="8"/>
        <v/>
      </c>
      <c r="T12" s="1226" t="str">
        <f t="shared" si="9"/>
        <v/>
      </c>
      <c r="U12" s="1226" t="str">
        <f t="shared" si="10"/>
        <v/>
      </c>
      <c r="V12" s="353" t="str">
        <f t="shared" si="0"/>
        <v/>
      </c>
      <c r="W12" s="129" t="str">
        <f t="shared" si="1"/>
        <v/>
      </c>
      <c r="X12" s="129" t="str">
        <f t="shared" si="11"/>
        <v/>
      </c>
      <c r="Y12" s="129" t="str">
        <f t="shared" si="12"/>
        <v/>
      </c>
      <c r="Z12" s="129" t="str">
        <f t="shared" si="13"/>
        <v/>
      </c>
      <c r="AA12" s="145"/>
      <c r="BA12" s="78"/>
      <c r="BB12" s="132" t="s">
        <v>2216</v>
      </c>
      <c r="BC12" s="133"/>
      <c r="BD12" s="132" t="str">
        <f>IF(OR(B12="",BC12=""),"",COUNTIF(BC$8:BC12,"√"))</f>
        <v/>
      </c>
      <c r="BE12" s="134" t="str">
        <f t="shared" si="2"/>
        <v/>
      </c>
      <c r="BF12" s="135" t="str">
        <f t="shared" si="14"/>
        <v/>
      </c>
      <c r="BG12" s="135" t="str">
        <f t="shared" si="14"/>
        <v/>
      </c>
      <c r="BH12" s="136"/>
      <c r="BI12" s="136"/>
      <c r="BJ12" s="136"/>
      <c r="BK12" s="136"/>
      <c r="BL12" s="137"/>
      <c r="BM12" s="137"/>
      <c r="BP12" s="134" t="str">
        <f>IF(COUNTIF(BP$7:BP11,B12)&gt;0,"",B12)&amp;""</f>
        <v/>
      </c>
      <c r="BQ12" s="138">
        <f t="shared" si="15"/>
        <v>0</v>
      </c>
      <c r="BR12" s="132">
        <f t="shared" si="16"/>
        <v>1</v>
      </c>
      <c r="BS12" s="138">
        <f t="shared" si="17"/>
        <v>0</v>
      </c>
      <c r="BT12" s="132">
        <f t="shared" si="18"/>
        <v>1</v>
      </c>
      <c r="BU12" s="132">
        <v>3</v>
      </c>
      <c r="BV12" s="134" t="str">
        <f t="shared" si="19"/>
        <v/>
      </c>
      <c r="BW12" s="146" t="str">
        <f t="shared" si="20"/>
        <v/>
      </c>
    </row>
    <row r="13" ht="15" customHeight="1" spans="1:75">
      <c r="A13" s="123" t="str">
        <f>IF(B13="","",COUNT(A$7:A12)+1)</f>
        <v/>
      </c>
      <c r="B13" s="139"/>
      <c r="C13" s="139"/>
      <c r="D13" s="141"/>
      <c r="E13" s="141"/>
      <c r="F13" s="142"/>
      <c r="G13" s="127" t="str">
        <f>IFERROR(VLOOKUP(F13,参数表!$H$2:$I$50,2,FALSE),"")</f>
        <v/>
      </c>
      <c r="H13" s="128" t="str">
        <f t="shared" si="4"/>
        <v/>
      </c>
      <c r="I13" s="128" t="str">
        <f t="shared" si="5"/>
        <v/>
      </c>
      <c r="J13" s="980"/>
      <c r="K13" s="143" t="str">
        <f t="shared" si="6"/>
        <v/>
      </c>
      <c r="L13" s="143"/>
      <c r="M13" s="143"/>
      <c r="N13" s="144"/>
      <c r="O13" s="144"/>
      <c r="P13" s="144"/>
      <c r="Q13" s="143"/>
      <c r="R13" s="353" t="str">
        <f t="shared" si="7"/>
        <v/>
      </c>
      <c r="S13" s="129" t="str">
        <f t="shared" si="8"/>
        <v/>
      </c>
      <c r="T13" s="1226" t="str">
        <f t="shared" si="9"/>
        <v/>
      </c>
      <c r="U13" s="1226" t="str">
        <f t="shared" si="10"/>
        <v/>
      </c>
      <c r="V13" s="353" t="str">
        <f t="shared" si="0"/>
        <v/>
      </c>
      <c r="W13" s="129" t="str">
        <f t="shared" si="1"/>
        <v/>
      </c>
      <c r="X13" s="129" t="str">
        <f t="shared" si="11"/>
        <v/>
      </c>
      <c r="Y13" s="129" t="str">
        <f t="shared" si="12"/>
        <v/>
      </c>
      <c r="Z13" s="129" t="str">
        <f t="shared" si="13"/>
        <v/>
      </c>
      <c r="AA13" s="145"/>
      <c r="BA13" s="78"/>
      <c r="BB13" s="132" t="s">
        <v>2217</v>
      </c>
      <c r="BC13" s="133"/>
      <c r="BD13" s="132" t="str">
        <f>IF(OR(B13="",BC13=""),"",COUNTIF(BC$8:BC13,"√"))</f>
        <v/>
      </c>
      <c r="BE13" s="134" t="str">
        <f t="shared" si="2"/>
        <v/>
      </c>
      <c r="BF13" s="135" t="str">
        <f t="shared" si="14"/>
        <v/>
      </c>
      <c r="BG13" s="135" t="str">
        <f t="shared" si="14"/>
        <v/>
      </c>
      <c r="BH13" s="136"/>
      <c r="BI13" s="136"/>
      <c r="BJ13" s="136"/>
      <c r="BK13" s="136"/>
      <c r="BL13" s="137"/>
      <c r="BM13" s="137"/>
      <c r="BP13" s="134" t="str">
        <f>IF(COUNTIF(BP$7:BP12,B13)&gt;0,"",B13)&amp;""</f>
        <v/>
      </c>
      <c r="BQ13" s="138">
        <f t="shared" si="15"/>
        <v>0</v>
      </c>
      <c r="BR13" s="132">
        <f t="shared" si="16"/>
        <v>1</v>
      </c>
      <c r="BS13" s="138">
        <f t="shared" si="17"/>
        <v>0</v>
      </c>
      <c r="BT13" s="132">
        <f t="shared" si="18"/>
        <v>1</v>
      </c>
      <c r="BU13" s="132">
        <v>4</v>
      </c>
      <c r="BV13" s="134" t="str">
        <f t="shared" si="19"/>
        <v/>
      </c>
      <c r="BW13" s="146" t="str">
        <f>IF(BV14="","","和")</f>
        <v/>
      </c>
    </row>
    <row r="14" ht="15" customHeight="1" spans="1:75">
      <c r="A14" s="123" t="str">
        <f>IF(B14="","",COUNT(A$7:A13)+1)</f>
        <v/>
      </c>
      <c r="B14" s="139"/>
      <c r="C14" s="139"/>
      <c r="D14" s="141"/>
      <c r="E14" s="141"/>
      <c r="F14" s="142"/>
      <c r="G14" s="127" t="str">
        <f>IFERROR(VLOOKUP(F14,参数表!$H$2:$I$50,2,FALSE),"")</f>
        <v/>
      </c>
      <c r="H14" s="128" t="str">
        <f t="shared" si="4"/>
        <v/>
      </c>
      <c r="I14" s="128" t="str">
        <f t="shared" si="5"/>
        <v/>
      </c>
      <c r="J14" s="980"/>
      <c r="K14" s="143" t="str">
        <f t="shared" si="6"/>
        <v/>
      </c>
      <c r="L14" s="143"/>
      <c r="M14" s="143"/>
      <c r="N14" s="144"/>
      <c r="O14" s="144"/>
      <c r="P14" s="144"/>
      <c r="Q14" s="143"/>
      <c r="R14" s="353" t="str">
        <f t="shared" si="7"/>
        <v/>
      </c>
      <c r="S14" s="129" t="str">
        <f t="shared" si="8"/>
        <v/>
      </c>
      <c r="T14" s="1226" t="str">
        <f t="shared" si="9"/>
        <v/>
      </c>
      <c r="U14" s="1226" t="str">
        <f t="shared" si="10"/>
        <v/>
      </c>
      <c r="V14" s="353" t="str">
        <f t="shared" si="0"/>
        <v/>
      </c>
      <c r="W14" s="129" t="str">
        <f t="shared" si="1"/>
        <v/>
      </c>
      <c r="X14" s="129" t="str">
        <f t="shared" si="11"/>
        <v/>
      </c>
      <c r="Y14" s="129" t="str">
        <f t="shared" si="12"/>
        <v/>
      </c>
      <c r="Z14" s="129" t="str">
        <f t="shared" si="13"/>
        <v/>
      </c>
      <c r="AA14" s="145"/>
      <c r="BA14" s="78"/>
      <c r="BB14" s="132" t="s">
        <v>2218</v>
      </c>
      <c r="BC14" s="133"/>
      <c r="BD14" s="132" t="str">
        <f>IF(OR(B14="",BC14=""),"",COUNTIF(BC$8:BC14,"√"))</f>
        <v/>
      </c>
      <c r="BE14" s="134" t="str">
        <f t="shared" si="2"/>
        <v/>
      </c>
      <c r="BF14" s="135" t="str">
        <f t="shared" si="14"/>
        <v/>
      </c>
      <c r="BG14" s="135" t="str">
        <f t="shared" si="14"/>
        <v/>
      </c>
      <c r="BH14" s="136"/>
      <c r="BI14" s="136"/>
      <c r="BJ14" s="136"/>
      <c r="BK14" s="136"/>
      <c r="BL14" s="137"/>
      <c r="BM14" s="137"/>
      <c r="BP14" s="134" t="str">
        <f>IF(COUNTIF(BP$7:BP13,B14)&gt;0,"",B14)&amp;""</f>
        <v/>
      </c>
      <c r="BQ14" s="138">
        <f t="shared" si="15"/>
        <v>0</v>
      </c>
      <c r="BR14" s="132">
        <f t="shared" si="16"/>
        <v>1</v>
      </c>
      <c r="BS14" s="138">
        <f t="shared" si="17"/>
        <v>0</v>
      </c>
      <c r="BT14" s="132">
        <f t="shared" si="18"/>
        <v>1</v>
      </c>
      <c r="BU14" s="132">
        <v>5</v>
      </c>
      <c r="BV14" s="134" t="str">
        <f t="shared" si="19"/>
        <v/>
      </c>
      <c r="BW14" s="146"/>
    </row>
    <row r="15" ht="15" customHeight="1" spans="1:75">
      <c r="A15" s="123" t="str">
        <f>IF(B15="","",COUNT(A$7:A14)+1)</f>
        <v/>
      </c>
      <c r="B15" s="139"/>
      <c r="C15" s="139"/>
      <c r="D15" s="141"/>
      <c r="E15" s="141"/>
      <c r="F15" s="142"/>
      <c r="G15" s="127" t="str">
        <f>IFERROR(VLOOKUP(F15,参数表!$H$2:$I$50,2,FALSE),"")</f>
        <v/>
      </c>
      <c r="H15" s="128" t="str">
        <f t="shared" si="4"/>
        <v/>
      </c>
      <c r="I15" s="128" t="str">
        <f t="shared" si="5"/>
        <v/>
      </c>
      <c r="J15" s="980"/>
      <c r="K15" s="143" t="str">
        <f t="shared" si="6"/>
        <v/>
      </c>
      <c r="L15" s="143"/>
      <c r="M15" s="143"/>
      <c r="N15" s="144"/>
      <c r="O15" s="144"/>
      <c r="P15" s="144"/>
      <c r="Q15" s="143"/>
      <c r="R15" s="353" t="str">
        <f t="shared" si="7"/>
        <v/>
      </c>
      <c r="S15" s="129" t="str">
        <f t="shared" si="8"/>
        <v/>
      </c>
      <c r="T15" s="1226" t="str">
        <f t="shared" si="9"/>
        <v/>
      </c>
      <c r="U15" s="1226" t="str">
        <f t="shared" si="10"/>
        <v/>
      </c>
      <c r="V15" s="353" t="str">
        <f t="shared" si="0"/>
        <v/>
      </c>
      <c r="W15" s="129" t="str">
        <f t="shared" si="1"/>
        <v/>
      </c>
      <c r="X15" s="129" t="str">
        <f t="shared" si="11"/>
        <v/>
      </c>
      <c r="Y15" s="129" t="str">
        <f t="shared" si="12"/>
        <v/>
      </c>
      <c r="Z15" s="129" t="str">
        <f t="shared" si="13"/>
        <v/>
      </c>
      <c r="AA15" s="145"/>
      <c r="BA15" s="78"/>
      <c r="BB15" s="132" t="s">
        <v>2219</v>
      </c>
      <c r="BC15" s="133"/>
      <c r="BD15" s="132" t="str">
        <f>IF(OR(B15="",BC15=""),"",COUNTIF(BC$8:BC15,"√"))</f>
        <v/>
      </c>
      <c r="BE15" s="134" t="str">
        <f t="shared" si="2"/>
        <v/>
      </c>
      <c r="BF15" s="135" t="str">
        <f t="shared" si="14"/>
        <v/>
      </c>
      <c r="BG15" s="135" t="str">
        <f t="shared" si="14"/>
        <v/>
      </c>
      <c r="BH15" s="136"/>
      <c r="BI15" s="136"/>
      <c r="BJ15" s="136"/>
      <c r="BK15" s="136"/>
      <c r="BL15" s="137"/>
      <c r="BM15" s="137"/>
      <c r="BP15" s="134" t="str">
        <f>IF(COUNTIF(BP$7:BP14,B15)&gt;0,"",B15)&amp;""</f>
        <v/>
      </c>
      <c r="BQ15" s="138">
        <f t="shared" si="15"/>
        <v>0</v>
      </c>
      <c r="BR15" s="132">
        <f t="shared" si="16"/>
        <v>1</v>
      </c>
      <c r="BS15" s="138">
        <f t="shared" si="17"/>
        <v>0</v>
      </c>
      <c r="BT15" s="132">
        <f t="shared" si="18"/>
        <v>1</v>
      </c>
      <c r="BU15" s="147" t="s">
        <v>1659</v>
      </c>
      <c r="BV15" s="132" t="str">
        <f>CONCATENATE(BV10,BW10,BV11,BW11,BV12,BW12,BV13,BW13,BV14)</f>
        <v/>
      </c>
      <c r="BW15" s="132"/>
    </row>
    <row r="16" ht="15" customHeight="1" spans="1:75">
      <c r="A16" s="123" t="str">
        <f>IF(B16="","",COUNT(A$7:A15)+1)</f>
        <v/>
      </c>
      <c r="B16" s="139"/>
      <c r="C16" s="139"/>
      <c r="D16" s="141"/>
      <c r="E16" s="141"/>
      <c r="F16" s="142"/>
      <c r="G16" s="127" t="str">
        <f>IFERROR(VLOOKUP(F16,参数表!$H$2:$I$50,2,FALSE),"")</f>
        <v/>
      </c>
      <c r="H16" s="128" t="str">
        <f t="shared" si="4"/>
        <v/>
      </c>
      <c r="I16" s="128" t="str">
        <f t="shared" si="5"/>
        <v/>
      </c>
      <c r="J16" s="980"/>
      <c r="K16" s="143" t="str">
        <f t="shared" si="6"/>
        <v/>
      </c>
      <c r="L16" s="143"/>
      <c r="M16" s="143"/>
      <c r="N16" s="144"/>
      <c r="O16" s="144"/>
      <c r="P16" s="144"/>
      <c r="Q16" s="143"/>
      <c r="R16" s="353" t="str">
        <f t="shared" si="7"/>
        <v/>
      </c>
      <c r="S16" s="129" t="str">
        <f t="shared" si="8"/>
        <v/>
      </c>
      <c r="T16" s="1226" t="str">
        <f t="shared" si="9"/>
        <v/>
      </c>
      <c r="U16" s="1226" t="str">
        <f t="shared" si="10"/>
        <v/>
      </c>
      <c r="V16" s="353" t="str">
        <f t="shared" si="0"/>
        <v/>
      </c>
      <c r="W16" s="129" t="str">
        <f t="shared" si="1"/>
        <v/>
      </c>
      <c r="X16" s="129" t="str">
        <f t="shared" si="11"/>
        <v/>
      </c>
      <c r="Y16" s="129" t="str">
        <f t="shared" si="12"/>
        <v/>
      </c>
      <c r="Z16" s="129" t="str">
        <f t="shared" si="13"/>
        <v/>
      </c>
      <c r="AA16" s="145"/>
      <c r="BA16" s="78"/>
      <c r="BB16" s="132" t="s">
        <v>2220</v>
      </c>
      <c r="BC16" s="133"/>
      <c r="BD16" s="132" t="str">
        <f>IF(OR(B16="",BC16=""),"",COUNTIF(BC$8:BC16,"√"))</f>
        <v/>
      </c>
      <c r="BE16" s="134" t="str">
        <f t="shared" si="2"/>
        <v/>
      </c>
      <c r="BF16" s="135" t="str">
        <f t="shared" si="14"/>
        <v/>
      </c>
      <c r="BG16" s="135" t="str">
        <f t="shared" si="14"/>
        <v/>
      </c>
      <c r="BH16" s="136"/>
      <c r="BI16" s="136"/>
      <c r="BJ16" s="136"/>
      <c r="BK16" s="136"/>
      <c r="BL16" s="137"/>
      <c r="BM16" s="137"/>
      <c r="BP16" s="134" t="str">
        <f>IF(COUNTIF(BP$7:BP15,B16)&gt;0,"",B16)&amp;""</f>
        <v/>
      </c>
      <c r="BQ16" s="138">
        <f t="shared" si="15"/>
        <v>0</v>
      </c>
      <c r="BR16" s="132">
        <f t="shared" si="16"/>
        <v>1</v>
      </c>
      <c r="BS16" s="138">
        <f t="shared" si="17"/>
        <v>0</v>
      </c>
      <c r="BT16" s="132">
        <f t="shared" si="18"/>
        <v>1</v>
      </c>
      <c r="BU16" s="133"/>
      <c r="BV16" s="133"/>
    </row>
    <row r="17" ht="15" customHeight="1" spans="1:75">
      <c r="A17" s="123" t="str">
        <f>IF(B17="","",COUNT(A$7:A16)+1)</f>
        <v/>
      </c>
      <c r="B17" s="139"/>
      <c r="C17" s="139"/>
      <c r="D17" s="141"/>
      <c r="E17" s="141"/>
      <c r="F17" s="142"/>
      <c r="G17" s="127" t="str">
        <f>IFERROR(VLOOKUP(F17,参数表!$H$2:$I$50,2,FALSE),"")</f>
        <v/>
      </c>
      <c r="H17" s="128" t="str">
        <f t="shared" si="4"/>
        <v/>
      </c>
      <c r="I17" s="128" t="str">
        <f t="shared" si="5"/>
        <v/>
      </c>
      <c r="J17" s="980"/>
      <c r="K17" s="143" t="str">
        <f t="shared" si="6"/>
        <v/>
      </c>
      <c r="L17" s="143"/>
      <c r="M17" s="143"/>
      <c r="N17" s="144"/>
      <c r="O17" s="144"/>
      <c r="P17" s="144"/>
      <c r="Q17" s="143"/>
      <c r="R17" s="353" t="str">
        <f t="shared" si="7"/>
        <v/>
      </c>
      <c r="S17" s="129" t="str">
        <f t="shared" si="8"/>
        <v/>
      </c>
      <c r="T17" s="1226" t="str">
        <f t="shared" si="9"/>
        <v/>
      </c>
      <c r="U17" s="1226" t="str">
        <f t="shared" si="10"/>
        <v/>
      </c>
      <c r="V17" s="353" t="str">
        <f t="shared" si="0"/>
        <v/>
      </c>
      <c r="W17" s="129" t="str">
        <f t="shared" si="1"/>
        <v/>
      </c>
      <c r="X17" s="129" t="str">
        <f t="shared" si="11"/>
        <v/>
      </c>
      <c r="Y17" s="129" t="str">
        <f t="shared" si="12"/>
        <v/>
      </c>
      <c r="Z17" s="129" t="str">
        <f t="shared" si="13"/>
        <v/>
      </c>
      <c r="AA17" s="145"/>
      <c r="BA17" s="78"/>
      <c r="BB17" s="132" t="s">
        <v>2221</v>
      </c>
      <c r="BC17" s="133"/>
      <c r="BD17" s="132" t="str">
        <f>IF(OR(B17="",BC17=""),"",COUNTIF(BC$8:BC17,"√"))</f>
        <v/>
      </c>
      <c r="BE17" s="134" t="str">
        <f t="shared" si="2"/>
        <v/>
      </c>
      <c r="BF17" s="135" t="str">
        <f t="shared" si="14"/>
        <v/>
      </c>
      <c r="BG17" s="135" t="str">
        <f t="shared" si="14"/>
        <v/>
      </c>
      <c r="BH17" s="136"/>
      <c r="BI17" s="136"/>
      <c r="BJ17" s="136"/>
      <c r="BK17" s="136"/>
      <c r="BL17" s="137"/>
      <c r="BM17" s="137"/>
      <c r="BP17" s="134" t="str">
        <f>IF(COUNTIF(BP$7:BP16,B17)&gt;0,"",B17)&amp;""</f>
        <v/>
      </c>
      <c r="BQ17" s="138">
        <f t="shared" si="15"/>
        <v>0</v>
      </c>
      <c r="BR17" s="132">
        <f t="shared" si="16"/>
        <v>1</v>
      </c>
      <c r="BS17" s="138">
        <f t="shared" si="17"/>
        <v>0</v>
      </c>
      <c r="BT17" s="132">
        <f t="shared" si="18"/>
        <v>1</v>
      </c>
      <c r="BU17" s="133"/>
      <c r="BV17" s="148"/>
    </row>
    <row r="18" ht="15" customHeight="1" spans="1:75">
      <c r="A18" s="123" t="str">
        <f>IF(B18="","",COUNT(A$7:A17)+1)</f>
        <v/>
      </c>
      <c r="B18" s="139"/>
      <c r="C18" s="139"/>
      <c r="D18" s="141"/>
      <c r="E18" s="141"/>
      <c r="F18" s="142"/>
      <c r="G18" s="127" t="str">
        <f>IFERROR(VLOOKUP(F18,参数表!$H$2:$I$50,2,FALSE),"")</f>
        <v/>
      </c>
      <c r="H18" s="128" t="str">
        <f t="shared" si="4"/>
        <v/>
      </c>
      <c r="I18" s="128" t="str">
        <f t="shared" si="5"/>
        <v/>
      </c>
      <c r="J18" s="980"/>
      <c r="K18" s="143" t="str">
        <f t="shared" si="6"/>
        <v/>
      </c>
      <c r="L18" s="143"/>
      <c r="M18" s="143"/>
      <c r="N18" s="144"/>
      <c r="O18" s="144"/>
      <c r="P18" s="144"/>
      <c r="Q18" s="143"/>
      <c r="R18" s="353" t="str">
        <f t="shared" si="7"/>
        <v/>
      </c>
      <c r="S18" s="129" t="str">
        <f t="shared" si="8"/>
        <v/>
      </c>
      <c r="T18" s="1226" t="str">
        <f t="shared" si="9"/>
        <v/>
      </c>
      <c r="U18" s="1226" t="str">
        <f t="shared" si="10"/>
        <v/>
      </c>
      <c r="V18" s="353" t="str">
        <f t="shared" si="0"/>
        <v/>
      </c>
      <c r="W18" s="129" t="str">
        <f t="shared" si="1"/>
        <v/>
      </c>
      <c r="X18" s="129" t="str">
        <f t="shared" si="11"/>
        <v/>
      </c>
      <c r="Y18" s="129" t="str">
        <f t="shared" si="12"/>
        <v/>
      </c>
      <c r="Z18" s="129" t="str">
        <f t="shared" si="13"/>
        <v/>
      </c>
      <c r="AA18" s="145"/>
      <c r="BA18" s="78"/>
      <c r="BB18" s="132" t="s">
        <v>2222</v>
      </c>
      <c r="BC18" s="133"/>
      <c r="BD18" s="132" t="str">
        <f>IF(OR(B18="",BC18=""),"",COUNTIF(BC$8:BC18,"√"))</f>
        <v/>
      </c>
      <c r="BE18" s="134" t="str">
        <f t="shared" si="2"/>
        <v/>
      </c>
      <c r="BF18" s="135" t="str">
        <f t="shared" si="14"/>
        <v/>
      </c>
      <c r="BG18" s="135" t="str">
        <f t="shared" si="14"/>
        <v/>
      </c>
      <c r="BH18" s="136"/>
      <c r="BI18" s="136"/>
      <c r="BJ18" s="136"/>
      <c r="BK18" s="136"/>
      <c r="BL18" s="137"/>
      <c r="BM18" s="137"/>
      <c r="BP18" s="134" t="str">
        <f>IF(COUNTIF(BP$7:BP17,B18)&gt;0,"",B18)&amp;""</f>
        <v/>
      </c>
      <c r="BQ18" s="138">
        <f t="shared" si="15"/>
        <v>0</v>
      </c>
      <c r="BR18" s="132">
        <f t="shared" si="16"/>
        <v>1</v>
      </c>
      <c r="BS18" s="138">
        <f t="shared" si="17"/>
        <v>0</v>
      </c>
      <c r="BT18" s="132">
        <f t="shared" si="18"/>
        <v>1</v>
      </c>
      <c r="BU18" s="133"/>
      <c r="BV18" s="133"/>
    </row>
    <row r="19" ht="15" customHeight="1" spans="1:75">
      <c r="A19" s="123" t="str">
        <f>IF(B19="","",COUNT(A$7:A18)+1)</f>
        <v/>
      </c>
      <c r="B19" s="139"/>
      <c r="C19" s="139"/>
      <c r="D19" s="141"/>
      <c r="E19" s="141"/>
      <c r="F19" s="142"/>
      <c r="G19" s="127" t="str">
        <f>IFERROR(VLOOKUP(F19,参数表!$H$2:$I$50,2,FALSE),"")</f>
        <v/>
      </c>
      <c r="H19" s="128" t="str">
        <f t="shared" si="4"/>
        <v/>
      </c>
      <c r="I19" s="128" t="str">
        <f t="shared" si="5"/>
        <v/>
      </c>
      <c r="J19" s="980"/>
      <c r="K19" s="143" t="str">
        <f t="shared" si="6"/>
        <v/>
      </c>
      <c r="L19" s="143"/>
      <c r="M19" s="143"/>
      <c r="N19" s="144"/>
      <c r="O19" s="144"/>
      <c r="P19" s="144"/>
      <c r="Q19" s="143"/>
      <c r="R19" s="353" t="str">
        <f t="shared" si="7"/>
        <v/>
      </c>
      <c r="S19" s="129" t="str">
        <f t="shared" si="8"/>
        <v/>
      </c>
      <c r="T19" s="1226" t="str">
        <f t="shared" si="9"/>
        <v/>
      </c>
      <c r="U19" s="1226" t="str">
        <f t="shared" si="10"/>
        <v/>
      </c>
      <c r="V19" s="353" t="str">
        <f t="shared" si="0"/>
        <v/>
      </c>
      <c r="W19" s="129" t="str">
        <f t="shared" si="1"/>
        <v/>
      </c>
      <c r="X19" s="129" t="str">
        <f t="shared" si="11"/>
        <v/>
      </c>
      <c r="Y19" s="129" t="str">
        <f t="shared" si="12"/>
        <v/>
      </c>
      <c r="Z19" s="129" t="str">
        <f t="shared" si="13"/>
        <v/>
      </c>
      <c r="AA19" s="145"/>
      <c r="BA19" s="78"/>
      <c r="BB19" s="132" t="s">
        <v>2223</v>
      </c>
      <c r="BC19" s="133"/>
      <c r="BD19" s="132" t="str">
        <f>IF(OR(B19="",BC19=""),"",COUNTIF(BC$8:BC19,"√"))</f>
        <v/>
      </c>
      <c r="BE19" s="134" t="str">
        <f t="shared" si="2"/>
        <v/>
      </c>
      <c r="BF19" s="135" t="str">
        <f t="shared" si="14"/>
        <v/>
      </c>
      <c r="BG19" s="135" t="str">
        <f t="shared" si="14"/>
        <v/>
      </c>
      <c r="BH19" s="136"/>
      <c r="BI19" s="136"/>
      <c r="BJ19" s="136"/>
      <c r="BK19" s="136"/>
      <c r="BL19" s="137"/>
      <c r="BM19" s="137"/>
      <c r="BP19" s="134" t="str">
        <f>IF(COUNTIF(BP$7:BP18,B19)&gt;0,"",B19)&amp;""</f>
        <v/>
      </c>
      <c r="BQ19" s="138">
        <f t="shared" si="15"/>
        <v>0</v>
      </c>
      <c r="BR19" s="132">
        <f t="shared" si="16"/>
        <v>1</v>
      </c>
      <c r="BS19" s="138">
        <f t="shared" si="17"/>
        <v>0</v>
      </c>
      <c r="BT19" s="132">
        <f t="shared" si="18"/>
        <v>1</v>
      </c>
      <c r="BU19" s="133"/>
      <c r="BV19" s="133"/>
    </row>
    <row r="20" ht="15" customHeight="1" spans="1:75">
      <c r="A20" s="123" t="str">
        <f>IF(B20="","",COUNT(A$7:A19)+1)</f>
        <v/>
      </c>
      <c r="B20" s="139"/>
      <c r="C20" s="139"/>
      <c r="D20" s="141"/>
      <c r="E20" s="141"/>
      <c r="F20" s="142"/>
      <c r="G20" s="127" t="str">
        <f>IFERROR(VLOOKUP(F20,参数表!$H$2:$I$50,2,FALSE),"")</f>
        <v/>
      </c>
      <c r="H20" s="128" t="str">
        <f t="shared" si="4"/>
        <v/>
      </c>
      <c r="I20" s="128" t="str">
        <f t="shared" si="5"/>
        <v/>
      </c>
      <c r="J20" s="980"/>
      <c r="K20" s="143" t="str">
        <f t="shared" si="6"/>
        <v/>
      </c>
      <c r="L20" s="143"/>
      <c r="M20" s="143"/>
      <c r="N20" s="144"/>
      <c r="O20" s="144"/>
      <c r="P20" s="144"/>
      <c r="Q20" s="143"/>
      <c r="R20" s="353" t="str">
        <f t="shared" si="7"/>
        <v/>
      </c>
      <c r="S20" s="129" t="str">
        <f t="shared" si="8"/>
        <v/>
      </c>
      <c r="T20" s="1226" t="str">
        <f t="shared" si="9"/>
        <v/>
      </c>
      <c r="U20" s="1226" t="str">
        <f t="shared" si="10"/>
        <v/>
      </c>
      <c r="V20" s="353" t="str">
        <f t="shared" si="0"/>
        <v/>
      </c>
      <c r="W20" s="129" t="str">
        <f t="shared" si="1"/>
        <v/>
      </c>
      <c r="X20" s="129" t="str">
        <f t="shared" si="11"/>
        <v/>
      </c>
      <c r="Y20" s="129" t="str">
        <f t="shared" si="12"/>
        <v/>
      </c>
      <c r="Z20" s="129" t="str">
        <f t="shared" si="13"/>
        <v/>
      </c>
      <c r="AA20" s="145"/>
      <c r="BA20" s="78"/>
      <c r="BB20" s="132" t="s">
        <v>2224</v>
      </c>
      <c r="BC20" s="133"/>
      <c r="BD20" s="132" t="str">
        <f>IF(OR(B20="",BC20=""),"",COUNTIF(BC$8:BC20,"√"))</f>
        <v/>
      </c>
      <c r="BE20" s="134" t="str">
        <f t="shared" si="2"/>
        <v/>
      </c>
      <c r="BF20" s="135" t="str">
        <f t="shared" si="14"/>
        <v/>
      </c>
      <c r="BG20" s="135" t="str">
        <f t="shared" si="14"/>
        <v/>
      </c>
      <c r="BH20" s="136"/>
      <c r="BI20" s="136"/>
      <c r="BJ20" s="136"/>
      <c r="BK20" s="136"/>
      <c r="BL20" s="137"/>
      <c r="BM20" s="137"/>
      <c r="BP20" s="134" t="str">
        <f>IF(COUNTIF(BP$7:BP19,B20)&gt;0,"",B20)&amp;""</f>
        <v/>
      </c>
      <c r="BQ20" s="138">
        <f t="shared" si="15"/>
        <v>0</v>
      </c>
      <c r="BR20" s="132">
        <f t="shared" si="16"/>
        <v>1</v>
      </c>
      <c r="BS20" s="138">
        <f t="shared" si="17"/>
        <v>0</v>
      </c>
      <c r="BT20" s="132">
        <f t="shared" si="18"/>
        <v>1</v>
      </c>
      <c r="BU20" s="133"/>
      <c r="BV20" s="133"/>
    </row>
    <row r="21" ht="15" customHeight="1" spans="1:75">
      <c r="A21" s="123" t="str">
        <f>IF(B21="","",COUNT(A$7:A20)+1)</f>
        <v/>
      </c>
      <c r="B21" s="139"/>
      <c r="C21" s="139"/>
      <c r="D21" s="141"/>
      <c r="E21" s="141"/>
      <c r="F21" s="142"/>
      <c r="G21" s="127" t="str">
        <f>IFERROR(VLOOKUP(F21,参数表!$H$2:$I$50,2,FALSE),"")</f>
        <v/>
      </c>
      <c r="H21" s="128" t="str">
        <f t="shared" si="4"/>
        <v/>
      </c>
      <c r="I21" s="128" t="str">
        <f t="shared" si="5"/>
        <v/>
      </c>
      <c r="J21" s="980"/>
      <c r="K21" s="143" t="str">
        <f t="shared" si="6"/>
        <v/>
      </c>
      <c r="L21" s="143"/>
      <c r="M21" s="143"/>
      <c r="N21" s="144"/>
      <c r="O21" s="144"/>
      <c r="P21" s="144"/>
      <c r="Q21" s="143"/>
      <c r="R21" s="353" t="str">
        <f t="shared" si="7"/>
        <v/>
      </c>
      <c r="S21" s="129" t="str">
        <f t="shared" si="8"/>
        <v/>
      </c>
      <c r="T21" s="1226" t="str">
        <f t="shared" si="9"/>
        <v/>
      </c>
      <c r="U21" s="1226" t="str">
        <f t="shared" si="10"/>
        <v/>
      </c>
      <c r="V21" s="353" t="str">
        <f t="shared" si="0"/>
        <v/>
      </c>
      <c r="W21" s="129" t="str">
        <f t="shared" si="1"/>
        <v/>
      </c>
      <c r="X21" s="129" t="str">
        <f t="shared" si="11"/>
        <v/>
      </c>
      <c r="Y21" s="129" t="str">
        <f t="shared" si="12"/>
        <v/>
      </c>
      <c r="Z21" s="129" t="str">
        <f t="shared" si="13"/>
        <v/>
      </c>
      <c r="AA21" s="145"/>
      <c r="BA21" s="78"/>
      <c r="BB21" s="132" t="s">
        <v>2225</v>
      </c>
      <c r="BC21" s="133"/>
      <c r="BD21" s="132" t="str">
        <f>IF(OR(B21="",BC21=""),"",COUNTIF(BC$8:BC21,"√"))</f>
        <v/>
      </c>
      <c r="BE21" s="134" t="str">
        <f t="shared" si="2"/>
        <v/>
      </c>
      <c r="BF21" s="135" t="str">
        <f t="shared" si="14"/>
        <v/>
      </c>
      <c r="BG21" s="135" t="str">
        <f t="shared" si="14"/>
        <v/>
      </c>
      <c r="BH21" s="136"/>
      <c r="BI21" s="136"/>
      <c r="BJ21" s="136"/>
      <c r="BK21" s="136"/>
      <c r="BL21" s="137"/>
      <c r="BM21" s="137"/>
      <c r="BP21" s="134" t="str">
        <f>IF(COUNTIF(BP$7:BP20,B21)&gt;0,"",B21)&amp;""</f>
        <v/>
      </c>
      <c r="BQ21" s="138">
        <f t="shared" si="15"/>
        <v>0</v>
      </c>
      <c r="BR21" s="132">
        <f t="shared" si="16"/>
        <v>1</v>
      </c>
      <c r="BS21" s="138">
        <f t="shared" si="17"/>
        <v>0</v>
      </c>
      <c r="BT21" s="132">
        <f t="shared" si="18"/>
        <v>1</v>
      </c>
      <c r="BU21" s="133"/>
      <c r="BV21" s="133"/>
    </row>
    <row r="22" ht="15" customHeight="1" spans="1:75">
      <c r="A22" s="123" t="str">
        <f>IF(B22="","",COUNT(A$7:A21)+1)</f>
        <v/>
      </c>
      <c r="B22" s="139"/>
      <c r="C22" s="139"/>
      <c r="D22" s="141"/>
      <c r="E22" s="141"/>
      <c r="F22" s="142"/>
      <c r="G22" s="127" t="str">
        <f>IFERROR(VLOOKUP(F22,参数表!$H$2:$I$50,2,FALSE),"")</f>
        <v/>
      </c>
      <c r="H22" s="128" t="str">
        <f t="shared" si="4"/>
        <v/>
      </c>
      <c r="I22" s="128" t="str">
        <f t="shared" si="5"/>
        <v/>
      </c>
      <c r="J22" s="980"/>
      <c r="K22" s="143" t="str">
        <f t="shared" si="6"/>
        <v/>
      </c>
      <c r="L22" s="143"/>
      <c r="M22" s="143"/>
      <c r="N22" s="144"/>
      <c r="O22" s="144"/>
      <c r="P22" s="144"/>
      <c r="Q22" s="143"/>
      <c r="R22" s="353" t="str">
        <f t="shared" si="7"/>
        <v/>
      </c>
      <c r="S22" s="129" t="str">
        <f t="shared" si="8"/>
        <v/>
      </c>
      <c r="T22" s="1226" t="str">
        <f t="shared" si="9"/>
        <v/>
      </c>
      <c r="U22" s="1226" t="str">
        <f t="shared" si="10"/>
        <v/>
      </c>
      <c r="V22" s="353" t="str">
        <f t="shared" si="0"/>
        <v/>
      </c>
      <c r="W22" s="129" t="str">
        <f t="shared" si="1"/>
        <v/>
      </c>
      <c r="X22" s="129" t="str">
        <f t="shared" si="11"/>
        <v/>
      </c>
      <c r="Y22" s="129" t="str">
        <f t="shared" si="12"/>
        <v/>
      </c>
      <c r="Z22" s="129" t="str">
        <f t="shared" si="13"/>
        <v/>
      </c>
      <c r="AA22" s="145"/>
      <c r="BA22" s="78"/>
      <c r="BB22" s="132" t="s">
        <v>2226</v>
      </c>
      <c r="BC22" s="133"/>
      <c r="BD22" s="132" t="str">
        <f>IF(OR(B22="",BC22=""),"",COUNTIF(BC$8:BC22,"√"))</f>
        <v/>
      </c>
      <c r="BE22" s="134" t="str">
        <f t="shared" si="2"/>
        <v/>
      </c>
      <c r="BF22" s="135" t="str">
        <f t="shared" si="14"/>
        <v/>
      </c>
      <c r="BG22" s="135" t="str">
        <f t="shared" si="14"/>
        <v/>
      </c>
      <c r="BH22" s="136"/>
      <c r="BI22" s="136"/>
      <c r="BJ22" s="136"/>
      <c r="BK22" s="136"/>
      <c r="BL22" s="137"/>
      <c r="BM22" s="137"/>
      <c r="BP22" s="134" t="str">
        <f>IF(COUNTIF(BP$7:BP21,B22)&gt;0,"",B22)&amp;""</f>
        <v/>
      </c>
      <c r="BQ22" s="138">
        <f t="shared" si="15"/>
        <v>0</v>
      </c>
      <c r="BR22" s="132">
        <f t="shared" si="16"/>
        <v>1</v>
      </c>
      <c r="BS22" s="138">
        <f t="shared" si="17"/>
        <v>0</v>
      </c>
      <c r="BT22" s="132">
        <f t="shared" si="18"/>
        <v>1</v>
      </c>
      <c r="BU22" s="133"/>
      <c r="BV22" s="133"/>
    </row>
    <row r="23" ht="15" customHeight="1" spans="1:75">
      <c r="A23" s="123" t="str">
        <f>IF(B23="","",COUNT(A$7:A22)+1)</f>
        <v/>
      </c>
      <c r="B23" s="139"/>
      <c r="C23" s="139"/>
      <c r="D23" s="141"/>
      <c r="E23" s="141"/>
      <c r="F23" s="142"/>
      <c r="G23" s="127" t="str">
        <f>IFERROR(VLOOKUP(F23,参数表!$H$2:$I$50,2,FALSE),"")</f>
        <v/>
      </c>
      <c r="H23" s="128" t="str">
        <f t="shared" si="4"/>
        <v/>
      </c>
      <c r="I23" s="128" t="str">
        <f t="shared" si="5"/>
        <v/>
      </c>
      <c r="J23" s="980"/>
      <c r="K23" s="143" t="str">
        <f t="shared" si="6"/>
        <v/>
      </c>
      <c r="L23" s="143"/>
      <c r="M23" s="143"/>
      <c r="N23" s="144"/>
      <c r="O23" s="144"/>
      <c r="P23" s="144"/>
      <c r="Q23" s="143"/>
      <c r="R23" s="353" t="str">
        <f t="shared" si="7"/>
        <v/>
      </c>
      <c r="S23" s="129" t="str">
        <f t="shared" si="8"/>
        <v/>
      </c>
      <c r="T23" s="1226" t="str">
        <f t="shared" si="9"/>
        <v/>
      </c>
      <c r="U23" s="1226" t="str">
        <f t="shared" si="10"/>
        <v/>
      </c>
      <c r="V23" s="353" t="str">
        <f t="shared" si="0"/>
        <v/>
      </c>
      <c r="W23" s="129" t="str">
        <f t="shared" si="1"/>
        <v/>
      </c>
      <c r="X23" s="129" t="str">
        <f t="shared" si="11"/>
        <v/>
      </c>
      <c r="Y23" s="129" t="str">
        <f t="shared" si="12"/>
        <v/>
      </c>
      <c r="Z23" s="129" t="str">
        <f t="shared" si="13"/>
        <v/>
      </c>
      <c r="AA23" s="145"/>
      <c r="BA23" s="78"/>
      <c r="BB23" s="132" t="s">
        <v>2227</v>
      </c>
      <c r="BC23" s="133"/>
      <c r="BD23" s="132" t="str">
        <f>IF(OR(B23="",BC23=""),"",COUNTIF(BC$8:BC23,"√"))</f>
        <v/>
      </c>
      <c r="BE23" s="134" t="str">
        <f t="shared" si="2"/>
        <v/>
      </c>
      <c r="BF23" s="135" t="str">
        <f t="shared" si="14"/>
        <v/>
      </c>
      <c r="BG23" s="135" t="str">
        <f t="shared" si="14"/>
        <v/>
      </c>
      <c r="BH23" s="136"/>
      <c r="BI23" s="136"/>
      <c r="BJ23" s="136"/>
      <c r="BK23" s="136"/>
      <c r="BL23" s="137"/>
      <c r="BM23" s="137"/>
      <c r="BP23" s="134" t="str">
        <f>IF(COUNTIF(BP$7:BP22,B23)&gt;0,"",B23)&amp;""</f>
        <v/>
      </c>
      <c r="BQ23" s="138">
        <f t="shared" si="15"/>
        <v>0</v>
      </c>
      <c r="BR23" s="132">
        <f t="shared" si="16"/>
        <v>1</v>
      </c>
      <c r="BS23" s="138">
        <f t="shared" si="17"/>
        <v>0</v>
      </c>
      <c r="BT23" s="132">
        <f t="shared" si="18"/>
        <v>1</v>
      </c>
      <c r="BU23" s="133"/>
      <c r="BV23" s="133"/>
    </row>
    <row r="24" ht="15" customHeight="1" spans="1:75">
      <c r="A24" s="123" t="str">
        <f>IF(B24="","",COUNT(A$7:A23)+1)</f>
        <v/>
      </c>
      <c r="B24" s="139"/>
      <c r="C24" s="139"/>
      <c r="D24" s="141"/>
      <c r="E24" s="141"/>
      <c r="F24" s="142"/>
      <c r="G24" s="127" t="str">
        <f>IFERROR(VLOOKUP(F24,参数表!$H$2:$I$50,2,FALSE),"")</f>
        <v/>
      </c>
      <c r="H24" s="128" t="str">
        <f t="shared" si="4"/>
        <v/>
      </c>
      <c r="I24" s="128" t="str">
        <f t="shared" si="5"/>
        <v/>
      </c>
      <c r="J24" s="980"/>
      <c r="K24" s="143" t="str">
        <f t="shared" si="6"/>
        <v/>
      </c>
      <c r="L24" s="143"/>
      <c r="M24" s="143"/>
      <c r="N24" s="144"/>
      <c r="O24" s="144"/>
      <c r="P24" s="144"/>
      <c r="Q24" s="143"/>
      <c r="R24" s="353" t="str">
        <f t="shared" si="7"/>
        <v/>
      </c>
      <c r="S24" s="129" t="str">
        <f t="shared" si="8"/>
        <v/>
      </c>
      <c r="T24" s="1226" t="str">
        <f t="shared" si="9"/>
        <v/>
      </c>
      <c r="U24" s="1226" t="str">
        <f t="shared" si="10"/>
        <v/>
      </c>
      <c r="V24" s="353" t="str">
        <f t="shared" si="0"/>
        <v/>
      </c>
      <c r="W24" s="129" t="str">
        <f t="shared" si="1"/>
        <v/>
      </c>
      <c r="X24" s="129" t="str">
        <f t="shared" si="11"/>
        <v/>
      </c>
      <c r="Y24" s="129" t="str">
        <f t="shared" si="12"/>
        <v/>
      </c>
      <c r="Z24" s="129" t="str">
        <f t="shared" si="13"/>
        <v/>
      </c>
      <c r="AA24" s="145"/>
      <c r="BA24" s="78"/>
      <c r="BB24" s="132" t="s">
        <v>2228</v>
      </c>
      <c r="BC24" s="133"/>
      <c r="BD24" s="132" t="str">
        <f>IF(OR(B24="",BC24=""),"",COUNTIF(BC$8:BC24,"√"))</f>
        <v/>
      </c>
      <c r="BE24" s="134" t="str">
        <f t="shared" si="2"/>
        <v/>
      </c>
      <c r="BF24" s="135" t="str">
        <f t="shared" si="14"/>
        <v/>
      </c>
      <c r="BG24" s="135" t="str">
        <f t="shared" si="14"/>
        <v/>
      </c>
      <c r="BH24" s="136"/>
      <c r="BI24" s="136"/>
      <c r="BJ24" s="136"/>
      <c r="BK24" s="136"/>
      <c r="BL24" s="137"/>
      <c r="BM24" s="137"/>
      <c r="BP24" s="134" t="str">
        <f>IF(COUNTIF(BP$7:BP23,B24)&gt;0,"",B24)&amp;""</f>
        <v/>
      </c>
      <c r="BQ24" s="138">
        <f t="shared" si="15"/>
        <v>0</v>
      </c>
      <c r="BR24" s="132">
        <f t="shared" si="16"/>
        <v>1</v>
      </c>
      <c r="BS24" s="138">
        <f t="shared" si="17"/>
        <v>0</v>
      </c>
      <c r="BT24" s="132">
        <f t="shared" si="18"/>
        <v>1</v>
      </c>
      <c r="BU24" s="133"/>
      <c r="BV24" s="133"/>
    </row>
    <row r="25" ht="15" customHeight="1" spans="1:75">
      <c r="A25" s="123" t="str">
        <f>IF(B25="","",COUNT(A$7:A24)+1)</f>
        <v/>
      </c>
      <c r="B25" s="139"/>
      <c r="C25" s="139"/>
      <c r="D25" s="141"/>
      <c r="E25" s="141"/>
      <c r="F25" s="142"/>
      <c r="G25" s="127" t="str">
        <f>IFERROR(VLOOKUP(F25,参数表!$H$2:$I$50,2,FALSE),"")</f>
        <v/>
      </c>
      <c r="H25" s="128" t="str">
        <f t="shared" si="4"/>
        <v/>
      </c>
      <c r="I25" s="128" t="str">
        <f t="shared" si="5"/>
        <v/>
      </c>
      <c r="J25" s="980"/>
      <c r="K25" s="143" t="str">
        <f t="shared" si="6"/>
        <v/>
      </c>
      <c r="L25" s="143"/>
      <c r="M25" s="143"/>
      <c r="N25" s="144"/>
      <c r="O25" s="144"/>
      <c r="P25" s="144"/>
      <c r="Q25" s="143"/>
      <c r="R25" s="353" t="str">
        <f t="shared" si="7"/>
        <v/>
      </c>
      <c r="S25" s="129" t="str">
        <f t="shared" si="8"/>
        <v/>
      </c>
      <c r="T25" s="1226" t="str">
        <f t="shared" si="9"/>
        <v/>
      </c>
      <c r="U25" s="1226" t="str">
        <f t="shared" si="10"/>
        <v/>
      </c>
      <c r="V25" s="353" t="str">
        <f t="shared" si="0"/>
        <v/>
      </c>
      <c r="W25" s="129" t="str">
        <f t="shared" si="1"/>
        <v/>
      </c>
      <c r="X25" s="129" t="str">
        <f t="shared" si="11"/>
        <v/>
      </c>
      <c r="Y25" s="129" t="str">
        <f t="shared" si="12"/>
        <v/>
      </c>
      <c r="Z25" s="129" t="str">
        <f t="shared" si="13"/>
        <v/>
      </c>
      <c r="AA25" s="145"/>
      <c r="BA25" s="78"/>
      <c r="BB25" s="132" t="s">
        <v>2229</v>
      </c>
      <c r="BC25" s="133"/>
      <c r="BD25" s="132" t="str">
        <f>IF(OR(B25="",BC25=""),"",COUNTIF(BC$8:BC25,"√"))</f>
        <v/>
      </c>
      <c r="BE25" s="134" t="str">
        <f t="shared" si="2"/>
        <v/>
      </c>
      <c r="BF25" s="135" t="str">
        <f t="shared" si="14"/>
        <v/>
      </c>
      <c r="BG25" s="135" t="str">
        <f t="shared" si="14"/>
        <v/>
      </c>
      <c r="BH25" s="136"/>
      <c r="BI25" s="136"/>
      <c r="BJ25" s="136"/>
      <c r="BK25" s="136"/>
      <c r="BL25" s="137"/>
      <c r="BM25" s="137"/>
      <c r="BP25" s="134" t="str">
        <f>IF(COUNTIF(BP$7:BP24,B25)&gt;0,"",B25)&amp;""</f>
        <v/>
      </c>
      <c r="BQ25" s="138">
        <f t="shared" si="15"/>
        <v>0</v>
      </c>
      <c r="BR25" s="132">
        <f t="shared" si="16"/>
        <v>1</v>
      </c>
      <c r="BS25" s="138">
        <f t="shared" si="17"/>
        <v>0</v>
      </c>
      <c r="BT25" s="132">
        <f t="shared" si="18"/>
        <v>1</v>
      </c>
      <c r="BU25" s="133"/>
      <c r="BV25" s="133"/>
    </row>
    <row r="26" ht="15" customHeight="1" spans="1:75">
      <c r="A26" s="123" t="str">
        <f>IF(B26="","",COUNT(A$7:A25)+1)</f>
        <v/>
      </c>
      <c r="B26" s="139"/>
      <c r="C26" s="139"/>
      <c r="D26" s="141"/>
      <c r="E26" s="141"/>
      <c r="F26" s="142"/>
      <c r="G26" s="127" t="str">
        <f>IFERROR(VLOOKUP(F26,参数表!$H$2:$I$50,2,FALSE),"")</f>
        <v/>
      </c>
      <c r="H26" s="128" t="str">
        <f t="shared" si="4"/>
        <v/>
      </c>
      <c r="I26" s="128" t="str">
        <f t="shared" si="5"/>
        <v/>
      </c>
      <c r="J26" s="980"/>
      <c r="K26" s="143" t="str">
        <f t="shared" si="6"/>
        <v/>
      </c>
      <c r="L26" s="143"/>
      <c r="M26" s="143"/>
      <c r="N26" s="144"/>
      <c r="O26" s="144"/>
      <c r="P26" s="144"/>
      <c r="Q26" s="143"/>
      <c r="R26" s="353" t="str">
        <f t="shared" si="7"/>
        <v/>
      </c>
      <c r="S26" s="129" t="str">
        <f t="shared" si="8"/>
        <v/>
      </c>
      <c r="T26" s="1226" t="str">
        <f t="shared" si="9"/>
        <v/>
      </c>
      <c r="U26" s="1226" t="str">
        <f t="shared" si="10"/>
        <v/>
      </c>
      <c r="V26" s="353" t="str">
        <f t="shared" si="0"/>
        <v/>
      </c>
      <c r="W26" s="129" t="str">
        <f t="shared" si="1"/>
        <v/>
      </c>
      <c r="X26" s="129" t="str">
        <f t="shared" si="11"/>
        <v/>
      </c>
      <c r="Y26" s="129" t="str">
        <f t="shared" si="12"/>
        <v/>
      </c>
      <c r="Z26" s="129" t="str">
        <f t="shared" si="13"/>
        <v/>
      </c>
      <c r="AA26" s="145"/>
      <c r="BA26" s="78"/>
      <c r="BB26" s="132" t="s">
        <v>2230</v>
      </c>
      <c r="BC26" s="133"/>
      <c r="BD26" s="132" t="str">
        <f>IF(OR(B26="",BC26=""),"",COUNTIF(BC$8:BC26,"√"))</f>
        <v/>
      </c>
      <c r="BE26" s="134" t="str">
        <f t="shared" si="2"/>
        <v/>
      </c>
      <c r="BF26" s="135" t="str">
        <f t="shared" si="14"/>
        <v/>
      </c>
      <c r="BG26" s="135" t="str">
        <f t="shared" si="14"/>
        <v/>
      </c>
      <c r="BH26" s="136"/>
      <c r="BI26" s="136"/>
      <c r="BJ26" s="136"/>
      <c r="BK26" s="136"/>
      <c r="BL26" s="137"/>
      <c r="BM26" s="137"/>
      <c r="BP26" s="134" t="str">
        <f>IF(COUNTIF(BP$7:BP25,B26)&gt;0,"",B26)&amp;""</f>
        <v/>
      </c>
      <c r="BQ26" s="138">
        <f t="shared" si="15"/>
        <v>0</v>
      </c>
      <c r="BR26" s="132">
        <f t="shared" si="16"/>
        <v>1</v>
      </c>
      <c r="BS26" s="138">
        <f t="shared" si="17"/>
        <v>0</v>
      </c>
      <c r="BT26" s="132">
        <f t="shared" si="18"/>
        <v>1</v>
      </c>
      <c r="BU26" s="133"/>
      <c r="BV26" s="133"/>
    </row>
    <row r="27" ht="15" customHeight="1" spans="1:75">
      <c r="A27" s="123" t="str">
        <f>IF(B27="","",COUNT(A$7:A26)+1)</f>
        <v/>
      </c>
      <c r="B27" s="124"/>
      <c r="C27" s="124"/>
      <c r="D27" s="126"/>
      <c r="E27" s="126"/>
      <c r="F27" s="127"/>
      <c r="G27" s="127" t="str">
        <f>IFERROR(VLOOKUP(F27,参数表!$H$2:$I$50,2,FALSE),"")</f>
        <v/>
      </c>
      <c r="H27" s="128" t="str">
        <f t="shared" si="4"/>
        <v/>
      </c>
      <c r="I27" s="128" t="str">
        <f t="shared" si="5"/>
        <v/>
      </c>
      <c r="J27" s="353"/>
      <c r="K27" s="129" t="str">
        <f t="shared" si="6"/>
        <v/>
      </c>
      <c r="L27" s="129"/>
      <c r="M27" s="129"/>
      <c r="N27" s="130"/>
      <c r="O27" s="130"/>
      <c r="P27" s="130"/>
      <c r="Q27" s="129"/>
      <c r="R27" s="353" t="str">
        <f t="shared" si="7"/>
        <v/>
      </c>
      <c r="S27" s="129" t="str">
        <f t="shared" si="8"/>
        <v/>
      </c>
      <c r="T27" s="1226" t="str">
        <f t="shared" si="9"/>
        <v/>
      </c>
      <c r="U27" s="1226" t="str">
        <f t="shared" si="10"/>
        <v/>
      </c>
      <c r="V27" s="353" t="str">
        <f t="shared" si="0"/>
        <v/>
      </c>
      <c r="W27" s="129" t="str">
        <f t="shared" si="1"/>
        <v/>
      </c>
      <c r="X27" s="129" t="str">
        <f t="shared" si="11"/>
        <v/>
      </c>
      <c r="Y27" s="129" t="str">
        <f t="shared" si="12"/>
        <v/>
      </c>
      <c r="Z27" s="129" t="str">
        <f t="shared" si="13"/>
        <v/>
      </c>
      <c r="AA27" s="131"/>
      <c r="BA27" s="78"/>
      <c r="BB27" s="132" t="s">
        <v>2231</v>
      </c>
      <c r="BC27" s="133"/>
      <c r="BD27" s="132" t="str">
        <f>IF(OR(B27="",BC27=""),"",COUNTIF(BC$8:BC27,"√"))</f>
        <v/>
      </c>
      <c r="BE27" s="134" t="str">
        <f t="shared" si="2"/>
        <v/>
      </c>
      <c r="BF27" s="135" t="str">
        <f t="shared" si="14"/>
        <v/>
      </c>
      <c r="BG27" s="135" t="str">
        <f t="shared" si="14"/>
        <v/>
      </c>
      <c r="BH27" s="136"/>
      <c r="BI27" s="136"/>
      <c r="BJ27" s="136"/>
      <c r="BK27" s="136"/>
      <c r="BL27" s="137"/>
      <c r="BM27" s="137"/>
      <c r="BP27" s="134" t="str">
        <f>IF(COUNTIF(BP$7:BP26,B27)&gt;0,"",B27)&amp;""</f>
        <v/>
      </c>
      <c r="BQ27" s="138">
        <f t="shared" si="15"/>
        <v>0</v>
      </c>
      <c r="BR27" s="132">
        <f t="shared" si="16"/>
        <v>1</v>
      </c>
      <c r="BS27" s="138">
        <f t="shared" si="17"/>
        <v>0</v>
      </c>
      <c r="BT27" s="132">
        <f t="shared" si="18"/>
        <v>1</v>
      </c>
      <c r="BU27" s="133"/>
      <c r="BV27" s="133"/>
    </row>
    <row r="28" ht="15" customHeight="1" spans="1:75">
      <c r="A28" s="221" t="s">
        <v>1954</v>
      </c>
      <c r="B28" s="221"/>
      <c r="C28" s="124"/>
      <c r="D28" s="126"/>
      <c r="E28" s="126"/>
      <c r="F28" s="131"/>
      <c r="G28" s="131"/>
      <c r="H28" s="131"/>
      <c r="I28" s="131"/>
      <c r="J28" s="353"/>
      <c r="K28" s="129" t="str">
        <f t="shared" si="6"/>
        <v/>
      </c>
      <c r="L28" s="152">
        <f>SUM(L8:L27)</f>
        <v>0</v>
      </c>
      <c r="M28" s="152">
        <f>SUM(M8:M27)</f>
        <v>0</v>
      </c>
      <c r="N28" s="153"/>
      <c r="O28" s="153"/>
      <c r="P28" s="153"/>
      <c r="Q28" s="129"/>
      <c r="R28" s="353"/>
      <c r="S28" s="129" t="str">
        <f>IF(R28=0,"",T28/R28)</f>
        <v/>
      </c>
      <c r="T28" s="152">
        <f>SUM(T8:T27)</f>
        <v>0</v>
      </c>
      <c r="U28" s="152">
        <f>SUM(U8:U27)</f>
        <v>0</v>
      </c>
      <c r="V28" s="353"/>
      <c r="W28" s="129"/>
      <c r="X28" s="152">
        <f>SUM(X8:X27)</f>
        <v>0</v>
      </c>
      <c r="Y28" s="152">
        <f t="shared" si="12"/>
        <v>0</v>
      </c>
      <c r="Z28" s="152" t="str">
        <f t="shared" si="13"/>
        <v/>
      </c>
      <c r="AA28" s="131"/>
      <c r="BC28" s="75"/>
      <c r="BD28" s="75"/>
      <c r="BE28" s="75"/>
      <c r="BH28" s="165"/>
      <c r="BI28" s="165"/>
      <c r="BJ28" s="165"/>
      <c r="BK28" s="165"/>
      <c r="BO28" s="111"/>
      <c r="BP28" s="119"/>
      <c r="BR28" s="77"/>
      <c r="BS28" s="77"/>
      <c r="BT28" s="119"/>
      <c r="BU28" s="119"/>
      <c r="BV28" s="119"/>
      <c r="BW28" s="111"/>
    </row>
    <row r="29" ht="15" customHeight="1" spans="1:75">
      <c r="A29" s="982" t="s">
        <v>2205</v>
      </c>
      <c r="B29" s="982"/>
      <c r="C29" s="124"/>
      <c r="D29" s="126"/>
      <c r="E29" s="126"/>
      <c r="F29" s="131"/>
      <c r="G29" s="131"/>
      <c r="H29" s="131"/>
      <c r="I29" s="131"/>
      <c r="J29" s="129"/>
      <c r="K29" s="129"/>
      <c r="L29" s="129">
        <f>M28</f>
        <v>0</v>
      </c>
      <c r="M29" s="129"/>
      <c r="N29" s="130"/>
      <c r="O29" s="130"/>
      <c r="P29" s="130"/>
      <c r="Q29" s="129"/>
      <c r="R29" s="1226"/>
      <c r="S29" s="1226"/>
      <c r="T29" s="1226">
        <f>U28</f>
        <v>0</v>
      </c>
      <c r="U29" s="1226"/>
      <c r="V29" s="129"/>
      <c r="W29" s="129"/>
      <c r="X29" s="129"/>
      <c r="Y29" s="129">
        <f t="shared" si="12"/>
        <v>0</v>
      </c>
      <c r="Z29" s="129" t="str">
        <f t="shared" si="13"/>
        <v/>
      </c>
      <c r="AA29" s="131"/>
      <c r="BC29" s="75"/>
      <c r="BD29" s="75"/>
      <c r="BE29" s="75"/>
      <c r="BH29" s="165"/>
      <c r="BI29" s="165"/>
      <c r="BJ29" s="165"/>
      <c r="BK29" s="165"/>
    </row>
    <row r="30" s="73" customFormat="1" ht="15" customHeight="1" spans="1:75">
      <c r="A30" s="221" t="s">
        <v>1957</v>
      </c>
      <c r="B30" s="221"/>
      <c r="C30" s="149"/>
      <c r="D30" s="149"/>
      <c r="E30" s="149"/>
      <c r="F30" s="151"/>
      <c r="G30" s="151"/>
      <c r="H30" s="151"/>
      <c r="I30" s="151"/>
      <c r="J30" s="152"/>
      <c r="K30" s="152"/>
      <c r="L30" s="152">
        <f>L28-L29</f>
        <v>0</v>
      </c>
      <c r="M30" s="152"/>
      <c r="N30" s="153"/>
      <c r="O30" s="153"/>
      <c r="P30" s="153"/>
      <c r="Q30" s="152"/>
      <c r="R30" s="152"/>
      <c r="S30" s="152"/>
      <c r="T30" s="152">
        <f>T28-T29</f>
        <v>0</v>
      </c>
      <c r="U30" s="152"/>
      <c r="V30" s="152"/>
      <c r="W30" s="152"/>
      <c r="X30" s="152">
        <f>X28-X29</f>
        <v>0</v>
      </c>
      <c r="Y30" s="152">
        <f t="shared" si="12"/>
        <v>0</v>
      </c>
      <c r="Z30" s="152" t="str">
        <f t="shared" si="13"/>
        <v/>
      </c>
      <c r="AA30" s="151"/>
      <c r="BH30" s="72"/>
      <c r="BI30" s="72"/>
      <c r="BJ30" s="72"/>
      <c r="BK30" s="72"/>
      <c r="BO30" s="77"/>
      <c r="BP30" s="78"/>
      <c r="BQ30" s="77"/>
      <c r="BR30" s="78"/>
      <c r="BS30" s="78"/>
      <c r="BT30" s="78"/>
      <c r="BU30" s="78"/>
      <c r="BV30" s="78"/>
      <c r="BW30" s="77"/>
    </row>
    <row r="31" customHeight="1" spans="1:75">
      <c r="A31" s="102" t="str">
        <f>参数表!F$6</f>
        <v>产权持有单位填表人：贾广东</v>
      </c>
      <c r="B31" s="1264"/>
      <c r="C31" s="154"/>
      <c r="D31" s="286"/>
      <c r="E31" s="286"/>
      <c r="F31" s="154"/>
      <c r="G31" s="154"/>
      <c r="H31" s="154"/>
      <c r="I31" s="154"/>
      <c r="J31" s="154"/>
      <c r="K31" s="103"/>
      <c r="L31" s="103"/>
      <c r="M31" s="103"/>
      <c r="N31" s="104"/>
      <c r="O31" s="104"/>
      <c r="P31" s="104"/>
      <c r="Q31" s="103"/>
      <c r="R31" s="1239"/>
      <c r="S31" s="1239"/>
      <c r="T31" s="1239"/>
      <c r="U31" s="1239"/>
      <c r="V31" s="103"/>
      <c r="W31" s="103"/>
      <c r="X31" s="103" t="str">
        <f>"评估人员："&amp;封面!$G$20</f>
        <v>评估人员：栗祥宁</v>
      </c>
      <c r="Y31" s="103"/>
      <c r="Z31" s="103"/>
      <c r="AA31" s="103"/>
      <c r="BC31" s="75"/>
      <c r="BD31" s="75"/>
      <c r="BE31" s="75"/>
      <c r="BH31" s="165"/>
      <c r="BI31" s="165"/>
      <c r="BJ31" s="165"/>
      <c r="BK31" s="165"/>
    </row>
    <row r="32" customHeight="1" spans="1:75">
      <c r="A32" s="102" t="str">
        <f>参数表!F$7</f>
        <v>填表日期：2025年9月20日</v>
      </c>
      <c r="B32" s="154"/>
      <c r="C32" s="154"/>
      <c r="D32" s="286"/>
      <c r="E32" s="286"/>
      <c r="F32" s="154"/>
      <c r="G32" s="154"/>
      <c r="H32" s="154"/>
      <c r="I32" s="154"/>
      <c r="J32" s="154"/>
      <c r="K32" s="103"/>
      <c r="L32" s="103"/>
      <c r="M32" s="103"/>
      <c r="N32" s="104"/>
      <c r="O32" s="104"/>
      <c r="P32" s="104"/>
      <c r="Q32" s="103"/>
      <c r="R32" s="1239"/>
      <c r="S32" s="1239"/>
      <c r="T32" s="1239"/>
      <c r="U32" s="1239"/>
      <c r="V32" s="103"/>
      <c r="W32" s="103"/>
      <c r="X32" s="103"/>
      <c r="Y32" s="103"/>
      <c r="Z32" s="103"/>
      <c r="AA32" s="103"/>
      <c r="BC32" s="75"/>
      <c r="BD32" s="75"/>
      <c r="BE32" s="75"/>
      <c r="BH32" s="165"/>
      <c r="BI32" s="165"/>
      <c r="BJ32" s="165"/>
      <c r="BK32" s="165"/>
    </row>
    <row r="33" s="165" customFormat="1" hidden="1" customHeight="1" outlineLevel="1" spans="1:75">
      <c r="A33" s="1237">
        <f t="shared" ref="A33:AJ33" si="21">COLUMN(A8)</f>
        <v>1</v>
      </c>
      <c r="B33" s="286">
        <f t="shared" si="21"/>
        <v>2</v>
      </c>
      <c r="C33" s="286">
        <f t="shared" si="21"/>
        <v>3</v>
      </c>
      <c r="D33" s="286">
        <f t="shared" si="21"/>
        <v>4</v>
      </c>
      <c r="E33" s="286">
        <f t="shared" si="21"/>
        <v>5</v>
      </c>
      <c r="F33" s="286"/>
      <c r="G33" s="286"/>
      <c r="H33" s="286"/>
      <c r="I33" s="286"/>
      <c r="J33" s="286">
        <f t="shared" si="21"/>
        <v>10</v>
      </c>
      <c r="K33" s="286">
        <f t="shared" si="21"/>
        <v>11</v>
      </c>
      <c r="L33" s="286">
        <f t="shared" si="21"/>
        <v>12</v>
      </c>
      <c r="M33" s="286">
        <f t="shared" si="21"/>
        <v>13</v>
      </c>
      <c r="N33" s="286">
        <f t="shared" si="21"/>
        <v>14</v>
      </c>
      <c r="O33" s="286">
        <f t="shared" si="21"/>
        <v>15</v>
      </c>
      <c r="P33" s="286">
        <f t="shared" si="21"/>
        <v>16</v>
      </c>
      <c r="Q33" s="286">
        <f t="shared" si="21"/>
        <v>17</v>
      </c>
      <c r="R33" s="286">
        <f t="shared" si="21"/>
        <v>18</v>
      </c>
      <c r="S33" s="286">
        <f t="shared" si="21"/>
        <v>19</v>
      </c>
      <c r="T33" s="286">
        <f t="shared" si="21"/>
        <v>20</v>
      </c>
      <c r="U33" s="286">
        <f t="shared" si="21"/>
        <v>21</v>
      </c>
      <c r="V33" s="286">
        <f t="shared" si="21"/>
        <v>22</v>
      </c>
      <c r="W33" s="286">
        <f t="shared" si="21"/>
        <v>23</v>
      </c>
      <c r="X33" s="286">
        <f t="shared" si="21"/>
        <v>24</v>
      </c>
      <c r="Y33" s="286">
        <f t="shared" si="21"/>
        <v>25</v>
      </c>
      <c r="Z33" s="286">
        <f t="shared" si="21"/>
        <v>26</v>
      </c>
      <c r="AA33" s="286">
        <f t="shared" si="21"/>
        <v>27</v>
      </c>
      <c r="AB33" s="286">
        <f t="shared" si="21"/>
        <v>28</v>
      </c>
      <c r="AC33" s="286">
        <f t="shared" si="21"/>
        <v>29</v>
      </c>
      <c r="AD33" s="286">
        <f t="shared" si="21"/>
        <v>30</v>
      </c>
      <c r="AE33" s="286">
        <f t="shared" si="21"/>
        <v>31</v>
      </c>
      <c r="AF33" s="286">
        <f t="shared" si="21"/>
        <v>32</v>
      </c>
      <c r="AG33" s="286">
        <f t="shared" si="21"/>
        <v>33</v>
      </c>
      <c r="AH33" s="286">
        <f t="shared" si="21"/>
        <v>34</v>
      </c>
      <c r="AI33" s="286">
        <f t="shared" si="21"/>
        <v>35</v>
      </c>
      <c r="AJ33" s="286">
        <f t="shared" si="21"/>
        <v>36</v>
      </c>
      <c r="AK33" s="286">
        <f t="shared" ref="AK33:BF33" si="22">COLUMN(AK8)</f>
        <v>37</v>
      </c>
      <c r="AL33" s="286">
        <f t="shared" si="22"/>
        <v>38</v>
      </c>
      <c r="AM33" s="286">
        <f t="shared" si="22"/>
        <v>39</v>
      </c>
      <c r="AN33" s="286">
        <f t="shared" si="22"/>
        <v>40</v>
      </c>
      <c r="AO33" s="286">
        <f t="shared" si="22"/>
        <v>41</v>
      </c>
      <c r="AP33" s="286">
        <f t="shared" si="22"/>
        <v>42</v>
      </c>
      <c r="AQ33" s="286">
        <f t="shared" si="22"/>
        <v>43</v>
      </c>
      <c r="AR33" s="286">
        <f t="shared" si="22"/>
        <v>44</v>
      </c>
      <c r="AS33" s="286">
        <f t="shared" si="22"/>
        <v>45</v>
      </c>
      <c r="AT33" s="286">
        <f t="shared" si="22"/>
        <v>46</v>
      </c>
      <c r="AU33" s="286">
        <f t="shared" si="22"/>
        <v>47</v>
      </c>
      <c r="AV33" s="286">
        <f t="shared" si="22"/>
        <v>48</v>
      </c>
      <c r="AW33" s="286">
        <f t="shared" si="22"/>
        <v>49</v>
      </c>
      <c r="AX33" s="286">
        <f t="shared" si="22"/>
        <v>50</v>
      </c>
      <c r="AY33" s="286">
        <f t="shared" si="22"/>
        <v>51</v>
      </c>
      <c r="AZ33" s="286">
        <f t="shared" si="22"/>
        <v>52</v>
      </c>
      <c r="BA33" s="286">
        <f t="shared" si="22"/>
        <v>53</v>
      </c>
      <c r="BB33" s="286">
        <f t="shared" si="22"/>
        <v>54</v>
      </c>
      <c r="BC33" s="286">
        <f t="shared" si="22"/>
        <v>55</v>
      </c>
      <c r="BD33" s="286">
        <f t="shared" si="22"/>
        <v>56</v>
      </c>
      <c r="BE33" s="286">
        <f t="shared" si="22"/>
        <v>57</v>
      </c>
      <c r="BF33" s="286">
        <f t="shared" si="22"/>
        <v>58</v>
      </c>
      <c r="BG33" s="286"/>
      <c r="BH33" s="286">
        <f t="shared" ref="BH33:BN33" si="23">COLUMN(BH8)</f>
        <v>60</v>
      </c>
      <c r="BI33" s="286">
        <f t="shared" si="23"/>
        <v>61</v>
      </c>
      <c r="BJ33" s="286">
        <f t="shared" si="23"/>
        <v>62</v>
      </c>
      <c r="BK33" s="286">
        <f t="shared" si="23"/>
        <v>63</v>
      </c>
      <c r="BL33" s="286">
        <f t="shared" si="23"/>
        <v>64</v>
      </c>
      <c r="BM33" s="286">
        <f t="shared" si="23"/>
        <v>65</v>
      </c>
      <c r="BN33" s="286">
        <f t="shared" si="23"/>
        <v>66</v>
      </c>
      <c r="BO33" s="77"/>
      <c r="BP33" s="78"/>
      <c r="BQ33" s="77"/>
      <c r="BR33" s="78"/>
      <c r="BS33" s="78"/>
      <c r="BT33" s="78"/>
      <c r="BU33" s="78"/>
      <c r="BV33" s="78"/>
      <c r="BW33" s="77"/>
    </row>
    <row r="34" hidden="1" customHeight="1" outlineLevel="1" spans="1:75">
      <c r="A34" s="696"/>
      <c r="B34" s="154" t="s">
        <v>1673</v>
      </c>
      <c r="C34" s="158"/>
      <c r="D34" s="228"/>
      <c r="E34" s="228"/>
      <c r="F34" s="158"/>
      <c r="G34" s="158"/>
      <c r="H34" s="158"/>
      <c r="I34" s="158"/>
      <c r="J34" s="158"/>
      <c r="L34" s="159">
        <f>SUMIF($BA8:$BA27,$BA34,L8:L27)</f>
        <v>0</v>
      </c>
      <c r="M34" s="159">
        <f>SUMIF($BA8:$BA27,$BA34,M8:M27)</f>
        <v>0</v>
      </c>
      <c r="N34" s="202"/>
      <c r="O34" s="202"/>
      <c r="P34" s="202"/>
      <c r="Q34" s="176"/>
      <c r="R34" s="1247"/>
      <c r="S34" s="1247"/>
      <c r="T34" s="159">
        <f>SUMIF($BA8:$BA27,$BA34,T8:T27)</f>
        <v>0</v>
      </c>
      <c r="U34" s="159">
        <f>SUMIF($BA8:$BA27,$BA34,U8:U27)</f>
        <v>0</v>
      </c>
      <c r="V34" s="176"/>
      <c r="W34" s="176"/>
      <c r="X34" s="159">
        <f>SUMIF($BA8:$BA27,$BA34,X8:X27)</f>
        <v>0</v>
      </c>
      <c r="BA34" s="161" t="s">
        <v>1674</v>
      </c>
      <c r="BC34" s="75"/>
      <c r="BD34" s="75"/>
      <c r="BE34" s="75"/>
      <c r="BH34" s="95" t="s">
        <v>1675</v>
      </c>
      <c r="BI34" s="95" t="s">
        <v>1675</v>
      </c>
      <c r="BJ34" s="95" t="s">
        <v>1675</v>
      </c>
      <c r="BK34" s="95" t="s">
        <v>1675</v>
      </c>
    </row>
    <row r="35" hidden="1" customHeight="1" outlineLevel="1" spans="1:75">
      <c r="A35" s="696"/>
      <c r="B35" s="154" t="s">
        <v>1676</v>
      </c>
      <c r="C35" s="158"/>
      <c r="D35" s="228"/>
      <c r="E35" s="228"/>
      <c r="F35" s="158"/>
      <c r="G35" s="158"/>
      <c r="H35" s="158"/>
      <c r="I35" s="158"/>
      <c r="J35" s="158"/>
      <c r="L35" s="159">
        <f>L28-L34</f>
        <v>0</v>
      </c>
      <c r="M35" s="159">
        <f>M28-M34</f>
        <v>0</v>
      </c>
      <c r="N35" s="202"/>
      <c r="O35" s="202"/>
      <c r="P35" s="202"/>
      <c r="Q35" s="176"/>
      <c r="R35" s="1247"/>
      <c r="S35" s="1247"/>
      <c r="T35" s="159">
        <f>T28-T34</f>
        <v>0</v>
      </c>
      <c r="U35" s="159">
        <f>U28-U34</f>
        <v>0</v>
      </c>
      <c r="V35" s="176"/>
      <c r="W35" s="176"/>
      <c r="X35" s="159">
        <f>X28-X34</f>
        <v>0</v>
      </c>
      <c r="BA35" s="161" t="s">
        <v>1677</v>
      </c>
      <c r="BC35" s="75"/>
      <c r="BD35" s="75"/>
      <c r="BE35" s="75"/>
      <c r="BH35" s="95" t="s">
        <v>1678</v>
      </c>
      <c r="BI35" s="95" t="s">
        <v>1678</v>
      </c>
      <c r="BJ35" s="95" t="s">
        <v>1678</v>
      </c>
      <c r="BK35" s="95" t="s">
        <v>1678</v>
      </c>
    </row>
    <row r="36" customHeight="1" collapsed="1" spans="1:75">
      <c r="A36" s="696"/>
      <c r="B36" s="158"/>
      <c r="C36" s="158"/>
      <c r="D36" s="228"/>
      <c r="E36" s="228"/>
      <c r="F36" s="158"/>
      <c r="G36" s="158"/>
      <c r="H36" s="158"/>
      <c r="I36" s="158"/>
      <c r="J36" s="158"/>
    </row>
    <row r="37" customHeight="1" spans="1:75">
      <c r="A37" s="696"/>
      <c r="B37" s="158"/>
      <c r="C37" s="158"/>
      <c r="D37" s="228"/>
      <c r="E37" s="228"/>
      <c r="F37" s="158"/>
      <c r="G37" s="158"/>
      <c r="H37" s="158"/>
      <c r="I37" s="158"/>
      <c r="J37" s="158"/>
    </row>
    <row r="38" customHeight="1" spans="1:75">
      <c r="A38" s="696"/>
      <c r="B38" s="158"/>
      <c r="C38" s="158"/>
      <c r="D38" s="228"/>
      <c r="E38" s="228"/>
      <c r="F38" s="158"/>
      <c r="G38" s="158"/>
      <c r="H38" s="158"/>
      <c r="I38" s="158"/>
      <c r="J38" s="158"/>
    </row>
  </sheetData>
  <sheetProtection autoFilter="0"/>
  <mergeCells count="31">
    <mergeCell ref="A2:AA2"/>
    <mergeCell ref="A3:AA3"/>
    <mergeCell ref="F6:I6"/>
    <mergeCell ref="J6:M6"/>
    <mergeCell ref="N6:P6"/>
    <mergeCell ref="R6:U6"/>
    <mergeCell ref="V6:X6"/>
    <mergeCell ref="BU8:BW8"/>
    <mergeCell ref="BU9:BW9"/>
    <mergeCell ref="BV15:BW15"/>
    <mergeCell ref="A28:B28"/>
    <mergeCell ref="A29:B29"/>
    <mergeCell ref="A30:B30"/>
    <mergeCell ref="A6:A7"/>
    <mergeCell ref="B6:B7"/>
    <mergeCell ref="C6:C7"/>
    <mergeCell ref="D6:D7"/>
    <mergeCell ref="Q6:Q7"/>
    <mergeCell ref="Y6:Y7"/>
    <mergeCell ref="Z6:Z7"/>
    <mergeCell ref="AA6:AA7"/>
    <mergeCell ref="AB6:AB7"/>
    <mergeCell ref="BF6:BF7"/>
    <mergeCell ref="BG6:BG7"/>
    <mergeCell ref="BH6:BH7"/>
    <mergeCell ref="BI6:BI7"/>
    <mergeCell ref="BJ6:BJ7"/>
    <mergeCell ref="BK6:BK7"/>
    <mergeCell ref="BL6:BL7"/>
    <mergeCell ref="BM6:BM7"/>
    <mergeCell ref="BN6:BN7"/>
  </mergeCells>
  <conditionalFormatting sqref="BL8:BL27">
    <cfRule type="expression" dxfId="5" priority="5" stopIfTrue="1">
      <formula>AND(BK8="无",BL8="")</formula>
    </cfRule>
  </conditionalFormatting>
  <conditionalFormatting sqref="BF8:BG27">
    <cfRule type="containsText" dxfId="6" priority="1" stopIfTrue="1" operator="between" text="出错">
      <formula>NOT(ISERROR(SEARCH("出错",BF8)))</formula>
    </cfRule>
  </conditionalFormatting>
  <conditionalFormatting sqref="BH8:BK27">
    <cfRule type="expression" dxfId="5" priority="6" stopIfTrue="1">
      <formula>AND($B8&lt;&gt;"",BH8="")</formula>
    </cfRule>
  </conditionalFormatting>
  <dataValidations count="4">
    <dataValidation type="list" allowBlank="1" showInputMessage="1" showErrorMessage="1" sqref="F8:F27">
      <formula1>OFFSET(参数表!$H$2:$H$50,,,COUNTA(参数表!$H$2:$H$50))</formula1>
    </dataValidation>
    <dataValidation type="list" allowBlank="1" showInputMessage="1" showErrorMessage="1" sqref="BA8:BA27 BA34:BA35">
      <formula1>"是,否"</formula1>
    </dataValidation>
    <dataValidation type="list" allowBlank="1" showInputMessage="1" showErrorMessage="1" sqref="BC8:BC27">
      <formula1>"  ,√"</formula1>
    </dataValidation>
    <dataValidation type="list" allowBlank="1" showInputMessage="1" showErrorMessage="1" sqref="BH8:BK27">
      <formula1>BH$34:BH$35</formula1>
    </dataValidation>
  </dataValidations>
  <hyperlinks>
    <hyperlink ref="A1" location="索引目录!E19" display="返回索引页"/>
    <hyperlink ref="B1" location="存货汇总!B12"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CO735"/>
  <sheetViews>
    <sheetView workbookViewId="0">
      <pane xSplit="2" ySplit="8" topLeftCell="M337" activePane="bottomRight" state="frozen"/>
      <selection/>
      <selection pane="topRight"/>
      <selection pane="bottomLeft"/>
      <selection pane="bottomRight" activeCell="T375" sqref="T375"/>
    </sheetView>
  </sheetViews>
  <sheetFormatPr defaultColWidth="9" defaultRowHeight="15.75" customHeight="1"/>
  <cols>
    <col min="1" max="1" width="4.6" style="74" customWidth="1"/>
    <col min="2" max="3" width="11.8" style="75" customWidth="1"/>
    <col min="4" max="5" width="4.6" style="165" customWidth="1"/>
    <col min="6" max="7" width="4.6" style="75" customWidth="1" outlineLevel="1"/>
    <col min="8" max="9" width="6.1" style="75" customWidth="1" outlineLevel="1"/>
    <col min="10" max="11" width="9.7" style="75" customWidth="1" outlineLevel="1"/>
    <col min="12" max="12" width="12.7" style="75" customWidth="1" outlineLevel="1"/>
    <col min="13" max="13" width="9.7" style="75" customWidth="1" outlineLevel="1"/>
    <col min="14" max="14" width="9.6" style="76" customWidth="1" outlineLevel="1"/>
    <col min="15" max="16" width="12.6" style="76" customWidth="1" outlineLevel="1"/>
    <col min="17" max="17" width="9" style="75" customWidth="1" outlineLevel="1"/>
    <col min="18" max="18" width="9.6" style="75" customWidth="1"/>
    <col min="19" max="19" width="9.6" style="1238" customWidth="1"/>
    <col min="20" max="20" width="12.6" style="75" customWidth="1"/>
    <col min="21" max="21" width="9.2" style="75" customWidth="1"/>
    <col min="22" max="23" width="9.6" style="75" customWidth="1"/>
    <col min="24" max="24" width="12.6" style="75" customWidth="1"/>
    <col min="25" max="25" width="6.6" style="75" customWidth="1"/>
    <col min="26" max="26" width="12" style="75" customWidth="1"/>
    <col min="27" max="27" width="6.6" style="75" customWidth="1"/>
    <col min="28" max="52" width="9" style="75" hidden="1" customWidth="1" outlineLevel="1"/>
    <col min="53" max="53" width="14.7" style="75" customWidth="1" collapsed="1"/>
    <col min="54" max="54" width="6.7" style="75" customWidth="1"/>
    <col min="55" max="56" width="5.1" style="165" customWidth="1"/>
    <col min="57" max="57" width="8.7" style="165" customWidth="1"/>
    <col min="58" max="59" width="9.6" style="165" customWidth="1"/>
    <col min="60" max="62" width="5" style="75" customWidth="1"/>
    <col min="63" max="63" width="6.8" style="75" customWidth="1"/>
    <col min="64" max="64" width="10.3" style="75" customWidth="1"/>
    <col min="65" max="65" width="8.7" style="75" customWidth="1"/>
    <col min="66" max="66" width="9" style="75"/>
    <col min="67" max="67" width="14.7" style="77" customWidth="1"/>
    <col min="68" max="68" width="10.6" style="78" customWidth="1"/>
    <col min="69" max="69" width="10.6" style="77" customWidth="1"/>
    <col min="70" max="70" width="4.9" style="78" customWidth="1"/>
    <col min="71" max="71" width="10.6" style="78" customWidth="1"/>
    <col min="72" max="73" width="4.6" style="78" customWidth="1"/>
    <col min="74" max="74" width="10.6" style="78" customWidth="1"/>
    <col min="75" max="75" width="5" style="77" customWidth="1"/>
    <col min="76" max="76" width="14" style="165" customWidth="1"/>
    <col min="77" max="78" width="11.5" style="75"/>
    <col min="79" max="81" width="9" style="75"/>
    <col min="82" max="82" width="9" style="942"/>
    <col min="83" max="83" width="9" style="75"/>
    <col min="84" max="84" width="12.2" style="75" customWidth="1"/>
    <col min="85" max="16384" width="9" style="75"/>
  </cols>
  <sheetData>
    <row r="1" s="86" customFormat="1" ht="13.8" spans="1:93">
      <c r="A1" s="203" t="s">
        <v>1591</v>
      </c>
      <c r="B1" s="204" t="s">
        <v>1592</v>
      </c>
      <c r="C1" s="204"/>
      <c r="D1" s="82"/>
      <c r="E1" s="82"/>
      <c r="F1" s="82"/>
      <c r="G1" s="82"/>
      <c r="H1" s="82"/>
      <c r="I1" s="82"/>
      <c r="J1" s="82"/>
      <c r="K1" s="82"/>
      <c r="L1" s="82"/>
      <c r="M1" s="82"/>
      <c r="N1" s="205"/>
      <c r="O1" s="205"/>
      <c r="P1" s="205"/>
      <c r="Q1" s="82"/>
      <c r="R1" s="82"/>
      <c r="S1" s="82"/>
      <c r="T1" s="82"/>
      <c r="U1" s="82"/>
      <c r="V1" s="82"/>
      <c r="W1" s="82"/>
      <c r="X1" s="82"/>
      <c r="Y1" s="82"/>
      <c r="Z1" s="82"/>
      <c r="AA1" s="82"/>
      <c r="BA1" s="84" t="str">
        <f>参数表!BA1</f>
        <v>注意：补充特殊事项、作价等均从BA列开始填写</v>
      </c>
      <c r="BB1" s="85"/>
      <c r="BC1" s="82"/>
      <c r="BD1" s="82"/>
      <c r="BE1" s="82"/>
      <c r="BF1" s="82"/>
      <c r="BG1" s="82"/>
      <c r="BO1" s="87"/>
      <c r="BP1" s="88"/>
      <c r="BQ1" s="87"/>
      <c r="BR1" s="88"/>
      <c r="BS1" s="88"/>
      <c r="BT1" s="88"/>
      <c r="BU1" s="88"/>
      <c r="BV1" s="88"/>
      <c r="BW1" s="87"/>
      <c r="BX1" s="82"/>
      <c r="CD1" s="947"/>
      <c r="CM1" s="1248" t="s">
        <v>2232</v>
      </c>
      <c r="CN1" s="1248" t="s">
        <v>2233</v>
      </c>
      <c r="CO1" s="1248" t="s">
        <v>2234</v>
      </c>
    </row>
    <row r="2" s="71" customFormat="1" ht="30" customHeight="1" spans="1:93">
      <c r="A2" s="89" t="s">
        <v>2235</v>
      </c>
      <c r="B2" s="89"/>
      <c r="C2" s="89"/>
      <c r="D2" s="89"/>
      <c r="E2" s="89"/>
      <c r="F2" s="89"/>
      <c r="G2" s="89"/>
      <c r="H2" s="89"/>
      <c r="I2" s="89"/>
      <c r="J2" s="89"/>
      <c r="K2" s="89"/>
      <c r="L2" s="89"/>
      <c r="M2" s="89"/>
      <c r="N2" s="89"/>
      <c r="O2" s="89"/>
      <c r="P2" s="89"/>
      <c r="Q2" s="89"/>
      <c r="R2" s="89"/>
      <c r="S2" s="89"/>
      <c r="T2" s="89"/>
      <c r="U2" s="89"/>
      <c r="V2" s="89"/>
      <c r="W2" s="89"/>
      <c r="X2" s="89"/>
      <c r="Y2" s="89"/>
      <c r="Z2" s="89"/>
      <c r="AA2" s="89"/>
      <c r="BA2" s="90" t="str">
        <f>参数表!BA2</f>
        <v>评估基准日：</v>
      </c>
      <c r="BB2" s="91" t="str">
        <f>参数表!BB2</f>
        <v>2025年7月31日</v>
      </c>
      <c r="BC2" s="171"/>
      <c r="BD2" s="171"/>
      <c r="BE2" s="171"/>
      <c r="BF2" s="171"/>
      <c r="BG2" s="171"/>
      <c r="BO2" s="92"/>
      <c r="BP2" s="93"/>
      <c r="BQ2" s="92"/>
      <c r="BR2" s="93"/>
      <c r="BS2" s="93"/>
      <c r="BT2" s="93"/>
      <c r="BU2" s="93"/>
      <c r="BV2" s="93"/>
      <c r="BW2" s="92"/>
      <c r="BX2" s="171"/>
      <c r="CD2" s="1249"/>
      <c r="CM2" s="75">
        <v>36</v>
      </c>
      <c r="CN2" s="796" t="s">
        <v>2236</v>
      </c>
      <c r="CO2" s="75">
        <v>95</v>
      </c>
    </row>
    <row r="3" ht="15" customHeight="1" spans="1:93">
      <c r="A3" s="94" t="str">
        <f>参数表!F5</f>
        <v>评估基准日：2025年7月31日</v>
      </c>
      <c r="B3" s="94"/>
      <c r="C3" s="94"/>
      <c r="D3" s="94"/>
      <c r="E3" s="94"/>
      <c r="F3" s="94"/>
      <c r="G3" s="94"/>
      <c r="H3" s="94"/>
      <c r="I3" s="94"/>
      <c r="J3" s="94"/>
      <c r="K3" s="94"/>
      <c r="L3" s="94"/>
      <c r="M3" s="94"/>
      <c r="N3" s="94"/>
      <c r="O3" s="94"/>
      <c r="P3" s="94"/>
      <c r="Q3" s="94"/>
      <c r="R3" s="94"/>
      <c r="S3" s="95"/>
      <c r="T3" s="95"/>
      <c r="U3" s="95"/>
      <c r="V3" s="95"/>
      <c r="W3" s="95"/>
      <c r="X3" s="95"/>
      <c r="Y3" s="95"/>
      <c r="Z3" s="95"/>
      <c r="AA3" s="95"/>
      <c r="BA3" s="90" t="str">
        <f>参数表!BA3</f>
        <v>是否显示评估值：</v>
      </c>
      <c r="BB3" s="90" t="str">
        <f>参数表!BB3</f>
        <v>是</v>
      </c>
      <c r="BO3" s="92"/>
      <c r="BP3" s="93"/>
      <c r="BQ3" s="92"/>
      <c r="BR3" s="93"/>
      <c r="BS3" s="93"/>
      <c r="BT3" s="93"/>
      <c r="BU3" s="93"/>
      <c r="BV3" s="93"/>
      <c r="BW3" s="92"/>
      <c r="CM3" s="75">
        <v>36</v>
      </c>
      <c r="CN3" s="796" t="s">
        <v>2237</v>
      </c>
      <c r="CO3" s="75">
        <v>90</v>
      </c>
    </row>
    <row r="4" ht="15" customHeight="1" spans="1:93">
      <c r="A4" s="96"/>
      <c r="B4" s="94"/>
      <c r="C4" s="94"/>
      <c r="D4" s="94"/>
      <c r="E4" s="94"/>
      <c r="F4" s="94"/>
      <c r="G4" s="94"/>
      <c r="H4" s="94"/>
      <c r="I4" s="94"/>
      <c r="J4" s="94"/>
      <c r="K4" s="94"/>
      <c r="L4" s="94"/>
      <c r="M4" s="94"/>
      <c r="N4" s="97"/>
      <c r="O4" s="97"/>
      <c r="P4" s="97"/>
      <c r="Q4" s="94"/>
      <c r="R4" s="94"/>
      <c r="S4" s="95"/>
      <c r="T4" s="98"/>
      <c r="U4" s="98"/>
      <c r="V4" s="95"/>
      <c r="W4" s="95"/>
      <c r="X4" s="95"/>
      <c r="Y4" s="95"/>
      <c r="Z4" s="95"/>
      <c r="AA4" s="98" t="str">
        <f>"表"&amp;$BA4</f>
        <v>表3-10-3</v>
      </c>
      <c r="BA4" s="95" t="str">
        <f>存货总!A9</f>
        <v>3-10-3</v>
      </c>
      <c r="BB4" s="100">
        <f>MAX(COUNTA(A8:A397),COUNTA(B8:B397),COUNTA(L8:L397),COUNTA(T8:T397))</f>
        <v>390</v>
      </c>
      <c r="BC4" s="101">
        <f>ROW(A7)+1</f>
        <v>8</v>
      </c>
      <c r="BD4" s="77"/>
      <c r="BE4" s="77"/>
      <c r="BQ4" s="78"/>
      <c r="CM4" s="75">
        <v>36</v>
      </c>
      <c r="CN4" s="796" t="s">
        <v>2238</v>
      </c>
      <c r="CO4" s="75">
        <v>50</v>
      </c>
    </row>
    <row r="5" ht="15" customHeight="1" spans="1:93">
      <c r="A5" s="102" t="str">
        <f>参数表!F3</f>
        <v>产权持有单位:中煤第五建设有限公司</v>
      </c>
      <c r="B5" s="103"/>
      <c r="C5" s="103"/>
      <c r="D5" s="95"/>
      <c r="E5" s="95"/>
      <c r="F5" s="103"/>
      <c r="G5" s="103"/>
      <c r="H5" s="103"/>
      <c r="I5" s="103"/>
      <c r="J5" s="103"/>
      <c r="K5" s="103"/>
      <c r="L5" s="103"/>
      <c r="M5" s="103"/>
      <c r="N5" s="104"/>
      <c r="O5" s="104"/>
      <c r="P5" s="104"/>
      <c r="Q5" s="103"/>
      <c r="R5" s="103"/>
      <c r="S5" s="1239"/>
      <c r="T5" s="103"/>
      <c r="U5" s="103"/>
      <c r="V5" s="103"/>
      <c r="W5" s="103"/>
      <c r="X5" s="103"/>
      <c r="Y5" s="103"/>
      <c r="Z5" s="103"/>
      <c r="AA5" s="98" t="s">
        <v>236</v>
      </c>
      <c r="BA5" s="103"/>
      <c r="BB5" s="105" t="str">
        <f ca="1">判断表!C32</f>
        <v>中煤第五建设有限公司第三工程处拟处置实物资产项目\[0000-3基础法明细表.xlsx]在库周转</v>
      </c>
      <c r="BC5" s="106">
        <f>IFERROR(SUMIF(BC8:BC397,"√",T8:T397)/U398,0)</f>
        <v>0</v>
      </c>
      <c r="BD5" s="107"/>
      <c r="BE5" s="107"/>
      <c r="BF5" s="284">
        <f>原材料!BF5</f>
        <v>35557.52</v>
      </c>
      <c r="BG5" s="284">
        <f>原材料!BG5</f>
        <v>35557.52</v>
      </c>
      <c r="BH5" s="165"/>
      <c r="BI5" s="165"/>
      <c r="BJ5" s="165"/>
      <c r="BK5" s="165"/>
      <c r="BO5" s="1250">
        <f>机器!BT6</f>
        <v>45869</v>
      </c>
      <c r="BQ5" s="78"/>
      <c r="BY5" s="73">
        <f>LOOKUP(BO5,基础数据!A:D)</f>
        <v>3.55771976932645</v>
      </c>
      <c r="CM5" s="75">
        <v>60</v>
      </c>
      <c r="CN5" s="796" t="s">
        <v>2236</v>
      </c>
      <c r="CO5" s="75">
        <v>90</v>
      </c>
    </row>
    <row r="6" s="72" customFormat="1" ht="15" customHeight="1" spans="1:93">
      <c r="A6" s="112" t="s">
        <v>305</v>
      </c>
      <c r="B6" s="113" t="s">
        <v>2174</v>
      </c>
      <c r="C6" s="113" t="s">
        <v>2175</v>
      </c>
      <c r="D6" s="118" t="s">
        <v>2176</v>
      </c>
      <c r="E6" s="118" t="s">
        <v>2207</v>
      </c>
      <c r="F6" s="511" t="s">
        <v>1964</v>
      </c>
      <c r="G6" s="512"/>
      <c r="H6" s="512"/>
      <c r="I6" s="513"/>
      <c r="J6" s="514" t="s">
        <v>1549</v>
      </c>
      <c r="K6" s="189"/>
      <c r="L6" s="189"/>
      <c r="M6" s="190"/>
      <c r="N6" s="515" t="s">
        <v>1634</v>
      </c>
      <c r="O6" s="516"/>
      <c r="P6" s="517"/>
      <c r="Q6" s="118" t="s">
        <v>2208</v>
      </c>
      <c r="R6" s="514" t="s">
        <v>1523</v>
      </c>
      <c r="S6" s="189"/>
      <c r="T6" s="189"/>
      <c r="U6" s="190"/>
      <c r="V6" s="113" t="s">
        <v>1550</v>
      </c>
      <c r="W6" s="113"/>
      <c r="X6" s="113"/>
      <c r="Y6" s="113" t="s">
        <v>1525</v>
      </c>
      <c r="Z6" s="193" t="s">
        <v>1551</v>
      </c>
      <c r="AA6" s="113" t="s">
        <v>308</v>
      </c>
      <c r="BA6" s="191"/>
      <c r="BB6" s="100"/>
      <c r="BC6" s="100"/>
      <c r="BD6" s="100"/>
      <c r="BE6" s="100"/>
      <c r="BF6" s="192" t="s">
        <v>1639</v>
      </c>
      <c r="BG6" s="192" t="s">
        <v>1640</v>
      </c>
      <c r="BH6" s="113" t="s">
        <v>1748</v>
      </c>
      <c r="BI6" s="113" t="s">
        <v>1749</v>
      </c>
      <c r="BJ6" s="118" t="s">
        <v>1750</v>
      </c>
      <c r="BK6" s="118" t="s">
        <v>1641</v>
      </c>
      <c r="BL6" s="118" t="s">
        <v>2209</v>
      </c>
      <c r="BM6" s="113" t="s">
        <v>1644</v>
      </c>
      <c r="BN6" s="682" t="s">
        <v>2210</v>
      </c>
      <c r="BO6" s="1251" t="s">
        <v>2239</v>
      </c>
      <c r="BP6" s="78"/>
      <c r="BQ6" s="78"/>
      <c r="BR6" s="1252"/>
      <c r="BS6" s="78"/>
      <c r="BT6" s="78"/>
      <c r="BU6" s="78"/>
      <c r="BV6" s="194"/>
      <c r="BW6" s="111"/>
      <c r="BY6" s="1253"/>
      <c r="CD6" s="945"/>
      <c r="CM6" s="75">
        <v>60</v>
      </c>
      <c r="CN6" s="796" t="s">
        <v>2237</v>
      </c>
      <c r="CO6" s="75">
        <v>85</v>
      </c>
    </row>
    <row r="7" s="72" customFormat="1" ht="15" customHeight="1" spans="1:93">
      <c r="A7" s="195"/>
      <c r="B7" s="149"/>
      <c r="C7" s="149"/>
      <c r="D7" s="149"/>
      <c r="E7" s="149" t="s">
        <v>2211</v>
      </c>
      <c r="F7" s="519" t="s">
        <v>1968</v>
      </c>
      <c r="G7" s="519" t="s">
        <v>1969</v>
      </c>
      <c r="H7" s="519" t="s">
        <v>1970</v>
      </c>
      <c r="I7" s="519" t="s">
        <v>2177</v>
      </c>
      <c r="J7" s="149" t="s">
        <v>1637</v>
      </c>
      <c r="K7" s="113" t="s">
        <v>2178</v>
      </c>
      <c r="L7" s="113" t="s">
        <v>271</v>
      </c>
      <c r="M7" s="113" t="s">
        <v>2179</v>
      </c>
      <c r="N7" s="1205" t="s">
        <v>2180</v>
      </c>
      <c r="O7" s="1205" t="s">
        <v>2181</v>
      </c>
      <c r="P7" s="1205" t="s">
        <v>2182</v>
      </c>
      <c r="Q7" s="118"/>
      <c r="R7" s="113" t="s">
        <v>1637</v>
      </c>
      <c r="S7" s="113" t="s">
        <v>2178</v>
      </c>
      <c r="T7" s="113" t="s">
        <v>271</v>
      </c>
      <c r="U7" s="113" t="s">
        <v>2179</v>
      </c>
      <c r="V7" s="113" t="s">
        <v>2183</v>
      </c>
      <c r="W7" s="113" t="s">
        <v>2184</v>
      </c>
      <c r="X7" s="113" t="s">
        <v>271</v>
      </c>
      <c r="Y7" s="113"/>
      <c r="Z7" s="198"/>
      <c r="AA7" s="113"/>
      <c r="AB7" s="72"/>
      <c r="BA7" s="100" t="s">
        <v>1545</v>
      </c>
      <c r="BB7" s="100" t="s">
        <v>1635</v>
      </c>
      <c r="BC7" s="100" t="s">
        <v>1636</v>
      </c>
      <c r="BD7" s="100" t="s">
        <v>1637</v>
      </c>
      <c r="BE7" s="100" t="s">
        <v>1638</v>
      </c>
      <c r="BF7" s="197"/>
      <c r="BG7" s="197"/>
      <c r="BH7" s="113"/>
      <c r="BI7" s="113"/>
      <c r="BJ7" s="118"/>
      <c r="BK7" s="118"/>
      <c r="BL7" s="118"/>
      <c r="BM7" s="113"/>
      <c r="BN7" s="682"/>
      <c r="BO7" s="119"/>
      <c r="BP7" s="120" t="s">
        <v>1645</v>
      </c>
      <c r="BQ7" s="121" t="s">
        <v>1646</v>
      </c>
      <c r="BR7" s="121" t="s">
        <v>1647</v>
      </c>
      <c r="BS7" s="121" t="s">
        <v>1648</v>
      </c>
      <c r="BT7" s="121" t="s">
        <v>1647</v>
      </c>
      <c r="BU7" s="121" t="s">
        <v>1647</v>
      </c>
      <c r="BV7" s="121" t="s">
        <v>1649</v>
      </c>
      <c r="BW7" s="122" t="s">
        <v>1650</v>
      </c>
      <c r="BX7" s="251" t="s">
        <v>2240</v>
      </c>
      <c r="BY7" s="1253" t="s">
        <v>2241</v>
      </c>
      <c r="BZ7" s="251" t="s">
        <v>2242</v>
      </c>
      <c r="CA7" s="251" t="s">
        <v>2243</v>
      </c>
      <c r="CB7" s="251" t="s">
        <v>2234</v>
      </c>
      <c r="CC7" s="251" t="s">
        <v>2244</v>
      </c>
      <c r="CD7" s="1254" t="s">
        <v>2233</v>
      </c>
      <c r="CE7" s="251" t="s">
        <v>2245</v>
      </c>
      <c r="CF7" s="251" t="s">
        <v>2246</v>
      </c>
      <c r="CG7" s="251" t="s">
        <v>2239</v>
      </c>
      <c r="CM7" s="75">
        <v>80</v>
      </c>
      <c r="CN7" s="796" t="s">
        <v>2236</v>
      </c>
      <c r="CO7" s="75">
        <v>85</v>
      </c>
    </row>
    <row r="8" s="1228" customFormat="1" ht="15" customHeight="1" spans="1:93">
      <c r="A8" s="123" t="str">
        <f>IF(B8="","",COUNT(A$7:A7)+1)</f>
        <v/>
      </c>
      <c r="B8" s="1255"/>
      <c r="C8" s="982"/>
      <c r="D8" s="775"/>
      <c r="E8" s="126"/>
      <c r="F8" s="127"/>
      <c r="G8" s="127"/>
      <c r="H8" s="128"/>
      <c r="I8" s="128"/>
      <c r="J8" s="353"/>
      <c r="K8" s="143"/>
      <c r="L8" s="129"/>
      <c r="M8" s="129"/>
      <c r="N8" s="130"/>
      <c r="O8" s="130"/>
      <c r="P8" s="130"/>
      <c r="Q8" s="129"/>
      <c r="R8" s="353" t="str">
        <f>IF(B8="","",J8+N8)</f>
        <v/>
      </c>
      <c r="S8" s="129" t="str">
        <f t="shared" ref="S8:S13" si="0">IFERROR(T8/R8,"")</f>
        <v/>
      </c>
      <c r="T8" s="1226" t="str">
        <f>IF(B8="","",L8+O8)</f>
        <v/>
      </c>
      <c r="U8" s="1226" t="str">
        <f>IF(B8="","",M8+P8)</f>
        <v/>
      </c>
      <c r="V8" s="353" t="str">
        <f>IF(B8="","",IF($BB$3="是",R8,""))</f>
        <v/>
      </c>
      <c r="W8" s="129">
        <v>0</v>
      </c>
      <c r="X8" s="129">
        <v>0</v>
      </c>
      <c r="Y8" s="129" t="str">
        <f t="shared" ref="Y8:Y13" si="1">IFERROR(X8-(T8-U8),"")</f>
        <v/>
      </c>
      <c r="Z8" s="129" t="str">
        <f t="shared" ref="Z8:Z13" si="2">IFERROR(Y8/(T8-U8)*100,"")</f>
        <v/>
      </c>
      <c r="AA8" s="131"/>
      <c r="BA8" s="78"/>
      <c r="BB8" s="132" t="s">
        <v>2247</v>
      </c>
      <c r="BC8" s="133"/>
      <c r="BD8" s="132" t="str">
        <f>IF(OR(B8="",BC8=""),"",COUNTIF(BC$8:BC8,"√"))</f>
        <v/>
      </c>
      <c r="BE8" s="134" t="str">
        <f>IF(BC8="","",BB8&amp;"︱"&amp;B8&amp;"︱"&amp;TEXT(L8,"#,##0.00"))</f>
        <v/>
      </c>
      <c r="BF8" s="135" t="str">
        <f>IF($B8="","",IF(BF$5=0,"OK","出错"))</f>
        <v/>
      </c>
      <c r="BG8" s="135" t="str">
        <f>IF($B8="","",IF(BG$5=0,"OK","出错"))</f>
        <v/>
      </c>
      <c r="BH8" s="136"/>
      <c r="BI8" s="136"/>
      <c r="BJ8" s="136"/>
      <c r="BK8" s="136"/>
      <c r="BL8" s="137"/>
      <c r="BM8" s="137"/>
      <c r="BO8" s="77"/>
      <c r="BP8" s="134" t="str">
        <f>IF(COUNTIF(BP$7:BP7,B8)&gt;0,"",B8)&amp;""</f>
        <v/>
      </c>
      <c r="BQ8" s="138">
        <f>SUMIF(B$8:B$397,BP8,T$8:T$397)</f>
        <v>0</v>
      </c>
      <c r="BR8" s="132">
        <f>RANK(BQ8,BQ$8:BQ$397)</f>
        <v>1</v>
      </c>
      <c r="BS8" s="138">
        <f>SUMIF(B$8:B$397,BP8,X$8:X$397)</f>
        <v>0</v>
      </c>
      <c r="BT8" s="132">
        <f>RANK(BS8,BS$8:BS$397)</f>
        <v>2</v>
      </c>
      <c r="BU8" s="138">
        <f>SUM(BQ8:BQ397)</f>
        <v>0</v>
      </c>
      <c r="BV8" s="138"/>
      <c r="BW8" s="138"/>
      <c r="BX8" s="1256" t="s">
        <v>2248</v>
      </c>
      <c r="BY8" s="165">
        <f>IFERROR(LOOKUP(BX8,基础数据!A:D),1)</f>
        <v>1</v>
      </c>
      <c r="BZ8" s="165">
        <f>BY$5/BY8</f>
        <v>3.55771976932645</v>
      </c>
      <c r="CA8" s="165" t="e">
        <f>ROUND(S8*BZ8,0)</f>
        <v>#VALUE!</v>
      </c>
      <c r="CB8" s="165">
        <f>CO$8</f>
        <v>80</v>
      </c>
      <c r="CC8" s="165" t="e">
        <f>ROUND(CB8*CA8/100,0)</f>
        <v>#VALUE!</v>
      </c>
      <c r="CD8" s="1257" t="s">
        <v>2237</v>
      </c>
      <c r="CM8" s="75">
        <v>80</v>
      </c>
      <c r="CN8" s="796" t="s">
        <v>2237</v>
      </c>
      <c r="CO8" s="75">
        <v>80</v>
      </c>
    </row>
    <row r="9" s="1228" customFormat="1" ht="15" customHeight="1" spans="1:93">
      <c r="A9" s="123" t="str">
        <f>IF(B9="","",COUNT(A$7:A8)+1)</f>
        <v/>
      </c>
      <c r="B9" s="1255"/>
      <c r="C9" s="982"/>
      <c r="D9" s="1258"/>
      <c r="E9" s="126"/>
      <c r="F9" s="127"/>
      <c r="G9" s="127"/>
      <c r="H9" s="128"/>
      <c r="I9" s="128"/>
      <c r="J9" s="353"/>
      <c r="K9" s="143"/>
      <c r="L9" s="1259"/>
      <c r="M9" s="129"/>
      <c r="N9" s="130"/>
      <c r="O9" s="130"/>
      <c r="P9" s="130"/>
      <c r="Q9" s="129"/>
      <c r="R9" s="353">
        <v>4</v>
      </c>
      <c r="S9" s="129" t="str">
        <f t="shared" si="0"/>
        <v/>
      </c>
      <c r="T9" s="1226" t="str">
        <f>IF(B9="","",L9+O9)</f>
        <v/>
      </c>
      <c r="U9" s="1226" t="str">
        <f>IF(B9="","",M9+P9)</f>
        <v/>
      </c>
      <c r="V9" s="353" t="str">
        <f>IF(B9="","",IF($BB$3="是",R9,""))</f>
        <v/>
      </c>
      <c r="W9" s="129">
        <v>0</v>
      </c>
      <c r="X9" s="129">
        <v>0</v>
      </c>
      <c r="Y9" s="129" t="str">
        <f t="shared" si="1"/>
        <v/>
      </c>
      <c r="Z9" s="129" t="str">
        <f t="shared" si="2"/>
        <v/>
      </c>
      <c r="AA9" s="129"/>
      <c r="BA9" s="78"/>
      <c r="BB9" s="132"/>
      <c r="BC9" s="133"/>
      <c r="BD9" s="132"/>
      <c r="BE9" s="134"/>
      <c r="BF9" s="135"/>
      <c r="BG9" s="135"/>
      <c r="BH9" s="136"/>
      <c r="BI9" s="136"/>
      <c r="BJ9" s="136"/>
      <c r="BK9" s="136"/>
      <c r="BL9" s="137"/>
      <c r="BM9" s="137"/>
      <c r="BO9" s="77"/>
      <c r="BP9" s="134"/>
      <c r="BQ9" s="138"/>
      <c r="BR9" s="132"/>
      <c r="BS9" s="138"/>
      <c r="BT9" s="132"/>
      <c r="BU9" s="138"/>
      <c r="BV9" s="138"/>
      <c r="BW9" s="138"/>
      <c r="BX9" s="1256" t="s">
        <v>2248</v>
      </c>
      <c r="BY9" s="165">
        <f>IFERROR(LOOKUP(BX9,基础数据!A:D),1)</f>
        <v>1</v>
      </c>
      <c r="BZ9" s="165">
        <f t="shared" ref="BZ9" si="3">BY$5/BY9</f>
        <v>3.55771976932645</v>
      </c>
      <c r="CA9" s="165" t="e">
        <f>ROUND(S9*BZ9,0)</f>
        <v>#VALUE!</v>
      </c>
      <c r="CB9" s="165">
        <f>CO$8</f>
        <v>80</v>
      </c>
      <c r="CC9" s="165" t="e">
        <f>ROUND(CB9*CA9/100,0)</f>
        <v>#VALUE!</v>
      </c>
      <c r="CD9" s="1257" t="s">
        <v>2237</v>
      </c>
      <c r="CM9" s="75"/>
      <c r="CN9" s="796"/>
      <c r="CO9" s="75"/>
    </row>
    <row r="10" ht="15" customHeight="1" spans="1:93">
      <c r="A10" s="123" t="str">
        <f>IF(B10="","",COUNT(A$7:A9)+1)</f>
        <v/>
      </c>
      <c r="B10" s="139"/>
      <c r="C10" s="139"/>
      <c r="D10" s="141"/>
      <c r="E10" s="126"/>
      <c r="F10" s="142"/>
      <c r="G10" s="127"/>
      <c r="H10" s="128"/>
      <c r="I10" s="128"/>
      <c r="J10" s="980"/>
      <c r="K10" s="143"/>
      <c r="L10" s="143"/>
      <c r="M10" s="129"/>
      <c r="N10" s="144"/>
      <c r="O10" s="144"/>
      <c r="P10" s="144"/>
      <c r="Q10" s="143"/>
      <c r="R10" s="353" t="str">
        <f t="shared" ref="R10:R60" si="4">IF(B10="","",J10+N10)</f>
        <v/>
      </c>
      <c r="S10" s="129" t="str">
        <f t="shared" si="0"/>
        <v/>
      </c>
      <c r="T10" s="1226" t="str">
        <f t="shared" ref="T10:T73" si="5">IF(B10="","",L10+O10)</f>
        <v/>
      </c>
      <c r="U10" s="1226" t="str">
        <f t="shared" ref="U10:U73" si="6">IF(B10="","",M10+P10)</f>
        <v/>
      </c>
      <c r="V10" s="353" t="str">
        <f t="shared" ref="V10:V58" si="7">IF(B10="","",IF($BB$3="是",R10,""))</f>
        <v/>
      </c>
      <c r="W10" s="129">
        <v>0</v>
      </c>
      <c r="X10" s="129">
        <v>0</v>
      </c>
      <c r="Y10" s="129" t="str">
        <f t="shared" si="1"/>
        <v/>
      </c>
      <c r="Z10" s="129" t="str">
        <f t="shared" si="2"/>
        <v/>
      </c>
      <c r="AA10" s="145"/>
      <c r="BA10" s="78"/>
      <c r="BB10" s="132" t="s">
        <v>2249</v>
      </c>
      <c r="BC10" s="133"/>
      <c r="BD10" s="132" t="str">
        <f>IF(OR(B10="",BC10=""),"",COUNTIF(BC$8:BC10,"√"))</f>
        <v/>
      </c>
      <c r="BE10" s="134" t="str">
        <f t="shared" ref="BE10:BE60" si="8">IF(BC10="","",BB10&amp;"︱"&amp;B10&amp;"︱"&amp;TEXT(L10,"#,##0.00"))</f>
        <v/>
      </c>
      <c r="BF10" s="135" t="str">
        <f t="shared" ref="BF10:BG89" si="9">IF($B10="","",IF(BF$5=0,"OK","出错"))</f>
        <v/>
      </c>
      <c r="BG10" s="135" t="str">
        <f t="shared" si="9"/>
        <v/>
      </c>
      <c r="BH10" s="136"/>
      <c r="BI10" s="136"/>
      <c r="BJ10" s="136"/>
      <c r="BK10" s="136"/>
      <c r="BL10" s="137"/>
      <c r="BM10" s="137"/>
      <c r="BP10" s="134" t="str">
        <f>IF(COUNTIF(BP$7:BP9,B10)&gt;0,"",B10)&amp;""</f>
        <v/>
      </c>
      <c r="BQ10" s="138">
        <f t="shared" ref="BQ10:BQ60" si="10">SUMIF(B$8:B$397,BP10,T$8:T$397)</f>
        <v>0</v>
      </c>
      <c r="BR10" s="132">
        <f t="shared" ref="BR10:BR28" si="11">RANK(BQ10,BQ$8:BQ$397)</f>
        <v>1</v>
      </c>
      <c r="BS10" s="138">
        <f t="shared" ref="BS10:BS60" si="12">SUMIF(B$8:B$397,BP10,X$8:X$397)</f>
        <v>0</v>
      </c>
      <c r="BT10" s="132">
        <f t="shared" ref="BT10:BT28" si="13">RANK(BS10,BS$8:BS$397)</f>
        <v>2</v>
      </c>
      <c r="BU10" s="133"/>
      <c r="BV10" s="133"/>
      <c r="BX10" s="1256" t="s">
        <v>2248</v>
      </c>
      <c r="BY10" s="165">
        <f>IFERROR(LOOKUP(BX10,基础数据!A:D),1)</f>
        <v>1</v>
      </c>
      <c r="BZ10" s="165">
        <f t="shared" ref="BZ10:BZ48" si="14">BY$5/BY10</f>
        <v>3.55771976932645</v>
      </c>
      <c r="CA10" s="165" t="e">
        <f t="shared" ref="CA10:CA46" si="15">ROUND(S10*BZ10,0)</f>
        <v>#VALUE!</v>
      </c>
      <c r="CB10" s="165">
        <v>90</v>
      </c>
      <c r="CC10" s="165" t="e">
        <f t="shared" ref="CC10:CC46" si="16">ROUND(CB10*CA10/100,0)</f>
        <v>#VALUE!</v>
      </c>
      <c r="CD10" s="1257" t="s">
        <v>2236</v>
      </c>
    </row>
    <row r="11" ht="15" customHeight="1" spans="1:93">
      <c r="A11" s="123" t="str">
        <f>IF(B11="","",COUNT(A$7:A10)+1)</f>
        <v/>
      </c>
      <c r="B11" s="139"/>
      <c r="C11" s="139"/>
      <c r="D11" s="141"/>
      <c r="E11" s="126"/>
      <c r="F11" s="142"/>
      <c r="G11" s="127"/>
      <c r="H11" s="128"/>
      <c r="I11" s="128"/>
      <c r="J11" s="980"/>
      <c r="K11" s="143"/>
      <c r="L11" s="143"/>
      <c r="M11" s="129"/>
      <c r="N11" s="144"/>
      <c r="O11" s="144"/>
      <c r="P11" s="144"/>
      <c r="Q11" s="143"/>
      <c r="R11" s="353" t="str">
        <f t="shared" si="4"/>
        <v/>
      </c>
      <c r="S11" s="129" t="str">
        <f t="shared" si="0"/>
        <v/>
      </c>
      <c r="T11" s="1226" t="str">
        <f t="shared" si="5"/>
        <v/>
      </c>
      <c r="U11" s="1226" t="str">
        <f t="shared" si="6"/>
        <v/>
      </c>
      <c r="V11" s="353" t="str">
        <f t="shared" si="7"/>
        <v/>
      </c>
      <c r="W11" s="129">
        <v>0</v>
      </c>
      <c r="X11" s="129">
        <v>0</v>
      </c>
      <c r="Y11" s="129" t="str">
        <f t="shared" si="1"/>
        <v/>
      </c>
      <c r="Z11" s="129" t="str">
        <f t="shared" si="2"/>
        <v/>
      </c>
      <c r="AA11" s="145"/>
      <c r="BA11" s="78"/>
      <c r="BB11" s="132" t="s">
        <v>2250</v>
      </c>
      <c r="BC11" s="133"/>
      <c r="BD11" s="132" t="str">
        <f>IF(OR(B11="",BC11=""),"",COUNTIF(BC$8:BC11,"√"))</f>
        <v/>
      </c>
      <c r="BE11" s="134" t="str">
        <f t="shared" si="8"/>
        <v/>
      </c>
      <c r="BF11" s="135" t="str">
        <f t="shared" si="9"/>
        <v/>
      </c>
      <c r="BG11" s="135" t="str">
        <f t="shared" si="9"/>
        <v/>
      </c>
      <c r="BH11" s="136"/>
      <c r="BI11" s="136"/>
      <c r="BJ11" s="136"/>
      <c r="BK11" s="136"/>
      <c r="BL11" s="137"/>
      <c r="BM11" s="137"/>
      <c r="BP11" s="134" t="str">
        <f>IF(COUNTIF(BP$7:BP10,B11)&gt;0,"",B11)&amp;""</f>
        <v/>
      </c>
      <c r="BQ11" s="138">
        <f t="shared" si="10"/>
        <v>0</v>
      </c>
      <c r="BR11" s="132">
        <f t="shared" si="11"/>
        <v>1</v>
      </c>
      <c r="BS11" s="138">
        <f t="shared" si="12"/>
        <v>0</v>
      </c>
      <c r="BT11" s="132">
        <f t="shared" si="13"/>
        <v>2</v>
      </c>
      <c r="BU11" s="133"/>
      <c r="BV11" s="133"/>
      <c r="BX11" s="1256" t="s">
        <v>2248</v>
      </c>
      <c r="BY11" s="165">
        <f>IFERROR(LOOKUP(BX11,基础数据!A:D),1)</f>
        <v>1</v>
      </c>
      <c r="BZ11" s="165">
        <f t="shared" si="14"/>
        <v>3.55771976932645</v>
      </c>
      <c r="CA11" s="165" t="e">
        <f t="shared" si="15"/>
        <v>#VALUE!</v>
      </c>
      <c r="CB11" s="165">
        <f>CO$8</f>
        <v>80</v>
      </c>
      <c r="CC11" s="165" t="e">
        <f t="shared" si="16"/>
        <v>#VALUE!</v>
      </c>
      <c r="CD11" s="1257" t="s">
        <v>2237</v>
      </c>
    </row>
    <row r="12" ht="15" customHeight="1" spans="1:93">
      <c r="A12" s="123" t="str">
        <f>IF(B12="","",COUNT(A$7:A11)+1)</f>
        <v/>
      </c>
      <c r="B12" s="139"/>
      <c r="C12" s="139"/>
      <c r="D12" s="141"/>
      <c r="E12" s="126"/>
      <c r="F12" s="142"/>
      <c r="G12" s="127"/>
      <c r="H12" s="128"/>
      <c r="I12" s="128"/>
      <c r="J12" s="980"/>
      <c r="K12" s="143"/>
      <c r="L12" s="143"/>
      <c r="M12" s="129"/>
      <c r="N12" s="144"/>
      <c r="O12" s="144"/>
      <c r="P12" s="144"/>
      <c r="Q12" s="143"/>
      <c r="R12" s="353" t="str">
        <f t="shared" si="4"/>
        <v/>
      </c>
      <c r="S12" s="129" t="str">
        <f t="shared" si="0"/>
        <v/>
      </c>
      <c r="T12" s="1226" t="str">
        <f t="shared" si="5"/>
        <v/>
      </c>
      <c r="U12" s="1226" t="str">
        <f t="shared" si="6"/>
        <v/>
      </c>
      <c r="V12" s="353" t="str">
        <f t="shared" si="7"/>
        <v/>
      </c>
      <c r="W12" s="129">
        <v>0</v>
      </c>
      <c r="X12" s="129">
        <v>0</v>
      </c>
      <c r="Y12" s="129" t="str">
        <f t="shared" si="1"/>
        <v/>
      </c>
      <c r="Z12" s="129" t="str">
        <f t="shared" si="2"/>
        <v/>
      </c>
      <c r="AA12" s="145"/>
      <c r="BA12" s="78"/>
      <c r="BB12" s="132" t="s">
        <v>2251</v>
      </c>
      <c r="BC12" s="133"/>
      <c r="BD12" s="132" t="str">
        <f>IF(OR(B12="",BC12=""),"",COUNTIF(BC$8:BC12,"√"))</f>
        <v/>
      </c>
      <c r="BE12" s="134" t="str">
        <f t="shared" si="8"/>
        <v/>
      </c>
      <c r="BF12" s="135" t="str">
        <f t="shared" si="9"/>
        <v/>
      </c>
      <c r="BG12" s="135" t="str">
        <f t="shared" si="9"/>
        <v/>
      </c>
      <c r="BH12" s="136"/>
      <c r="BI12" s="136"/>
      <c r="BJ12" s="136"/>
      <c r="BK12" s="136"/>
      <c r="BL12" s="137"/>
      <c r="BM12" s="137"/>
      <c r="BP12" s="134" t="str">
        <f>IF(COUNTIF(BP$7:BP11,B12)&gt;0,"",B12)&amp;""</f>
        <v/>
      </c>
      <c r="BQ12" s="138">
        <f t="shared" si="10"/>
        <v>0</v>
      </c>
      <c r="BR12" s="132">
        <f t="shared" si="11"/>
        <v>1</v>
      </c>
      <c r="BS12" s="138">
        <f t="shared" si="12"/>
        <v>0</v>
      </c>
      <c r="BT12" s="132">
        <f t="shared" si="13"/>
        <v>2</v>
      </c>
      <c r="BU12" s="133"/>
      <c r="BV12" s="133"/>
      <c r="BX12" s="1256" t="s">
        <v>2248</v>
      </c>
      <c r="BY12" s="165">
        <f>IFERROR(LOOKUP(BX12,基础数据!A:D),1)</f>
        <v>1</v>
      </c>
      <c r="BZ12" s="165">
        <f t="shared" si="14"/>
        <v>3.55771976932645</v>
      </c>
      <c r="CA12" s="165" t="e">
        <f t="shared" si="15"/>
        <v>#VALUE!</v>
      </c>
      <c r="CB12" s="165">
        <v>90</v>
      </c>
      <c r="CC12" s="165" t="e">
        <f t="shared" si="16"/>
        <v>#VALUE!</v>
      </c>
      <c r="CD12" s="1257" t="s">
        <v>2236</v>
      </c>
    </row>
    <row r="13" ht="15" customHeight="1" spans="1:93">
      <c r="A13" s="123" t="str">
        <f>IF(B13="","",COUNT(A$7:A12)+1)</f>
        <v/>
      </c>
      <c r="B13" s="139"/>
      <c r="C13" s="139"/>
      <c r="D13" s="141"/>
      <c r="E13" s="126"/>
      <c r="F13" s="142"/>
      <c r="G13" s="127"/>
      <c r="H13" s="128"/>
      <c r="I13" s="128"/>
      <c r="J13" s="980"/>
      <c r="K13" s="143"/>
      <c r="L13" s="143"/>
      <c r="M13" s="129"/>
      <c r="N13" s="144"/>
      <c r="O13" s="144"/>
      <c r="P13" s="144"/>
      <c r="Q13" s="143"/>
      <c r="R13" s="353" t="str">
        <f t="shared" si="4"/>
        <v/>
      </c>
      <c r="S13" s="129" t="str">
        <f t="shared" si="0"/>
        <v/>
      </c>
      <c r="T13" s="1226" t="str">
        <f t="shared" si="5"/>
        <v/>
      </c>
      <c r="U13" s="1226" t="str">
        <f t="shared" si="6"/>
        <v/>
      </c>
      <c r="V13" s="353" t="str">
        <f t="shared" si="7"/>
        <v/>
      </c>
      <c r="W13" s="129">
        <v>0</v>
      </c>
      <c r="X13" s="129">
        <v>0</v>
      </c>
      <c r="Y13" s="129" t="str">
        <f t="shared" si="1"/>
        <v/>
      </c>
      <c r="Z13" s="129" t="str">
        <f t="shared" si="2"/>
        <v/>
      </c>
      <c r="AA13" s="145"/>
      <c r="BA13" s="78"/>
      <c r="BB13" s="132" t="s">
        <v>2252</v>
      </c>
      <c r="BC13" s="133"/>
      <c r="BD13" s="132" t="str">
        <f>IF(OR(B13="",BC13=""),"",COUNTIF(BC$8:BC13,"√"))</f>
        <v/>
      </c>
      <c r="BE13" s="134" t="str">
        <f t="shared" si="8"/>
        <v/>
      </c>
      <c r="BF13" s="135" t="str">
        <f t="shared" si="9"/>
        <v/>
      </c>
      <c r="BG13" s="135" t="str">
        <f t="shared" si="9"/>
        <v/>
      </c>
      <c r="BH13" s="136"/>
      <c r="BI13" s="136"/>
      <c r="BJ13" s="136"/>
      <c r="BK13" s="136"/>
      <c r="BL13" s="137"/>
      <c r="BM13" s="137"/>
      <c r="BP13" s="134" t="str">
        <f>IF(COUNTIF(BP$7:BP12,B13)&gt;0,"",B13)&amp;""</f>
        <v/>
      </c>
      <c r="BQ13" s="138">
        <f t="shared" si="10"/>
        <v>0</v>
      </c>
      <c r="BR13" s="132">
        <f t="shared" si="11"/>
        <v>1</v>
      </c>
      <c r="BS13" s="138">
        <f t="shared" si="12"/>
        <v>0</v>
      </c>
      <c r="BT13" s="132">
        <f t="shared" si="13"/>
        <v>2</v>
      </c>
      <c r="BU13" s="133"/>
      <c r="BV13" s="133"/>
      <c r="BX13" s="1256" t="s">
        <v>2248</v>
      </c>
      <c r="BY13" s="165">
        <f>IFERROR(LOOKUP(BX13,基础数据!A:D),1)</f>
        <v>1</v>
      </c>
      <c r="BZ13" s="165">
        <f t="shared" si="14"/>
        <v>3.55771976932645</v>
      </c>
      <c r="CA13" s="165" t="e">
        <f t="shared" si="15"/>
        <v>#VALUE!</v>
      </c>
      <c r="CB13" s="165">
        <f>CO$8</f>
        <v>80</v>
      </c>
      <c r="CC13" s="165" t="e">
        <f t="shared" si="16"/>
        <v>#VALUE!</v>
      </c>
      <c r="CD13" s="1257" t="s">
        <v>2237</v>
      </c>
    </row>
    <row r="14" ht="15" customHeight="1" spans="1:93">
      <c r="A14" s="123" t="str">
        <f>IF(B14="","",COUNT(A$7:A13)+1)</f>
        <v/>
      </c>
      <c r="B14" s="798"/>
      <c r="C14" s="139"/>
      <c r="D14" s="141"/>
      <c r="E14" s="126"/>
      <c r="F14" s="142"/>
      <c r="G14" s="127"/>
      <c r="H14" s="128"/>
      <c r="I14" s="128"/>
      <c r="J14" s="980"/>
      <c r="K14" s="143"/>
      <c r="L14" s="143"/>
      <c r="M14" s="129"/>
      <c r="N14" s="144"/>
      <c r="O14" s="144"/>
      <c r="P14" s="144"/>
      <c r="Q14" s="143"/>
      <c r="R14" s="353" t="str">
        <f t="shared" si="4"/>
        <v/>
      </c>
      <c r="S14" s="129" t="str">
        <f t="shared" ref="S14:S65" si="17">IFERROR(T14/R14,"")</f>
        <v/>
      </c>
      <c r="T14" s="1226" t="str">
        <f t="shared" si="5"/>
        <v/>
      </c>
      <c r="U14" s="1226" t="str">
        <f t="shared" si="6"/>
        <v/>
      </c>
      <c r="V14" s="353" t="str">
        <f t="shared" si="7"/>
        <v/>
      </c>
      <c r="W14" s="129">
        <v>0</v>
      </c>
      <c r="X14" s="129">
        <v>0</v>
      </c>
      <c r="Y14" s="129" t="str">
        <f t="shared" ref="Y14:Y65" si="18">IFERROR(X14-(T14-U14),"")</f>
        <v/>
      </c>
      <c r="Z14" s="129" t="str">
        <f t="shared" ref="Z14:Z65" si="19">IFERROR(Y14/(T14-U14)*100,"")</f>
        <v/>
      </c>
      <c r="AA14" s="145"/>
      <c r="BA14" s="78"/>
      <c r="BB14" s="132" t="s">
        <v>2253</v>
      </c>
      <c r="BC14" s="133"/>
      <c r="BD14" s="132" t="str">
        <f>IF(OR(B14="",BC14=""),"",COUNTIF(BC$8:BC14,"√"))</f>
        <v/>
      </c>
      <c r="BE14" s="134" t="str">
        <f t="shared" si="8"/>
        <v/>
      </c>
      <c r="BF14" s="135" t="str">
        <f t="shared" si="9"/>
        <v/>
      </c>
      <c r="BG14" s="135" t="str">
        <f t="shared" si="9"/>
        <v/>
      </c>
      <c r="BH14" s="136"/>
      <c r="BI14" s="136"/>
      <c r="BJ14" s="136"/>
      <c r="BK14" s="136"/>
      <c r="BL14" s="137"/>
      <c r="BM14" s="137"/>
      <c r="BP14" s="134" t="str">
        <f>IF(COUNTIF(BP$7:BP13,B14)&gt;0,"",B14)&amp;""</f>
        <v/>
      </c>
      <c r="BQ14" s="138">
        <f t="shared" si="10"/>
        <v>0</v>
      </c>
      <c r="BR14" s="132">
        <f t="shared" si="11"/>
        <v>1</v>
      </c>
      <c r="BS14" s="138">
        <f t="shared" si="12"/>
        <v>0</v>
      </c>
      <c r="BT14" s="132">
        <f t="shared" si="13"/>
        <v>2</v>
      </c>
      <c r="BU14" s="133"/>
      <c r="BV14" s="133"/>
      <c r="BX14" s="1256" t="s">
        <v>2248</v>
      </c>
      <c r="BY14" s="165">
        <f>IFERROR(LOOKUP(BX14,基础数据!A:D),1)</f>
        <v>1</v>
      </c>
      <c r="BZ14" s="165">
        <f t="shared" si="14"/>
        <v>3.55771976932645</v>
      </c>
      <c r="CA14" s="165" t="e">
        <f t="shared" si="15"/>
        <v>#VALUE!</v>
      </c>
      <c r="CB14" s="165">
        <f t="shared" ref="CB14:CB20" si="20">CO$8</f>
        <v>80</v>
      </c>
      <c r="CC14" s="165" t="e">
        <f t="shared" si="16"/>
        <v>#VALUE!</v>
      </c>
      <c r="CD14" s="1257" t="s">
        <v>2237</v>
      </c>
    </row>
    <row r="15" ht="15" customHeight="1" spans="1:93">
      <c r="A15" s="123" t="str">
        <f>IF(B15="","",COUNT(A$7:A14)+1)</f>
        <v/>
      </c>
      <c r="B15" s="139"/>
      <c r="C15" s="139"/>
      <c r="D15" s="141"/>
      <c r="E15" s="126"/>
      <c r="F15" s="142"/>
      <c r="G15" s="127"/>
      <c r="H15" s="128"/>
      <c r="I15" s="128"/>
      <c r="J15" s="980"/>
      <c r="K15" s="143"/>
      <c r="L15" s="143"/>
      <c r="M15" s="129"/>
      <c r="N15" s="144"/>
      <c r="O15" s="144"/>
      <c r="P15" s="144"/>
      <c r="Q15" s="143"/>
      <c r="R15" s="353" t="str">
        <f t="shared" si="4"/>
        <v/>
      </c>
      <c r="S15" s="129" t="str">
        <f t="shared" si="17"/>
        <v/>
      </c>
      <c r="T15" s="1226" t="str">
        <f t="shared" si="5"/>
        <v/>
      </c>
      <c r="U15" s="1226" t="str">
        <f t="shared" si="6"/>
        <v/>
      </c>
      <c r="V15" s="353" t="str">
        <f t="shared" si="7"/>
        <v/>
      </c>
      <c r="W15" s="129">
        <v>0</v>
      </c>
      <c r="X15" s="129">
        <v>0</v>
      </c>
      <c r="Y15" s="129" t="str">
        <f t="shared" si="18"/>
        <v/>
      </c>
      <c r="Z15" s="129" t="str">
        <f t="shared" si="19"/>
        <v/>
      </c>
      <c r="AA15" s="145"/>
      <c r="BA15" s="78"/>
      <c r="BB15" s="132" t="s">
        <v>2254</v>
      </c>
      <c r="BC15" s="133"/>
      <c r="BD15" s="132" t="str">
        <f>IF(OR(B15="",BC15=""),"",COUNTIF(BC$8:BC15,"√"))</f>
        <v/>
      </c>
      <c r="BE15" s="134" t="str">
        <f t="shared" si="8"/>
        <v/>
      </c>
      <c r="BF15" s="135" t="str">
        <f t="shared" si="9"/>
        <v/>
      </c>
      <c r="BG15" s="135" t="str">
        <f t="shared" si="9"/>
        <v/>
      </c>
      <c r="BH15" s="136"/>
      <c r="BI15" s="136"/>
      <c r="BJ15" s="136"/>
      <c r="BK15" s="136"/>
      <c r="BL15" s="137"/>
      <c r="BM15" s="137"/>
      <c r="BP15" s="134" t="str">
        <f>IF(COUNTIF(BP$7:BP14,B15)&gt;0,"",B15)&amp;""</f>
        <v/>
      </c>
      <c r="BQ15" s="138">
        <f t="shared" si="10"/>
        <v>0</v>
      </c>
      <c r="BR15" s="132">
        <f t="shared" si="11"/>
        <v>1</v>
      </c>
      <c r="BS15" s="138">
        <f t="shared" si="12"/>
        <v>0</v>
      </c>
      <c r="BT15" s="132">
        <f t="shared" si="13"/>
        <v>2</v>
      </c>
      <c r="BU15" s="133"/>
      <c r="BV15" s="133"/>
      <c r="BX15" s="1256" t="s">
        <v>2248</v>
      </c>
      <c r="BY15" s="165">
        <f>IFERROR(LOOKUP(BX15,基础数据!A:D),1)</f>
        <v>1</v>
      </c>
      <c r="BZ15" s="165">
        <f t="shared" si="14"/>
        <v>3.55771976932645</v>
      </c>
      <c r="CA15" s="165" t="e">
        <f t="shared" si="15"/>
        <v>#VALUE!</v>
      </c>
      <c r="CB15" s="165">
        <f t="shared" si="20"/>
        <v>80</v>
      </c>
      <c r="CC15" s="165" t="e">
        <f t="shared" si="16"/>
        <v>#VALUE!</v>
      </c>
      <c r="CD15" s="1257" t="s">
        <v>2237</v>
      </c>
    </row>
    <row r="16" ht="15" customHeight="1" spans="1:93">
      <c r="A16" s="123" t="str">
        <f>IF(B16="","",COUNT(A$7:A15)+1)</f>
        <v/>
      </c>
      <c r="B16" s="139"/>
      <c r="C16" s="139"/>
      <c r="D16" s="141"/>
      <c r="E16" s="126"/>
      <c r="F16" s="142"/>
      <c r="G16" s="127"/>
      <c r="H16" s="128"/>
      <c r="I16" s="128"/>
      <c r="J16" s="980"/>
      <c r="K16" s="143"/>
      <c r="L16" s="143"/>
      <c r="M16" s="129"/>
      <c r="N16" s="144"/>
      <c r="O16" s="144"/>
      <c r="P16" s="144"/>
      <c r="Q16" s="143"/>
      <c r="R16" s="353" t="str">
        <f t="shared" si="4"/>
        <v/>
      </c>
      <c r="S16" s="129" t="str">
        <f t="shared" si="17"/>
        <v/>
      </c>
      <c r="T16" s="1226" t="str">
        <f t="shared" si="5"/>
        <v/>
      </c>
      <c r="U16" s="1226" t="str">
        <f t="shared" si="6"/>
        <v/>
      </c>
      <c r="V16" s="353" t="str">
        <f t="shared" si="7"/>
        <v/>
      </c>
      <c r="W16" s="129">
        <v>0</v>
      </c>
      <c r="X16" s="129">
        <v>0</v>
      </c>
      <c r="Y16" s="129" t="str">
        <f t="shared" si="18"/>
        <v/>
      </c>
      <c r="Z16" s="129" t="str">
        <f t="shared" si="19"/>
        <v/>
      </c>
      <c r="AA16" s="145"/>
      <c r="BA16" s="78"/>
      <c r="BB16" s="132" t="s">
        <v>2255</v>
      </c>
      <c r="BC16" s="133"/>
      <c r="BD16" s="132" t="str">
        <f>IF(OR(B16="",BC16=""),"",COUNTIF(BC$8:BC16,"√"))</f>
        <v/>
      </c>
      <c r="BE16" s="134" t="str">
        <f t="shared" si="8"/>
        <v/>
      </c>
      <c r="BF16" s="135" t="str">
        <f t="shared" si="9"/>
        <v/>
      </c>
      <c r="BG16" s="135" t="str">
        <f t="shared" si="9"/>
        <v/>
      </c>
      <c r="BH16" s="136"/>
      <c r="BI16" s="136"/>
      <c r="BJ16" s="136"/>
      <c r="BK16" s="136"/>
      <c r="BL16" s="137"/>
      <c r="BM16" s="137"/>
      <c r="BP16" s="134" t="str">
        <f>IF(COUNTIF(BP$7:BP15,B16)&gt;0,"",B16)&amp;""</f>
        <v/>
      </c>
      <c r="BQ16" s="138">
        <f t="shared" si="10"/>
        <v>0</v>
      </c>
      <c r="BR16" s="132">
        <f t="shared" si="11"/>
        <v>1</v>
      </c>
      <c r="BS16" s="138">
        <f t="shared" si="12"/>
        <v>0</v>
      </c>
      <c r="BT16" s="132">
        <f t="shared" si="13"/>
        <v>2</v>
      </c>
      <c r="BU16" s="133"/>
      <c r="BV16" s="133"/>
      <c r="BX16" s="1256" t="s">
        <v>2248</v>
      </c>
      <c r="BY16" s="165">
        <f>IFERROR(LOOKUP(BX16,基础数据!A:D),1)</f>
        <v>1</v>
      </c>
      <c r="BZ16" s="165">
        <f t="shared" si="14"/>
        <v>3.55771976932645</v>
      </c>
      <c r="CA16" s="165" t="e">
        <f t="shared" si="15"/>
        <v>#VALUE!</v>
      </c>
      <c r="CB16" s="165">
        <f t="shared" si="20"/>
        <v>80</v>
      </c>
      <c r="CC16" s="165" t="e">
        <f t="shared" si="16"/>
        <v>#VALUE!</v>
      </c>
      <c r="CD16" s="1257" t="s">
        <v>2237</v>
      </c>
    </row>
    <row r="17" ht="15" customHeight="1" spans="1:82">
      <c r="A17" s="123" t="str">
        <f>IF(B17="","",COUNT(A$7:A16)+1)</f>
        <v/>
      </c>
      <c r="B17" s="798"/>
      <c r="C17" s="139"/>
      <c r="D17" s="141"/>
      <c r="E17" s="126"/>
      <c r="F17" s="142"/>
      <c r="G17" s="127"/>
      <c r="H17" s="128"/>
      <c r="I17" s="128"/>
      <c r="J17" s="980"/>
      <c r="K17" s="143"/>
      <c r="L17" s="143"/>
      <c r="M17" s="129"/>
      <c r="N17" s="144"/>
      <c r="O17" s="144"/>
      <c r="P17" s="144"/>
      <c r="Q17" s="143"/>
      <c r="R17" s="353" t="str">
        <f t="shared" si="4"/>
        <v/>
      </c>
      <c r="S17" s="129" t="str">
        <f t="shared" si="17"/>
        <v/>
      </c>
      <c r="T17" s="1226" t="str">
        <f t="shared" si="5"/>
        <v/>
      </c>
      <c r="U17" s="1226" t="str">
        <f t="shared" si="6"/>
        <v/>
      </c>
      <c r="V17" s="353" t="str">
        <f t="shared" si="7"/>
        <v/>
      </c>
      <c r="W17" s="129">
        <v>0</v>
      </c>
      <c r="X17" s="129">
        <v>0</v>
      </c>
      <c r="Y17" s="129" t="str">
        <f t="shared" si="18"/>
        <v/>
      </c>
      <c r="Z17" s="129" t="str">
        <f t="shared" si="19"/>
        <v/>
      </c>
      <c r="AA17" s="145"/>
      <c r="BA17" s="78"/>
      <c r="BB17" s="132" t="s">
        <v>2256</v>
      </c>
      <c r="BC17" s="133"/>
      <c r="BD17" s="132" t="str">
        <f>IF(OR(B17="",BC17=""),"",COUNTIF(BC$8:BC17,"√"))</f>
        <v/>
      </c>
      <c r="BE17" s="134" t="str">
        <f t="shared" si="8"/>
        <v/>
      </c>
      <c r="BF17" s="135" t="str">
        <f t="shared" si="9"/>
        <v/>
      </c>
      <c r="BG17" s="135" t="str">
        <f t="shared" si="9"/>
        <v/>
      </c>
      <c r="BH17" s="136"/>
      <c r="BI17" s="136"/>
      <c r="BJ17" s="136"/>
      <c r="BK17" s="136"/>
      <c r="BL17" s="137"/>
      <c r="BM17" s="137"/>
      <c r="BP17" s="134" t="str">
        <f>IF(COUNTIF(BP$7:BP16,B17)&gt;0,"",B17)&amp;""</f>
        <v/>
      </c>
      <c r="BQ17" s="138">
        <f t="shared" si="10"/>
        <v>0</v>
      </c>
      <c r="BR17" s="132">
        <f t="shared" si="11"/>
        <v>1</v>
      </c>
      <c r="BS17" s="138">
        <f t="shared" si="12"/>
        <v>0</v>
      </c>
      <c r="BT17" s="132">
        <f t="shared" si="13"/>
        <v>2</v>
      </c>
      <c r="BU17" s="133"/>
      <c r="BV17" s="133"/>
      <c r="BX17" s="1256" t="s">
        <v>2248</v>
      </c>
      <c r="BY17" s="165">
        <f>IFERROR(LOOKUP(BX17,基础数据!A:D),1)</f>
        <v>1</v>
      </c>
      <c r="BZ17" s="165">
        <f t="shared" si="14"/>
        <v>3.55771976932645</v>
      </c>
      <c r="CA17" s="165" t="e">
        <f t="shared" si="15"/>
        <v>#VALUE!</v>
      </c>
      <c r="CB17" s="165">
        <f t="shared" si="20"/>
        <v>80</v>
      </c>
      <c r="CC17" s="165" t="e">
        <f t="shared" si="16"/>
        <v>#VALUE!</v>
      </c>
      <c r="CD17" s="1257" t="s">
        <v>2237</v>
      </c>
    </row>
    <row r="18" ht="15" customHeight="1" spans="1:82">
      <c r="A18" s="123" t="str">
        <f>IF(B18="","",COUNT(A$7:A17)+1)</f>
        <v/>
      </c>
      <c r="B18" s="139"/>
      <c r="C18" s="139"/>
      <c r="D18" s="141"/>
      <c r="E18" s="126"/>
      <c r="F18" s="142"/>
      <c r="G18" s="127"/>
      <c r="H18" s="128"/>
      <c r="I18" s="128"/>
      <c r="J18" s="980"/>
      <c r="K18" s="143"/>
      <c r="L18" s="143"/>
      <c r="M18" s="129"/>
      <c r="N18" s="144"/>
      <c r="O18" s="144"/>
      <c r="P18" s="144"/>
      <c r="Q18" s="143"/>
      <c r="R18" s="353" t="str">
        <f t="shared" si="4"/>
        <v/>
      </c>
      <c r="S18" s="129" t="str">
        <f t="shared" si="17"/>
        <v/>
      </c>
      <c r="T18" s="1226" t="str">
        <f t="shared" si="5"/>
        <v/>
      </c>
      <c r="U18" s="1226" t="str">
        <f t="shared" si="6"/>
        <v/>
      </c>
      <c r="V18" s="353" t="str">
        <f t="shared" si="7"/>
        <v/>
      </c>
      <c r="W18" s="129">
        <v>0</v>
      </c>
      <c r="X18" s="129">
        <v>0</v>
      </c>
      <c r="Y18" s="129" t="str">
        <f t="shared" si="18"/>
        <v/>
      </c>
      <c r="Z18" s="129" t="str">
        <f t="shared" si="19"/>
        <v/>
      </c>
      <c r="AA18" s="145"/>
      <c r="BA18" s="78"/>
      <c r="BB18" s="132" t="s">
        <v>2257</v>
      </c>
      <c r="BC18" s="133"/>
      <c r="BD18" s="132" t="str">
        <f>IF(OR(B18="",BC18=""),"",COUNTIF(BC$8:BC18,"√"))</f>
        <v/>
      </c>
      <c r="BE18" s="134" t="str">
        <f t="shared" si="8"/>
        <v/>
      </c>
      <c r="BF18" s="135" t="str">
        <f t="shared" si="9"/>
        <v/>
      </c>
      <c r="BG18" s="135" t="str">
        <f t="shared" si="9"/>
        <v/>
      </c>
      <c r="BH18" s="136"/>
      <c r="BI18" s="136"/>
      <c r="BJ18" s="136"/>
      <c r="BK18" s="136"/>
      <c r="BL18" s="137"/>
      <c r="BM18" s="137"/>
      <c r="BP18" s="134" t="str">
        <f>IF(COUNTIF(BP$7:BP17,B18)&gt;0,"",B18)&amp;""</f>
        <v/>
      </c>
      <c r="BQ18" s="138">
        <f t="shared" si="10"/>
        <v>0</v>
      </c>
      <c r="BR18" s="132">
        <f t="shared" si="11"/>
        <v>1</v>
      </c>
      <c r="BS18" s="138">
        <f t="shared" si="12"/>
        <v>0</v>
      </c>
      <c r="BT18" s="132">
        <f t="shared" si="13"/>
        <v>2</v>
      </c>
      <c r="BU18" s="133"/>
      <c r="BV18" s="133"/>
      <c r="BX18" s="1256" t="s">
        <v>2248</v>
      </c>
      <c r="BY18" s="165">
        <f>IFERROR(LOOKUP(BX18,基础数据!A:D),1)</f>
        <v>1</v>
      </c>
      <c r="BZ18" s="165">
        <f t="shared" si="14"/>
        <v>3.55771976932645</v>
      </c>
      <c r="CA18" s="165" t="e">
        <f t="shared" si="15"/>
        <v>#VALUE!</v>
      </c>
      <c r="CB18" s="165">
        <f t="shared" si="20"/>
        <v>80</v>
      </c>
      <c r="CC18" s="165" t="e">
        <f t="shared" si="16"/>
        <v>#VALUE!</v>
      </c>
      <c r="CD18" s="1257" t="s">
        <v>2237</v>
      </c>
    </row>
    <row r="19" ht="15" customHeight="1" spans="1:82">
      <c r="A19" s="123" t="str">
        <f>IF(B19="","",COUNT(A$7:A18)+1)</f>
        <v/>
      </c>
      <c r="B19" s="139"/>
      <c r="C19" s="139"/>
      <c r="D19" s="141"/>
      <c r="E19" s="126"/>
      <c r="F19" s="142"/>
      <c r="G19" s="127"/>
      <c r="H19" s="128"/>
      <c r="I19" s="128"/>
      <c r="J19" s="980"/>
      <c r="K19" s="143"/>
      <c r="L19" s="143"/>
      <c r="M19" s="129"/>
      <c r="N19" s="144"/>
      <c r="O19" s="144"/>
      <c r="P19" s="144"/>
      <c r="Q19" s="143"/>
      <c r="R19" s="353" t="str">
        <f t="shared" si="4"/>
        <v/>
      </c>
      <c r="S19" s="129" t="str">
        <f t="shared" si="17"/>
        <v/>
      </c>
      <c r="T19" s="1226" t="str">
        <f t="shared" si="5"/>
        <v/>
      </c>
      <c r="U19" s="1226" t="str">
        <f t="shared" si="6"/>
        <v/>
      </c>
      <c r="V19" s="353" t="str">
        <f t="shared" si="7"/>
        <v/>
      </c>
      <c r="W19" s="129">
        <v>0</v>
      </c>
      <c r="X19" s="129">
        <v>0</v>
      </c>
      <c r="Y19" s="129" t="str">
        <f t="shared" si="18"/>
        <v/>
      </c>
      <c r="Z19" s="129" t="str">
        <f t="shared" si="19"/>
        <v/>
      </c>
      <c r="AA19" s="145"/>
      <c r="BA19" s="78"/>
      <c r="BB19" s="132" t="s">
        <v>2258</v>
      </c>
      <c r="BC19" s="133"/>
      <c r="BD19" s="132" t="str">
        <f>IF(OR(B19="",BC19=""),"",COUNTIF(BC$8:BC19,"√"))</f>
        <v/>
      </c>
      <c r="BE19" s="134" t="str">
        <f t="shared" si="8"/>
        <v/>
      </c>
      <c r="BF19" s="135" t="str">
        <f t="shared" si="9"/>
        <v/>
      </c>
      <c r="BG19" s="135" t="str">
        <f t="shared" si="9"/>
        <v/>
      </c>
      <c r="BH19" s="136"/>
      <c r="BI19" s="136"/>
      <c r="BJ19" s="136"/>
      <c r="BK19" s="136"/>
      <c r="BL19" s="137"/>
      <c r="BM19" s="137"/>
      <c r="BP19" s="134" t="str">
        <f>IF(COUNTIF(BP$7:BP18,B19)&gt;0,"",B19)&amp;""</f>
        <v/>
      </c>
      <c r="BQ19" s="138">
        <f t="shared" si="10"/>
        <v>0</v>
      </c>
      <c r="BR19" s="132">
        <f t="shared" si="11"/>
        <v>1</v>
      </c>
      <c r="BS19" s="138">
        <f t="shared" si="12"/>
        <v>0</v>
      </c>
      <c r="BT19" s="132">
        <f t="shared" si="13"/>
        <v>2</v>
      </c>
      <c r="BU19" s="133"/>
      <c r="BV19" s="133"/>
      <c r="BX19" s="1256" t="s">
        <v>2248</v>
      </c>
      <c r="BY19" s="165">
        <f>IFERROR(LOOKUP(BX19,基础数据!A:D),1)</f>
        <v>1</v>
      </c>
      <c r="BZ19" s="165">
        <f t="shared" si="14"/>
        <v>3.55771976932645</v>
      </c>
      <c r="CA19" s="165" t="e">
        <f t="shared" si="15"/>
        <v>#VALUE!</v>
      </c>
      <c r="CB19" s="165">
        <f t="shared" si="20"/>
        <v>80</v>
      </c>
      <c r="CC19" s="165" t="e">
        <f t="shared" si="16"/>
        <v>#VALUE!</v>
      </c>
      <c r="CD19" s="1257" t="s">
        <v>2237</v>
      </c>
    </row>
    <row r="20" ht="15" customHeight="1" spans="1:82">
      <c r="A20" s="123" t="str">
        <f>IF(B20="","",COUNT(A$7:A19)+1)</f>
        <v/>
      </c>
      <c r="B20" s="139"/>
      <c r="C20" s="139"/>
      <c r="D20" s="141"/>
      <c r="E20" s="126"/>
      <c r="F20" s="142"/>
      <c r="G20" s="127"/>
      <c r="H20" s="128"/>
      <c r="I20" s="128"/>
      <c r="J20" s="980"/>
      <c r="K20" s="143"/>
      <c r="L20" s="143"/>
      <c r="M20" s="129"/>
      <c r="N20" s="144"/>
      <c r="O20" s="144"/>
      <c r="P20" s="144"/>
      <c r="Q20" s="143"/>
      <c r="R20" s="353" t="str">
        <f t="shared" si="4"/>
        <v/>
      </c>
      <c r="S20" s="129" t="str">
        <f t="shared" si="17"/>
        <v/>
      </c>
      <c r="T20" s="1226" t="str">
        <f t="shared" si="5"/>
        <v/>
      </c>
      <c r="U20" s="1226" t="str">
        <f t="shared" si="6"/>
        <v/>
      </c>
      <c r="V20" s="353" t="str">
        <f t="shared" si="7"/>
        <v/>
      </c>
      <c r="W20" s="129">
        <v>0</v>
      </c>
      <c r="X20" s="129">
        <v>0</v>
      </c>
      <c r="Y20" s="129" t="str">
        <f t="shared" si="18"/>
        <v/>
      </c>
      <c r="Z20" s="129" t="str">
        <f t="shared" si="19"/>
        <v/>
      </c>
      <c r="AA20" s="145"/>
      <c r="BA20" s="78"/>
      <c r="BB20" s="132" t="s">
        <v>2259</v>
      </c>
      <c r="BC20" s="133"/>
      <c r="BD20" s="132" t="str">
        <f>IF(OR(B20="",BC20=""),"",COUNTIF(BC$8:BC20,"√"))</f>
        <v/>
      </c>
      <c r="BE20" s="134" t="str">
        <f t="shared" si="8"/>
        <v/>
      </c>
      <c r="BF20" s="135" t="str">
        <f t="shared" si="9"/>
        <v/>
      </c>
      <c r="BG20" s="135" t="str">
        <f t="shared" si="9"/>
        <v/>
      </c>
      <c r="BH20" s="136"/>
      <c r="BI20" s="136"/>
      <c r="BJ20" s="136"/>
      <c r="BK20" s="136"/>
      <c r="BL20" s="137"/>
      <c r="BM20" s="137"/>
      <c r="BP20" s="134" t="str">
        <f>IF(COUNTIF(BP$7:BP19,B20)&gt;0,"",B20)&amp;""</f>
        <v/>
      </c>
      <c r="BQ20" s="138">
        <f t="shared" si="10"/>
        <v>0</v>
      </c>
      <c r="BR20" s="132">
        <f t="shared" si="11"/>
        <v>1</v>
      </c>
      <c r="BS20" s="138">
        <f t="shared" si="12"/>
        <v>0</v>
      </c>
      <c r="BT20" s="132">
        <f t="shared" si="13"/>
        <v>2</v>
      </c>
      <c r="BU20" s="133"/>
      <c r="BV20" s="133"/>
      <c r="BX20" s="1256" t="s">
        <v>2248</v>
      </c>
      <c r="BY20" s="165">
        <f>IFERROR(LOOKUP(BX20,基础数据!A:D),1)</f>
        <v>1</v>
      </c>
      <c r="BZ20" s="165">
        <f t="shared" si="14"/>
        <v>3.55771976932645</v>
      </c>
      <c r="CA20" s="165" t="e">
        <f t="shared" si="15"/>
        <v>#VALUE!</v>
      </c>
      <c r="CB20" s="165">
        <f t="shared" si="20"/>
        <v>80</v>
      </c>
      <c r="CC20" s="165" t="e">
        <f t="shared" si="16"/>
        <v>#VALUE!</v>
      </c>
      <c r="CD20" s="1257" t="s">
        <v>2237</v>
      </c>
    </row>
    <row r="21" ht="15" customHeight="1" spans="1:82">
      <c r="A21" s="123" t="str">
        <f>IF(B21="","",COUNT(A$7:A20)+1)</f>
        <v/>
      </c>
      <c r="B21" s="798"/>
      <c r="C21" s="139"/>
      <c r="D21" s="141"/>
      <c r="E21" s="126"/>
      <c r="F21" s="142"/>
      <c r="G21" s="127"/>
      <c r="H21" s="128"/>
      <c r="I21" s="128"/>
      <c r="J21" s="980"/>
      <c r="K21" s="143"/>
      <c r="L21" s="143"/>
      <c r="M21" s="129"/>
      <c r="N21" s="144"/>
      <c r="O21" s="144"/>
      <c r="P21" s="144"/>
      <c r="Q21" s="143"/>
      <c r="R21" s="353" t="str">
        <f t="shared" si="4"/>
        <v/>
      </c>
      <c r="S21" s="129" t="str">
        <f t="shared" si="17"/>
        <v/>
      </c>
      <c r="T21" s="1226" t="str">
        <f t="shared" si="5"/>
        <v/>
      </c>
      <c r="U21" s="1226" t="str">
        <f t="shared" si="6"/>
        <v/>
      </c>
      <c r="V21" s="353" t="str">
        <f t="shared" si="7"/>
        <v/>
      </c>
      <c r="W21" s="129">
        <v>0</v>
      </c>
      <c r="X21" s="129">
        <v>0</v>
      </c>
      <c r="Y21" s="129" t="str">
        <f t="shared" si="18"/>
        <v/>
      </c>
      <c r="Z21" s="129" t="str">
        <f t="shared" si="19"/>
        <v/>
      </c>
      <c r="AA21" s="145"/>
      <c r="BA21" s="78"/>
      <c r="BB21" s="132" t="s">
        <v>2260</v>
      </c>
      <c r="BC21" s="133"/>
      <c r="BD21" s="132" t="str">
        <f>IF(OR(B21="",BC21=""),"",COUNTIF(BC$8:BC21,"√"))</f>
        <v/>
      </c>
      <c r="BE21" s="134" t="str">
        <f t="shared" si="8"/>
        <v/>
      </c>
      <c r="BF21" s="135" t="str">
        <f t="shared" si="9"/>
        <v/>
      </c>
      <c r="BG21" s="135" t="str">
        <f t="shared" si="9"/>
        <v/>
      </c>
      <c r="BH21" s="136"/>
      <c r="BI21" s="136"/>
      <c r="BJ21" s="136"/>
      <c r="BK21" s="136"/>
      <c r="BL21" s="137"/>
      <c r="BM21" s="137"/>
      <c r="BP21" s="134" t="str">
        <f>IF(COUNTIF(BP$7:BP20,B21)&gt;0,"",B21)&amp;""</f>
        <v/>
      </c>
      <c r="BQ21" s="138">
        <f t="shared" si="10"/>
        <v>0</v>
      </c>
      <c r="BR21" s="132">
        <f t="shared" si="11"/>
        <v>1</v>
      </c>
      <c r="BS21" s="138">
        <f t="shared" si="12"/>
        <v>0</v>
      </c>
      <c r="BT21" s="132">
        <f t="shared" si="13"/>
        <v>2</v>
      </c>
      <c r="BU21" s="133"/>
      <c r="BV21" s="133"/>
      <c r="BX21" s="1256" t="s">
        <v>2248</v>
      </c>
      <c r="BY21" s="165">
        <f>IFERROR(LOOKUP(BX21,基础数据!A:D),1)</f>
        <v>1</v>
      </c>
      <c r="BZ21" s="165">
        <f t="shared" si="14"/>
        <v>3.55771976932645</v>
      </c>
      <c r="CA21" s="165" t="e">
        <f t="shared" si="15"/>
        <v>#VALUE!</v>
      </c>
      <c r="CB21" s="165">
        <f>CO$7</f>
        <v>85</v>
      </c>
      <c r="CC21" s="165" t="e">
        <f t="shared" si="16"/>
        <v>#VALUE!</v>
      </c>
      <c r="CD21" s="1260" t="s">
        <v>2236</v>
      </c>
    </row>
    <row r="22" ht="15" customHeight="1" spans="1:82">
      <c r="A22" s="123" t="str">
        <f>IF(B22="","",COUNT(A$7:A21)+1)</f>
        <v/>
      </c>
      <c r="B22" s="139"/>
      <c r="C22" s="139"/>
      <c r="D22" s="141"/>
      <c r="E22" s="126"/>
      <c r="F22" s="142"/>
      <c r="G22" s="127"/>
      <c r="H22" s="128"/>
      <c r="I22" s="128"/>
      <c r="J22" s="980"/>
      <c r="K22" s="143"/>
      <c r="L22" s="143"/>
      <c r="M22" s="129"/>
      <c r="N22" s="144"/>
      <c r="O22" s="144"/>
      <c r="P22" s="144"/>
      <c r="Q22" s="143"/>
      <c r="R22" s="353" t="str">
        <f t="shared" si="4"/>
        <v/>
      </c>
      <c r="S22" s="129" t="str">
        <f t="shared" si="17"/>
        <v/>
      </c>
      <c r="T22" s="1226" t="str">
        <f t="shared" si="5"/>
        <v/>
      </c>
      <c r="U22" s="1226" t="str">
        <f t="shared" si="6"/>
        <v/>
      </c>
      <c r="V22" s="353" t="str">
        <f t="shared" si="7"/>
        <v/>
      </c>
      <c r="W22" s="129">
        <v>0</v>
      </c>
      <c r="X22" s="129">
        <v>0</v>
      </c>
      <c r="Y22" s="129" t="str">
        <f t="shared" si="18"/>
        <v/>
      </c>
      <c r="Z22" s="129" t="str">
        <f t="shared" si="19"/>
        <v/>
      </c>
      <c r="AA22" s="145"/>
      <c r="BA22" s="78"/>
      <c r="BB22" s="132" t="s">
        <v>2261</v>
      </c>
      <c r="BC22" s="133"/>
      <c r="BD22" s="132" t="str">
        <f>IF(OR(B22="",BC22=""),"",COUNTIF(BC$8:BC22,"√"))</f>
        <v/>
      </c>
      <c r="BE22" s="134" t="str">
        <f t="shared" si="8"/>
        <v/>
      </c>
      <c r="BF22" s="135" t="str">
        <f t="shared" si="9"/>
        <v/>
      </c>
      <c r="BG22" s="135" t="str">
        <f t="shared" si="9"/>
        <v/>
      </c>
      <c r="BH22" s="136"/>
      <c r="BI22" s="136"/>
      <c r="BJ22" s="136"/>
      <c r="BK22" s="136"/>
      <c r="BL22" s="137"/>
      <c r="BM22" s="137"/>
      <c r="BP22" s="134" t="str">
        <f>IF(COUNTIF(BP$7:BP21,B22)&gt;0,"",B22)&amp;""</f>
        <v/>
      </c>
      <c r="BQ22" s="138">
        <f t="shared" si="10"/>
        <v>0</v>
      </c>
      <c r="BR22" s="132">
        <f t="shared" si="11"/>
        <v>1</v>
      </c>
      <c r="BS22" s="138">
        <f t="shared" si="12"/>
        <v>0</v>
      </c>
      <c r="BT22" s="132">
        <f t="shared" si="13"/>
        <v>2</v>
      </c>
      <c r="BU22" s="133"/>
      <c r="BV22" s="133"/>
      <c r="BX22" s="1256" t="s">
        <v>2248</v>
      </c>
      <c r="BY22" s="165">
        <f>IFERROR(LOOKUP(BX22,基础数据!A:D),1)</f>
        <v>1</v>
      </c>
      <c r="BZ22" s="165">
        <f t="shared" si="14"/>
        <v>3.55771976932645</v>
      </c>
      <c r="CA22" s="165" t="e">
        <f t="shared" si="15"/>
        <v>#VALUE!</v>
      </c>
      <c r="CB22" s="165">
        <f t="shared" ref="CB22:CB24" si="21">CO$8</f>
        <v>80</v>
      </c>
      <c r="CC22" s="165" t="e">
        <f t="shared" si="16"/>
        <v>#VALUE!</v>
      </c>
      <c r="CD22" s="1257" t="s">
        <v>2237</v>
      </c>
    </row>
    <row r="23" ht="15" customHeight="1" spans="1:82">
      <c r="A23" s="123" t="str">
        <f>IF(B23="","",COUNT(A$7:A22)+1)</f>
        <v/>
      </c>
      <c r="B23" s="139"/>
      <c r="C23" s="139"/>
      <c r="D23" s="141"/>
      <c r="E23" s="126"/>
      <c r="F23" s="142"/>
      <c r="G23" s="127"/>
      <c r="H23" s="128"/>
      <c r="I23" s="128"/>
      <c r="J23" s="980"/>
      <c r="K23" s="143"/>
      <c r="L23" s="143"/>
      <c r="M23" s="129"/>
      <c r="N23" s="144"/>
      <c r="O23" s="144"/>
      <c r="P23" s="144"/>
      <c r="Q23" s="143"/>
      <c r="R23" s="353" t="str">
        <f t="shared" si="4"/>
        <v/>
      </c>
      <c r="S23" s="129" t="str">
        <f t="shared" si="17"/>
        <v/>
      </c>
      <c r="T23" s="1226" t="str">
        <f t="shared" si="5"/>
        <v/>
      </c>
      <c r="U23" s="1226" t="str">
        <f t="shared" si="6"/>
        <v/>
      </c>
      <c r="V23" s="353" t="str">
        <f t="shared" si="7"/>
        <v/>
      </c>
      <c r="W23" s="129">
        <v>0</v>
      </c>
      <c r="X23" s="129">
        <v>0</v>
      </c>
      <c r="Y23" s="129" t="str">
        <f t="shared" si="18"/>
        <v/>
      </c>
      <c r="Z23" s="129" t="str">
        <f t="shared" si="19"/>
        <v/>
      </c>
      <c r="AA23" s="145"/>
      <c r="BA23" s="78"/>
      <c r="BB23" s="132" t="s">
        <v>2262</v>
      </c>
      <c r="BC23" s="133"/>
      <c r="BD23" s="132" t="str">
        <f>IF(OR(B23="",BC23=""),"",COUNTIF(BC$8:BC23,"√"))</f>
        <v/>
      </c>
      <c r="BE23" s="134" t="str">
        <f t="shared" si="8"/>
        <v/>
      </c>
      <c r="BF23" s="135" t="str">
        <f t="shared" si="9"/>
        <v/>
      </c>
      <c r="BG23" s="135" t="str">
        <f t="shared" si="9"/>
        <v/>
      </c>
      <c r="BH23" s="136"/>
      <c r="BI23" s="136"/>
      <c r="BJ23" s="136"/>
      <c r="BK23" s="136"/>
      <c r="BL23" s="137"/>
      <c r="BM23" s="137"/>
      <c r="BP23" s="134" t="str">
        <f>IF(COUNTIF(BP$7:BP22,B23)&gt;0,"",B23)&amp;""</f>
        <v/>
      </c>
      <c r="BQ23" s="138">
        <f t="shared" si="10"/>
        <v>0</v>
      </c>
      <c r="BR23" s="132">
        <f t="shared" si="11"/>
        <v>1</v>
      </c>
      <c r="BS23" s="138">
        <f t="shared" si="12"/>
        <v>0</v>
      </c>
      <c r="BT23" s="132">
        <f t="shared" si="13"/>
        <v>2</v>
      </c>
      <c r="BU23" s="133"/>
      <c r="BV23" s="133"/>
      <c r="BX23" s="1256" t="s">
        <v>2248</v>
      </c>
      <c r="BY23" s="165">
        <f>IFERROR(LOOKUP(BX23,基础数据!A:D),1)</f>
        <v>1</v>
      </c>
      <c r="BZ23" s="165">
        <f t="shared" si="14"/>
        <v>3.55771976932645</v>
      </c>
      <c r="CA23" s="165" t="e">
        <f t="shared" si="15"/>
        <v>#VALUE!</v>
      </c>
      <c r="CB23" s="165">
        <f t="shared" si="21"/>
        <v>80</v>
      </c>
      <c r="CC23" s="165" t="e">
        <f t="shared" si="16"/>
        <v>#VALUE!</v>
      </c>
      <c r="CD23" s="1257" t="s">
        <v>2237</v>
      </c>
    </row>
    <row r="24" ht="15" customHeight="1" spans="1:82">
      <c r="A24" s="123" t="str">
        <f>IF(B24="","",COUNT(A$7:A23)+1)</f>
        <v/>
      </c>
      <c r="B24" s="139"/>
      <c r="C24" s="139"/>
      <c r="D24" s="141"/>
      <c r="E24" s="126"/>
      <c r="F24" s="142"/>
      <c r="G24" s="127"/>
      <c r="H24" s="128"/>
      <c r="I24" s="128"/>
      <c r="J24" s="980"/>
      <c r="K24" s="143"/>
      <c r="L24" s="143"/>
      <c r="M24" s="129"/>
      <c r="N24" s="144"/>
      <c r="O24" s="144"/>
      <c r="P24" s="144"/>
      <c r="Q24" s="143"/>
      <c r="R24" s="353" t="str">
        <f t="shared" si="4"/>
        <v/>
      </c>
      <c r="S24" s="129" t="str">
        <f t="shared" si="17"/>
        <v/>
      </c>
      <c r="T24" s="1226" t="str">
        <f t="shared" si="5"/>
        <v/>
      </c>
      <c r="U24" s="1226" t="str">
        <f t="shared" si="6"/>
        <v/>
      </c>
      <c r="V24" s="353" t="str">
        <f t="shared" si="7"/>
        <v/>
      </c>
      <c r="W24" s="129">
        <v>0</v>
      </c>
      <c r="X24" s="129">
        <v>0</v>
      </c>
      <c r="Y24" s="129" t="str">
        <f t="shared" si="18"/>
        <v/>
      </c>
      <c r="Z24" s="129" t="str">
        <f t="shared" si="19"/>
        <v/>
      </c>
      <c r="AA24" s="145"/>
      <c r="BA24" s="78"/>
      <c r="BB24" s="132" t="s">
        <v>2263</v>
      </c>
      <c r="BC24" s="133"/>
      <c r="BD24" s="132" t="str">
        <f>IF(OR(B24="",BC24=""),"",COUNTIF(BC$8:BC24,"√"))</f>
        <v/>
      </c>
      <c r="BE24" s="134" t="str">
        <f t="shared" si="8"/>
        <v/>
      </c>
      <c r="BF24" s="135" t="str">
        <f t="shared" si="9"/>
        <v/>
      </c>
      <c r="BG24" s="135" t="str">
        <f t="shared" si="9"/>
        <v/>
      </c>
      <c r="BH24" s="136"/>
      <c r="BI24" s="136"/>
      <c r="BJ24" s="136"/>
      <c r="BK24" s="136"/>
      <c r="BL24" s="137"/>
      <c r="BM24" s="137"/>
      <c r="BP24" s="134" t="str">
        <f>IF(COUNTIF(BP$7:BP23,B24)&gt;0,"",B24)&amp;""</f>
        <v/>
      </c>
      <c r="BQ24" s="138">
        <f t="shared" si="10"/>
        <v>0</v>
      </c>
      <c r="BR24" s="132">
        <f t="shared" si="11"/>
        <v>1</v>
      </c>
      <c r="BS24" s="138">
        <f t="shared" si="12"/>
        <v>0</v>
      </c>
      <c r="BT24" s="132">
        <f t="shared" si="13"/>
        <v>2</v>
      </c>
      <c r="BU24" s="133"/>
      <c r="BV24" s="133"/>
      <c r="BX24" s="1256" t="s">
        <v>2248</v>
      </c>
      <c r="BY24" s="165">
        <f>IFERROR(LOOKUP(BX24,基础数据!A:D),1)</f>
        <v>1</v>
      </c>
      <c r="BZ24" s="165">
        <f t="shared" si="14"/>
        <v>3.55771976932645</v>
      </c>
      <c r="CA24" s="165" t="e">
        <f t="shared" si="15"/>
        <v>#VALUE!</v>
      </c>
      <c r="CB24" s="165">
        <f t="shared" si="21"/>
        <v>80</v>
      </c>
      <c r="CC24" s="165" t="e">
        <f t="shared" si="16"/>
        <v>#VALUE!</v>
      </c>
      <c r="CD24" s="1257" t="s">
        <v>2237</v>
      </c>
    </row>
    <row r="25" ht="15" customHeight="1" spans="1:82">
      <c r="A25" s="123" t="str">
        <f>IF(B25="","",COUNT(A$7:A24)+1)</f>
        <v/>
      </c>
      <c r="B25" s="139"/>
      <c r="C25" s="139"/>
      <c r="D25" s="141"/>
      <c r="E25" s="126"/>
      <c r="F25" s="142"/>
      <c r="G25" s="127"/>
      <c r="H25" s="128"/>
      <c r="I25" s="128"/>
      <c r="J25" s="980"/>
      <c r="K25" s="143"/>
      <c r="L25" s="143"/>
      <c r="M25" s="129"/>
      <c r="N25" s="144"/>
      <c r="O25" s="144"/>
      <c r="P25" s="144"/>
      <c r="Q25" s="143"/>
      <c r="R25" s="353" t="str">
        <f t="shared" si="4"/>
        <v/>
      </c>
      <c r="S25" s="129" t="str">
        <f t="shared" si="17"/>
        <v/>
      </c>
      <c r="T25" s="1226" t="str">
        <f t="shared" si="5"/>
        <v/>
      </c>
      <c r="U25" s="1226" t="str">
        <f t="shared" si="6"/>
        <v/>
      </c>
      <c r="V25" s="353" t="str">
        <f t="shared" si="7"/>
        <v/>
      </c>
      <c r="W25" s="129">
        <v>0</v>
      </c>
      <c r="X25" s="129">
        <v>0</v>
      </c>
      <c r="Y25" s="129" t="str">
        <f t="shared" si="18"/>
        <v/>
      </c>
      <c r="Z25" s="129" t="str">
        <f t="shared" si="19"/>
        <v/>
      </c>
      <c r="AA25" s="145"/>
      <c r="BA25" s="78"/>
      <c r="BB25" s="132" t="s">
        <v>2264</v>
      </c>
      <c r="BC25" s="133"/>
      <c r="BD25" s="132" t="str">
        <f>IF(OR(B25="",BC25=""),"",COUNTIF(BC$8:BC25,"√"))</f>
        <v/>
      </c>
      <c r="BE25" s="134" t="str">
        <f t="shared" si="8"/>
        <v/>
      </c>
      <c r="BF25" s="135" t="str">
        <f t="shared" si="9"/>
        <v/>
      </c>
      <c r="BG25" s="135" t="str">
        <f t="shared" si="9"/>
        <v/>
      </c>
      <c r="BH25" s="136"/>
      <c r="BI25" s="136"/>
      <c r="BJ25" s="136"/>
      <c r="BK25" s="136"/>
      <c r="BL25" s="137"/>
      <c r="BM25" s="137"/>
      <c r="BP25" s="134" t="str">
        <f>IF(COUNTIF(BP$7:BP24,B25)&gt;0,"",B25)&amp;""</f>
        <v/>
      </c>
      <c r="BQ25" s="138">
        <f t="shared" si="10"/>
        <v>0</v>
      </c>
      <c r="BR25" s="132">
        <f t="shared" si="11"/>
        <v>1</v>
      </c>
      <c r="BS25" s="138">
        <f t="shared" si="12"/>
        <v>0</v>
      </c>
      <c r="BT25" s="132">
        <f t="shared" si="13"/>
        <v>2</v>
      </c>
      <c r="BU25" s="133"/>
      <c r="BV25" s="133"/>
      <c r="BX25" s="1256" t="s">
        <v>2248</v>
      </c>
      <c r="BY25" s="165">
        <f>IFERROR(LOOKUP(BX25,基础数据!A:D),1)</f>
        <v>1</v>
      </c>
      <c r="BZ25" s="165">
        <f t="shared" si="14"/>
        <v>3.55771976932645</v>
      </c>
      <c r="CA25" s="165" t="e">
        <f t="shared" si="15"/>
        <v>#VALUE!</v>
      </c>
      <c r="CB25" s="165">
        <f>CO$7</f>
        <v>85</v>
      </c>
      <c r="CC25" s="165" t="e">
        <f t="shared" si="16"/>
        <v>#VALUE!</v>
      </c>
      <c r="CD25" s="1260" t="s">
        <v>2236</v>
      </c>
    </row>
    <row r="26" ht="15" customHeight="1" spans="1:82">
      <c r="A26" s="123" t="str">
        <f>IF(B26="","",COUNT(A$7:A25)+1)</f>
        <v/>
      </c>
      <c r="B26" s="139"/>
      <c r="C26" s="139"/>
      <c r="D26" s="141"/>
      <c r="E26" s="126"/>
      <c r="F26" s="142"/>
      <c r="G26" s="127"/>
      <c r="H26" s="128"/>
      <c r="I26" s="128"/>
      <c r="J26" s="980"/>
      <c r="K26" s="143"/>
      <c r="L26" s="143"/>
      <c r="M26" s="129"/>
      <c r="N26" s="144"/>
      <c r="O26" s="144"/>
      <c r="P26" s="144"/>
      <c r="Q26" s="143"/>
      <c r="R26" s="353" t="str">
        <f t="shared" si="4"/>
        <v/>
      </c>
      <c r="S26" s="129" t="str">
        <f t="shared" si="17"/>
        <v/>
      </c>
      <c r="T26" s="1226" t="str">
        <f t="shared" si="5"/>
        <v/>
      </c>
      <c r="U26" s="1226" t="str">
        <f t="shared" si="6"/>
        <v/>
      </c>
      <c r="V26" s="353" t="str">
        <f t="shared" si="7"/>
        <v/>
      </c>
      <c r="W26" s="129">
        <v>0</v>
      </c>
      <c r="X26" s="129">
        <v>0</v>
      </c>
      <c r="Y26" s="129" t="str">
        <f t="shared" si="18"/>
        <v/>
      </c>
      <c r="Z26" s="129" t="str">
        <f t="shared" si="19"/>
        <v/>
      </c>
      <c r="AA26" s="145"/>
      <c r="BA26" s="78"/>
      <c r="BB26" s="132" t="s">
        <v>2265</v>
      </c>
      <c r="BC26" s="133"/>
      <c r="BD26" s="132" t="str">
        <f>IF(OR(B26="",BC26=""),"",COUNTIF(BC$8:BC26,"√"))</f>
        <v/>
      </c>
      <c r="BE26" s="134" t="str">
        <f t="shared" si="8"/>
        <v/>
      </c>
      <c r="BF26" s="135" t="str">
        <f t="shared" si="9"/>
        <v/>
      </c>
      <c r="BG26" s="135" t="str">
        <f t="shared" si="9"/>
        <v/>
      </c>
      <c r="BH26" s="136"/>
      <c r="BI26" s="136"/>
      <c r="BJ26" s="136"/>
      <c r="BK26" s="136"/>
      <c r="BL26" s="137"/>
      <c r="BM26" s="137"/>
      <c r="BP26" s="134" t="str">
        <f>IF(COUNTIF(BP$7:BP25,B26)&gt;0,"",B26)&amp;""</f>
        <v/>
      </c>
      <c r="BQ26" s="138">
        <f t="shared" si="10"/>
        <v>0</v>
      </c>
      <c r="BR26" s="132">
        <f t="shared" si="11"/>
        <v>1</v>
      </c>
      <c r="BS26" s="138">
        <f t="shared" si="12"/>
        <v>0</v>
      </c>
      <c r="BT26" s="132">
        <f t="shared" si="13"/>
        <v>2</v>
      </c>
      <c r="BU26" s="133"/>
      <c r="BV26" s="133"/>
      <c r="BX26" s="1256" t="s">
        <v>2248</v>
      </c>
      <c r="BY26" s="165">
        <f>IFERROR(LOOKUP(BX26,基础数据!A:D),1)</f>
        <v>1</v>
      </c>
      <c r="BZ26" s="165">
        <f t="shared" si="14"/>
        <v>3.55771976932645</v>
      </c>
      <c r="CA26" s="165" t="e">
        <f t="shared" si="15"/>
        <v>#VALUE!</v>
      </c>
      <c r="CB26" s="165">
        <f t="shared" ref="CB26:CB28" si="22">CO$8</f>
        <v>80</v>
      </c>
      <c r="CC26" s="165" t="e">
        <f t="shared" si="16"/>
        <v>#VALUE!</v>
      </c>
      <c r="CD26" s="1257" t="s">
        <v>2237</v>
      </c>
    </row>
    <row r="27" ht="15" customHeight="1" spans="1:82">
      <c r="A27" s="123" t="str">
        <f>IF(B27="","",COUNT(A$7:A26)+1)</f>
        <v/>
      </c>
      <c r="B27" s="139"/>
      <c r="C27" s="139"/>
      <c r="D27" s="141"/>
      <c r="E27" s="126"/>
      <c r="F27" s="142"/>
      <c r="G27" s="127"/>
      <c r="H27" s="128"/>
      <c r="I27" s="128"/>
      <c r="J27" s="980"/>
      <c r="K27" s="143"/>
      <c r="L27" s="143"/>
      <c r="M27" s="129"/>
      <c r="N27" s="144"/>
      <c r="O27" s="144"/>
      <c r="P27" s="144"/>
      <c r="Q27" s="143"/>
      <c r="R27" s="353" t="str">
        <f t="shared" si="4"/>
        <v/>
      </c>
      <c r="S27" s="129" t="str">
        <f t="shared" si="17"/>
        <v/>
      </c>
      <c r="T27" s="1226" t="str">
        <f t="shared" si="5"/>
        <v/>
      </c>
      <c r="U27" s="1226" t="str">
        <f t="shared" si="6"/>
        <v/>
      </c>
      <c r="V27" s="353" t="str">
        <f t="shared" si="7"/>
        <v/>
      </c>
      <c r="W27" s="129">
        <v>0</v>
      </c>
      <c r="X27" s="129">
        <v>0</v>
      </c>
      <c r="Y27" s="129" t="str">
        <f t="shared" si="18"/>
        <v/>
      </c>
      <c r="Z27" s="129" t="str">
        <f t="shared" si="19"/>
        <v/>
      </c>
      <c r="AA27" s="145"/>
      <c r="BA27" s="78"/>
      <c r="BB27" s="132" t="s">
        <v>2266</v>
      </c>
      <c r="BC27" s="133"/>
      <c r="BD27" s="132" t="str">
        <f>IF(OR(B27="",BC27=""),"",COUNTIF(BC$8:BC27,"√"))</f>
        <v/>
      </c>
      <c r="BE27" s="134" t="str">
        <f t="shared" si="8"/>
        <v/>
      </c>
      <c r="BF27" s="135" t="str">
        <f t="shared" si="9"/>
        <v/>
      </c>
      <c r="BG27" s="135" t="str">
        <f t="shared" si="9"/>
        <v/>
      </c>
      <c r="BH27" s="136"/>
      <c r="BI27" s="136"/>
      <c r="BJ27" s="136"/>
      <c r="BK27" s="136"/>
      <c r="BL27" s="137"/>
      <c r="BM27" s="137"/>
      <c r="BP27" s="134" t="str">
        <f>IF(COUNTIF(BP$7:BP26,B27)&gt;0,"",B27)&amp;""</f>
        <v/>
      </c>
      <c r="BQ27" s="138">
        <f t="shared" si="10"/>
        <v>0</v>
      </c>
      <c r="BR27" s="132">
        <f t="shared" si="11"/>
        <v>1</v>
      </c>
      <c r="BS27" s="138">
        <f t="shared" si="12"/>
        <v>0</v>
      </c>
      <c r="BT27" s="132">
        <f t="shared" si="13"/>
        <v>2</v>
      </c>
      <c r="BU27" s="133"/>
      <c r="BV27" s="133"/>
      <c r="BX27" s="1256">
        <v>43100</v>
      </c>
      <c r="BY27" s="165">
        <f>IFERROR(LOOKUP(BX27,基础数据!A:D),1)</f>
        <v>3.53915880885741</v>
      </c>
      <c r="BZ27" s="165">
        <f t="shared" si="14"/>
        <v>1.00524445538375</v>
      </c>
      <c r="CA27" s="165" t="e">
        <f t="shared" si="15"/>
        <v>#VALUE!</v>
      </c>
      <c r="CB27" s="165">
        <f t="shared" si="22"/>
        <v>80</v>
      </c>
      <c r="CC27" s="165" t="e">
        <f t="shared" si="16"/>
        <v>#VALUE!</v>
      </c>
      <c r="CD27" s="1257" t="s">
        <v>2237</v>
      </c>
    </row>
    <row r="28" ht="15" customHeight="1" spans="1:82">
      <c r="A28" s="123" t="str">
        <f>IF(B28="","",COUNT(A$7:A27)+1)</f>
        <v/>
      </c>
      <c r="B28" s="139"/>
      <c r="C28" s="139"/>
      <c r="D28" s="141"/>
      <c r="E28" s="126"/>
      <c r="F28" s="142"/>
      <c r="G28" s="127"/>
      <c r="H28" s="128"/>
      <c r="I28" s="128"/>
      <c r="J28" s="980"/>
      <c r="K28" s="143"/>
      <c r="L28" s="143"/>
      <c r="M28" s="129"/>
      <c r="N28" s="144"/>
      <c r="O28" s="144"/>
      <c r="P28" s="144"/>
      <c r="Q28" s="143"/>
      <c r="R28" s="353" t="str">
        <f t="shared" si="4"/>
        <v/>
      </c>
      <c r="S28" s="129" t="str">
        <f t="shared" si="17"/>
        <v/>
      </c>
      <c r="T28" s="1226" t="str">
        <f t="shared" si="5"/>
        <v/>
      </c>
      <c r="U28" s="1226" t="str">
        <f t="shared" si="6"/>
        <v/>
      </c>
      <c r="V28" s="353" t="str">
        <f t="shared" si="7"/>
        <v/>
      </c>
      <c r="W28" s="129">
        <v>0</v>
      </c>
      <c r="X28" s="129">
        <v>0</v>
      </c>
      <c r="Y28" s="129" t="str">
        <f t="shared" si="18"/>
        <v/>
      </c>
      <c r="Z28" s="129" t="str">
        <f t="shared" si="19"/>
        <v/>
      </c>
      <c r="AA28" s="145"/>
      <c r="BA28" s="78"/>
      <c r="BB28" s="132" t="s">
        <v>2267</v>
      </c>
      <c r="BC28" s="133"/>
      <c r="BD28" s="132" t="str">
        <f>IF(OR(B28="",BC28=""),"",COUNTIF(BC$8:BC28,"√"))</f>
        <v/>
      </c>
      <c r="BE28" s="134" t="str">
        <f t="shared" si="8"/>
        <v/>
      </c>
      <c r="BF28" s="135" t="str">
        <f t="shared" si="9"/>
        <v/>
      </c>
      <c r="BG28" s="135" t="str">
        <f t="shared" si="9"/>
        <v/>
      </c>
      <c r="BH28" s="136"/>
      <c r="BI28" s="136"/>
      <c r="BJ28" s="136"/>
      <c r="BK28" s="136"/>
      <c r="BL28" s="137"/>
      <c r="BM28" s="137"/>
      <c r="BP28" s="134" t="str">
        <f>IF(COUNTIF(BP$7:BP27,B28)&gt;0,"",B28)&amp;""</f>
        <v/>
      </c>
      <c r="BQ28" s="138">
        <f t="shared" si="10"/>
        <v>0</v>
      </c>
      <c r="BR28" s="132">
        <f t="shared" si="11"/>
        <v>1</v>
      </c>
      <c r="BS28" s="138">
        <f t="shared" si="12"/>
        <v>0</v>
      </c>
      <c r="BT28" s="132">
        <f t="shared" si="13"/>
        <v>2</v>
      </c>
      <c r="BU28" s="133"/>
      <c r="BV28" s="133"/>
      <c r="BX28" s="1256">
        <v>43100</v>
      </c>
      <c r="BY28" s="165">
        <f>IFERROR(LOOKUP(BX28,基础数据!A:D),1)</f>
        <v>3.53915880885741</v>
      </c>
      <c r="BZ28" s="165">
        <f t="shared" si="14"/>
        <v>1.00524445538375</v>
      </c>
      <c r="CA28" s="165" t="e">
        <f t="shared" si="15"/>
        <v>#VALUE!</v>
      </c>
      <c r="CB28" s="165">
        <f t="shared" si="22"/>
        <v>80</v>
      </c>
      <c r="CC28" s="165" t="e">
        <f t="shared" si="16"/>
        <v>#VALUE!</v>
      </c>
      <c r="CD28" s="1257" t="s">
        <v>2237</v>
      </c>
    </row>
    <row r="29" ht="15" customHeight="1" spans="1:82">
      <c r="A29" s="123" t="str">
        <f>IF(B29="","",COUNT(A$7:A28)+1)</f>
        <v/>
      </c>
      <c r="B29" s="139"/>
      <c r="C29" s="139"/>
      <c r="D29" s="141"/>
      <c r="E29" s="126"/>
      <c r="F29" s="142"/>
      <c r="G29" s="127"/>
      <c r="H29" s="128"/>
      <c r="I29" s="128"/>
      <c r="J29" s="980"/>
      <c r="K29" s="143"/>
      <c r="L29" s="143"/>
      <c r="M29" s="129"/>
      <c r="N29" s="144"/>
      <c r="O29" s="144"/>
      <c r="P29" s="144"/>
      <c r="Q29" s="143"/>
      <c r="R29" s="353" t="str">
        <f t="shared" si="4"/>
        <v/>
      </c>
      <c r="S29" s="129" t="str">
        <f t="shared" si="17"/>
        <v/>
      </c>
      <c r="T29" s="1226" t="str">
        <f t="shared" si="5"/>
        <v/>
      </c>
      <c r="U29" s="1226" t="str">
        <f t="shared" si="6"/>
        <v/>
      </c>
      <c r="V29" s="353" t="str">
        <f t="shared" si="7"/>
        <v/>
      </c>
      <c r="W29" s="129">
        <v>0</v>
      </c>
      <c r="X29" s="129">
        <v>0</v>
      </c>
      <c r="Y29" s="129" t="str">
        <f t="shared" si="18"/>
        <v/>
      </c>
      <c r="Z29" s="129" t="str">
        <f t="shared" si="19"/>
        <v/>
      </c>
      <c r="AA29" s="145"/>
      <c r="BA29" s="78"/>
      <c r="BB29" s="132" t="s">
        <v>2268</v>
      </c>
      <c r="BC29" s="133"/>
      <c r="BD29" s="132" t="str">
        <f>IF(OR(B29="",BC29=""),"",COUNTIF(BC$8:BC29,"√"))</f>
        <v/>
      </c>
      <c r="BE29" s="134" t="str">
        <f t="shared" si="8"/>
        <v/>
      </c>
      <c r="BF29" s="135" t="str">
        <f t="shared" si="9"/>
        <v/>
      </c>
      <c r="BG29" s="135" t="str">
        <f t="shared" si="9"/>
        <v/>
      </c>
      <c r="BH29" s="136"/>
      <c r="BI29" s="136"/>
      <c r="BJ29" s="136"/>
      <c r="BK29" s="136"/>
      <c r="BL29" s="137"/>
      <c r="BM29" s="137"/>
      <c r="BP29" s="134" t="str">
        <f>IF(COUNTIF(BP$7:BP28,B29)&gt;0,"",B29)&amp;""</f>
        <v/>
      </c>
      <c r="BQ29" s="138">
        <f t="shared" si="10"/>
        <v>0</v>
      </c>
      <c r="BR29" s="132">
        <f t="shared" ref="BR29:BR60" si="23">RANK(BQ29,BQ$8:BQ$397)</f>
        <v>1</v>
      </c>
      <c r="BS29" s="138">
        <f t="shared" si="12"/>
        <v>0</v>
      </c>
      <c r="BT29" s="132">
        <f t="shared" ref="BT29:BT60" si="24">RANK(BS29,BS$8:BS$397)</f>
        <v>2</v>
      </c>
      <c r="BU29" s="133"/>
      <c r="BV29" s="133"/>
      <c r="BX29" s="1256">
        <v>43100</v>
      </c>
      <c r="BY29" s="165">
        <f>IFERROR(LOOKUP(BX29,基础数据!A:D),1)</f>
        <v>3.53915880885741</v>
      </c>
      <c r="BZ29" s="165">
        <f t="shared" si="14"/>
        <v>1.00524445538375</v>
      </c>
      <c r="CA29" s="165" t="e">
        <f t="shared" si="15"/>
        <v>#VALUE!</v>
      </c>
      <c r="CB29" s="165">
        <f>CO$7</f>
        <v>85</v>
      </c>
      <c r="CC29" s="165" t="e">
        <f t="shared" si="16"/>
        <v>#VALUE!</v>
      </c>
      <c r="CD29" s="1260" t="s">
        <v>2236</v>
      </c>
    </row>
    <row r="30" ht="15" customHeight="1" spans="1:82">
      <c r="A30" s="123" t="str">
        <f>IF(B30="","",COUNT(A$7:A29)+1)</f>
        <v/>
      </c>
      <c r="B30" s="798"/>
      <c r="C30" s="139"/>
      <c r="D30" s="141"/>
      <c r="E30" s="126"/>
      <c r="F30" s="142"/>
      <c r="G30" s="127"/>
      <c r="H30" s="128"/>
      <c r="I30" s="128"/>
      <c r="J30" s="980"/>
      <c r="K30" s="143"/>
      <c r="L30" s="143"/>
      <c r="M30" s="129"/>
      <c r="N30" s="144"/>
      <c r="O30" s="144"/>
      <c r="P30" s="144"/>
      <c r="Q30" s="143"/>
      <c r="R30" s="353" t="str">
        <f t="shared" si="4"/>
        <v/>
      </c>
      <c r="S30" s="129" t="str">
        <f t="shared" si="17"/>
        <v/>
      </c>
      <c r="T30" s="1226" t="str">
        <f t="shared" si="5"/>
        <v/>
      </c>
      <c r="U30" s="1226" t="str">
        <f t="shared" si="6"/>
        <v/>
      </c>
      <c r="V30" s="353" t="str">
        <f t="shared" si="7"/>
        <v/>
      </c>
      <c r="W30" s="129">
        <v>0</v>
      </c>
      <c r="X30" s="129">
        <v>0</v>
      </c>
      <c r="Y30" s="129" t="str">
        <f t="shared" si="18"/>
        <v/>
      </c>
      <c r="Z30" s="129" t="str">
        <f t="shared" si="19"/>
        <v/>
      </c>
      <c r="AA30" s="145"/>
      <c r="BA30" s="78"/>
      <c r="BB30" s="132" t="s">
        <v>2269</v>
      </c>
      <c r="BC30" s="133"/>
      <c r="BD30" s="132" t="str">
        <f>IF(OR(B30="",BC30=""),"",COUNTIF(BC$8:BC30,"√"))</f>
        <v/>
      </c>
      <c r="BE30" s="134" t="str">
        <f t="shared" si="8"/>
        <v/>
      </c>
      <c r="BF30" s="135" t="str">
        <f t="shared" si="9"/>
        <v/>
      </c>
      <c r="BG30" s="135" t="str">
        <f t="shared" si="9"/>
        <v/>
      </c>
      <c r="BH30" s="136"/>
      <c r="BI30" s="136"/>
      <c r="BJ30" s="136"/>
      <c r="BK30" s="136"/>
      <c r="BL30" s="137"/>
      <c r="BM30" s="137"/>
      <c r="BP30" s="134" t="str">
        <f>IF(COUNTIF(BP$7:BP29,B30)&gt;0,"",B30)&amp;""</f>
        <v/>
      </c>
      <c r="BQ30" s="138">
        <f t="shared" si="10"/>
        <v>0</v>
      </c>
      <c r="BR30" s="132">
        <f t="shared" si="23"/>
        <v>1</v>
      </c>
      <c r="BS30" s="138">
        <f t="shared" si="12"/>
        <v>0</v>
      </c>
      <c r="BT30" s="132">
        <f t="shared" si="24"/>
        <v>2</v>
      </c>
      <c r="BU30" s="133"/>
      <c r="BV30" s="133"/>
      <c r="BX30" s="1256">
        <v>44908</v>
      </c>
      <c r="BY30" s="165">
        <f>IFERROR(LOOKUP(BX30,基础数据!A:D),1)</f>
        <v>3.84333367100529</v>
      </c>
      <c r="BZ30" s="165">
        <f t="shared" si="14"/>
        <v>0.925685895077611</v>
      </c>
      <c r="CA30" s="165" t="e">
        <f t="shared" si="15"/>
        <v>#VALUE!</v>
      </c>
      <c r="CB30" s="165">
        <f t="shared" ref="CB30:CB35" si="25">CO$8</f>
        <v>80</v>
      </c>
      <c r="CC30" s="165" t="e">
        <f t="shared" si="16"/>
        <v>#VALUE!</v>
      </c>
      <c r="CD30" s="1257" t="s">
        <v>2237</v>
      </c>
    </row>
    <row r="31" ht="15" customHeight="1" spans="1:82">
      <c r="A31" s="123" t="str">
        <f>IF(B31="","",COUNT(A$7:A30)+1)</f>
        <v/>
      </c>
      <c r="B31" s="139"/>
      <c r="C31" s="139"/>
      <c r="D31" s="141"/>
      <c r="E31" s="126"/>
      <c r="F31" s="142"/>
      <c r="G31" s="127"/>
      <c r="H31" s="128"/>
      <c r="I31" s="128"/>
      <c r="J31" s="980"/>
      <c r="K31" s="143"/>
      <c r="L31" s="143"/>
      <c r="M31" s="129"/>
      <c r="N31" s="144"/>
      <c r="O31" s="144"/>
      <c r="P31" s="144"/>
      <c r="Q31" s="143"/>
      <c r="R31" s="353" t="str">
        <f t="shared" si="4"/>
        <v/>
      </c>
      <c r="S31" s="129" t="str">
        <f t="shared" si="17"/>
        <v/>
      </c>
      <c r="T31" s="1226" t="str">
        <f t="shared" si="5"/>
        <v/>
      </c>
      <c r="U31" s="1226" t="str">
        <f t="shared" si="6"/>
        <v/>
      </c>
      <c r="V31" s="353" t="str">
        <f t="shared" si="7"/>
        <v/>
      </c>
      <c r="W31" s="129">
        <v>0</v>
      </c>
      <c r="X31" s="129">
        <v>0</v>
      </c>
      <c r="Y31" s="129" t="str">
        <f t="shared" si="18"/>
        <v/>
      </c>
      <c r="Z31" s="129" t="str">
        <f t="shared" si="19"/>
        <v/>
      </c>
      <c r="AA31" s="145"/>
      <c r="BA31" s="78"/>
      <c r="BB31" s="132" t="s">
        <v>2270</v>
      </c>
      <c r="BC31" s="133"/>
      <c r="BD31" s="132" t="str">
        <f>IF(OR(B31="",BC31=""),"",COUNTIF(BC$8:BC31,"√"))</f>
        <v/>
      </c>
      <c r="BE31" s="134" t="str">
        <f t="shared" si="8"/>
        <v/>
      </c>
      <c r="BF31" s="135" t="str">
        <f t="shared" si="9"/>
        <v/>
      </c>
      <c r="BG31" s="135" t="str">
        <f t="shared" si="9"/>
        <v/>
      </c>
      <c r="BH31" s="136"/>
      <c r="BI31" s="136"/>
      <c r="BJ31" s="136"/>
      <c r="BK31" s="136"/>
      <c r="BL31" s="137"/>
      <c r="BM31" s="137"/>
      <c r="BP31" s="134" t="str">
        <f>IF(COUNTIF(BP$7:BP30,B31)&gt;0,"",B31)&amp;""</f>
        <v/>
      </c>
      <c r="BQ31" s="138">
        <f t="shared" si="10"/>
        <v>0</v>
      </c>
      <c r="BR31" s="132">
        <f t="shared" si="23"/>
        <v>1</v>
      </c>
      <c r="BS31" s="138">
        <f t="shared" si="12"/>
        <v>0</v>
      </c>
      <c r="BT31" s="132">
        <f t="shared" si="24"/>
        <v>2</v>
      </c>
      <c r="BU31" s="133"/>
      <c r="BV31" s="133"/>
      <c r="BX31" s="1256">
        <v>44908</v>
      </c>
      <c r="BY31" s="165">
        <f>IFERROR(LOOKUP(BX31,基础数据!A:D),1)</f>
        <v>3.84333367100529</v>
      </c>
      <c r="BZ31" s="165">
        <f t="shared" si="14"/>
        <v>0.925685895077611</v>
      </c>
      <c r="CA31" s="165" t="e">
        <f t="shared" si="15"/>
        <v>#VALUE!</v>
      </c>
      <c r="CB31" s="165">
        <f t="shared" si="25"/>
        <v>80</v>
      </c>
      <c r="CC31" s="165" t="e">
        <f t="shared" si="16"/>
        <v>#VALUE!</v>
      </c>
      <c r="CD31" s="1257" t="s">
        <v>2237</v>
      </c>
    </row>
    <row r="32" ht="15" customHeight="1" spans="1:82">
      <c r="A32" s="123" t="str">
        <f>IF(B32="","",COUNT(A$7:A31)+1)</f>
        <v/>
      </c>
      <c r="B32" s="139"/>
      <c r="C32" s="139"/>
      <c r="D32" s="141"/>
      <c r="E32" s="126"/>
      <c r="F32" s="142"/>
      <c r="G32" s="127"/>
      <c r="H32" s="128"/>
      <c r="I32" s="128"/>
      <c r="J32" s="980"/>
      <c r="K32" s="143"/>
      <c r="L32" s="143"/>
      <c r="M32" s="129"/>
      <c r="N32" s="144"/>
      <c r="O32" s="144"/>
      <c r="P32" s="144"/>
      <c r="Q32" s="143"/>
      <c r="R32" s="353" t="str">
        <f t="shared" si="4"/>
        <v/>
      </c>
      <c r="S32" s="129" t="str">
        <f t="shared" si="17"/>
        <v/>
      </c>
      <c r="T32" s="1226" t="str">
        <f t="shared" si="5"/>
        <v/>
      </c>
      <c r="U32" s="1226" t="str">
        <f t="shared" si="6"/>
        <v/>
      </c>
      <c r="V32" s="353" t="str">
        <f t="shared" si="7"/>
        <v/>
      </c>
      <c r="W32" s="129">
        <v>0</v>
      </c>
      <c r="X32" s="129">
        <v>0</v>
      </c>
      <c r="Y32" s="129" t="str">
        <f t="shared" si="18"/>
        <v/>
      </c>
      <c r="Z32" s="129" t="str">
        <f t="shared" si="19"/>
        <v/>
      </c>
      <c r="AA32" s="145"/>
      <c r="BA32" s="78"/>
      <c r="BB32" s="132" t="s">
        <v>2271</v>
      </c>
      <c r="BC32" s="133"/>
      <c r="BD32" s="132" t="str">
        <f>IF(OR(B32="",BC32=""),"",COUNTIF(BC$8:BC32,"√"))</f>
        <v/>
      </c>
      <c r="BE32" s="134" t="str">
        <f t="shared" si="8"/>
        <v/>
      </c>
      <c r="BF32" s="135" t="str">
        <f t="shared" si="9"/>
        <v/>
      </c>
      <c r="BG32" s="135" t="str">
        <f t="shared" si="9"/>
        <v/>
      </c>
      <c r="BH32" s="136"/>
      <c r="BI32" s="136"/>
      <c r="BJ32" s="136"/>
      <c r="BK32" s="136"/>
      <c r="BL32" s="137"/>
      <c r="BM32" s="137"/>
      <c r="BP32" s="134" t="str">
        <f>IF(COUNTIF(BP$7:BP31,B32)&gt;0,"",B32)&amp;""</f>
        <v/>
      </c>
      <c r="BQ32" s="138">
        <f t="shared" si="10"/>
        <v>0</v>
      </c>
      <c r="BR32" s="132">
        <f t="shared" si="23"/>
        <v>1</v>
      </c>
      <c r="BS32" s="138">
        <f t="shared" si="12"/>
        <v>0</v>
      </c>
      <c r="BT32" s="132">
        <f t="shared" si="24"/>
        <v>2</v>
      </c>
      <c r="BU32" s="133"/>
      <c r="BV32" s="133"/>
      <c r="BX32" s="1256">
        <v>44908</v>
      </c>
      <c r="BY32" s="165">
        <f>IFERROR(LOOKUP(BX32,基础数据!A:D),1)</f>
        <v>3.84333367100529</v>
      </c>
      <c r="BZ32" s="165">
        <f t="shared" si="14"/>
        <v>0.925685895077611</v>
      </c>
      <c r="CA32" s="165" t="e">
        <f t="shared" si="15"/>
        <v>#VALUE!</v>
      </c>
      <c r="CB32" s="165">
        <f t="shared" si="25"/>
        <v>80</v>
      </c>
      <c r="CC32" s="165" t="e">
        <f t="shared" si="16"/>
        <v>#VALUE!</v>
      </c>
      <c r="CD32" s="1257" t="s">
        <v>2237</v>
      </c>
    </row>
    <row r="33" ht="15" customHeight="1" spans="1:82">
      <c r="A33" s="123" t="str">
        <f>IF(B33="","",COUNT(A$7:A32)+1)</f>
        <v/>
      </c>
      <c r="B33" s="139"/>
      <c r="C33" s="139"/>
      <c r="D33" s="141"/>
      <c r="E33" s="126"/>
      <c r="F33" s="142"/>
      <c r="G33" s="127"/>
      <c r="H33" s="128"/>
      <c r="I33" s="128"/>
      <c r="J33" s="980"/>
      <c r="K33" s="143"/>
      <c r="L33" s="143"/>
      <c r="M33" s="129"/>
      <c r="N33" s="144"/>
      <c r="O33" s="144"/>
      <c r="P33" s="144"/>
      <c r="Q33" s="143"/>
      <c r="R33" s="353" t="str">
        <f t="shared" si="4"/>
        <v/>
      </c>
      <c r="S33" s="129" t="str">
        <f t="shared" si="17"/>
        <v/>
      </c>
      <c r="T33" s="1226" t="str">
        <f t="shared" si="5"/>
        <v/>
      </c>
      <c r="U33" s="1226" t="str">
        <f t="shared" si="6"/>
        <v/>
      </c>
      <c r="V33" s="353" t="str">
        <f t="shared" si="7"/>
        <v/>
      </c>
      <c r="W33" s="129">
        <v>0</v>
      </c>
      <c r="X33" s="129">
        <v>0</v>
      </c>
      <c r="Y33" s="129" t="str">
        <f t="shared" si="18"/>
        <v/>
      </c>
      <c r="Z33" s="129" t="str">
        <f t="shared" si="19"/>
        <v/>
      </c>
      <c r="AA33" s="145"/>
      <c r="BA33" s="78"/>
      <c r="BB33" s="132" t="s">
        <v>2272</v>
      </c>
      <c r="BC33" s="133"/>
      <c r="BD33" s="132" t="str">
        <f>IF(OR(B33="",BC33=""),"",COUNTIF(BC$8:BC33,"√"))</f>
        <v/>
      </c>
      <c r="BE33" s="134" t="str">
        <f t="shared" si="8"/>
        <v/>
      </c>
      <c r="BF33" s="135" t="str">
        <f t="shared" si="9"/>
        <v/>
      </c>
      <c r="BG33" s="135" t="str">
        <f t="shared" si="9"/>
        <v/>
      </c>
      <c r="BH33" s="136"/>
      <c r="BI33" s="136"/>
      <c r="BJ33" s="136"/>
      <c r="BK33" s="136"/>
      <c r="BL33" s="137"/>
      <c r="BM33" s="137"/>
      <c r="BP33" s="134" t="str">
        <f>IF(COUNTIF(BP$7:BP32,B33)&gt;0,"",B33)&amp;""</f>
        <v/>
      </c>
      <c r="BQ33" s="138">
        <f t="shared" si="10"/>
        <v>0</v>
      </c>
      <c r="BR33" s="132">
        <f t="shared" si="23"/>
        <v>1</v>
      </c>
      <c r="BS33" s="138">
        <f t="shared" si="12"/>
        <v>0</v>
      </c>
      <c r="BT33" s="132">
        <f t="shared" si="24"/>
        <v>2</v>
      </c>
      <c r="BU33" s="133"/>
      <c r="BV33" s="133"/>
      <c r="BX33" s="1256">
        <v>43100</v>
      </c>
      <c r="BY33" s="165">
        <f>IFERROR(LOOKUP(BX33,基础数据!A:D),1)</f>
        <v>3.53915880885741</v>
      </c>
      <c r="BZ33" s="165">
        <f t="shared" si="14"/>
        <v>1.00524445538375</v>
      </c>
      <c r="CA33" s="165" t="e">
        <f>ROUND(S33*BZ33,1)</f>
        <v>#VALUE!</v>
      </c>
      <c r="CB33" s="165">
        <v>90</v>
      </c>
      <c r="CC33" s="165" t="e">
        <f>ROUND(CB33*CA33/100,1)</f>
        <v>#VALUE!</v>
      </c>
      <c r="CD33" s="1257" t="s">
        <v>2236</v>
      </c>
    </row>
    <row r="34" ht="15" customHeight="1" spans="1:82">
      <c r="A34" s="123" t="str">
        <f>IF(B34="","",COUNT(A$7:A33)+1)</f>
        <v/>
      </c>
      <c r="B34" s="139"/>
      <c r="C34" s="139"/>
      <c r="D34" s="141"/>
      <c r="E34" s="126"/>
      <c r="F34" s="142"/>
      <c r="G34" s="127"/>
      <c r="H34" s="128"/>
      <c r="I34" s="128"/>
      <c r="J34" s="980"/>
      <c r="K34" s="143"/>
      <c r="L34" s="143"/>
      <c r="M34" s="129"/>
      <c r="N34" s="144"/>
      <c r="O34" s="144"/>
      <c r="P34" s="144"/>
      <c r="Q34" s="143"/>
      <c r="R34" s="353" t="str">
        <f t="shared" si="4"/>
        <v/>
      </c>
      <c r="S34" s="129" t="str">
        <f t="shared" si="17"/>
        <v/>
      </c>
      <c r="T34" s="1226" t="str">
        <f t="shared" si="5"/>
        <v/>
      </c>
      <c r="U34" s="1226" t="str">
        <f t="shared" si="6"/>
        <v/>
      </c>
      <c r="V34" s="353" t="str">
        <f t="shared" si="7"/>
        <v/>
      </c>
      <c r="W34" s="129">
        <v>0</v>
      </c>
      <c r="X34" s="129">
        <v>0</v>
      </c>
      <c r="Y34" s="129" t="str">
        <f t="shared" si="18"/>
        <v/>
      </c>
      <c r="Z34" s="129" t="str">
        <f t="shared" si="19"/>
        <v/>
      </c>
      <c r="AA34" s="145"/>
      <c r="BA34" s="78"/>
      <c r="BB34" s="132" t="s">
        <v>2273</v>
      </c>
      <c r="BC34" s="133"/>
      <c r="BD34" s="132" t="str">
        <f>IF(OR(B34="",BC34=""),"",COUNTIF(BC$8:BC34,"√"))</f>
        <v/>
      </c>
      <c r="BE34" s="134" t="str">
        <f t="shared" si="8"/>
        <v/>
      </c>
      <c r="BF34" s="135" t="str">
        <f t="shared" si="9"/>
        <v/>
      </c>
      <c r="BG34" s="135" t="str">
        <f t="shared" si="9"/>
        <v/>
      </c>
      <c r="BH34" s="136"/>
      <c r="BI34" s="136"/>
      <c r="BJ34" s="136"/>
      <c r="BK34" s="136"/>
      <c r="BL34" s="137"/>
      <c r="BM34" s="137"/>
      <c r="BP34" s="134" t="str">
        <f>IF(COUNTIF(BP$7:BP33,B34)&gt;0,"",B34)&amp;""</f>
        <v/>
      </c>
      <c r="BQ34" s="138">
        <f t="shared" si="10"/>
        <v>0</v>
      </c>
      <c r="BR34" s="132">
        <f t="shared" si="23"/>
        <v>1</v>
      </c>
      <c r="BS34" s="138">
        <f t="shared" si="12"/>
        <v>0</v>
      </c>
      <c r="BT34" s="132">
        <f t="shared" si="24"/>
        <v>2</v>
      </c>
      <c r="BU34" s="133"/>
      <c r="BV34" s="133"/>
      <c r="BX34" s="1256">
        <v>43100</v>
      </c>
      <c r="BY34" s="165">
        <f>IFERROR(LOOKUP(BX34,基础数据!A:D),1)</f>
        <v>3.53915880885741</v>
      </c>
      <c r="BZ34" s="165">
        <f t="shared" si="14"/>
        <v>1.00524445538375</v>
      </c>
      <c r="CA34" s="165" t="e">
        <f t="shared" si="15"/>
        <v>#VALUE!</v>
      </c>
      <c r="CB34" s="165">
        <f t="shared" si="25"/>
        <v>80</v>
      </c>
      <c r="CC34" s="165" t="e">
        <f t="shared" si="16"/>
        <v>#VALUE!</v>
      </c>
      <c r="CD34" s="1257" t="s">
        <v>2237</v>
      </c>
    </row>
    <row r="35" ht="15" customHeight="1" spans="1:82">
      <c r="A35" s="123" t="str">
        <f>IF(B35="","",COUNT(A$7:A34)+1)</f>
        <v/>
      </c>
      <c r="B35" s="139"/>
      <c r="C35" s="139"/>
      <c r="D35" s="141"/>
      <c r="E35" s="126"/>
      <c r="F35" s="142"/>
      <c r="G35" s="127"/>
      <c r="H35" s="128"/>
      <c r="I35" s="128"/>
      <c r="J35" s="980"/>
      <c r="K35" s="143"/>
      <c r="L35" s="143"/>
      <c r="M35" s="129"/>
      <c r="N35" s="144"/>
      <c r="O35" s="144"/>
      <c r="P35" s="144"/>
      <c r="Q35" s="143"/>
      <c r="R35" s="353" t="str">
        <f t="shared" si="4"/>
        <v/>
      </c>
      <c r="S35" s="129" t="str">
        <f t="shared" si="17"/>
        <v/>
      </c>
      <c r="T35" s="1226" t="str">
        <f t="shared" si="5"/>
        <v/>
      </c>
      <c r="U35" s="1226" t="str">
        <f t="shared" si="6"/>
        <v/>
      </c>
      <c r="V35" s="353" t="str">
        <f t="shared" si="7"/>
        <v/>
      </c>
      <c r="W35" s="129">
        <v>0</v>
      </c>
      <c r="X35" s="129">
        <v>0</v>
      </c>
      <c r="Y35" s="129" t="str">
        <f t="shared" si="18"/>
        <v/>
      </c>
      <c r="Z35" s="129" t="str">
        <f t="shared" si="19"/>
        <v/>
      </c>
      <c r="AA35" s="145"/>
      <c r="BA35" s="78"/>
      <c r="BB35" s="132" t="s">
        <v>2274</v>
      </c>
      <c r="BC35" s="133"/>
      <c r="BD35" s="132" t="str">
        <f>IF(OR(B35="",BC35=""),"",COUNTIF(BC$8:BC35,"√"))</f>
        <v/>
      </c>
      <c r="BE35" s="134" t="str">
        <f t="shared" si="8"/>
        <v/>
      </c>
      <c r="BF35" s="135" t="str">
        <f t="shared" si="9"/>
        <v/>
      </c>
      <c r="BG35" s="135" t="str">
        <f t="shared" si="9"/>
        <v/>
      </c>
      <c r="BH35" s="136"/>
      <c r="BI35" s="136"/>
      <c r="BJ35" s="136"/>
      <c r="BK35" s="136"/>
      <c r="BL35" s="137"/>
      <c r="BM35" s="137"/>
      <c r="BP35" s="134" t="str">
        <f>IF(COUNTIF(BP$7:BP34,B35)&gt;0,"",B35)&amp;""</f>
        <v/>
      </c>
      <c r="BQ35" s="138">
        <f t="shared" si="10"/>
        <v>0</v>
      </c>
      <c r="BR35" s="132">
        <f t="shared" si="23"/>
        <v>1</v>
      </c>
      <c r="BS35" s="138">
        <f t="shared" si="12"/>
        <v>0</v>
      </c>
      <c r="BT35" s="132">
        <f t="shared" si="24"/>
        <v>2</v>
      </c>
      <c r="BU35" s="133"/>
      <c r="BV35" s="133"/>
      <c r="BX35" s="1256">
        <v>43100</v>
      </c>
      <c r="BY35" s="165">
        <f>IFERROR(LOOKUP(BX35,基础数据!A:D),1)</f>
        <v>3.53915880885741</v>
      </c>
      <c r="BZ35" s="165">
        <f t="shared" si="14"/>
        <v>1.00524445538375</v>
      </c>
      <c r="CA35" s="165" t="e">
        <f t="shared" si="15"/>
        <v>#VALUE!</v>
      </c>
      <c r="CB35" s="165">
        <f t="shared" si="25"/>
        <v>80</v>
      </c>
      <c r="CC35" s="165" t="e">
        <f t="shared" si="16"/>
        <v>#VALUE!</v>
      </c>
      <c r="CD35" s="1257" t="s">
        <v>2237</v>
      </c>
    </row>
    <row r="36" ht="15" customHeight="1" spans="1:82">
      <c r="A36" s="123" t="str">
        <f>IF(B36="","",COUNT(A$7:A35)+1)</f>
        <v/>
      </c>
      <c r="B36" s="798"/>
      <c r="C36" s="139"/>
      <c r="D36" s="141"/>
      <c r="E36" s="126"/>
      <c r="F36" s="142"/>
      <c r="G36" s="127"/>
      <c r="H36" s="128"/>
      <c r="I36" s="128"/>
      <c r="J36" s="980"/>
      <c r="K36" s="143"/>
      <c r="L36" s="143"/>
      <c r="M36" s="129"/>
      <c r="N36" s="144"/>
      <c r="O36" s="144"/>
      <c r="P36" s="144"/>
      <c r="Q36" s="143"/>
      <c r="R36" s="353" t="str">
        <f t="shared" si="4"/>
        <v/>
      </c>
      <c r="S36" s="129" t="str">
        <f t="shared" si="17"/>
        <v/>
      </c>
      <c r="T36" s="1226" t="str">
        <f t="shared" si="5"/>
        <v/>
      </c>
      <c r="U36" s="1226" t="str">
        <f t="shared" si="6"/>
        <v/>
      </c>
      <c r="V36" s="353" t="str">
        <f t="shared" si="7"/>
        <v/>
      </c>
      <c r="W36" s="129">
        <v>0</v>
      </c>
      <c r="X36" s="129">
        <v>0</v>
      </c>
      <c r="Y36" s="129" t="str">
        <f t="shared" si="18"/>
        <v/>
      </c>
      <c r="Z36" s="129" t="str">
        <f t="shared" si="19"/>
        <v/>
      </c>
      <c r="AA36" s="145"/>
      <c r="BA36" s="78"/>
      <c r="BB36" s="132" t="s">
        <v>2275</v>
      </c>
      <c r="BC36" s="133"/>
      <c r="BD36" s="132" t="str">
        <f>IF(OR(B36="",BC36=""),"",COUNTIF(BC$8:BC36,"√"))</f>
        <v/>
      </c>
      <c r="BE36" s="134" t="str">
        <f t="shared" si="8"/>
        <v/>
      </c>
      <c r="BF36" s="135" t="str">
        <f t="shared" si="9"/>
        <v/>
      </c>
      <c r="BG36" s="135" t="str">
        <f t="shared" si="9"/>
        <v/>
      </c>
      <c r="BH36" s="136"/>
      <c r="BI36" s="136"/>
      <c r="BJ36" s="136"/>
      <c r="BK36" s="136"/>
      <c r="BL36" s="137"/>
      <c r="BM36" s="137"/>
      <c r="BP36" s="134" t="str">
        <f>IF(COUNTIF(BP$7:BP35,B36)&gt;0,"",B36)&amp;""</f>
        <v/>
      </c>
      <c r="BQ36" s="138">
        <f t="shared" si="10"/>
        <v>0</v>
      </c>
      <c r="BR36" s="132">
        <f t="shared" si="23"/>
        <v>1</v>
      </c>
      <c r="BS36" s="138">
        <f t="shared" si="12"/>
        <v>0</v>
      </c>
      <c r="BT36" s="132">
        <f t="shared" si="24"/>
        <v>2</v>
      </c>
      <c r="BU36" s="133"/>
      <c r="BV36" s="133"/>
      <c r="BX36" s="1256">
        <v>43100</v>
      </c>
      <c r="BY36" s="165">
        <f>IFERROR(LOOKUP(BX36,基础数据!A:D),1)</f>
        <v>3.53915880885741</v>
      </c>
      <c r="BZ36" s="165">
        <f t="shared" si="14"/>
        <v>1.00524445538375</v>
      </c>
      <c r="CA36" s="165" t="e">
        <f t="shared" si="15"/>
        <v>#VALUE!</v>
      </c>
      <c r="CB36" s="165">
        <f>CO$7</f>
        <v>85</v>
      </c>
      <c r="CC36" s="165" t="e">
        <f t="shared" si="16"/>
        <v>#VALUE!</v>
      </c>
      <c r="CD36" s="1260" t="s">
        <v>2236</v>
      </c>
    </row>
    <row r="37" ht="15" customHeight="1" spans="1:82">
      <c r="A37" s="123" t="str">
        <f>IF(B37="","",COUNT(A$7:A36)+1)</f>
        <v/>
      </c>
      <c r="B37" s="139"/>
      <c r="C37" s="139"/>
      <c r="D37" s="141"/>
      <c r="E37" s="126"/>
      <c r="F37" s="142"/>
      <c r="G37" s="127"/>
      <c r="H37" s="128"/>
      <c r="I37" s="128"/>
      <c r="J37" s="980"/>
      <c r="K37" s="143"/>
      <c r="L37" s="143"/>
      <c r="M37" s="129"/>
      <c r="N37" s="144"/>
      <c r="O37" s="144"/>
      <c r="P37" s="144"/>
      <c r="Q37" s="143"/>
      <c r="R37" s="353" t="str">
        <f t="shared" si="4"/>
        <v/>
      </c>
      <c r="S37" s="129" t="str">
        <f t="shared" si="17"/>
        <v/>
      </c>
      <c r="T37" s="1226" t="str">
        <f t="shared" si="5"/>
        <v/>
      </c>
      <c r="U37" s="1226" t="str">
        <f t="shared" si="6"/>
        <v/>
      </c>
      <c r="V37" s="353" t="str">
        <f t="shared" si="7"/>
        <v/>
      </c>
      <c r="W37" s="129">
        <v>0</v>
      </c>
      <c r="X37" s="129">
        <v>0</v>
      </c>
      <c r="Y37" s="129" t="str">
        <f t="shared" si="18"/>
        <v/>
      </c>
      <c r="Z37" s="129" t="str">
        <f t="shared" si="19"/>
        <v/>
      </c>
      <c r="AA37" s="950"/>
      <c r="BA37" s="78"/>
      <c r="BB37" s="132" t="s">
        <v>2276</v>
      </c>
      <c r="BC37" s="133"/>
      <c r="BD37" s="132" t="str">
        <f>IF(OR(B37="",BC37=""),"",COUNTIF(BC$8:BC37,"√"))</f>
        <v/>
      </c>
      <c r="BE37" s="134" t="str">
        <f t="shared" si="8"/>
        <v/>
      </c>
      <c r="BF37" s="135" t="str">
        <f t="shared" si="9"/>
        <v/>
      </c>
      <c r="BG37" s="135" t="str">
        <f t="shared" si="9"/>
        <v/>
      </c>
      <c r="BH37" s="136"/>
      <c r="BI37" s="136"/>
      <c r="BJ37" s="136"/>
      <c r="BK37" s="136"/>
      <c r="BL37" s="137"/>
      <c r="BM37" s="137"/>
      <c r="BP37" s="134" t="str">
        <f>IF(COUNTIF(BP$7:BP36,B37)&gt;0,"",B37)&amp;""</f>
        <v/>
      </c>
      <c r="BQ37" s="138">
        <f t="shared" si="10"/>
        <v>0</v>
      </c>
      <c r="BR37" s="132">
        <f t="shared" si="23"/>
        <v>1</v>
      </c>
      <c r="BS37" s="138">
        <f t="shared" si="12"/>
        <v>0</v>
      </c>
      <c r="BT37" s="132">
        <f t="shared" si="24"/>
        <v>2</v>
      </c>
      <c r="BU37" s="133"/>
      <c r="BV37" s="133"/>
      <c r="BX37" s="1256">
        <v>43100</v>
      </c>
      <c r="BY37" s="165">
        <f>IFERROR(LOOKUP(BX37,基础数据!A:D),1)</f>
        <v>3.53915880885741</v>
      </c>
      <c r="BZ37" s="165">
        <f t="shared" si="14"/>
        <v>1.00524445538375</v>
      </c>
      <c r="CA37" s="165">
        <v>0</v>
      </c>
      <c r="CB37" s="165">
        <f t="shared" ref="CB37:CB41" si="26">CO$8</f>
        <v>80</v>
      </c>
      <c r="CC37" s="165">
        <f t="shared" si="16"/>
        <v>0</v>
      </c>
      <c r="CD37" s="1257" t="s">
        <v>2237</v>
      </c>
    </row>
    <row r="38" ht="15" customHeight="1" spans="1:82">
      <c r="A38" s="123" t="str">
        <f>IF(B38="","",COUNT(A$7:A37)+1)</f>
        <v/>
      </c>
      <c r="B38" s="139"/>
      <c r="C38" s="139"/>
      <c r="D38" s="141"/>
      <c r="E38" s="126"/>
      <c r="F38" s="142"/>
      <c r="G38" s="127"/>
      <c r="H38" s="128"/>
      <c r="I38" s="128"/>
      <c r="J38" s="980"/>
      <c r="K38" s="143"/>
      <c r="L38" s="143"/>
      <c r="M38" s="129"/>
      <c r="N38" s="144"/>
      <c r="O38" s="144"/>
      <c r="P38" s="144"/>
      <c r="Q38" s="143"/>
      <c r="R38" s="353" t="str">
        <f t="shared" si="4"/>
        <v/>
      </c>
      <c r="S38" s="129" t="str">
        <f t="shared" si="17"/>
        <v/>
      </c>
      <c r="T38" s="1226" t="str">
        <f t="shared" si="5"/>
        <v/>
      </c>
      <c r="U38" s="1226" t="str">
        <f t="shared" si="6"/>
        <v/>
      </c>
      <c r="V38" s="353" t="str">
        <f t="shared" si="7"/>
        <v/>
      </c>
      <c r="W38" s="129">
        <v>0</v>
      </c>
      <c r="X38" s="129">
        <v>0</v>
      </c>
      <c r="Y38" s="129" t="str">
        <f t="shared" si="18"/>
        <v/>
      </c>
      <c r="Z38" s="129" t="str">
        <f t="shared" si="19"/>
        <v/>
      </c>
      <c r="AA38" s="145"/>
      <c r="BA38" s="78"/>
      <c r="BB38" s="132" t="s">
        <v>2277</v>
      </c>
      <c r="BC38" s="133"/>
      <c r="BD38" s="132" t="str">
        <f>IF(OR(B38="",BC38=""),"",COUNTIF(BC$8:BC38,"√"))</f>
        <v/>
      </c>
      <c r="BE38" s="134" t="str">
        <f t="shared" si="8"/>
        <v/>
      </c>
      <c r="BF38" s="135" t="str">
        <f t="shared" si="9"/>
        <v/>
      </c>
      <c r="BG38" s="135" t="str">
        <f t="shared" si="9"/>
        <v/>
      </c>
      <c r="BH38" s="136"/>
      <c r="BI38" s="136"/>
      <c r="BJ38" s="136"/>
      <c r="BK38" s="136"/>
      <c r="BL38" s="137"/>
      <c r="BM38" s="137"/>
      <c r="BP38" s="134" t="str">
        <f>IF(COUNTIF(BP$7:BP37,B38)&gt;0,"",B38)&amp;""</f>
        <v/>
      </c>
      <c r="BQ38" s="138">
        <f t="shared" si="10"/>
        <v>0</v>
      </c>
      <c r="BR38" s="132">
        <f t="shared" si="23"/>
        <v>1</v>
      </c>
      <c r="BS38" s="138">
        <f t="shared" si="12"/>
        <v>0</v>
      </c>
      <c r="BT38" s="132">
        <f t="shared" si="24"/>
        <v>2</v>
      </c>
      <c r="BU38" s="133"/>
      <c r="BV38" s="133"/>
      <c r="BX38" s="1256">
        <v>43100</v>
      </c>
      <c r="BY38" s="165">
        <f>IFERROR(LOOKUP(BX38,基础数据!A:D),1)</f>
        <v>3.53915880885741</v>
      </c>
      <c r="BZ38" s="165">
        <f t="shared" si="14"/>
        <v>1.00524445538375</v>
      </c>
      <c r="CA38" s="165" t="e">
        <f t="shared" si="15"/>
        <v>#VALUE!</v>
      </c>
      <c r="CB38" s="165">
        <f t="shared" si="26"/>
        <v>80</v>
      </c>
      <c r="CC38" s="165" t="e">
        <f t="shared" si="16"/>
        <v>#VALUE!</v>
      </c>
      <c r="CD38" s="1257" t="s">
        <v>2237</v>
      </c>
    </row>
    <row r="39" ht="15" customHeight="1" spans="1:82">
      <c r="A39" s="123" t="str">
        <f>IF(B39="","",COUNT(A$7:A38)+1)</f>
        <v/>
      </c>
      <c r="B39" s="139"/>
      <c r="C39" s="139"/>
      <c r="D39" s="141"/>
      <c r="E39" s="126"/>
      <c r="F39" s="142"/>
      <c r="G39" s="127"/>
      <c r="H39" s="128"/>
      <c r="I39" s="128"/>
      <c r="J39" s="980"/>
      <c r="K39" s="143"/>
      <c r="L39" s="143"/>
      <c r="M39" s="129"/>
      <c r="N39" s="144"/>
      <c r="O39" s="144"/>
      <c r="P39" s="144"/>
      <c r="Q39" s="143"/>
      <c r="R39" s="353" t="str">
        <f t="shared" si="4"/>
        <v/>
      </c>
      <c r="S39" s="129" t="str">
        <f t="shared" si="17"/>
        <v/>
      </c>
      <c r="T39" s="1226" t="str">
        <f t="shared" si="5"/>
        <v/>
      </c>
      <c r="U39" s="1226" t="str">
        <f t="shared" si="6"/>
        <v/>
      </c>
      <c r="V39" s="353" t="str">
        <f t="shared" si="7"/>
        <v/>
      </c>
      <c r="W39" s="129">
        <v>0</v>
      </c>
      <c r="X39" s="129">
        <v>0</v>
      </c>
      <c r="Y39" s="129" t="str">
        <f t="shared" si="18"/>
        <v/>
      </c>
      <c r="Z39" s="129" t="str">
        <f t="shared" si="19"/>
        <v/>
      </c>
      <c r="AA39" s="145"/>
      <c r="BA39" s="78"/>
      <c r="BB39" s="132" t="s">
        <v>2278</v>
      </c>
      <c r="BC39" s="133"/>
      <c r="BD39" s="132" t="str">
        <f>IF(OR(B39="",BC39=""),"",COUNTIF(BC$8:BC39,"√"))</f>
        <v/>
      </c>
      <c r="BE39" s="134" t="str">
        <f t="shared" si="8"/>
        <v/>
      </c>
      <c r="BF39" s="135" t="str">
        <f t="shared" si="9"/>
        <v/>
      </c>
      <c r="BG39" s="135" t="str">
        <f t="shared" si="9"/>
        <v/>
      </c>
      <c r="BH39" s="136"/>
      <c r="BI39" s="136"/>
      <c r="BJ39" s="136"/>
      <c r="BK39" s="136"/>
      <c r="BL39" s="137"/>
      <c r="BM39" s="137"/>
      <c r="BP39" s="134" t="str">
        <f>IF(COUNTIF(BP$7:BP38,B39)&gt;0,"",B39)&amp;""</f>
        <v/>
      </c>
      <c r="BQ39" s="138">
        <f t="shared" si="10"/>
        <v>0</v>
      </c>
      <c r="BR39" s="132">
        <f t="shared" si="23"/>
        <v>1</v>
      </c>
      <c r="BS39" s="138">
        <f t="shared" si="12"/>
        <v>0</v>
      </c>
      <c r="BT39" s="132">
        <f t="shared" si="24"/>
        <v>2</v>
      </c>
      <c r="BU39" s="133"/>
      <c r="BV39" s="133"/>
      <c r="BX39" s="1256">
        <v>43100</v>
      </c>
      <c r="BY39" s="165">
        <f>IFERROR(LOOKUP(BX39,基础数据!A:D),1)</f>
        <v>3.53915880885741</v>
      </c>
      <c r="BZ39" s="165">
        <f t="shared" si="14"/>
        <v>1.00524445538375</v>
      </c>
      <c r="CA39" s="165" t="e">
        <f t="shared" si="15"/>
        <v>#VALUE!</v>
      </c>
      <c r="CB39" s="165">
        <f t="shared" si="26"/>
        <v>80</v>
      </c>
      <c r="CC39" s="165" t="e">
        <f t="shared" si="16"/>
        <v>#VALUE!</v>
      </c>
      <c r="CD39" s="1257" t="s">
        <v>2237</v>
      </c>
    </row>
    <row r="40" ht="15" customHeight="1" spans="1:82">
      <c r="A40" s="123" t="str">
        <f>IF(B40="","",COUNT(A$7:A39)+1)</f>
        <v/>
      </c>
      <c r="B40" s="139"/>
      <c r="C40" s="139"/>
      <c r="D40" s="141"/>
      <c r="E40" s="126"/>
      <c r="F40" s="142"/>
      <c r="G40" s="127"/>
      <c r="H40" s="128"/>
      <c r="I40" s="128"/>
      <c r="J40" s="980"/>
      <c r="K40" s="143"/>
      <c r="L40" s="143"/>
      <c r="M40" s="129"/>
      <c r="N40" s="144"/>
      <c r="O40" s="144"/>
      <c r="P40" s="144"/>
      <c r="Q40" s="143"/>
      <c r="R40" s="353" t="str">
        <f t="shared" si="4"/>
        <v/>
      </c>
      <c r="S40" s="129" t="str">
        <f t="shared" si="17"/>
        <v/>
      </c>
      <c r="T40" s="1226" t="str">
        <f t="shared" si="5"/>
        <v/>
      </c>
      <c r="U40" s="1226" t="str">
        <f t="shared" si="6"/>
        <v/>
      </c>
      <c r="V40" s="353" t="str">
        <f t="shared" si="7"/>
        <v/>
      </c>
      <c r="W40" s="129">
        <v>0</v>
      </c>
      <c r="X40" s="129">
        <v>0</v>
      </c>
      <c r="Y40" s="129" t="str">
        <f t="shared" si="18"/>
        <v/>
      </c>
      <c r="Z40" s="129" t="str">
        <f t="shared" si="19"/>
        <v/>
      </c>
      <c r="AA40" s="145"/>
      <c r="BA40" s="78"/>
      <c r="BB40" s="132" t="s">
        <v>2279</v>
      </c>
      <c r="BC40" s="133"/>
      <c r="BD40" s="132" t="str">
        <f>IF(OR(B40="",BC40=""),"",COUNTIF(BC$8:BC40,"√"))</f>
        <v/>
      </c>
      <c r="BE40" s="134" t="str">
        <f t="shared" si="8"/>
        <v/>
      </c>
      <c r="BF40" s="135" t="str">
        <f t="shared" si="9"/>
        <v/>
      </c>
      <c r="BG40" s="135" t="str">
        <f t="shared" si="9"/>
        <v/>
      </c>
      <c r="BH40" s="136"/>
      <c r="BI40" s="136"/>
      <c r="BJ40" s="136"/>
      <c r="BK40" s="136"/>
      <c r="BL40" s="137"/>
      <c r="BM40" s="137"/>
      <c r="BP40" s="134" t="str">
        <f>IF(COUNTIF(BP$7:BP39,B40)&gt;0,"",B40)&amp;""</f>
        <v/>
      </c>
      <c r="BQ40" s="138">
        <f t="shared" si="10"/>
        <v>0</v>
      </c>
      <c r="BR40" s="132">
        <f t="shared" si="23"/>
        <v>1</v>
      </c>
      <c r="BS40" s="138">
        <f t="shared" si="12"/>
        <v>0</v>
      </c>
      <c r="BT40" s="132">
        <f t="shared" si="24"/>
        <v>2</v>
      </c>
      <c r="BU40" s="133"/>
      <c r="BV40" s="133"/>
      <c r="BX40" s="1256">
        <v>43100</v>
      </c>
      <c r="BY40" s="165">
        <f>IFERROR(LOOKUP(BX40,基础数据!A:D),1)</f>
        <v>3.53915880885741</v>
      </c>
      <c r="BZ40" s="165">
        <f t="shared" si="14"/>
        <v>1.00524445538375</v>
      </c>
      <c r="CA40" s="165" t="e">
        <f t="shared" si="15"/>
        <v>#VALUE!</v>
      </c>
      <c r="CB40" s="165">
        <f t="shared" si="26"/>
        <v>80</v>
      </c>
      <c r="CC40" s="165" t="e">
        <f t="shared" si="16"/>
        <v>#VALUE!</v>
      </c>
      <c r="CD40" s="1257" t="s">
        <v>2237</v>
      </c>
    </row>
    <row r="41" ht="15" customHeight="1" spans="1:82">
      <c r="A41" s="123" t="str">
        <f>IF(B41="","",COUNT(A$7:A40)+1)</f>
        <v/>
      </c>
      <c r="B41" s="139"/>
      <c r="C41" s="139"/>
      <c r="D41" s="141"/>
      <c r="E41" s="126"/>
      <c r="F41" s="142"/>
      <c r="G41" s="127"/>
      <c r="H41" s="128"/>
      <c r="I41" s="128"/>
      <c r="J41" s="980"/>
      <c r="K41" s="143"/>
      <c r="L41" s="143"/>
      <c r="M41" s="129"/>
      <c r="N41" s="144"/>
      <c r="O41" s="144"/>
      <c r="P41" s="144"/>
      <c r="Q41" s="143"/>
      <c r="R41" s="353" t="str">
        <f t="shared" si="4"/>
        <v/>
      </c>
      <c r="S41" s="129" t="str">
        <f t="shared" si="17"/>
        <v/>
      </c>
      <c r="T41" s="1226" t="str">
        <f t="shared" si="5"/>
        <v/>
      </c>
      <c r="U41" s="1226" t="str">
        <f t="shared" si="6"/>
        <v/>
      </c>
      <c r="V41" s="353" t="str">
        <f t="shared" si="7"/>
        <v/>
      </c>
      <c r="W41" s="129">
        <v>0</v>
      </c>
      <c r="X41" s="129">
        <v>0</v>
      </c>
      <c r="Y41" s="129" t="str">
        <f t="shared" si="18"/>
        <v/>
      </c>
      <c r="Z41" s="129" t="str">
        <f t="shared" si="19"/>
        <v/>
      </c>
      <c r="AA41" s="145"/>
      <c r="BA41" s="78"/>
      <c r="BB41" s="132" t="s">
        <v>2280</v>
      </c>
      <c r="BC41" s="133"/>
      <c r="BD41" s="132" t="str">
        <f>IF(OR(B41="",BC41=""),"",COUNTIF(BC$8:BC41,"√"))</f>
        <v/>
      </c>
      <c r="BE41" s="134" t="str">
        <f t="shared" si="8"/>
        <v/>
      </c>
      <c r="BF41" s="135" t="str">
        <f t="shared" si="9"/>
        <v/>
      </c>
      <c r="BG41" s="135" t="str">
        <f t="shared" si="9"/>
        <v/>
      </c>
      <c r="BH41" s="136"/>
      <c r="BI41" s="136"/>
      <c r="BJ41" s="136"/>
      <c r="BK41" s="136"/>
      <c r="BL41" s="137"/>
      <c r="BM41" s="137"/>
      <c r="BP41" s="134" t="str">
        <f>IF(COUNTIF(BP$7:BP40,B41)&gt;0,"",B41)&amp;""</f>
        <v/>
      </c>
      <c r="BQ41" s="138">
        <f t="shared" si="10"/>
        <v>0</v>
      </c>
      <c r="BR41" s="132">
        <f t="shared" si="23"/>
        <v>1</v>
      </c>
      <c r="BS41" s="138">
        <f t="shared" si="12"/>
        <v>0</v>
      </c>
      <c r="BT41" s="132">
        <f t="shared" si="24"/>
        <v>2</v>
      </c>
      <c r="BU41" s="133"/>
      <c r="BV41" s="133"/>
      <c r="BX41" s="1256">
        <v>43100</v>
      </c>
      <c r="BY41" s="165">
        <f>IFERROR(LOOKUP(BX41,基础数据!A:D),1)</f>
        <v>3.53915880885741</v>
      </c>
      <c r="BZ41" s="165">
        <f t="shared" si="14"/>
        <v>1.00524445538375</v>
      </c>
      <c r="CA41" s="165" t="e">
        <f t="shared" si="15"/>
        <v>#VALUE!</v>
      </c>
      <c r="CB41" s="165">
        <f t="shared" si="26"/>
        <v>80</v>
      </c>
      <c r="CC41" s="165" t="e">
        <f t="shared" si="16"/>
        <v>#VALUE!</v>
      </c>
      <c r="CD41" s="1257" t="s">
        <v>2237</v>
      </c>
    </row>
    <row r="42" ht="15" customHeight="1" spans="1:82">
      <c r="A42" s="123" t="str">
        <f>IF(B42="","",COUNT(A$7:A41)+1)</f>
        <v/>
      </c>
      <c r="B42" s="798"/>
      <c r="C42" s="139"/>
      <c r="D42" s="141"/>
      <c r="E42" s="126"/>
      <c r="F42" s="142"/>
      <c r="G42" s="127"/>
      <c r="H42" s="128"/>
      <c r="I42" s="128"/>
      <c r="J42" s="980"/>
      <c r="K42" s="143"/>
      <c r="L42" s="143"/>
      <c r="M42" s="129"/>
      <c r="N42" s="144"/>
      <c r="O42" s="144"/>
      <c r="P42" s="144"/>
      <c r="Q42" s="143"/>
      <c r="R42" s="353" t="str">
        <f t="shared" si="4"/>
        <v/>
      </c>
      <c r="S42" s="129" t="str">
        <f t="shared" si="17"/>
        <v/>
      </c>
      <c r="T42" s="1226" t="str">
        <f t="shared" si="5"/>
        <v/>
      </c>
      <c r="U42" s="1226" t="str">
        <f t="shared" si="6"/>
        <v/>
      </c>
      <c r="V42" s="353" t="str">
        <f t="shared" si="7"/>
        <v/>
      </c>
      <c r="W42" s="129">
        <v>0</v>
      </c>
      <c r="X42" s="129">
        <v>0</v>
      </c>
      <c r="Y42" s="129" t="str">
        <f t="shared" si="18"/>
        <v/>
      </c>
      <c r="Z42" s="129" t="str">
        <f t="shared" si="19"/>
        <v/>
      </c>
      <c r="AA42" s="145"/>
      <c r="BA42" s="78"/>
      <c r="BB42" s="132" t="s">
        <v>2281</v>
      </c>
      <c r="BC42" s="133"/>
      <c r="BD42" s="132" t="str">
        <f>IF(OR(B42="",BC42=""),"",COUNTIF(BC$8:BC42,"√"))</f>
        <v/>
      </c>
      <c r="BE42" s="134" t="str">
        <f t="shared" si="8"/>
        <v/>
      </c>
      <c r="BF42" s="135" t="str">
        <f t="shared" si="9"/>
        <v/>
      </c>
      <c r="BG42" s="135" t="str">
        <f t="shared" si="9"/>
        <v/>
      </c>
      <c r="BH42" s="136"/>
      <c r="BI42" s="136"/>
      <c r="BJ42" s="136"/>
      <c r="BK42" s="136"/>
      <c r="BL42" s="137"/>
      <c r="BM42" s="137"/>
      <c r="BP42" s="134" t="str">
        <f>IF(COUNTIF(BP$7:BP41,B42)&gt;0,"",B42)&amp;""</f>
        <v/>
      </c>
      <c r="BQ42" s="138">
        <f t="shared" si="10"/>
        <v>0</v>
      </c>
      <c r="BR42" s="132">
        <f t="shared" si="23"/>
        <v>1</v>
      </c>
      <c r="BS42" s="138">
        <f t="shared" si="12"/>
        <v>0</v>
      </c>
      <c r="BT42" s="132">
        <f t="shared" si="24"/>
        <v>2</v>
      </c>
      <c r="BU42" s="133"/>
      <c r="BV42" s="133"/>
      <c r="BX42" s="1256">
        <v>43100</v>
      </c>
      <c r="BY42" s="165">
        <f>IFERROR(LOOKUP(BX42,基础数据!A:D),1)</f>
        <v>3.53915880885741</v>
      </c>
      <c r="BZ42" s="165">
        <f t="shared" si="14"/>
        <v>1.00524445538375</v>
      </c>
      <c r="CA42" s="165" t="e">
        <f t="shared" si="15"/>
        <v>#VALUE!</v>
      </c>
      <c r="CB42" s="165">
        <f>CO$7</f>
        <v>85</v>
      </c>
      <c r="CC42" s="165" t="e">
        <f t="shared" si="16"/>
        <v>#VALUE!</v>
      </c>
      <c r="CD42" s="1260" t="s">
        <v>2236</v>
      </c>
    </row>
    <row r="43" ht="15" customHeight="1" spans="1:82">
      <c r="A43" s="123" t="str">
        <f>IF(B43="","",COUNT(A$7:A42)+1)</f>
        <v/>
      </c>
      <c r="B43" s="139"/>
      <c r="C43" s="139"/>
      <c r="D43" s="141"/>
      <c r="E43" s="126"/>
      <c r="F43" s="142"/>
      <c r="G43" s="127"/>
      <c r="H43" s="128"/>
      <c r="I43" s="128"/>
      <c r="J43" s="980"/>
      <c r="K43" s="143"/>
      <c r="L43" s="143"/>
      <c r="M43" s="129"/>
      <c r="N43" s="144"/>
      <c r="O43" s="144"/>
      <c r="P43" s="144"/>
      <c r="Q43" s="143"/>
      <c r="R43" s="353" t="str">
        <f t="shared" si="4"/>
        <v/>
      </c>
      <c r="S43" s="129" t="str">
        <f t="shared" si="17"/>
        <v/>
      </c>
      <c r="T43" s="1226" t="str">
        <f t="shared" si="5"/>
        <v/>
      </c>
      <c r="U43" s="1226" t="str">
        <f t="shared" si="6"/>
        <v/>
      </c>
      <c r="V43" s="353" t="str">
        <f t="shared" si="7"/>
        <v/>
      </c>
      <c r="W43" s="129">
        <v>0</v>
      </c>
      <c r="X43" s="129">
        <v>0</v>
      </c>
      <c r="Y43" s="129" t="str">
        <f t="shared" si="18"/>
        <v/>
      </c>
      <c r="Z43" s="129" t="str">
        <f t="shared" si="19"/>
        <v/>
      </c>
      <c r="AA43" s="145"/>
      <c r="BA43" s="78"/>
      <c r="BB43" s="132" t="s">
        <v>2282</v>
      </c>
      <c r="BC43" s="133"/>
      <c r="BD43" s="132" t="str">
        <f>IF(OR(B43="",BC43=""),"",COUNTIF(BC$8:BC43,"√"))</f>
        <v/>
      </c>
      <c r="BE43" s="134" t="str">
        <f t="shared" si="8"/>
        <v/>
      </c>
      <c r="BF43" s="135" t="str">
        <f t="shared" si="9"/>
        <v/>
      </c>
      <c r="BG43" s="135" t="str">
        <f t="shared" si="9"/>
        <v/>
      </c>
      <c r="BH43" s="136"/>
      <c r="BI43" s="136"/>
      <c r="BJ43" s="136"/>
      <c r="BK43" s="136"/>
      <c r="BL43" s="137"/>
      <c r="BM43" s="137"/>
      <c r="BP43" s="134" t="str">
        <f>IF(COUNTIF(BP$7:BP42,B43)&gt;0,"",B43)&amp;""</f>
        <v/>
      </c>
      <c r="BQ43" s="138">
        <f t="shared" si="10"/>
        <v>0</v>
      </c>
      <c r="BR43" s="132">
        <f t="shared" si="23"/>
        <v>1</v>
      </c>
      <c r="BS43" s="138">
        <f t="shared" si="12"/>
        <v>0</v>
      </c>
      <c r="BT43" s="132">
        <f t="shared" si="24"/>
        <v>2</v>
      </c>
      <c r="BU43" s="133"/>
      <c r="BV43" s="133"/>
      <c r="BX43" s="1256">
        <v>43100</v>
      </c>
      <c r="BY43" s="165">
        <f>IFERROR(LOOKUP(BX43,基础数据!A:D),1)</f>
        <v>3.53915880885741</v>
      </c>
      <c r="BZ43" s="165">
        <f t="shared" si="14"/>
        <v>1.00524445538375</v>
      </c>
      <c r="CA43" s="165" t="e">
        <f t="shared" si="15"/>
        <v>#VALUE!</v>
      </c>
      <c r="CB43" s="165">
        <v>90</v>
      </c>
      <c r="CC43" s="165" t="e">
        <f t="shared" si="16"/>
        <v>#VALUE!</v>
      </c>
      <c r="CD43" s="1257" t="s">
        <v>2236</v>
      </c>
    </row>
    <row r="44" ht="15" customHeight="1" spans="1:82">
      <c r="A44" s="123" t="str">
        <f>IF(B44="","",COUNT(A$7:A43)+1)</f>
        <v/>
      </c>
      <c r="B44" s="139"/>
      <c r="C44" s="139"/>
      <c r="D44" s="141"/>
      <c r="E44" s="126"/>
      <c r="F44" s="142"/>
      <c r="G44" s="127"/>
      <c r="H44" s="128"/>
      <c r="I44" s="128"/>
      <c r="J44" s="980"/>
      <c r="K44" s="143"/>
      <c r="L44" s="143"/>
      <c r="M44" s="129"/>
      <c r="N44" s="144"/>
      <c r="O44" s="144"/>
      <c r="P44" s="144"/>
      <c r="Q44" s="143"/>
      <c r="R44" s="353" t="str">
        <f t="shared" si="4"/>
        <v/>
      </c>
      <c r="S44" s="129" t="str">
        <f t="shared" si="17"/>
        <v/>
      </c>
      <c r="T44" s="1226" t="str">
        <f t="shared" si="5"/>
        <v/>
      </c>
      <c r="U44" s="1226" t="str">
        <f t="shared" si="6"/>
        <v/>
      </c>
      <c r="V44" s="353" t="str">
        <f t="shared" si="7"/>
        <v/>
      </c>
      <c r="W44" s="129">
        <v>0</v>
      </c>
      <c r="X44" s="129">
        <v>0</v>
      </c>
      <c r="Y44" s="129" t="str">
        <f t="shared" si="18"/>
        <v/>
      </c>
      <c r="Z44" s="129" t="str">
        <f t="shared" si="19"/>
        <v/>
      </c>
      <c r="AA44" s="145"/>
      <c r="BA44" s="78"/>
      <c r="BB44" s="132" t="s">
        <v>2283</v>
      </c>
      <c r="BC44" s="133"/>
      <c r="BD44" s="132" t="str">
        <f>IF(OR(B44="",BC44=""),"",COUNTIF(BC$8:BC44,"√"))</f>
        <v/>
      </c>
      <c r="BE44" s="134" t="str">
        <f t="shared" si="8"/>
        <v/>
      </c>
      <c r="BF44" s="135" t="str">
        <f t="shared" si="9"/>
        <v/>
      </c>
      <c r="BG44" s="135" t="str">
        <f t="shared" si="9"/>
        <v/>
      </c>
      <c r="BH44" s="136"/>
      <c r="BI44" s="136"/>
      <c r="BJ44" s="136"/>
      <c r="BK44" s="136"/>
      <c r="BL44" s="137"/>
      <c r="BM44" s="137"/>
      <c r="BP44" s="134" t="str">
        <f>IF(COUNTIF(BP$7:BP43,B44)&gt;0,"",B44)&amp;""</f>
        <v/>
      </c>
      <c r="BQ44" s="138">
        <f t="shared" si="10"/>
        <v>0</v>
      </c>
      <c r="BR44" s="132">
        <f t="shared" si="23"/>
        <v>1</v>
      </c>
      <c r="BS44" s="138">
        <f t="shared" si="12"/>
        <v>0</v>
      </c>
      <c r="BT44" s="132">
        <f t="shared" si="24"/>
        <v>2</v>
      </c>
      <c r="BU44" s="133"/>
      <c r="BV44" s="133"/>
      <c r="BX44" s="1256">
        <v>43100</v>
      </c>
      <c r="BY44" s="165">
        <f>IFERROR(LOOKUP(BX44,基础数据!A:D),1)</f>
        <v>3.53915880885741</v>
      </c>
      <c r="BZ44" s="165">
        <f t="shared" si="14"/>
        <v>1.00524445538375</v>
      </c>
      <c r="CA44" s="165" t="e">
        <f t="shared" si="15"/>
        <v>#VALUE!</v>
      </c>
      <c r="CB44" s="165">
        <f t="shared" ref="CB44:CB97" si="27">CO$8</f>
        <v>80</v>
      </c>
      <c r="CC44" s="165" t="e">
        <f t="shared" si="16"/>
        <v>#VALUE!</v>
      </c>
      <c r="CD44" s="1257" t="s">
        <v>2237</v>
      </c>
    </row>
    <row r="45" ht="15" customHeight="1" spans="1:82">
      <c r="A45" s="123" t="str">
        <f>IF(B45="","",COUNT(A$7:A44)+1)</f>
        <v/>
      </c>
      <c r="B45" s="139"/>
      <c r="C45" s="139"/>
      <c r="D45" s="141"/>
      <c r="E45" s="126"/>
      <c r="F45" s="142"/>
      <c r="G45" s="127"/>
      <c r="H45" s="128"/>
      <c r="I45" s="128"/>
      <c r="J45" s="980"/>
      <c r="K45" s="143"/>
      <c r="L45" s="143"/>
      <c r="M45" s="129"/>
      <c r="N45" s="144"/>
      <c r="O45" s="144"/>
      <c r="P45" s="144"/>
      <c r="Q45" s="143"/>
      <c r="R45" s="353" t="str">
        <f t="shared" si="4"/>
        <v/>
      </c>
      <c r="S45" s="129" t="str">
        <f t="shared" si="17"/>
        <v/>
      </c>
      <c r="T45" s="1226" t="str">
        <f t="shared" si="5"/>
        <v/>
      </c>
      <c r="U45" s="1226" t="str">
        <f t="shared" si="6"/>
        <v/>
      </c>
      <c r="V45" s="353" t="str">
        <f t="shared" si="7"/>
        <v/>
      </c>
      <c r="W45" s="129">
        <v>0</v>
      </c>
      <c r="X45" s="129">
        <v>0</v>
      </c>
      <c r="Y45" s="129" t="str">
        <f t="shared" si="18"/>
        <v/>
      </c>
      <c r="Z45" s="129" t="str">
        <f t="shared" si="19"/>
        <v/>
      </c>
      <c r="AA45" s="145"/>
      <c r="BA45" s="78"/>
      <c r="BB45" s="132" t="s">
        <v>2284</v>
      </c>
      <c r="BC45" s="133"/>
      <c r="BD45" s="132" t="str">
        <f>IF(OR(B45="",BC45=""),"",COUNTIF(BC$8:BC45,"√"))</f>
        <v/>
      </c>
      <c r="BE45" s="134" t="str">
        <f t="shared" si="8"/>
        <v/>
      </c>
      <c r="BF45" s="135" t="str">
        <f t="shared" si="9"/>
        <v/>
      </c>
      <c r="BG45" s="135" t="str">
        <f t="shared" si="9"/>
        <v/>
      </c>
      <c r="BH45" s="136"/>
      <c r="BI45" s="136"/>
      <c r="BJ45" s="136"/>
      <c r="BK45" s="136"/>
      <c r="BL45" s="137"/>
      <c r="BM45" s="137"/>
      <c r="BP45" s="134" t="str">
        <f>IF(COUNTIF(BP$7:BP44,B45)&gt;0,"",B45)&amp;""</f>
        <v/>
      </c>
      <c r="BQ45" s="138">
        <f t="shared" si="10"/>
        <v>0</v>
      </c>
      <c r="BR45" s="132">
        <f t="shared" si="23"/>
        <v>1</v>
      </c>
      <c r="BS45" s="138">
        <f t="shared" si="12"/>
        <v>0</v>
      </c>
      <c r="BT45" s="132">
        <f t="shared" si="24"/>
        <v>2</v>
      </c>
      <c r="BU45" s="133"/>
      <c r="BV45" s="133"/>
      <c r="BX45" s="1256">
        <v>43100</v>
      </c>
      <c r="BY45" s="165">
        <f>IFERROR(LOOKUP(BX45,基础数据!A:D),1)</f>
        <v>3.53915880885741</v>
      </c>
      <c r="BZ45" s="165">
        <f t="shared" si="14"/>
        <v>1.00524445538375</v>
      </c>
      <c r="CA45" s="165" t="e">
        <f t="shared" si="15"/>
        <v>#VALUE!</v>
      </c>
      <c r="CB45" s="165">
        <f t="shared" si="27"/>
        <v>80</v>
      </c>
      <c r="CC45" s="165" t="e">
        <f t="shared" si="16"/>
        <v>#VALUE!</v>
      </c>
      <c r="CD45" s="1257" t="s">
        <v>2237</v>
      </c>
    </row>
    <row r="46" ht="15" customHeight="1" spans="1:82">
      <c r="A46" s="123" t="str">
        <f>IF(B46="","",COUNT(A$7:A45)+1)</f>
        <v/>
      </c>
      <c r="B46" s="139"/>
      <c r="C46" s="139"/>
      <c r="D46" s="141"/>
      <c r="E46" s="126"/>
      <c r="F46" s="142"/>
      <c r="G46" s="127"/>
      <c r="H46" s="128"/>
      <c r="I46" s="128"/>
      <c r="J46" s="980"/>
      <c r="K46" s="143"/>
      <c r="L46" s="143"/>
      <c r="M46" s="129"/>
      <c r="N46" s="144"/>
      <c r="O46" s="144"/>
      <c r="P46" s="144"/>
      <c r="Q46" s="143"/>
      <c r="R46" s="353" t="str">
        <f t="shared" si="4"/>
        <v/>
      </c>
      <c r="S46" s="129" t="str">
        <f t="shared" si="17"/>
        <v/>
      </c>
      <c r="T46" s="1226" t="str">
        <f t="shared" si="5"/>
        <v/>
      </c>
      <c r="U46" s="1226" t="str">
        <f t="shared" si="6"/>
        <v/>
      </c>
      <c r="V46" s="353" t="str">
        <f t="shared" si="7"/>
        <v/>
      </c>
      <c r="W46" s="129">
        <v>0</v>
      </c>
      <c r="X46" s="129">
        <v>0</v>
      </c>
      <c r="Y46" s="129" t="str">
        <f t="shared" si="18"/>
        <v/>
      </c>
      <c r="Z46" s="129" t="str">
        <f t="shared" si="19"/>
        <v/>
      </c>
      <c r="AA46" s="145"/>
      <c r="BA46" s="78"/>
      <c r="BB46" s="132" t="s">
        <v>2285</v>
      </c>
      <c r="BC46" s="133"/>
      <c r="BD46" s="132" t="str">
        <f>IF(OR(B46="",BC46=""),"",COUNTIF(BC$8:BC46,"√"))</f>
        <v/>
      </c>
      <c r="BE46" s="134" t="str">
        <f t="shared" si="8"/>
        <v/>
      </c>
      <c r="BF46" s="135" t="str">
        <f t="shared" si="9"/>
        <v/>
      </c>
      <c r="BG46" s="135" t="str">
        <f t="shared" si="9"/>
        <v/>
      </c>
      <c r="BH46" s="136"/>
      <c r="BI46" s="136"/>
      <c r="BJ46" s="136"/>
      <c r="BK46" s="136"/>
      <c r="BL46" s="137"/>
      <c r="BM46" s="137"/>
      <c r="BP46" s="134" t="str">
        <f>IF(COUNTIF(BP$7:BP45,B46)&gt;0,"",B46)&amp;""</f>
        <v/>
      </c>
      <c r="BQ46" s="138">
        <f t="shared" si="10"/>
        <v>0</v>
      </c>
      <c r="BR46" s="132">
        <f t="shared" si="23"/>
        <v>1</v>
      </c>
      <c r="BS46" s="138">
        <f t="shared" si="12"/>
        <v>0</v>
      </c>
      <c r="BT46" s="132">
        <f t="shared" si="24"/>
        <v>2</v>
      </c>
      <c r="BU46" s="133"/>
      <c r="BV46" s="133"/>
      <c r="BX46" s="1256">
        <v>44924</v>
      </c>
      <c r="BY46" s="165">
        <f>IFERROR(LOOKUP(BX46,基础数据!A:D),1)</f>
        <v>3.84333367100529</v>
      </c>
      <c r="BZ46" s="165">
        <f t="shared" si="14"/>
        <v>0.925685895077611</v>
      </c>
      <c r="CA46" s="165" t="e">
        <f t="shared" si="15"/>
        <v>#VALUE!</v>
      </c>
      <c r="CB46" s="165">
        <f t="shared" si="27"/>
        <v>80</v>
      </c>
      <c r="CC46" s="165" t="e">
        <f t="shared" si="16"/>
        <v>#VALUE!</v>
      </c>
      <c r="CD46" s="1257" t="s">
        <v>2237</v>
      </c>
    </row>
    <row r="47" ht="15" customHeight="1" spans="1:82">
      <c r="A47" s="123" t="str">
        <f>IF(B47="","",COUNT(A$7:A46)+1)</f>
        <v/>
      </c>
      <c r="B47" s="139"/>
      <c r="C47" s="139"/>
      <c r="D47" s="141"/>
      <c r="E47" s="126"/>
      <c r="F47" s="142"/>
      <c r="G47" s="127"/>
      <c r="H47" s="128"/>
      <c r="I47" s="128"/>
      <c r="J47" s="980"/>
      <c r="K47" s="143"/>
      <c r="L47" s="143"/>
      <c r="M47" s="129"/>
      <c r="N47" s="144"/>
      <c r="O47" s="144"/>
      <c r="P47" s="144"/>
      <c r="Q47" s="143"/>
      <c r="R47" s="353" t="str">
        <f t="shared" si="4"/>
        <v/>
      </c>
      <c r="S47" s="129" t="str">
        <f t="shared" si="17"/>
        <v/>
      </c>
      <c r="T47" s="1226" t="str">
        <f t="shared" si="5"/>
        <v/>
      </c>
      <c r="U47" s="1226" t="str">
        <f t="shared" si="6"/>
        <v/>
      </c>
      <c r="V47" s="353" t="str">
        <f t="shared" si="7"/>
        <v/>
      </c>
      <c r="W47" s="129">
        <v>0</v>
      </c>
      <c r="X47" s="129">
        <v>0</v>
      </c>
      <c r="Y47" s="129" t="str">
        <f t="shared" si="18"/>
        <v/>
      </c>
      <c r="Z47" s="129" t="str">
        <f t="shared" si="19"/>
        <v/>
      </c>
      <c r="AA47" s="145"/>
      <c r="BA47" s="78"/>
      <c r="BB47" s="132" t="s">
        <v>2286</v>
      </c>
      <c r="BC47" s="133"/>
      <c r="BD47" s="132" t="str">
        <f>IF(OR(B47="",BC47=""),"",COUNTIF(BC$8:BC47,"√"))</f>
        <v/>
      </c>
      <c r="BE47" s="134" t="str">
        <f t="shared" si="8"/>
        <v/>
      </c>
      <c r="BF47" s="135" t="str">
        <f t="shared" si="9"/>
        <v/>
      </c>
      <c r="BG47" s="135" t="str">
        <f t="shared" si="9"/>
        <v/>
      </c>
      <c r="BH47" s="136"/>
      <c r="BI47" s="136"/>
      <c r="BJ47" s="136"/>
      <c r="BK47" s="136"/>
      <c r="BL47" s="137"/>
      <c r="BM47" s="137"/>
      <c r="BP47" s="134" t="str">
        <f>IF(COUNTIF(BP$7:BP46,B47)&gt;0,"",B47)&amp;""</f>
        <v/>
      </c>
      <c r="BQ47" s="138">
        <f t="shared" si="10"/>
        <v>0</v>
      </c>
      <c r="BR47" s="132">
        <f t="shared" si="23"/>
        <v>1</v>
      </c>
      <c r="BS47" s="138">
        <f t="shared" si="12"/>
        <v>0</v>
      </c>
      <c r="BT47" s="132">
        <f t="shared" si="24"/>
        <v>2</v>
      </c>
      <c r="BU47" s="133"/>
      <c r="BV47" s="133"/>
      <c r="BX47" s="1256">
        <v>43100</v>
      </c>
      <c r="BY47" s="165">
        <f>IFERROR(LOOKUP(BX47,基础数据!A:D),1)</f>
        <v>3.53915880885741</v>
      </c>
      <c r="BZ47" s="165">
        <f t="shared" si="14"/>
        <v>1.00524445538375</v>
      </c>
      <c r="CA47" s="165" t="e">
        <f t="shared" ref="CA47:CA48" si="28">ROUND(S47*BZ47,1)</f>
        <v>#VALUE!</v>
      </c>
      <c r="CB47" s="165">
        <v>90</v>
      </c>
      <c r="CC47" s="165" t="e">
        <f t="shared" ref="CC47:CC48" si="29">ROUND(CB47*CA47/100,1)</f>
        <v>#VALUE!</v>
      </c>
      <c r="CD47" s="1257" t="s">
        <v>2236</v>
      </c>
    </row>
    <row r="48" ht="15" customHeight="1" spans="1:82">
      <c r="A48" s="123" t="str">
        <f>IF(B48="","",COUNT(A$7:A47)+1)</f>
        <v/>
      </c>
      <c r="B48" s="139"/>
      <c r="C48" s="139"/>
      <c r="D48" s="141"/>
      <c r="E48" s="126"/>
      <c r="F48" s="142"/>
      <c r="G48" s="127"/>
      <c r="H48" s="128"/>
      <c r="I48" s="128"/>
      <c r="J48" s="980"/>
      <c r="K48" s="143"/>
      <c r="L48" s="143"/>
      <c r="M48" s="129"/>
      <c r="N48" s="144"/>
      <c r="O48" s="144"/>
      <c r="P48" s="144"/>
      <c r="Q48" s="143"/>
      <c r="R48" s="353" t="str">
        <f t="shared" si="4"/>
        <v/>
      </c>
      <c r="S48" s="129" t="str">
        <f t="shared" si="17"/>
        <v/>
      </c>
      <c r="T48" s="1226" t="str">
        <f t="shared" si="5"/>
        <v/>
      </c>
      <c r="U48" s="1226" t="str">
        <f t="shared" si="6"/>
        <v/>
      </c>
      <c r="V48" s="353" t="str">
        <f t="shared" si="7"/>
        <v/>
      </c>
      <c r="W48" s="129">
        <v>0</v>
      </c>
      <c r="X48" s="129">
        <v>0</v>
      </c>
      <c r="Y48" s="129" t="str">
        <f t="shared" si="18"/>
        <v/>
      </c>
      <c r="Z48" s="129" t="str">
        <f t="shared" si="19"/>
        <v/>
      </c>
      <c r="AA48" s="145"/>
      <c r="BA48" s="78"/>
      <c r="BB48" s="132" t="s">
        <v>2287</v>
      </c>
      <c r="BC48" s="133"/>
      <c r="BD48" s="132" t="str">
        <f>IF(OR(B48="",BC48=""),"",COUNTIF(BC$8:BC48,"√"))</f>
        <v/>
      </c>
      <c r="BE48" s="134" t="str">
        <f t="shared" si="8"/>
        <v/>
      </c>
      <c r="BF48" s="135" t="str">
        <f t="shared" si="9"/>
        <v/>
      </c>
      <c r="BG48" s="135" t="str">
        <f t="shared" si="9"/>
        <v/>
      </c>
      <c r="BH48" s="136"/>
      <c r="BI48" s="136"/>
      <c r="BJ48" s="136"/>
      <c r="BK48" s="136"/>
      <c r="BL48" s="137"/>
      <c r="BM48" s="137"/>
      <c r="BP48" s="134" t="str">
        <f>IF(COUNTIF(BP$7:BP47,B48)&gt;0,"",B48)&amp;""</f>
        <v/>
      </c>
      <c r="BQ48" s="138">
        <f t="shared" si="10"/>
        <v>0</v>
      </c>
      <c r="BR48" s="132">
        <f t="shared" si="23"/>
        <v>1</v>
      </c>
      <c r="BS48" s="138">
        <f t="shared" si="12"/>
        <v>0</v>
      </c>
      <c r="BT48" s="132">
        <f t="shared" si="24"/>
        <v>2</v>
      </c>
      <c r="BU48" s="133"/>
      <c r="BV48" s="133"/>
      <c r="BX48" s="1256">
        <v>43100</v>
      </c>
      <c r="BY48" s="165">
        <f>IFERROR(LOOKUP(BX48,基础数据!A:D),1)</f>
        <v>3.53915880885741</v>
      </c>
      <c r="BZ48" s="165">
        <f t="shared" si="14"/>
        <v>1.00524445538375</v>
      </c>
      <c r="CA48" s="165" t="e">
        <f t="shared" si="28"/>
        <v>#VALUE!</v>
      </c>
      <c r="CB48" s="165">
        <f t="shared" si="27"/>
        <v>80</v>
      </c>
      <c r="CC48" s="165" t="e">
        <f t="shared" si="29"/>
        <v>#VALUE!</v>
      </c>
      <c r="CD48" s="1257" t="s">
        <v>2237</v>
      </c>
    </row>
    <row r="49" ht="15" customHeight="1" spans="1:82">
      <c r="A49" s="123" t="str">
        <f>IF(B49="","",COUNT(A$7:A48)+1)</f>
        <v/>
      </c>
      <c r="B49" s="139"/>
      <c r="C49" s="139"/>
      <c r="D49" s="141"/>
      <c r="E49" s="126"/>
      <c r="F49" s="142"/>
      <c r="G49" s="127"/>
      <c r="H49" s="128"/>
      <c r="I49" s="128"/>
      <c r="J49" s="980"/>
      <c r="K49" s="143"/>
      <c r="L49" s="143"/>
      <c r="M49" s="129"/>
      <c r="N49" s="144"/>
      <c r="O49" s="144"/>
      <c r="P49" s="144"/>
      <c r="Q49" s="143"/>
      <c r="R49" s="353" t="str">
        <f t="shared" si="4"/>
        <v/>
      </c>
      <c r="S49" s="129" t="str">
        <f t="shared" si="17"/>
        <v/>
      </c>
      <c r="T49" s="1226" t="str">
        <f t="shared" si="5"/>
        <v/>
      </c>
      <c r="U49" s="1226" t="str">
        <f t="shared" si="6"/>
        <v/>
      </c>
      <c r="V49" s="353" t="str">
        <f t="shared" si="7"/>
        <v/>
      </c>
      <c r="W49" s="129">
        <v>0</v>
      </c>
      <c r="X49" s="129">
        <v>0</v>
      </c>
      <c r="Y49" s="129" t="str">
        <f t="shared" si="18"/>
        <v/>
      </c>
      <c r="Z49" s="129" t="str">
        <f t="shared" si="19"/>
        <v/>
      </c>
      <c r="AA49" s="145"/>
      <c r="BA49" s="78"/>
      <c r="BB49" s="132" t="s">
        <v>2288</v>
      </c>
      <c r="BC49" s="133"/>
      <c r="BD49" s="132" t="str">
        <f>IF(OR(B49="",BC49=""),"",COUNTIF(BC$8:BC49,"√"))</f>
        <v/>
      </c>
      <c r="BE49" s="134" t="str">
        <f t="shared" si="8"/>
        <v/>
      </c>
      <c r="BF49" s="135" t="str">
        <f t="shared" si="9"/>
        <v/>
      </c>
      <c r="BG49" s="135" t="str">
        <f t="shared" si="9"/>
        <v/>
      </c>
      <c r="BH49" s="136"/>
      <c r="BI49" s="136"/>
      <c r="BJ49" s="136"/>
      <c r="BK49" s="136"/>
      <c r="BL49" s="137"/>
      <c r="BM49" s="137"/>
      <c r="BP49" s="134" t="str">
        <f>IF(COUNTIF(BP$7:BP48,B49)&gt;0,"",B49)&amp;""</f>
        <v/>
      </c>
      <c r="BQ49" s="138">
        <f t="shared" si="10"/>
        <v>0</v>
      </c>
      <c r="BR49" s="132">
        <f t="shared" si="23"/>
        <v>1</v>
      </c>
      <c r="BS49" s="138">
        <f t="shared" si="12"/>
        <v>0</v>
      </c>
      <c r="BT49" s="132">
        <f t="shared" si="24"/>
        <v>2</v>
      </c>
      <c r="BU49" s="133"/>
      <c r="BV49" s="133"/>
      <c r="BX49" s="1256">
        <v>44924</v>
      </c>
      <c r="BY49" s="165">
        <f>IFERROR(LOOKUP(BX49,基础数据!A:D),1)</f>
        <v>3.84333367100529</v>
      </c>
      <c r="BZ49" s="165">
        <f t="shared" ref="BZ49:BZ91" si="30">BY$5/BY49</f>
        <v>0.925685895077611</v>
      </c>
      <c r="CA49" s="165" t="e">
        <f t="shared" ref="CA49:CA91" si="31">ROUND(S49*BZ49,0)</f>
        <v>#VALUE!</v>
      </c>
      <c r="CB49" s="165">
        <f t="shared" si="27"/>
        <v>80</v>
      </c>
      <c r="CC49" s="165" t="e">
        <f t="shared" ref="CC49:CC91" si="32">ROUND(CB49*CA49/100,0)</f>
        <v>#VALUE!</v>
      </c>
      <c r="CD49" s="1257" t="s">
        <v>2237</v>
      </c>
    </row>
    <row r="50" ht="15" customHeight="1" spans="1:82">
      <c r="A50" s="123" t="str">
        <f>IF(B50="","",COUNT(A$7:A49)+1)</f>
        <v/>
      </c>
      <c r="B50" s="139"/>
      <c r="C50" s="139"/>
      <c r="D50" s="141"/>
      <c r="E50" s="126"/>
      <c r="F50" s="142"/>
      <c r="G50" s="127"/>
      <c r="H50" s="128"/>
      <c r="I50" s="128"/>
      <c r="J50" s="980"/>
      <c r="K50" s="143"/>
      <c r="L50" s="143"/>
      <c r="M50" s="129"/>
      <c r="N50" s="144"/>
      <c r="O50" s="144"/>
      <c r="P50" s="144"/>
      <c r="Q50" s="143"/>
      <c r="R50" s="353" t="str">
        <f t="shared" si="4"/>
        <v/>
      </c>
      <c r="S50" s="129" t="str">
        <f t="shared" si="17"/>
        <v/>
      </c>
      <c r="T50" s="1226" t="str">
        <f t="shared" si="5"/>
        <v/>
      </c>
      <c r="U50" s="1226" t="str">
        <f t="shared" si="6"/>
        <v/>
      </c>
      <c r="V50" s="353" t="str">
        <f t="shared" si="7"/>
        <v/>
      </c>
      <c r="W50" s="129">
        <v>0</v>
      </c>
      <c r="X50" s="129">
        <v>0</v>
      </c>
      <c r="Y50" s="129" t="str">
        <f t="shared" si="18"/>
        <v/>
      </c>
      <c r="Z50" s="129" t="str">
        <f t="shared" si="19"/>
        <v/>
      </c>
      <c r="AA50" s="145"/>
      <c r="BA50" s="78"/>
      <c r="BB50" s="132" t="s">
        <v>2289</v>
      </c>
      <c r="BC50" s="133"/>
      <c r="BD50" s="132" t="str">
        <f>IF(OR(B50="",BC50=""),"",COUNTIF(BC$8:BC50,"√"))</f>
        <v/>
      </c>
      <c r="BE50" s="134" t="str">
        <f t="shared" si="8"/>
        <v/>
      </c>
      <c r="BF50" s="135" t="str">
        <f t="shared" si="9"/>
        <v/>
      </c>
      <c r="BG50" s="135" t="str">
        <f t="shared" si="9"/>
        <v/>
      </c>
      <c r="BH50" s="136"/>
      <c r="BI50" s="136"/>
      <c r="BJ50" s="136"/>
      <c r="BK50" s="136"/>
      <c r="BL50" s="137"/>
      <c r="BM50" s="137"/>
      <c r="BP50" s="134" t="str">
        <f>IF(COUNTIF(BP$7:BP49,B50)&gt;0,"",B50)&amp;""</f>
        <v/>
      </c>
      <c r="BQ50" s="138">
        <f t="shared" si="10"/>
        <v>0</v>
      </c>
      <c r="BR50" s="132">
        <f t="shared" si="23"/>
        <v>1</v>
      </c>
      <c r="BS50" s="138">
        <f t="shared" si="12"/>
        <v>0</v>
      </c>
      <c r="BT50" s="132">
        <f t="shared" si="24"/>
        <v>2</v>
      </c>
      <c r="BU50" s="133"/>
      <c r="BV50" s="133"/>
      <c r="BX50" s="1256">
        <v>43100</v>
      </c>
      <c r="BY50" s="165">
        <f>IFERROR(LOOKUP(BX50,基础数据!A:D),1)</f>
        <v>3.53915880885741</v>
      </c>
      <c r="BZ50" s="165">
        <f t="shared" si="30"/>
        <v>1.00524445538375</v>
      </c>
      <c r="CA50" s="165" t="e">
        <f t="shared" ref="CA50:CA51" si="33">ROUND(S50*BZ50,1)</f>
        <v>#VALUE!</v>
      </c>
      <c r="CB50" s="165">
        <v>90</v>
      </c>
      <c r="CC50" s="165" t="e">
        <f t="shared" ref="CC50:CC51" si="34">ROUND(CB50*CA50/100,1)</f>
        <v>#VALUE!</v>
      </c>
      <c r="CD50" s="1257" t="s">
        <v>2236</v>
      </c>
    </row>
    <row r="51" ht="15" customHeight="1" spans="1:82">
      <c r="A51" s="123" t="str">
        <f>IF(B51="","",COUNT(A$7:A50)+1)</f>
        <v/>
      </c>
      <c r="B51" s="139"/>
      <c r="C51" s="139"/>
      <c r="D51" s="141"/>
      <c r="E51" s="126"/>
      <c r="F51" s="142"/>
      <c r="G51" s="127"/>
      <c r="H51" s="128"/>
      <c r="I51" s="128"/>
      <c r="J51" s="980"/>
      <c r="K51" s="143"/>
      <c r="L51" s="143"/>
      <c r="M51" s="129"/>
      <c r="N51" s="144"/>
      <c r="O51" s="144"/>
      <c r="P51" s="144"/>
      <c r="Q51" s="143"/>
      <c r="R51" s="353" t="str">
        <f t="shared" si="4"/>
        <v/>
      </c>
      <c r="S51" s="129" t="str">
        <f t="shared" si="17"/>
        <v/>
      </c>
      <c r="T51" s="1226" t="str">
        <f t="shared" si="5"/>
        <v/>
      </c>
      <c r="U51" s="1226" t="str">
        <f t="shared" si="6"/>
        <v/>
      </c>
      <c r="V51" s="353" t="str">
        <f t="shared" si="7"/>
        <v/>
      </c>
      <c r="W51" s="129">
        <v>0</v>
      </c>
      <c r="X51" s="129">
        <v>0</v>
      </c>
      <c r="Y51" s="129" t="str">
        <f t="shared" si="18"/>
        <v/>
      </c>
      <c r="Z51" s="129" t="str">
        <f t="shared" si="19"/>
        <v/>
      </c>
      <c r="AA51" s="145"/>
      <c r="BA51" s="78"/>
      <c r="BB51" s="132" t="s">
        <v>2290</v>
      </c>
      <c r="BC51" s="133"/>
      <c r="BD51" s="132" t="str">
        <f>IF(OR(B51="",BC51=""),"",COUNTIF(BC$8:BC51,"√"))</f>
        <v/>
      </c>
      <c r="BE51" s="134" t="str">
        <f t="shared" si="8"/>
        <v/>
      </c>
      <c r="BF51" s="135" t="str">
        <f t="shared" si="9"/>
        <v/>
      </c>
      <c r="BG51" s="135" t="str">
        <f t="shared" si="9"/>
        <v/>
      </c>
      <c r="BH51" s="136"/>
      <c r="BI51" s="136"/>
      <c r="BJ51" s="136"/>
      <c r="BK51" s="136"/>
      <c r="BL51" s="137"/>
      <c r="BM51" s="137"/>
      <c r="BP51" s="134" t="str">
        <f>IF(COUNTIF(BP$7:BP50,B51)&gt;0,"",B51)&amp;""</f>
        <v/>
      </c>
      <c r="BQ51" s="138">
        <f t="shared" si="10"/>
        <v>0</v>
      </c>
      <c r="BR51" s="132">
        <f t="shared" si="23"/>
        <v>1</v>
      </c>
      <c r="BS51" s="138">
        <f t="shared" si="12"/>
        <v>0</v>
      </c>
      <c r="BT51" s="132">
        <f t="shared" si="24"/>
        <v>2</v>
      </c>
      <c r="BU51" s="133"/>
      <c r="BV51" s="133"/>
      <c r="BX51" s="1256">
        <v>43100</v>
      </c>
      <c r="BY51" s="165">
        <f>IFERROR(LOOKUP(BX51,基础数据!A:D),1)</f>
        <v>3.53915880885741</v>
      </c>
      <c r="BZ51" s="165">
        <f t="shared" si="30"/>
        <v>1.00524445538375</v>
      </c>
      <c r="CA51" s="165" t="e">
        <f t="shared" si="33"/>
        <v>#VALUE!</v>
      </c>
      <c r="CB51" s="165">
        <f t="shared" si="27"/>
        <v>80</v>
      </c>
      <c r="CC51" s="165" t="e">
        <f t="shared" si="34"/>
        <v>#VALUE!</v>
      </c>
      <c r="CD51" s="1257" t="s">
        <v>2237</v>
      </c>
    </row>
    <row r="52" ht="15" customHeight="1" spans="1:82">
      <c r="A52" s="123" t="str">
        <f>IF(B52="","",COUNT(A$7:A51)+1)</f>
        <v/>
      </c>
      <c r="B52" s="139"/>
      <c r="C52" s="139"/>
      <c r="D52" s="141"/>
      <c r="E52" s="126"/>
      <c r="F52" s="142"/>
      <c r="G52" s="127"/>
      <c r="H52" s="128"/>
      <c r="I52" s="128"/>
      <c r="J52" s="980"/>
      <c r="K52" s="143"/>
      <c r="L52" s="143"/>
      <c r="M52" s="129"/>
      <c r="N52" s="144"/>
      <c r="O52" s="144"/>
      <c r="P52" s="144"/>
      <c r="Q52" s="143"/>
      <c r="R52" s="353" t="str">
        <f t="shared" si="4"/>
        <v/>
      </c>
      <c r="S52" s="129" t="str">
        <f t="shared" si="17"/>
        <v/>
      </c>
      <c r="T52" s="1226" t="str">
        <f t="shared" si="5"/>
        <v/>
      </c>
      <c r="U52" s="1226" t="str">
        <f t="shared" si="6"/>
        <v/>
      </c>
      <c r="V52" s="353" t="str">
        <f t="shared" si="7"/>
        <v/>
      </c>
      <c r="W52" s="129">
        <v>0</v>
      </c>
      <c r="X52" s="129">
        <v>0</v>
      </c>
      <c r="Y52" s="129" t="str">
        <f t="shared" si="18"/>
        <v/>
      </c>
      <c r="Z52" s="129" t="str">
        <f t="shared" si="19"/>
        <v/>
      </c>
      <c r="AA52" s="145"/>
      <c r="BA52" s="78"/>
      <c r="BB52" s="132" t="s">
        <v>2291</v>
      </c>
      <c r="BC52" s="133"/>
      <c r="BD52" s="132" t="str">
        <f>IF(OR(B52="",BC52=""),"",COUNTIF(BC$8:BC52,"√"))</f>
        <v/>
      </c>
      <c r="BE52" s="134" t="str">
        <f t="shared" si="8"/>
        <v/>
      </c>
      <c r="BF52" s="135" t="str">
        <f t="shared" si="9"/>
        <v/>
      </c>
      <c r="BG52" s="135" t="str">
        <f t="shared" si="9"/>
        <v/>
      </c>
      <c r="BH52" s="136"/>
      <c r="BI52" s="136"/>
      <c r="BJ52" s="136"/>
      <c r="BK52" s="136"/>
      <c r="BL52" s="137"/>
      <c r="BM52" s="137"/>
      <c r="BP52" s="134" t="str">
        <f>IF(COUNTIF(BP$7:BP51,B52)&gt;0,"",B52)&amp;""</f>
        <v/>
      </c>
      <c r="BQ52" s="138">
        <f t="shared" si="10"/>
        <v>0</v>
      </c>
      <c r="BR52" s="132">
        <f t="shared" si="23"/>
        <v>1</v>
      </c>
      <c r="BS52" s="138">
        <f t="shared" si="12"/>
        <v>0</v>
      </c>
      <c r="BT52" s="132">
        <f t="shared" si="24"/>
        <v>2</v>
      </c>
      <c r="BU52" s="133"/>
      <c r="BV52" s="133"/>
      <c r="BX52" s="1256">
        <v>44924</v>
      </c>
      <c r="BY52" s="165">
        <f>IFERROR(LOOKUP(BX52,基础数据!A:D),1)</f>
        <v>3.84333367100529</v>
      </c>
      <c r="BZ52" s="165">
        <f t="shared" si="30"/>
        <v>0.925685895077611</v>
      </c>
      <c r="CA52" s="165" t="e">
        <f t="shared" si="31"/>
        <v>#VALUE!</v>
      </c>
      <c r="CB52" s="165">
        <f t="shared" si="27"/>
        <v>80</v>
      </c>
      <c r="CC52" s="165" t="e">
        <f t="shared" si="32"/>
        <v>#VALUE!</v>
      </c>
      <c r="CD52" s="1257" t="s">
        <v>2237</v>
      </c>
    </row>
    <row r="53" ht="15" customHeight="1" spans="1:82">
      <c r="A53" s="123" t="str">
        <f>IF(B53="","",COUNT(A$7:A52)+1)</f>
        <v/>
      </c>
      <c r="B53" s="139"/>
      <c r="C53" s="139"/>
      <c r="D53" s="141"/>
      <c r="E53" s="126"/>
      <c r="F53" s="142"/>
      <c r="G53" s="127"/>
      <c r="H53" s="128"/>
      <c r="I53" s="128"/>
      <c r="J53" s="980"/>
      <c r="K53" s="143"/>
      <c r="L53" s="143"/>
      <c r="M53" s="129"/>
      <c r="N53" s="144"/>
      <c r="O53" s="144"/>
      <c r="P53" s="144"/>
      <c r="Q53" s="143"/>
      <c r="R53" s="353" t="str">
        <f t="shared" si="4"/>
        <v/>
      </c>
      <c r="S53" s="129" t="str">
        <f t="shared" si="17"/>
        <v/>
      </c>
      <c r="T53" s="1226" t="str">
        <f t="shared" si="5"/>
        <v/>
      </c>
      <c r="U53" s="1226" t="str">
        <f t="shared" si="6"/>
        <v/>
      </c>
      <c r="V53" s="353" t="str">
        <f t="shared" si="7"/>
        <v/>
      </c>
      <c r="W53" s="129">
        <v>0</v>
      </c>
      <c r="X53" s="129">
        <v>0</v>
      </c>
      <c r="Y53" s="129" t="str">
        <f t="shared" si="18"/>
        <v/>
      </c>
      <c r="Z53" s="129" t="str">
        <f t="shared" si="19"/>
        <v/>
      </c>
      <c r="AA53" s="145"/>
      <c r="BA53" s="78"/>
      <c r="BB53" s="132" t="s">
        <v>2292</v>
      </c>
      <c r="BC53" s="133"/>
      <c r="BD53" s="132" t="str">
        <f>IF(OR(B53="",BC53=""),"",COUNTIF(BC$8:BC53,"√"))</f>
        <v/>
      </c>
      <c r="BE53" s="134" t="str">
        <f t="shared" si="8"/>
        <v/>
      </c>
      <c r="BF53" s="135" t="str">
        <f t="shared" si="9"/>
        <v/>
      </c>
      <c r="BG53" s="135" t="str">
        <f t="shared" si="9"/>
        <v/>
      </c>
      <c r="BH53" s="136"/>
      <c r="BI53" s="136"/>
      <c r="BJ53" s="136"/>
      <c r="BK53" s="136"/>
      <c r="BL53" s="137"/>
      <c r="BM53" s="137"/>
      <c r="BP53" s="134" t="str">
        <f>IF(COUNTIF(BP$7:BP52,B53)&gt;0,"",B53)&amp;""</f>
        <v/>
      </c>
      <c r="BQ53" s="138">
        <f t="shared" si="10"/>
        <v>0</v>
      </c>
      <c r="BR53" s="132">
        <f t="shared" si="23"/>
        <v>1</v>
      </c>
      <c r="BS53" s="138">
        <f t="shared" si="12"/>
        <v>0</v>
      </c>
      <c r="BT53" s="132">
        <f t="shared" si="24"/>
        <v>2</v>
      </c>
      <c r="BU53" s="133"/>
      <c r="BV53" s="133"/>
      <c r="BX53" s="1256">
        <v>43100</v>
      </c>
      <c r="BY53" s="165">
        <f>IFERROR(LOOKUP(BX53,基础数据!A:D),1)</f>
        <v>3.53915880885741</v>
      </c>
      <c r="BZ53" s="165">
        <f t="shared" si="30"/>
        <v>1.00524445538375</v>
      </c>
      <c r="CA53" s="165" t="e">
        <f t="shared" si="31"/>
        <v>#VALUE!</v>
      </c>
      <c r="CB53" s="165">
        <f t="shared" si="27"/>
        <v>80</v>
      </c>
      <c r="CC53" s="165" t="e">
        <f t="shared" si="32"/>
        <v>#VALUE!</v>
      </c>
      <c r="CD53" s="1257" t="s">
        <v>2236</v>
      </c>
    </row>
    <row r="54" ht="15" customHeight="1" spans="1:82">
      <c r="A54" s="123" t="str">
        <f>IF(B54="","",COUNT(A$7:A53)+1)</f>
        <v/>
      </c>
      <c r="B54" s="139"/>
      <c r="C54" s="139"/>
      <c r="D54" s="141"/>
      <c r="E54" s="126"/>
      <c r="F54" s="142"/>
      <c r="G54" s="127"/>
      <c r="H54" s="128"/>
      <c r="I54" s="128"/>
      <c r="J54" s="980"/>
      <c r="K54" s="143"/>
      <c r="L54" s="143"/>
      <c r="M54" s="129"/>
      <c r="N54" s="144"/>
      <c r="O54" s="144"/>
      <c r="P54" s="144"/>
      <c r="Q54" s="143"/>
      <c r="R54" s="353" t="str">
        <f t="shared" si="4"/>
        <v/>
      </c>
      <c r="S54" s="129" t="str">
        <f t="shared" si="17"/>
        <v/>
      </c>
      <c r="T54" s="1226" t="str">
        <f t="shared" si="5"/>
        <v/>
      </c>
      <c r="U54" s="1226" t="str">
        <f t="shared" si="6"/>
        <v/>
      </c>
      <c r="V54" s="353" t="str">
        <f t="shared" si="7"/>
        <v/>
      </c>
      <c r="W54" s="129">
        <v>0</v>
      </c>
      <c r="X54" s="129">
        <v>0</v>
      </c>
      <c r="Y54" s="129" t="str">
        <f t="shared" si="18"/>
        <v/>
      </c>
      <c r="Z54" s="129" t="str">
        <f t="shared" si="19"/>
        <v/>
      </c>
      <c r="AA54" s="145"/>
      <c r="BA54" s="78"/>
      <c r="BB54" s="132" t="s">
        <v>2293</v>
      </c>
      <c r="BC54" s="133"/>
      <c r="BD54" s="132" t="str">
        <f>IF(OR(B54="",BC54=""),"",COUNTIF(BC$8:BC54,"√"))</f>
        <v/>
      </c>
      <c r="BE54" s="134" t="str">
        <f t="shared" si="8"/>
        <v/>
      </c>
      <c r="BF54" s="135" t="str">
        <f t="shared" si="9"/>
        <v/>
      </c>
      <c r="BG54" s="135" t="str">
        <f t="shared" si="9"/>
        <v/>
      </c>
      <c r="BH54" s="136"/>
      <c r="BI54" s="136"/>
      <c r="BJ54" s="136"/>
      <c r="BK54" s="136"/>
      <c r="BL54" s="137"/>
      <c r="BM54" s="137"/>
      <c r="BP54" s="134" t="str">
        <f>IF(COUNTIF(BP$7:BP53,B54)&gt;0,"",B54)&amp;""</f>
        <v/>
      </c>
      <c r="BQ54" s="138">
        <f t="shared" si="10"/>
        <v>0</v>
      </c>
      <c r="BR54" s="132">
        <f t="shared" si="23"/>
        <v>1</v>
      </c>
      <c r="BS54" s="138">
        <f t="shared" si="12"/>
        <v>0</v>
      </c>
      <c r="BT54" s="132">
        <f t="shared" si="24"/>
        <v>2</v>
      </c>
      <c r="BU54" s="133"/>
      <c r="BV54" s="133"/>
      <c r="BX54" s="1256">
        <v>43100</v>
      </c>
      <c r="BY54" s="165">
        <f>IFERROR(LOOKUP(BX54,基础数据!A:D),1)</f>
        <v>3.53915880885741</v>
      </c>
      <c r="BZ54" s="165">
        <f t="shared" si="30"/>
        <v>1.00524445538375</v>
      </c>
      <c r="CA54" s="165" t="e">
        <f>ROUND(S54*BZ54,1)</f>
        <v>#VALUE!</v>
      </c>
      <c r="CB54" s="165">
        <f t="shared" si="27"/>
        <v>80</v>
      </c>
      <c r="CC54" s="165" t="e">
        <f>ROUND(CB54*CA54/100,1)</f>
        <v>#VALUE!</v>
      </c>
      <c r="CD54" s="1257" t="s">
        <v>2237</v>
      </c>
    </row>
    <row r="55" ht="15" customHeight="1" spans="1:82">
      <c r="A55" s="123" t="str">
        <f>IF(B55="","",COUNT(A$7:A54)+1)</f>
        <v/>
      </c>
      <c r="B55" s="139"/>
      <c r="C55" s="139"/>
      <c r="D55" s="141"/>
      <c r="E55" s="126"/>
      <c r="F55" s="142"/>
      <c r="G55" s="127"/>
      <c r="H55" s="128"/>
      <c r="I55" s="128"/>
      <c r="J55" s="980"/>
      <c r="K55" s="143"/>
      <c r="L55" s="143"/>
      <c r="M55" s="129"/>
      <c r="N55" s="144"/>
      <c r="O55" s="144"/>
      <c r="P55" s="144"/>
      <c r="Q55" s="143"/>
      <c r="R55" s="353" t="str">
        <f t="shared" si="4"/>
        <v/>
      </c>
      <c r="S55" s="129" t="str">
        <f t="shared" si="17"/>
        <v/>
      </c>
      <c r="T55" s="1226" t="str">
        <f t="shared" si="5"/>
        <v/>
      </c>
      <c r="U55" s="1226" t="str">
        <f t="shared" si="6"/>
        <v/>
      </c>
      <c r="V55" s="353" t="str">
        <f t="shared" si="7"/>
        <v/>
      </c>
      <c r="W55" s="129">
        <v>0</v>
      </c>
      <c r="X55" s="129">
        <v>0</v>
      </c>
      <c r="Y55" s="129" t="str">
        <f t="shared" si="18"/>
        <v/>
      </c>
      <c r="Z55" s="129" t="str">
        <f t="shared" si="19"/>
        <v/>
      </c>
      <c r="AA55" s="145"/>
      <c r="BA55" s="78"/>
      <c r="BB55" s="132" t="s">
        <v>2294</v>
      </c>
      <c r="BC55" s="133"/>
      <c r="BD55" s="132" t="str">
        <f>IF(OR(B55="",BC55=""),"",COUNTIF(BC$8:BC55,"√"))</f>
        <v/>
      </c>
      <c r="BE55" s="134" t="str">
        <f t="shared" si="8"/>
        <v/>
      </c>
      <c r="BF55" s="135" t="str">
        <f t="shared" si="9"/>
        <v/>
      </c>
      <c r="BG55" s="135" t="str">
        <f t="shared" si="9"/>
        <v/>
      </c>
      <c r="BH55" s="136"/>
      <c r="BI55" s="136"/>
      <c r="BJ55" s="136"/>
      <c r="BK55" s="136"/>
      <c r="BL55" s="137"/>
      <c r="BM55" s="137"/>
      <c r="BP55" s="134" t="str">
        <f>IF(COUNTIF(BP$7:BP54,B55)&gt;0,"",B55)&amp;""</f>
        <v/>
      </c>
      <c r="BQ55" s="138">
        <f t="shared" si="10"/>
        <v>0</v>
      </c>
      <c r="BR55" s="132">
        <f t="shared" si="23"/>
        <v>1</v>
      </c>
      <c r="BS55" s="138">
        <f t="shared" si="12"/>
        <v>0</v>
      </c>
      <c r="BT55" s="132">
        <f t="shared" si="24"/>
        <v>2</v>
      </c>
      <c r="BU55" s="133"/>
      <c r="BV55" s="133"/>
      <c r="BX55" s="1256">
        <v>44924</v>
      </c>
      <c r="BY55" s="165">
        <f>IFERROR(LOOKUP(BX55,基础数据!A:D),1)</f>
        <v>3.84333367100529</v>
      </c>
      <c r="BZ55" s="165">
        <f t="shared" si="30"/>
        <v>0.925685895077611</v>
      </c>
      <c r="CA55" s="165" t="e">
        <f t="shared" si="31"/>
        <v>#VALUE!</v>
      </c>
      <c r="CB55" s="165">
        <f t="shared" si="27"/>
        <v>80</v>
      </c>
      <c r="CC55" s="165" t="e">
        <f t="shared" si="32"/>
        <v>#VALUE!</v>
      </c>
      <c r="CD55" s="1257" t="s">
        <v>2237</v>
      </c>
    </row>
    <row r="56" ht="15" customHeight="1" spans="1:82">
      <c r="A56" s="123" t="str">
        <f>IF(B56="","",COUNT(A$7:A55)+1)</f>
        <v/>
      </c>
      <c r="B56" s="139"/>
      <c r="C56" s="139"/>
      <c r="D56" s="141"/>
      <c r="E56" s="126"/>
      <c r="F56" s="142"/>
      <c r="G56" s="127"/>
      <c r="H56" s="128"/>
      <c r="I56" s="128"/>
      <c r="J56" s="980"/>
      <c r="K56" s="143"/>
      <c r="L56" s="143"/>
      <c r="M56" s="129"/>
      <c r="N56" s="144"/>
      <c r="O56" s="144"/>
      <c r="P56" s="144"/>
      <c r="Q56" s="143"/>
      <c r="R56" s="353" t="str">
        <f t="shared" si="4"/>
        <v/>
      </c>
      <c r="S56" s="129" t="str">
        <f t="shared" si="17"/>
        <v/>
      </c>
      <c r="T56" s="1226" t="str">
        <f t="shared" si="5"/>
        <v/>
      </c>
      <c r="U56" s="1226" t="str">
        <f t="shared" si="6"/>
        <v/>
      </c>
      <c r="V56" s="353" t="str">
        <f t="shared" si="7"/>
        <v/>
      </c>
      <c r="W56" s="129">
        <v>0</v>
      </c>
      <c r="X56" s="129">
        <v>0</v>
      </c>
      <c r="Y56" s="129" t="str">
        <f t="shared" si="18"/>
        <v/>
      </c>
      <c r="Z56" s="129" t="str">
        <f t="shared" si="19"/>
        <v/>
      </c>
      <c r="AA56" s="145"/>
      <c r="BA56" s="78"/>
      <c r="BB56" s="132" t="s">
        <v>2295</v>
      </c>
      <c r="BC56" s="133"/>
      <c r="BD56" s="132" t="str">
        <f>IF(OR(B56="",BC56=""),"",COUNTIF(BC$8:BC56,"√"))</f>
        <v/>
      </c>
      <c r="BE56" s="134" t="str">
        <f t="shared" si="8"/>
        <v/>
      </c>
      <c r="BF56" s="135" t="str">
        <f t="shared" si="9"/>
        <v/>
      </c>
      <c r="BG56" s="135" t="str">
        <f t="shared" si="9"/>
        <v/>
      </c>
      <c r="BH56" s="136"/>
      <c r="BI56" s="136"/>
      <c r="BJ56" s="136"/>
      <c r="BK56" s="136"/>
      <c r="BL56" s="137"/>
      <c r="BM56" s="137"/>
      <c r="BP56" s="134" t="str">
        <f>IF(COUNTIF(BP$7:BP55,B56)&gt;0,"",B56)&amp;""</f>
        <v/>
      </c>
      <c r="BQ56" s="138">
        <f t="shared" si="10"/>
        <v>0</v>
      </c>
      <c r="BR56" s="132">
        <f t="shared" si="23"/>
        <v>1</v>
      </c>
      <c r="BS56" s="138">
        <f t="shared" si="12"/>
        <v>0</v>
      </c>
      <c r="BT56" s="132">
        <f t="shared" si="24"/>
        <v>2</v>
      </c>
      <c r="BU56" s="133"/>
      <c r="BV56" s="133"/>
      <c r="BX56" s="1256">
        <v>43100</v>
      </c>
      <c r="BY56" s="165">
        <f>IFERROR(LOOKUP(BX56,基础数据!A:D),1)</f>
        <v>3.53915880885741</v>
      </c>
      <c r="BZ56" s="165">
        <f t="shared" si="30"/>
        <v>1.00524445538375</v>
      </c>
      <c r="CA56" s="165" t="e">
        <f t="shared" si="31"/>
        <v>#VALUE!</v>
      </c>
      <c r="CB56" s="165">
        <f t="shared" si="27"/>
        <v>80</v>
      </c>
      <c r="CC56" s="165" t="e">
        <f t="shared" si="32"/>
        <v>#VALUE!</v>
      </c>
      <c r="CD56" s="1257" t="s">
        <v>2237</v>
      </c>
    </row>
    <row r="57" ht="15" customHeight="1" spans="1:82">
      <c r="A57" s="123" t="str">
        <f>IF(B57="","",COUNT(A$7:A56)+1)</f>
        <v/>
      </c>
      <c r="B57" s="139"/>
      <c r="C57" s="139"/>
      <c r="D57" s="141"/>
      <c r="E57" s="126"/>
      <c r="F57" s="142"/>
      <c r="G57" s="127"/>
      <c r="H57" s="128"/>
      <c r="I57" s="128"/>
      <c r="J57" s="980"/>
      <c r="K57" s="143"/>
      <c r="L57" s="143"/>
      <c r="M57" s="129"/>
      <c r="N57" s="144"/>
      <c r="O57" s="144"/>
      <c r="P57" s="144"/>
      <c r="Q57" s="143"/>
      <c r="R57" s="353" t="str">
        <f t="shared" si="4"/>
        <v/>
      </c>
      <c r="S57" s="129" t="str">
        <f t="shared" si="17"/>
        <v/>
      </c>
      <c r="T57" s="1226" t="str">
        <f t="shared" si="5"/>
        <v/>
      </c>
      <c r="U57" s="1226" t="str">
        <f t="shared" si="6"/>
        <v/>
      </c>
      <c r="V57" s="353" t="str">
        <f t="shared" si="7"/>
        <v/>
      </c>
      <c r="W57" s="129">
        <v>0</v>
      </c>
      <c r="X57" s="129">
        <v>0</v>
      </c>
      <c r="Y57" s="129" t="str">
        <f t="shared" si="18"/>
        <v/>
      </c>
      <c r="Z57" s="129" t="str">
        <f t="shared" si="19"/>
        <v/>
      </c>
      <c r="AA57" s="145"/>
      <c r="BA57" s="78"/>
      <c r="BB57" s="132" t="s">
        <v>2296</v>
      </c>
      <c r="BC57" s="133"/>
      <c r="BD57" s="132" t="str">
        <f>IF(OR(B57="",BC57=""),"",COUNTIF(BC$8:BC57,"√"))</f>
        <v/>
      </c>
      <c r="BE57" s="134" t="str">
        <f t="shared" si="8"/>
        <v/>
      </c>
      <c r="BF57" s="135" t="str">
        <f t="shared" si="9"/>
        <v/>
      </c>
      <c r="BG57" s="135" t="str">
        <f t="shared" si="9"/>
        <v/>
      </c>
      <c r="BH57" s="136"/>
      <c r="BI57" s="136"/>
      <c r="BJ57" s="136"/>
      <c r="BK57" s="136"/>
      <c r="BL57" s="137"/>
      <c r="BM57" s="137"/>
      <c r="BP57" s="134" t="str">
        <f>IF(COUNTIF(BP$7:BP56,B57)&gt;0,"",B57)&amp;""</f>
        <v/>
      </c>
      <c r="BQ57" s="138">
        <f t="shared" si="10"/>
        <v>0</v>
      </c>
      <c r="BR57" s="132">
        <f t="shared" si="23"/>
        <v>1</v>
      </c>
      <c r="BS57" s="138">
        <f t="shared" si="12"/>
        <v>0</v>
      </c>
      <c r="BT57" s="132">
        <f t="shared" si="24"/>
        <v>2</v>
      </c>
      <c r="BU57" s="133"/>
      <c r="BV57" s="133"/>
      <c r="BX57" s="1256">
        <v>44924</v>
      </c>
      <c r="BY57" s="165">
        <f>IFERROR(LOOKUP(BX57,基础数据!A:D),1)</f>
        <v>3.84333367100529</v>
      </c>
      <c r="BZ57" s="165">
        <f t="shared" si="30"/>
        <v>0.925685895077611</v>
      </c>
      <c r="CA57" s="165" t="e">
        <f t="shared" si="31"/>
        <v>#VALUE!</v>
      </c>
      <c r="CB57" s="165">
        <f t="shared" si="27"/>
        <v>80</v>
      </c>
      <c r="CC57" s="165" t="e">
        <f t="shared" si="32"/>
        <v>#VALUE!</v>
      </c>
      <c r="CD57" s="1257" t="s">
        <v>2237</v>
      </c>
    </row>
    <row r="58" ht="15" customHeight="1" spans="1:82">
      <c r="A58" s="123" t="str">
        <f>IF(B58="","",COUNT(A$7:A57)+1)</f>
        <v/>
      </c>
      <c r="B58" s="139"/>
      <c r="C58" s="139"/>
      <c r="D58" s="141"/>
      <c r="E58" s="126"/>
      <c r="F58" s="142"/>
      <c r="G58" s="127"/>
      <c r="H58" s="128"/>
      <c r="I58" s="128"/>
      <c r="J58" s="980"/>
      <c r="K58" s="143"/>
      <c r="L58" s="143"/>
      <c r="M58" s="129"/>
      <c r="N58" s="144"/>
      <c r="O58" s="144"/>
      <c r="P58" s="144"/>
      <c r="Q58" s="143"/>
      <c r="R58" s="353" t="str">
        <f t="shared" si="4"/>
        <v/>
      </c>
      <c r="S58" s="129" t="str">
        <f t="shared" si="17"/>
        <v/>
      </c>
      <c r="T58" s="1226" t="str">
        <f t="shared" si="5"/>
        <v/>
      </c>
      <c r="U58" s="1226" t="str">
        <f t="shared" si="6"/>
        <v/>
      </c>
      <c r="V58" s="353" t="str">
        <f t="shared" si="7"/>
        <v/>
      </c>
      <c r="W58" s="129">
        <v>0</v>
      </c>
      <c r="X58" s="129">
        <v>0</v>
      </c>
      <c r="Y58" s="129" t="str">
        <f t="shared" si="18"/>
        <v/>
      </c>
      <c r="Z58" s="129" t="str">
        <f t="shared" si="19"/>
        <v/>
      </c>
      <c r="AA58" s="145"/>
      <c r="BA58" s="78"/>
      <c r="BB58" s="132" t="s">
        <v>2297</v>
      </c>
      <c r="BC58" s="133"/>
      <c r="BD58" s="132" t="str">
        <f>IF(OR(B58="",BC58=""),"",COUNTIF(BC$8:BC58,"√"))</f>
        <v/>
      </c>
      <c r="BE58" s="134" t="str">
        <f t="shared" si="8"/>
        <v/>
      </c>
      <c r="BF58" s="135" t="str">
        <f t="shared" si="9"/>
        <v/>
      </c>
      <c r="BG58" s="135" t="str">
        <f t="shared" si="9"/>
        <v/>
      </c>
      <c r="BH58" s="136"/>
      <c r="BI58" s="136"/>
      <c r="BJ58" s="136"/>
      <c r="BK58" s="136"/>
      <c r="BL58" s="137"/>
      <c r="BM58" s="137"/>
      <c r="BP58" s="134" t="str">
        <f>IF(COUNTIF(BP$7:BP57,B58)&gt;0,"",B58)&amp;""</f>
        <v/>
      </c>
      <c r="BQ58" s="138">
        <f t="shared" si="10"/>
        <v>0</v>
      </c>
      <c r="BR58" s="132">
        <f t="shared" si="23"/>
        <v>1</v>
      </c>
      <c r="BS58" s="138">
        <f t="shared" si="12"/>
        <v>0</v>
      </c>
      <c r="BT58" s="132">
        <f t="shared" si="24"/>
        <v>2</v>
      </c>
      <c r="BU58" s="133"/>
      <c r="BV58" s="133"/>
      <c r="BX58" s="1256">
        <v>43100</v>
      </c>
      <c r="BY58" s="165">
        <f>IFERROR(LOOKUP(BX58,基础数据!A:D),1)</f>
        <v>3.53915880885741</v>
      </c>
      <c r="BZ58" s="165">
        <f t="shared" si="30"/>
        <v>1.00524445538375</v>
      </c>
      <c r="CA58" s="165" t="e">
        <f t="shared" si="31"/>
        <v>#VALUE!</v>
      </c>
      <c r="CB58" s="165">
        <f t="shared" si="27"/>
        <v>80</v>
      </c>
      <c r="CC58" s="165" t="e">
        <f t="shared" si="32"/>
        <v>#VALUE!</v>
      </c>
      <c r="CD58" s="1257" t="s">
        <v>2237</v>
      </c>
    </row>
    <row r="59" ht="15" customHeight="1" spans="1:82">
      <c r="A59" s="123" t="str">
        <f>IF(B59="","",COUNT(A$7:A58)+1)</f>
        <v/>
      </c>
      <c r="B59" s="139"/>
      <c r="C59" s="139"/>
      <c r="D59" s="141"/>
      <c r="E59" s="126"/>
      <c r="F59" s="142"/>
      <c r="G59" s="127"/>
      <c r="H59" s="128"/>
      <c r="I59" s="128"/>
      <c r="J59" s="980"/>
      <c r="K59" s="143"/>
      <c r="L59" s="143"/>
      <c r="M59" s="129"/>
      <c r="N59" s="144"/>
      <c r="O59" s="144"/>
      <c r="P59" s="144"/>
      <c r="Q59" s="143"/>
      <c r="R59" s="353" t="str">
        <f t="shared" si="4"/>
        <v/>
      </c>
      <c r="S59" s="129" t="str">
        <f t="shared" si="17"/>
        <v/>
      </c>
      <c r="T59" s="1226" t="str">
        <f t="shared" si="5"/>
        <v/>
      </c>
      <c r="U59" s="1226" t="str">
        <f t="shared" si="6"/>
        <v/>
      </c>
      <c r="V59" s="353" t="str">
        <f t="shared" ref="V59:V122" si="35">IF(B59="","",IF($BB$3="是",R59,""))</f>
        <v/>
      </c>
      <c r="W59" s="129">
        <v>0</v>
      </c>
      <c r="X59" s="129">
        <v>0</v>
      </c>
      <c r="Y59" s="129" t="str">
        <f t="shared" si="18"/>
        <v/>
      </c>
      <c r="Z59" s="129" t="str">
        <f t="shared" si="19"/>
        <v/>
      </c>
      <c r="AA59" s="145"/>
      <c r="BA59" s="78"/>
      <c r="BB59" s="132" t="s">
        <v>2298</v>
      </c>
      <c r="BC59" s="133"/>
      <c r="BD59" s="132" t="str">
        <f>IF(OR(B59="",BC59=""),"",COUNTIF(BC$8:BC59,"√"))</f>
        <v/>
      </c>
      <c r="BE59" s="134" t="str">
        <f t="shared" si="8"/>
        <v/>
      </c>
      <c r="BF59" s="135" t="str">
        <f t="shared" si="9"/>
        <v/>
      </c>
      <c r="BG59" s="135" t="str">
        <f t="shared" si="9"/>
        <v/>
      </c>
      <c r="BH59" s="136"/>
      <c r="BI59" s="136"/>
      <c r="BJ59" s="136"/>
      <c r="BK59" s="136"/>
      <c r="BL59" s="137"/>
      <c r="BM59" s="137"/>
      <c r="BP59" s="134" t="str">
        <f>IF(COUNTIF(BP$7:BP58,B59)&gt;0,"",B59)&amp;""</f>
        <v/>
      </c>
      <c r="BQ59" s="138">
        <f t="shared" si="10"/>
        <v>0</v>
      </c>
      <c r="BR59" s="132">
        <f t="shared" si="23"/>
        <v>1</v>
      </c>
      <c r="BS59" s="138">
        <f t="shared" si="12"/>
        <v>0</v>
      </c>
      <c r="BT59" s="132">
        <f t="shared" si="24"/>
        <v>2</v>
      </c>
      <c r="BU59" s="133"/>
      <c r="BV59" s="133"/>
      <c r="BX59" s="1256">
        <v>43100</v>
      </c>
      <c r="BY59" s="165">
        <f>IFERROR(LOOKUP(BX59,基础数据!A:D),1)</f>
        <v>3.53915880885741</v>
      </c>
      <c r="BZ59" s="165">
        <f t="shared" si="30"/>
        <v>1.00524445538375</v>
      </c>
      <c r="CA59" s="165" t="e">
        <f t="shared" si="31"/>
        <v>#VALUE!</v>
      </c>
      <c r="CB59" s="165">
        <f t="shared" si="27"/>
        <v>80</v>
      </c>
      <c r="CC59" s="165" t="e">
        <f t="shared" si="32"/>
        <v>#VALUE!</v>
      </c>
      <c r="CD59" s="1257" t="s">
        <v>2237</v>
      </c>
    </row>
    <row r="60" ht="15" customHeight="1" spans="1:82">
      <c r="A60" s="123" t="str">
        <f>IF(B60="","",COUNT(A$7:A59)+1)</f>
        <v/>
      </c>
      <c r="B60" s="139"/>
      <c r="C60" s="139"/>
      <c r="D60" s="141"/>
      <c r="E60" s="126"/>
      <c r="F60" s="142"/>
      <c r="G60" s="127"/>
      <c r="H60" s="128"/>
      <c r="I60" s="128"/>
      <c r="J60" s="980"/>
      <c r="K60" s="143"/>
      <c r="L60" s="143"/>
      <c r="M60" s="129"/>
      <c r="N60" s="144"/>
      <c r="O60" s="144"/>
      <c r="P60" s="144"/>
      <c r="Q60" s="143"/>
      <c r="R60" s="353" t="str">
        <f t="shared" si="4"/>
        <v/>
      </c>
      <c r="S60" s="129" t="str">
        <f t="shared" si="17"/>
        <v/>
      </c>
      <c r="T60" s="1226" t="str">
        <f t="shared" si="5"/>
        <v/>
      </c>
      <c r="U60" s="1226" t="str">
        <f t="shared" si="6"/>
        <v/>
      </c>
      <c r="V60" s="353" t="str">
        <f t="shared" si="35"/>
        <v/>
      </c>
      <c r="W60" s="129">
        <v>0</v>
      </c>
      <c r="X60" s="129">
        <v>0</v>
      </c>
      <c r="Y60" s="129" t="str">
        <f t="shared" si="18"/>
        <v/>
      </c>
      <c r="Z60" s="129" t="str">
        <f t="shared" si="19"/>
        <v/>
      </c>
      <c r="AA60" s="145"/>
      <c r="BA60" s="78"/>
      <c r="BB60" s="132" t="s">
        <v>2299</v>
      </c>
      <c r="BC60" s="133"/>
      <c r="BD60" s="132" t="str">
        <f>IF(OR(B60="",BC60=""),"",COUNTIF(BC$8:BC60,"√"))</f>
        <v/>
      </c>
      <c r="BE60" s="134" t="str">
        <f t="shared" si="8"/>
        <v/>
      </c>
      <c r="BF60" s="135" t="str">
        <f t="shared" si="9"/>
        <v/>
      </c>
      <c r="BG60" s="135" t="str">
        <f t="shared" si="9"/>
        <v/>
      </c>
      <c r="BH60" s="136"/>
      <c r="BI60" s="136"/>
      <c r="BJ60" s="136"/>
      <c r="BK60" s="136"/>
      <c r="BL60" s="137"/>
      <c r="BM60" s="137"/>
      <c r="BP60" s="134" t="str">
        <f>IF(COUNTIF(BP$7:BP59,B60)&gt;0,"",B60)&amp;""</f>
        <v/>
      </c>
      <c r="BQ60" s="138">
        <f t="shared" si="10"/>
        <v>0</v>
      </c>
      <c r="BR60" s="132">
        <f t="shared" si="23"/>
        <v>1</v>
      </c>
      <c r="BS60" s="138">
        <f t="shared" si="12"/>
        <v>0</v>
      </c>
      <c r="BT60" s="132">
        <f t="shared" si="24"/>
        <v>2</v>
      </c>
      <c r="BU60" s="133"/>
      <c r="BV60" s="133"/>
      <c r="BX60" s="1256">
        <v>43100</v>
      </c>
      <c r="BY60" s="165">
        <f>IFERROR(LOOKUP(BX60,基础数据!A:D),1)</f>
        <v>3.53915880885741</v>
      </c>
      <c r="BZ60" s="165">
        <f t="shared" si="30"/>
        <v>1.00524445538375</v>
      </c>
      <c r="CA60" s="165" t="e">
        <f t="shared" si="31"/>
        <v>#VALUE!</v>
      </c>
      <c r="CB60" s="165">
        <f t="shared" si="27"/>
        <v>80</v>
      </c>
      <c r="CC60" s="165" t="e">
        <f t="shared" si="32"/>
        <v>#VALUE!</v>
      </c>
      <c r="CD60" s="1257" t="s">
        <v>2237</v>
      </c>
    </row>
    <row r="61" ht="15" customHeight="1" spans="1:82">
      <c r="A61" s="123" t="str">
        <f>IF(B61="","",COUNT(A$7:A60)+1)</f>
        <v/>
      </c>
      <c r="B61" s="139"/>
      <c r="C61" s="139"/>
      <c r="D61" s="141"/>
      <c r="E61" s="126"/>
      <c r="F61" s="142"/>
      <c r="G61" s="127"/>
      <c r="H61" s="128"/>
      <c r="I61" s="128"/>
      <c r="J61" s="980"/>
      <c r="K61" s="143"/>
      <c r="L61" s="143"/>
      <c r="M61" s="129"/>
      <c r="N61" s="144"/>
      <c r="O61" s="144"/>
      <c r="P61" s="144"/>
      <c r="Q61" s="143"/>
      <c r="R61" s="353" t="str">
        <f t="shared" ref="R61:R124" si="36">IF(B61="","",J61+N61)</f>
        <v/>
      </c>
      <c r="S61" s="129" t="str">
        <f t="shared" si="17"/>
        <v/>
      </c>
      <c r="T61" s="1226" t="str">
        <f t="shared" si="5"/>
        <v/>
      </c>
      <c r="U61" s="1226" t="str">
        <f t="shared" si="6"/>
        <v/>
      </c>
      <c r="V61" s="353" t="str">
        <f t="shared" si="35"/>
        <v/>
      </c>
      <c r="W61" s="129">
        <v>0</v>
      </c>
      <c r="X61" s="129">
        <v>0</v>
      </c>
      <c r="Y61" s="129" t="str">
        <f t="shared" si="18"/>
        <v/>
      </c>
      <c r="Z61" s="129" t="str">
        <f t="shared" si="19"/>
        <v/>
      </c>
      <c r="AA61" s="145"/>
      <c r="BA61" s="78"/>
      <c r="BB61" s="132" t="s">
        <v>2300</v>
      </c>
      <c r="BC61" s="133"/>
      <c r="BD61" s="132" t="str">
        <f>IF(OR(B61="",BC61=""),"",COUNTIF(BC$8:BC61,"√"))</f>
        <v/>
      </c>
      <c r="BE61" s="134" t="str">
        <f t="shared" ref="BE61:BE124" si="37">IF(BC61="","",BB61&amp;"︱"&amp;B61&amp;"︱"&amp;TEXT(L61,"#,##0.00"))</f>
        <v/>
      </c>
      <c r="BF61" s="135" t="str">
        <f t="shared" si="9"/>
        <v/>
      </c>
      <c r="BG61" s="135" t="str">
        <f t="shared" si="9"/>
        <v/>
      </c>
      <c r="BH61" s="136"/>
      <c r="BI61" s="136"/>
      <c r="BJ61" s="136"/>
      <c r="BK61" s="136"/>
      <c r="BL61" s="137"/>
      <c r="BM61" s="137"/>
      <c r="BP61" s="134" t="str">
        <f>IF(COUNTIF(BP$7:BP60,B61)&gt;0,"",B61)&amp;""</f>
        <v/>
      </c>
      <c r="BQ61" s="138">
        <f t="shared" ref="BQ61:BQ124" si="38">SUMIF(B$8:B$397,BP61,T$8:T$397)</f>
        <v>0</v>
      </c>
      <c r="BR61" s="132">
        <f t="shared" ref="BR61:BR92" si="39">RANK(BQ61,BQ$8:BQ$397)</f>
        <v>1</v>
      </c>
      <c r="BS61" s="138">
        <f t="shared" ref="BS61:BS124" si="40">SUMIF(B$8:B$397,BP61,X$8:X$397)</f>
        <v>0</v>
      </c>
      <c r="BT61" s="132">
        <f t="shared" ref="BT61:BT92" si="41">RANK(BS61,BS$8:BS$397)</f>
        <v>2</v>
      </c>
      <c r="BU61" s="133"/>
      <c r="BV61" s="133"/>
      <c r="BX61" s="1256">
        <v>43100</v>
      </c>
      <c r="BY61" s="165">
        <f>IFERROR(LOOKUP(BX61,基础数据!A:D),1)</f>
        <v>3.53915880885741</v>
      </c>
      <c r="BZ61" s="165">
        <f t="shared" si="30"/>
        <v>1.00524445538375</v>
      </c>
      <c r="CA61" s="165" t="e">
        <f t="shared" si="31"/>
        <v>#VALUE!</v>
      </c>
      <c r="CB61" s="165">
        <f t="shared" si="27"/>
        <v>80</v>
      </c>
      <c r="CC61" s="165" t="e">
        <f t="shared" si="32"/>
        <v>#VALUE!</v>
      </c>
      <c r="CD61" s="1257" t="s">
        <v>2237</v>
      </c>
    </row>
    <row r="62" ht="15" customHeight="1" spans="1:82">
      <c r="A62" s="123" t="str">
        <f>IF(B62="","",COUNT(A$7:A61)+1)</f>
        <v/>
      </c>
      <c r="B62" s="139"/>
      <c r="C62" s="139"/>
      <c r="D62" s="141"/>
      <c r="E62" s="126"/>
      <c r="F62" s="142"/>
      <c r="G62" s="127"/>
      <c r="H62" s="128"/>
      <c r="I62" s="128"/>
      <c r="J62" s="980"/>
      <c r="K62" s="143"/>
      <c r="L62" s="143"/>
      <c r="M62" s="129"/>
      <c r="N62" s="144"/>
      <c r="O62" s="144"/>
      <c r="P62" s="144"/>
      <c r="Q62" s="143"/>
      <c r="R62" s="353" t="str">
        <f t="shared" si="36"/>
        <v/>
      </c>
      <c r="S62" s="129" t="str">
        <f t="shared" si="17"/>
        <v/>
      </c>
      <c r="T62" s="1226" t="str">
        <f t="shared" si="5"/>
        <v/>
      </c>
      <c r="U62" s="1226" t="str">
        <f t="shared" si="6"/>
        <v/>
      </c>
      <c r="V62" s="353" t="str">
        <f t="shared" si="35"/>
        <v/>
      </c>
      <c r="W62" s="129">
        <v>0</v>
      </c>
      <c r="X62" s="129">
        <v>0</v>
      </c>
      <c r="Y62" s="129" t="str">
        <f t="shared" si="18"/>
        <v/>
      </c>
      <c r="Z62" s="129" t="str">
        <f t="shared" si="19"/>
        <v/>
      </c>
      <c r="AA62" s="145"/>
      <c r="BA62" s="78"/>
      <c r="BB62" s="132" t="s">
        <v>2301</v>
      </c>
      <c r="BC62" s="133"/>
      <c r="BD62" s="132" t="str">
        <f>IF(OR(B62="",BC62=""),"",COUNTIF(BC$8:BC62,"√"))</f>
        <v/>
      </c>
      <c r="BE62" s="134" t="str">
        <f t="shared" si="37"/>
        <v/>
      </c>
      <c r="BF62" s="135" t="str">
        <f t="shared" si="9"/>
        <v/>
      </c>
      <c r="BG62" s="135" t="str">
        <f t="shared" si="9"/>
        <v/>
      </c>
      <c r="BH62" s="136"/>
      <c r="BI62" s="136"/>
      <c r="BJ62" s="136"/>
      <c r="BK62" s="136"/>
      <c r="BL62" s="137"/>
      <c r="BM62" s="137"/>
      <c r="BP62" s="134" t="str">
        <f>IF(COUNTIF(BP$7:BP61,B62)&gt;0,"",B62)&amp;""</f>
        <v/>
      </c>
      <c r="BQ62" s="138">
        <f t="shared" si="38"/>
        <v>0</v>
      </c>
      <c r="BR62" s="132">
        <f t="shared" si="39"/>
        <v>1</v>
      </c>
      <c r="BS62" s="138">
        <f t="shared" si="40"/>
        <v>0</v>
      </c>
      <c r="BT62" s="132">
        <f t="shared" si="41"/>
        <v>2</v>
      </c>
      <c r="BU62" s="133"/>
      <c r="BV62" s="133"/>
      <c r="BX62" s="1256">
        <v>43100</v>
      </c>
      <c r="BY62" s="165">
        <f>IFERROR(LOOKUP(BX62,基础数据!A:D),1)</f>
        <v>3.53915880885741</v>
      </c>
      <c r="BZ62" s="165">
        <f t="shared" si="30"/>
        <v>1.00524445538375</v>
      </c>
      <c r="CA62" s="165" t="e">
        <f t="shared" si="31"/>
        <v>#VALUE!</v>
      </c>
      <c r="CB62" s="165">
        <f t="shared" si="27"/>
        <v>80</v>
      </c>
      <c r="CC62" s="165" t="e">
        <f t="shared" si="32"/>
        <v>#VALUE!</v>
      </c>
      <c r="CD62" s="1257" t="s">
        <v>2237</v>
      </c>
    </row>
    <row r="63" ht="15" customHeight="1" spans="1:82">
      <c r="A63" s="123" t="str">
        <f>IF(B63="","",COUNT(A$7:A62)+1)</f>
        <v/>
      </c>
      <c r="B63" s="139"/>
      <c r="C63" s="139"/>
      <c r="D63" s="141"/>
      <c r="E63" s="126"/>
      <c r="F63" s="142"/>
      <c r="G63" s="127"/>
      <c r="H63" s="128"/>
      <c r="I63" s="128"/>
      <c r="J63" s="980"/>
      <c r="K63" s="143"/>
      <c r="L63" s="143"/>
      <c r="M63" s="129"/>
      <c r="N63" s="144"/>
      <c r="O63" s="144"/>
      <c r="P63" s="144"/>
      <c r="Q63" s="143"/>
      <c r="R63" s="353" t="str">
        <f t="shared" si="36"/>
        <v/>
      </c>
      <c r="S63" s="129" t="str">
        <f t="shared" si="17"/>
        <v/>
      </c>
      <c r="T63" s="1226" t="str">
        <f t="shared" si="5"/>
        <v/>
      </c>
      <c r="U63" s="1226" t="str">
        <f t="shared" si="6"/>
        <v/>
      </c>
      <c r="V63" s="353" t="str">
        <f t="shared" si="35"/>
        <v/>
      </c>
      <c r="W63" s="129">
        <v>0</v>
      </c>
      <c r="X63" s="129">
        <v>0</v>
      </c>
      <c r="Y63" s="129" t="str">
        <f t="shared" si="18"/>
        <v/>
      </c>
      <c r="Z63" s="129" t="str">
        <f t="shared" si="19"/>
        <v/>
      </c>
      <c r="AA63" s="145"/>
      <c r="BA63" s="78"/>
      <c r="BB63" s="132" t="s">
        <v>2302</v>
      </c>
      <c r="BC63" s="133"/>
      <c r="BD63" s="132" t="str">
        <f>IF(OR(B63="",BC63=""),"",COUNTIF(BC$8:BC63,"√"))</f>
        <v/>
      </c>
      <c r="BE63" s="134" t="str">
        <f t="shared" si="37"/>
        <v/>
      </c>
      <c r="BF63" s="135" t="str">
        <f t="shared" si="9"/>
        <v/>
      </c>
      <c r="BG63" s="135" t="str">
        <f t="shared" si="9"/>
        <v/>
      </c>
      <c r="BH63" s="136"/>
      <c r="BI63" s="136"/>
      <c r="BJ63" s="136"/>
      <c r="BK63" s="136"/>
      <c r="BL63" s="137"/>
      <c r="BM63" s="137"/>
      <c r="BP63" s="134" t="str">
        <f>IF(COUNTIF(BP$7:BP62,B63)&gt;0,"",B63)&amp;""</f>
        <v/>
      </c>
      <c r="BQ63" s="138">
        <f t="shared" si="38"/>
        <v>0</v>
      </c>
      <c r="BR63" s="132">
        <f t="shared" si="39"/>
        <v>1</v>
      </c>
      <c r="BS63" s="138">
        <f t="shared" si="40"/>
        <v>0</v>
      </c>
      <c r="BT63" s="132">
        <f t="shared" si="41"/>
        <v>2</v>
      </c>
      <c r="BU63" s="133"/>
      <c r="BV63" s="133"/>
      <c r="BX63" s="1256">
        <v>43100</v>
      </c>
      <c r="BY63" s="165">
        <f>IFERROR(LOOKUP(BX63,基础数据!A:D),1)</f>
        <v>3.53915880885741</v>
      </c>
      <c r="BZ63" s="165">
        <f t="shared" si="30"/>
        <v>1.00524445538375</v>
      </c>
      <c r="CA63" s="165" t="e">
        <f t="shared" si="31"/>
        <v>#VALUE!</v>
      </c>
      <c r="CB63" s="165">
        <f t="shared" si="27"/>
        <v>80</v>
      </c>
      <c r="CC63" s="165" t="e">
        <f t="shared" si="32"/>
        <v>#VALUE!</v>
      </c>
      <c r="CD63" s="1257" t="s">
        <v>2237</v>
      </c>
    </row>
    <row r="64" ht="15" customHeight="1" spans="1:82">
      <c r="A64" s="123" t="str">
        <f>IF(B64="","",COUNT(A$7:A63)+1)</f>
        <v/>
      </c>
      <c r="B64" s="139"/>
      <c r="C64" s="139"/>
      <c r="D64" s="141"/>
      <c r="E64" s="126"/>
      <c r="F64" s="142"/>
      <c r="G64" s="127"/>
      <c r="H64" s="128"/>
      <c r="I64" s="128"/>
      <c r="J64" s="980"/>
      <c r="K64" s="143"/>
      <c r="L64" s="143"/>
      <c r="M64" s="129"/>
      <c r="N64" s="144"/>
      <c r="O64" s="144"/>
      <c r="P64" s="144"/>
      <c r="Q64" s="143"/>
      <c r="R64" s="353" t="str">
        <f t="shared" si="36"/>
        <v/>
      </c>
      <c r="S64" s="129" t="str">
        <f t="shared" si="17"/>
        <v/>
      </c>
      <c r="T64" s="1226" t="str">
        <f t="shared" si="5"/>
        <v/>
      </c>
      <c r="U64" s="1226" t="str">
        <f t="shared" si="6"/>
        <v/>
      </c>
      <c r="V64" s="353" t="str">
        <f t="shared" si="35"/>
        <v/>
      </c>
      <c r="W64" s="129">
        <v>0</v>
      </c>
      <c r="X64" s="129">
        <v>0</v>
      </c>
      <c r="Y64" s="129" t="str">
        <f t="shared" si="18"/>
        <v/>
      </c>
      <c r="Z64" s="129" t="str">
        <f t="shared" si="19"/>
        <v/>
      </c>
      <c r="AA64" s="145"/>
      <c r="BA64" s="78"/>
      <c r="BB64" s="132" t="s">
        <v>2303</v>
      </c>
      <c r="BC64" s="133"/>
      <c r="BD64" s="132" t="str">
        <f>IF(OR(B64="",BC64=""),"",COUNTIF(BC$8:BC64,"√"))</f>
        <v/>
      </c>
      <c r="BE64" s="134" t="str">
        <f t="shared" si="37"/>
        <v/>
      </c>
      <c r="BF64" s="135" t="str">
        <f t="shared" si="9"/>
        <v/>
      </c>
      <c r="BG64" s="135" t="str">
        <f t="shared" si="9"/>
        <v/>
      </c>
      <c r="BH64" s="136"/>
      <c r="BI64" s="136"/>
      <c r="BJ64" s="136"/>
      <c r="BK64" s="136"/>
      <c r="BL64" s="137"/>
      <c r="BM64" s="137"/>
      <c r="BP64" s="134" t="str">
        <f>IF(COUNTIF(BP$7:BP63,B64)&gt;0,"",B64)&amp;""</f>
        <v/>
      </c>
      <c r="BQ64" s="138">
        <f t="shared" si="38"/>
        <v>0</v>
      </c>
      <c r="BR64" s="132">
        <f t="shared" si="39"/>
        <v>1</v>
      </c>
      <c r="BS64" s="138">
        <f t="shared" si="40"/>
        <v>0</v>
      </c>
      <c r="BT64" s="132">
        <f t="shared" si="41"/>
        <v>2</v>
      </c>
      <c r="BU64" s="133"/>
      <c r="BV64" s="133"/>
      <c r="BX64" s="1256">
        <v>43100</v>
      </c>
      <c r="BY64" s="165">
        <f>IFERROR(LOOKUP(BX64,基础数据!A:D),1)</f>
        <v>3.53915880885741</v>
      </c>
      <c r="BZ64" s="165">
        <f t="shared" si="30"/>
        <v>1.00524445538375</v>
      </c>
      <c r="CA64" s="165" t="e">
        <f t="shared" si="31"/>
        <v>#VALUE!</v>
      </c>
      <c r="CB64" s="165">
        <f t="shared" si="27"/>
        <v>80</v>
      </c>
      <c r="CC64" s="165" t="e">
        <f t="shared" si="32"/>
        <v>#VALUE!</v>
      </c>
      <c r="CD64" s="1257" t="s">
        <v>2237</v>
      </c>
    </row>
    <row r="65" ht="15" customHeight="1" spans="1:82">
      <c r="A65" s="123" t="str">
        <f>IF(B65="","",COUNT(A$7:A64)+1)</f>
        <v/>
      </c>
      <c r="B65" s="139"/>
      <c r="C65" s="139"/>
      <c r="D65" s="141"/>
      <c r="E65" s="126"/>
      <c r="F65" s="142"/>
      <c r="G65" s="127"/>
      <c r="H65" s="128"/>
      <c r="I65" s="128"/>
      <c r="J65" s="980"/>
      <c r="K65" s="143"/>
      <c r="L65" s="143"/>
      <c r="M65" s="129"/>
      <c r="N65" s="144"/>
      <c r="O65" s="144"/>
      <c r="P65" s="144"/>
      <c r="Q65" s="143"/>
      <c r="R65" s="353" t="str">
        <f t="shared" si="36"/>
        <v/>
      </c>
      <c r="S65" s="129" t="str">
        <f t="shared" si="17"/>
        <v/>
      </c>
      <c r="T65" s="1226" t="str">
        <f t="shared" si="5"/>
        <v/>
      </c>
      <c r="U65" s="1226" t="str">
        <f t="shared" si="6"/>
        <v/>
      </c>
      <c r="V65" s="353" t="str">
        <f t="shared" si="35"/>
        <v/>
      </c>
      <c r="W65" s="129">
        <v>0</v>
      </c>
      <c r="X65" s="129">
        <v>0</v>
      </c>
      <c r="Y65" s="129" t="str">
        <f t="shared" si="18"/>
        <v/>
      </c>
      <c r="Z65" s="129" t="str">
        <f t="shared" si="19"/>
        <v/>
      </c>
      <c r="AA65" s="145"/>
      <c r="BA65" s="78"/>
      <c r="BB65" s="132" t="s">
        <v>2304</v>
      </c>
      <c r="BC65" s="133"/>
      <c r="BD65" s="132" t="str">
        <f>IF(OR(B65="",BC65=""),"",COUNTIF(BC$8:BC65,"√"))</f>
        <v/>
      </c>
      <c r="BE65" s="134" t="str">
        <f t="shared" si="37"/>
        <v/>
      </c>
      <c r="BF65" s="135" t="str">
        <f t="shared" si="9"/>
        <v/>
      </c>
      <c r="BG65" s="135" t="str">
        <f t="shared" si="9"/>
        <v/>
      </c>
      <c r="BH65" s="136"/>
      <c r="BI65" s="136"/>
      <c r="BJ65" s="136"/>
      <c r="BK65" s="136"/>
      <c r="BL65" s="137"/>
      <c r="BM65" s="137"/>
      <c r="BP65" s="134" t="str">
        <f>IF(COUNTIF(BP$7:BP64,B65)&gt;0,"",B65)&amp;""</f>
        <v/>
      </c>
      <c r="BQ65" s="138">
        <f t="shared" si="38"/>
        <v>0</v>
      </c>
      <c r="BR65" s="132">
        <f t="shared" si="39"/>
        <v>1</v>
      </c>
      <c r="BS65" s="138">
        <f t="shared" si="40"/>
        <v>0</v>
      </c>
      <c r="BT65" s="132">
        <f t="shared" si="41"/>
        <v>2</v>
      </c>
      <c r="BU65" s="133"/>
      <c r="BV65" s="133"/>
      <c r="BX65" s="1256">
        <v>43100</v>
      </c>
      <c r="BY65" s="165">
        <f>IFERROR(LOOKUP(BX65,基础数据!A:D),1)</f>
        <v>3.53915880885741</v>
      </c>
      <c r="BZ65" s="165">
        <f t="shared" si="30"/>
        <v>1.00524445538375</v>
      </c>
      <c r="CA65" s="165" t="e">
        <f t="shared" si="31"/>
        <v>#VALUE!</v>
      </c>
      <c r="CB65" s="165">
        <f t="shared" si="27"/>
        <v>80</v>
      </c>
      <c r="CC65" s="165" t="e">
        <f t="shared" si="32"/>
        <v>#VALUE!</v>
      </c>
      <c r="CD65" s="1257" t="s">
        <v>2237</v>
      </c>
    </row>
    <row r="66" ht="15" customHeight="1" spans="1:82">
      <c r="A66" s="123" t="str">
        <f>IF(B66="","",COUNT(A$7:A65)+1)</f>
        <v/>
      </c>
      <c r="B66" s="139"/>
      <c r="C66" s="139"/>
      <c r="D66" s="141"/>
      <c r="E66" s="126"/>
      <c r="F66" s="142"/>
      <c r="G66" s="127"/>
      <c r="H66" s="128"/>
      <c r="I66" s="128"/>
      <c r="J66" s="980"/>
      <c r="K66" s="143"/>
      <c r="L66" s="143"/>
      <c r="M66" s="129"/>
      <c r="N66" s="144"/>
      <c r="O66" s="144"/>
      <c r="P66" s="144"/>
      <c r="Q66" s="143"/>
      <c r="R66" s="353" t="str">
        <f t="shared" si="36"/>
        <v/>
      </c>
      <c r="S66" s="129" t="str">
        <f t="shared" ref="S66:S108" si="42">IFERROR(T66/R66,"")</f>
        <v/>
      </c>
      <c r="T66" s="1226" t="str">
        <f t="shared" si="5"/>
        <v/>
      </c>
      <c r="U66" s="1226" t="str">
        <f t="shared" si="6"/>
        <v/>
      </c>
      <c r="V66" s="353" t="str">
        <f t="shared" si="35"/>
        <v/>
      </c>
      <c r="W66" s="129">
        <v>0</v>
      </c>
      <c r="X66" s="129">
        <v>0</v>
      </c>
      <c r="Y66" s="129" t="str">
        <f t="shared" ref="Y66:Y108" si="43">IFERROR(X66-(T66-U66),"")</f>
        <v/>
      </c>
      <c r="Z66" s="129" t="str">
        <f t="shared" ref="Z66:Z108" si="44">IFERROR(Y66/(T66-U66)*100,"")</f>
        <v/>
      </c>
      <c r="AA66" s="145"/>
      <c r="BA66" s="78"/>
      <c r="BB66" s="132" t="s">
        <v>2305</v>
      </c>
      <c r="BC66" s="133"/>
      <c r="BD66" s="132" t="str">
        <f>IF(OR(B66="",BC66=""),"",COUNTIF(BC$8:BC66,"√"))</f>
        <v/>
      </c>
      <c r="BE66" s="134" t="str">
        <f t="shared" si="37"/>
        <v/>
      </c>
      <c r="BF66" s="135" t="str">
        <f t="shared" si="9"/>
        <v/>
      </c>
      <c r="BG66" s="135" t="str">
        <f t="shared" si="9"/>
        <v/>
      </c>
      <c r="BH66" s="136"/>
      <c r="BI66" s="136"/>
      <c r="BJ66" s="136"/>
      <c r="BK66" s="136"/>
      <c r="BL66" s="137"/>
      <c r="BM66" s="137"/>
      <c r="BP66" s="134" t="str">
        <f>IF(COUNTIF(BP$7:BP65,B66)&gt;0,"",B66)&amp;""</f>
        <v/>
      </c>
      <c r="BQ66" s="138">
        <f t="shared" si="38"/>
        <v>0</v>
      </c>
      <c r="BR66" s="132">
        <f t="shared" si="39"/>
        <v>1</v>
      </c>
      <c r="BS66" s="138">
        <f t="shared" si="40"/>
        <v>0</v>
      </c>
      <c r="BT66" s="132">
        <f t="shared" si="41"/>
        <v>2</v>
      </c>
      <c r="BU66" s="133"/>
      <c r="BV66" s="133"/>
      <c r="BX66" s="1256">
        <v>44908</v>
      </c>
      <c r="BY66" s="165">
        <f>IFERROR(LOOKUP(BX66,基础数据!A:D),1)</f>
        <v>3.84333367100529</v>
      </c>
      <c r="BZ66" s="165">
        <f t="shared" si="30"/>
        <v>0.925685895077611</v>
      </c>
      <c r="CA66" s="165" t="e">
        <f t="shared" si="31"/>
        <v>#VALUE!</v>
      </c>
      <c r="CB66" s="165">
        <f t="shared" si="27"/>
        <v>80</v>
      </c>
      <c r="CC66" s="165" t="e">
        <f t="shared" si="32"/>
        <v>#VALUE!</v>
      </c>
      <c r="CD66" s="1257" t="s">
        <v>2237</v>
      </c>
    </row>
    <row r="67" ht="15" customHeight="1" spans="1:82">
      <c r="A67" s="123" t="str">
        <f>IF(B67="","",COUNT(A$7:A66)+1)</f>
        <v/>
      </c>
      <c r="B67" s="139"/>
      <c r="C67" s="139"/>
      <c r="D67" s="141"/>
      <c r="E67" s="126"/>
      <c r="F67" s="142"/>
      <c r="G67" s="127"/>
      <c r="H67" s="128"/>
      <c r="I67" s="128"/>
      <c r="J67" s="980"/>
      <c r="K67" s="143"/>
      <c r="L67" s="143"/>
      <c r="M67" s="129"/>
      <c r="N67" s="144"/>
      <c r="O67" s="144"/>
      <c r="P67" s="144"/>
      <c r="Q67" s="143"/>
      <c r="R67" s="353" t="str">
        <f t="shared" si="36"/>
        <v/>
      </c>
      <c r="S67" s="129" t="str">
        <f t="shared" si="42"/>
        <v/>
      </c>
      <c r="T67" s="1226" t="str">
        <f t="shared" si="5"/>
        <v/>
      </c>
      <c r="U67" s="1226" t="str">
        <f t="shared" si="6"/>
        <v/>
      </c>
      <c r="V67" s="353" t="str">
        <f t="shared" si="35"/>
        <v/>
      </c>
      <c r="W67" s="129">
        <v>0</v>
      </c>
      <c r="X67" s="129">
        <v>0</v>
      </c>
      <c r="Y67" s="129" t="str">
        <f t="shared" si="43"/>
        <v/>
      </c>
      <c r="Z67" s="129" t="str">
        <f t="shared" si="44"/>
        <v/>
      </c>
      <c r="AA67" s="145"/>
      <c r="BA67" s="78"/>
      <c r="BB67" s="132" t="s">
        <v>2306</v>
      </c>
      <c r="BC67" s="133"/>
      <c r="BD67" s="132" t="str">
        <f>IF(OR(B67="",BC67=""),"",COUNTIF(BC$8:BC67,"√"))</f>
        <v/>
      </c>
      <c r="BE67" s="134" t="str">
        <f t="shared" si="37"/>
        <v/>
      </c>
      <c r="BF67" s="135" t="str">
        <f t="shared" si="9"/>
        <v/>
      </c>
      <c r="BG67" s="135" t="str">
        <f t="shared" si="9"/>
        <v/>
      </c>
      <c r="BH67" s="136"/>
      <c r="BI67" s="136"/>
      <c r="BJ67" s="136"/>
      <c r="BK67" s="136"/>
      <c r="BL67" s="137"/>
      <c r="BM67" s="137"/>
      <c r="BP67" s="134" t="str">
        <f>IF(COUNTIF(BP$7:BP66,B67)&gt;0,"",B67)&amp;""</f>
        <v/>
      </c>
      <c r="BQ67" s="138">
        <f t="shared" si="38"/>
        <v>0</v>
      </c>
      <c r="BR67" s="132">
        <f t="shared" si="39"/>
        <v>1</v>
      </c>
      <c r="BS67" s="138">
        <f t="shared" si="40"/>
        <v>0</v>
      </c>
      <c r="BT67" s="132">
        <f t="shared" si="41"/>
        <v>2</v>
      </c>
      <c r="BU67" s="133"/>
      <c r="BV67" s="133"/>
      <c r="BX67" s="1256">
        <v>44908</v>
      </c>
      <c r="BY67" s="165">
        <f>IFERROR(LOOKUP(BX67,基础数据!A:D),1)</f>
        <v>3.84333367100529</v>
      </c>
      <c r="BZ67" s="165">
        <f t="shared" si="30"/>
        <v>0.925685895077611</v>
      </c>
      <c r="CA67" s="165" t="e">
        <f t="shared" si="31"/>
        <v>#VALUE!</v>
      </c>
      <c r="CB67" s="165">
        <f t="shared" si="27"/>
        <v>80</v>
      </c>
      <c r="CC67" s="165" t="e">
        <f t="shared" si="32"/>
        <v>#VALUE!</v>
      </c>
      <c r="CD67" s="1257" t="s">
        <v>2237</v>
      </c>
    </row>
    <row r="68" ht="15" customHeight="1" spans="1:82">
      <c r="A68" s="123" t="str">
        <f>IF(B68="","",COUNT(A$7:A67)+1)</f>
        <v/>
      </c>
      <c r="B68" s="798"/>
      <c r="C68" s="139"/>
      <c r="D68" s="141"/>
      <c r="E68" s="126"/>
      <c r="F68" s="142"/>
      <c r="G68" s="127"/>
      <c r="H68" s="128"/>
      <c r="I68" s="128"/>
      <c r="J68" s="980"/>
      <c r="K68" s="143"/>
      <c r="L68" s="143"/>
      <c r="M68" s="129"/>
      <c r="N68" s="144"/>
      <c r="O68" s="144"/>
      <c r="P68" s="144"/>
      <c r="Q68" s="143"/>
      <c r="R68" s="353" t="str">
        <f t="shared" si="36"/>
        <v/>
      </c>
      <c r="S68" s="129" t="str">
        <f t="shared" si="42"/>
        <v/>
      </c>
      <c r="T68" s="1226" t="str">
        <f t="shared" si="5"/>
        <v/>
      </c>
      <c r="U68" s="1226" t="str">
        <f t="shared" si="6"/>
        <v/>
      </c>
      <c r="V68" s="353" t="str">
        <f t="shared" si="35"/>
        <v/>
      </c>
      <c r="W68" s="129">
        <v>0</v>
      </c>
      <c r="X68" s="129">
        <v>0</v>
      </c>
      <c r="Y68" s="129" t="str">
        <f t="shared" si="43"/>
        <v/>
      </c>
      <c r="Z68" s="129" t="str">
        <f t="shared" si="44"/>
        <v/>
      </c>
      <c r="AA68" s="145"/>
      <c r="BA68" s="78"/>
      <c r="BB68" s="132" t="s">
        <v>2307</v>
      </c>
      <c r="BC68" s="133"/>
      <c r="BD68" s="132" t="str">
        <f>IF(OR(B68="",BC68=""),"",COUNTIF(BC$8:BC68,"√"))</f>
        <v/>
      </c>
      <c r="BE68" s="134" t="str">
        <f t="shared" si="37"/>
        <v/>
      </c>
      <c r="BF68" s="135" t="str">
        <f t="shared" si="9"/>
        <v/>
      </c>
      <c r="BG68" s="135" t="str">
        <f t="shared" si="9"/>
        <v/>
      </c>
      <c r="BH68" s="136"/>
      <c r="BI68" s="136"/>
      <c r="BJ68" s="136"/>
      <c r="BK68" s="136"/>
      <c r="BL68" s="137"/>
      <c r="BM68" s="137"/>
      <c r="BP68" s="134" t="str">
        <f>IF(COUNTIF(BP$7:BP67,B68)&gt;0,"",B68)&amp;""</f>
        <v/>
      </c>
      <c r="BQ68" s="138">
        <f t="shared" si="38"/>
        <v>0</v>
      </c>
      <c r="BR68" s="132">
        <f t="shared" si="39"/>
        <v>1</v>
      </c>
      <c r="BS68" s="138">
        <f t="shared" si="40"/>
        <v>0</v>
      </c>
      <c r="BT68" s="132">
        <f t="shared" si="41"/>
        <v>2</v>
      </c>
      <c r="BU68" s="133"/>
      <c r="BV68" s="133"/>
      <c r="BX68" s="1256">
        <v>44908</v>
      </c>
      <c r="BY68" s="165">
        <f>IFERROR(LOOKUP(BX68,基础数据!A:D),1)</f>
        <v>3.84333367100529</v>
      </c>
      <c r="BZ68" s="165">
        <f t="shared" si="30"/>
        <v>0.925685895077611</v>
      </c>
      <c r="CA68" s="165" t="e">
        <f t="shared" si="31"/>
        <v>#VALUE!</v>
      </c>
      <c r="CB68" s="165">
        <f t="shared" si="27"/>
        <v>80</v>
      </c>
      <c r="CC68" s="165" t="e">
        <f t="shared" si="32"/>
        <v>#VALUE!</v>
      </c>
      <c r="CD68" s="1257" t="s">
        <v>2237</v>
      </c>
    </row>
    <row r="69" ht="15" customHeight="1" spans="1:82">
      <c r="A69" s="123" t="str">
        <f>IF(B69="","",COUNT(A$7:A68)+1)</f>
        <v/>
      </c>
      <c r="B69" s="139"/>
      <c r="C69" s="139"/>
      <c r="D69" s="141"/>
      <c r="E69" s="126"/>
      <c r="F69" s="142"/>
      <c r="G69" s="127"/>
      <c r="H69" s="128"/>
      <c r="I69" s="128"/>
      <c r="J69" s="980"/>
      <c r="K69" s="143"/>
      <c r="L69" s="143"/>
      <c r="M69" s="129"/>
      <c r="N69" s="144"/>
      <c r="O69" s="144"/>
      <c r="P69" s="144"/>
      <c r="Q69" s="143"/>
      <c r="R69" s="353" t="str">
        <f t="shared" si="36"/>
        <v/>
      </c>
      <c r="S69" s="129" t="str">
        <f t="shared" si="42"/>
        <v/>
      </c>
      <c r="T69" s="1226" t="str">
        <f t="shared" si="5"/>
        <v/>
      </c>
      <c r="U69" s="1226" t="str">
        <f t="shared" si="6"/>
        <v/>
      </c>
      <c r="V69" s="353" t="str">
        <f t="shared" si="35"/>
        <v/>
      </c>
      <c r="W69" s="129">
        <v>0</v>
      </c>
      <c r="X69" s="129">
        <v>0</v>
      </c>
      <c r="Y69" s="129" t="str">
        <f t="shared" si="43"/>
        <v/>
      </c>
      <c r="Z69" s="129" t="str">
        <f t="shared" si="44"/>
        <v/>
      </c>
      <c r="AA69" s="145"/>
      <c r="BA69" s="78"/>
      <c r="BB69" s="132" t="s">
        <v>2308</v>
      </c>
      <c r="BC69" s="133"/>
      <c r="BD69" s="132" t="str">
        <f>IF(OR(B69="",BC69=""),"",COUNTIF(BC$8:BC69,"√"))</f>
        <v/>
      </c>
      <c r="BE69" s="134" t="str">
        <f t="shared" si="37"/>
        <v/>
      </c>
      <c r="BF69" s="135" t="str">
        <f t="shared" si="9"/>
        <v/>
      </c>
      <c r="BG69" s="135" t="str">
        <f t="shared" si="9"/>
        <v/>
      </c>
      <c r="BH69" s="136"/>
      <c r="BI69" s="136"/>
      <c r="BJ69" s="136"/>
      <c r="BK69" s="136"/>
      <c r="BL69" s="137"/>
      <c r="BM69" s="137"/>
      <c r="BP69" s="134" t="str">
        <f>IF(COUNTIF(BP$7:BP68,B69)&gt;0,"",B69)&amp;""</f>
        <v/>
      </c>
      <c r="BQ69" s="138">
        <f t="shared" si="38"/>
        <v>0</v>
      </c>
      <c r="BR69" s="132">
        <f t="shared" si="39"/>
        <v>1</v>
      </c>
      <c r="BS69" s="138">
        <f t="shared" si="40"/>
        <v>0</v>
      </c>
      <c r="BT69" s="132">
        <f t="shared" si="41"/>
        <v>2</v>
      </c>
      <c r="BU69" s="133"/>
      <c r="BV69" s="133"/>
      <c r="BX69" s="1256">
        <v>44908</v>
      </c>
      <c r="BY69" s="165">
        <f>IFERROR(LOOKUP(BX69,基础数据!A:D),1)</f>
        <v>3.84333367100529</v>
      </c>
      <c r="BZ69" s="165">
        <f t="shared" si="30"/>
        <v>0.925685895077611</v>
      </c>
      <c r="CA69" s="165" t="e">
        <f t="shared" si="31"/>
        <v>#VALUE!</v>
      </c>
      <c r="CB69" s="165">
        <f t="shared" si="27"/>
        <v>80</v>
      </c>
      <c r="CC69" s="165" t="e">
        <f t="shared" si="32"/>
        <v>#VALUE!</v>
      </c>
      <c r="CD69" s="1257" t="s">
        <v>2237</v>
      </c>
    </row>
    <row r="70" ht="15" customHeight="1" spans="1:82">
      <c r="A70" s="123" t="str">
        <f>IF(B70="","",COUNT(A$7:A69)+1)</f>
        <v/>
      </c>
      <c r="B70" s="139"/>
      <c r="C70" s="139"/>
      <c r="D70" s="141"/>
      <c r="E70" s="126"/>
      <c r="F70" s="142"/>
      <c r="G70" s="127"/>
      <c r="H70" s="128"/>
      <c r="I70" s="128"/>
      <c r="J70" s="980"/>
      <c r="K70" s="143"/>
      <c r="L70" s="143"/>
      <c r="M70" s="129"/>
      <c r="N70" s="144"/>
      <c r="O70" s="144"/>
      <c r="P70" s="144"/>
      <c r="Q70" s="143"/>
      <c r="R70" s="353" t="str">
        <f t="shared" si="36"/>
        <v/>
      </c>
      <c r="S70" s="129" t="str">
        <f t="shared" si="42"/>
        <v/>
      </c>
      <c r="T70" s="1226" t="str">
        <f t="shared" si="5"/>
        <v/>
      </c>
      <c r="U70" s="1226" t="str">
        <f t="shared" si="6"/>
        <v/>
      </c>
      <c r="V70" s="353" t="str">
        <f t="shared" si="35"/>
        <v/>
      </c>
      <c r="W70" s="129">
        <v>0</v>
      </c>
      <c r="X70" s="129">
        <v>0</v>
      </c>
      <c r="Y70" s="129" t="str">
        <f t="shared" si="43"/>
        <v/>
      </c>
      <c r="Z70" s="129" t="str">
        <f t="shared" si="44"/>
        <v/>
      </c>
      <c r="AA70" s="145"/>
      <c r="BA70" s="78"/>
      <c r="BB70" s="132" t="s">
        <v>2309</v>
      </c>
      <c r="BC70" s="133"/>
      <c r="BD70" s="132" t="str">
        <f>IF(OR(B70="",BC70=""),"",COUNTIF(BC$8:BC70,"√"))</f>
        <v/>
      </c>
      <c r="BE70" s="134" t="str">
        <f t="shared" si="37"/>
        <v/>
      </c>
      <c r="BF70" s="135" t="str">
        <f t="shared" si="9"/>
        <v/>
      </c>
      <c r="BG70" s="135" t="str">
        <f t="shared" si="9"/>
        <v/>
      </c>
      <c r="BH70" s="136"/>
      <c r="BI70" s="136"/>
      <c r="BJ70" s="136"/>
      <c r="BK70" s="136"/>
      <c r="BL70" s="137"/>
      <c r="BM70" s="137"/>
      <c r="BP70" s="134" t="str">
        <f>IF(COUNTIF(BP$7:BP69,B70)&gt;0,"",B70)&amp;""</f>
        <v/>
      </c>
      <c r="BQ70" s="138">
        <f t="shared" si="38"/>
        <v>0</v>
      </c>
      <c r="BR70" s="132">
        <f t="shared" si="39"/>
        <v>1</v>
      </c>
      <c r="BS70" s="138">
        <f t="shared" si="40"/>
        <v>0</v>
      </c>
      <c r="BT70" s="132">
        <f t="shared" si="41"/>
        <v>2</v>
      </c>
      <c r="BU70" s="133"/>
      <c r="BV70" s="133"/>
      <c r="BX70" s="1256">
        <v>44908</v>
      </c>
      <c r="BY70" s="165">
        <f>IFERROR(LOOKUP(BX70,基础数据!A:D),1)</f>
        <v>3.84333367100529</v>
      </c>
      <c r="BZ70" s="165">
        <f t="shared" si="30"/>
        <v>0.925685895077611</v>
      </c>
      <c r="CA70" s="165" t="e">
        <f t="shared" si="31"/>
        <v>#VALUE!</v>
      </c>
      <c r="CB70" s="165">
        <f t="shared" si="27"/>
        <v>80</v>
      </c>
      <c r="CC70" s="165" t="e">
        <f t="shared" si="32"/>
        <v>#VALUE!</v>
      </c>
      <c r="CD70" s="1257" t="s">
        <v>2237</v>
      </c>
    </row>
    <row r="71" ht="15" customHeight="1" spans="1:82">
      <c r="A71" s="123" t="str">
        <f>IF(B71="","",COUNT(A$7:A70)+1)</f>
        <v/>
      </c>
      <c r="B71" s="139"/>
      <c r="C71" s="139"/>
      <c r="D71" s="141"/>
      <c r="E71" s="126"/>
      <c r="F71" s="142"/>
      <c r="G71" s="127"/>
      <c r="H71" s="128"/>
      <c r="I71" s="128"/>
      <c r="J71" s="980"/>
      <c r="K71" s="143"/>
      <c r="L71" s="143"/>
      <c r="M71" s="129"/>
      <c r="N71" s="144"/>
      <c r="O71" s="144"/>
      <c r="P71" s="144"/>
      <c r="Q71" s="143"/>
      <c r="R71" s="353" t="str">
        <f t="shared" si="36"/>
        <v/>
      </c>
      <c r="S71" s="129" t="str">
        <f t="shared" si="42"/>
        <v/>
      </c>
      <c r="T71" s="1226" t="str">
        <f t="shared" si="5"/>
        <v/>
      </c>
      <c r="U71" s="1226" t="str">
        <f t="shared" si="6"/>
        <v/>
      </c>
      <c r="V71" s="353" t="str">
        <f t="shared" si="35"/>
        <v/>
      </c>
      <c r="W71" s="129">
        <v>0</v>
      </c>
      <c r="X71" s="129">
        <v>0</v>
      </c>
      <c r="Y71" s="129" t="str">
        <f t="shared" si="43"/>
        <v/>
      </c>
      <c r="Z71" s="129" t="str">
        <f t="shared" si="44"/>
        <v/>
      </c>
      <c r="AA71" s="145"/>
      <c r="BA71" s="78"/>
      <c r="BB71" s="132" t="s">
        <v>2310</v>
      </c>
      <c r="BC71" s="133"/>
      <c r="BD71" s="132" t="str">
        <f>IF(OR(B71="",BC71=""),"",COUNTIF(BC$8:BC71,"√"))</f>
        <v/>
      </c>
      <c r="BE71" s="134" t="str">
        <f t="shared" si="37"/>
        <v/>
      </c>
      <c r="BF71" s="135" t="str">
        <f t="shared" si="9"/>
        <v/>
      </c>
      <c r="BG71" s="135" t="str">
        <f t="shared" si="9"/>
        <v/>
      </c>
      <c r="BH71" s="136"/>
      <c r="BI71" s="136"/>
      <c r="BJ71" s="136"/>
      <c r="BK71" s="136"/>
      <c r="BL71" s="137"/>
      <c r="BM71" s="137"/>
      <c r="BP71" s="134" t="str">
        <f>IF(COUNTIF(BP$7:BP70,B71)&gt;0,"",B71)&amp;""</f>
        <v/>
      </c>
      <c r="BQ71" s="138">
        <f t="shared" si="38"/>
        <v>0</v>
      </c>
      <c r="BR71" s="132">
        <f t="shared" si="39"/>
        <v>1</v>
      </c>
      <c r="BS71" s="138">
        <f t="shared" si="40"/>
        <v>0</v>
      </c>
      <c r="BT71" s="132">
        <f t="shared" si="41"/>
        <v>2</v>
      </c>
      <c r="BU71" s="133"/>
      <c r="BV71" s="133"/>
      <c r="BX71" s="1256">
        <v>43100</v>
      </c>
      <c r="BY71" s="165">
        <f>IFERROR(LOOKUP(BX71,基础数据!A:D),1)</f>
        <v>3.53915880885741</v>
      </c>
      <c r="BZ71" s="165">
        <f t="shared" si="30"/>
        <v>1.00524445538375</v>
      </c>
      <c r="CA71" s="165" t="e">
        <f t="shared" si="31"/>
        <v>#VALUE!</v>
      </c>
      <c r="CB71" s="165">
        <f t="shared" si="27"/>
        <v>80</v>
      </c>
      <c r="CC71" s="165" t="e">
        <f t="shared" si="32"/>
        <v>#VALUE!</v>
      </c>
      <c r="CD71" s="1257" t="s">
        <v>2237</v>
      </c>
    </row>
    <row r="72" ht="15" customHeight="1" spans="1:82">
      <c r="A72" s="123" t="str">
        <f>IF(B72="","",COUNT(A$7:A71)+1)</f>
        <v/>
      </c>
      <c r="B72" s="139"/>
      <c r="C72" s="139"/>
      <c r="D72" s="141"/>
      <c r="E72" s="126"/>
      <c r="F72" s="142"/>
      <c r="G72" s="127"/>
      <c r="H72" s="128"/>
      <c r="I72" s="128"/>
      <c r="J72" s="980"/>
      <c r="K72" s="143"/>
      <c r="L72" s="143"/>
      <c r="M72" s="129"/>
      <c r="N72" s="144"/>
      <c r="O72" s="144"/>
      <c r="P72" s="144"/>
      <c r="Q72" s="143"/>
      <c r="R72" s="353" t="str">
        <f t="shared" si="36"/>
        <v/>
      </c>
      <c r="S72" s="129" t="str">
        <f t="shared" si="42"/>
        <v/>
      </c>
      <c r="T72" s="1226" t="str">
        <f t="shared" si="5"/>
        <v/>
      </c>
      <c r="U72" s="1226" t="str">
        <f t="shared" si="6"/>
        <v/>
      </c>
      <c r="V72" s="353" t="str">
        <f t="shared" si="35"/>
        <v/>
      </c>
      <c r="W72" s="129">
        <v>0</v>
      </c>
      <c r="X72" s="129">
        <v>0</v>
      </c>
      <c r="Y72" s="129" t="str">
        <f t="shared" si="43"/>
        <v/>
      </c>
      <c r="Z72" s="129" t="str">
        <f t="shared" si="44"/>
        <v/>
      </c>
      <c r="AA72" s="145"/>
      <c r="BA72" s="78"/>
      <c r="BB72" s="132" t="s">
        <v>2311</v>
      </c>
      <c r="BC72" s="133"/>
      <c r="BD72" s="132" t="str">
        <f>IF(OR(B72="",BC72=""),"",COUNTIF(BC$8:BC72,"√"))</f>
        <v/>
      </c>
      <c r="BE72" s="134" t="str">
        <f t="shared" si="37"/>
        <v/>
      </c>
      <c r="BF72" s="135" t="str">
        <f t="shared" si="9"/>
        <v/>
      </c>
      <c r="BG72" s="135" t="str">
        <f t="shared" si="9"/>
        <v/>
      </c>
      <c r="BH72" s="136"/>
      <c r="BI72" s="136"/>
      <c r="BJ72" s="136"/>
      <c r="BK72" s="136"/>
      <c r="BL72" s="137"/>
      <c r="BM72" s="137"/>
      <c r="BP72" s="134" t="str">
        <f>IF(COUNTIF(BP$7:BP71,B72)&gt;0,"",B72)&amp;""</f>
        <v/>
      </c>
      <c r="BQ72" s="138">
        <f t="shared" si="38"/>
        <v>0</v>
      </c>
      <c r="BR72" s="132">
        <f t="shared" si="39"/>
        <v>1</v>
      </c>
      <c r="BS72" s="138">
        <f t="shared" si="40"/>
        <v>0</v>
      </c>
      <c r="BT72" s="132">
        <f t="shared" si="41"/>
        <v>2</v>
      </c>
      <c r="BU72" s="133"/>
      <c r="BV72" s="133"/>
      <c r="BX72" s="1256">
        <v>43100</v>
      </c>
      <c r="BY72" s="165">
        <f>IFERROR(LOOKUP(BX72,基础数据!A:D),1)</f>
        <v>3.53915880885741</v>
      </c>
      <c r="BZ72" s="165">
        <f t="shared" si="30"/>
        <v>1.00524445538375</v>
      </c>
      <c r="CA72" s="165" t="e">
        <f t="shared" si="31"/>
        <v>#VALUE!</v>
      </c>
      <c r="CB72" s="165">
        <f t="shared" si="27"/>
        <v>80</v>
      </c>
      <c r="CC72" s="165" t="e">
        <f t="shared" si="32"/>
        <v>#VALUE!</v>
      </c>
      <c r="CD72" s="1257" t="s">
        <v>2237</v>
      </c>
    </row>
    <row r="73" ht="15" customHeight="1" spans="1:82">
      <c r="A73" s="123" t="str">
        <f>IF(B73="","",COUNT(A$7:A72)+1)</f>
        <v/>
      </c>
      <c r="B73" s="139"/>
      <c r="C73" s="139"/>
      <c r="D73" s="141"/>
      <c r="E73" s="126"/>
      <c r="F73" s="142"/>
      <c r="G73" s="127"/>
      <c r="H73" s="128"/>
      <c r="I73" s="128"/>
      <c r="J73" s="980"/>
      <c r="K73" s="143"/>
      <c r="L73" s="143"/>
      <c r="M73" s="129"/>
      <c r="N73" s="144"/>
      <c r="O73" s="144"/>
      <c r="P73" s="144"/>
      <c r="Q73" s="143"/>
      <c r="R73" s="353" t="str">
        <f t="shared" si="36"/>
        <v/>
      </c>
      <c r="S73" s="129" t="str">
        <f t="shared" si="42"/>
        <v/>
      </c>
      <c r="T73" s="1226" t="str">
        <f t="shared" si="5"/>
        <v/>
      </c>
      <c r="U73" s="1226" t="str">
        <f t="shared" si="6"/>
        <v/>
      </c>
      <c r="V73" s="353" t="str">
        <f t="shared" si="35"/>
        <v/>
      </c>
      <c r="W73" s="129">
        <v>0</v>
      </c>
      <c r="X73" s="129">
        <v>0</v>
      </c>
      <c r="Y73" s="129" t="str">
        <f t="shared" si="43"/>
        <v/>
      </c>
      <c r="Z73" s="129" t="str">
        <f t="shared" si="44"/>
        <v/>
      </c>
      <c r="AA73" s="145"/>
      <c r="BA73" s="78"/>
      <c r="BB73" s="132" t="s">
        <v>2312</v>
      </c>
      <c r="BC73" s="133"/>
      <c r="BD73" s="132" t="str">
        <f>IF(OR(B73="",BC73=""),"",COUNTIF(BC$8:BC73,"√"))</f>
        <v/>
      </c>
      <c r="BE73" s="134" t="str">
        <f t="shared" si="37"/>
        <v/>
      </c>
      <c r="BF73" s="135" t="str">
        <f t="shared" si="9"/>
        <v/>
      </c>
      <c r="BG73" s="135" t="str">
        <f t="shared" si="9"/>
        <v/>
      </c>
      <c r="BH73" s="136"/>
      <c r="BI73" s="136"/>
      <c r="BJ73" s="136"/>
      <c r="BK73" s="136"/>
      <c r="BL73" s="137"/>
      <c r="BM73" s="137"/>
      <c r="BP73" s="134" t="str">
        <f>IF(COUNTIF(BP$7:BP72,B73)&gt;0,"",B73)&amp;""</f>
        <v/>
      </c>
      <c r="BQ73" s="138">
        <f t="shared" si="38"/>
        <v>0</v>
      </c>
      <c r="BR73" s="132">
        <f t="shared" si="39"/>
        <v>1</v>
      </c>
      <c r="BS73" s="138">
        <f t="shared" si="40"/>
        <v>0</v>
      </c>
      <c r="BT73" s="132">
        <f t="shared" si="41"/>
        <v>2</v>
      </c>
      <c r="BU73" s="133"/>
      <c r="BV73" s="133"/>
      <c r="BX73" s="1256">
        <v>44908</v>
      </c>
      <c r="BY73" s="165">
        <f>IFERROR(LOOKUP(BX73,基础数据!A:D),1)</f>
        <v>3.84333367100529</v>
      </c>
      <c r="BZ73" s="165">
        <f t="shared" si="30"/>
        <v>0.925685895077611</v>
      </c>
      <c r="CA73" s="165" t="e">
        <f t="shared" si="31"/>
        <v>#VALUE!</v>
      </c>
      <c r="CB73" s="165">
        <f t="shared" si="27"/>
        <v>80</v>
      </c>
      <c r="CC73" s="165" t="e">
        <f t="shared" si="32"/>
        <v>#VALUE!</v>
      </c>
      <c r="CD73" s="1257" t="s">
        <v>2237</v>
      </c>
    </row>
    <row r="74" ht="15" customHeight="1" spans="1:82">
      <c r="A74" s="123" t="str">
        <f>IF(B74="","",COUNT(A$7:A73)+1)</f>
        <v/>
      </c>
      <c r="B74" s="139"/>
      <c r="C74" s="139"/>
      <c r="D74" s="141"/>
      <c r="E74" s="126"/>
      <c r="F74" s="142"/>
      <c r="G74" s="127"/>
      <c r="H74" s="128"/>
      <c r="I74" s="128"/>
      <c r="J74" s="980"/>
      <c r="K74" s="143"/>
      <c r="L74" s="143"/>
      <c r="M74" s="129"/>
      <c r="N74" s="144"/>
      <c r="O74" s="144"/>
      <c r="P74" s="144"/>
      <c r="Q74" s="143"/>
      <c r="R74" s="353" t="str">
        <f t="shared" si="36"/>
        <v/>
      </c>
      <c r="S74" s="129" t="str">
        <f t="shared" si="42"/>
        <v/>
      </c>
      <c r="T74" s="1226" t="str">
        <f t="shared" ref="T74:T137" si="45">IF(B74="","",L74+O74)</f>
        <v/>
      </c>
      <c r="U74" s="1226" t="str">
        <f t="shared" ref="U74:U137" si="46">IF(B74="","",M74+P74)</f>
        <v/>
      </c>
      <c r="V74" s="353" t="str">
        <f t="shared" si="35"/>
        <v/>
      </c>
      <c r="W74" s="129">
        <v>0</v>
      </c>
      <c r="X74" s="129">
        <v>0</v>
      </c>
      <c r="Y74" s="129" t="str">
        <f t="shared" si="43"/>
        <v/>
      </c>
      <c r="Z74" s="129" t="str">
        <f t="shared" si="44"/>
        <v/>
      </c>
      <c r="AA74" s="145"/>
      <c r="BA74" s="78"/>
      <c r="BB74" s="132" t="s">
        <v>2313</v>
      </c>
      <c r="BC74" s="133"/>
      <c r="BD74" s="132" t="str">
        <f>IF(OR(B74="",BC74=""),"",COUNTIF(BC$8:BC74,"√"))</f>
        <v/>
      </c>
      <c r="BE74" s="134" t="str">
        <f t="shared" si="37"/>
        <v/>
      </c>
      <c r="BF74" s="135" t="str">
        <f t="shared" si="9"/>
        <v/>
      </c>
      <c r="BG74" s="135" t="str">
        <f t="shared" si="9"/>
        <v/>
      </c>
      <c r="BH74" s="136"/>
      <c r="BI74" s="136"/>
      <c r="BJ74" s="136"/>
      <c r="BK74" s="136"/>
      <c r="BL74" s="137"/>
      <c r="BM74" s="137"/>
      <c r="BP74" s="134" t="str">
        <f>IF(COUNTIF(BP$7:BP73,B74)&gt;0,"",B74)&amp;""</f>
        <v/>
      </c>
      <c r="BQ74" s="138">
        <f t="shared" si="38"/>
        <v>0</v>
      </c>
      <c r="BR74" s="132">
        <f t="shared" si="39"/>
        <v>1</v>
      </c>
      <c r="BS74" s="138">
        <f t="shared" si="40"/>
        <v>0</v>
      </c>
      <c r="BT74" s="132">
        <f t="shared" si="41"/>
        <v>2</v>
      </c>
      <c r="BU74" s="133"/>
      <c r="BV74" s="133"/>
      <c r="BX74" s="1256">
        <v>44908</v>
      </c>
      <c r="BY74" s="165">
        <f>IFERROR(LOOKUP(BX74,基础数据!A:D),1)</f>
        <v>3.84333367100529</v>
      </c>
      <c r="BZ74" s="165">
        <f t="shared" si="30"/>
        <v>0.925685895077611</v>
      </c>
      <c r="CA74" s="165" t="e">
        <f t="shared" si="31"/>
        <v>#VALUE!</v>
      </c>
      <c r="CB74" s="165">
        <f t="shared" si="27"/>
        <v>80</v>
      </c>
      <c r="CC74" s="165" t="e">
        <f t="shared" si="32"/>
        <v>#VALUE!</v>
      </c>
      <c r="CD74" s="1257" t="s">
        <v>2237</v>
      </c>
    </row>
    <row r="75" ht="15" customHeight="1" spans="1:82">
      <c r="A75" s="123" t="str">
        <f>IF(B75="","",COUNT(A$7:A74)+1)</f>
        <v/>
      </c>
      <c r="B75" s="139"/>
      <c r="C75" s="139"/>
      <c r="D75" s="141"/>
      <c r="E75" s="126"/>
      <c r="F75" s="142"/>
      <c r="G75" s="127"/>
      <c r="H75" s="128"/>
      <c r="I75" s="128"/>
      <c r="J75" s="980"/>
      <c r="K75" s="143"/>
      <c r="L75" s="143"/>
      <c r="M75" s="129"/>
      <c r="N75" s="144"/>
      <c r="O75" s="144"/>
      <c r="P75" s="144"/>
      <c r="Q75" s="143"/>
      <c r="R75" s="353" t="str">
        <f t="shared" si="36"/>
        <v/>
      </c>
      <c r="S75" s="129" t="str">
        <f t="shared" si="42"/>
        <v/>
      </c>
      <c r="T75" s="1226" t="str">
        <f t="shared" si="45"/>
        <v/>
      </c>
      <c r="U75" s="1226" t="str">
        <f t="shared" si="46"/>
        <v/>
      </c>
      <c r="V75" s="353" t="str">
        <f t="shared" si="35"/>
        <v/>
      </c>
      <c r="W75" s="129">
        <v>0</v>
      </c>
      <c r="X75" s="129">
        <v>0</v>
      </c>
      <c r="Y75" s="129" t="str">
        <f t="shared" si="43"/>
        <v/>
      </c>
      <c r="Z75" s="129" t="str">
        <f t="shared" si="44"/>
        <v/>
      </c>
      <c r="AA75" s="145"/>
      <c r="BA75" s="78"/>
      <c r="BB75" s="132" t="s">
        <v>2314</v>
      </c>
      <c r="BC75" s="133"/>
      <c r="BD75" s="132" t="str">
        <f>IF(OR(B75="",BC75=""),"",COUNTIF(BC$8:BC75,"√"))</f>
        <v/>
      </c>
      <c r="BE75" s="134" t="str">
        <f t="shared" si="37"/>
        <v/>
      </c>
      <c r="BF75" s="135" t="str">
        <f t="shared" si="9"/>
        <v/>
      </c>
      <c r="BG75" s="135" t="str">
        <f t="shared" si="9"/>
        <v/>
      </c>
      <c r="BH75" s="136"/>
      <c r="BI75" s="136"/>
      <c r="BJ75" s="136"/>
      <c r="BK75" s="136"/>
      <c r="BL75" s="137"/>
      <c r="BM75" s="137"/>
      <c r="BP75" s="134" t="str">
        <f>IF(COUNTIF(BP$7:BP74,B75)&gt;0,"",B75)&amp;""</f>
        <v/>
      </c>
      <c r="BQ75" s="138">
        <f t="shared" si="38"/>
        <v>0</v>
      </c>
      <c r="BR75" s="132">
        <f t="shared" si="39"/>
        <v>1</v>
      </c>
      <c r="BS75" s="138">
        <f t="shared" si="40"/>
        <v>0</v>
      </c>
      <c r="BT75" s="132">
        <f t="shared" si="41"/>
        <v>2</v>
      </c>
      <c r="BU75" s="133"/>
      <c r="BV75" s="133"/>
      <c r="BX75" s="1256">
        <v>44908</v>
      </c>
      <c r="BY75" s="165">
        <f>IFERROR(LOOKUP(BX75,基础数据!A:D),1)</f>
        <v>3.84333367100529</v>
      </c>
      <c r="BZ75" s="165">
        <f t="shared" si="30"/>
        <v>0.925685895077611</v>
      </c>
      <c r="CA75" s="165" t="e">
        <f t="shared" si="31"/>
        <v>#VALUE!</v>
      </c>
      <c r="CB75" s="165">
        <f t="shared" si="27"/>
        <v>80</v>
      </c>
      <c r="CC75" s="165" t="e">
        <f t="shared" si="32"/>
        <v>#VALUE!</v>
      </c>
      <c r="CD75" s="1257" t="s">
        <v>2237</v>
      </c>
    </row>
    <row r="76" ht="15" customHeight="1" spans="1:82">
      <c r="A76" s="123" t="str">
        <f>IF(B76="","",COUNT(A$7:A75)+1)</f>
        <v/>
      </c>
      <c r="B76" s="139"/>
      <c r="C76" s="139"/>
      <c r="D76" s="141"/>
      <c r="E76" s="126"/>
      <c r="F76" s="142"/>
      <c r="G76" s="127"/>
      <c r="H76" s="128"/>
      <c r="I76" s="128"/>
      <c r="J76" s="980"/>
      <c r="K76" s="143"/>
      <c r="L76" s="143"/>
      <c r="M76" s="129"/>
      <c r="N76" s="144"/>
      <c r="O76" s="144"/>
      <c r="P76" s="144"/>
      <c r="Q76" s="143"/>
      <c r="R76" s="353" t="str">
        <f t="shared" si="36"/>
        <v/>
      </c>
      <c r="S76" s="129" t="str">
        <f t="shared" si="42"/>
        <v/>
      </c>
      <c r="T76" s="1226" t="str">
        <f t="shared" si="45"/>
        <v/>
      </c>
      <c r="U76" s="1226" t="str">
        <f t="shared" si="46"/>
        <v/>
      </c>
      <c r="V76" s="353" t="str">
        <f t="shared" si="35"/>
        <v/>
      </c>
      <c r="W76" s="129">
        <v>0</v>
      </c>
      <c r="X76" s="129">
        <v>0</v>
      </c>
      <c r="Y76" s="129" t="str">
        <f t="shared" si="43"/>
        <v/>
      </c>
      <c r="Z76" s="129" t="str">
        <f t="shared" si="44"/>
        <v/>
      </c>
      <c r="AA76" s="145"/>
      <c r="BA76" s="78"/>
      <c r="BB76" s="132" t="s">
        <v>2315</v>
      </c>
      <c r="BC76" s="133"/>
      <c r="BD76" s="132" t="str">
        <f>IF(OR(B76="",BC76=""),"",COUNTIF(BC$8:BC76,"√"))</f>
        <v/>
      </c>
      <c r="BE76" s="134" t="str">
        <f t="shared" si="37"/>
        <v/>
      </c>
      <c r="BF76" s="135" t="str">
        <f t="shared" si="9"/>
        <v/>
      </c>
      <c r="BG76" s="135" t="str">
        <f t="shared" si="9"/>
        <v/>
      </c>
      <c r="BH76" s="136"/>
      <c r="BI76" s="136"/>
      <c r="BJ76" s="136"/>
      <c r="BK76" s="136"/>
      <c r="BL76" s="137"/>
      <c r="BM76" s="137"/>
      <c r="BP76" s="134" t="str">
        <f>IF(COUNTIF(BP$7:BP75,B76)&gt;0,"",B76)&amp;""</f>
        <v/>
      </c>
      <c r="BQ76" s="138">
        <f t="shared" si="38"/>
        <v>0</v>
      </c>
      <c r="BR76" s="132">
        <f t="shared" si="39"/>
        <v>1</v>
      </c>
      <c r="BS76" s="138">
        <f t="shared" si="40"/>
        <v>0</v>
      </c>
      <c r="BT76" s="132">
        <f t="shared" si="41"/>
        <v>2</v>
      </c>
      <c r="BU76" s="133"/>
      <c r="BV76" s="133"/>
      <c r="BX76" s="1256">
        <v>43100</v>
      </c>
      <c r="BY76" s="165">
        <f>IFERROR(LOOKUP(BX76,基础数据!A:D),1)</f>
        <v>3.53915880885741</v>
      </c>
      <c r="BZ76" s="165">
        <f t="shared" si="30"/>
        <v>1.00524445538375</v>
      </c>
      <c r="CA76" s="165" t="e">
        <f t="shared" si="31"/>
        <v>#VALUE!</v>
      </c>
      <c r="CB76" s="165">
        <f t="shared" si="27"/>
        <v>80</v>
      </c>
      <c r="CC76" s="165" t="e">
        <f t="shared" si="32"/>
        <v>#VALUE!</v>
      </c>
      <c r="CD76" s="1257" t="s">
        <v>2237</v>
      </c>
    </row>
    <row r="77" ht="15" customHeight="1" spans="1:82">
      <c r="A77" s="123" t="str">
        <f>IF(B77="","",COUNT(A$7:A76)+1)</f>
        <v/>
      </c>
      <c r="B77" s="139"/>
      <c r="C77" s="139"/>
      <c r="D77" s="141"/>
      <c r="E77" s="126"/>
      <c r="F77" s="142"/>
      <c r="G77" s="127"/>
      <c r="H77" s="128"/>
      <c r="I77" s="128"/>
      <c r="J77" s="980"/>
      <c r="K77" s="143"/>
      <c r="L77" s="143"/>
      <c r="M77" s="129"/>
      <c r="N77" s="144"/>
      <c r="O77" s="144"/>
      <c r="P77" s="144"/>
      <c r="Q77" s="143"/>
      <c r="R77" s="353" t="str">
        <f t="shared" si="36"/>
        <v/>
      </c>
      <c r="S77" s="129" t="str">
        <f t="shared" si="42"/>
        <v/>
      </c>
      <c r="T77" s="1226" t="str">
        <f t="shared" si="45"/>
        <v/>
      </c>
      <c r="U77" s="1226" t="str">
        <f t="shared" si="46"/>
        <v/>
      </c>
      <c r="V77" s="353" t="str">
        <f t="shared" si="35"/>
        <v/>
      </c>
      <c r="W77" s="129">
        <v>0</v>
      </c>
      <c r="X77" s="129">
        <v>0</v>
      </c>
      <c r="Y77" s="129" t="str">
        <f t="shared" si="43"/>
        <v/>
      </c>
      <c r="Z77" s="129" t="str">
        <f t="shared" si="44"/>
        <v/>
      </c>
      <c r="AA77" s="145"/>
      <c r="BA77" s="78"/>
      <c r="BB77" s="132" t="s">
        <v>2316</v>
      </c>
      <c r="BC77" s="133"/>
      <c r="BD77" s="132" t="str">
        <f>IF(OR(B77="",BC77=""),"",COUNTIF(BC$8:BC77,"√"))</f>
        <v/>
      </c>
      <c r="BE77" s="134" t="str">
        <f t="shared" si="37"/>
        <v/>
      </c>
      <c r="BF77" s="135" t="str">
        <f t="shared" si="9"/>
        <v/>
      </c>
      <c r="BG77" s="135" t="str">
        <f t="shared" si="9"/>
        <v/>
      </c>
      <c r="BH77" s="136"/>
      <c r="BI77" s="136"/>
      <c r="BJ77" s="136"/>
      <c r="BK77" s="136"/>
      <c r="BL77" s="137"/>
      <c r="BM77" s="137"/>
      <c r="BP77" s="134" t="str">
        <f>IF(COUNTIF(BP$7:BP76,B77)&gt;0,"",B77)&amp;""</f>
        <v/>
      </c>
      <c r="BQ77" s="138">
        <f t="shared" si="38"/>
        <v>0</v>
      </c>
      <c r="BR77" s="132">
        <f t="shared" si="39"/>
        <v>1</v>
      </c>
      <c r="BS77" s="138">
        <f t="shared" si="40"/>
        <v>0</v>
      </c>
      <c r="BT77" s="132">
        <f t="shared" si="41"/>
        <v>2</v>
      </c>
      <c r="BU77" s="133"/>
      <c r="BV77" s="133"/>
      <c r="BX77" s="1256">
        <v>43100</v>
      </c>
      <c r="BY77" s="165">
        <f>IFERROR(LOOKUP(BX77,基础数据!A:D),1)</f>
        <v>3.53915880885741</v>
      </c>
      <c r="BZ77" s="165">
        <f t="shared" si="30"/>
        <v>1.00524445538375</v>
      </c>
      <c r="CA77" s="165" t="e">
        <f t="shared" si="31"/>
        <v>#VALUE!</v>
      </c>
      <c r="CB77" s="165">
        <f t="shared" si="27"/>
        <v>80</v>
      </c>
      <c r="CC77" s="165" t="e">
        <f t="shared" si="32"/>
        <v>#VALUE!</v>
      </c>
      <c r="CD77" s="1257" t="s">
        <v>2237</v>
      </c>
    </row>
    <row r="78" ht="15" customHeight="1" spans="1:82">
      <c r="A78" s="123" t="str">
        <f>IF(B78="","",COUNT(A$7:A77)+1)</f>
        <v/>
      </c>
      <c r="B78" s="139"/>
      <c r="C78" s="139"/>
      <c r="D78" s="141"/>
      <c r="E78" s="126"/>
      <c r="F78" s="142"/>
      <c r="G78" s="127"/>
      <c r="H78" s="128"/>
      <c r="I78" s="128"/>
      <c r="J78" s="980"/>
      <c r="K78" s="143"/>
      <c r="L78" s="143"/>
      <c r="M78" s="129"/>
      <c r="N78" s="144"/>
      <c r="O78" s="144"/>
      <c r="P78" s="144"/>
      <c r="Q78" s="143"/>
      <c r="R78" s="353" t="str">
        <f t="shared" si="36"/>
        <v/>
      </c>
      <c r="S78" s="129" t="str">
        <f t="shared" si="42"/>
        <v/>
      </c>
      <c r="T78" s="1226" t="str">
        <f t="shared" si="45"/>
        <v/>
      </c>
      <c r="U78" s="1226" t="str">
        <f t="shared" si="46"/>
        <v/>
      </c>
      <c r="V78" s="353" t="str">
        <f t="shared" si="35"/>
        <v/>
      </c>
      <c r="W78" s="129">
        <v>0</v>
      </c>
      <c r="X78" s="129">
        <v>0</v>
      </c>
      <c r="Y78" s="129" t="str">
        <f t="shared" si="43"/>
        <v/>
      </c>
      <c r="Z78" s="129" t="str">
        <f t="shared" si="44"/>
        <v/>
      </c>
      <c r="AA78" s="145"/>
      <c r="BA78" s="78"/>
      <c r="BB78" s="132" t="s">
        <v>2317</v>
      </c>
      <c r="BC78" s="133"/>
      <c r="BD78" s="132" t="str">
        <f>IF(OR(B78="",BC78=""),"",COUNTIF(BC$8:BC78,"√"))</f>
        <v/>
      </c>
      <c r="BE78" s="134" t="str">
        <f t="shared" si="37"/>
        <v/>
      </c>
      <c r="BF78" s="135" t="str">
        <f t="shared" si="9"/>
        <v/>
      </c>
      <c r="BG78" s="135" t="str">
        <f t="shared" si="9"/>
        <v/>
      </c>
      <c r="BH78" s="136"/>
      <c r="BI78" s="136"/>
      <c r="BJ78" s="136"/>
      <c r="BK78" s="136"/>
      <c r="BL78" s="137"/>
      <c r="BM78" s="137"/>
      <c r="BP78" s="134" t="str">
        <f>IF(COUNTIF(BP$7:BP77,B78)&gt;0,"",B78)&amp;""</f>
        <v/>
      </c>
      <c r="BQ78" s="138">
        <f t="shared" si="38"/>
        <v>0</v>
      </c>
      <c r="BR78" s="132">
        <f t="shared" si="39"/>
        <v>1</v>
      </c>
      <c r="BS78" s="138">
        <f t="shared" si="40"/>
        <v>0</v>
      </c>
      <c r="BT78" s="132">
        <f t="shared" si="41"/>
        <v>2</v>
      </c>
      <c r="BU78" s="133"/>
      <c r="BV78" s="133"/>
      <c r="BX78" s="1256">
        <v>43100</v>
      </c>
      <c r="BY78" s="165">
        <f>IFERROR(LOOKUP(BX78,基础数据!A:D),1)</f>
        <v>3.53915880885741</v>
      </c>
      <c r="BZ78" s="165">
        <f t="shared" si="30"/>
        <v>1.00524445538375</v>
      </c>
      <c r="CA78" s="165" t="e">
        <f t="shared" si="31"/>
        <v>#VALUE!</v>
      </c>
      <c r="CB78" s="165">
        <f t="shared" si="27"/>
        <v>80</v>
      </c>
      <c r="CC78" s="165" t="e">
        <f t="shared" si="32"/>
        <v>#VALUE!</v>
      </c>
      <c r="CD78" s="1257" t="s">
        <v>2237</v>
      </c>
    </row>
    <row r="79" ht="15" customHeight="1" spans="1:82">
      <c r="A79" s="123" t="str">
        <f>IF(B79="","",COUNT(A$7:A78)+1)</f>
        <v/>
      </c>
      <c r="B79" s="139"/>
      <c r="C79" s="139"/>
      <c r="D79" s="141"/>
      <c r="E79" s="126"/>
      <c r="F79" s="142"/>
      <c r="G79" s="127"/>
      <c r="H79" s="128"/>
      <c r="I79" s="128"/>
      <c r="J79" s="980"/>
      <c r="K79" s="143"/>
      <c r="L79" s="143"/>
      <c r="M79" s="129"/>
      <c r="N79" s="144"/>
      <c r="O79" s="144"/>
      <c r="P79" s="144"/>
      <c r="Q79" s="143"/>
      <c r="R79" s="353" t="str">
        <f t="shared" si="36"/>
        <v/>
      </c>
      <c r="S79" s="129" t="str">
        <f t="shared" si="42"/>
        <v/>
      </c>
      <c r="T79" s="1226" t="str">
        <f t="shared" si="45"/>
        <v/>
      </c>
      <c r="U79" s="1226" t="str">
        <f t="shared" si="46"/>
        <v/>
      </c>
      <c r="V79" s="353" t="str">
        <f t="shared" si="35"/>
        <v/>
      </c>
      <c r="W79" s="129">
        <v>0</v>
      </c>
      <c r="X79" s="129">
        <v>0</v>
      </c>
      <c r="Y79" s="129" t="str">
        <f t="shared" si="43"/>
        <v/>
      </c>
      <c r="Z79" s="129" t="str">
        <f t="shared" si="44"/>
        <v/>
      </c>
      <c r="AA79" s="145"/>
      <c r="BA79" s="78"/>
      <c r="BB79" s="132" t="s">
        <v>2318</v>
      </c>
      <c r="BC79" s="133"/>
      <c r="BD79" s="132" t="str">
        <f>IF(OR(B79="",BC79=""),"",COUNTIF(BC$8:BC79,"√"))</f>
        <v/>
      </c>
      <c r="BE79" s="134" t="str">
        <f t="shared" si="37"/>
        <v/>
      </c>
      <c r="BF79" s="135" t="str">
        <f t="shared" si="9"/>
        <v/>
      </c>
      <c r="BG79" s="135" t="str">
        <f t="shared" si="9"/>
        <v/>
      </c>
      <c r="BH79" s="136"/>
      <c r="BI79" s="136"/>
      <c r="BJ79" s="136"/>
      <c r="BK79" s="136"/>
      <c r="BL79" s="137"/>
      <c r="BM79" s="137"/>
      <c r="BP79" s="134" t="str">
        <f>IF(COUNTIF(BP$7:BP78,B79)&gt;0,"",B79)&amp;""</f>
        <v/>
      </c>
      <c r="BQ79" s="138">
        <f t="shared" si="38"/>
        <v>0</v>
      </c>
      <c r="BR79" s="132">
        <f t="shared" si="39"/>
        <v>1</v>
      </c>
      <c r="BS79" s="138">
        <f t="shared" si="40"/>
        <v>0</v>
      </c>
      <c r="BT79" s="132">
        <f t="shared" si="41"/>
        <v>2</v>
      </c>
      <c r="BU79" s="133"/>
      <c r="BV79" s="133"/>
      <c r="BX79" s="1256">
        <v>43100</v>
      </c>
      <c r="BY79" s="165">
        <f>IFERROR(LOOKUP(BX79,基础数据!A:D),1)</f>
        <v>3.53915880885741</v>
      </c>
      <c r="BZ79" s="165">
        <f t="shared" si="30"/>
        <v>1.00524445538375</v>
      </c>
      <c r="CA79" s="165" t="e">
        <f t="shared" si="31"/>
        <v>#VALUE!</v>
      </c>
      <c r="CB79" s="165">
        <f t="shared" si="27"/>
        <v>80</v>
      </c>
      <c r="CC79" s="165" t="e">
        <f t="shared" si="32"/>
        <v>#VALUE!</v>
      </c>
      <c r="CD79" s="1257" t="s">
        <v>2237</v>
      </c>
    </row>
    <row r="80" ht="15" customHeight="1" spans="1:82">
      <c r="A80" s="123" t="str">
        <f>IF(B80="","",COUNT(A$7:A79)+1)</f>
        <v/>
      </c>
      <c r="B80" s="139"/>
      <c r="C80" s="139"/>
      <c r="D80" s="141"/>
      <c r="E80" s="126"/>
      <c r="F80" s="142"/>
      <c r="G80" s="127"/>
      <c r="H80" s="128"/>
      <c r="I80" s="128"/>
      <c r="J80" s="980"/>
      <c r="K80" s="143"/>
      <c r="L80" s="143"/>
      <c r="M80" s="129"/>
      <c r="N80" s="144"/>
      <c r="O80" s="144"/>
      <c r="P80" s="144"/>
      <c r="Q80" s="143"/>
      <c r="R80" s="353" t="str">
        <f t="shared" si="36"/>
        <v/>
      </c>
      <c r="S80" s="129" t="str">
        <f t="shared" si="42"/>
        <v/>
      </c>
      <c r="T80" s="1226" t="str">
        <f t="shared" si="45"/>
        <v/>
      </c>
      <c r="U80" s="1226" t="str">
        <f t="shared" si="46"/>
        <v/>
      </c>
      <c r="V80" s="353" t="str">
        <f t="shared" si="35"/>
        <v/>
      </c>
      <c r="W80" s="129">
        <v>0</v>
      </c>
      <c r="X80" s="129">
        <v>0</v>
      </c>
      <c r="Y80" s="129" t="str">
        <f t="shared" si="43"/>
        <v/>
      </c>
      <c r="Z80" s="129" t="str">
        <f t="shared" si="44"/>
        <v/>
      </c>
      <c r="AA80" s="145"/>
      <c r="BA80" s="78"/>
      <c r="BB80" s="132" t="s">
        <v>2319</v>
      </c>
      <c r="BC80" s="133"/>
      <c r="BD80" s="132" t="str">
        <f>IF(OR(B80="",BC80=""),"",COUNTIF(BC$8:BC80,"√"))</f>
        <v/>
      </c>
      <c r="BE80" s="134" t="str">
        <f t="shared" si="37"/>
        <v/>
      </c>
      <c r="BF80" s="135" t="str">
        <f t="shared" si="9"/>
        <v/>
      </c>
      <c r="BG80" s="135" t="str">
        <f t="shared" si="9"/>
        <v/>
      </c>
      <c r="BH80" s="136"/>
      <c r="BI80" s="136"/>
      <c r="BJ80" s="136"/>
      <c r="BK80" s="136"/>
      <c r="BL80" s="137"/>
      <c r="BM80" s="137"/>
      <c r="BP80" s="134" t="str">
        <f>IF(COUNTIF(BP$7:BP79,B80)&gt;0,"",B80)&amp;""</f>
        <v/>
      </c>
      <c r="BQ80" s="138">
        <f t="shared" si="38"/>
        <v>0</v>
      </c>
      <c r="BR80" s="132">
        <f t="shared" si="39"/>
        <v>1</v>
      </c>
      <c r="BS80" s="138">
        <f t="shared" si="40"/>
        <v>0</v>
      </c>
      <c r="BT80" s="132">
        <f t="shared" si="41"/>
        <v>2</v>
      </c>
      <c r="BU80" s="133"/>
      <c r="BV80" s="133"/>
      <c r="BX80" s="1256">
        <v>43100</v>
      </c>
      <c r="BY80" s="165">
        <f>IFERROR(LOOKUP(BX80,基础数据!A:D),1)</f>
        <v>3.53915880885741</v>
      </c>
      <c r="BZ80" s="165">
        <f t="shared" si="30"/>
        <v>1.00524445538375</v>
      </c>
      <c r="CA80" s="165" t="e">
        <f t="shared" si="31"/>
        <v>#VALUE!</v>
      </c>
      <c r="CB80" s="165">
        <f t="shared" si="27"/>
        <v>80</v>
      </c>
      <c r="CC80" s="165" t="e">
        <f t="shared" si="32"/>
        <v>#VALUE!</v>
      </c>
      <c r="CD80" s="1257" t="s">
        <v>2237</v>
      </c>
    </row>
    <row r="81" ht="15" customHeight="1" spans="1:82">
      <c r="A81" s="123" t="str">
        <f>IF(B81="","",COUNT(A$7:A80)+1)</f>
        <v/>
      </c>
      <c r="B81" s="139"/>
      <c r="C81" s="139"/>
      <c r="D81" s="141"/>
      <c r="E81" s="126"/>
      <c r="F81" s="142"/>
      <c r="G81" s="127"/>
      <c r="H81" s="128"/>
      <c r="I81" s="128"/>
      <c r="J81" s="980"/>
      <c r="K81" s="143"/>
      <c r="L81" s="143"/>
      <c r="M81" s="129"/>
      <c r="N81" s="144"/>
      <c r="O81" s="144"/>
      <c r="P81" s="144"/>
      <c r="Q81" s="143"/>
      <c r="R81" s="353" t="str">
        <f t="shared" si="36"/>
        <v/>
      </c>
      <c r="S81" s="129" t="str">
        <f t="shared" si="42"/>
        <v/>
      </c>
      <c r="T81" s="1226" t="str">
        <f t="shared" si="45"/>
        <v/>
      </c>
      <c r="U81" s="1226" t="str">
        <f t="shared" si="46"/>
        <v/>
      </c>
      <c r="V81" s="353" t="str">
        <f t="shared" si="35"/>
        <v/>
      </c>
      <c r="W81" s="129">
        <v>0</v>
      </c>
      <c r="X81" s="129">
        <v>0</v>
      </c>
      <c r="Y81" s="129" t="str">
        <f t="shared" si="43"/>
        <v/>
      </c>
      <c r="Z81" s="129" t="str">
        <f t="shared" si="44"/>
        <v/>
      </c>
      <c r="AA81" s="145"/>
      <c r="BA81" s="78"/>
      <c r="BB81" s="132" t="s">
        <v>2320</v>
      </c>
      <c r="BC81" s="133"/>
      <c r="BD81" s="132" t="str">
        <f>IF(OR(B81="",BC81=""),"",COUNTIF(BC$8:BC81,"√"))</f>
        <v/>
      </c>
      <c r="BE81" s="134" t="str">
        <f t="shared" si="37"/>
        <v/>
      </c>
      <c r="BF81" s="135" t="str">
        <f t="shared" si="9"/>
        <v/>
      </c>
      <c r="BG81" s="135" t="str">
        <f t="shared" si="9"/>
        <v/>
      </c>
      <c r="BH81" s="136"/>
      <c r="BI81" s="136"/>
      <c r="BJ81" s="136"/>
      <c r="BK81" s="136"/>
      <c r="BL81" s="137"/>
      <c r="BM81" s="137"/>
      <c r="BP81" s="134" t="str">
        <f>IF(COUNTIF(BP$7:BP80,B81)&gt;0,"",B81)&amp;""</f>
        <v/>
      </c>
      <c r="BQ81" s="138">
        <f t="shared" si="38"/>
        <v>0</v>
      </c>
      <c r="BR81" s="132">
        <f t="shared" si="39"/>
        <v>1</v>
      </c>
      <c r="BS81" s="138">
        <f t="shared" si="40"/>
        <v>0</v>
      </c>
      <c r="BT81" s="132">
        <f t="shared" si="41"/>
        <v>2</v>
      </c>
      <c r="BU81" s="133"/>
      <c r="BV81" s="133"/>
      <c r="BX81" s="1256">
        <v>44908</v>
      </c>
      <c r="BY81" s="165">
        <f>IFERROR(LOOKUP(BX81,基础数据!A:D),1)</f>
        <v>3.84333367100529</v>
      </c>
      <c r="BZ81" s="165">
        <f t="shared" si="30"/>
        <v>0.925685895077611</v>
      </c>
      <c r="CA81" s="165" t="e">
        <f t="shared" si="31"/>
        <v>#VALUE!</v>
      </c>
      <c r="CB81" s="165">
        <f t="shared" si="27"/>
        <v>80</v>
      </c>
      <c r="CC81" s="165" t="e">
        <f t="shared" si="32"/>
        <v>#VALUE!</v>
      </c>
      <c r="CD81" s="1257" t="s">
        <v>2237</v>
      </c>
    </row>
    <row r="82" ht="15" customHeight="1" spans="1:82">
      <c r="A82" s="123" t="str">
        <f>IF(B82="","",COUNT(A$7:A81)+1)</f>
        <v/>
      </c>
      <c r="B82" s="798"/>
      <c r="C82" s="139"/>
      <c r="D82" s="141"/>
      <c r="E82" s="126"/>
      <c r="F82" s="142"/>
      <c r="G82" s="127"/>
      <c r="H82" s="128"/>
      <c r="I82" s="128"/>
      <c r="J82" s="980"/>
      <c r="K82" s="143"/>
      <c r="L82" s="143"/>
      <c r="M82" s="129"/>
      <c r="N82" s="144"/>
      <c r="O82" s="144"/>
      <c r="P82" s="144"/>
      <c r="Q82" s="143"/>
      <c r="R82" s="353" t="str">
        <f t="shared" si="36"/>
        <v/>
      </c>
      <c r="S82" s="129" t="str">
        <f t="shared" si="42"/>
        <v/>
      </c>
      <c r="T82" s="1226" t="str">
        <f t="shared" si="45"/>
        <v/>
      </c>
      <c r="U82" s="1226" t="str">
        <f t="shared" si="46"/>
        <v/>
      </c>
      <c r="V82" s="353" t="str">
        <f t="shared" si="35"/>
        <v/>
      </c>
      <c r="W82" s="129">
        <v>0</v>
      </c>
      <c r="X82" s="129">
        <v>0</v>
      </c>
      <c r="Y82" s="129" t="str">
        <f t="shared" si="43"/>
        <v/>
      </c>
      <c r="Z82" s="129" t="str">
        <f t="shared" si="44"/>
        <v/>
      </c>
      <c r="AA82" s="145"/>
      <c r="BA82" s="78"/>
      <c r="BB82" s="132" t="s">
        <v>2321</v>
      </c>
      <c r="BC82" s="133"/>
      <c r="BD82" s="132" t="str">
        <f>IF(OR(B82="",BC82=""),"",COUNTIF(BC$8:BC82,"√"))</f>
        <v/>
      </c>
      <c r="BE82" s="134" t="str">
        <f t="shared" si="37"/>
        <v/>
      </c>
      <c r="BF82" s="135" t="str">
        <f t="shared" si="9"/>
        <v/>
      </c>
      <c r="BG82" s="135" t="str">
        <f t="shared" si="9"/>
        <v/>
      </c>
      <c r="BH82" s="136"/>
      <c r="BI82" s="136"/>
      <c r="BJ82" s="136"/>
      <c r="BK82" s="136"/>
      <c r="BL82" s="137"/>
      <c r="BM82" s="137"/>
      <c r="BP82" s="134" t="str">
        <f>IF(COUNTIF(BP$7:BP81,B82)&gt;0,"",B82)&amp;""</f>
        <v/>
      </c>
      <c r="BQ82" s="138">
        <f t="shared" si="38"/>
        <v>0</v>
      </c>
      <c r="BR82" s="132">
        <f t="shared" si="39"/>
        <v>1</v>
      </c>
      <c r="BS82" s="138">
        <f t="shared" si="40"/>
        <v>0</v>
      </c>
      <c r="BT82" s="132">
        <f t="shared" si="41"/>
        <v>2</v>
      </c>
      <c r="BU82" s="133"/>
      <c r="BV82" s="133"/>
      <c r="BX82" s="1256">
        <v>43100</v>
      </c>
      <c r="BY82" s="165">
        <f>IFERROR(LOOKUP(BX82,基础数据!A:D),1)</f>
        <v>3.53915880885741</v>
      </c>
      <c r="BZ82" s="165">
        <f t="shared" si="30"/>
        <v>1.00524445538375</v>
      </c>
      <c r="CA82" s="165" t="e">
        <f t="shared" si="31"/>
        <v>#VALUE!</v>
      </c>
      <c r="CB82" s="165">
        <f t="shared" si="27"/>
        <v>80</v>
      </c>
      <c r="CC82" s="165" t="e">
        <f t="shared" si="32"/>
        <v>#VALUE!</v>
      </c>
      <c r="CD82" s="1257" t="s">
        <v>2237</v>
      </c>
    </row>
    <row r="83" ht="15" customHeight="1" spans="1:82">
      <c r="A83" s="123" t="str">
        <f>IF(B83="","",COUNT(A$7:A82)+1)</f>
        <v/>
      </c>
      <c r="B83" s="139"/>
      <c r="C83" s="139"/>
      <c r="D83" s="141"/>
      <c r="E83" s="126"/>
      <c r="F83" s="142"/>
      <c r="G83" s="127"/>
      <c r="H83" s="128"/>
      <c r="I83" s="128"/>
      <c r="J83" s="980"/>
      <c r="K83" s="143"/>
      <c r="L83" s="143"/>
      <c r="M83" s="129"/>
      <c r="N83" s="144"/>
      <c r="O83" s="144"/>
      <c r="P83" s="144"/>
      <c r="Q83" s="143"/>
      <c r="R83" s="353" t="str">
        <f t="shared" si="36"/>
        <v/>
      </c>
      <c r="S83" s="129" t="str">
        <f t="shared" si="42"/>
        <v/>
      </c>
      <c r="T83" s="1226" t="str">
        <f t="shared" si="45"/>
        <v/>
      </c>
      <c r="U83" s="1226" t="str">
        <f t="shared" si="46"/>
        <v/>
      </c>
      <c r="V83" s="353" t="str">
        <f t="shared" si="35"/>
        <v/>
      </c>
      <c r="W83" s="129">
        <v>0</v>
      </c>
      <c r="X83" s="129">
        <v>0</v>
      </c>
      <c r="Y83" s="129" t="str">
        <f t="shared" si="43"/>
        <v/>
      </c>
      <c r="Z83" s="129" t="str">
        <f t="shared" si="44"/>
        <v/>
      </c>
      <c r="AA83" s="145"/>
      <c r="BA83" s="78"/>
      <c r="BB83" s="132" t="s">
        <v>2322</v>
      </c>
      <c r="BC83" s="133"/>
      <c r="BD83" s="132" t="str">
        <f>IF(OR(B83="",BC83=""),"",COUNTIF(BC$8:BC83,"√"))</f>
        <v/>
      </c>
      <c r="BE83" s="134" t="str">
        <f t="shared" si="37"/>
        <v/>
      </c>
      <c r="BF83" s="135" t="str">
        <f t="shared" si="9"/>
        <v/>
      </c>
      <c r="BG83" s="135" t="str">
        <f t="shared" si="9"/>
        <v/>
      </c>
      <c r="BH83" s="136"/>
      <c r="BI83" s="136"/>
      <c r="BJ83" s="136"/>
      <c r="BK83" s="136"/>
      <c r="BL83" s="137"/>
      <c r="BM83" s="137"/>
      <c r="BP83" s="134" t="str">
        <f>IF(COUNTIF(BP$7:BP82,B83)&gt;0,"",B83)&amp;""</f>
        <v/>
      </c>
      <c r="BQ83" s="138">
        <f t="shared" si="38"/>
        <v>0</v>
      </c>
      <c r="BR83" s="132">
        <f t="shared" si="39"/>
        <v>1</v>
      </c>
      <c r="BS83" s="138">
        <f t="shared" si="40"/>
        <v>0</v>
      </c>
      <c r="BT83" s="132">
        <f t="shared" si="41"/>
        <v>2</v>
      </c>
      <c r="BU83" s="133"/>
      <c r="BV83" s="133"/>
      <c r="BX83" s="1256">
        <v>43100</v>
      </c>
      <c r="BY83" s="165">
        <f>IFERROR(LOOKUP(BX83,基础数据!A:D),1)</f>
        <v>3.53915880885741</v>
      </c>
      <c r="BZ83" s="165">
        <f t="shared" si="30"/>
        <v>1.00524445538375</v>
      </c>
      <c r="CA83" s="165" t="e">
        <f t="shared" si="31"/>
        <v>#VALUE!</v>
      </c>
      <c r="CB83" s="165">
        <f t="shared" si="27"/>
        <v>80</v>
      </c>
      <c r="CC83" s="165" t="e">
        <f t="shared" si="32"/>
        <v>#VALUE!</v>
      </c>
      <c r="CD83" s="1257" t="s">
        <v>2237</v>
      </c>
    </row>
    <row r="84" ht="15" customHeight="1" spans="1:82">
      <c r="A84" s="123" t="str">
        <f>IF(B84="","",COUNT(A$7:A83)+1)</f>
        <v/>
      </c>
      <c r="B84" s="139"/>
      <c r="C84" s="139"/>
      <c r="D84" s="1261"/>
      <c r="E84" s="126"/>
      <c r="F84" s="142"/>
      <c r="G84" s="127"/>
      <c r="H84" s="128"/>
      <c r="I84" s="128"/>
      <c r="J84" s="980"/>
      <c r="K84" s="143"/>
      <c r="L84" s="143"/>
      <c r="M84" s="129"/>
      <c r="N84" s="144"/>
      <c r="O84" s="144"/>
      <c r="P84" s="144"/>
      <c r="Q84" s="143"/>
      <c r="R84" s="353" t="str">
        <f t="shared" si="36"/>
        <v/>
      </c>
      <c r="S84" s="129" t="str">
        <f t="shared" si="42"/>
        <v/>
      </c>
      <c r="T84" s="1226" t="str">
        <f t="shared" si="45"/>
        <v/>
      </c>
      <c r="U84" s="1226" t="str">
        <f t="shared" si="46"/>
        <v/>
      </c>
      <c r="V84" s="353" t="str">
        <f t="shared" si="35"/>
        <v/>
      </c>
      <c r="W84" s="129">
        <v>0</v>
      </c>
      <c r="X84" s="129">
        <v>0</v>
      </c>
      <c r="Y84" s="129" t="str">
        <f t="shared" si="43"/>
        <v/>
      </c>
      <c r="Z84" s="129" t="str">
        <f t="shared" si="44"/>
        <v/>
      </c>
      <c r="AA84" s="145"/>
      <c r="BA84" s="78"/>
      <c r="BB84" s="132" t="s">
        <v>2323</v>
      </c>
      <c r="BC84" s="133"/>
      <c r="BD84" s="132" t="str">
        <f>IF(OR(B84="",BC84=""),"",COUNTIF(BC$8:BC84,"√"))</f>
        <v/>
      </c>
      <c r="BE84" s="134" t="str">
        <f t="shared" si="37"/>
        <v/>
      </c>
      <c r="BF84" s="135" t="str">
        <f t="shared" si="9"/>
        <v/>
      </c>
      <c r="BG84" s="135" t="str">
        <f t="shared" si="9"/>
        <v/>
      </c>
      <c r="BH84" s="136"/>
      <c r="BI84" s="136"/>
      <c r="BJ84" s="136"/>
      <c r="BK84" s="136"/>
      <c r="BL84" s="137"/>
      <c r="BM84" s="137"/>
      <c r="BP84" s="134" t="str">
        <f>IF(COUNTIF(BP$7:BP83,B84)&gt;0,"",B84)&amp;""</f>
        <v/>
      </c>
      <c r="BQ84" s="138">
        <f t="shared" si="38"/>
        <v>0</v>
      </c>
      <c r="BR84" s="132">
        <f t="shared" si="39"/>
        <v>1</v>
      </c>
      <c r="BS84" s="138">
        <f t="shared" si="40"/>
        <v>0</v>
      </c>
      <c r="BT84" s="132">
        <f t="shared" si="41"/>
        <v>2</v>
      </c>
      <c r="BU84" s="133"/>
      <c r="BV84" s="133"/>
      <c r="BX84" s="1256">
        <v>43100</v>
      </c>
      <c r="BY84" s="165">
        <f>IFERROR(LOOKUP(BX84,基础数据!A:D),1)</f>
        <v>3.53915880885741</v>
      </c>
      <c r="BZ84" s="165">
        <f t="shared" si="30"/>
        <v>1.00524445538375</v>
      </c>
      <c r="CA84" s="165" t="e">
        <f t="shared" si="31"/>
        <v>#VALUE!</v>
      </c>
      <c r="CB84" s="165">
        <f t="shared" si="27"/>
        <v>80</v>
      </c>
      <c r="CC84" s="165" t="e">
        <f t="shared" si="32"/>
        <v>#VALUE!</v>
      </c>
      <c r="CD84" s="1257" t="s">
        <v>2237</v>
      </c>
    </row>
    <row r="85" ht="15" customHeight="1" spans="1:82">
      <c r="A85" s="123" t="str">
        <f>IF(B85="","",COUNT(A$7:A84)+1)</f>
        <v/>
      </c>
      <c r="B85" s="798"/>
      <c r="C85" s="139"/>
      <c r="D85" s="1261"/>
      <c r="E85" s="126"/>
      <c r="F85" s="142"/>
      <c r="G85" s="127"/>
      <c r="H85" s="128"/>
      <c r="I85" s="128"/>
      <c r="J85" s="980"/>
      <c r="K85" s="143"/>
      <c r="L85" s="143"/>
      <c r="M85" s="129"/>
      <c r="N85" s="144"/>
      <c r="O85" s="144"/>
      <c r="P85" s="144"/>
      <c r="Q85" s="143"/>
      <c r="R85" s="353" t="str">
        <f t="shared" si="36"/>
        <v/>
      </c>
      <c r="S85" s="129" t="str">
        <f t="shared" si="42"/>
        <v/>
      </c>
      <c r="T85" s="1226" t="str">
        <f t="shared" si="45"/>
        <v/>
      </c>
      <c r="U85" s="1226" t="str">
        <f t="shared" si="46"/>
        <v/>
      </c>
      <c r="V85" s="353" t="str">
        <f t="shared" si="35"/>
        <v/>
      </c>
      <c r="W85" s="129">
        <v>0</v>
      </c>
      <c r="X85" s="129">
        <v>0</v>
      </c>
      <c r="Y85" s="129" t="str">
        <f t="shared" si="43"/>
        <v/>
      </c>
      <c r="Z85" s="129" t="str">
        <f t="shared" si="44"/>
        <v/>
      </c>
      <c r="AA85" s="145"/>
      <c r="BA85" s="78"/>
      <c r="BB85" s="132" t="s">
        <v>2324</v>
      </c>
      <c r="BC85" s="133"/>
      <c r="BD85" s="132" t="str">
        <f>IF(OR(B85="",BC85=""),"",COUNTIF(BC$8:BC85,"√"))</f>
        <v/>
      </c>
      <c r="BE85" s="134" t="str">
        <f t="shared" si="37"/>
        <v/>
      </c>
      <c r="BF85" s="135" t="str">
        <f t="shared" si="9"/>
        <v/>
      </c>
      <c r="BG85" s="135" t="str">
        <f t="shared" si="9"/>
        <v/>
      </c>
      <c r="BH85" s="136"/>
      <c r="BI85" s="136"/>
      <c r="BJ85" s="136"/>
      <c r="BK85" s="136"/>
      <c r="BL85" s="137"/>
      <c r="BM85" s="137"/>
      <c r="BP85" s="134" t="str">
        <f>IF(COUNTIF(BP$7:BP84,B85)&gt;0,"",B85)&amp;""</f>
        <v/>
      </c>
      <c r="BQ85" s="138">
        <f t="shared" si="38"/>
        <v>0</v>
      </c>
      <c r="BR85" s="132">
        <f t="shared" si="39"/>
        <v>1</v>
      </c>
      <c r="BS85" s="138">
        <f t="shared" si="40"/>
        <v>0</v>
      </c>
      <c r="BT85" s="132">
        <f t="shared" si="41"/>
        <v>2</v>
      </c>
      <c r="BU85" s="133"/>
      <c r="BV85" s="133"/>
      <c r="BX85" s="1256">
        <v>43100</v>
      </c>
      <c r="BY85" s="165">
        <f>IFERROR(LOOKUP(BX85,基础数据!A:D),1)</f>
        <v>3.53915880885741</v>
      </c>
      <c r="BZ85" s="165">
        <f t="shared" si="30"/>
        <v>1.00524445538375</v>
      </c>
      <c r="CA85" s="165" t="e">
        <f t="shared" si="31"/>
        <v>#VALUE!</v>
      </c>
      <c r="CB85" s="165">
        <f t="shared" si="27"/>
        <v>80</v>
      </c>
      <c r="CC85" s="165" t="e">
        <f t="shared" si="32"/>
        <v>#VALUE!</v>
      </c>
      <c r="CD85" s="1257" t="s">
        <v>2237</v>
      </c>
    </row>
    <row r="86" ht="15" customHeight="1" spans="1:82">
      <c r="A86" s="123" t="str">
        <f>IF(B86="","",COUNT(A$7:A85)+1)</f>
        <v/>
      </c>
      <c r="B86" s="139"/>
      <c r="C86" s="139"/>
      <c r="D86" s="141"/>
      <c r="E86" s="126"/>
      <c r="F86" s="142"/>
      <c r="G86" s="127"/>
      <c r="H86" s="128"/>
      <c r="I86" s="128"/>
      <c r="J86" s="980"/>
      <c r="K86" s="143"/>
      <c r="L86" s="143"/>
      <c r="M86" s="129"/>
      <c r="N86" s="144"/>
      <c r="O86" s="144"/>
      <c r="P86" s="144"/>
      <c r="Q86" s="143"/>
      <c r="R86" s="353" t="str">
        <f t="shared" si="36"/>
        <v/>
      </c>
      <c r="S86" s="129" t="str">
        <f t="shared" si="42"/>
        <v/>
      </c>
      <c r="T86" s="1226" t="str">
        <f t="shared" si="45"/>
        <v/>
      </c>
      <c r="U86" s="1226" t="str">
        <f t="shared" si="46"/>
        <v/>
      </c>
      <c r="V86" s="353" t="str">
        <f t="shared" si="35"/>
        <v/>
      </c>
      <c r="W86" s="129">
        <v>0</v>
      </c>
      <c r="X86" s="129">
        <v>0</v>
      </c>
      <c r="Y86" s="129" t="str">
        <f t="shared" si="43"/>
        <v/>
      </c>
      <c r="Z86" s="129" t="str">
        <f t="shared" si="44"/>
        <v/>
      </c>
      <c r="AA86" s="145"/>
      <c r="BA86" s="78"/>
      <c r="BB86" s="132" t="s">
        <v>2325</v>
      </c>
      <c r="BC86" s="133"/>
      <c r="BD86" s="132" t="str">
        <f>IF(OR(B86="",BC86=""),"",COUNTIF(BC$8:BC86,"√"))</f>
        <v/>
      </c>
      <c r="BE86" s="134" t="str">
        <f t="shared" si="37"/>
        <v/>
      </c>
      <c r="BF86" s="135" t="str">
        <f t="shared" si="9"/>
        <v/>
      </c>
      <c r="BG86" s="135" t="str">
        <f t="shared" si="9"/>
        <v/>
      </c>
      <c r="BH86" s="136"/>
      <c r="BI86" s="136"/>
      <c r="BJ86" s="136"/>
      <c r="BK86" s="136"/>
      <c r="BL86" s="137"/>
      <c r="BM86" s="137"/>
      <c r="BP86" s="134" t="str">
        <f>IF(COUNTIF(BP$7:BP85,B86)&gt;0,"",B86)&amp;""</f>
        <v/>
      </c>
      <c r="BQ86" s="138">
        <f t="shared" si="38"/>
        <v>0</v>
      </c>
      <c r="BR86" s="132">
        <f t="shared" si="39"/>
        <v>1</v>
      </c>
      <c r="BS86" s="138">
        <f t="shared" si="40"/>
        <v>0</v>
      </c>
      <c r="BT86" s="132">
        <f t="shared" si="41"/>
        <v>2</v>
      </c>
      <c r="BU86" s="133"/>
      <c r="BV86" s="133"/>
      <c r="BX86" s="1256">
        <v>43100</v>
      </c>
      <c r="BY86" s="165">
        <f>IFERROR(LOOKUP(BX86,基础数据!A:D),1)</f>
        <v>3.53915880885741</v>
      </c>
      <c r="BZ86" s="165">
        <f t="shared" si="30"/>
        <v>1.00524445538375</v>
      </c>
      <c r="CA86" s="165" t="e">
        <f t="shared" si="31"/>
        <v>#VALUE!</v>
      </c>
      <c r="CB86" s="165">
        <f t="shared" si="27"/>
        <v>80</v>
      </c>
      <c r="CC86" s="165" t="e">
        <f t="shared" si="32"/>
        <v>#VALUE!</v>
      </c>
      <c r="CD86" s="1257" t="s">
        <v>2237</v>
      </c>
    </row>
    <row r="87" ht="15" customHeight="1" spans="1:82">
      <c r="A87" s="123" t="str">
        <f>IF(B87="","",COUNT(A$7:A86)+1)</f>
        <v/>
      </c>
      <c r="B87" s="139"/>
      <c r="C87" s="139"/>
      <c r="D87" s="141"/>
      <c r="E87" s="126"/>
      <c r="F87" s="142"/>
      <c r="G87" s="127"/>
      <c r="H87" s="128"/>
      <c r="I87" s="128"/>
      <c r="J87" s="980"/>
      <c r="K87" s="143"/>
      <c r="L87" s="143"/>
      <c r="M87" s="129"/>
      <c r="N87" s="144"/>
      <c r="O87" s="144"/>
      <c r="P87" s="144"/>
      <c r="Q87" s="143"/>
      <c r="R87" s="353" t="str">
        <f t="shared" si="36"/>
        <v/>
      </c>
      <c r="S87" s="129" t="str">
        <f t="shared" si="42"/>
        <v/>
      </c>
      <c r="T87" s="1226" t="str">
        <f t="shared" si="45"/>
        <v/>
      </c>
      <c r="U87" s="1226" t="str">
        <f t="shared" si="46"/>
        <v/>
      </c>
      <c r="V87" s="353" t="str">
        <f t="shared" si="35"/>
        <v/>
      </c>
      <c r="W87" s="129">
        <v>0</v>
      </c>
      <c r="X87" s="129">
        <v>0</v>
      </c>
      <c r="Y87" s="129" t="str">
        <f t="shared" si="43"/>
        <v/>
      </c>
      <c r="Z87" s="129" t="str">
        <f t="shared" si="44"/>
        <v/>
      </c>
      <c r="AA87" s="145"/>
      <c r="BA87" s="78"/>
      <c r="BB87" s="132" t="s">
        <v>2326</v>
      </c>
      <c r="BC87" s="133"/>
      <c r="BD87" s="132" t="str">
        <f>IF(OR(B87="",BC87=""),"",COUNTIF(BC$8:BC87,"√"))</f>
        <v/>
      </c>
      <c r="BE87" s="134" t="str">
        <f t="shared" si="37"/>
        <v/>
      </c>
      <c r="BF87" s="135" t="str">
        <f t="shared" si="9"/>
        <v/>
      </c>
      <c r="BG87" s="135" t="str">
        <f t="shared" si="9"/>
        <v/>
      </c>
      <c r="BH87" s="136"/>
      <c r="BI87" s="136"/>
      <c r="BJ87" s="136"/>
      <c r="BK87" s="136"/>
      <c r="BL87" s="137"/>
      <c r="BM87" s="137"/>
      <c r="BP87" s="134" t="str">
        <f>IF(COUNTIF(BP$7:BP86,B87)&gt;0,"",B87)&amp;""</f>
        <v/>
      </c>
      <c r="BQ87" s="138">
        <f t="shared" si="38"/>
        <v>0</v>
      </c>
      <c r="BR87" s="132">
        <f t="shared" si="39"/>
        <v>1</v>
      </c>
      <c r="BS87" s="138">
        <f t="shared" si="40"/>
        <v>0</v>
      </c>
      <c r="BT87" s="132">
        <f t="shared" si="41"/>
        <v>2</v>
      </c>
      <c r="BU87" s="133"/>
      <c r="BV87" s="133"/>
      <c r="BX87" s="1256">
        <v>43100</v>
      </c>
      <c r="BY87" s="165">
        <f>IFERROR(LOOKUP(BX87,基础数据!A:D),1)</f>
        <v>3.53915880885741</v>
      </c>
      <c r="BZ87" s="165">
        <f t="shared" si="30"/>
        <v>1.00524445538375</v>
      </c>
      <c r="CA87" s="165">
        <f>ROUND(BN87/1.13,0)</f>
        <v>0</v>
      </c>
      <c r="CB87" s="165">
        <f t="shared" si="27"/>
        <v>80</v>
      </c>
      <c r="CC87" s="165">
        <f t="shared" si="32"/>
        <v>0</v>
      </c>
      <c r="CD87" s="1257" t="s">
        <v>2237</v>
      </c>
    </row>
    <row r="88" ht="15" customHeight="1" spans="1:82">
      <c r="A88" s="123" t="str">
        <f>IF(B88="","",COUNT(A$7:A87)+1)</f>
        <v/>
      </c>
      <c r="B88" s="139"/>
      <c r="C88" s="139"/>
      <c r="D88" s="141"/>
      <c r="E88" s="126"/>
      <c r="F88" s="142"/>
      <c r="G88" s="127"/>
      <c r="H88" s="128"/>
      <c r="I88" s="128"/>
      <c r="J88" s="980"/>
      <c r="K88" s="143"/>
      <c r="L88" s="143"/>
      <c r="M88" s="129"/>
      <c r="N88" s="144"/>
      <c r="O88" s="144"/>
      <c r="P88" s="144"/>
      <c r="Q88" s="143"/>
      <c r="R88" s="353" t="str">
        <f t="shared" si="36"/>
        <v/>
      </c>
      <c r="S88" s="129" t="str">
        <f t="shared" si="42"/>
        <v/>
      </c>
      <c r="T88" s="1226" t="str">
        <f t="shared" si="45"/>
        <v/>
      </c>
      <c r="U88" s="1226" t="str">
        <f t="shared" si="46"/>
        <v/>
      </c>
      <c r="V88" s="353" t="str">
        <f t="shared" si="35"/>
        <v/>
      </c>
      <c r="W88" s="129">
        <v>0</v>
      </c>
      <c r="X88" s="129">
        <v>0</v>
      </c>
      <c r="Y88" s="129" t="str">
        <f t="shared" si="43"/>
        <v/>
      </c>
      <c r="Z88" s="129" t="str">
        <f t="shared" si="44"/>
        <v/>
      </c>
      <c r="AA88" s="145"/>
      <c r="BA88" s="78"/>
      <c r="BB88" s="132" t="s">
        <v>2327</v>
      </c>
      <c r="BC88" s="133"/>
      <c r="BD88" s="132" t="str">
        <f>IF(OR(B88="",BC88=""),"",COUNTIF(BC$8:BC88,"√"))</f>
        <v/>
      </c>
      <c r="BE88" s="134" t="str">
        <f t="shared" si="37"/>
        <v/>
      </c>
      <c r="BF88" s="135" t="str">
        <f t="shared" si="9"/>
        <v/>
      </c>
      <c r="BG88" s="135" t="str">
        <f t="shared" si="9"/>
        <v/>
      </c>
      <c r="BH88" s="136"/>
      <c r="BI88" s="136"/>
      <c r="BJ88" s="136"/>
      <c r="BK88" s="136"/>
      <c r="BL88" s="137"/>
      <c r="BM88" s="137"/>
      <c r="BP88" s="134" t="str">
        <f>IF(COUNTIF(BP$7:BP87,B88)&gt;0,"",B88)&amp;""</f>
        <v/>
      </c>
      <c r="BQ88" s="138">
        <f t="shared" si="38"/>
        <v>0</v>
      </c>
      <c r="BR88" s="132">
        <f t="shared" si="39"/>
        <v>1</v>
      </c>
      <c r="BS88" s="138">
        <f t="shared" si="40"/>
        <v>0</v>
      </c>
      <c r="BT88" s="132">
        <f t="shared" si="41"/>
        <v>2</v>
      </c>
      <c r="BU88" s="133"/>
      <c r="BV88" s="133"/>
      <c r="BX88" s="1256">
        <v>44908</v>
      </c>
      <c r="BY88" s="165">
        <f>IFERROR(LOOKUP(BX88,基础数据!A:D),1)</f>
        <v>3.84333367100529</v>
      </c>
      <c r="BZ88" s="165">
        <f t="shared" si="30"/>
        <v>0.925685895077611</v>
      </c>
      <c r="CA88" s="165" t="e">
        <f t="shared" si="31"/>
        <v>#VALUE!</v>
      </c>
      <c r="CB88" s="165">
        <f t="shared" si="27"/>
        <v>80</v>
      </c>
      <c r="CC88" s="165" t="e">
        <f t="shared" si="32"/>
        <v>#VALUE!</v>
      </c>
      <c r="CD88" s="1257" t="s">
        <v>2237</v>
      </c>
    </row>
    <row r="89" ht="15" customHeight="1" spans="1:82">
      <c r="A89" s="123" t="str">
        <f>IF(B89="","",COUNT(A$7:A88)+1)</f>
        <v/>
      </c>
      <c r="B89" s="139"/>
      <c r="C89" s="139"/>
      <c r="D89" s="141"/>
      <c r="E89" s="126"/>
      <c r="F89" s="142"/>
      <c r="G89" s="127"/>
      <c r="H89" s="128"/>
      <c r="I89" s="128"/>
      <c r="J89" s="980"/>
      <c r="K89" s="143"/>
      <c r="L89" s="143"/>
      <c r="M89" s="129"/>
      <c r="N89" s="144"/>
      <c r="O89" s="144"/>
      <c r="P89" s="144"/>
      <c r="Q89" s="143"/>
      <c r="R89" s="353" t="str">
        <f t="shared" si="36"/>
        <v/>
      </c>
      <c r="S89" s="129" t="str">
        <f t="shared" si="42"/>
        <v/>
      </c>
      <c r="T89" s="1226" t="str">
        <f t="shared" si="45"/>
        <v/>
      </c>
      <c r="U89" s="1226" t="str">
        <f t="shared" si="46"/>
        <v/>
      </c>
      <c r="V89" s="353" t="str">
        <f t="shared" si="35"/>
        <v/>
      </c>
      <c r="W89" s="129">
        <v>0</v>
      </c>
      <c r="X89" s="129">
        <v>0</v>
      </c>
      <c r="Y89" s="129" t="str">
        <f t="shared" si="43"/>
        <v/>
      </c>
      <c r="Z89" s="129" t="str">
        <f t="shared" si="44"/>
        <v/>
      </c>
      <c r="AA89" s="145"/>
      <c r="BA89" s="78"/>
      <c r="BB89" s="132" t="s">
        <v>2328</v>
      </c>
      <c r="BC89" s="133"/>
      <c r="BD89" s="132" t="str">
        <f>IF(OR(B89="",BC89=""),"",COUNTIF(BC$8:BC89,"√"))</f>
        <v/>
      </c>
      <c r="BE89" s="134" t="str">
        <f t="shared" si="37"/>
        <v/>
      </c>
      <c r="BF89" s="135" t="str">
        <f t="shared" si="9"/>
        <v/>
      </c>
      <c r="BG89" s="135" t="str">
        <f t="shared" ref="BF89:BG153" si="47">IF($B89="","",IF(BG$5=0,"OK","出错"))</f>
        <v/>
      </c>
      <c r="BH89" s="136"/>
      <c r="BI89" s="136"/>
      <c r="BJ89" s="136"/>
      <c r="BK89" s="136"/>
      <c r="BL89" s="137"/>
      <c r="BM89" s="137"/>
      <c r="BP89" s="134" t="str">
        <f>IF(COUNTIF(BP$7:BP88,B89)&gt;0,"",B89)&amp;""</f>
        <v/>
      </c>
      <c r="BQ89" s="138">
        <f t="shared" si="38"/>
        <v>0</v>
      </c>
      <c r="BR89" s="132">
        <f t="shared" si="39"/>
        <v>1</v>
      </c>
      <c r="BS89" s="138">
        <f t="shared" si="40"/>
        <v>0</v>
      </c>
      <c r="BT89" s="132">
        <f t="shared" si="41"/>
        <v>2</v>
      </c>
      <c r="BU89" s="133"/>
      <c r="BV89" s="133"/>
      <c r="BX89" s="1256">
        <v>43100</v>
      </c>
      <c r="BY89" s="165">
        <f>IFERROR(LOOKUP(BX89,基础数据!A:D),1)</f>
        <v>3.53915880885741</v>
      </c>
      <c r="BZ89" s="165">
        <f t="shared" si="30"/>
        <v>1.00524445538375</v>
      </c>
      <c r="CA89" s="165" t="e">
        <f t="shared" si="31"/>
        <v>#VALUE!</v>
      </c>
      <c r="CB89" s="165">
        <f t="shared" si="27"/>
        <v>80</v>
      </c>
      <c r="CC89" s="165" t="e">
        <f t="shared" si="32"/>
        <v>#VALUE!</v>
      </c>
      <c r="CD89" s="1257" t="s">
        <v>2237</v>
      </c>
    </row>
    <row r="90" ht="15" customHeight="1" spans="1:82">
      <c r="A90" s="123" t="str">
        <f>IF(B90="","",COUNT(A$7:A89)+1)</f>
        <v/>
      </c>
      <c r="B90" s="139"/>
      <c r="C90" s="139"/>
      <c r="D90" s="141"/>
      <c r="E90" s="126"/>
      <c r="F90" s="142"/>
      <c r="G90" s="127"/>
      <c r="H90" s="128"/>
      <c r="I90" s="128"/>
      <c r="J90" s="980"/>
      <c r="K90" s="143"/>
      <c r="L90" s="143"/>
      <c r="M90" s="129"/>
      <c r="N90" s="144"/>
      <c r="O90" s="144"/>
      <c r="P90" s="144"/>
      <c r="Q90" s="143"/>
      <c r="R90" s="353" t="str">
        <f t="shared" si="36"/>
        <v/>
      </c>
      <c r="S90" s="129" t="str">
        <f t="shared" si="42"/>
        <v/>
      </c>
      <c r="T90" s="1226" t="str">
        <f t="shared" si="45"/>
        <v/>
      </c>
      <c r="U90" s="1226" t="str">
        <f t="shared" si="46"/>
        <v/>
      </c>
      <c r="V90" s="353" t="str">
        <f t="shared" si="35"/>
        <v/>
      </c>
      <c r="W90" s="129">
        <v>0</v>
      </c>
      <c r="X90" s="129">
        <v>0</v>
      </c>
      <c r="Y90" s="129" t="str">
        <f t="shared" si="43"/>
        <v/>
      </c>
      <c r="Z90" s="129" t="str">
        <f t="shared" si="44"/>
        <v/>
      </c>
      <c r="AA90" s="145"/>
      <c r="BA90" s="78"/>
      <c r="BB90" s="132" t="s">
        <v>2329</v>
      </c>
      <c r="BC90" s="133"/>
      <c r="BD90" s="132" t="str">
        <f>IF(OR(B90="",BC90=""),"",COUNTIF(BC$8:BC90,"√"))</f>
        <v/>
      </c>
      <c r="BE90" s="134" t="str">
        <f t="shared" si="37"/>
        <v/>
      </c>
      <c r="BF90" s="135" t="str">
        <f t="shared" si="47"/>
        <v/>
      </c>
      <c r="BG90" s="135" t="str">
        <f t="shared" si="47"/>
        <v/>
      </c>
      <c r="BH90" s="136"/>
      <c r="BI90" s="136"/>
      <c r="BJ90" s="136"/>
      <c r="BK90" s="136"/>
      <c r="BL90" s="137"/>
      <c r="BM90" s="137"/>
      <c r="BP90" s="134" t="str">
        <f>IF(COUNTIF(BP$7:BP89,B90)&gt;0,"",B90)&amp;""</f>
        <v/>
      </c>
      <c r="BQ90" s="138">
        <f t="shared" si="38"/>
        <v>0</v>
      </c>
      <c r="BR90" s="132">
        <f t="shared" si="39"/>
        <v>1</v>
      </c>
      <c r="BS90" s="138">
        <f t="shared" si="40"/>
        <v>0</v>
      </c>
      <c r="BT90" s="132">
        <f t="shared" si="41"/>
        <v>2</v>
      </c>
      <c r="BU90" s="133"/>
      <c r="BV90" s="133"/>
      <c r="BX90" s="1256">
        <v>43100</v>
      </c>
      <c r="BY90" s="165">
        <f>IFERROR(LOOKUP(BX90,基础数据!A:D),1)</f>
        <v>3.53915880885741</v>
      </c>
      <c r="BZ90" s="165">
        <f t="shared" si="30"/>
        <v>1.00524445538375</v>
      </c>
      <c r="CA90" s="165" t="e">
        <f t="shared" si="31"/>
        <v>#VALUE!</v>
      </c>
      <c r="CB90" s="165">
        <f t="shared" si="27"/>
        <v>80</v>
      </c>
      <c r="CC90" s="165" t="e">
        <f t="shared" si="32"/>
        <v>#VALUE!</v>
      </c>
      <c r="CD90" s="1257" t="s">
        <v>2237</v>
      </c>
    </row>
    <row r="91" ht="15" customHeight="1" spans="1:82">
      <c r="A91" s="123" t="str">
        <f>IF(B91="","",COUNT(A$7:A90)+1)</f>
        <v/>
      </c>
      <c r="B91" s="139"/>
      <c r="C91" s="139"/>
      <c r="D91" s="141"/>
      <c r="E91" s="126"/>
      <c r="F91" s="142"/>
      <c r="G91" s="127"/>
      <c r="H91" s="128"/>
      <c r="I91" s="128"/>
      <c r="J91" s="980"/>
      <c r="K91" s="143"/>
      <c r="L91" s="143"/>
      <c r="M91" s="129"/>
      <c r="N91" s="144"/>
      <c r="O91" s="144"/>
      <c r="P91" s="144"/>
      <c r="Q91" s="143"/>
      <c r="R91" s="353" t="str">
        <f t="shared" si="36"/>
        <v/>
      </c>
      <c r="S91" s="129" t="str">
        <f t="shared" si="42"/>
        <v/>
      </c>
      <c r="T91" s="1226" t="str">
        <f t="shared" si="45"/>
        <v/>
      </c>
      <c r="U91" s="1226" t="str">
        <f t="shared" si="46"/>
        <v/>
      </c>
      <c r="V91" s="353" t="str">
        <f t="shared" si="35"/>
        <v/>
      </c>
      <c r="W91" s="129">
        <v>0</v>
      </c>
      <c r="X91" s="129">
        <v>0</v>
      </c>
      <c r="Y91" s="129" t="str">
        <f t="shared" si="43"/>
        <v/>
      </c>
      <c r="Z91" s="129" t="str">
        <f t="shared" si="44"/>
        <v/>
      </c>
      <c r="AA91" s="145"/>
      <c r="BA91" s="78"/>
      <c r="BB91" s="132" t="s">
        <v>2330</v>
      </c>
      <c r="BC91" s="133"/>
      <c r="BD91" s="132" t="str">
        <f>IF(OR(B91="",BC91=""),"",COUNTIF(BC$8:BC91,"√"))</f>
        <v/>
      </c>
      <c r="BE91" s="134" t="str">
        <f t="shared" si="37"/>
        <v/>
      </c>
      <c r="BF91" s="135" t="str">
        <f t="shared" si="47"/>
        <v/>
      </c>
      <c r="BG91" s="135" t="str">
        <f t="shared" si="47"/>
        <v/>
      </c>
      <c r="BH91" s="136"/>
      <c r="BI91" s="136"/>
      <c r="BJ91" s="136"/>
      <c r="BK91" s="136"/>
      <c r="BL91" s="137"/>
      <c r="BM91" s="137"/>
      <c r="BP91" s="134" t="str">
        <f>IF(COUNTIF(BP$7:BP90,B91)&gt;0,"",B91)&amp;""</f>
        <v/>
      </c>
      <c r="BQ91" s="138">
        <f t="shared" si="38"/>
        <v>0</v>
      </c>
      <c r="BR91" s="132">
        <f t="shared" si="39"/>
        <v>1</v>
      </c>
      <c r="BS91" s="138">
        <f t="shared" si="40"/>
        <v>0</v>
      </c>
      <c r="BT91" s="132">
        <f t="shared" si="41"/>
        <v>2</v>
      </c>
      <c r="BU91" s="133"/>
      <c r="BV91" s="133"/>
      <c r="BX91" s="1256">
        <v>43100</v>
      </c>
      <c r="BY91" s="165">
        <f>IFERROR(LOOKUP(BX91,基础数据!A:D),1)</f>
        <v>3.53915880885741</v>
      </c>
      <c r="BZ91" s="165">
        <f t="shared" si="30"/>
        <v>1.00524445538375</v>
      </c>
      <c r="CA91" s="165" t="e">
        <f t="shared" si="31"/>
        <v>#VALUE!</v>
      </c>
      <c r="CB91" s="165">
        <f t="shared" si="27"/>
        <v>80</v>
      </c>
      <c r="CC91" s="165" t="e">
        <f t="shared" si="32"/>
        <v>#VALUE!</v>
      </c>
      <c r="CD91" s="1257" t="s">
        <v>2237</v>
      </c>
    </row>
    <row r="92" ht="15" customHeight="1" spans="1:82">
      <c r="A92" s="123" t="str">
        <f>IF(B92="","",COUNT(A$7:A91)+1)</f>
        <v/>
      </c>
      <c r="B92" s="139"/>
      <c r="C92" s="139"/>
      <c r="D92" s="141"/>
      <c r="E92" s="126"/>
      <c r="F92" s="142"/>
      <c r="G92" s="127"/>
      <c r="H92" s="128"/>
      <c r="I92" s="128"/>
      <c r="J92" s="980"/>
      <c r="K92" s="143"/>
      <c r="L92" s="143"/>
      <c r="M92" s="129"/>
      <c r="N92" s="144"/>
      <c r="O92" s="144"/>
      <c r="P92" s="144"/>
      <c r="Q92" s="143"/>
      <c r="R92" s="353" t="str">
        <f t="shared" si="36"/>
        <v/>
      </c>
      <c r="S92" s="129" t="str">
        <f t="shared" si="42"/>
        <v/>
      </c>
      <c r="T92" s="1226" t="str">
        <f t="shared" si="45"/>
        <v/>
      </c>
      <c r="U92" s="1226" t="str">
        <f t="shared" si="46"/>
        <v/>
      </c>
      <c r="V92" s="353" t="str">
        <f t="shared" si="35"/>
        <v/>
      </c>
      <c r="W92" s="129">
        <v>0</v>
      </c>
      <c r="X92" s="129">
        <v>0</v>
      </c>
      <c r="Y92" s="129" t="str">
        <f t="shared" si="43"/>
        <v/>
      </c>
      <c r="Z92" s="129" t="str">
        <f t="shared" si="44"/>
        <v/>
      </c>
      <c r="AA92" s="145"/>
      <c r="BA92" s="78"/>
      <c r="BB92" s="132" t="s">
        <v>2331</v>
      </c>
      <c r="BC92" s="133"/>
      <c r="BD92" s="132" t="str">
        <f>IF(OR(B92="",BC92=""),"",COUNTIF(BC$8:BC92,"√"))</f>
        <v/>
      </c>
      <c r="BE92" s="134" t="str">
        <f t="shared" si="37"/>
        <v/>
      </c>
      <c r="BF92" s="135" t="str">
        <f t="shared" si="47"/>
        <v/>
      </c>
      <c r="BG92" s="135" t="str">
        <f t="shared" si="47"/>
        <v/>
      </c>
      <c r="BH92" s="136"/>
      <c r="BI92" s="136"/>
      <c r="BJ92" s="136"/>
      <c r="BK92" s="136"/>
      <c r="BL92" s="137"/>
      <c r="BM92" s="137"/>
      <c r="BP92" s="134" t="str">
        <f>IF(COUNTIF(BP$7:BP91,B92)&gt;0,"",B92)&amp;""</f>
        <v/>
      </c>
      <c r="BQ92" s="138">
        <f t="shared" si="38"/>
        <v>0</v>
      </c>
      <c r="BR92" s="132">
        <f t="shared" si="39"/>
        <v>1</v>
      </c>
      <c r="BS92" s="138">
        <f t="shared" si="40"/>
        <v>0</v>
      </c>
      <c r="BT92" s="132">
        <f t="shared" si="41"/>
        <v>2</v>
      </c>
      <c r="BU92" s="133"/>
      <c r="BV92" s="133"/>
      <c r="BX92" s="1256">
        <v>44908</v>
      </c>
      <c r="BY92" s="165">
        <f>IFERROR(LOOKUP(BX92,基础数据!A:D),1)</f>
        <v>3.84333367100529</v>
      </c>
      <c r="BZ92" s="165">
        <f t="shared" ref="BZ92:BZ156" si="48">BY$5/BY92</f>
        <v>0.925685895077611</v>
      </c>
      <c r="CA92" s="165" t="e">
        <f t="shared" ref="CA92:CA156" si="49">ROUND(S92*BZ92,0)</f>
        <v>#VALUE!</v>
      </c>
      <c r="CB92" s="165">
        <f t="shared" si="27"/>
        <v>80</v>
      </c>
      <c r="CC92" s="165" t="e">
        <f t="shared" ref="CC92:CC156" si="50">ROUND(CB92*CA92/100,0)</f>
        <v>#VALUE!</v>
      </c>
      <c r="CD92" s="1257" t="s">
        <v>2237</v>
      </c>
    </row>
    <row r="93" ht="15" customHeight="1" spans="1:82">
      <c r="A93" s="123" t="str">
        <f>IF(B93="","",COUNT(A$7:A92)+1)</f>
        <v/>
      </c>
      <c r="B93" s="139"/>
      <c r="C93" s="139"/>
      <c r="D93" s="141"/>
      <c r="E93" s="126"/>
      <c r="F93" s="142"/>
      <c r="G93" s="127"/>
      <c r="H93" s="128"/>
      <c r="I93" s="128"/>
      <c r="J93" s="980"/>
      <c r="K93" s="143"/>
      <c r="L93" s="143"/>
      <c r="M93" s="129"/>
      <c r="N93" s="144"/>
      <c r="O93" s="144"/>
      <c r="P93" s="144"/>
      <c r="Q93" s="143"/>
      <c r="R93" s="353" t="str">
        <f t="shared" si="36"/>
        <v/>
      </c>
      <c r="S93" s="129" t="str">
        <f t="shared" si="42"/>
        <v/>
      </c>
      <c r="T93" s="1226" t="str">
        <f t="shared" si="45"/>
        <v/>
      </c>
      <c r="U93" s="1226" t="str">
        <f t="shared" si="46"/>
        <v/>
      </c>
      <c r="V93" s="353" t="str">
        <f t="shared" si="35"/>
        <v/>
      </c>
      <c r="W93" s="129">
        <v>0</v>
      </c>
      <c r="X93" s="129">
        <v>0</v>
      </c>
      <c r="Y93" s="129" t="str">
        <f t="shared" si="43"/>
        <v/>
      </c>
      <c r="Z93" s="129" t="str">
        <f t="shared" si="44"/>
        <v/>
      </c>
      <c r="AA93" s="145"/>
      <c r="BA93" s="78"/>
      <c r="BB93" s="132" t="s">
        <v>2332</v>
      </c>
      <c r="BC93" s="133"/>
      <c r="BD93" s="132" t="str">
        <f>IF(OR(B93="",BC93=""),"",COUNTIF(BC$8:BC93,"√"))</f>
        <v/>
      </c>
      <c r="BE93" s="134" t="str">
        <f t="shared" si="37"/>
        <v/>
      </c>
      <c r="BF93" s="135" t="str">
        <f t="shared" si="47"/>
        <v/>
      </c>
      <c r="BG93" s="135" t="str">
        <f t="shared" si="47"/>
        <v/>
      </c>
      <c r="BH93" s="136"/>
      <c r="BI93" s="136"/>
      <c r="BJ93" s="136"/>
      <c r="BK93" s="136"/>
      <c r="BL93" s="137"/>
      <c r="BM93" s="137"/>
      <c r="BP93" s="134" t="str">
        <f>IF(COUNTIF(BP$7:BP92,B93)&gt;0,"",B93)&amp;""</f>
        <v/>
      </c>
      <c r="BQ93" s="138">
        <f t="shared" si="38"/>
        <v>0</v>
      </c>
      <c r="BR93" s="132">
        <f t="shared" ref="BR93:BR124" si="51">RANK(BQ93,BQ$8:BQ$397)</f>
        <v>1</v>
      </c>
      <c r="BS93" s="138">
        <f t="shared" si="40"/>
        <v>0</v>
      </c>
      <c r="BT93" s="132">
        <f t="shared" ref="BT93:BT124" si="52">RANK(BS93,BS$8:BS$397)</f>
        <v>2</v>
      </c>
      <c r="BU93" s="133"/>
      <c r="BV93" s="133"/>
      <c r="BX93" s="1256">
        <v>44908</v>
      </c>
      <c r="BY93" s="165">
        <f>IFERROR(LOOKUP(BX93,基础数据!A:D),1)</f>
        <v>3.84333367100529</v>
      </c>
      <c r="BZ93" s="165">
        <f t="shared" si="48"/>
        <v>0.925685895077611</v>
      </c>
      <c r="CA93" s="165" t="e">
        <f t="shared" si="49"/>
        <v>#VALUE!</v>
      </c>
      <c r="CB93" s="165">
        <f t="shared" si="27"/>
        <v>80</v>
      </c>
      <c r="CC93" s="165" t="e">
        <f t="shared" si="50"/>
        <v>#VALUE!</v>
      </c>
      <c r="CD93" s="1257" t="s">
        <v>2237</v>
      </c>
    </row>
    <row r="94" ht="15" customHeight="1" spans="1:82">
      <c r="A94" s="123" t="str">
        <f>IF(B94="","",COUNT(A$7:A93)+1)</f>
        <v/>
      </c>
      <c r="B94" s="139"/>
      <c r="C94" s="139"/>
      <c r="D94" s="141"/>
      <c r="E94" s="126"/>
      <c r="F94" s="142"/>
      <c r="G94" s="127"/>
      <c r="H94" s="128"/>
      <c r="I94" s="128"/>
      <c r="J94" s="980"/>
      <c r="K94" s="143"/>
      <c r="L94" s="143"/>
      <c r="M94" s="129"/>
      <c r="N94" s="144"/>
      <c r="O94" s="144"/>
      <c r="P94" s="144"/>
      <c r="Q94" s="143"/>
      <c r="R94" s="353" t="str">
        <f t="shared" si="36"/>
        <v/>
      </c>
      <c r="S94" s="129" t="str">
        <f t="shared" si="42"/>
        <v/>
      </c>
      <c r="T94" s="1226" t="str">
        <f t="shared" si="45"/>
        <v/>
      </c>
      <c r="U94" s="1226" t="str">
        <f t="shared" si="46"/>
        <v/>
      </c>
      <c r="V94" s="353" t="str">
        <f t="shared" si="35"/>
        <v/>
      </c>
      <c r="W94" s="129">
        <v>0</v>
      </c>
      <c r="X94" s="129">
        <v>0</v>
      </c>
      <c r="Y94" s="129" t="str">
        <f t="shared" si="43"/>
        <v/>
      </c>
      <c r="Z94" s="129" t="str">
        <f t="shared" si="44"/>
        <v/>
      </c>
      <c r="AA94" s="145"/>
      <c r="BA94" s="78"/>
      <c r="BB94" s="132" t="s">
        <v>2333</v>
      </c>
      <c r="BC94" s="133"/>
      <c r="BD94" s="132" t="str">
        <f>IF(OR(B94="",BC94=""),"",COUNTIF(BC$8:BC94,"√"))</f>
        <v/>
      </c>
      <c r="BE94" s="134" t="str">
        <f t="shared" si="37"/>
        <v/>
      </c>
      <c r="BF94" s="135" t="str">
        <f t="shared" si="47"/>
        <v/>
      </c>
      <c r="BG94" s="135" t="str">
        <f t="shared" si="47"/>
        <v/>
      </c>
      <c r="BH94" s="136"/>
      <c r="BI94" s="136"/>
      <c r="BJ94" s="136"/>
      <c r="BK94" s="136"/>
      <c r="BL94" s="137"/>
      <c r="BM94" s="137"/>
      <c r="BP94" s="134" t="str">
        <f>IF(COUNTIF(BP$7:BP93,B94)&gt;0,"",B94)&amp;""</f>
        <v/>
      </c>
      <c r="BQ94" s="138">
        <f t="shared" si="38"/>
        <v>0</v>
      </c>
      <c r="BR94" s="132">
        <f t="shared" si="51"/>
        <v>1</v>
      </c>
      <c r="BS94" s="138">
        <f t="shared" si="40"/>
        <v>0</v>
      </c>
      <c r="BT94" s="132">
        <f t="shared" si="52"/>
        <v>2</v>
      </c>
      <c r="BU94" s="133"/>
      <c r="BV94" s="133"/>
      <c r="BX94" s="1256">
        <v>43100</v>
      </c>
      <c r="BY94" s="165">
        <f>IFERROR(LOOKUP(BX94,基础数据!A:D),1)</f>
        <v>3.53915880885741</v>
      </c>
      <c r="BZ94" s="165">
        <f t="shared" si="48"/>
        <v>1.00524445538375</v>
      </c>
      <c r="CA94" s="165" t="e">
        <f t="shared" si="49"/>
        <v>#VALUE!</v>
      </c>
      <c r="CB94" s="165">
        <f t="shared" si="27"/>
        <v>80</v>
      </c>
      <c r="CC94" s="165" t="e">
        <f t="shared" si="50"/>
        <v>#VALUE!</v>
      </c>
      <c r="CD94" s="1257" t="s">
        <v>2237</v>
      </c>
    </row>
    <row r="95" ht="15" customHeight="1" spans="1:82">
      <c r="A95" s="123" t="str">
        <f>IF(B95="","",COUNT(A$7:A94)+1)</f>
        <v/>
      </c>
      <c r="B95" s="139"/>
      <c r="C95" s="139"/>
      <c r="D95" s="141"/>
      <c r="E95" s="126"/>
      <c r="F95" s="142"/>
      <c r="G95" s="127"/>
      <c r="H95" s="128"/>
      <c r="I95" s="128"/>
      <c r="J95" s="980"/>
      <c r="K95" s="143"/>
      <c r="L95" s="143"/>
      <c r="M95" s="129"/>
      <c r="N95" s="144"/>
      <c r="O95" s="144"/>
      <c r="P95" s="144"/>
      <c r="Q95" s="143"/>
      <c r="R95" s="353" t="str">
        <f t="shared" si="36"/>
        <v/>
      </c>
      <c r="S95" s="129" t="str">
        <f t="shared" si="42"/>
        <v/>
      </c>
      <c r="T95" s="1226" t="str">
        <f t="shared" si="45"/>
        <v/>
      </c>
      <c r="U95" s="1226" t="str">
        <f t="shared" si="46"/>
        <v/>
      </c>
      <c r="V95" s="353" t="str">
        <f t="shared" si="35"/>
        <v/>
      </c>
      <c r="W95" s="129">
        <v>0</v>
      </c>
      <c r="X95" s="129">
        <v>0</v>
      </c>
      <c r="Y95" s="129" t="str">
        <f t="shared" si="43"/>
        <v/>
      </c>
      <c r="Z95" s="129" t="str">
        <f t="shared" si="44"/>
        <v/>
      </c>
      <c r="AA95" s="145"/>
      <c r="BA95" s="78"/>
      <c r="BB95" s="132" t="s">
        <v>2334</v>
      </c>
      <c r="BC95" s="133"/>
      <c r="BD95" s="132" t="str">
        <f>IF(OR(B95="",BC95=""),"",COUNTIF(BC$8:BC95,"√"))</f>
        <v/>
      </c>
      <c r="BE95" s="134" t="str">
        <f t="shared" si="37"/>
        <v/>
      </c>
      <c r="BF95" s="135" t="str">
        <f t="shared" si="47"/>
        <v/>
      </c>
      <c r="BG95" s="135" t="str">
        <f t="shared" si="47"/>
        <v/>
      </c>
      <c r="BH95" s="136"/>
      <c r="BI95" s="136"/>
      <c r="BJ95" s="136"/>
      <c r="BK95" s="136"/>
      <c r="BL95" s="137"/>
      <c r="BM95" s="137"/>
      <c r="BP95" s="134" t="str">
        <f>IF(COUNTIF(BP$7:BP94,B95)&gt;0,"",B95)&amp;""</f>
        <v/>
      </c>
      <c r="BQ95" s="138">
        <f t="shared" si="38"/>
        <v>0</v>
      </c>
      <c r="BR95" s="132">
        <f t="shared" si="51"/>
        <v>1</v>
      </c>
      <c r="BS95" s="138">
        <f t="shared" si="40"/>
        <v>0</v>
      </c>
      <c r="BT95" s="132">
        <f t="shared" si="52"/>
        <v>2</v>
      </c>
      <c r="BU95" s="133"/>
      <c r="BV95" s="133"/>
      <c r="BX95" s="1256">
        <v>43100</v>
      </c>
      <c r="BY95" s="165">
        <f>IFERROR(LOOKUP(BX95,基础数据!A:D),1)</f>
        <v>3.53915880885741</v>
      </c>
      <c r="BZ95" s="165">
        <f t="shared" si="48"/>
        <v>1.00524445538375</v>
      </c>
      <c r="CA95" s="165" t="e">
        <f t="shared" si="49"/>
        <v>#VALUE!</v>
      </c>
      <c r="CB95" s="165">
        <f t="shared" si="27"/>
        <v>80</v>
      </c>
      <c r="CC95" s="165" t="e">
        <f t="shared" si="50"/>
        <v>#VALUE!</v>
      </c>
      <c r="CD95" s="1257" t="s">
        <v>2237</v>
      </c>
    </row>
    <row r="96" ht="15" customHeight="1" spans="1:82">
      <c r="A96" s="123" t="str">
        <f>IF(B96="","",COUNT(A$7:A95)+1)</f>
        <v/>
      </c>
      <c r="B96" s="139"/>
      <c r="C96" s="139"/>
      <c r="D96" s="141"/>
      <c r="E96" s="126"/>
      <c r="F96" s="142"/>
      <c r="G96" s="127"/>
      <c r="H96" s="128"/>
      <c r="I96" s="128"/>
      <c r="J96" s="980"/>
      <c r="K96" s="143"/>
      <c r="L96" s="143"/>
      <c r="M96" s="129"/>
      <c r="N96" s="144"/>
      <c r="O96" s="144"/>
      <c r="P96" s="144"/>
      <c r="Q96" s="143"/>
      <c r="R96" s="353" t="str">
        <f t="shared" si="36"/>
        <v/>
      </c>
      <c r="S96" s="129" t="str">
        <f t="shared" si="42"/>
        <v/>
      </c>
      <c r="T96" s="1226" t="str">
        <f t="shared" si="45"/>
        <v/>
      </c>
      <c r="U96" s="1226" t="str">
        <f t="shared" si="46"/>
        <v/>
      </c>
      <c r="V96" s="353" t="str">
        <f t="shared" si="35"/>
        <v/>
      </c>
      <c r="W96" s="129">
        <v>0</v>
      </c>
      <c r="X96" s="129">
        <v>0</v>
      </c>
      <c r="Y96" s="129" t="str">
        <f t="shared" si="43"/>
        <v/>
      </c>
      <c r="Z96" s="129" t="str">
        <f t="shared" si="44"/>
        <v/>
      </c>
      <c r="AA96" s="145"/>
      <c r="BA96" s="78"/>
      <c r="BB96" s="132" t="s">
        <v>2335</v>
      </c>
      <c r="BC96" s="133"/>
      <c r="BD96" s="132" t="str">
        <f>IF(OR(B96="",BC96=""),"",COUNTIF(BC$8:BC96,"√"))</f>
        <v/>
      </c>
      <c r="BE96" s="134" t="str">
        <f t="shared" si="37"/>
        <v/>
      </c>
      <c r="BF96" s="135" t="str">
        <f t="shared" si="47"/>
        <v/>
      </c>
      <c r="BG96" s="135" t="str">
        <f t="shared" si="47"/>
        <v/>
      </c>
      <c r="BH96" s="136"/>
      <c r="BI96" s="136"/>
      <c r="BJ96" s="136"/>
      <c r="BK96" s="136"/>
      <c r="BL96" s="137"/>
      <c r="BM96" s="137"/>
      <c r="BP96" s="134" t="str">
        <f>IF(COUNTIF(BP$7:BP95,B96)&gt;0,"",B96)&amp;""</f>
        <v/>
      </c>
      <c r="BQ96" s="138">
        <f t="shared" si="38"/>
        <v>0</v>
      </c>
      <c r="BR96" s="132">
        <f t="shared" si="51"/>
        <v>1</v>
      </c>
      <c r="BS96" s="138">
        <f t="shared" si="40"/>
        <v>0</v>
      </c>
      <c r="BT96" s="132">
        <f t="shared" si="52"/>
        <v>2</v>
      </c>
      <c r="BU96" s="133"/>
      <c r="BV96" s="133"/>
      <c r="BX96" s="1256">
        <v>43100</v>
      </c>
      <c r="BY96" s="165">
        <f>IFERROR(LOOKUP(BX96,基础数据!A:D),1)</f>
        <v>3.53915880885741</v>
      </c>
      <c r="BZ96" s="165">
        <f t="shared" si="48"/>
        <v>1.00524445538375</v>
      </c>
      <c r="CA96" s="165" t="e">
        <f t="shared" si="49"/>
        <v>#VALUE!</v>
      </c>
      <c r="CB96" s="165">
        <f t="shared" si="27"/>
        <v>80</v>
      </c>
      <c r="CC96" s="165" t="e">
        <f t="shared" si="50"/>
        <v>#VALUE!</v>
      </c>
      <c r="CD96" s="1257" t="s">
        <v>2237</v>
      </c>
    </row>
    <row r="97" ht="15" customHeight="1" spans="1:82">
      <c r="A97" s="123" t="str">
        <f>IF(B97="","",COUNT(A$7:A96)+1)</f>
        <v/>
      </c>
      <c r="B97" s="139"/>
      <c r="C97" s="139"/>
      <c r="D97" s="141"/>
      <c r="E97" s="126"/>
      <c r="F97" s="142"/>
      <c r="G97" s="127"/>
      <c r="H97" s="128"/>
      <c r="I97" s="128"/>
      <c r="J97" s="980"/>
      <c r="K97" s="143"/>
      <c r="L97" s="143"/>
      <c r="M97" s="129"/>
      <c r="N97" s="144"/>
      <c r="O97" s="144"/>
      <c r="P97" s="144"/>
      <c r="Q97" s="143"/>
      <c r="R97" s="353" t="str">
        <f t="shared" si="36"/>
        <v/>
      </c>
      <c r="S97" s="129" t="str">
        <f t="shared" si="42"/>
        <v/>
      </c>
      <c r="T97" s="1226" t="str">
        <f t="shared" si="45"/>
        <v/>
      </c>
      <c r="U97" s="1226" t="str">
        <f t="shared" si="46"/>
        <v/>
      </c>
      <c r="V97" s="353" t="str">
        <f t="shared" si="35"/>
        <v/>
      </c>
      <c r="W97" s="129">
        <v>0</v>
      </c>
      <c r="X97" s="129">
        <v>0</v>
      </c>
      <c r="Y97" s="129" t="str">
        <f t="shared" si="43"/>
        <v/>
      </c>
      <c r="Z97" s="129" t="str">
        <f t="shared" si="44"/>
        <v/>
      </c>
      <c r="AA97" s="145"/>
      <c r="BA97" s="78"/>
      <c r="BB97" s="132" t="s">
        <v>2336</v>
      </c>
      <c r="BC97" s="133"/>
      <c r="BD97" s="132" t="str">
        <f>IF(OR(B97="",BC97=""),"",COUNTIF(BC$8:BC97,"√"))</f>
        <v/>
      </c>
      <c r="BE97" s="134" t="str">
        <f t="shared" si="37"/>
        <v/>
      </c>
      <c r="BF97" s="135" t="str">
        <f t="shared" si="47"/>
        <v/>
      </c>
      <c r="BG97" s="135" t="str">
        <f t="shared" si="47"/>
        <v/>
      </c>
      <c r="BH97" s="136"/>
      <c r="BI97" s="136"/>
      <c r="BJ97" s="136"/>
      <c r="BK97" s="136"/>
      <c r="BL97" s="137"/>
      <c r="BM97" s="137"/>
      <c r="BP97" s="134" t="str">
        <f>IF(COUNTIF(BP$7:BP96,B97)&gt;0,"",B97)&amp;""</f>
        <v/>
      </c>
      <c r="BQ97" s="138">
        <f t="shared" si="38"/>
        <v>0</v>
      </c>
      <c r="BR97" s="132">
        <f t="shared" si="51"/>
        <v>1</v>
      </c>
      <c r="BS97" s="138">
        <f t="shared" si="40"/>
        <v>0</v>
      </c>
      <c r="BT97" s="132">
        <f t="shared" si="52"/>
        <v>2</v>
      </c>
      <c r="BU97" s="133"/>
      <c r="BV97" s="133"/>
      <c r="BX97" s="1256">
        <v>43100</v>
      </c>
      <c r="BY97" s="165">
        <f>IFERROR(LOOKUP(BX97,基础数据!A:D),1)</f>
        <v>3.53915880885741</v>
      </c>
      <c r="BZ97" s="165">
        <f t="shared" si="48"/>
        <v>1.00524445538375</v>
      </c>
      <c r="CA97" s="165" t="e">
        <f t="shared" si="49"/>
        <v>#VALUE!</v>
      </c>
      <c r="CB97" s="165">
        <f t="shared" si="27"/>
        <v>80</v>
      </c>
      <c r="CC97" s="165" t="e">
        <f t="shared" si="50"/>
        <v>#VALUE!</v>
      </c>
      <c r="CD97" s="1257" t="s">
        <v>2237</v>
      </c>
    </row>
    <row r="98" ht="15" customHeight="1" spans="1:82">
      <c r="A98" s="123" t="str">
        <f>IF(B98="","",COUNT(A$7:A97)+1)</f>
        <v/>
      </c>
      <c r="B98" s="139"/>
      <c r="C98" s="139"/>
      <c r="D98" s="141"/>
      <c r="E98" s="126"/>
      <c r="F98" s="142"/>
      <c r="G98" s="127"/>
      <c r="H98" s="128"/>
      <c r="I98" s="128"/>
      <c r="J98" s="980"/>
      <c r="K98" s="143"/>
      <c r="L98" s="143"/>
      <c r="M98" s="129"/>
      <c r="N98" s="144"/>
      <c r="O98" s="144"/>
      <c r="P98" s="144"/>
      <c r="Q98" s="143"/>
      <c r="R98" s="353" t="str">
        <f t="shared" si="36"/>
        <v/>
      </c>
      <c r="S98" s="129" t="str">
        <f t="shared" si="42"/>
        <v/>
      </c>
      <c r="T98" s="1226" t="str">
        <f t="shared" si="45"/>
        <v/>
      </c>
      <c r="U98" s="1226" t="str">
        <f t="shared" si="46"/>
        <v/>
      </c>
      <c r="V98" s="353" t="str">
        <f t="shared" si="35"/>
        <v/>
      </c>
      <c r="W98" s="129">
        <v>0</v>
      </c>
      <c r="X98" s="129">
        <v>0</v>
      </c>
      <c r="Y98" s="129" t="str">
        <f t="shared" si="43"/>
        <v/>
      </c>
      <c r="Z98" s="129" t="str">
        <f t="shared" si="44"/>
        <v/>
      </c>
      <c r="AA98" s="145"/>
      <c r="BA98" s="78"/>
      <c r="BB98" s="132" t="s">
        <v>2337</v>
      </c>
      <c r="BC98" s="133"/>
      <c r="BD98" s="132" t="str">
        <f>IF(OR(B98="",BC98=""),"",COUNTIF(BC$8:BC98,"√"))</f>
        <v/>
      </c>
      <c r="BE98" s="134" t="str">
        <f t="shared" si="37"/>
        <v/>
      </c>
      <c r="BF98" s="135" t="str">
        <f t="shared" si="47"/>
        <v/>
      </c>
      <c r="BG98" s="135" t="str">
        <f t="shared" si="47"/>
        <v/>
      </c>
      <c r="BH98" s="136"/>
      <c r="BI98" s="136"/>
      <c r="BJ98" s="136"/>
      <c r="BK98" s="136"/>
      <c r="BL98" s="137"/>
      <c r="BM98" s="137"/>
      <c r="BP98" s="134" t="str">
        <f>IF(COUNTIF(BP$7:BP97,B98)&gt;0,"",B98)&amp;""</f>
        <v/>
      </c>
      <c r="BQ98" s="138">
        <f t="shared" si="38"/>
        <v>0</v>
      </c>
      <c r="BR98" s="132">
        <f t="shared" si="51"/>
        <v>1</v>
      </c>
      <c r="BS98" s="138">
        <f t="shared" si="40"/>
        <v>0</v>
      </c>
      <c r="BT98" s="132">
        <f t="shared" si="52"/>
        <v>2</v>
      </c>
      <c r="BU98" s="133"/>
      <c r="BV98" s="133"/>
      <c r="BX98" s="1256">
        <v>43100</v>
      </c>
      <c r="BY98" s="165">
        <f>IFERROR(LOOKUP(BX98,基础数据!A:D),1)</f>
        <v>3.53915880885741</v>
      </c>
      <c r="BZ98" s="165">
        <f t="shared" si="48"/>
        <v>1.00524445538375</v>
      </c>
      <c r="CA98" s="165" t="e">
        <f t="shared" ref="CA98:CA99" si="53">ROUND(S98*BZ98,1)</f>
        <v>#VALUE!</v>
      </c>
      <c r="CB98" s="165">
        <f>CO$3</f>
        <v>90</v>
      </c>
      <c r="CC98" s="165" t="e">
        <f t="shared" ref="CC98:CC99" si="54">ROUND(CB98*CA98/100,1)</f>
        <v>#VALUE!</v>
      </c>
      <c r="CD98" s="1257" t="s">
        <v>2237</v>
      </c>
    </row>
    <row r="99" ht="15" customHeight="1" spans="1:82">
      <c r="A99" s="123" t="str">
        <f>IF(B99="","",COUNT(A$7:A98)+1)</f>
        <v/>
      </c>
      <c r="B99" s="139"/>
      <c r="C99" s="139"/>
      <c r="D99" s="141"/>
      <c r="E99" s="126"/>
      <c r="F99" s="142"/>
      <c r="G99" s="127"/>
      <c r="H99" s="128"/>
      <c r="I99" s="128"/>
      <c r="J99" s="980"/>
      <c r="K99" s="143"/>
      <c r="L99" s="143"/>
      <c r="M99" s="129"/>
      <c r="N99" s="144"/>
      <c r="O99" s="144"/>
      <c r="P99" s="144"/>
      <c r="Q99" s="143"/>
      <c r="R99" s="353" t="str">
        <f t="shared" si="36"/>
        <v/>
      </c>
      <c r="S99" s="129" t="str">
        <f t="shared" si="42"/>
        <v/>
      </c>
      <c r="T99" s="1226" t="str">
        <f t="shared" si="45"/>
        <v/>
      </c>
      <c r="U99" s="1226" t="str">
        <f t="shared" si="46"/>
        <v/>
      </c>
      <c r="V99" s="353" t="str">
        <f t="shared" si="35"/>
        <v/>
      </c>
      <c r="W99" s="129">
        <v>0</v>
      </c>
      <c r="X99" s="129">
        <v>0</v>
      </c>
      <c r="Y99" s="129" t="str">
        <f t="shared" si="43"/>
        <v/>
      </c>
      <c r="Z99" s="129" t="str">
        <f t="shared" si="44"/>
        <v/>
      </c>
      <c r="AA99" s="145"/>
      <c r="BA99" s="78"/>
      <c r="BB99" s="132" t="s">
        <v>2338</v>
      </c>
      <c r="BC99" s="133"/>
      <c r="BD99" s="132" t="str">
        <f>IF(OR(B99="",BC99=""),"",COUNTIF(BC$8:BC99,"√"))</f>
        <v/>
      </c>
      <c r="BE99" s="134" t="str">
        <f t="shared" si="37"/>
        <v/>
      </c>
      <c r="BF99" s="135" t="str">
        <f t="shared" si="47"/>
        <v/>
      </c>
      <c r="BG99" s="135" t="str">
        <f t="shared" si="47"/>
        <v/>
      </c>
      <c r="BH99" s="136"/>
      <c r="BI99" s="136"/>
      <c r="BJ99" s="136"/>
      <c r="BK99" s="136"/>
      <c r="BL99" s="137"/>
      <c r="BM99" s="137"/>
      <c r="BP99" s="134" t="str">
        <f>IF(COUNTIF(BP$7:BP98,B99)&gt;0,"",B99)&amp;""</f>
        <v/>
      </c>
      <c r="BQ99" s="138">
        <f t="shared" si="38"/>
        <v>0</v>
      </c>
      <c r="BR99" s="132">
        <f t="shared" si="51"/>
        <v>1</v>
      </c>
      <c r="BS99" s="138">
        <f t="shared" si="40"/>
        <v>0</v>
      </c>
      <c r="BT99" s="132">
        <f t="shared" si="52"/>
        <v>2</v>
      </c>
      <c r="BU99" s="133"/>
      <c r="BV99" s="133"/>
      <c r="BX99" s="1256">
        <v>43100</v>
      </c>
      <c r="BY99" s="165">
        <f>IFERROR(LOOKUP(BX99,基础数据!A:D),1)</f>
        <v>3.53915880885741</v>
      </c>
      <c r="BZ99" s="165">
        <f t="shared" si="48"/>
        <v>1.00524445538375</v>
      </c>
      <c r="CA99" s="165" t="e">
        <f t="shared" si="53"/>
        <v>#VALUE!</v>
      </c>
      <c r="CB99" s="165">
        <f t="shared" ref="CB99:CB103" si="55">CO$3</f>
        <v>90</v>
      </c>
      <c r="CC99" s="165" t="e">
        <f t="shared" si="54"/>
        <v>#VALUE!</v>
      </c>
      <c r="CD99" s="1257" t="s">
        <v>2237</v>
      </c>
    </row>
    <row r="100" ht="15" customHeight="1" spans="1:82">
      <c r="A100" s="123" t="str">
        <f>IF(B100="","",COUNT(A$7:A99)+1)</f>
        <v/>
      </c>
      <c r="B100" s="139"/>
      <c r="C100" s="139"/>
      <c r="D100" s="141"/>
      <c r="E100" s="126"/>
      <c r="F100" s="142"/>
      <c r="G100" s="127"/>
      <c r="H100" s="128"/>
      <c r="I100" s="128"/>
      <c r="J100" s="980"/>
      <c r="K100" s="143"/>
      <c r="L100" s="143"/>
      <c r="M100" s="129"/>
      <c r="N100" s="144"/>
      <c r="O100" s="144"/>
      <c r="P100" s="144"/>
      <c r="Q100" s="143"/>
      <c r="R100" s="353" t="str">
        <f t="shared" si="36"/>
        <v/>
      </c>
      <c r="S100" s="129" t="str">
        <f t="shared" si="42"/>
        <v/>
      </c>
      <c r="T100" s="1226" t="str">
        <f t="shared" si="45"/>
        <v/>
      </c>
      <c r="U100" s="1226" t="str">
        <f t="shared" si="46"/>
        <v/>
      </c>
      <c r="V100" s="353" t="str">
        <f t="shared" si="35"/>
        <v/>
      </c>
      <c r="W100" s="129">
        <v>0</v>
      </c>
      <c r="X100" s="129">
        <v>0</v>
      </c>
      <c r="Y100" s="129" t="str">
        <f t="shared" si="43"/>
        <v/>
      </c>
      <c r="Z100" s="129" t="str">
        <f t="shared" si="44"/>
        <v/>
      </c>
      <c r="AA100" s="145"/>
      <c r="BA100" s="78"/>
      <c r="BB100" s="132" t="s">
        <v>2339</v>
      </c>
      <c r="BC100" s="133"/>
      <c r="BD100" s="132" t="str">
        <f>IF(OR(B100="",BC100=""),"",COUNTIF(BC$8:BC100,"√"))</f>
        <v/>
      </c>
      <c r="BE100" s="134" t="str">
        <f t="shared" si="37"/>
        <v/>
      </c>
      <c r="BF100" s="135" t="str">
        <f t="shared" si="47"/>
        <v/>
      </c>
      <c r="BG100" s="135" t="str">
        <f t="shared" si="47"/>
        <v/>
      </c>
      <c r="BH100" s="136"/>
      <c r="BI100" s="136"/>
      <c r="BJ100" s="136"/>
      <c r="BK100" s="136"/>
      <c r="BL100" s="137"/>
      <c r="BM100" s="137"/>
      <c r="BP100" s="134" t="str">
        <f>IF(COUNTIF(BP$7:BP99,B100)&gt;0,"",B100)&amp;""</f>
        <v/>
      </c>
      <c r="BQ100" s="138">
        <f t="shared" si="38"/>
        <v>0</v>
      </c>
      <c r="BR100" s="132">
        <f t="shared" si="51"/>
        <v>1</v>
      </c>
      <c r="BS100" s="138">
        <f t="shared" si="40"/>
        <v>0</v>
      </c>
      <c r="BT100" s="132">
        <f t="shared" si="52"/>
        <v>2</v>
      </c>
      <c r="BU100" s="133"/>
      <c r="BV100" s="133"/>
      <c r="BX100" s="1256">
        <v>43100</v>
      </c>
      <c r="BY100" s="165">
        <f>IFERROR(LOOKUP(BX100,基础数据!A:D),1)</f>
        <v>3.53915880885741</v>
      </c>
      <c r="BZ100" s="165">
        <f t="shared" si="48"/>
        <v>1.00524445538375</v>
      </c>
      <c r="CA100" s="165" t="e">
        <f t="shared" si="49"/>
        <v>#VALUE!</v>
      </c>
      <c r="CB100" s="165">
        <f t="shared" si="55"/>
        <v>90</v>
      </c>
      <c r="CC100" s="165" t="e">
        <f t="shared" si="50"/>
        <v>#VALUE!</v>
      </c>
      <c r="CD100" s="1257" t="s">
        <v>2237</v>
      </c>
    </row>
    <row r="101" ht="15" customHeight="1" spans="1:82">
      <c r="A101" s="123" t="str">
        <f>IF(B101="","",COUNT(A$7:A100)+1)</f>
        <v/>
      </c>
      <c r="B101" s="139"/>
      <c r="C101" s="139"/>
      <c r="D101" s="141"/>
      <c r="E101" s="126"/>
      <c r="F101" s="142"/>
      <c r="G101" s="127"/>
      <c r="H101" s="128"/>
      <c r="I101" s="128"/>
      <c r="J101" s="980"/>
      <c r="K101" s="143"/>
      <c r="L101" s="143"/>
      <c r="M101" s="129"/>
      <c r="N101" s="144"/>
      <c r="O101" s="144"/>
      <c r="P101" s="144"/>
      <c r="Q101" s="143"/>
      <c r="R101" s="353" t="str">
        <f t="shared" si="36"/>
        <v/>
      </c>
      <c r="S101" s="129" t="str">
        <f t="shared" si="42"/>
        <v/>
      </c>
      <c r="T101" s="1226" t="str">
        <f t="shared" si="45"/>
        <v/>
      </c>
      <c r="U101" s="1226" t="str">
        <f t="shared" si="46"/>
        <v/>
      </c>
      <c r="V101" s="353" t="str">
        <f t="shared" si="35"/>
        <v/>
      </c>
      <c r="W101" s="129">
        <v>0</v>
      </c>
      <c r="X101" s="129">
        <v>0</v>
      </c>
      <c r="Y101" s="129" t="str">
        <f t="shared" si="43"/>
        <v/>
      </c>
      <c r="Z101" s="129" t="str">
        <f t="shared" si="44"/>
        <v/>
      </c>
      <c r="AA101" s="145"/>
      <c r="BA101" s="78"/>
      <c r="BB101" s="132" t="s">
        <v>2340</v>
      </c>
      <c r="BC101" s="133"/>
      <c r="BD101" s="132" t="str">
        <f>IF(OR(B101="",BC101=""),"",COUNTIF(BC$8:BC101,"√"))</f>
        <v/>
      </c>
      <c r="BE101" s="134" t="str">
        <f t="shared" si="37"/>
        <v/>
      </c>
      <c r="BF101" s="135" t="str">
        <f t="shared" si="47"/>
        <v/>
      </c>
      <c r="BG101" s="135" t="str">
        <f t="shared" si="47"/>
        <v/>
      </c>
      <c r="BH101" s="136"/>
      <c r="BI101" s="136"/>
      <c r="BJ101" s="136"/>
      <c r="BK101" s="136"/>
      <c r="BL101" s="137"/>
      <c r="BM101" s="137"/>
      <c r="BP101" s="134" t="str">
        <f>IF(COUNTIF(BP$7:BP100,B101)&gt;0,"",B101)&amp;""</f>
        <v/>
      </c>
      <c r="BQ101" s="138">
        <f t="shared" si="38"/>
        <v>0</v>
      </c>
      <c r="BR101" s="132">
        <f t="shared" si="51"/>
        <v>1</v>
      </c>
      <c r="BS101" s="138">
        <f t="shared" si="40"/>
        <v>0</v>
      </c>
      <c r="BT101" s="132">
        <f t="shared" si="52"/>
        <v>2</v>
      </c>
      <c r="BU101" s="133"/>
      <c r="BV101" s="133"/>
      <c r="BX101" s="1256">
        <v>43100</v>
      </c>
      <c r="BY101" s="165">
        <f>IFERROR(LOOKUP(BX101,基础数据!A:D),1)</f>
        <v>3.53915880885741</v>
      </c>
      <c r="BZ101" s="165">
        <f t="shared" si="48"/>
        <v>1.00524445538375</v>
      </c>
      <c r="CA101" s="165" t="e">
        <f t="shared" si="49"/>
        <v>#VALUE!</v>
      </c>
      <c r="CB101" s="165">
        <f t="shared" si="55"/>
        <v>90</v>
      </c>
      <c r="CC101" s="165" t="e">
        <f t="shared" si="50"/>
        <v>#VALUE!</v>
      </c>
      <c r="CD101" s="1257" t="s">
        <v>2237</v>
      </c>
    </row>
    <row r="102" ht="15" customHeight="1" spans="1:82">
      <c r="A102" s="123" t="str">
        <f>IF(B102="","",COUNT(A$7:A101)+1)</f>
        <v/>
      </c>
      <c r="B102" s="798"/>
      <c r="C102" s="139"/>
      <c r="D102" s="141"/>
      <c r="E102" s="126"/>
      <c r="F102" s="142"/>
      <c r="G102" s="127"/>
      <c r="H102" s="128"/>
      <c r="I102" s="128"/>
      <c r="J102" s="980"/>
      <c r="K102" s="143"/>
      <c r="L102" s="143"/>
      <c r="M102" s="129"/>
      <c r="N102" s="144"/>
      <c r="O102" s="144"/>
      <c r="P102" s="144"/>
      <c r="Q102" s="143"/>
      <c r="R102" s="353" t="str">
        <f t="shared" si="36"/>
        <v/>
      </c>
      <c r="S102" s="129" t="str">
        <f t="shared" si="42"/>
        <v/>
      </c>
      <c r="T102" s="1226" t="str">
        <f t="shared" si="45"/>
        <v/>
      </c>
      <c r="U102" s="1226" t="str">
        <f t="shared" si="46"/>
        <v/>
      </c>
      <c r="V102" s="353" t="str">
        <f t="shared" si="35"/>
        <v/>
      </c>
      <c r="W102" s="129">
        <v>0</v>
      </c>
      <c r="X102" s="129">
        <v>0</v>
      </c>
      <c r="Y102" s="129" t="str">
        <f t="shared" si="43"/>
        <v/>
      </c>
      <c r="Z102" s="129" t="str">
        <f t="shared" si="44"/>
        <v/>
      </c>
      <c r="AA102" s="145"/>
      <c r="BA102" s="78"/>
      <c r="BB102" s="132" t="s">
        <v>2341</v>
      </c>
      <c r="BC102" s="133"/>
      <c r="BD102" s="132" t="str">
        <f>IF(OR(B102="",BC102=""),"",COUNTIF(BC$8:BC102,"√"))</f>
        <v/>
      </c>
      <c r="BE102" s="134" t="str">
        <f t="shared" si="37"/>
        <v/>
      </c>
      <c r="BF102" s="135" t="str">
        <f t="shared" si="47"/>
        <v/>
      </c>
      <c r="BG102" s="135" t="str">
        <f t="shared" si="47"/>
        <v/>
      </c>
      <c r="BH102" s="136"/>
      <c r="BI102" s="136"/>
      <c r="BJ102" s="136"/>
      <c r="BK102" s="136"/>
      <c r="BL102" s="137"/>
      <c r="BM102" s="137"/>
      <c r="BP102" s="134" t="str">
        <f>IF(COUNTIF(BP$7:BP101,B102)&gt;0,"",B102)&amp;""</f>
        <v/>
      </c>
      <c r="BQ102" s="138">
        <f t="shared" si="38"/>
        <v>0</v>
      </c>
      <c r="BR102" s="132">
        <f t="shared" si="51"/>
        <v>1</v>
      </c>
      <c r="BS102" s="138">
        <f t="shared" si="40"/>
        <v>0</v>
      </c>
      <c r="BT102" s="132">
        <f t="shared" si="52"/>
        <v>2</v>
      </c>
      <c r="BU102" s="133"/>
      <c r="BV102" s="133"/>
      <c r="BX102" s="1256">
        <v>44908</v>
      </c>
      <c r="BY102" s="165">
        <f>IFERROR(LOOKUP(BX102,基础数据!A:D),1)</f>
        <v>3.84333367100529</v>
      </c>
      <c r="BZ102" s="165">
        <f t="shared" si="48"/>
        <v>0.925685895077611</v>
      </c>
      <c r="CA102" s="165" t="e">
        <f t="shared" si="49"/>
        <v>#VALUE!</v>
      </c>
      <c r="CB102" s="165">
        <f t="shared" si="55"/>
        <v>90</v>
      </c>
      <c r="CC102" s="165" t="e">
        <f t="shared" si="50"/>
        <v>#VALUE!</v>
      </c>
      <c r="CD102" s="1257" t="s">
        <v>2237</v>
      </c>
    </row>
    <row r="103" ht="15" customHeight="1" spans="1:82">
      <c r="A103" s="123" t="str">
        <f>IF(B103="","",COUNT(A$7:A102)+1)</f>
        <v/>
      </c>
      <c r="B103" s="139"/>
      <c r="C103" s="139"/>
      <c r="D103" s="141"/>
      <c r="E103" s="126"/>
      <c r="F103" s="142"/>
      <c r="G103" s="127"/>
      <c r="H103" s="128"/>
      <c r="I103" s="128"/>
      <c r="J103" s="980"/>
      <c r="K103" s="143"/>
      <c r="L103" s="143"/>
      <c r="M103" s="129"/>
      <c r="N103" s="144"/>
      <c r="O103" s="144"/>
      <c r="P103" s="144"/>
      <c r="Q103" s="143"/>
      <c r="R103" s="353" t="str">
        <f t="shared" si="36"/>
        <v/>
      </c>
      <c r="S103" s="129" t="str">
        <f t="shared" si="42"/>
        <v/>
      </c>
      <c r="T103" s="1226" t="str">
        <f t="shared" si="45"/>
        <v/>
      </c>
      <c r="U103" s="1226" t="str">
        <f t="shared" si="46"/>
        <v/>
      </c>
      <c r="V103" s="353" t="str">
        <f t="shared" si="35"/>
        <v/>
      </c>
      <c r="W103" s="129">
        <v>0</v>
      </c>
      <c r="X103" s="129">
        <v>0</v>
      </c>
      <c r="Y103" s="129" t="str">
        <f t="shared" si="43"/>
        <v/>
      </c>
      <c r="Z103" s="129" t="str">
        <f t="shared" si="44"/>
        <v/>
      </c>
      <c r="AA103" s="145"/>
      <c r="BA103" s="78"/>
      <c r="BB103" s="132" t="s">
        <v>2342</v>
      </c>
      <c r="BC103" s="133"/>
      <c r="BD103" s="132" t="str">
        <f>IF(OR(B103="",BC103=""),"",COUNTIF(BC$8:BC103,"√"))</f>
        <v/>
      </c>
      <c r="BE103" s="134" t="str">
        <f t="shared" si="37"/>
        <v/>
      </c>
      <c r="BF103" s="135" t="str">
        <f t="shared" si="47"/>
        <v/>
      </c>
      <c r="BG103" s="135" t="str">
        <f t="shared" si="47"/>
        <v/>
      </c>
      <c r="BH103" s="136"/>
      <c r="BI103" s="136"/>
      <c r="BJ103" s="136"/>
      <c r="BK103" s="136"/>
      <c r="BL103" s="137"/>
      <c r="BM103" s="137"/>
      <c r="BP103" s="134" t="str">
        <f>IF(COUNTIF(BP$7:BP102,B103)&gt;0,"",B103)&amp;""</f>
        <v/>
      </c>
      <c r="BQ103" s="138">
        <f t="shared" si="38"/>
        <v>0</v>
      </c>
      <c r="BR103" s="132">
        <f t="shared" si="51"/>
        <v>1</v>
      </c>
      <c r="BS103" s="138">
        <f t="shared" si="40"/>
        <v>0</v>
      </c>
      <c r="BT103" s="132">
        <f t="shared" si="52"/>
        <v>2</v>
      </c>
      <c r="BU103" s="133"/>
      <c r="BV103" s="133"/>
      <c r="BX103" s="1256">
        <v>44908</v>
      </c>
      <c r="BY103" s="165">
        <f>IFERROR(LOOKUP(BX103,基础数据!A:D),1)</f>
        <v>3.84333367100529</v>
      </c>
      <c r="BZ103" s="165">
        <f t="shared" si="48"/>
        <v>0.925685895077611</v>
      </c>
      <c r="CA103" s="165" t="e">
        <f t="shared" si="49"/>
        <v>#VALUE!</v>
      </c>
      <c r="CB103" s="165">
        <f t="shared" si="55"/>
        <v>90</v>
      </c>
      <c r="CC103" s="165" t="e">
        <f t="shared" si="50"/>
        <v>#VALUE!</v>
      </c>
      <c r="CD103" s="1257" t="s">
        <v>2237</v>
      </c>
    </row>
    <row r="104" ht="15" customHeight="1" spans="1:82">
      <c r="A104" s="123" t="str">
        <f>IF(B104="","",COUNT(A$7:A103)+1)</f>
        <v/>
      </c>
      <c r="B104" s="139"/>
      <c r="C104" s="139"/>
      <c r="D104" s="141"/>
      <c r="E104" s="126"/>
      <c r="F104" s="142"/>
      <c r="G104" s="127"/>
      <c r="H104" s="128"/>
      <c r="I104" s="128"/>
      <c r="J104" s="980"/>
      <c r="K104" s="143"/>
      <c r="L104" s="143"/>
      <c r="M104" s="129"/>
      <c r="N104" s="144"/>
      <c r="O104" s="144"/>
      <c r="P104" s="144"/>
      <c r="Q104" s="143"/>
      <c r="R104" s="353" t="str">
        <f t="shared" si="36"/>
        <v/>
      </c>
      <c r="S104" s="129" t="str">
        <f t="shared" si="42"/>
        <v/>
      </c>
      <c r="T104" s="1226" t="str">
        <f t="shared" si="45"/>
        <v/>
      </c>
      <c r="U104" s="1226" t="str">
        <f t="shared" si="46"/>
        <v/>
      </c>
      <c r="V104" s="353" t="str">
        <f t="shared" si="35"/>
        <v/>
      </c>
      <c r="W104" s="129">
        <v>0</v>
      </c>
      <c r="X104" s="129">
        <v>0</v>
      </c>
      <c r="Y104" s="129" t="str">
        <f t="shared" si="43"/>
        <v/>
      </c>
      <c r="Z104" s="129" t="str">
        <f t="shared" si="44"/>
        <v/>
      </c>
      <c r="AA104" s="145"/>
      <c r="BA104" s="78"/>
      <c r="BB104" s="132" t="s">
        <v>2343</v>
      </c>
      <c r="BC104" s="133"/>
      <c r="BD104" s="132" t="str">
        <f>IF(OR(B104="",BC104=""),"",COUNTIF(BC$8:BC104,"√"))</f>
        <v/>
      </c>
      <c r="BE104" s="134" t="str">
        <f t="shared" si="37"/>
        <v/>
      </c>
      <c r="BF104" s="135" t="str">
        <f t="shared" si="47"/>
        <v/>
      </c>
      <c r="BG104" s="135" t="str">
        <f t="shared" si="47"/>
        <v/>
      </c>
      <c r="BH104" s="136"/>
      <c r="BI104" s="136"/>
      <c r="BJ104" s="136"/>
      <c r="BK104" s="136"/>
      <c r="BL104" s="137"/>
      <c r="BM104" s="137"/>
      <c r="BP104" s="134" t="str">
        <f>IF(COUNTIF(BP$7:BP103,B104)&gt;0,"",B104)&amp;""</f>
        <v/>
      </c>
      <c r="BQ104" s="138">
        <f t="shared" si="38"/>
        <v>0</v>
      </c>
      <c r="BR104" s="132">
        <f t="shared" si="51"/>
        <v>1</v>
      </c>
      <c r="BS104" s="138">
        <f t="shared" si="40"/>
        <v>0</v>
      </c>
      <c r="BT104" s="132">
        <f t="shared" si="52"/>
        <v>2</v>
      </c>
      <c r="BU104" s="133"/>
      <c r="BV104" s="133"/>
      <c r="BX104" s="1256">
        <v>44908</v>
      </c>
      <c r="BY104" s="165">
        <f>IFERROR(LOOKUP(BX104,基础数据!A:D),1)</f>
        <v>3.84333367100529</v>
      </c>
      <c r="BZ104" s="165">
        <f t="shared" si="48"/>
        <v>0.925685895077611</v>
      </c>
      <c r="CA104" s="165" t="e">
        <f t="shared" si="49"/>
        <v>#VALUE!</v>
      </c>
      <c r="CB104" s="165">
        <f>CO$2</f>
        <v>95</v>
      </c>
      <c r="CC104" s="165" t="e">
        <f t="shared" si="50"/>
        <v>#VALUE!</v>
      </c>
      <c r="CD104" s="1260" t="s">
        <v>2236</v>
      </c>
    </row>
    <row r="105" ht="15" customHeight="1" spans="1:82">
      <c r="A105" s="123" t="str">
        <f>IF(B105="","",COUNT(A$7:A104)+1)</f>
        <v/>
      </c>
      <c r="B105" s="139"/>
      <c r="C105" s="139"/>
      <c r="D105" s="141"/>
      <c r="E105" s="126"/>
      <c r="F105" s="142"/>
      <c r="G105" s="127"/>
      <c r="H105" s="128"/>
      <c r="I105" s="128"/>
      <c r="J105" s="980"/>
      <c r="K105" s="143"/>
      <c r="L105" s="143"/>
      <c r="M105" s="129"/>
      <c r="N105" s="144"/>
      <c r="O105" s="144"/>
      <c r="P105" s="144"/>
      <c r="Q105" s="143"/>
      <c r="R105" s="353" t="str">
        <f t="shared" si="36"/>
        <v/>
      </c>
      <c r="S105" s="129" t="str">
        <f t="shared" si="42"/>
        <v/>
      </c>
      <c r="T105" s="1226" t="str">
        <f t="shared" si="45"/>
        <v/>
      </c>
      <c r="U105" s="1226" t="str">
        <f t="shared" si="46"/>
        <v/>
      </c>
      <c r="V105" s="353" t="str">
        <f t="shared" si="35"/>
        <v/>
      </c>
      <c r="W105" s="129">
        <v>0</v>
      </c>
      <c r="X105" s="129">
        <v>0</v>
      </c>
      <c r="Y105" s="129" t="str">
        <f t="shared" si="43"/>
        <v/>
      </c>
      <c r="Z105" s="129" t="str">
        <f t="shared" si="44"/>
        <v/>
      </c>
      <c r="AA105" s="145"/>
      <c r="BA105" s="78"/>
      <c r="BB105" s="132" t="s">
        <v>2344</v>
      </c>
      <c r="BC105" s="133"/>
      <c r="BD105" s="132" t="str">
        <f>IF(OR(B105="",BC105=""),"",COUNTIF(BC$8:BC105,"√"))</f>
        <v/>
      </c>
      <c r="BE105" s="134" t="str">
        <f t="shared" si="37"/>
        <v/>
      </c>
      <c r="BF105" s="135" t="str">
        <f t="shared" si="47"/>
        <v/>
      </c>
      <c r="BG105" s="135" t="str">
        <f t="shared" si="47"/>
        <v/>
      </c>
      <c r="BH105" s="136"/>
      <c r="BI105" s="136"/>
      <c r="BJ105" s="136"/>
      <c r="BK105" s="136"/>
      <c r="BL105" s="137"/>
      <c r="BM105" s="137"/>
      <c r="BP105" s="134" t="str">
        <f>IF(COUNTIF(BP$7:BP104,B105)&gt;0,"",B105)&amp;""</f>
        <v/>
      </c>
      <c r="BQ105" s="138">
        <f t="shared" si="38"/>
        <v>0</v>
      </c>
      <c r="BR105" s="132">
        <f t="shared" si="51"/>
        <v>1</v>
      </c>
      <c r="BS105" s="138">
        <f t="shared" si="40"/>
        <v>0</v>
      </c>
      <c r="BT105" s="132">
        <f t="shared" si="52"/>
        <v>2</v>
      </c>
      <c r="BU105" s="133"/>
      <c r="BV105" s="133"/>
      <c r="BX105" s="1256">
        <v>44908</v>
      </c>
      <c r="BY105" s="165">
        <f>IFERROR(LOOKUP(BX105,基础数据!A:D),1)</f>
        <v>3.84333367100529</v>
      </c>
      <c r="BZ105" s="165">
        <f t="shared" si="48"/>
        <v>0.925685895077611</v>
      </c>
      <c r="CA105" s="165" t="e">
        <f t="shared" si="49"/>
        <v>#VALUE!</v>
      </c>
      <c r="CB105" s="165">
        <f t="shared" ref="CB105:CB122" si="56">CO$2</f>
        <v>95</v>
      </c>
      <c r="CC105" s="165" t="e">
        <f t="shared" si="50"/>
        <v>#VALUE!</v>
      </c>
      <c r="CD105" s="1260" t="s">
        <v>2236</v>
      </c>
    </row>
    <row r="106" ht="15" customHeight="1" spans="1:82">
      <c r="A106" s="123" t="str">
        <f>IF(B106="","",COUNT(A$7:A105)+1)</f>
        <v/>
      </c>
      <c r="B106" s="139"/>
      <c r="C106" s="139"/>
      <c r="D106" s="141"/>
      <c r="E106" s="126"/>
      <c r="F106" s="142"/>
      <c r="G106" s="127"/>
      <c r="H106" s="128"/>
      <c r="I106" s="128"/>
      <c r="J106" s="980"/>
      <c r="K106" s="143"/>
      <c r="L106" s="143"/>
      <c r="M106" s="129"/>
      <c r="N106" s="144"/>
      <c r="O106" s="144"/>
      <c r="P106" s="144"/>
      <c r="Q106" s="143"/>
      <c r="R106" s="353" t="str">
        <f t="shared" si="36"/>
        <v/>
      </c>
      <c r="S106" s="129" t="str">
        <f t="shared" si="42"/>
        <v/>
      </c>
      <c r="T106" s="1226" t="str">
        <f t="shared" si="45"/>
        <v/>
      </c>
      <c r="U106" s="1226" t="str">
        <f t="shared" si="46"/>
        <v/>
      </c>
      <c r="V106" s="353" t="str">
        <f t="shared" si="35"/>
        <v/>
      </c>
      <c r="W106" s="129">
        <v>0</v>
      </c>
      <c r="X106" s="129">
        <v>0</v>
      </c>
      <c r="Y106" s="129" t="str">
        <f t="shared" si="43"/>
        <v/>
      </c>
      <c r="Z106" s="129" t="str">
        <f t="shared" si="44"/>
        <v/>
      </c>
      <c r="AA106" s="145"/>
      <c r="BA106" s="78"/>
      <c r="BB106" s="132" t="s">
        <v>2345</v>
      </c>
      <c r="BC106" s="133"/>
      <c r="BD106" s="132" t="str">
        <f>IF(OR(B106="",BC106=""),"",COUNTIF(BC$8:BC106,"√"))</f>
        <v/>
      </c>
      <c r="BE106" s="134" t="str">
        <f t="shared" si="37"/>
        <v/>
      </c>
      <c r="BF106" s="135" t="str">
        <f t="shared" si="47"/>
        <v/>
      </c>
      <c r="BG106" s="135" t="str">
        <f t="shared" si="47"/>
        <v/>
      </c>
      <c r="BH106" s="136"/>
      <c r="BI106" s="136"/>
      <c r="BJ106" s="136"/>
      <c r="BK106" s="136"/>
      <c r="BL106" s="137"/>
      <c r="BM106" s="137"/>
      <c r="BP106" s="134" t="str">
        <f>IF(COUNTIF(BP$7:BP105,B106)&gt;0,"",B106)&amp;""</f>
        <v/>
      </c>
      <c r="BQ106" s="138">
        <f t="shared" si="38"/>
        <v>0</v>
      </c>
      <c r="BR106" s="132">
        <f t="shared" si="51"/>
        <v>1</v>
      </c>
      <c r="BS106" s="138">
        <f t="shared" si="40"/>
        <v>0</v>
      </c>
      <c r="BT106" s="132">
        <f t="shared" si="52"/>
        <v>2</v>
      </c>
      <c r="BU106" s="133"/>
      <c r="BV106" s="133"/>
      <c r="BX106" s="1256">
        <v>44908</v>
      </c>
      <c r="BY106" s="165">
        <f>IFERROR(LOOKUP(BX106,基础数据!A:D),1)</f>
        <v>3.84333367100529</v>
      </c>
      <c r="BZ106" s="165">
        <f t="shared" si="48"/>
        <v>0.925685895077611</v>
      </c>
      <c r="CA106" s="165" t="e">
        <f t="shared" si="49"/>
        <v>#VALUE!</v>
      </c>
      <c r="CB106" s="165">
        <f t="shared" si="56"/>
        <v>95</v>
      </c>
      <c r="CC106" s="165" t="e">
        <f t="shared" si="50"/>
        <v>#VALUE!</v>
      </c>
      <c r="CD106" s="1260" t="s">
        <v>2236</v>
      </c>
    </row>
    <row r="107" ht="15" customHeight="1" spans="1:82">
      <c r="A107" s="123" t="str">
        <f>IF(B107="","",COUNT(A$7:A106)+1)</f>
        <v/>
      </c>
      <c r="B107" s="139"/>
      <c r="C107" s="139"/>
      <c r="D107" s="141"/>
      <c r="E107" s="126"/>
      <c r="F107" s="142"/>
      <c r="G107" s="127"/>
      <c r="H107" s="128"/>
      <c r="I107" s="128"/>
      <c r="J107" s="980"/>
      <c r="K107" s="143"/>
      <c r="L107" s="143"/>
      <c r="M107" s="129"/>
      <c r="N107" s="144"/>
      <c r="O107" s="144"/>
      <c r="P107" s="144"/>
      <c r="Q107" s="143"/>
      <c r="R107" s="353" t="str">
        <f t="shared" si="36"/>
        <v/>
      </c>
      <c r="S107" s="129" t="str">
        <f t="shared" si="42"/>
        <v/>
      </c>
      <c r="T107" s="1226" t="str">
        <f t="shared" si="45"/>
        <v/>
      </c>
      <c r="U107" s="1226" t="str">
        <f t="shared" si="46"/>
        <v/>
      </c>
      <c r="V107" s="353" t="str">
        <f t="shared" si="35"/>
        <v/>
      </c>
      <c r="W107" s="129">
        <v>0</v>
      </c>
      <c r="X107" s="129">
        <v>0</v>
      </c>
      <c r="Y107" s="129" t="str">
        <f t="shared" si="43"/>
        <v/>
      </c>
      <c r="Z107" s="129" t="str">
        <f t="shared" si="44"/>
        <v/>
      </c>
      <c r="AA107" s="145"/>
      <c r="BA107" s="78"/>
      <c r="BB107" s="132" t="s">
        <v>2346</v>
      </c>
      <c r="BC107" s="133"/>
      <c r="BD107" s="132" t="str">
        <f>IF(OR(B107="",BC107=""),"",COUNTIF(BC$8:BC107,"√"))</f>
        <v/>
      </c>
      <c r="BE107" s="134" t="str">
        <f t="shared" si="37"/>
        <v/>
      </c>
      <c r="BF107" s="135" t="str">
        <f t="shared" si="47"/>
        <v/>
      </c>
      <c r="BG107" s="135" t="str">
        <f t="shared" si="47"/>
        <v/>
      </c>
      <c r="BH107" s="136"/>
      <c r="BI107" s="136"/>
      <c r="BJ107" s="136"/>
      <c r="BK107" s="136"/>
      <c r="BL107" s="137"/>
      <c r="BM107" s="137"/>
      <c r="BP107" s="134" t="str">
        <f>IF(COUNTIF(BP$7:BP106,B107)&gt;0,"",B107)&amp;""</f>
        <v/>
      </c>
      <c r="BQ107" s="138">
        <f t="shared" si="38"/>
        <v>0</v>
      </c>
      <c r="BR107" s="132">
        <f t="shared" si="51"/>
        <v>1</v>
      </c>
      <c r="BS107" s="138">
        <f t="shared" si="40"/>
        <v>0</v>
      </c>
      <c r="BT107" s="132">
        <f t="shared" si="52"/>
        <v>2</v>
      </c>
      <c r="BU107" s="133"/>
      <c r="BV107" s="133"/>
      <c r="BX107" s="1256">
        <v>43100</v>
      </c>
      <c r="BY107" s="165">
        <f>IFERROR(LOOKUP(BX107,基础数据!A:D),1)</f>
        <v>3.53915880885741</v>
      </c>
      <c r="BZ107" s="165">
        <f t="shared" si="48"/>
        <v>1.00524445538375</v>
      </c>
      <c r="CA107" s="165" t="e">
        <f t="shared" si="49"/>
        <v>#VALUE!</v>
      </c>
      <c r="CB107" s="165">
        <f t="shared" si="56"/>
        <v>95</v>
      </c>
      <c r="CC107" s="165" t="e">
        <f t="shared" si="50"/>
        <v>#VALUE!</v>
      </c>
      <c r="CD107" s="1260" t="s">
        <v>2236</v>
      </c>
    </row>
    <row r="108" ht="15" customHeight="1" spans="1:82">
      <c r="A108" s="123" t="str">
        <f>IF(B108="","",COUNT(A$7:A107)+1)</f>
        <v/>
      </c>
      <c r="B108" s="139"/>
      <c r="C108" s="139"/>
      <c r="D108" s="141"/>
      <c r="E108" s="126"/>
      <c r="F108" s="142"/>
      <c r="G108" s="127"/>
      <c r="H108" s="128"/>
      <c r="I108" s="128"/>
      <c r="J108" s="980"/>
      <c r="K108" s="143"/>
      <c r="L108" s="143"/>
      <c r="M108" s="129"/>
      <c r="N108" s="144"/>
      <c r="O108" s="144"/>
      <c r="P108" s="144"/>
      <c r="Q108" s="143"/>
      <c r="R108" s="353" t="str">
        <f t="shared" si="36"/>
        <v/>
      </c>
      <c r="S108" s="129" t="str">
        <f t="shared" si="42"/>
        <v/>
      </c>
      <c r="T108" s="1226" t="str">
        <f t="shared" si="45"/>
        <v/>
      </c>
      <c r="U108" s="1226" t="str">
        <f t="shared" si="46"/>
        <v/>
      </c>
      <c r="V108" s="353" t="str">
        <f t="shared" si="35"/>
        <v/>
      </c>
      <c r="W108" s="129">
        <v>0</v>
      </c>
      <c r="X108" s="129">
        <v>0</v>
      </c>
      <c r="Y108" s="129" t="str">
        <f t="shared" si="43"/>
        <v/>
      </c>
      <c r="Z108" s="129" t="str">
        <f t="shared" si="44"/>
        <v/>
      </c>
      <c r="AA108" s="145"/>
      <c r="BA108" s="78"/>
      <c r="BB108" s="132" t="s">
        <v>2347</v>
      </c>
      <c r="BC108" s="133"/>
      <c r="BD108" s="132" t="str">
        <f>IF(OR(B108="",BC108=""),"",COUNTIF(BC$8:BC108,"√"))</f>
        <v/>
      </c>
      <c r="BE108" s="134" t="str">
        <f t="shared" si="37"/>
        <v/>
      </c>
      <c r="BF108" s="135" t="str">
        <f t="shared" si="47"/>
        <v/>
      </c>
      <c r="BG108" s="135" t="str">
        <f t="shared" si="47"/>
        <v/>
      </c>
      <c r="BH108" s="136"/>
      <c r="BI108" s="136"/>
      <c r="BJ108" s="136"/>
      <c r="BK108" s="136"/>
      <c r="BL108" s="137"/>
      <c r="BM108" s="137"/>
      <c r="BP108" s="134" t="str">
        <f>IF(COUNTIF(BP$7:BP107,B108)&gt;0,"",B108)&amp;""</f>
        <v/>
      </c>
      <c r="BQ108" s="138">
        <f t="shared" si="38"/>
        <v>0</v>
      </c>
      <c r="BR108" s="132">
        <f t="shared" si="51"/>
        <v>1</v>
      </c>
      <c r="BS108" s="138">
        <f t="shared" si="40"/>
        <v>0</v>
      </c>
      <c r="BT108" s="132">
        <f t="shared" si="52"/>
        <v>2</v>
      </c>
      <c r="BU108" s="133"/>
      <c r="BV108" s="133"/>
      <c r="BX108" s="1256">
        <v>43100</v>
      </c>
      <c r="BY108" s="165">
        <f>IFERROR(LOOKUP(BX108,基础数据!A:D),1)</f>
        <v>3.53915880885741</v>
      </c>
      <c r="BZ108" s="165">
        <f t="shared" si="48"/>
        <v>1.00524445538375</v>
      </c>
      <c r="CA108" s="165" t="e">
        <f t="shared" si="49"/>
        <v>#VALUE!</v>
      </c>
      <c r="CB108" s="165">
        <f t="shared" si="56"/>
        <v>95</v>
      </c>
      <c r="CC108" s="165" t="e">
        <f t="shared" si="50"/>
        <v>#VALUE!</v>
      </c>
      <c r="CD108" s="1260" t="s">
        <v>2236</v>
      </c>
    </row>
    <row r="109" ht="15" customHeight="1" spans="1:82">
      <c r="A109" s="123" t="str">
        <f>IF(B109="","",COUNT(A$7:A108)+1)</f>
        <v/>
      </c>
      <c r="B109" s="139"/>
      <c r="C109" s="139"/>
      <c r="D109" s="141"/>
      <c r="E109" s="126"/>
      <c r="F109" s="142"/>
      <c r="G109" s="127"/>
      <c r="H109" s="128"/>
      <c r="I109" s="128"/>
      <c r="J109" s="980"/>
      <c r="K109" s="143"/>
      <c r="L109" s="143"/>
      <c r="M109" s="129"/>
      <c r="N109" s="144"/>
      <c r="O109" s="144"/>
      <c r="P109" s="144"/>
      <c r="Q109" s="143"/>
      <c r="R109" s="353" t="str">
        <f t="shared" si="36"/>
        <v/>
      </c>
      <c r="S109" s="129" t="str">
        <f t="shared" ref="S109:S173" si="57">IFERROR(T109/R109,"")</f>
        <v/>
      </c>
      <c r="T109" s="1226" t="str">
        <f t="shared" si="45"/>
        <v/>
      </c>
      <c r="U109" s="1226" t="str">
        <f t="shared" si="46"/>
        <v/>
      </c>
      <c r="V109" s="353" t="str">
        <f t="shared" si="35"/>
        <v/>
      </c>
      <c r="W109" s="129">
        <v>0</v>
      </c>
      <c r="X109" s="129">
        <v>0</v>
      </c>
      <c r="Y109" s="129" t="str">
        <f t="shared" ref="Y109:Y173" si="58">IFERROR(X109-(T109-U109),"")</f>
        <v/>
      </c>
      <c r="Z109" s="129" t="str">
        <f t="shared" ref="Z109:Z173" si="59">IFERROR(Y109/(T109-U109)*100,"")</f>
        <v/>
      </c>
      <c r="AA109" s="145"/>
      <c r="BA109" s="78"/>
      <c r="BB109" s="132" t="s">
        <v>2348</v>
      </c>
      <c r="BC109" s="133"/>
      <c r="BD109" s="132" t="str">
        <f>IF(OR(B109="",BC109=""),"",COUNTIF(BC$8:BC109,"√"))</f>
        <v/>
      </c>
      <c r="BE109" s="134" t="str">
        <f t="shared" si="37"/>
        <v/>
      </c>
      <c r="BF109" s="135" t="str">
        <f t="shared" si="47"/>
        <v/>
      </c>
      <c r="BG109" s="135" t="str">
        <f t="shared" si="47"/>
        <v/>
      </c>
      <c r="BH109" s="136"/>
      <c r="BI109" s="136"/>
      <c r="BJ109" s="136"/>
      <c r="BK109" s="136"/>
      <c r="BL109" s="137"/>
      <c r="BM109" s="137"/>
      <c r="BP109" s="134" t="str">
        <f>IF(COUNTIF(BP$7:BP108,B109)&gt;0,"",B109)&amp;""</f>
        <v/>
      </c>
      <c r="BQ109" s="138">
        <f t="shared" si="38"/>
        <v>0</v>
      </c>
      <c r="BR109" s="132">
        <f t="shared" si="51"/>
        <v>1</v>
      </c>
      <c r="BS109" s="138">
        <f t="shared" si="40"/>
        <v>0</v>
      </c>
      <c r="BT109" s="132">
        <f t="shared" si="52"/>
        <v>2</v>
      </c>
      <c r="BU109" s="133"/>
      <c r="BV109" s="133"/>
      <c r="BX109" s="1256">
        <v>44908</v>
      </c>
      <c r="BY109" s="165">
        <f>IFERROR(LOOKUP(BX109,基础数据!A:D),1)</f>
        <v>3.84333367100529</v>
      </c>
      <c r="BZ109" s="165">
        <f t="shared" si="48"/>
        <v>0.925685895077611</v>
      </c>
      <c r="CA109" s="165" t="e">
        <f>ROUND(S109*BZ109,1)</f>
        <v>#VALUE!</v>
      </c>
      <c r="CB109" s="165">
        <f t="shared" si="56"/>
        <v>95</v>
      </c>
      <c r="CC109" s="165" t="e">
        <f>ROUND(CB109*CA109/100,1)</f>
        <v>#VALUE!</v>
      </c>
      <c r="CD109" s="1260" t="s">
        <v>2236</v>
      </c>
    </row>
    <row r="110" ht="15" customHeight="1" spans="1:82">
      <c r="A110" s="123" t="str">
        <f>IF(B110="","",COUNT(A$7:A109)+1)</f>
        <v/>
      </c>
      <c r="B110" s="139"/>
      <c r="C110" s="139"/>
      <c r="D110" s="141"/>
      <c r="E110" s="126"/>
      <c r="F110" s="142"/>
      <c r="G110" s="127"/>
      <c r="H110" s="128"/>
      <c r="I110" s="128"/>
      <c r="J110" s="980"/>
      <c r="K110" s="143"/>
      <c r="L110" s="143"/>
      <c r="M110" s="129"/>
      <c r="N110" s="144"/>
      <c r="O110" s="144"/>
      <c r="P110" s="144"/>
      <c r="Q110" s="143"/>
      <c r="R110" s="353" t="str">
        <f t="shared" si="36"/>
        <v/>
      </c>
      <c r="S110" s="129" t="str">
        <f t="shared" si="57"/>
        <v/>
      </c>
      <c r="T110" s="1226" t="str">
        <f t="shared" si="45"/>
        <v/>
      </c>
      <c r="U110" s="1226" t="str">
        <f t="shared" si="46"/>
        <v/>
      </c>
      <c r="V110" s="353" t="str">
        <f t="shared" si="35"/>
        <v/>
      </c>
      <c r="W110" s="129">
        <v>0</v>
      </c>
      <c r="X110" s="129">
        <v>0</v>
      </c>
      <c r="Y110" s="129" t="str">
        <f t="shared" si="58"/>
        <v/>
      </c>
      <c r="Z110" s="129" t="str">
        <f t="shared" si="59"/>
        <v/>
      </c>
      <c r="AA110" s="145"/>
      <c r="BA110" s="78"/>
      <c r="BB110" s="132" t="s">
        <v>2349</v>
      </c>
      <c r="BC110" s="133"/>
      <c r="BD110" s="132" t="str">
        <f>IF(OR(B110="",BC110=""),"",COUNTIF(BC$8:BC110,"√"))</f>
        <v/>
      </c>
      <c r="BE110" s="134" t="str">
        <f t="shared" si="37"/>
        <v/>
      </c>
      <c r="BF110" s="135" t="str">
        <f t="shared" si="47"/>
        <v/>
      </c>
      <c r="BG110" s="135" t="str">
        <f t="shared" si="47"/>
        <v/>
      </c>
      <c r="BH110" s="136"/>
      <c r="BI110" s="136"/>
      <c r="BJ110" s="136"/>
      <c r="BK110" s="136"/>
      <c r="BL110" s="137"/>
      <c r="BM110" s="137"/>
      <c r="BP110" s="134" t="str">
        <f>IF(COUNTIF(BP$7:BP109,B110)&gt;0,"",B110)&amp;""</f>
        <v/>
      </c>
      <c r="BQ110" s="138">
        <f t="shared" si="38"/>
        <v>0</v>
      </c>
      <c r="BR110" s="132">
        <f t="shared" si="51"/>
        <v>1</v>
      </c>
      <c r="BS110" s="138">
        <f t="shared" si="40"/>
        <v>0</v>
      </c>
      <c r="BT110" s="132">
        <f t="shared" si="52"/>
        <v>2</v>
      </c>
      <c r="BU110" s="133"/>
      <c r="BV110" s="133"/>
      <c r="BX110" s="1256">
        <v>44908</v>
      </c>
      <c r="BY110" s="165">
        <f>IFERROR(LOOKUP(BX110,基础数据!A:D),1)</f>
        <v>3.84333367100529</v>
      </c>
      <c r="BZ110" s="165">
        <f t="shared" si="48"/>
        <v>0.925685895077611</v>
      </c>
      <c r="CA110" s="165" t="e">
        <f t="shared" si="49"/>
        <v>#VALUE!</v>
      </c>
      <c r="CB110" s="165">
        <f t="shared" si="56"/>
        <v>95</v>
      </c>
      <c r="CC110" s="165" t="e">
        <f t="shared" si="50"/>
        <v>#VALUE!</v>
      </c>
      <c r="CD110" s="1260" t="s">
        <v>2236</v>
      </c>
    </row>
    <row r="111" ht="15" customHeight="1" spans="1:82">
      <c r="A111" s="123" t="str">
        <f>IF(B111="","",COUNT(A$7:A110)+1)</f>
        <v/>
      </c>
      <c r="B111" s="139"/>
      <c r="C111" s="139"/>
      <c r="D111" s="141"/>
      <c r="E111" s="126"/>
      <c r="F111" s="142"/>
      <c r="G111" s="127"/>
      <c r="H111" s="128"/>
      <c r="I111" s="128"/>
      <c r="J111" s="980"/>
      <c r="K111" s="143"/>
      <c r="L111" s="143"/>
      <c r="M111" s="129"/>
      <c r="N111" s="144"/>
      <c r="O111" s="144"/>
      <c r="P111" s="144"/>
      <c r="Q111" s="143"/>
      <c r="R111" s="353" t="str">
        <f t="shared" si="36"/>
        <v/>
      </c>
      <c r="S111" s="129" t="str">
        <f t="shared" si="57"/>
        <v/>
      </c>
      <c r="T111" s="1226" t="str">
        <f t="shared" si="45"/>
        <v/>
      </c>
      <c r="U111" s="1226" t="str">
        <f t="shared" si="46"/>
        <v/>
      </c>
      <c r="V111" s="353" t="str">
        <f t="shared" si="35"/>
        <v/>
      </c>
      <c r="W111" s="129">
        <v>0</v>
      </c>
      <c r="X111" s="129">
        <v>0</v>
      </c>
      <c r="Y111" s="129" t="str">
        <f t="shared" si="58"/>
        <v/>
      </c>
      <c r="Z111" s="129" t="str">
        <f t="shared" si="59"/>
        <v/>
      </c>
      <c r="AA111" s="145"/>
      <c r="BA111" s="78"/>
      <c r="BB111" s="132" t="s">
        <v>2350</v>
      </c>
      <c r="BC111" s="133"/>
      <c r="BD111" s="132" t="str">
        <f>IF(OR(B111="",BC111=""),"",COUNTIF(BC$8:BC111,"√"))</f>
        <v/>
      </c>
      <c r="BE111" s="134" t="str">
        <f t="shared" si="37"/>
        <v/>
      </c>
      <c r="BF111" s="135" t="str">
        <f t="shared" si="47"/>
        <v/>
      </c>
      <c r="BG111" s="135" t="str">
        <f t="shared" si="47"/>
        <v/>
      </c>
      <c r="BH111" s="136"/>
      <c r="BI111" s="136"/>
      <c r="BJ111" s="136"/>
      <c r="BK111" s="136"/>
      <c r="BL111" s="137"/>
      <c r="BM111" s="137"/>
      <c r="BP111" s="134" t="str">
        <f>IF(COUNTIF(BP$7:BP110,B111)&gt;0,"",B111)&amp;""</f>
        <v/>
      </c>
      <c r="BQ111" s="138">
        <f t="shared" si="38"/>
        <v>0</v>
      </c>
      <c r="BR111" s="132">
        <f t="shared" si="51"/>
        <v>1</v>
      </c>
      <c r="BS111" s="138">
        <f t="shared" si="40"/>
        <v>0</v>
      </c>
      <c r="BT111" s="132">
        <f t="shared" si="52"/>
        <v>2</v>
      </c>
      <c r="BU111" s="133"/>
      <c r="BV111" s="133"/>
      <c r="BX111" s="1256">
        <v>44908</v>
      </c>
      <c r="BY111" s="165">
        <f>IFERROR(LOOKUP(BX111,基础数据!A:D),1)</f>
        <v>3.84333367100529</v>
      </c>
      <c r="BZ111" s="165">
        <f t="shared" si="48"/>
        <v>0.925685895077611</v>
      </c>
      <c r="CA111" s="165" t="e">
        <f t="shared" si="49"/>
        <v>#VALUE!</v>
      </c>
      <c r="CB111" s="165">
        <f t="shared" si="56"/>
        <v>95</v>
      </c>
      <c r="CC111" s="165" t="e">
        <f t="shared" si="50"/>
        <v>#VALUE!</v>
      </c>
      <c r="CD111" s="1260" t="s">
        <v>2236</v>
      </c>
    </row>
    <row r="112" ht="15" customHeight="1" spans="1:82">
      <c r="A112" s="123" t="str">
        <f>IF(B112="","",COUNT(A$7:A111)+1)</f>
        <v/>
      </c>
      <c r="B112" s="139"/>
      <c r="C112" s="139"/>
      <c r="D112" s="141"/>
      <c r="E112" s="126"/>
      <c r="F112" s="142"/>
      <c r="G112" s="127"/>
      <c r="H112" s="128"/>
      <c r="I112" s="128"/>
      <c r="J112" s="980"/>
      <c r="K112" s="143"/>
      <c r="L112" s="143"/>
      <c r="M112" s="129"/>
      <c r="N112" s="144"/>
      <c r="O112" s="144"/>
      <c r="P112" s="144"/>
      <c r="Q112" s="143"/>
      <c r="R112" s="353" t="str">
        <f t="shared" si="36"/>
        <v/>
      </c>
      <c r="S112" s="129" t="str">
        <f t="shared" si="57"/>
        <v/>
      </c>
      <c r="T112" s="1226" t="str">
        <f t="shared" si="45"/>
        <v/>
      </c>
      <c r="U112" s="1226" t="str">
        <f t="shared" si="46"/>
        <v/>
      </c>
      <c r="V112" s="353" t="str">
        <f t="shared" si="35"/>
        <v/>
      </c>
      <c r="W112" s="129">
        <v>0</v>
      </c>
      <c r="X112" s="129">
        <v>0</v>
      </c>
      <c r="Y112" s="129" t="str">
        <f t="shared" si="58"/>
        <v/>
      </c>
      <c r="Z112" s="129" t="str">
        <f t="shared" si="59"/>
        <v/>
      </c>
      <c r="AA112" s="145"/>
      <c r="BA112" s="78"/>
      <c r="BB112" s="132" t="s">
        <v>2351</v>
      </c>
      <c r="BC112" s="133"/>
      <c r="BD112" s="132" t="str">
        <f>IF(OR(B112="",BC112=""),"",COUNTIF(BC$8:BC112,"√"))</f>
        <v/>
      </c>
      <c r="BE112" s="134" t="str">
        <f t="shared" si="37"/>
        <v/>
      </c>
      <c r="BF112" s="135" t="str">
        <f t="shared" si="47"/>
        <v/>
      </c>
      <c r="BG112" s="135" t="str">
        <f t="shared" si="47"/>
        <v/>
      </c>
      <c r="BH112" s="136"/>
      <c r="BI112" s="136"/>
      <c r="BJ112" s="136"/>
      <c r="BK112" s="136"/>
      <c r="BL112" s="137"/>
      <c r="BM112" s="137"/>
      <c r="BP112" s="134" t="str">
        <f>IF(COUNTIF(BP$7:BP111,B112)&gt;0,"",B112)&amp;""</f>
        <v/>
      </c>
      <c r="BQ112" s="138">
        <f t="shared" si="38"/>
        <v>0</v>
      </c>
      <c r="BR112" s="132">
        <f t="shared" si="51"/>
        <v>1</v>
      </c>
      <c r="BS112" s="138">
        <f t="shared" si="40"/>
        <v>0</v>
      </c>
      <c r="BT112" s="132">
        <f t="shared" si="52"/>
        <v>2</v>
      </c>
      <c r="BU112" s="133"/>
      <c r="BV112" s="133"/>
      <c r="BX112" s="1256">
        <v>43100</v>
      </c>
      <c r="BY112" s="165">
        <f>IFERROR(LOOKUP(BX112,基础数据!A:D),1)</f>
        <v>3.53915880885741</v>
      </c>
      <c r="BZ112" s="165">
        <f t="shared" si="48"/>
        <v>1.00524445538375</v>
      </c>
      <c r="CA112" s="165" t="e">
        <f t="shared" si="49"/>
        <v>#VALUE!</v>
      </c>
      <c r="CB112" s="165">
        <f t="shared" si="56"/>
        <v>95</v>
      </c>
      <c r="CC112" s="165" t="e">
        <f t="shared" si="50"/>
        <v>#VALUE!</v>
      </c>
      <c r="CD112" s="1260" t="s">
        <v>2236</v>
      </c>
    </row>
    <row r="113" ht="15" customHeight="1" spans="1:82">
      <c r="A113" s="123" t="str">
        <f>IF(B113="","",COUNT(A$7:A112)+1)</f>
        <v/>
      </c>
      <c r="B113" s="139"/>
      <c r="C113" s="139"/>
      <c r="D113" s="141"/>
      <c r="E113" s="126"/>
      <c r="F113" s="142"/>
      <c r="G113" s="127"/>
      <c r="H113" s="128"/>
      <c r="I113" s="128"/>
      <c r="J113" s="980"/>
      <c r="K113" s="143"/>
      <c r="L113" s="143"/>
      <c r="M113" s="129"/>
      <c r="N113" s="144"/>
      <c r="O113" s="144"/>
      <c r="P113" s="144"/>
      <c r="Q113" s="143"/>
      <c r="R113" s="353" t="str">
        <f t="shared" si="36"/>
        <v/>
      </c>
      <c r="S113" s="129" t="str">
        <f t="shared" si="57"/>
        <v/>
      </c>
      <c r="T113" s="1226" t="str">
        <f t="shared" si="45"/>
        <v/>
      </c>
      <c r="U113" s="1226" t="str">
        <f t="shared" si="46"/>
        <v/>
      </c>
      <c r="V113" s="353" t="str">
        <f t="shared" si="35"/>
        <v/>
      </c>
      <c r="W113" s="129">
        <v>0</v>
      </c>
      <c r="X113" s="129">
        <v>0</v>
      </c>
      <c r="Y113" s="129" t="str">
        <f t="shared" si="58"/>
        <v/>
      </c>
      <c r="Z113" s="129" t="str">
        <f t="shared" si="59"/>
        <v/>
      </c>
      <c r="AA113" s="145"/>
      <c r="BA113" s="78"/>
      <c r="BB113" s="132" t="s">
        <v>2352</v>
      </c>
      <c r="BC113" s="133"/>
      <c r="BD113" s="132" t="str">
        <f>IF(OR(B113="",BC113=""),"",COUNTIF(BC$8:BC113,"√"))</f>
        <v/>
      </c>
      <c r="BE113" s="134" t="str">
        <f t="shared" si="37"/>
        <v/>
      </c>
      <c r="BF113" s="135" t="str">
        <f t="shared" si="47"/>
        <v/>
      </c>
      <c r="BG113" s="135" t="str">
        <f t="shared" si="47"/>
        <v/>
      </c>
      <c r="BH113" s="136"/>
      <c r="BI113" s="136"/>
      <c r="BJ113" s="136"/>
      <c r="BK113" s="136"/>
      <c r="BL113" s="137"/>
      <c r="BM113" s="137"/>
      <c r="BP113" s="134" t="str">
        <f>IF(COUNTIF(BP$7:BP112,B113)&gt;0,"",B113)&amp;""</f>
        <v/>
      </c>
      <c r="BQ113" s="138">
        <f t="shared" si="38"/>
        <v>0</v>
      </c>
      <c r="BR113" s="132">
        <f t="shared" si="51"/>
        <v>1</v>
      </c>
      <c r="BS113" s="138">
        <f t="shared" si="40"/>
        <v>0</v>
      </c>
      <c r="BT113" s="132">
        <f t="shared" si="52"/>
        <v>2</v>
      </c>
      <c r="BU113" s="133"/>
      <c r="BV113" s="133"/>
      <c r="BX113" s="1256">
        <v>43100</v>
      </c>
      <c r="BY113" s="165">
        <f>IFERROR(LOOKUP(BX113,基础数据!A:D),1)</f>
        <v>3.53915880885741</v>
      </c>
      <c r="BZ113" s="165">
        <f t="shared" si="48"/>
        <v>1.00524445538375</v>
      </c>
      <c r="CA113" s="165" t="e">
        <f>ROUND(S113*BZ113,1)</f>
        <v>#VALUE!</v>
      </c>
      <c r="CB113" s="165">
        <f t="shared" si="56"/>
        <v>95</v>
      </c>
      <c r="CC113" s="165" t="e">
        <f>ROUND(CB113*CA113/100,1)</f>
        <v>#VALUE!</v>
      </c>
      <c r="CD113" s="1260" t="s">
        <v>2236</v>
      </c>
    </row>
    <row r="114" ht="15" customHeight="1" spans="1:82">
      <c r="A114" s="123" t="str">
        <f>IF(B114="","",COUNT(A$7:A113)+1)</f>
        <v/>
      </c>
      <c r="B114" s="139"/>
      <c r="C114" s="139"/>
      <c r="D114" s="141"/>
      <c r="E114" s="126"/>
      <c r="F114" s="142"/>
      <c r="G114" s="127"/>
      <c r="H114" s="128"/>
      <c r="I114" s="128"/>
      <c r="J114" s="980"/>
      <c r="K114" s="143"/>
      <c r="L114" s="143"/>
      <c r="M114" s="129"/>
      <c r="N114" s="144"/>
      <c r="O114" s="144"/>
      <c r="P114" s="144"/>
      <c r="Q114" s="143"/>
      <c r="R114" s="353" t="str">
        <f t="shared" si="36"/>
        <v/>
      </c>
      <c r="S114" s="129" t="str">
        <f t="shared" si="57"/>
        <v/>
      </c>
      <c r="T114" s="1226" t="str">
        <f t="shared" si="45"/>
        <v/>
      </c>
      <c r="U114" s="1226" t="str">
        <f t="shared" si="46"/>
        <v/>
      </c>
      <c r="V114" s="353" t="str">
        <f t="shared" si="35"/>
        <v/>
      </c>
      <c r="W114" s="129">
        <v>0</v>
      </c>
      <c r="X114" s="129">
        <v>0</v>
      </c>
      <c r="Y114" s="129" t="str">
        <f t="shared" si="58"/>
        <v/>
      </c>
      <c r="Z114" s="129" t="str">
        <f t="shared" si="59"/>
        <v/>
      </c>
      <c r="AA114" s="145"/>
      <c r="BA114" s="78"/>
      <c r="BB114" s="132" t="s">
        <v>2353</v>
      </c>
      <c r="BC114" s="133"/>
      <c r="BD114" s="132" t="str">
        <f>IF(OR(B114="",BC114=""),"",COUNTIF(BC$8:BC114,"√"))</f>
        <v/>
      </c>
      <c r="BE114" s="134" t="str">
        <f t="shared" si="37"/>
        <v/>
      </c>
      <c r="BF114" s="135" t="str">
        <f t="shared" si="47"/>
        <v/>
      </c>
      <c r="BG114" s="135" t="str">
        <f t="shared" si="47"/>
        <v/>
      </c>
      <c r="BH114" s="136"/>
      <c r="BI114" s="136"/>
      <c r="BJ114" s="136"/>
      <c r="BK114" s="136"/>
      <c r="BL114" s="137"/>
      <c r="BM114" s="137"/>
      <c r="BP114" s="134" t="str">
        <f>IF(COUNTIF(BP$7:BP113,B114)&gt;0,"",B114)&amp;""</f>
        <v/>
      </c>
      <c r="BQ114" s="138">
        <f t="shared" si="38"/>
        <v>0</v>
      </c>
      <c r="BR114" s="132">
        <f t="shared" si="51"/>
        <v>1</v>
      </c>
      <c r="BS114" s="138">
        <f t="shared" si="40"/>
        <v>0</v>
      </c>
      <c r="BT114" s="132">
        <f t="shared" si="52"/>
        <v>2</v>
      </c>
      <c r="BU114" s="133"/>
      <c r="BV114" s="133"/>
      <c r="BX114" s="1256">
        <v>43100</v>
      </c>
      <c r="BY114" s="165">
        <f>IFERROR(LOOKUP(BX114,基础数据!A:D),1)</f>
        <v>3.53915880885741</v>
      </c>
      <c r="BZ114" s="165">
        <f t="shared" si="48"/>
        <v>1.00524445538375</v>
      </c>
      <c r="CA114" s="165" t="e">
        <f t="shared" si="49"/>
        <v>#VALUE!</v>
      </c>
      <c r="CB114" s="165">
        <f t="shared" si="56"/>
        <v>95</v>
      </c>
      <c r="CC114" s="165" t="e">
        <f t="shared" si="50"/>
        <v>#VALUE!</v>
      </c>
      <c r="CD114" s="1260" t="s">
        <v>2236</v>
      </c>
    </row>
    <row r="115" ht="15" customHeight="1" spans="1:82">
      <c r="A115" s="123" t="str">
        <f>IF(B115="","",COUNT(A$7:A114)+1)</f>
        <v/>
      </c>
      <c r="B115" s="139"/>
      <c r="C115" s="139"/>
      <c r="D115" s="141"/>
      <c r="E115" s="126"/>
      <c r="F115" s="142"/>
      <c r="G115" s="127"/>
      <c r="H115" s="128"/>
      <c r="I115" s="128"/>
      <c r="J115" s="980"/>
      <c r="K115" s="143"/>
      <c r="L115" s="143"/>
      <c r="M115" s="129"/>
      <c r="N115" s="144"/>
      <c r="O115" s="144"/>
      <c r="P115" s="144"/>
      <c r="Q115" s="143"/>
      <c r="R115" s="353" t="str">
        <f t="shared" si="36"/>
        <v/>
      </c>
      <c r="S115" s="129" t="str">
        <f t="shared" si="57"/>
        <v/>
      </c>
      <c r="T115" s="1226" t="str">
        <f t="shared" si="45"/>
        <v/>
      </c>
      <c r="U115" s="1226" t="str">
        <f t="shared" si="46"/>
        <v/>
      </c>
      <c r="V115" s="353" t="str">
        <f t="shared" si="35"/>
        <v/>
      </c>
      <c r="W115" s="129">
        <v>0</v>
      </c>
      <c r="X115" s="129">
        <v>0</v>
      </c>
      <c r="Y115" s="129" t="str">
        <f t="shared" si="58"/>
        <v/>
      </c>
      <c r="Z115" s="129" t="str">
        <f t="shared" si="59"/>
        <v/>
      </c>
      <c r="AA115" s="145"/>
      <c r="BA115" s="78"/>
      <c r="BB115" s="132" t="s">
        <v>2354</v>
      </c>
      <c r="BC115" s="133"/>
      <c r="BD115" s="132" t="str">
        <f>IF(OR(B115="",BC115=""),"",COUNTIF(BC$8:BC115,"√"))</f>
        <v/>
      </c>
      <c r="BE115" s="134" t="str">
        <f t="shared" si="37"/>
        <v/>
      </c>
      <c r="BF115" s="135" t="str">
        <f t="shared" si="47"/>
        <v/>
      </c>
      <c r="BG115" s="135" t="str">
        <f t="shared" si="47"/>
        <v/>
      </c>
      <c r="BH115" s="136"/>
      <c r="BI115" s="136"/>
      <c r="BJ115" s="136"/>
      <c r="BK115" s="136"/>
      <c r="BL115" s="137"/>
      <c r="BM115" s="137"/>
      <c r="BP115" s="134" t="str">
        <f>IF(COUNTIF(BP$7:BP114,B115)&gt;0,"",B115)&amp;""</f>
        <v/>
      </c>
      <c r="BQ115" s="138">
        <f t="shared" si="38"/>
        <v>0</v>
      </c>
      <c r="BR115" s="132">
        <f t="shared" si="51"/>
        <v>1</v>
      </c>
      <c r="BS115" s="138">
        <f t="shared" si="40"/>
        <v>0</v>
      </c>
      <c r="BT115" s="132">
        <f t="shared" si="52"/>
        <v>2</v>
      </c>
      <c r="BU115" s="133"/>
      <c r="BV115" s="133"/>
      <c r="BX115" s="1256">
        <v>43100</v>
      </c>
      <c r="BY115" s="165">
        <f>IFERROR(LOOKUP(BX115,基础数据!A:D),1)</f>
        <v>3.53915880885741</v>
      </c>
      <c r="BZ115" s="165">
        <f t="shared" si="48"/>
        <v>1.00524445538375</v>
      </c>
      <c r="CA115" s="165" t="e">
        <f t="shared" si="49"/>
        <v>#VALUE!</v>
      </c>
      <c r="CB115" s="165">
        <f t="shared" si="56"/>
        <v>95</v>
      </c>
      <c r="CC115" s="165" t="e">
        <f t="shared" si="50"/>
        <v>#VALUE!</v>
      </c>
      <c r="CD115" s="1260" t="s">
        <v>2236</v>
      </c>
    </row>
    <row r="116" ht="15" customHeight="1" spans="1:82">
      <c r="A116" s="123" t="str">
        <f>IF(B116="","",COUNT(A$7:A115)+1)</f>
        <v/>
      </c>
      <c r="B116" s="139"/>
      <c r="C116" s="139"/>
      <c r="D116" s="141"/>
      <c r="E116" s="126"/>
      <c r="F116" s="142"/>
      <c r="G116" s="127"/>
      <c r="H116" s="128"/>
      <c r="I116" s="128"/>
      <c r="J116" s="980"/>
      <c r="K116" s="143"/>
      <c r="L116" s="143"/>
      <c r="M116" s="129"/>
      <c r="N116" s="144"/>
      <c r="O116" s="144"/>
      <c r="P116" s="144"/>
      <c r="Q116" s="143"/>
      <c r="R116" s="353" t="str">
        <f t="shared" si="36"/>
        <v/>
      </c>
      <c r="S116" s="129" t="str">
        <f t="shared" si="57"/>
        <v/>
      </c>
      <c r="T116" s="1226" t="str">
        <f t="shared" si="45"/>
        <v/>
      </c>
      <c r="U116" s="1226" t="str">
        <f t="shared" si="46"/>
        <v/>
      </c>
      <c r="V116" s="353" t="str">
        <f t="shared" si="35"/>
        <v/>
      </c>
      <c r="W116" s="129">
        <v>0</v>
      </c>
      <c r="X116" s="129">
        <v>0</v>
      </c>
      <c r="Y116" s="129" t="str">
        <f t="shared" si="58"/>
        <v/>
      </c>
      <c r="Z116" s="129" t="str">
        <f t="shared" si="59"/>
        <v/>
      </c>
      <c r="AA116" s="145"/>
      <c r="BA116" s="78"/>
      <c r="BB116" s="132" t="s">
        <v>2355</v>
      </c>
      <c r="BC116" s="133"/>
      <c r="BD116" s="132" t="str">
        <f>IF(OR(B116="",BC116=""),"",COUNTIF(BC$8:BC116,"√"))</f>
        <v/>
      </c>
      <c r="BE116" s="134" t="str">
        <f t="shared" si="37"/>
        <v/>
      </c>
      <c r="BF116" s="135" t="str">
        <f t="shared" si="47"/>
        <v/>
      </c>
      <c r="BG116" s="135" t="str">
        <f t="shared" si="47"/>
        <v/>
      </c>
      <c r="BH116" s="136"/>
      <c r="BI116" s="136"/>
      <c r="BJ116" s="136"/>
      <c r="BK116" s="136"/>
      <c r="BL116" s="137"/>
      <c r="BM116" s="137"/>
      <c r="BP116" s="134" t="str">
        <f>IF(COUNTIF(BP$7:BP115,B116)&gt;0,"",B116)&amp;""</f>
        <v/>
      </c>
      <c r="BQ116" s="138">
        <f t="shared" si="38"/>
        <v>0</v>
      </c>
      <c r="BR116" s="132">
        <f t="shared" si="51"/>
        <v>1</v>
      </c>
      <c r="BS116" s="138">
        <f t="shared" si="40"/>
        <v>0</v>
      </c>
      <c r="BT116" s="132">
        <f t="shared" si="52"/>
        <v>2</v>
      </c>
      <c r="BU116" s="133"/>
      <c r="BV116" s="133"/>
      <c r="BX116" s="1256">
        <v>43100</v>
      </c>
      <c r="BY116" s="165">
        <f>IFERROR(LOOKUP(BX116,基础数据!A:D),1)</f>
        <v>3.53915880885741</v>
      </c>
      <c r="BZ116" s="165">
        <f t="shared" si="48"/>
        <v>1.00524445538375</v>
      </c>
      <c r="CA116" s="165" t="e">
        <f t="shared" si="49"/>
        <v>#VALUE!</v>
      </c>
      <c r="CB116" s="165">
        <f t="shared" si="56"/>
        <v>95</v>
      </c>
      <c r="CC116" s="165" t="e">
        <f t="shared" si="50"/>
        <v>#VALUE!</v>
      </c>
      <c r="CD116" s="1260" t="s">
        <v>2236</v>
      </c>
    </row>
    <row r="117" ht="15" customHeight="1" spans="1:82">
      <c r="A117" s="123" t="str">
        <f>IF(B117="","",COUNT(A$7:A116)+1)</f>
        <v/>
      </c>
      <c r="B117" s="139"/>
      <c r="C117" s="139"/>
      <c r="D117" s="141"/>
      <c r="E117" s="126"/>
      <c r="F117" s="142"/>
      <c r="G117" s="127"/>
      <c r="H117" s="128"/>
      <c r="I117" s="128"/>
      <c r="J117" s="980"/>
      <c r="K117" s="143"/>
      <c r="L117" s="143"/>
      <c r="M117" s="129"/>
      <c r="N117" s="144"/>
      <c r="O117" s="144"/>
      <c r="P117" s="144"/>
      <c r="Q117" s="143"/>
      <c r="R117" s="353" t="str">
        <f t="shared" si="36"/>
        <v/>
      </c>
      <c r="S117" s="129" t="str">
        <f t="shared" si="57"/>
        <v/>
      </c>
      <c r="T117" s="1226" t="str">
        <f t="shared" si="45"/>
        <v/>
      </c>
      <c r="U117" s="1226" t="str">
        <f t="shared" si="46"/>
        <v/>
      </c>
      <c r="V117" s="353" t="str">
        <f t="shared" si="35"/>
        <v/>
      </c>
      <c r="W117" s="129">
        <v>0</v>
      </c>
      <c r="X117" s="129">
        <v>0</v>
      </c>
      <c r="Y117" s="129" t="str">
        <f t="shared" si="58"/>
        <v/>
      </c>
      <c r="Z117" s="129" t="str">
        <f t="shared" si="59"/>
        <v/>
      </c>
      <c r="AA117" s="145"/>
      <c r="BA117" s="78"/>
      <c r="BB117" s="132" t="s">
        <v>2356</v>
      </c>
      <c r="BC117" s="133"/>
      <c r="BD117" s="132" t="str">
        <f>IF(OR(B117="",BC117=""),"",COUNTIF(BC$8:BC117,"√"))</f>
        <v/>
      </c>
      <c r="BE117" s="134" t="str">
        <f t="shared" si="37"/>
        <v/>
      </c>
      <c r="BF117" s="135" t="str">
        <f t="shared" si="47"/>
        <v/>
      </c>
      <c r="BG117" s="135" t="str">
        <f t="shared" si="47"/>
        <v/>
      </c>
      <c r="BH117" s="136"/>
      <c r="BI117" s="136"/>
      <c r="BJ117" s="136"/>
      <c r="BK117" s="136"/>
      <c r="BL117" s="137"/>
      <c r="BM117" s="137"/>
      <c r="BP117" s="134" t="str">
        <f>IF(COUNTIF(BP$7:BP116,B117)&gt;0,"",B117)&amp;""</f>
        <v/>
      </c>
      <c r="BQ117" s="138">
        <f t="shared" si="38"/>
        <v>0</v>
      </c>
      <c r="BR117" s="132">
        <f t="shared" si="51"/>
        <v>1</v>
      </c>
      <c r="BS117" s="138">
        <f t="shared" si="40"/>
        <v>0</v>
      </c>
      <c r="BT117" s="132">
        <f t="shared" si="52"/>
        <v>2</v>
      </c>
      <c r="BU117" s="133"/>
      <c r="BV117" s="133"/>
      <c r="BX117" s="1256">
        <v>44908</v>
      </c>
      <c r="BY117" s="165">
        <f>IFERROR(LOOKUP(BX117,基础数据!A:D),1)</f>
        <v>3.84333367100529</v>
      </c>
      <c r="BZ117" s="165">
        <f t="shared" si="48"/>
        <v>0.925685895077611</v>
      </c>
      <c r="CA117" s="165" t="e">
        <f t="shared" si="49"/>
        <v>#VALUE!</v>
      </c>
      <c r="CB117" s="165">
        <f t="shared" si="56"/>
        <v>95</v>
      </c>
      <c r="CC117" s="165" t="e">
        <f t="shared" si="50"/>
        <v>#VALUE!</v>
      </c>
      <c r="CD117" s="1260" t="s">
        <v>2236</v>
      </c>
    </row>
    <row r="118" ht="15" customHeight="1" spans="1:82">
      <c r="A118" s="123" t="str">
        <f>IF(B118="","",COUNT(A$7:A117)+1)</f>
        <v/>
      </c>
      <c r="B118" s="139"/>
      <c r="C118" s="139"/>
      <c r="D118" s="141"/>
      <c r="E118" s="126"/>
      <c r="F118" s="142"/>
      <c r="G118" s="127"/>
      <c r="H118" s="128"/>
      <c r="I118" s="128"/>
      <c r="J118" s="980"/>
      <c r="K118" s="143"/>
      <c r="L118" s="143"/>
      <c r="M118" s="129"/>
      <c r="N118" s="144"/>
      <c r="O118" s="144"/>
      <c r="P118" s="144"/>
      <c r="Q118" s="143"/>
      <c r="R118" s="353" t="str">
        <f t="shared" si="36"/>
        <v/>
      </c>
      <c r="S118" s="129" t="str">
        <f t="shared" si="57"/>
        <v/>
      </c>
      <c r="T118" s="1226" t="str">
        <f t="shared" si="45"/>
        <v/>
      </c>
      <c r="U118" s="1226" t="str">
        <f t="shared" si="46"/>
        <v/>
      </c>
      <c r="V118" s="353" t="str">
        <f t="shared" si="35"/>
        <v/>
      </c>
      <c r="W118" s="129">
        <v>0</v>
      </c>
      <c r="X118" s="129">
        <v>0</v>
      </c>
      <c r="Y118" s="129" t="str">
        <f t="shared" si="58"/>
        <v/>
      </c>
      <c r="Z118" s="129" t="str">
        <f t="shared" si="59"/>
        <v/>
      </c>
      <c r="AA118" s="145"/>
      <c r="BA118" s="78"/>
      <c r="BB118" s="132" t="s">
        <v>2357</v>
      </c>
      <c r="BC118" s="133"/>
      <c r="BD118" s="132" t="str">
        <f>IF(OR(B118="",BC118=""),"",COUNTIF(BC$8:BC118,"√"))</f>
        <v/>
      </c>
      <c r="BE118" s="134" t="str">
        <f t="shared" si="37"/>
        <v/>
      </c>
      <c r="BF118" s="135" t="str">
        <f t="shared" si="47"/>
        <v/>
      </c>
      <c r="BG118" s="135" t="str">
        <f t="shared" si="47"/>
        <v/>
      </c>
      <c r="BH118" s="136"/>
      <c r="BI118" s="136"/>
      <c r="BJ118" s="136"/>
      <c r="BK118" s="136"/>
      <c r="BL118" s="137"/>
      <c r="BM118" s="137"/>
      <c r="BP118" s="134" t="str">
        <f>IF(COUNTIF(BP$7:BP117,B118)&gt;0,"",B118)&amp;""</f>
        <v/>
      </c>
      <c r="BQ118" s="138">
        <f t="shared" si="38"/>
        <v>0</v>
      </c>
      <c r="BR118" s="132">
        <f t="shared" si="51"/>
        <v>1</v>
      </c>
      <c r="BS118" s="138">
        <f t="shared" si="40"/>
        <v>0</v>
      </c>
      <c r="BT118" s="132">
        <f t="shared" si="52"/>
        <v>2</v>
      </c>
      <c r="BU118" s="133"/>
      <c r="BV118" s="133"/>
      <c r="BX118" s="1256">
        <v>43100</v>
      </c>
      <c r="BY118" s="165">
        <f>IFERROR(LOOKUP(BX118,基础数据!A:D),1)</f>
        <v>3.53915880885741</v>
      </c>
      <c r="BZ118" s="165">
        <f t="shared" si="48"/>
        <v>1.00524445538375</v>
      </c>
      <c r="CA118" s="165" t="e">
        <f t="shared" si="49"/>
        <v>#VALUE!</v>
      </c>
      <c r="CB118" s="165">
        <f t="shared" si="56"/>
        <v>95</v>
      </c>
      <c r="CC118" s="165" t="e">
        <f t="shared" si="50"/>
        <v>#VALUE!</v>
      </c>
      <c r="CD118" s="1260" t="s">
        <v>2236</v>
      </c>
    </row>
    <row r="119" ht="15" customHeight="1" spans="1:82">
      <c r="A119" s="123" t="str">
        <f>IF(B119="","",COUNT(A$7:A118)+1)</f>
        <v/>
      </c>
      <c r="B119" s="139"/>
      <c r="C119" s="139"/>
      <c r="D119" s="141"/>
      <c r="E119" s="126"/>
      <c r="F119" s="142"/>
      <c r="G119" s="127"/>
      <c r="H119" s="128"/>
      <c r="I119" s="128"/>
      <c r="J119" s="980"/>
      <c r="K119" s="143"/>
      <c r="L119" s="143"/>
      <c r="M119" s="129"/>
      <c r="N119" s="144"/>
      <c r="O119" s="144"/>
      <c r="P119" s="144"/>
      <c r="Q119" s="143"/>
      <c r="R119" s="353" t="str">
        <f t="shared" si="36"/>
        <v/>
      </c>
      <c r="S119" s="129" t="str">
        <f t="shared" si="57"/>
        <v/>
      </c>
      <c r="T119" s="1226" t="str">
        <f t="shared" si="45"/>
        <v/>
      </c>
      <c r="U119" s="1226" t="str">
        <f t="shared" si="46"/>
        <v/>
      </c>
      <c r="V119" s="353" t="str">
        <f t="shared" si="35"/>
        <v/>
      </c>
      <c r="W119" s="129">
        <v>0</v>
      </c>
      <c r="X119" s="129">
        <v>0</v>
      </c>
      <c r="Y119" s="129" t="str">
        <f t="shared" si="58"/>
        <v/>
      </c>
      <c r="Z119" s="129" t="str">
        <f t="shared" si="59"/>
        <v/>
      </c>
      <c r="AA119" s="145"/>
      <c r="BA119" s="78"/>
      <c r="BB119" s="132" t="s">
        <v>2358</v>
      </c>
      <c r="BC119" s="133"/>
      <c r="BD119" s="132" t="str">
        <f>IF(OR(B119="",BC119=""),"",COUNTIF(BC$8:BC119,"√"))</f>
        <v/>
      </c>
      <c r="BE119" s="134" t="str">
        <f t="shared" si="37"/>
        <v/>
      </c>
      <c r="BF119" s="135" t="str">
        <f t="shared" si="47"/>
        <v/>
      </c>
      <c r="BG119" s="135" t="str">
        <f t="shared" si="47"/>
        <v/>
      </c>
      <c r="BH119" s="136"/>
      <c r="BI119" s="136"/>
      <c r="BJ119" s="136"/>
      <c r="BK119" s="136"/>
      <c r="BL119" s="137"/>
      <c r="BM119" s="137"/>
      <c r="BP119" s="134" t="str">
        <f>IF(COUNTIF(BP$7:BP118,B119)&gt;0,"",B119)&amp;""</f>
        <v/>
      </c>
      <c r="BQ119" s="138">
        <f t="shared" si="38"/>
        <v>0</v>
      </c>
      <c r="BR119" s="132">
        <f t="shared" si="51"/>
        <v>1</v>
      </c>
      <c r="BS119" s="138">
        <f t="shared" si="40"/>
        <v>0</v>
      </c>
      <c r="BT119" s="132">
        <f t="shared" si="52"/>
        <v>2</v>
      </c>
      <c r="BU119" s="133"/>
      <c r="BV119" s="133"/>
      <c r="BX119" s="1256">
        <v>43100</v>
      </c>
      <c r="BY119" s="165">
        <f>IFERROR(LOOKUP(BX119,基础数据!A:D),1)</f>
        <v>3.53915880885741</v>
      </c>
      <c r="BZ119" s="165">
        <f t="shared" si="48"/>
        <v>1.00524445538375</v>
      </c>
      <c r="CA119" s="165" t="e">
        <f t="shared" si="49"/>
        <v>#VALUE!</v>
      </c>
      <c r="CB119" s="165">
        <f t="shared" si="56"/>
        <v>95</v>
      </c>
      <c r="CC119" s="165" t="e">
        <f t="shared" si="50"/>
        <v>#VALUE!</v>
      </c>
      <c r="CD119" s="1260" t="s">
        <v>2236</v>
      </c>
    </row>
    <row r="120" ht="15" customHeight="1" spans="1:82">
      <c r="A120" s="123" t="str">
        <f>IF(B120="","",COUNT(A$7:A119)+1)</f>
        <v/>
      </c>
      <c r="B120" s="139"/>
      <c r="C120" s="139"/>
      <c r="D120" s="141"/>
      <c r="E120" s="126"/>
      <c r="F120" s="142"/>
      <c r="G120" s="127"/>
      <c r="H120" s="128"/>
      <c r="I120" s="128"/>
      <c r="J120" s="980"/>
      <c r="K120" s="143"/>
      <c r="L120" s="143"/>
      <c r="M120" s="129"/>
      <c r="N120" s="144"/>
      <c r="O120" s="144"/>
      <c r="P120" s="144"/>
      <c r="Q120" s="143"/>
      <c r="R120" s="353" t="str">
        <f t="shared" si="36"/>
        <v/>
      </c>
      <c r="S120" s="129" t="str">
        <f t="shared" si="57"/>
        <v/>
      </c>
      <c r="T120" s="1226" t="str">
        <f t="shared" si="45"/>
        <v/>
      </c>
      <c r="U120" s="1226" t="str">
        <f t="shared" si="46"/>
        <v/>
      </c>
      <c r="V120" s="353" t="str">
        <f t="shared" si="35"/>
        <v/>
      </c>
      <c r="W120" s="129">
        <v>0</v>
      </c>
      <c r="X120" s="129">
        <v>0</v>
      </c>
      <c r="Y120" s="129" t="str">
        <f t="shared" si="58"/>
        <v/>
      </c>
      <c r="Z120" s="129" t="str">
        <f t="shared" si="59"/>
        <v/>
      </c>
      <c r="AA120" s="145"/>
      <c r="BA120" s="78"/>
      <c r="BB120" s="132" t="s">
        <v>2359</v>
      </c>
      <c r="BC120" s="133"/>
      <c r="BD120" s="132" t="str">
        <f>IF(OR(B120="",BC120=""),"",COUNTIF(BC$8:BC120,"√"))</f>
        <v/>
      </c>
      <c r="BE120" s="134" t="str">
        <f t="shared" si="37"/>
        <v/>
      </c>
      <c r="BF120" s="135" t="str">
        <f t="shared" si="47"/>
        <v/>
      </c>
      <c r="BG120" s="135" t="str">
        <f t="shared" si="47"/>
        <v/>
      </c>
      <c r="BH120" s="136"/>
      <c r="BI120" s="136"/>
      <c r="BJ120" s="136"/>
      <c r="BK120" s="136"/>
      <c r="BL120" s="137"/>
      <c r="BM120" s="137"/>
      <c r="BP120" s="134" t="str">
        <f>IF(COUNTIF(BP$7:BP119,B120)&gt;0,"",B120)&amp;""</f>
        <v/>
      </c>
      <c r="BQ120" s="138">
        <f t="shared" si="38"/>
        <v>0</v>
      </c>
      <c r="BR120" s="132">
        <f t="shared" si="51"/>
        <v>1</v>
      </c>
      <c r="BS120" s="138">
        <f t="shared" si="40"/>
        <v>0</v>
      </c>
      <c r="BT120" s="132">
        <f t="shared" si="52"/>
        <v>2</v>
      </c>
      <c r="BU120" s="133"/>
      <c r="BV120" s="133"/>
      <c r="BX120" s="1256">
        <v>43100</v>
      </c>
      <c r="BY120" s="165">
        <f>IFERROR(LOOKUP(BX120,基础数据!A:D),1)</f>
        <v>3.53915880885741</v>
      </c>
      <c r="BZ120" s="165">
        <f t="shared" si="48"/>
        <v>1.00524445538375</v>
      </c>
      <c r="CA120" s="165" t="e">
        <f t="shared" si="49"/>
        <v>#VALUE!</v>
      </c>
      <c r="CB120" s="165">
        <f t="shared" si="56"/>
        <v>95</v>
      </c>
      <c r="CC120" s="165" t="e">
        <f t="shared" si="50"/>
        <v>#VALUE!</v>
      </c>
      <c r="CD120" s="1260" t="s">
        <v>2236</v>
      </c>
    </row>
    <row r="121" ht="15" customHeight="1" spans="1:82">
      <c r="A121" s="123" t="str">
        <f>IF(B121="","",COUNT(A$7:A120)+1)</f>
        <v/>
      </c>
      <c r="B121" s="139"/>
      <c r="C121" s="139"/>
      <c r="D121" s="141"/>
      <c r="E121" s="126"/>
      <c r="F121" s="142"/>
      <c r="G121" s="127"/>
      <c r="H121" s="128"/>
      <c r="I121" s="128"/>
      <c r="J121" s="980"/>
      <c r="K121" s="143"/>
      <c r="L121" s="143"/>
      <c r="M121" s="129"/>
      <c r="N121" s="144"/>
      <c r="O121" s="144"/>
      <c r="P121" s="144"/>
      <c r="Q121" s="143"/>
      <c r="R121" s="353" t="str">
        <f t="shared" si="36"/>
        <v/>
      </c>
      <c r="S121" s="129" t="str">
        <f t="shared" si="57"/>
        <v/>
      </c>
      <c r="T121" s="1226" t="str">
        <f t="shared" si="45"/>
        <v/>
      </c>
      <c r="U121" s="1226" t="str">
        <f t="shared" si="46"/>
        <v/>
      </c>
      <c r="V121" s="353" t="str">
        <f t="shared" si="35"/>
        <v/>
      </c>
      <c r="W121" s="129">
        <v>0</v>
      </c>
      <c r="X121" s="129">
        <v>0</v>
      </c>
      <c r="Y121" s="129" t="str">
        <f t="shared" si="58"/>
        <v/>
      </c>
      <c r="Z121" s="129" t="str">
        <f t="shared" si="59"/>
        <v/>
      </c>
      <c r="AA121" s="145"/>
      <c r="BA121" s="78"/>
      <c r="BB121" s="132" t="s">
        <v>2360</v>
      </c>
      <c r="BC121" s="133"/>
      <c r="BD121" s="132" t="str">
        <f>IF(OR(B121="",BC121=""),"",COUNTIF(BC$8:BC121,"√"))</f>
        <v/>
      </c>
      <c r="BE121" s="134" t="str">
        <f t="shared" si="37"/>
        <v/>
      </c>
      <c r="BF121" s="135" t="str">
        <f t="shared" si="47"/>
        <v/>
      </c>
      <c r="BG121" s="135" t="str">
        <f t="shared" si="47"/>
        <v/>
      </c>
      <c r="BH121" s="136"/>
      <c r="BI121" s="136"/>
      <c r="BJ121" s="136"/>
      <c r="BK121" s="136"/>
      <c r="BL121" s="137"/>
      <c r="BM121" s="137"/>
      <c r="BP121" s="134" t="str">
        <f>IF(COUNTIF(BP$7:BP120,B121)&gt;0,"",B121)&amp;""</f>
        <v/>
      </c>
      <c r="BQ121" s="138">
        <f t="shared" si="38"/>
        <v>0</v>
      </c>
      <c r="BR121" s="132">
        <f t="shared" si="51"/>
        <v>1</v>
      </c>
      <c r="BS121" s="138">
        <f t="shared" si="40"/>
        <v>0</v>
      </c>
      <c r="BT121" s="132">
        <f t="shared" si="52"/>
        <v>2</v>
      </c>
      <c r="BU121" s="133"/>
      <c r="BV121" s="133"/>
      <c r="BX121" s="1256">
        <v>43100</v>
      </c>
      <c r="BY121" s="165">
        <f>IFERROR(LOOKUP(BX121,基础数据!A:D),1)</f>
        <v>3.53915880885741</v>
      </c>
      <c r="BZ121" s="165">
        <f t="shared" si="48"/>
        <v>1.00524445538375</v>
      </c>
      <c r="CA121" s="165" t="e">
        <f t="shared" si="49"/>
        <v>#VALUE!</v>
      </c>
      <c r="CB121" s="165">
        <f t="shared" si="56"/>
        <v>95</v>
      </c>
      <c r="CC121" s="165" t="e">
        <f t="shared" si="50"/>
        <v>#VALUE!</v>
      </c>
      <c r="CD121" s="1260" t="s">
        <v>2236</v>
      </c>
    </row>
    <row r="122" ht="15" customHeight="1" spans="1:82">
      <c r="A122" s="123" t="str">
        <f>IF(B122="","",COUNT(A$7:A121)+1)</f>
        <v/>
      </c>
      <c r="B122" s="139"/>
      <c r="C122" s="139"/>
      <c r="D122" s="141"/>
      <c r="E122" s="126"/>
      <c r="F122" s="142"/>
      <c r="G122" s="127"/>
      <c r="H122" s="128"/>
      <c r="I122" s="128"/>
      <c r="J122" s="980"/>
      <c r="K122" s="143"/>
      <c r="L122" s="143"/>
      <c r="M122" s="129"/>
      <c r="N122" s="144"/>
      <c r="O122" s="144"/>
      <c r="P122" s="144"/>
      <c r="Q122" s="143"/>
      <c r="R122" s="353" t="str">
        <f t="shared" si="36"/>
        <v/>
      </c>
      <c r="S122" s="129" t="str">
        <f t="shared" si="57"/>
        <v/>
      </c>
      <c r="T122" s="1226" t="str">
        <f t="shared" si="45"/>
        <v/>
      </c>
      <c r="U122" s="1226" t="str">
        <f t="shared" si="46"/>
        <v/>
      </c>
      <c r="V122" s="353" t="str">
        <f t="shared" si="35"/>
        <v/>
      </c>
      <c r="W122" s="129">
        <v>0</v>
      </c>
      <c r="X122" s="129">
        <v>0</v>
      </c>
      <c r="Y122" s="129" t="str">
        <f t="shared" si="58"/>
        <v/>
      </c>
      <c r="Z122" s="129" t="str">
        <f t="shared" si="59"/>
        <v/>
      </c>
      <c r="AA122" s="145"/>
      <c r="BA122" s="78"/>
      <c r="BB122" s="132" t="s">
        <v>2361</v>
      </c>
      <c r="BC122" s="133"/>
      <c r="BD122" s="132" t="str">
        <f>IF(OR(B122="",BC122=""),"",COUNTIF(BC$8:BC122,"√"))</f>
        <v/>
      </c>
      <c r="BE122" s="134" t="str">
        <f t="shared" si="37"/>
        <v/>
      </c>
      <c r="BF122" s="135" t="str">
        <f t="shared" si="47"/>
        <v/>
      </c>
      <c r="BG122" s="135" t="str">
        <f t="shared" si="47"/>
        <v/>
      </c>
      <c r="BH122" s="136"/>
      <c r="BI122" s="136"/>
      <c r="BJ122" s="136"/>
      <c r="BK122" s="136"/>
      <c r="BL122" s="137"/>
      <c r="BM122" s="137"/>
      <c r="BP122" s="134" t="str">
        <f>IF(COUNTIF(BP$7:BP121,B122)&gt;0,"",B122)&amp;""</f>
        <v/>
      </c>
      <c r="BQ122" s="138">
        <f t="shared" si="38"/>
        <v>0</v>
      </c>
      <c r="BR122" s="132">
        <f t="shared" si="51"/>
        <v>1</v>
      </c>
      <c r="BS122" s="138">
        <f t="shared" si="40"/>
        <v>0</v>
      </c>
      <c r="BT122" s="132">
        <f t="shared" si="52"/>
        <v>2</v>
      </c>
      <c r="BU122" s="133"/>
      <c r="BV122" s="133"/>
      <c r="BX122" s="1256">
        <v>43100</v>
      </c>
      <c r="BY122" s="165">
        <f>IFERROR(LOOKUP(BX122,基础数据!A:D),1)</f>
        <v>3.53915880885741</v>
      </c>
      <c r="BZ122" s="165">
        <f t="shared" si="48"/>
        <v>1.00524445538375</v>
      </c>
      <c r="CA122" s="165" t="e">
        <f t="shared" si="49"/>
        <v>#VALUE!</v>
      </c>
      <c r="CB122" s="165">
        <f t="shared" si="56"/>
        <v>95</v>
      </c>
      <c r="CC122" s="165" t="e">
        <f t="shared" si="50"/>
        <v>#VALUE!</v>
      </c>
      <c r="CD122" s="1260" t="s">
        <v>2236</v>
      </c>
    </row>
    <row r="123" ht="15" customHeight="1" spans="1:82">
      <c r="A123" s="123" t="str">
        <f>IF(B123="","",COUNT(A$7:A122)+1)</f>
        <v/>
      </c>
      <c r="B123" s="139"/>
      <c r="C123" s="139"/>
      <c r="D123" s="141"/>
      <c r="E123" s="126"/>
      <c r="F123" s="142"/>
      <c r="G123" s="127"/>
      <c r="H123" s="128"/>
      <c r="I123" s="128"/>
      <c r="J123" s="980"/>
      <c r="K123" s="143"/>
      <c r="L123" s="143"/>
      <c r="M123" s="129"/>
      <c r="N123" s="144"/>
      <c r="O123" s="144"/>
      <c r="P123" s="144"/>
      <c r="Q123" s="143"/>
      <c r="R123" s="353" t="str">
        <f t="shared" si="36"/>
        <v/>
      </c>
      <c r="S123" s="129" t="str">
        <f t="shared" si="57"/>
        <v/>
      </c>
      <c r="T123" s="1226" t="str">
        <f t="shared" si="45"/>
        <v/>
      </c>
      <c r="U123" s="1226" t="str">
        <f t="shared" si="46"/>
        <v/>
      </c>
      <c r="V123" s="353" t="str">
        <f t="shared" ref="V123:V186" si="60">IF(B123="","",IF($BB$3="是",R123,""))</f>
        <v/>
      </c>
      <c r="W123" s="129">
        <v>0</v>
      </c>
      <c r="X123" s="129">
        <v>0</v>
      </c>
      <c r="Y123" s="129" t="str">
        <f t="shared" si="58"/>
        <v/>
      </c>
      <c r="Z123" s="129" t="str">
        <f t="shared" si="59"/>
        <v/>
      </c>
      <c r="AA123" s="145"/>
      <c r="BA123" s="78"/>
      <c r="BB123" s="132" t="s">
        <v>2362</v>
      </c>
      <c r="BC123" s="133"/>
      <c r="BD123" s="132" t="str">
        <f>IF(OR(B123="",BC123=""),"",COUNTIF(BC$8:BC123,"√"))</f>
        <v/>
      </c>
      <c r="BE123" s="134" t="str">
        <f t="shared" si="37"/>
        <v/>
      </c>
      <c r="BF123" s="135" t="str">
        <f t="shared" si="47"/>
        <v/>
      </c>
      <c r="BG123" s="135" t="str">
        <f t="shared" si="47"/>
        <v/>
      </c>
      <c r="BH123" s="136"/>
      <c r="BI123" s="136"/>
      <c r="BJ123" s="136"/>
      <c r="BK123" s="136"/>
      <c r="BL123" s="137"/>
      <c r="BM123" s="137"/>
      <c r="BP123" s="134" t="str">
        <f>IF(COUNTIF(BP$7:BP122,B123)&gt;0,"",B123)&amp;""</f>
        <v/>
      </c>
      <c r="BQ123" s="138">
        <f t="shared" si="38"/>
        <v>0</v>
      </c>
      <c r="BR123" s="132">
        <f t="shared" si="51"/>
        <v>1</v>
      </c>
      <c r="BS123" s="138">
        <f t="shared" si="40"/>
        <v>0</v>
      </c>
      <c r="BT123" s="132">
        <f t="shared" si="52"/>
        <v>2</v>
      </c>
      <c r="BU123" s="133"/>
      <c r="BV123" s="133"/>
      <c r="BX123" s="1256">
        <v>43100</v>
      </c>
      <c r="BY123" s="165">
        <f>IFERROR(LOOKUP(BX123,基础数据!A:D),1)</f>
        <v>3.53915880885741</v>
      </c>
      <c r="BZ123" s="165">
        <f t="shared" si="48"/>
        <v>1.00524445538375</v>
      </c>
      <c r="CA123" s="165" t="e">
        <f t="shared" si="49"/>
        <v>#VALUE!</v>
      </c>
      <c r="CB123" s="165">
        <f t="shared" ref="CB123:CB129" si="61">CO$3</f>
        <v>90</v>
      </c>
      <c r="CC123" s="165" t="e">
        <f t="shared" si="50"/>
        <v>#VALUE!</v>
      </c>
      <c r="CD123" s="1257" t="s">
        <v>2237</v>
      </c>
    </row>
    <row r="124" ht="15" customHeight="1" spans="1:82">
      <c r="A124" s="123" t="str">
        <f>IF(B124="","",COUNT(A$7:A123)+1)</f>
        <v/>
      </c>
      <c r="B124" s="139"/>
      <c r="C124" s="139"/>
      <c r="D124" s="141"/>
      <c r="E124" s="126"/>
      <c r="F124" s="142"/>
      <c r="G124" s="127"/>
      <c r="H124" s="128"/>
      <c r="I124" s="128"/>
      <c r="J124" s="980"/>
      <c r="K124" s="143"/>
      <c r="L124" s="143"/>
      <c r="M124" s="129"/>
      <c r="N124" s="144"/>
      <c r="O124" s="144"/>
      <c r="P124" s="144"/>
      <c r="Q124" s="143"/>
      <c r="R124" s="353" t="str">
        <f t="shared" si="36"/>
        <v/>
      </c>
      <c r="S124" s="129" t="str">
        <f t="shared" si="57"/>
        <v/>
      </c>
      <c r="T124" s="1226" t="str">
        <f t="shared" si="45"/>
        <v/>
      </c>
      <c r="U124" s="1226" t="str">
        <f t="shared" si="46"/>
        <v/>
      </c>
      <c r="V124" s="353" t="str">
        <f t="shared" si="60"/>
        <v/>
      </c>
      <c r="W124" s="129">
        <v>0</v>
      </c>
      <c r="X124" s="129">
        <v>0</v>
      </c>
      <c r="Y124" s="129" t="str">
        <f t="shared" si="58"/>
        <v/>
      </c>
      <c r="Z124" s="129" t="str">
        <f t="shared" si="59"/>
        <v/>
      </c>
      <c r="AA124" s="145"/>
      <c r="BA124" s="78"/>
      <c r="BB124" s="132" t="s">
        <v>2363</v>
      </c>
      <c r="BC124" s="133"/>
      <c r="BD124" s="132" t="str">
        <f>IF(OR(B124="",BC124=""),"",COUNTIF(BC$8:BC124,"√"))</f>
        <v/>
      </c>
      <c r="BE124" s="134" t="str">
        <f t="shared" si="37"/>
        <v/>
      </c>
      <c r="BF124" s="135" t="str">
        <f t="shared" si="47"/>
        <v/>
      </c>
      <c r="BG124" s="135" t="str">
        <f t="shared" si="47"/>
        <v/>
      </c>
      <c r="BH124" s="136"/>
      <c r="BI124" s="136"/>
      <c r="BJ124" s="136"/>
      <c r="BK124" s="136"/>
      <c r="BL124" s="137"/>
      <c r="BM124" s="137"/>
      <c r="BP124" s="134" t="str">
        <f>IF(COUNTIF(BP$7:BP123,B124)&gt;0,"",B124)&amp;""</f>
        <v/>
      </c>
      <c r="BQ124" s="138">
        <f t="shared" si="38"/>
        <v>0</v>
      </c>
      <c r="BR124" s="132">
        <f t="shared" si="51"/>
        <v>1</v>
      </c>
      <c r="BS124" s="138">
        <f t="shared" si="40"/>
        <v>0</v>
      </c>
      <c r="BT124" s="132">
        <f t="shared" si="52"/>
        <v>2</v>
      </c>
      <c r="BU124" s="133"/>
      <c r="BV124" s="133"/>
      <c r="BX124" s="1256">
        <v>44908</v>
      </c>
      <c r="BY124" s="165">
        <f>IFERROR(LOOKUP(BX124,基础数据!A:D),1)</f>
        <v>3.84333367100529</v>
      </c>
      <c r="BZ124" s="165">
        <f t="shared" si="48"/>
        <v>0.925685895077611</v>
      </c>
      <c r="CA124" s="165" t="e">
        <f t="shared" si="49"/>
        <v>#VALUE!</v>
      </c>
      <c r="CB124" s="165">
        <f t="shared" si="61"/>
        <v>90</v>
      </c>
      <c r="CC124" s="165" t="e">
        <f t="shared" si="50"/>
        <v>#VALUE!</v>
      </c>
      <c r="CD124" s="1257" t="s">
        <v>2237</v>
      </c>
    </row>
    <row r="125" ht="15" customHeight="1" spans="1:82">
      <c r="A125" s="123" t="str">
        <f>IF(B125="","",COUNT(A$7:A124)+1)</f>
        <v/>
      </c>
      <c r="B125" s="139"/>
      <c r="C125" s="139"/>
      <c r="D125" s="141"/>
      <c r="E125" s="126"/>
      <c r="F125" s="142"/>
      <c r="G125" s="127"/>
      <c r="H125" s="128"/>
      <c r="I125" s="128"/>
      <c r="J125" s="980"/>
      <c r="K125" s="143"/>
      <c r="L125" s="143"/>
      <c r="M125" s="129"/>
      <c r="N125" s="144"/>
      <c r="O125" s="144"/>
      <c r="P125" s="144"/>
      <c r="Q125" s="143"/>
      <c r="R125" s="353" t="str">
        <f t="shared" ref="R125:R188" si="62">IF(B125="","",J125+N125)</f>
        <v/>
      </c>
      <c r="S125" s="129" t="str">
        <f t="shared" si="57"/>
        <v/>
      </c>
      <c r="T125" s="1226" t="str">
        <f t="shared" si="45"/>
        <v/>
      </c>
      <c r="U125" s="1226" t="str">
        <f t="shared" si="46"/>
        <v/>
      </c>
      <c r="V125" s="353" t="str">
        <f t="shared" si="60"/>
        <v/>
      </c>
      <c r="W125" s="129">
        <v>0</v>
      </c>
      <c r="X125" s="129">
        <v>0</v>
      </c>
      <c r="Y125" s="129" t="str">
        <f t="shared" si="58"/>
        <v/>
      </c>
      <c r="Z125" s="129" t="str">
        <f t="shared" si="59"/>
        <v/>
      </c>
      <c r="AA125" s="145"/>
      <c r="BA125" s="78"/>
      <c r="BB125" s="132" t="s">
        <v>2364</v>
      </c>
      <c r="BC125" s="133"/>
      <c r="BD125" s="132" t="str">
        <f>IF(OR(B125="",BC125=""),"",COUNTIF(BC$8:BC125,"√"))</f>
        <v/>
      </c>
      <c r="BE125" s="134" t="str">
        <f t="shared" ref="BE125:BE145" si="63">IF(BC125="","",BB125&amp;"︱"&amp;B125&amp;"︱"&amp;TEXT(L125,"#,##0.00"))</f>
        <v/>
      </c>
      <c r="BF125" s="135" t="str">
        <f t="shared" si="47"/>
        <v/>
      </c>
      <c r="BG125" s="135" t="str">
        <f t="shared" si="47"/>
        <v/>
      </c>
      <c r="BH125" s="136"/>
      <c r="BI125" s="136"/>
      <c r="BJ125" s="136"/>
      <c r="BK125" s="136"/>
      <c r="BL125" s="137"/>
      <c r="BM125" s="137"/>
      <c r="BP125" s="134" t="str">
        <f>IF(COUNTIF(BP$7:BP124,B125)&gt;0,"",B125)&amp;""</f>
        <v/>
      </c>
      <c r="BQ125" s="138">
        <f t="shared" ref="BQ125:BQ145" si="64">SUMIF(B$8:B$397,BP125,T$8:T$397)</f>
        <v>0</v>
      </c>
      <c r="BR125" s="132">
        <f t="shared" ref="BR125:BR145" si="65">RANK(BQ125,BQ$8:BQ$397)</f>
        <v>1</v>
      </c>
      <c r="BS125" s="138">
        <f t="shared" ref="BS125:BS145" si="66">SUMIF(B$8:B$397,BP125,X$8:X$397)</f>
        <v>0</v>
      </c>
      <c r="BT125" s="132">
        <f t="shared" ref="BT125:BT145" si="67">RANK(BS125,BS$8:BS$397)</f>
        <v>2</v>
      </c>
      <c r="BU125" s="133"/>
      <c r="BV125" s="133"/>
      <c r="BX125" s="1256">
        <v>43100</v>
      </c>
      <c r="BY125" s="165">
        <f>IFERROR(LOOKUP(BX125,基础数据!A:D),1)</f>
        <v>3.53915880885741</v>
      </c>
      <c r="BZ125" s="165">
        <f t="shared" si="48"/>
        <v>1.00524445538375</v>
      </c>
      <c r="CA125" s="165" t="e">
        <f t="shared" si="49"/>
        <v>#VALUE!</v>
      </c>
      <c r="CB125" s="165">
        <f t="shared" si="61"/>
        <v>90</v>
      </c>
      <c r="CC125" s="165" t="e">
        <f t="shared" si="50"/>
        <v>#VALUE!</v>
      </c>
      <c r="CD125" s="1257" t="s">
        <v>2237</v>
      </c>
    </row>
    <row r="126" ht="15" customHeight="1" spans="1:82">
      <c r="A126" s="123" t="str">
        <f>IF(B126="","",COUNT(A$7:A125)+1)</f>
        <v/>
      </c>
      <c r="B126" s="139"/>
      <c r="C126" s="139"/>
      <c r="D126" s="141"/>
      <c r="E126" s="126"/>
      <c r="F126" s="142"/>
      <c r="G126" s="127"/>
      <c r="H126" s="128"/>
      <c r="I126" s="128"/>
      <c r="J126" s="980"/>
      <c r="K126" s="143"/>
      <c r="L126" s="143"/>
      <c r="M126" s="129"/>
      <c r="N126" s="144"/>
      <c r="O126" s="144"/>
      <c r="P126" s="144"/>
      <c r="Q126" s="143"/>
      <c r="R126" s="353" t="str">
        <f t="shared" si="62"/>
        <v/>
      </c>
      <c r="S126" s="129" t="str">
        <f t="shared" si="57"/>
        <v/>
      </c>
      <c r="T126" s="1226" t="str">
        <f t="shared" si="45"/>
        <v/>
      </c>
      <c r="U126" s="1226" t="str">
        <f t="shared" si="46"/>
        <v/>
      </c>
      <c r="V126" s="353" t="str">
        <f t="shared" si="60"/>
        <v/>
      </c>
      <c r="W126" s="129">
        <v>0</v>
      </c>
      <c r="X126" s="129">
        <v>0</v>
      </c>
      <c r="Y126" s="129" t="str">
        <f t="shared" si="58"/>
        <v/>
      </c>
      <c r="Z126" s="129" t="str">
        <f t="shared" si="59"/>
        <v/>
      </c>
      <c r="AA126" s="145"/>
      <c r="BA126" s="78"/>
      <c r="BB126" s="132" t="s">
        <v>2365</v>
      </c>
      <c r="BC126" s="133"/>
      <c r="BD126" s="132" t="str">
        <f>IF(OR(B126="",BC126=""),"",COUNTIF(BC$8:BC126,"√"))</f>
        <v/>
      </c>
      <c r="BE126" s="134" t="str">
        <f t="shared" si="63"/>
        <v/>
      </c>
      <c r="BF126" s="135" t="str">
        <f t="shared" si="47"/>
        <v/>
      </c>
      <c r="BG126" s="135" t="str">
        <f t="shared" si="47"/>
        <v/>
      </c>
      <c r="BH126" s="136"/>
      <c r="BI126" s="136"/>
      <c r="BJ126" s="136"/>
      <c r="BK126" s="136"/>
      <c r="BL126" s="137"/>
      <c r="BM126" s="137"/>
      <c r="BP126" s="134" t="str">
        <f>IF(COUNTIF(BP$7:BP125,B126)&gt;0,"",B126)&amp;""</f>
        <v/>
      </c>
      <c r="BQ126" s="138">
        <f t="shared" si="64"/>
        <v>0</v>
      </c>
      <c r="BR126" s="132">
        <f t="shared" si="65"/>
        <v>1</v>
      </c>
      <c r="BS126" s="138">
        <f t="shared" si="66"/>
        <v>0</v>
      </c>
      <c r="BT126" s="132">
        <f t="shared" si="67"/>
        <v>2</v>
      </c>
      <c r="BU126" s="133"/>
      <c r="BV126" s="133"/>
      <c r="BX126" s="1256">
        <v>43100</v>
      </c>
      <c r="BY126" s="165">
        <f>IFERROR(LOOKUP(BX126,基础数据!A:D),1)</f>
        <v>3.53915880885741</v>
      </c>
      <c r="BZ126" s="165">
        <f t="shared" si="48"/>
        <v>1.00524445538375</v>
      </c>
      <c r="CA126" s="165" t="e">
        <f t="shared" si="49"/>
        <v>#VALUE!</v>
      </c>
      <c r="CB126" s="165">
        <f t="shared" si="61"/>
        <v>90</v>
      </c>
      <c r="CC126" s="165" t="e">
        <f t="shared" si="50"/>
        <v>#VALUE!</v>
      </c>
      <c r="CD126" s="1257" t="s">
        <v>2237</v>
      </c>
    </row>
    <row r="127" ht="15" customHeight="1" spans="1:82">
      <c r="A127" s="123" t="str">
        <f>IF(B127="","",COUNT(A$7:A126)+1)</f>
        <v/>
      </c>
      <c r="B127" s="139"/>
      <c r="C127" s="139"/>
      <c r="D127" s="141"/>
      <c r="E127" s="126"/>
      <c r="F127" s="142"/>
      <c r="G127" s="127"/>
      <c r="H127" s="128"/>
      <c r="I127" s="128"/>
      <c r="J127" s="980"/>
      <c r="K127" s="143"/>
      <c r="L127" s="143"/>
      <c r="M127" s="129"/>
      <c r="N127" s="144"/>
      <c r="O127" s="144"/>
      <c r="P127" s="144"/>
      <c r="Q127" s="143"/>
      <c r="R127" s="353" t="str">
        <f t="shared" si="62"/>
        <v/>
      </c>
      <c r="S127" s="129" t="str">
        <f t="shared" si="57"/>
        <v/>
      </c>
      <c r="T127" s="1226" t="str">
        <f t="shared" si="45"/>
        <v/>
      </c>
      <c r="U127" s="1226" t="str">
        <f t="shared" si="46"/>
        <v/>
      </c>
      <c r="V127" s="353" t="str">
        <f t="shared" si="60"/>
        <v/>
      </c>
      <c r="W127" s="129">
        <v>0</v>
      </c>
      <c r="X127" s="129">
        <v>0</v>
      </c>
      <c r="Y127" s="129" t="str">
        <f t="shared" si="58"/>
        <v/>
      </c>
      <c r="Z127" s="129" t="str">
        <f t="shared" si="59"/>
        <v/>
      </c>
      <c r="AA127" s="145"/>
      <c r="BA127" s="78"/>
      <c r="BB127" s="132" t="s">
        <v>2366</v>
      </c>
      <c r="BC127" s="133"/>
      <c r="BD127" s="132" t="str">
        <f>IF(OR(B127="",BC127=""),"",COUNTIF(BC$8:BC127,"√"))</f>
        <v/>
      </c>
      <c r="BE127" s="134" t="str">
        <f t="shared" si="63"/>
        <v/>
      </c>
      <c r="BF127" s="135" t="str">
        <f t="shared" si="47"/>
        <v/>
      </c>
      <c r="BG127" s="135" t="str">
        <f t="shared" si="47"/>
        <v/>
      </c>
      <c r="BH127" s="136"/>
      <c r="BI127" s="136"/>
      <c r="BJ127" s="136"/>
      <c r="BK127" s="136"/>
      <c r="BL127" s="137"/>
      <c r="BM127" s="137"/>
      <c r="BP127" s="134" t="str">
        <f>IF(COUNTIF(BP$7:BP126,B127)&gt;0,"",B127)&amp;""</f>
        <v/>
      </c>
      <c r="BQ127" s="138">
        <f t="shared" si="64"/>
        <v>0</v>
      </c>
      <c r="BR127" s="132">
        <f t="shared" si="65"/>
        <v>1</v>
      </c>
      <c r="BS127" s="138">
        <f t="shared" si="66"/>
        <v>0</v>
      </c>
      <c r="BT127" s="132">
        <f t="shared" si="67"/>
        <v>2</v>
      </c>
      <c r="BU127" s="133"/>
      <c r="BV127" s="133"/>
      <c r="BX127" s="1256">
        <v>43100</v>
      </c>
      <c r="BY127" s="165">
        <f>IFERROR(LOOKUP(BX127,基础数据!A:D),1)</f>
        <v>3.53915880885741</v>
      </c>
      <c r="BZ127" s="165">
        <f t="shared" si="48"/>
        <v>1.00524445538375</v>
      </c>
      <c r="CA127" s="165" t="e">
        <f t="shared" si="49"/>
        <v>#VALUE!</v>
      </c>
      <c r="CB127" s="165">
        <f t="shared" si="61"/>
        <v>90</v>
      </c>
      <c r="CC127" s="165" t="e">
        <f t="shared" si="50"/>
        <v>#VALUE!</v>
      </c>
      <c r="CD127" s="1257" t="s">
        <v>2237</v>
      </c>
    </row>
    <row r="128" ht="15" customHeight="1" spans="1:82">
      <c r="A128" s="123" t="str">
        <f>IF(B128="","",COUNT(A$7:A127)+1)</f>
        <v/>
      </c>
      <c r="B128" s="139"/>
      <c r="C128" s="139"/>
      <c r="D128" s="141"/>
      <c r="E128" s="126"/>
      <c r="F128" s="142"/>
      <c r="G128" s="127"/>
      <c r="H128" s="128"/>
      <c r="I128" s="128"/>
      <c r="J128" s="980"/>
      <c r="K128" s="143"/>
      <c r="L128" s="143"/>
      <c r="M128" s="129"/>
      <c r="N128" s="144"/>
      <c r="O128" s="144"/>
      <c r="P128" s="144"/>
      <c r="Q128" s="143"/>
      <c r="R128" s="353" t="str">
        <f t="shared" si="62"/>
        <v/>
      </c>
      <c r="S128" s="129" t="str">
        <f t="shared" si="57"/>
        <v/>
      </c>
      <c r="T128" s="1226" t="str">
        <f t="shared" si="45"/>
        <v/>
      </c>
      <c r="U128" s="1226" t="str">
        <f t="shared" si="46"/>
        <v/>
      </c>
      <c r="V128" s="353" t="str">
        <f t="shared" si="60"/>
        <v/>
      </c>
      <c r="W128" s="129">
        <v>0</v>
      </c>
      <c r="X128" s="129">
        <v>0</v>
      </c>
      <c r="Y128" s="129" t="str">
        <f t="shared" si="58"/>
        <v/>
      </c>
      <c r="Z128" s="129" t="str">
        <f t="shared" si="59"/>
        <v/>
      </c>
      <c r="AA128" s="145"/>
      <c r="BA128" s="78"/>
      <c r="BB128" s="132" t="s">
        <v>2367</v>
      </c>
      <c r="BC128" s="133"/>
      <c r="BD128" s="132" t="str">
        <f>IF(OR(B128="",BC128=""),"",COUNTIF(BC$8:BC128,"√"))</f>
        <v/>
      </c>
      <c r="BE128" s="134" t="str">
        <f t="shared" si="63"/>
        <v/>
      </c>
      <c r="BF128" s="135" t="str">
        <f t="shared" si="47"/>
        <v/>
      </c>
      <c r="BG128" s="135" t="str">
        <f t="shared" si="47"/>
        <v/>
      </c>
      <c r="BH128" s="136"/>
      <c r="BI128" s="136"/>
      <c r="BJ128" s="136"/>
      <c r="BK128" s="136"/>
      <c r="BL128" s="137"/>
      <c r="BM128" s="137"/>
      <c r="BP128" s="134" t="str">
        <f>IF(COUNTIF(BP$7:BP127,B128)&gt;0,"",B128)&amp;""</f>
        <v/>
      </c>
      <c r="BQ128" s="138">
        <f t="shared" si="64"/>
        <v>0</v>
      </c>
      <c r="BR128" s="132">
        <f t="shared" si="65"/>
        <v>1</v>
      </c>
      <c r="BS128" s="138">
        <f t="shared" si="66"/>
        <v>0</v>
      </c>
      <c r="BT128" s="132">
        <f t="shared" si="67"/>
        <v>2</v>
      </c>
      <c r="BU128" s="133"/>
      <c r="BV128" s="133"/>
      <c r="BX128" s="1256">
        <v>44908</v>
      </c>
      <c r="BY128" s="165">
        <f>IFERROR(LOOKUP(BX128,基础数据!A:D),1)</f>
        <v>3.84333367100529</v>
      </c>
      <c r="BZ128" s="165">
        <f t="shared" si="48"/>
        <v>0.925685895077611</v>
      </c>
      <c r="CA128" s="165" t="e">
        <f t="shared" ref="CA128:CA129" si="68">ROUND(S128*BZ128,1)</f>
        <v>#VALUE!</v>
      </c>
      <c r="CB128" s="165">
        <f t="shared" si="61"/>
        <v>90</v>
      </c>
      <c r="CC128" s="165" t="e">
        <f t="shared" ref="CC128:CC129" si="69">ROUND(CB128*CA128/100,1)</f>
        <v>#VALUE!</v>
      </c>
      <c r="CD128" s="1257" t="s">
        <v>2237</v>
      </c>
    </row>
    <row r="129" ht="15" customHeight="1" spans="1:82">
      <c r="A129" s="123" t="str">
        <f>IF(B129="","",COUNT(A$7:A128)+1)</f>
        <v/>
      </c>
      <c r="B129" s="139"/>
      <c r="C129" s="139"/>
      <c r="D129" s="141"/>
      <c r="E129" s="126"/>
      <c r="F129" s="142"/>
      <c r="G129" s="127"/>
      <c r="H129" s="128"/>
      <c r="I129" s="128"/>
      <c r="J129" s="980"/>
      <c r="K129" s="143"/>
      <c r="L129" s="143"/>
      <c r="M129" s="129"/>
      <c r="N129" s="144"/>
      <c r="O129" s="144"/>
      <c r="P129" s="144"/>
      <c r="Q129" s="143"/>
      <c r="R129" s="353" t="str">
        <f t="shared" si="62"/>
        <v/>
      </c>
      <c r="S129" s="129" t="str">
        <f t="shared" si="57"/>
        <v/>
      </c>
      <c r="T129" s="1226" t="str">
        <f t="shared" si="45"/>
        <v/>
      </c>
      <c r="U129" s="1226" t="str">
        <f t="shared" si="46"/>
        <v/>
      </c>
      <c r="V129" s="353" t="str">
        <f t="shared" si="60"/>
        <v/>
      </c>
      <c r="W129" s="129">
        <v>0</v>
      </c>
      <c r="X129" s="129">
        <v>0</v>
      </c>
      <c r="Y129" s="129" t="str">
        <f t="shared" si="58"/>
        <v/>
      </c>
      <c r="Z129" s="129" t="str">
        <f t="shared" si="59"/>
        <v/>
      </c>
      <c r="AA129" s="145"/>
      <c r="BA129" s="78"/>
      <c r="BB129" s="132" t="s">
        <v>2368</v>
      </c>
      <c r="BC129" s="133"/>
      <c r="BD129" s="132" t="str">
        <f>IF(OR(B129="",BC129=""),"",COUNTIF(BC$8:BC129,"√"))</f>
        <v/>
      </c>
      <c r="BE129" s="134" t="str">
        <f t="shared" si="63"/>
        <v/>
      </c>
      <c r="BF129" s="135" t="str">
        <f t="shared" si="47"/>
        <v/>
      </c>
      <c r="BG129" s="135" t="str">
        <f t="shared" si="47"/>
        <v/>
      </c>
      <c r="BH129" s="136"/>
      <c r="BI129" s="136"/>
      <c r="BJ129" s="136"/>
      <c r="BK129" s="136"/>
      <c r="BL129" s="137"/>
      <c r="BM129" s="137"/>
      <c r="BP129" s="134" t="str">
        <f>IF(COUNTIF(BP$7:BP128,B129)&gt;0,"",B129)&amp;""</f>
        <v/>
      </c>
      <c r="BQ129" s="138">
        <f t="shared" si="64"/>
        <v>0</v>
      </c>
      <c r="BR129" s="132">
        <f t="shared" si="65"/>
        <v>1</v>
      </c>
      <c r="BS129" s="138">
        <f t="shared" si="66"/>
        <v>0</v>
      </c>
      <c r="BT129" s="132">
        <f t="shared" si="67"/>
        <v>2</v>
      </c>
      <c r="BU129" s="133"/>
      <c r="BV129" s="133"/>
      <c r="BX129" s="1256">
        <v>44908</v>
      </c>
      <c r="BY129" s="165">
        <f>IFERROR(LOOKUP(BX129,基础数据!A:D),1)</f>
        <v>3.84333367100529</v>
      </c>
      <c r="BZ129" s="165">
        <f t="shared" si="48"/>
        <v>0.925685895077611</v>
      </c>
      <c r="CA129" s="165" t="e">
        <f t="shared" si="68"/>
        <v>#VALUE!</v>
      </c>
      <c r="CB129" s="165">
        <f t="shared" si="61"/>
        <v>90</v>
      </c>
      <c r="CC129" s="165" t="e">
        <f t="shared" si="69"/>
        <v>#VALUE!</v>
      </c>
      <c r="CD129" s="1257" t="s">
        <v>2237</v>
      </c>
    </row>
    <row r="130" ht="15" customHeight="1" spans="1:82">
      <c r="A130" s="123" t="str">
        <f>IF(B130="","",COUNT(A$7:A129)+1)</f>
        <v/>
      </c>
      <c r="B130" s="139"/>
      <c r="C130" s="139"/>
      <c r="D130" s="141"/>
      <c r="E130" s="126"/>
      <c r="F130" s="142"/>
      <c r="G130" s="127"/>
      <c r="H130" s="128"/>
      <c r="I130" s="128"/>
      <c r="J130" s="980"/>
      <c r="K130" s="143"/>
      <c r="L130" s="143"/>
      <c r="M130" s="129"/>
      <c r="N130" s="144"/>
      <c r="O130" s="144"/>
      <c r="P130" s="144"/>
      <c r="Q130" s="143"/>
      <c r="R130" s="353" t="str">
        <f t="shared" si="62"/>
        <v/>
      </c>
      <c r="S130" s="129" t="str">
        <f t="shared" si="57"/>
        <v/>
      </c>
      <c r="T130" s="1226" t="str">
        <f t="shared" si="45"/>
        <v/>
      </c>
      <c r="U130" s="1226" t="str">
        <f t="shared" si="46"/>
        <v/>
      </c>
      <c r="V130" s="353" t="str">
        <f t="shared" si="60"/>
        <v/>
      </c>
      <c r="W130" s="129">
        <v>0</v>
      </c>
      <c r="X130" s="129">
        <v>0</v>
      </c>
      <c r="Y130" s="129" t="str">
        <f t="shared" si="58"/>
        <v/>
      </c>
      <c r="Z130" s="129" t="str">
        <f t="shared" si="59"/>
        <v/>
      </c>
      <c r="AA130" s="145"/>
      <c r="BA130" s="78"/>
      <c r="BB130" s="132" t="s">
        <v>2369</v>
      </c>
      <c r="BC130" s="133"/>
      <c r="BD130" s="132" t="str">
        <f>IF(OR(B130="",BC130=""),"",COUNTIF(BC$8:BC130,"√"))</f>
        <v/>
      </c>
      <c r="BE130" s="134" t="str">
        <f t="shared" si="63"/>
        <v/>
      </c>
      <c r="BF130" s="135" t="str">
        <f t="shared" si="47"/>
        <v/>
      </c>
      <c r="BG130" s="135" t="str">
        <f t="shared" si="47"/>
        <v/>
      </c>
      <c r="BH130" s="136"/>
      <c r="BI130" s="136"/>
      <c r="BJ130" s="136"/>
      <c r="BK130" s="136"/>
      <c r="BL130" s="137"/>
      <c r="BM130" s="137"/>
      <c r="BP130" s="134" t="str">
        <f>IF(COUNTIF(BP$7:BP129,B130)&gt;0,"",B130)&amp;""</f>
        <v/>
      </c>
      <c r="BQ130" s="138">
        <f t="shared" si="64"/>
        <v>0</v>
      </c>
      <c r="BR130" s="132">
        <f t="shared" si="65"/>
        <v>1</v>
      </c>
      <c r="BS130" s="138">
        <f t="shared" si="66"/>
        <v>0</v>
      </c>
      <c r="BT130" s="132">
        <f t="shared" si="67"/>
        <v>2</v>
      </c>
      <c r="BU130" s="133"/>
      <c r="BV130" s="133"/>
      <c r="BX130" s="1256">
        <v>43100</v>
      </c>
      <c r="BY130" s="165">
        <f>IFERROR(LOOKUP(BX130,基础数据!A:D),1)</f>
        <v>3.53915880885741</v>
      </c>
      <c r="BZ130" s="165">
        <f t="shared" si="48"/>
        <v>1.00524445538375</v>
      </c>
      <c r="CA130" s="165" t="e">
        <f t="shared" si="49"/>
        <v>#VALUE!</v>
      </c>
      <c r="CB130" s="165">
        <f>CO$2</f>
        <v>95</v>
      </c>
      <c r="CC130" s="165" t="e">
        <f t="shared" si="50"/>
        <v>#VALUE!</v>
      </c>
      <c r="CD130" s="1260" t="s">
        <v>2236</v>
      </c>
    </row>
    <row r="131" ht="15" customHeight="1" spans="1:82">
      <c r="A131" s="123" t="str">
        <f>IF(B131="","",COUNT(A$7:A130)+1)</f>
        <v/>
      </c>
      <c r="B131" s="139"/>
      <c r="C131" s="139"/>
      <c r="D131" s="141"/>
      <c r="E131" s="126"/>
      <c r="F131" s="142"/>
      <c r="G131" s="127"/>
      <c r="H131" s="128"/>
      <c r="I131" s="128"/>
      <c r="J131" s="980"/>
      <c r="K131" s="143"/>
      <c r="L131" s="143"/>
      <c r="M131" s="129"/>
      <c r="N131" s="144"/>
      <c r="O131" s="144"/>
      <c r="P131" s="144"/>
      <c r="Q131" s="143"/>
      <c r="R131" s="353" t="str">
        <f t="shared" si="62"/>
        <v/>
      </c>
      <c r="S131" s="129" t="str">
        <f t="shared" si="57"/>
        <v/>
      </c>
      <c r="T131" s="1226" t="str">
        <f t="shared" si="45"/>
        <v/>
      </c>
      <c r="U131" s="1226" t="str">
        <f t="shared" si="46"/>
        <v/>
      </c>
      <c r="V131" s="353" t="str">
        <f t="shared" si="60"/>
        <v/>
      </c>
      <c r="W131" s="129">
        <v>0</v>
      </c>
      <c r="X131" s="129">
        <v>0</v>
      </c>
      <c r="Y131" s="129" t="str">
        <f t="shared" si="58"/>
        <v/>
      </c>
      <c r="Z131" s="129" t="str">
        <f t="shared" si="59"/>
        <v/>
      </c>
      <c r="AA131" s="145"/>
      <c r="BA131" s="78"/>
      <c r="BB131" s="132" t="s">
        <v>2370</v>
      </c>
      <c r="BC131" s="133"/>
      <c r="BD131" s="132" t="str">
        <f>IF(OR(B131="",BC131=""),"",COUNTIF(BC$8:BC131,"√"))</f>
        <v/>
      </c>
      <c r="BE131" s="134" t="str">
        <f t="shared" si="63"/>
        <v/>
      </c>
      <c r="BF131" s="135" t="str">
        <f t="shared" si="47"/>
        <v/>
      </c>
      <c r="BG131" s="135" t="str">
        <f t="shared" si="47"/>
        <v/>
      </c>
      <c r="BH131" s="136"/>
      <c r="BI131" s="136"/>
      <c r="BJ131" s="136"/>
      <c r="BK131" s="136"/>
      <c r="BL131" s="137"/>
      <c r="BM131" s="137"/>
      <c r="BP131" s="134" t="str">
        <f>IF(COUNTIF(BP$7:BP130,B131)&gt;0,"",B131)&amp;""</f>
        <v/>
      </c>
      <c r="BQ131" s="138">
        <f t="shared" si="64"/>
        <v>0</v>
      </c>
      <c r="BR131" s="132">
        <f t="shared" si="65"/>
        <v>1</v>
      </c>
      <c r="BS131" s="138">
        <f t="shared" si="66"/>
        <v>0</v>
      </c>
      <c r="BT131" s="132">
        <f t="shared" si="67"/>
        <v>2</v>
      </c>
      <c r="BU131" s="133"/>
      <c r="BV131" s="133"/>
      <c r="BX131" s="1256">
        <v>43100</v>
      </c>
      <c r="BY131" s="165">
        <f>IFERROR(LOOKUP(BX131,基础数据!A:D),1)</f>
        <v>3.53915880885741</v>
      </c>
      <c r="BZ131" s="165">
        <f t="shared" si="48"/>
        <v>1.00524445538375</v>
      </c>
      <c r="CA131" s="165" t="e">
        <f t="shared" si="49"/>
        <v>#VALUE!</v>
      </c>
      <c r="CB131" s="165">
        <f t="shared" ref="CB131:CB139" si="70">CO$3</f>
        <v>90</v>
      </c>
      <c r="CC131" s="165" t="e">
        <f t="shared" si="50"/>
        <v>#VALUE!</v>
      </c>
      <c r="CD131" s="1257" t="s">
        <v>2237</v>
      </c>
    </row>
    <row r="132" ht="15" customHeight="1" spans="1:82">
      <c r="A132" s="123" t="str">
        <f>IF(B132="","",COUNT(A$7:A131)+1)</f>
        <v/>
      </c>
      <c r="B132" s="798"/>
      <c r="C132" s="139"/>
      <c r="D132" s="141"/>
      <c r="E132" s="126"/>
      <c r="F132" s="142"/>
      <c r="G132" s="127"/>
      <c r="H132" s="128"/>
      <c r="I132" s="128"/>
      <c r="J132" s="980"/>
      <c r="K132" s="143"/>
      <c r="L132" s="143"/>
      <c r="M132" s="129"/>
      <c r="N132" s="144"/>
      <c r="O132" s="144"/>
      <c r="P132" s="144"/>
      <c r="Q132" s="143"/>
      <c r="R132" s="353" t="str">
        <f t="shared" si="62"/>
        <v/>
      </c>
      <c r="S132" s="129" t="str">
        <f t="shared" si="57"/>
        <v/>
      </c>
      <c r="T132" s="1226" t="str">
        <f t="shared" si="45"/>
        <v/>
      </c>
      <c r="U132" s="1226" t="str">
        <f t="shared" si="46"/>
        <v/>
      </c>
      <c r="V132" s="353" t="str">
        <f t="shared" si="60"/>
        <v/>
      </c>
      <c r="W132" s="129">
        <v>0</v>
      </c>
      <c r="X132" s="129">
        <v>0</v>
      </c>
      <c r="Y132" s="129" t="str">
        <f t="shared" si="58"/>
        <v/>
      </c>
      <c r="Z132" s="129" t="str">
        <f t="shared" si="59"/>
        <v/>
      </c>
      <c r="AA132" s="145"/>
      <c r="BA132" s="78"/>
      <c r="BB132" s="132" t="s">
        <v>2371</v>
      </c>
      <c r="BC132" s="133"/>
      <c r="BD132" s="132" t="str">
        <f>IF(OR(B132="",BC132=""),"",COUNTIF(BC$8:BC132,"√"))</f>
        <v/>
      </c>
      <c r="BE132" s="134" t="str">
        <f t="shared" si="63"/>
        <v/>
      </c>
      <c r="BF132" s="135" t="str">
        <f t="shared" si="47"/>
        <v/>
      </c>
      <c r="BG132" s="135" t="str">
        <f t="shared" si="47"/>
        <v/>
      </c>
      <c r="BH132" s="136"/>
      <c r="BI132" s="136"/>
      <c r="BJ132" s="136"/>
      <c r="BK132" s="136"/>
      <c r="BL132" s="137"/>
      <c r="BM132" s="137"/>
      <c r="BO132" s="1262"/>
      <c r="BP132" s="134" t="str">
        <f>IF(COUNTIF(BP$7:BP131,B132)&gt;0,"",B132)&amp;""</f>
        <v/>
      </c>
      <c r="BQ132" s="138">
        <f t="shared" si="64"/>
        <v>0</v>
      </c>
      <c r="BR132" s="132">
        <f t="shared" si="65"/>
        <v>1</v>
      </c>
      <c r="BS132" s="138">
        <f t="shared" si="66"/>
        <v>0</v>
      </c>
      <c r="BT132" s="132">
        <f t="shared" si="67"/>
        <v>2</v>
      </c>
      <c r="BU132" s="133"/>
      <c r="BV132" s="133"/>
      <c r="BX132" s="1256">
        <v>43100</v>
      </c>
      <c r="BY132" s="165">
        <f>IFERROR(LOOKUP(BX132,基础数据!A:D),1)</f>
        <v>3.53915880885741</v>
      </c>
      <c r="BZ132" s="165">
        <f t="shared" si="48"/>
        <v>1.00524445538375</v>
      </c>
      <c r="CA132" s="165">
        <f>ROUND(BN132/1.13,0)</f>
        <v>0</v>
      </c>
      <c r="CB132" s="165">
        <f t="shared" si="70"/>
        <v>90</v>
      </c>
      <c r="CC132" s="165">
        <f t="shared" si="50"/>
        <v>0</v>
      </c>
      <c r="CD132" s="1257" t="s">
        <v>2237</v>
      </c>
    </row>
    <row r="133" ht="15" customHeight="1" spans="1:82">
      <c r="A133" s="123" t="str">
        <f>IF(B133="","",COUNT(A$7:A132)+1)</f>
        <v/>
      </c>
      <c r="B133" s="139"/>
      <c r="C133" s="139"/>
      <c r="D133" s="141"/>
      <c r="E133" s="126"/>
      <c r="F133" s="142"/>
      <c r="G133" s="127"/>
      <c r="H133" s="128"/>
      <c r="I133" s="128"/>
      <c r="J133" s="980"/>
      <c r="K133" s="143"/>
      <c r="L133" s="143"/>
      <c r="M133" s="129"/>
      <c r="N133" s="144"/>
      <c r="O133" s="144"/>
      <c r="P133" s="144"/>
      <c r="Q133" s="143"/>
      <c r="R133" s="353" t="str">
        <f t="shared" si="62"/>
        <v/>
      </c>
      <c r="S133" s="129" t="str">
        <f t="shared" si="57"/>
        <v/>
      </c>
      <c r="T133" s="1226" t="str">
        <f t="shared" si="45"/>
        <v/>
      </c>
      <c r="U133" s="1226" t="str">
        <f t="shared" si="46"/>
        <v/>
      </c>
      <c r="V133" s="353" t="str">
        <f t="shared" si="60"/>
        <v/>
      </c>
      <c r="W133" s="129">
        <v>0</v>
      </c>
      <c r="X133" s="129">
        <v>0</v>
      </c>
      <c r="Y133" s="129" t="str">
        <f t="shared" si="58"/>
        <v/>
      </c>
      <c r="Z133" s="129" t="str">
        <f t="shared" si="59"/>
        <v/>
      </c>
      <c r="AA133" s="145"/>
      <c r="BA133" s="78"/>
      <c r="BB133" s="132" t="s">
        <v>2372</v>
      </c>
      <c r="BC133" s="133"/>
      <c r="BD133" s="132" t="str">
        <f>IF(OR(B133="",BC133=""),"",COUNTIF(BC$8:BC133,"√"))</f>
        <v/>
      </c>
      <c r="BE133" s="134" t="str">
        <f t="shared" si="63"/>
        <v/>
      </c>
      <c r="BF133" s="135" t="str">
        <f t="shared" si="47"/>
        <v/>
      </c>
      <c r="BG133" s="135" t="str">
        <f t="shared" si="47"/>
        <v/>
      </c>
      <c r="BH133" s="136"/>
      <c r="BI133" s="136"/>
      <c r="BJ133" s="136"/>
      <c r="BK133" s="136"/>
      <c r="BL133" s="137"/>
      <c r="BM133" s="137"/>
      <c r="BP133" s="134" t="str">
        <f>IF(COUNTIF(BP$7:BP132,B133)&gt;0,"",B133)&amp;""</f>
        <v/>
      </c>
      <c r="BQ133" s="138">
        <f t="shared" si="64"/>
        <v>0</v>
      </c>
      <c r="BR133" s="132">
        <f t="shared" si="65"/>
        <v>1</v>
      </c>
      <c r="BS133" s="138">
        <f t="shared" si="66"/>
        <v>0</v>
      </c>
      <c r="BT133" s="132">
        <f t="shared" si="67"/>
        <v>2</v>
      </c>
      <c r="BU133" s="133"/>
      <c r="BV133" s="133"/>
      <c r="BX133" s="1256">
        <v>43100</v>
      </c>
      <c r="BY133" s="165">
        <f>IFERROR(LOOKUP(BX133,基础数据!A:D),1)</f>
        <v>3.53915880885741</v>
      </c>
      <c r="BZ133" s="165">
        <f t="shared" si="48"/>
        <v>1.00524445538375</v>
      </c>
      <c r="CA133" s="165" t="e">
        <f t="shared" si="49"/>
        <v>#VALUE!</v>
      </c>
      <c r="CB133" s="165">
        <f t="shared" si="70"/>
        <v>90</v>
      </c>
      <c r="CC133" s="165" t="e">
        <f t="shared" si="50"/>
        <v>#VALUE!</v>
      </c>
      <c r="CD133" s="1257" t="s">
        <v>2237</v>
      </c>
    </row>
    <row r="134" ht="15" customHeight="1" spans="1:82">
      <c r="A134" s="123" t="str">
        <f>IF(B134="","",COUNT(A$7:A133)+1)</f>
        <v/>
      </c>
      <c r="B134" s="139"/>
      <c r="C134" s="139"/>
      <c r="D134" s="141"/>
      <c r="E134" s="126"/>
      <c r="F134" s="142"/>
      <c r="G134" s="127"/>
      <c r="H134" s="128"/>
      <c r="I134" s="128"/>
      <c r="J134" s="980"/>
      <c r="K134" s="143"/>
      <c r="L134" s="143"/>
      <c r="M134" s="129"/>
      <c r="N134" s="144"/>
      <c r="O134" s="144"/>
      <c r="P134" s="144"/>
      <c r="Q134" s="143"/>
      <c r="R134" s="353" t="str">
        <f t="shared" si="62"/>
        <v/>
      </c>
      <c r="S134" s="129" t="str">
        <f t="shared" si="57"/>
        <v/>
      </c>
      <c r="T134" s="1226" t="str">
        <f t="shared" si="45"/>
        <v/>
      </c>
      <c r="U134" s="1226" t="str">
        <f t="shared" si="46"/>
        <v/>
      </c>
      <c r="V134" s="353" t="str">
        <f t="shared" si="60"/>
        <v/>
      </c>
      <c r="W134" s="129">
        <v>0</v>
      </c>
      <c r="X134" s="129">
        <v>0</v>
      </c>
      <c r="Y134" s="129" t="str">
        <f t="shared" si="58"/>
        <v/>
      </c>
      <c r="Z134" s="129" t="str">
        <f t="shared" si="59"/>
        <v/>
      </c>
      <c r="AA134" s="145"/>
      <c r="BA134" s="78"/>
      <c r="BB134" s="132" t="s">
        <v>2373</v>
      </c>
      <c r="BC134" s="133"/>
      <c r="BD134" s="132" t="str">
        <f>IF(OR(B134="",BC134=""),"",COUNTIF(BC$8:BC134,"√"))</f>
        <v/>
      </c>
      <c r="BE134" s="134" t="str">
        <f t="shared" si="63"/>
        <v/>
      </c>
      <c r="BF134" s="135" t="str">
        <f t="shared" si="47"/>
        <v/>
      </c>
      <c r="BG134" s="135" t="str">
        <f t="shared" si="47"/>
        <v/>
      </c>
      <c r="BH134" s="136"/>
      <c r="BI134" s="136"/>
      <c r="BJ134" s="136"/>
      <c r="BK134" s="136"/>
      <c r="BL134" s="137"/>
      <c r="BM134" s="137"/>
      <c r="BP134" s="134" t="str">
        <f>IF(COUNTIF(BP$7:BP133,B134)&gt;0,"",B134)&amp;""</f>
        <v/>
      </c>
      <c r="BQ134" s="138">
        <f t="shared" si="64"/>
        <v>0</v>
      </c>
      <c r="BR134" s="132">
        <f t="shared" si="65"/>
        <v>1</v>
      </c>
      <c r="BS134" s="138">
        <f t="shared" si="66"/>
        <v>0</v>
      </c>
      <c r="BT134" s="132">
        <f t="shared" si="67"/>
        <v>2</v>
      </c>
      <c r="BU134" s="133"/>
      <c r="BV134" s="133"/>
      <c r="BX134" s="1256">
        <v>43100</v>
      </c>
      <c r="BY134" s="165">
        <f>IFERROR(LOOKUP(BX134,基础数据!A:D),1)</f>
        <v>3.53915880885741</v>
      </c>
      <c r="BZ134" s="165">
        <f t="shared" si="48"/>
        <v>1.00524445538375</v>
      </c>
      <c r="CA134" s="165" t="e">
        <f t="shared" si="49"/>
        <v>#VALUE!</v>
      </c>
      <c r="CB134" s="165">
        <f t="shared" si="70"/>
        <v>90</v>
      </c>
      <c r="CC134" s="165" t="e">
        <f t="shared" si="50"/>
        <v>#VALUE!</v>
      </c>
      <c r="CD134" s="1257" t="s">
        <v>2237</v>
      </c>
    </row>
    <row r="135" ht="15" customHeight="1" spans="1:82">
      <c r="A135" s="123" t="str">
        <f>IF(B135="","",COUNT(A$7:A134)+1)</f>
        <v/>
      </c>
      <c r="B135" s="139"/>
      <c r="C135" s="139"/>
      <c r="D135" s="141"/>
      <c r="E135" s="126"/>
      <c r="F135" s="142"/>
      <c r="G135" s="127"/>
      <c r="H135" s="128"/>
      <c r="I135" s="128"/>
      <c r="J135" s="980"/>
      <c r="K135" s="143"/>
      <c r="L135" s="143"/>
      <c r="M135" s="129"/>
      <c r="N135" s="144"/>
      <c r="O135" s="144"/>
      <c r="P135" s="144"/>
      <c r="Q135" s="143"/>
      <c r="R135" s="353" t="str">
        <f t="shared" si="62"/>
        <v/>
      </c>
      <c r="S135" s="129" t="str">
        <f t="shared" si="57"/>
        <v/>
      </c>
      <c r="T135" s="1226" t="str">
        <f t="shared" si="45"/>
        <v/>
      </c>
      <c r="U135" s="1226" t="str">
        <f t="shared" si="46"/>
        <v/>
      </c>
      <c r="V135" s="353" t="str">
        <f t="shared" si="60"/>
        <v/>
      </c>
      <c r="W135" s="129">
        <v>0</v>
      </c>
      <c r="X135" s="129">
        <v>0</v>
      </c>
      <c r="Y135" s="129" t="str">
        <f t="shared" si="58"/>
        <v/>
      </c>
      <c r="Z135" s="129" t="str">
        <f t="shared" si="59"/>
        <v/>
      </c>
      <c r="AA135" s="145"/>
      <c r="BA135" s="78"/>
      <c r="BB135" s="132" t="s">
        <v>2374</v>
      </c>
      <c r="BC135" s="133"/>
      <c r="BD135" s="132" t="str">
        <f>IF(OR(B135="",BC135=""),"",COUNTIF(BC$8:BC135,"√"))</f>
        <v/>
      </c>
      <c r="BE135" s="134" t="str">
        <f t="shared" si="63"/>
        <v/>
      </c>
      <c r="BF135" s="135" t="str">
        <f t="shared" si="47"/>
        <v/>
      </c>
      <c r="BG135" s="135" t="str">
        <f t="shared" si="47"/>
        <v/>
      </c>
      <c r="BH135" s="136"/>
      <c r="BI135" s="136"/>
      <c r="BJ135" s="136"/>
      <c r="BK135" s="136"/>
      <c r="BL135" s="137"/>
      <c r="BM135" s="137"/>
      <c r="BP135" s="134" t="str">
        <f>IF(COUNTIF(BP$7:BP134,B135)&gt;0,"",B135)&amp;""</f>
        <v/>
      </c>
      <c r="BQ135" s="138">
        <f t="shared" si="64"/>
        <v>0</v>
      </c>
      <c r="BR135" s="132">
        <f t="shared" si="65"/>
        <v>1</v>
      </c>
      <c r="BS135" s="138">
        <f t="shared" si="66"/>
        <v>0</v>
      </c>
      <c r="BT135" s="132">
        <f t="shared" si="67"/>
        <v>2</v>
      </c>
      <c r="BU135" s="133"/>
      <c r="BV135" s="133"/>
      <c r="BX135" s="1256">
        <v>43100</v>
      </c>
      <c r="BY135" s="165">
        <f>IFERROR(LOOKUP(BX135,基础数据!A:D),1)</f>
        <v>3.53915880885741</v>
      </c>
      <c r="BZ135" s="165">
        <f t="shared" si="48"/>
        <v>1.00524445538375</v>
      </c>
      <c r="CA135" s="165" t="e">
        <f t="shared" si="49"/>
        <v>#VALUE!</v>
      </c>
      <c r="CB135" s="165">
        <f t="shared" si="70"/>
        <v>90</v>
      </c>
      <c r="CC135" s="165" t="e">
        <f t="shared" si="50"/>
        <v>#VALUE!</v>
      </c>
      <c r="CD135" s="1257" t="s">
        <v>2237</v>
      </c>
    </row>
    <row r="136" ht="15" customHeight="1" spans="1:82">
      <c r="A136" s="123" t="str">
        <f>IF(B136="","",COUNT(A$7:A135)+1)</f>
        <v/>
      </c>
      <c r="B136" s="139"/>
      <c r="C136" s="139"/>
      <c r="D136" s="141"/>
      <c r="E136" s="126"/>
      <c r="F136" s="142"/>
      <c r="G136" s="127"/>
      <c r="H136" s="128"/>
      <c r="I136" s="128"/>
      <c r="J136" s="980"/>
      <c r="K136" s="143"/>
      <c r="L136" s="143"/>
      <c r="M136" s="129"/>
      <c r="N136" s="144"/>
      <c r="O136" s="144"/>
      <c r="P136" s="144"/>
      <c r="Q136" s="143"/>
      <c r="R136" s="353" t="str">
        <f t="shared" si="62"/>
        <v/>
      </c>
      <c r="S136" s="129" t="str">
        <f t="shared" si="57"/>
        <v/>
      </c>
      <c r="T136" s="1226" t="str">
        <f t="shared" si="45"/>
        <v/>
      </c>
      <c r="U136" s="1226" t="str">
        <f t="shared" si="46"/>
        <v/>
      </c>
      <c r="V136" s="353" t="str">
        <f t="shared" si="60"/>
        <v/>
      </c>
      <c r="W136" s="129">
        <v>0</v>
      </c>
      <c r="X136" s="129">
        <v>0</v>
      </c>
      <c r="Y136" s="129" t="str">
        <f t="shared" si="58"/>
        <v/>
      </c>
      <c r="Z136" s="129" t="str">
        <f t="shared" si="59"/>
        <v/>
      </c>
      <c r="AA136" s="145"/>
      <c r="BA136" s="78"/>
      <c r="BB136" s="132" t="s">
        <v>2375</v>
      </c>
      <c r="BC136" s="133"/>
      <c r="BD136" s="132" t="str">
        <f>IF(OR(B136="",BC136=""),"",COUNTIF(BC$8:BC136,"√"))</f>
        <v/>
      </c>
      <c r="BE136" s="134" t="str">
        <f t="shared" si="63"/>
        <v/>
      </c>
      <c r="BF136" s="135" t="str">
        <f t="shared" si="47"/>
        <v/>
      </c>
      <c r="BG136" s="135" t="str">
        <f t="shared" si="47"/>
        <v/>
      </c>
      <c r="BH136" s="136"/>
      <c r="BI136" s="136"/>
      <c r="BJ136" s="136"/>
      <c r="BK136" s="136"/>
      <c r="BL136" s="137"/>
      <c r="BM136" s="137"/>
      <c r="BP136" s="134" t="str">
        <f>IF(COUNTIF(BP$7:BP135,B136)&gt;0,"",B136)&amp;""</f>
        <v/>
      </c>
      <c r="BQ136" s="138">
        <f t="shared" si="64"/>
        <v>0</v>
      </c>
      <c r="BR136" s="132">
        <f t="shared" si="65"/>
        <v>1</v>
      </c>
      <c r="BS136" s="138">
        <f t="shared" si="66"/>
        <v>0</v>
      </c>
      <c r="BT136" s="132">
        <f t="shared" si="67"/>
        <v>2</v>
      </c>
      <c r="BU136" s="133"/>
      <c r="BV136" s="133"/>
      <c r="BX136" s="1256">
        <v>43100</v>
      </c>
      <c r="BY136" s="165">
        <f>IFERROR(LOOKUP(BX136,基础数据!A:D),1)</f>
        <v>3.53915880885741</v>
      </c>
      <c r="BZ136" s="165">
        <f t="shared" si="48"/>
        <v>1.00524445538375</v>
      </c>
      <c r="CA136" s="165" t="e">
        <f t="shared" si="49"/>
        <v>#VALUE!</v>
      </c>
      <c r="CB136" s="165">
        <f t="shared" si="70"/>
        <v>90</v>
      </c>
      <c r="CC136" s="165" t="e">
        <f t="shared" si="50"/>
        <v>#VALUE!</v>
      </c>
      <c r="CD136" s="1257" t="s">
        <v>2237</v>
      </c>
    </row>
    <row r="137" ht="15" customHeight="1" spans="1:82">
      <c r="A137" s="123" t="str">
        <f>IF(B137="","",COUNT(A$7:A136)+1)</f>
        <v/>
      </c>
      <c r="B137" s="139"/>
      <c r="C137" s="139"/>
      <c r="D137" s="141"/>
      <c r="E137" s="126"/>
      <c r="F137" s="142"/>
      <c r="G137" s="127"/>
      <c r="H137" s="128"/>
      <c r="I137" s="128"/>
      <c r="J137" s="980"/>
      <c r="K137" s="143"/>
      <c r="L137" s="143"/>
      <c r="M137" s="129"/>
      <c r="N137" s="144"/>
      <c r="O137" s="144"/>
      <c r="P137" s="144"/>
      <c r="Q137" s="143"/>
      <c r="R137" s="353" t="str">
        <f t="shared" si="62"/>
        <v/>
      </c>
      <c r="S137" s="129" t="str">
        <f t="shared" si="57"/>
        <v/>
      </c>
      <c r="T137" s="1226" t="str">
        <f t="shared" si="45"/>
        <v/>
      </c>
      <c r="U137" s="1226" t="str">
        <f t="shared" si="46"/>
        <v/>
      </c>
      <c r="V137" s="353" t="str">
        <f t="shared" si="60"/>
        <v/>
      </c>
      <c r="W137" s="129">
        <v>0</v>
      </c>
      <c r="X137" s="129">
        <v>0</v>
      </c>
      <c r="Y137" s="129" t="str">
        <f t="shared" si="58"/>
        <v/>
      </c>
      <c r="Z137" s="129" t="str">
        <f t="shared" si="59"/>
        <v/>
      </c>
      <c r="AA137" s="145"/>
      <c r="BA137" s="78"/>
      <c r="BB137" s="132" t="s">
        <v>2376</v>
      </c>
      <c r="BC137" s="133"/>
      <c r="BD137" s="132" t="str">
        <f>IF(OR(B137="",BC137=""),"",COUNTIF(BC$8:BC137,"√"))</f>
        <v/>
      </c>
      <c r="BE137" s="134" t="str">
        <f t="shared" si="63"/>
        <v/>
      </c>
      <c r="BF137" s="135" t="str">
        <f t="shared" si="47"/>
        <v/>
      </c>
      <c r="BG137" s="135" t="str">
        <f t="shared" si="47"/>
        <v/>
      </c>
      <c r="BH137" s="136"/>
      <c r="BI137" s="136"/>
      <c r="BJ137" s="136"/>
      <c r="BK137" s="136"/>
      <c r="BL137" s="137"/>
      <c r="BM137" s="137"/>
      <c r="BP137" s="134" t="str">
        <f>IF(COUNTIF(BP$7:BP136,B137)&gt;0,"",B137)&amp;""</f>
        <v/>
      </c>
      <c r="BQ137" s="138">
        <f t="shared" si="64"/>
        <v>0</v>
      </c>
      <c r="BR137" s="132">
        <f t="shared" si="65"/>
        <v>1</v>
      </c>
      <c r="BS137" s="138">
        <f t="shared" si="66"/>
        <v>0</v>
      </c>
      <c r="BT137" s="132">
        <f t="shared" si="67"/>
        <v>2</v>
      </c>
      <c r="BU137" s="133"/>
      <c r="BV137" s="133"/>
      <c r="BX137" s="1256">
        <v>43100</v>
      </c>
      <c r="BY137" s="165">
        <f>IFERROR(LOOKUP(BX137,基础数据!A:D),1)</f>
        <v>3.53915880885741</v>
      </c>
      <c r="BZ137" s="165">
        <f t="shared" si="48"/>
        <v>1.00524445538375</v>
      </c>
      <c r="CA137" s="165" t="e">
        <f t="shared" si="49"/>
        <v>#VALUE!</v>
      </c>
      <c r="CB137" s="165">
        <f t="shared" si="70"/>
        <v>90</v>
      </c>
      <c r="CC137" s="165" t="e">
        <f t="shared" si="50"/>
        <v>#VALUE!</v>
      </c>
      <c r="CD137" s="1257" t="s">
        <v>2237</v>
      </c>
    </row>
    <row r="138" ht="15" customHeight="1" spans="1:82">
      <c r="A138" s="123" t="str">
        <f>IF(B138="","",COUNT(A$7:A137)+1)</f>
        <v/>
      </c>
      <c r="B138" s="139"/>
      <c r="C138" s="139"/>
      <c r="D138" s="141"/>
      <c r="E138" s="126"/>
      <c r="F138" s="142"/>
      <c r="G138" s="127"/>
      <c r="H138" s="128"/>
      <c r="I138" s="128"/>
      <c r="J138" s="980"/>
      <c r="K138" s="143"/>
      <c r="L138" s="143"/>
      <c r="M138" s="129"/>
      <c r="N138" s="144"/>
      <c r="O138" s="144"/>
      <c r="P138" s="144"/>
      <c r="Q138" s="143"/>
      <c r="R138" s="353" t="str">
        <f t="shared" si="62"/>
        <v/>
      </c>
      <c r="S138" s="129" t="str">
        <f t="shared" si="57"/>
        <v/>
      </c>
      <c r="T138" s="1226" t="str">
        <f t="shared" ref="T138:T201" si="71">IF(B138="","",L138+O138)</f>
        <v/>
      </c>
      <c r="U138" s="1226" t="str">
        <f t="shared" ref="U138:U201" si="72">IF(B138="","",M138+P138)</f>
        <v/>
      </c>
      <c r="V138" s="353" t="str">
        <f t="shared" si="60"/>
        <v/>
      </c>
      <c r="W138" s="129">
        <v>0</v>
      </c>
      <c r="X138" s="129">
        <v>0</v>
      </c>
      <c r="Y138" s="129" t="str">
        <f t="shared" si="58"/>
        <v/>
      </c>
      <c r="Z138" s="129" t="str">
        <f t="shared" si="59"/>
        <v/>
      </c>
      <c r="AA138" s="145"/>
      <c r="BA138" s="78"/>
      <c r="BB138" s="132" t="s">
        <v>2377</v>
      </c>
      <c r="BC138" s="133"/>
      <c r="BD138" s="132" t="str">
        <f>IF(OR(B138="",BC138=""),"",COUNTIF(BC$8:BC138,"√"))</f>
        <v/>
      </c>
      <c r="BE138" s="134" t="str">
        <f t="shared" si="63"/>
        <v/>
      </c>
      <c r="BF138" s="135" t="str">
        <f t="shared" si="47"/>
        <v/>
      </c>
      <c r="BG138" s="135" t="str">
        <f t="shared" si="47"/>
        <v/>
      </c>
      <c r="BH138" s="136"/>
      <c r="BI138" s="136"/>
      <c r="BJ138" s="136"/>
      <c r="BK138" s="136"/>
      <c r="BL138" s="137"/>
      <c r="BM138" s="137"/>
      <c r="BP138" s="134" t="str">
        <f>IF(COUNTIF(BP$7:BP137,B138)&gt;0,"",B138)&amp;""</f>
        <v/>
      </c>
      <c r="BQ138" s="138">
        <f t="shared" si="64"/>
        <v>0</v>
      </c>
      <c r="BR138" s="132">
        <f t="shared" si="65"/>
        <v>1</v>
      </c>
      <c r="BS138" s="138">
        <f t="shared" si="66"/>
        <v>0</v>
      </c>
      <c r="BT138" s="132">
        <f t="shared" si="67"/>
        <v>2</v>
      </c>
      <c r="BU138" s="133"/>
      <c r="BV138" s="133"/>
      <c r="BX138" s="1256">
        <v>43100</v>
      </c>
      <c r="BY138" s="165">
        <f>IFERROR(LOOKUP(BX138,基础数据!A:D),1)</f>
        <v>3.53915880885741</v>
      </c>
      <c r="BZ138" s="165">
        <f t="shared" si="48"/>
        <v>1.00524445538375</v>
      </c>
      <c r="CA138" s="165" t="e">
        <f t="shared" si="49"/>
        <v>#VALUE!</v>
      </c>
      <c r="CB138" s="165">
        <f t="shared" si="70"/>
        <v>90</v>
      </c>
      <c r="CC138" s="165" t="e">
        <f t="shared" si="50"/>
        <v>#VALUE!</v>
      </c>
      <c r="CD138" s="1257" t="s">
        <v>2237</v>
      </c>
    </row>
    <row r="139" ht="15" customHeight="1" spans="1:82">
      <c r="A139" s="123" t="str">
        <f>IF(B139="","",COUNT(A$7:A138)+1)</f>
        <v/>
      </c>
      <c r="B139" s="139"/>
      <c r="C139" s="139"/>
      <c r="D139" s="141"/>
      <c r="E139" s="126"/>
      <c r="F139" s="142"/>
      <c r="G139" s="127"/>
      <c r="H139" s="128"/>
      <c r="I139" s="128"/>
      <c r="J139" s="980"/>
      <c r="K139" s="143"/>
      <c r="L139" s="143"/>
      <c r="M139" s="129"/>
      <c r="N139" s="144"/>
      <c r="O139" s="144"/>
      <c r="P139" s="144"/>
      <c r="Q139" s="143"/>
      <c r="R139" s="353" t="str">
        <f t="shared" si="62"/>
        <v/>
      </c>
      <c r="S139" s="129" t="str">
        <f t="shared" si="57"/>
        <v/>
      </c>
      <c r="T139" s="1226" t="str">
        <f t="shared" si="71"/>
        <v/>
      </c>
      <c r="U139" s="1226" t="str">
        <f t="shared" si="72"/>
        <v/>
      </c>
      <c r="V139" s="353" t="str">
        <f t="shared" si="60"/>
        <v/>
      </c>
      <c r="W139" s="129">
        <v>0</v>
      </c>
      <c r="X139" s="129">
        <v>0</v>
      </c>
      <c r="Y139" s="129" t="str">
        <f t="shared" si="58"/>
        <v/>
      </c>
      <c r="Z139" s="129" t="str">
        <f t="shared" si="59"/>
        <v/>
      </c>
      <c r="AA139" s="145"/>
      <c r="BA139" s="78"/>
      <c r="BB139" s="132" t="s">
        <v>2378</v>
      </c>
      <c r="BC139" s="133"/>
      <c r="BD139" s="132" t="str">
        <f>IF(OR(B139="",BC139=""),"",COUNTIF(BC$8:BC139,"√"))</f>
        <v/>
      </c>
      <c r="BE139" s="134" t="str">
        <f t="shared" si="63"/>
        <v/>
      </c>
      <c r="BF139" s="135" t="str">
        <f t="shared" si="47"/>
        <v/>
      </c>
      <c r="BG139" s="135" t="str">
        <f t="shared" si="47"/>
        <v/>
      </c>
      <c r="BH139" s="136"/>
      <c r="BI139" s="136"/>
      <c r="BJ139" s="136"/>
      <c r="BK139" s="136"/>
      <c r="BL139" s="137"/>
      <c r="BM139" s="137"/>
      <c r="BP139" s="134" t="str">
        <f>IF(COUNTIF(BP$7:BP138,B139)&gt;0,"",B139)&amp;""</f>
        <v/>
      </c>
      <c r="BQ139" s="138">
        <f t="shared" si="64"/>
        <v>0</v>
      </c>
      <c r="BR139" s="132">
        <f t="shared" si="65"/>
        <v>1</v>
      </c>
      <c r="BS139" s="138">
        <f t="shared" si="66"/>
        <v>0</v>
      </c>
      <c r="BT139" s="132">
        <f t="shared" si="67"/>
        <v>2</v>
      </c>
      <c r="BU139" s="133"/>
      <c r="BV139" s="133"/>
      <c r="BX139" s="1256">
        <v>43100</v>
      </c>
      <c r="BY139" s="165">
        <f>IFERROR(LOOKUP(BX139,基础数据!A:D),1)</f>
        <v>3.53915880885741</v>
      </c>
      <c r="BZ139" s="165">
        <f t="shared" si="48"/>
        <v>1.00524445538375</v>
      </c>
      <c r="CA139" s="165" t="e">
        <f t="shared" si="49"/>
        <v>#VALUE!</v>
      </c>
      <c r="CB139" s="165">
        <f t="shared" si="70"/>
        <v>90</v>
      </c>
      <c r="CC139" s="165" t="e">
        <f t="shared" si="50"/>
        <v>#VALUE!</v>
      </c>
      <c r="CD139" s="1257" t="s">
        <v>2237</v>
      </c>
    </row>
    <row r="140" ht="15" customHeight="1" spans="1:82">
      <c r="A140" s="123" t="str">
        <f>IF(B140="","",COUNT(A$7:A139)+1)</f>
        <v/>
      </c>
      <c r="B140" s="139"/>
      <c r="C140" s="139"/>
      <c r="D140" s="141"/>
      <c r="E140" s="126"/>
      <c r="F140" s="142"/>
      <c r="G140" s="127"/>
      <c r="H140" s="128"/>
      <c r="I140" s="128"/>
      <c r="J140" s="980"/>
      <c r="K140" s="143"/>
      <c r="L140" s="143"/>
      <c r="M140" s="129"/>
      <c r="N140" s="144"/>
      <c r="O140" s="144"/>
      <c r="P140" s="144"/>
      <c r="Q140" s="143"/>
      <c r="R140" s="353" t="str">
        <f t="shared" si="62"/>
        <v/>
      </c>
      <c r="S140" s="129" t="str">
        <f t="shared" si="57"/>
        <v/>
      </c>
      <c r="T140" s="1226" t="str">
        <f t="shared" si="71"/>
        <v/>
      </c>
      <c r="U140" s="1226" t="str">
        <f t="shared" si="72"/>
        <v/>
      </c>
      <c r="V140" s="353" t="str">
        <f t="shared" si="60"/>
        <v/>
      </c>
      <c r="W140" s="129">
        <v>0</v>
      </c>
      <c r="X140" s="129">
        <v>0</v>
      </c>
      <c r="Y140" s="129" t="str">
        <f t="shared" si="58"/>
        <v/>
      </c>
      <c r="Z140" s="129" t="str">
        <f t="shared" si="59"/>
        <v/>
      </c>
      <c r="AA140" s="145"/>
      <c r="BA140" s="78"/>
      <c r="BB140" s="132" t="s">
        <v>2379</v>
      </c>
      <c r="BC140" s="133"/>
      <c r="BD140" s="132" t="str">
        <f>IF(OR(B140="",BC140=""),"",COUNTIF(BC$8:BC140,"√"))</f>
        <v/>
      </c>
      <c r="BE140" s="134" t="str">
        <f t="shared" si="63"/>
        <v/>
      </c>
      <c r="BF140" s="135" t="str">
        <f t="shared" si="47"/>
        <v/>
      </c>
      <c r="BG140" s="135" t="str">
        <f t="shared" si="47"/>
        <v/>
      </c>
      <c r="BH140" s="136"/>
      <c r="BI140" s="136"/>
      <c r="BJ140" s="136"/>
      <c r="BK140" s="136"/>
      <c r="BL140" s="137"/>
      <c r="BM140" s="137"/>
      <c r="BP140" s="134" t="str">
        <f>IF(COUNTIF(BP$7:BP139,B140)&gt;0,"",B140)&amp;""</f>
        <v/>
      </c>
      <c r="BQ140" s="138">
        <f t="shared" si="64"/>
        <v>0</v>
      </c>
      <c r="BR140" s="132">
        <f t="shared" si="65"/>
        <v>1</v>
      </c>
      <c r="BS140" s="138">
        <f t="shared" si="66"/>
        <v>0</v>
      </c>
      <c r="BT140" s="132">
        <f t="shared" si="67"/>
        <v>2</v>
      </c>
      <c r="BU140" s="133"/>
      <c r="BV140" s="133"/>
      <c r="BX140" s="1256">
        <v>43100</v>
      </c>
      <c r="BY140" s="165">
        <f>IFERROR(LOOKUP(BX140,基础数据!A:D),1)</f>
        <v>3.53915880885741</v>
      </c>
      <c r="BZ140" s="165">
        <f t="shared" si="48"/>
        <v>1.00524445538375</v>
      </c>
      <c r="CA140" s="165" t="e">
        <f t="shared" si="49"/>
        <v>#VALUE!</v>
      </c>
      <c r="CB140" s="165">
        <f t="shared" ref="CB140:CB143" si="73">CO$2</f>
        <v>95</v>
      </c>
      <c r="CC140" s="165" t="e">
        <f t="shared" si="50"/>
        <v>#VALUE!</v>
      </c>
      <c r="CD140" s="1260" t="s">
        <v>2236</v>
      </c>
    </row>
    <row r="141" ht="15" customHeight="1" spans="1:82">
      <c r="A141" s="123" t="str">
        <f>IF(B141="","",COUNT(A$7:A140)+1)</f>
        <v/>
      </c>
      <c r="B141" s="798"/>
      <c r="C141" s="139"/>
      <c r="D141" s="141"/>
      <c r="E141" s="126"/>
      <c r="F141" s="142"/>
      <c r="G141" s="127"/>
      <c r="H141" s="128"/>
      <c r="I141" s="128"/>
      <c r="J141" s="980"/>
      <c r="K141" s="143"/>
      <c r="L141" s="143"/>
      <c r="M141" s="129"/>
      <c r="N141" s="144"/>
      <c r="O141" s="144"/>
      <c r="P141" s="144"/>
      <c r="Q141" s="143"/>
      <c r="R141" s="353" t="str">
        <f t="shared" si="62"/>
        <v/>
      </c>
      <c r="S141" s="129" t="str">
        <f t="shared" si="57"/>
        <v/>
      </c>
      <c r="T141" s="1226" t="str">
        <f t="shared" si="71"/>
        <v/>
      </c>
      <c r="U141" s="1226" t="str">
        <f t="shared" si="72"/>
        <v/>
      </c>
      <c r="V141" s="353" t="str">
        <f t="shared" si="60"/>
        <v/>
      </c>
      <c r="W141" s="129">
        <v>0</v>
      </c>
      <c r="X141" s="129">
        <v>0</v>
      </c>
      <c r="Y141" s="129" t="str">
        <f t="shared" si="58"/>
        <v/>
      </c>
      <c r="Z141" s="129" t="str">
        <f t="shared" si="59"/>
        <v/>
      </c>
      <c r="AA141" s="145"/>
      <c r="BA141" s="78"/>
      <c r="BB141" s="132" t="s">
        <v>2380</v>
      </c>
      <c r="BC141" s="133"/>
      <c r="BD141" s="132" t="str">
        <f>IF(OR(B141="",BC141=""),"",COUNTIF(BC$8:BC141,"√"))</f>
        <v/>
      </c>
      <c r="BE141" s="134" t="str">
        <f t="shared" si="63"/>
        <v/>
      </c>
      <c r="BF141" s="135" t="str">
        <f t="shared" si="47"/>
        <v/>
      </c>
      <c r="BG141" s="135" t="str">
        <f t="shared" si="47"/>
        <v/>
      </c>
      <c r="BH141" s="136"/>
      <c r="BI141" s="136"/>
      <c r="BJ141" s="136"/>
      <c r="BK141" s="136"/>
      <c r="BL141" s="137"/>
      <c r="BM141" s="137"/>
      <c r="BO141" s="1262"/>
      <c r="BP141" s="134" t="str">
        <f>IF(COUNTIF(BP$7:BP140,B141)&gt;0,"",B141)&amp;""</f>
        <v/>
      </c>
      <c r="BQ141" s="138">
        <f t="shared" si="64"/>
        <v>0</v>
      </c>
      <c r="BR141" s="132">
        <f t="shared" si="65"/>
        <v>1</v>
      </c>
      <c r="BS141" s="138">
        <f t="shared" si="66"/>
        <v>0</v>
      </c>
      <c r="BT141" s="132">
        <f t="shared" si="67"/>
        <v>2</v>
      </c>
      <c r="BU141" s="133"/>
      <c r="BV141" s="133"/>
      <c r="BX141" s="1256">
        <v>43100</v>
      </c>
      <c r="BY141" s="165">
        <f>IFERROR(LOOKUP(BX141,基础数据!A:D),1)</f>
        <v>3.53915880885741</v>
      </c>
      <c r="BZ141" s="165">
        <f t="shared" si="48"/>
        <v>1.00524445538375</v>
      </c>
      <c r="CA141" s="165">
        <f>ROUND(BN141/1.13,0)</f>
        <v>0</v>
      </c>
      <c r="CB141" s="165">
        <f t="shared" si="73"/>
        <v>95</v>
      </c>
      <c r="CC141" s="165">
        <f t="shared" si="50"/>
        <v>0</v>
      </c>
      <c r="CD141" s="1260" t="s">
        <v>2236</v>
      </c>
    </row>
    <row r="142" ht="15" customHeight="1" spans="1:82">
      <c r="A142" s="123" t="str">
        <f>IF(B142="","",COUNT(A$7:A141)+1)</f>
        <v/>
      </c>
      <c r="B142" s="139"/>
      <c r="C142" s="139"/>
      <c r="D142" s="141"/>
      <c r="E142" s="126"/>
      <c r="F142" s="142"/>
      <c r="G142" s="127"/>
      <c r="H142" s="128"/>
      <c r="I142" s="128"/>
      <c r="J142" s="980"/>
      <c r="K142" s="143"/>
      <c r="L142" s="143"/>
      <c r="M142" s="129"/>
      <c r="N142" s="144"/>
      <c r="O142" s="144"/>
      <c r="P142" s="144"/>
      <c r="Q142" s="143"/>
      <c r="R142" s="353" t="str">
        <f t="shared" si="62"/>
        <v/>
      </c>
      <c r="S142" s="129" t="str">
        <f t="shared" si="57"/>
        <v/>
      </c>
      <c r="T142" s="1226" t="str">
        <f t="shared" si="71"/>
        <v/>
      </c>
      <c r="U142" s="1226" t="str">
        <f t="shared" si="72"/>
        <v/>
      </c>
      <c r="V142" s="353" t="str">
        <f t="shared" si="60"/>
        <v/>
      </c>
      <c r="W142" s="129">
        <v>0</v>
      </c>
      <c r="X142" s="129">
        <v>0</v>
      </c>
      <c r="Y142" s="129" t="str">
        <f t="shared" si="58"/>
        <v/>
      </c>
      <c r="Z142" s="129" t="str">
        <f t="shared" si="59"/>
        <v/>
      </c>
      <c r="AA142" s="145"/>
      <c r="BA142" s="78"/>
      <c r="BB142" s="132" t="s">
        <v>2381</v>
      </c>
      <c r="BC142" s="133"/>
      <c r="BD142" s="132" t="str">
        <f>IF(OR(B142="",BC142=""),"",COUNTIF(BC$8:BC142,"√"))</f>
        <v/>
      </c>
      <c r="BE142" s="134" t="str">
        <f t="shared" si="63"/>
        <v/>
      </c>
      <c r="BF142" s="135" t="str">
        <f t="shared" si="47"/>
        <v/>
      </c>
      <c r="BG142" s="135" t="str">
        <f t="shared" si="47"/>
        <v/>
      </c>
      <c r="BH142" s="136"/>
      <c r="BI142" s="136"/>
      <c r="BJ142" s="136"/>
      <c r="BK142" s="136"/>
      <c r="BL142" s="137"/>
      <c r="BM142" s="137"/>
      <c r="BP142" s="134" t="str">
        <f>IF(COUNTIF(BP$7:BP141,B142)&gt;0,"",B142)&amp;""</f>
        <v/>
      </c>
      <c r="BQ142" s="138">
        <f t="shared" si="64"/>
        <v>0</v>
      </c>
      <c r="BR142" s="132">
        <f t="shared" si="65"/>
        <v>1</v>
      </c>
      <c r="BS142" s="138">
        <f t="shared" si="66"/>
        <v>0</v>
      </c>
      <c r="BT142" s="132">
        <f t="shared" si="67"/>
        <v>2</v>
      </c>
      <c r="BU142" s="133"/>
      <c r="BV142" s="133"/>
      <c r="BX142" s="1256">
        <v>43100</v>
      </c>
      <c r="BY142" s="165">
        <f>IFERROR(LOOKUP(BX142,基础数据!A:D),1)</f>
        <v>3.53915880885741</v>
      </c>
      <c r="BZ142" s="165">
        <f t="shared" si="48"/>
        <v>1.00524445538375</v>
      </c>
      <c r="CA142" s="165" t="e">
        <f t="shared" si="49"/>
        <v>#VALUE!</v>
      </c>
      <c r="CB142" s="165">
        <f t="shared" si="73"/>
        <v>95</v>
      </c>
      <c r="CC142" s="165" t="e">
        <f t="shared" si="50"/>
        <v>#VALUE!</v>
      </c>
      <c r="CD142" s="1260" t="s">
        <v>2236</v>
      </c>
    </row>
    <row r="143" ht="15" customHeight="1" spans="1:82">
      <c r="A143" s="123" t="str">
        <f>IF(B143="","",COUNT(A$7:A142)+1)</f>
        <v/>
      </c>
      <c r="B143" s="139"/>
      <c r="C143" s="139"/>
      <c r="D143" s="141"/>
      <c r="E143" s="126"/>
      <c r="F143" s="142"/>
      <c r="G143" s="127"/>
      <c r="H143" s="128"/>
      <c r="I143" s="128"/>
      <c r="J143" s="980"/>
      <c r="K143" s="143"/>
      <c r="L143" s="143"/>
      <c r="M143" s="129"/>
      <c r="N143" s="144"/>
      <c r="O143" s="144"/>
      <c r="P143" s="144"/>
      <c r="Q143" s="143"/>
      <c r="R143" s="353" t="str">
        <f t="shared" si="62"/>
        <v/>
      </c>
      <c r="S143" s="129" t="str">
        <f t="shared" si="57"/>
        <v/>
      </c>
      <c r="T143" s="1226" t="str">
        <f t="shared" si="71"/>
        <v/>
      </c>
      <c r="U143" s="1226" t="str">
        <f t="shared" si="72"/>
        <v/>
      </c>
      <c r="V143" s="353" t="str">
        <f t="shared" si="60"/>
        <v/>
      </c>
      <c r="W143" s="129">
        <v>0</v>
      </c>
      <c r="X143" s="129">
        <v>0</v>
      </c>
      <c r="Y143" s="129" t="str">
        <f t="shared" si="58"/>
        <v/>
      </c>
      <c r="Z143" s="129" t="str">
        <f t="shared" si="59"/>
        <v/>
      </c>
      <c r="AA143" s="145"/>
      <c r="BA143" s="78"/>
      <c r="BB143" s="132" t="s">
        <v>2382</v>
      </c>
      <c r="BC143" s="133"/>
      <c r="BD143" s="132" t="str">
        <f>IF(OR(B143="",BC143=""),"",COUNTIF(BC$8:BC143,"√"))</f>
        <v/>
      </c>
      <c r="BE143" s="134" t="str">
        <f t="shared" si="63"/>
        <v/>
      </c>
      <c r="BF143" s="135" t="str">
        <f t="shared" si="47"/>
        <v/>
      </c>
      <c r="BG143" s="135" t="str">
        <f t="shared" si="47"/>
        <v/>
      </c>
      <c r="BH143" s="136"/>
      <c r="BI143" s="136"/>
      <c r="BJ143" s="136"/>
      <c r="BK143" s="136"/>
      <c r="BL143" s="137"/>
      <c r="BM143" s="137"/>
      <c r="BP143" s="134" t="str">
        <f>IF(COUNTIF(BP$7:BP142,B143)&gt;0,"",B143)&amp;""</f>
        <v/>
      </c>
      <c r="BQ143" s="138">
        <f t="shared" si="64"/>
        <v>0</v>
      </c>
      <c r="BR143" s="132">
        <f t="shared" si="65"/>
        <v>1</v>
      </c>
      <c r="BS143" s="138">
        <f t="shared" si="66"/>
        <v>0</v>
      </c>
      <c r="BT143" s="132">
        <f t="shared" si="67"/>
        <v>2</v>
      </c>
      <c r="BU143" s="133"/>
      <c r="BV143" s="133"/>
      <c r="BX143" s="1256">
        <v>43100</v>
      </c>
      <c r="BY143" s="165">
        <f>IFERROR(LOOKUP(BX143,基础数据!A:D),1)</f>
        <v>3.53915880885741</v>
      </c>
      <c r="BZ143" s="165">
        <f t="shared" si="48"/>
        <v>1.00524445538375</v>
      </c>
      <c r="CA143" s="165" t="e">
        <f t="shared" si="49"/>
        <v>#VALUE!</v>
      </c>
      <c r="CB143" s="165">
        <f t="shared" si="73"/>
        <v>95</v>
      </c>
      <c r="CC143" s="165" t="e">
        <f t="shared" si="50"/>
        <v>#VALUE!</v>
      </c>
      <c r="CD143" s="1260" t="s">
        <v>2236</v>
      </c>
    </row>
    <row r="144" ht="15" customHeight="1" spans="1:82">
      <c r="A144" s="123" t="str">
        <f>IF(B144="","",COUNT(A$7:A143)+1)</f>
        <v/>
      </c>
      <c r="B144" s="139"/>
      <c r="C144" s="139"/>
      <c r="D144" s="141"/>
      <c r="E144" s="126"/>
      <c r="F144" s="142"/>
      <c r="G144" s="127"/>
      <c r="H144" s="128"/>
      <c r="I144" s="128"/>
      <c r="J144" s="980"/>
      <c r="K144" s="143"/>
      <c r="L144" s="143"/>
      <c r="M144" s="129"/>
      <c r="N144" s="144"/>
      <c r="O144" s="144"/>
      <c r="P144" s="144"/>
      <c r="Q144" s="143"/>
      <c r="R144" s="353" t="str">
        <f t="shared" si="62"/>
        <v/>
      </c>
      <c r="S144" s="129" t="str">
        <f t="shared" si="57"/>
        <v/>
      </c>
      <c r="T144" s="1226" t="str">
        <f t="shared" si="71"/>
        <v/>
      </c>
      <c r="U144" s="1226" t="str">
        <f t="shared" si="72"/>
        <v/>
      </c>
      <c r="V144" s="353" t="str">
        <f t="shared" si="60"/>
        <v/>
      </c>
      <c r="W144" s="129">
        <v>0</v>
      </c>
      <c r="X144" s="129">
        <v>0</v>
      </c>
      <c r="Y144" s="129" t="str">
        <f t="shared" si="58"/>
        <v/>
      </c>
      <c r="Z144" s="129" t="str">
        <f t="shared" si="59"/>
        <v/>
      </c>
      <c r="AA144" s="145"/>
      <c r="BA144" s="78"/>
      <c r="BB144" s="132" t="s">
        <v>2383</v>
      </c>
      <c r="BC144" s="133"/>
      <c r="BD144" s="132" t="str">
        <f>IF(OR(B144="",BC144=""),"",COUNTIF(BC$8:BC144,"√"))</f>
        <v/>
      </c>
      <c r="BE144" s="134" t="str">
        <f t="shared" si="63"/>
        <v/>
      </c>
      <c r="BF144" s="135" t="str">
        <f t="shared" si="47"/>
        <v/>
      </c>
      <c r="BG144" s="135" t="str">
        <f t="shared" si="47"/>
        <v/>
      </c>
      <c r="BH144" s="136"/>
      <c r="BI144" s="136"/>
      <c r="BJ144" s="136"/>
      <c r="BK144" s="136"/>
      <c r="BL144" s="137"/>
      <c r="BM144" s="137"/>
      <c r="BP144" s="134" t="str">
        <f>IF(COUNTIF(BP$7:BP143,B144)&gt;0,"",B144)&amp;""</f>
        <v/>
      </c>
      <c r="BQ144" s="138">
        <f t="shared" si="64"/>
        <v>0</v>
      </c>
      <c r="BR144" s="132">
        <f t="shared" si="65"/>
        <v>1</v>
      </c>
      <c r="BS144" s="138">
        <f t="shared" si="66"/>
        <v>0</v>
      </c>
      <c r="BT144" s="132">
        <f t="shared" si="67"/>
        <v>2</v>
      </c>
      <c r="BU144" s="133"/>
      <c r="BV144" s="133"/>
      <c r="BX144" s="1256">
        <v>43100</v>
      </c>
      <c r="BY144" s="165">
        <f>IFERROR(LOOKUP(BX144,基础数据!A:D),1)</f>
        <v>3.53915880885741</v>
      </c>
      <c r="BZ144" s="165">
        <f t="shared" si="48"/>
        <v>1.00524445538375</v>
      </c>
      <c r="CA144" s="165" t="e">
        <f t="shared" si="49"/>
        <v>#VALUE!</v>
      </c>
      <c r="CB144" s="165">
        <f t="shared" ref="CB144:CB161" si="74">CO$3</f>
        <v>90</v>
      </c>
      <c r="CC144" s="165" t="e">
        <f t="shared" si="50"/>
        <v>#VALUE!</v>
      </c>
      <c r="CD144" s="1257" t="s">
        <v>2237</v>
      </c>
    </row>
    <row r="145" ht="15" customHeight="1" spans="1:82">
      <c r="A145" s="123" t="str">
        <f>IF(B145="","",COUNT(A$7:A144)+1)</f>
        <v/>
      </c>
      <c r="B145" s="798"/>
      <c r="C145" s="139"/>
      <c r="D145" s="141"/>
      <c r="E145" s="126"/>
      <c r="F145" s="142"/>
      <c r="G145" s="127"/>
      <c r="H145" s="128"/>
      <c r="I145" s="128"/>
      <c r="J145" s="980"/>
      <c r="K145" s="143"/>
      <c r="L145" s="143"/>
      <c r="M145" s="129"/>
      <c r="N145" s="144"/>
      <c r="O145" s="144"/>
      <c r="P145" s="144"/>
      <c r="Q145" s="143"/>
      <c r="R145" s="353" t="str">
        <f t="shared" si="62"/>
        <v/>
      </c>
      <c r="S145" s="129" t="str">
        <f t="shared" si="57"/>
        <v/>
      </c>
      <c r="T145" s="1226" t="str">
        <f t="shared" si="71"/>
        <v/>
      </c>
      <c r="U145" s="1226" t="str">
        <f t="shared" si="72"/>
        <v/>
      </c>
      <c r="V145" s="353" t="str">
        <f t="shared" si="60"/>
        <v/>
      </c>
      <c r="W145" s="129">
        <v>0</v>
      </c>
      <c r="X145" s="129">
        <v>0</v>
      </c>
      <c r="Y145" s="129" t="str">
        <f t="shared" si="58"/>
        <v/>
      </c>
      <c r="Z145" s="129" t="str">
        <f t="shared" si="59"/>
        <v/>
      </c>
      <c r="AA145" s="145"/>
      <c r="BA145" s="78"/>
      <c r="BB145" s="132" t="s">
        <v>2384</v>
      </c>
      <c r="BC145" s="133"/>
      <c r="BD145" s="132" t="str">
        <f>IF(OR(B145="",BC145=""),"",COUNTIF(BC$8:BC145,"√"))</f>
        <v/>
      </c>
      <c r="BE145" s="134" t="str">
        <f t="shared" si="63"/>
        <v/>
      </c>
      <c r="BF145" s="135" t="str">
        <f t="shared" si="47"/>
        <v/>
      </c>
      <c r="BG145" s="135" t="str">
        <f t="shared" si="47"/>
        <v/>
      </c>
      <c r="BH145" s="136"/>
      <c r="BI145" s="136"/>
      <c r="BJ145" s="136"/>
      <c r="BK145" s="136"/>
      <c r="BL145" s="137"/>
      <c r="BM145" s="137"/>
      <c r="BO145" s="1262"/>
      <c r="BP145" s="134" t="str">
        <f>IF(COUNTIF(BP$7:BP144,B145)&gt;0,"",B145)&amp;""</f>
        <v/>
      </c>
      <c r="BQ145" s="138">
        <f t="shared" si="64"/>
        <v>0</v>
      </c>
      <c r="BR145" s="132">
        <f t="shared" si="65"/>
        <v>1</v>
      </c>
      <c r="BS145" s="138">
        <f t="shared" si="66"/>
        <v>0</v>
      </c>
      <c r="BT145" s="132">
        <f t="shared" si="67"/>
        <v>2</v>
      </c>
      <c r="BU145" s="133"/>
      <c r="BV145" s="133"/>
      <c r="BX145" s="1256">
        <v>43100</v>
      </c>
      <c r="BY145" s="165">
        <f>IFERROR(LOOKUP(BX145,基础数据!A:D),1)</f>
        <v>3.53915880885741</v>
      </c>
      <c r="BZ145" s="165">
        <f t="shared" si="48"/>
        <v>1.00524445538375</v>
      </c>
      <c r="CA145" s="165">
        <f>ROUND(BN145/1.13,0)</f>
        <v>0</v>
      </c>
      <c r="CB145" s="165">
        <f t="shared" si="74"/>
        <v>90</v>
      </c>
      <c r="CC145" s="165">
        <f t="shared" si="50"/>
        <v>0</v>
      </c>
      <c r="CD145" s="1257" t="s">
        <v>2237</v>
      </c>
    </row>
    <row r="146" ht="15" customHeight="1" spans="1:82">
      <c r="A146" s="123" t="str">
        <f>IF(B146="","",COUNT(A$7:A145)+1)</f>
        <v/>
      </c>
      <c r="B146" s="798"/>
      <c r="C146" s="798"/>
      <c r="D146" s="141"/>
      <c r="E146" s="126"/>
      <c r="F146" s="142"/>
      <c r="G146" s="127"/>
      <c r="H146" s="128"/>
      <c r="I146" s="128"/>
      <c r="J146" s="980"/>
      <c r="K146" s="143"/>
      <c r="L146" s="143"/>
      <c r="M146" s="129"/>
      <c r="N146" s="144"/>
      <c r="O146" s="144"/>
      <c r="P146" s="144"/>
      <c r="Q146" s="143"/>
      <c r="R146" s="353" t="str">
        <f t="shared" si="62"/>
        <v/>
      </c>
      <c r="S146" s="129" t="str">
        <f t="shared" si="57"/>
        <v/>
      </c>
      <c r="T146" s="1226" t="str">
        <f t="shared" si="71"/>
        <v/>
      </c>
      <c r="U146" s="1226" t="str">
        <f t="shared" si="72"/>
        <v/>
      </c>
      <c r="V146" s="353" t="str">
        <f t="shared" si="60"/>
        <v/>
      </c>
      <c r="W146" s="129">
        <v>0</v>
      </c>
      <c r="X146" s="129">
        <v>0</v>
      </c>
      <c r="Y146" s="129" t="str">
        <f t="shared" si="58"/>
        <v/>
      </c>
      <c r="Z146" s="129"/>
      <c r="AA146" s="950"/>
      <c r="BA146" s="78"/>
      <c r="BB146" s="132"/>
      <c r="BC146" s="133"/>
      <c r="BD146" s="132"/>
      <c r="BE146" s="134"/>
      <c r="BF146" s="135"/>
      <c r="BG146" s="135"/>
      <c r="BH146" s="136"/>
      <c r="BI146" s="136"/>
      <c r="BJ146" s="136"/>
      <c r="BK146" s="136"/>
      <c r="BL146" s="137"/>
      <c r="BM146" s="137"/>
      <c r="BO146" s="1262"/>
      <c r="BP146" s="134"/>
      <c r="BQ146" s="138"/>
      <c r="BR146" s="132"/>
      <c r="BS146" s="138"/>
      <c r="BT146" s="132"/>
      <c r="BU146" s="133"/>
      <c r="BV146" s="133"/>
      <c r="BX146" s="1256">
        <v>43100</v>
      </c>
      <c r="BY146" s="165"/>
      <c r="BZ146" s="165"/>
      <c r="CA146" s="165"/>
      <c r="CB146" s="165"/>
      <c r="CC146" s="165"/>
      <c r="CD146" s="1257"/>
    </row>
    <row r="147" ht="15" customHeight="1" spans="1:82">
      <c r="A147" s="123" t="str">
        <f>IF(B147="","",COUNT(A$7:A145)+1)</f>
        <v/>
      </c>
      <c r="B147" s="139"/>
      <c r="C147" s="139"/>
      <c r="D147" s="141"/>
      <c r="E147" s="126"/>
      <c r="F147" s="142"/>
      <c r="G147" s="127"/>
      <c r="H147" s="128"/>
      <c r="I147" s="128"/>
      <c r="J147" s="980"/>
      <c r="K147" s="143"/>
      <c r="L147" s="143"/>
      <c r="M147" s="129"/>
      <c r="N147" s="144"/>
      <c r="O147" s="144"/>
      <c r="P147" s="144"/>
      <c r="Q147" s="143"/>
      <c r="R147" s="353" t="str">
        <f t="shared" si="62"/>
        <v/>
      </c>
      <c r="S147" s="129" t="str">
        <f t="shared" si="57"/>
        <v/>
      </c>
      <c r="T147" s="1226" t="str">
        <f t="shared" si="71"/>
        <v/>
      </c>
      <c r="U147" s="1226" t="str">
        <f t="shared" si="72"/>
        <v/>
      </c>
      <c r="V147" s="353" t="str">
        <f t="shared" si="60"/>
        <v/>
      </c>
      <c r="W147" s="129">
        <v>0</v>
      </c>
      <c r="X147" s="129">
        <v>0</v>
      </c>
      <c r="Y147" s="129" t="str">
        <f t="shared" si="58"/>
        <v/>
      </c>
      <c r="Z147" s="129" t="str">
        <f t="shared" si="59"/>
        <v/>
      </c>
      <c r="AA147" s="145"/>
      <c r="BA147" s="78"/>
      <c r="BB147" s="132" t="s">
        <v>2385</v>
      </c>
      <c r="BC147" s="133"/>
      <c r="BD147" s="132" t="str">
        <f>IF(OR(B147="",BC147=""),"",COUNTIF(BC$8:BC147,"√"))</f>
        <v/>
      </c>
      <c r="BE147" s="134" t="str">
        <f t="shared" ref="BE147:BE210" si="75">IF(BC147="","",BB147&amp;"︱"&amp;B147&amp;"︱"&amp;TEXT(L147,"#,##0.00"))</f>
        <v/>
      </c>
      <c r="BF147" s="135" t="str">
        <f t="shared" si="47"/>
        <v/>
      </c>
      <c r="BG147" s="135" t="str">
        <f t="shared" si="47"/>
        <v/>
      </c>
      <c r="BH147" s="136"/>
      <c r="BI147" s="136"/>
      <c r="BJ147" s="136"/>
      <c r="BK147" s="136"/>
      <c r="BL147" s="137"/>
      <c r="BM147" s="137"/>
      <c r="BP147" s="134" t="str">
        <f>IF(COUNTIF(BP$7:BP145,B147)&gt;0,"",B147)&amp;""</f>
        <v/>
      </c>
      <c r="BQ147" s="138">
        <f t="shared" ref="BQ147:BQ210" si="76">SUMIF(B$8:B$397,BP147,T$8:T$397)</f>
        <v>0</v>
      </c>
      <c r="BR147" s="132">
        <f t="shared" ref="BR147:BR210" si="77">RANK(BQ147,BQ$8:BQ$397)</f>
        <v>1</v>
      </c>
      <c r="BS147" s="138">
        <f t="shared" ref="BS147:BS210" si="78">SUMIF(B$8:B$397,BP147,X$8:X$397)</f>
        <v>0</v>
      </c>
      <c r="BT147" s="132">
        <f t="shared" ref="BT147:BT210" si="79">RANK(BS147,BS$8:BS$397)</f>
        <v>2</v>
      </c>
      <c r="BU147" s="133"/>
      <c r="BV147" s="133"/>
      <c r="BX147" s="1256">
        <v>43100</v>
      </c>
      <c r="BY147" s="165">
        <f>IFERROR(LOOKUP(BX147,基础数据!A:D),1)</f>
        <v>3.53915880885741</v>
      </c>
      <c r="BZ147" s="165">
        <f t="shared" si="48"/>
        <v>1.00524445538375</v>
      </c>
      <c r="CA147" s="165" t="e">
        <f t="shared" si="49"/>
        <v>#VALUE!</v>
      </c>
      <c r="CB147" s="165">
        <f t="shared" si="74"/>
        <v>90</v>
      </c>
      <c r="CC147" s="165" t="e">
        <f t="shared" si="50"/>
        <v>#VALUE!</v>
      </c>
      <c r="CD147" s="1257" t="s">
        <v>2237</v>
      </c>
    </row>
    <row r="148" ht="15" customHeight="1" spans="1:82">
      <c r="A148" s="123" t="str">
        <f>IF(B148="","",COUNT(A$7:A147)+1)</f>
        <v/>
      </c>
      <c r="B148" s="139"/>
      <c r="C148" s="139"/>
      <c r="D148" s="141"/>
      <c r="E148" s="126"/>
      <c r="F148" s="142"/>
      <c r="G148" s="127"/>
      <c r="H148" s="128"/>
      <c r="I148" s="128"/>
      <c r="J148" s="980"/>
      <c r="K148" s="143"/>
      <c r="L148" s="143"/>
      <c r="M148" s="129"/>
      <c r="N148" s="144"/>
      <c r="O148" s="144"/>
      <c r="P148" s="144"/>
      <c r="Q148" s="143"/>
      <c r="R148" s="353" t="str">
        <f t="shared" si="62"/>
        <v/>
      </c>
      <c r="S148" s="129" t="str">
        <f t="shared" si="57"/>
        <v/>
      </c>
      <c r="T148" s="1226" t="str">
        <f t="shared" si="71"/>
        <v/>
      </c>
      <c r="U148" s="1226" t="str">
        <f t="shared" si="72"/>
        <v/>
      </c>
      <c r="V148" s="353" t="str">
        <f t="shared" si="60"/>
        <v/>
      </c>
      <c r="W148" s="129">
        <v>0</v>
      </c>
      <c r="X148" s="129">
        <v>0</v>
      </c>
      <c r="Y148" s="129" t="str">
        <f t="shared" si="58"/>
        <v/>
      </c>
      <c r="Z148" s="129" t="str">
        <f t="shared" si="59"/>
        <v/>
      </c>
      <c r="AA148" s="145"/>
      <c r="BA148" s="78"/>
      <c r="BB148" s="132" t="s">
        <v>2386</v>
      </c>
      <c r="BC148" s="133"/>
      <c r="BD148" s="132" t="str">
        <f>IF(OR(B148="",BC148=""),"",COUNTIF(BC$8:BC148,"√"))</f>
        <v/>
      </c>
      <c r="BE148" s="134" t="str">
        <f t="shared" si="75"/>
        <v/>
      </c>
      <c r="BF148" s="135" t="str">
        <f t="shared" si="47"/>
        <v/>
      </c>
      <c r="BG148" s="135" t="str">
        <f t="shared" si="47"/>
        <v/>
      </c>
      <c r="BH148" s="136"/>
      <c r="BI148" s="136"/>
      <c r="BJ148" s="136"/>
      <c r="BK148" s="136"/>
      <c r="BL148" s="137"/>
      <c r="BM148" s="137"/>
      <c r="BP148" s="134" t="str">
        <f>IF(COUNTIF(BP$7:BP147,B148)&gt;0,"",B148)&amp;""</f>
        <v/>
      </c>
      <c r="BQ148" s="138">
        <f t="shared" si="76"/>
        <v>0</v>
      </c>
      <c r="BR148" s="132">
        <f t="shared" si="77"/>
        <v>1</v>
      </c>
      <c r="BS148" s="138">
        <f t="shared" si="78"/>
        <v>0</v>
      </c>
      <c r="BT148" s="132">
        <f t="shared" si="79"/>
        <v>2</v>
      </c>
      <c r="BU148" s="133"/>
      <c r="BV148" s="133"/>
      <c r="BX148" s="1256">
        <v>43100</v>
      </c>
      <c r="BY148" s="165">
        <f>IFERROR(LOOKUP(BX148,基础数据!A:D),1)</f>
        <v>3.53915880885741</v>
      </c>
      <c r="BZ148" s="165">
        <f t="shared" si="48"/>
        <v>1.00524445538375</v>
      </c>
      <c r="CA148" s="165" t="e">
        <f t="shared" si="49"/>
        <v>#VALUE!</v>
      </c>
      <c r="CB148" s="165">
        <f t="shared" si="74"/>
        <v>90</v>
      </c>
      <c r="CC148" s="165" t="e">
        <f t="shared" si="50"/>
        <v>#VALUE!</v>
      </c>
      <c r="CD148" s="1257" t="s">
        <v>2237</v>
      </c>
    </row>
    <row r="149" ht="15" customHeight="1" spans="1:82">
      <c r="A149" s="123" t="str">
        <f>IF(B149="","",COUNT(A$7:A148)+1)</f>
        <v/>
      </c>
      <c r="B149" s="139"/>
      <c r="C149" s="139"/>
      <c r="D149" s="141"/>
      <c r="E149" s="126"/>
      <c r="F149" s="142"/>
      <c r="G149" s="127"/>
      <c r="H149" s="128"/>
      <c r="I149" s="128"/>
      <c r="J149" s="980"/>
      <c r="K149" s="143"/>
      <c r="L149" s="143"/>
      <c r="M149" s="129"/>
      <c r="N149" s="144"/>
      <c r="O149" s="144"/>
      <c r="P149" s="144"/>
      <c r="Q149" s="143"/>
      <c r="R149" s="353" t="str">
        <f t="shared" si="62"/>
        <v/>
      </c>
      <c r="S149" s="129" t="str">
        <f t="shared" si="57"/>
        <v/>
      </c>
      <c r="T149" s="1226" t="str">
        <f t="shared" si="71"/>
        <v/>
      </c>
      <c r="U149" s="1226" t="str">
        <f t="shared" si="72"/>
        <v/>
      </c>
      <c r="V149" s="353" t="str">
        <f t="shared" si="60"/>
        <v/>
      </c>
      <c r="W149" s="129">
        <v>0</v>
      </c>
      <c r="X149" s="129">
        <v>0</v>
      </c>
      <c r="Y149" s="129" t="str">
        <f t="shared" si="58"/>
        <v/>
      </c>
      <c r="Z149" s="129" t="str">
        <f t="shared" si="59"/>
        <v/>
      </c>
      <c r="AA149" s="145"/>
      <c r="BA149" s="78"/>
      <c r="BB149" s="132" t="s">
        <v>2387</v>
      </c>
      <c r="BC149" s="133"/>
      <c r="BD149" s="132" t="str">
        <f>IF(OR(B149="",BC149=""),"",COUNTIF(BC$8:BC149,"√"))</f>
        <v/>
      </c>
      <c r="BE149" s="134" t="str">
        <f t="shared" si="75"/>
        <v/>
      </c>
      <c r="BF149" s="135" t="str">
        <f t="shared" si="47"/>
        <v/>
      </c>
      <c r="BG149" s="135" t="str">
        <f t="shared" si="47"/>
        <v/>
      </c>
      <c r="BH149" s="136"/>
      <c r="BI149" s="136"/>
      <c r="BJ149" s="136"/>
      <c r="BK149" s="136"/>
      <c r="BL149" s="137"/>
      <c r="BM149" s="137"/>
      <c r="BP149" s="134" t="str">
        <f>IF(COUNTIF(BP$7:BP148,B149)&gt;0,"",B149)&amp;""</f>
        <v/>
      </c>
      <c r="BQ149" s="138">
        <f t="shared" si="76"/>
        <v>0</v>
      </c>
      <c r="BR149" s="132">
        <f t="shared" si="77"/>
        <v>1</v>
      </c>
      <c r="BS149" s="138">
        <f t="shared" si="78"/>
        <v>0</v>
      </c>
      <c r="BT149" s="132">
        <f t="shared" si="79"/>
        <v>2</v>
      </c>
      <c r="BU149" s="133"/>
      <c r="BV149" s="133"/>
      <c r="BX149" s="1256">
        <v>43100</v>
      </c>
      <c r="BY149" s="165">
        <f>IFERROR(LOOKUP(BX149,基础数据!A:D),1)</f>
        <v>3.53915880885741</v>
      </c>
      <c r="BZ149" s="165">
        <f t="shared" si="48"/>
        <v>1.00524445538375</v>
      </c>
      <c r="CA149" s="165" t="e">
        <f t="shared" si="49"/>
        <v>#VALUE!</v>
      </c>
      <c r="CB149" s="165">
        <f t="shared" si="74"/>
        <v>90</v>
      </c>
      <c r="CC149" s="165" t="e">
        <f t="shared" si="50"/>
        <v>#VALUE!</v>
      </c>
      <c r="CD149" s="1257" t="s">
        <v>2237</v>
      </c>
    </row>
    <row r="150" ht="15" customHeight="1" spans="1:82">
      <c r="A150" s="123" t="str">
        <f>IF(B150="","",COUNT(A$7:A149)+1)</f>
        <v/>
      </c>
      <c r="B150" s="139"/>
      <c r="C150" s="139"/>
      <c r="D150" s="141"/>
      <c r="E150" s="126"/>
      <c r="F150" s="142"/>
      <c r="G150" s="127"/>
      <c r="H150" s="128"/>
      <c r="I150" s="128"/>
      <c r="J150" s="980"/>
      <c r="K150" s="143"/>
      <c r="L150" s="143"/>
      <c r="M150" s="129"/>
      <c r="N150" s="144"/>
      <c r="O150" s="144"/>
      <c r="P150" s="144"/>
      <c r="Q150" s="143"/>
      <c r="R150" s="353" t="str">
        <f t="shared" si="62"/>
        <v/>
      </c>
      <c r="S150" s="129" t="str">
        <f t="shared" si="57"/>
        <v/>
      </c>
      <c r="T150" s="1226" t="str">
        <f t="shared" si="71"/>
        <v/>
      </c>
      <c r="U150" s="1226" t="str">
        <f t="shared" si="72"/>
        <v/>
      </c>
      <c r="V150" s="353" t="str">
        <f t="shared" si="60"/>
        <v/>
      </c>
      <c r="W150" s="129">
        <v>0</v>
      </c>
      <c r="X150" s="129">
        <v>0</v>
      </c>
      <c r="Y150" s="129" t="str">
        <f t="shared" si="58"/>
        <v/>
      </c>
      <c r="Z150" s="129" t="str">
        <f t="shared" si="59"/>
        <v/>
      </c>
      <c r="AA150" s="145"/>
      <c r="BA150" s="78"/>
      <c r="BB150" s="132" t="s">
        <v>2388</v>
      </c>
      <c r="BC150" s="133"/>
      <c r="BD150" s="132" t="str">
        <f>IF(OR(B150="",BC150=""),"",COUNTIF(BC$8:BC150,"√"))</f>
        <v/>
      </c>
      <c r="BE150" s="134" t="str">
        <f t="shared" si="75"/>
        <v/>
      </c>
      <c r="BF150" s="135" t="str">
        <f t="shared" si="47"/>
        <v/>
      </c>
      <c r="BG150" s="135" t="str">
        <f t="shared" si="47"/>
        <v/>
      </c>
      <c r="BH150" s="136"/>
      <c r="BI150" s="136"/>
      <c r="BJ150" s="136"/>
      <c r="BK150" s="136"/>
      <c r="BL150" s="137"/>
      <c r="BM150" s="137"/>
      <c r="BP150" s="134" t="str">
        <f>IF(COUNTIF(BP$7:BP149,B150)&gt;0,"",B150)&amp;""</f>
        <v/>
      </c>
      <c r="BQ150" s="138">
        <f t="shared" si="76"/>
        <v>0</v>
      </c>
      <c r="BR150" s="132">
        <f t="shared" si="77"/>
        <v>1</v>
      </c>
      <c r="BS150" s="138">
        <f t="shared" si="78"/>
        <v>0</v>
      </c>
      <c r="BT150" s="132">
        <f t="shared" si="79"/>
        <v>2</v>
      </c>
      <c r="BU150" s="133"/>
      <c r="BV150" s="133"/>
      <c r="BX150" s="1256">
        <v>43100</v>
      </c>
      <c r="BY150" s="165">
        <f>IFERROR(LOOKUP(BX150,基础数据!A:D),1)</f>
        <v>3.53915880885741</v>
      </c>
      <c r="BZ150" s="165">
        <f t="shared" si="48"/>
        <v>1.00524445538375</v>
      </c>
      <c r="CA150" s="165" t="e">
        <f t="shared" si="49"/>
        <v>#VALUE!</v>
      </c>
      <c r="CB150" s="165">
        <f t="shared" si="74"/>
        <v>90</v>
      </c>
      <c r="CC150" s="165" t="e">
        <f t="shared" si="50"/>
        <v>#VALUE!</v>
      </c>
      <c r="CD150" s="1257" t="s">
        <v>2237</v>
      </c>
    </row>
    <row r="151" ht="15" customHeight="1" spans="1:82">
      <c r="A151" s="123" t="str">
        <f>IF(B151="","",COUNT(A$7:A150)+1)</f>
        <v/>
      </c>
      <c r="B151" s="139"/>
      <c r="C151" s="139"/>
      <c r="D151" s="141"/>
      <c r="E151" s="126"/>
      <c r="F151" s="142"/>
      <c r="G151" s="127"/>
      <c r="H151" s="128"/>
      <c r="I151" s="128"/>
      <c r="J151" s="980"/>
      <c r="K151" s="143"/>
      <c r="L151" s="143"/>
      <c r="M151" s="129"/>
      <c r="N151" s="144"/>
      <c r="O151" s="144"/>
      <c r="P151" s="144"/>
      <c r="Q151" s="143"/>
      <c r="R151" s="353" t="str">
        <f t="shared" si="62"/>
        <v/>
      </c>
      <c r="S151" s="129" t="str">
        <f t="shared" si="57"/>
        <v/>
      </c>
      <c r="T151" s="1226" t="str">
        <f t="shared" si="71"/>
        <v/>
      </c>
      <c r="U151" s="1226" t="str">
        <f t="shared" si="72"/>
        <v/>
      </c>
      <c r="V151" s="353" t="str">
        <f t="shared" si="60"/>
        <v/>
      </c>
      <c r="W151" s="129">
        <v>0</v>
      </c>
      <c r="X151" s="129">
        <v>0</v>
      </c>
      <c r="Y151" s="129" t="str">
        <f t="shared" si="58"/>
        <v/>
      </c>
      <c r="Z151" s="129" t="str">
        <f t="shared" si="59"/>
        <v/>
      </c>
      <c r="AA151" s="145"/>
      <c r="BA151" s="78"/>
      <c r="BB151" s="132" t="s">
        <v>2389</v>
      </c>
      <c r="BC151" s="133"/>
      <c r="BD151" s="132" t="str">
        <f>IF(OR(B151="",BC151=""),"",COUNTIF(BC$8:BC151,"√"))</f>
        <v/>
      </c>
      <c r="BE151" s="134" t="str">
        <f t="shared" si="75"/>
        <v/>
      </c>
      <c r="BF151" s="135" t="str">
        <f t="shared" si="47"/>
        <v/>
      </c>
      <c r="BG151" s="135" t="str">
        <f t="shared" si="47"/>
        <v/>
      </c>
      <c r="BH151" s="136"/>
      <c r="BI151" s="136"/>
      <c r="BJ151" s="136"/>
      <c r="BK151" s="136"/>
      <c r="BL151" s="137"/>
      <c r="BM151" s="137"/>
      <c r="BP151" s="134" t="str">
        <f>IF(COUNTIF(BP$7:BP150,B151)&gt;0,"",B151)&amp;""</f>
        <v/>
      </c>
      <c r="BQ151" s="138">
        <f t="shared" si="76"/>
        <v>0</v>
      </c>
      <c r="BR151" s="132">
        <f t="shared" si="77"/>
        <v>1</v>
      </c>
      <c r="BS151" s="138">
        <f t="shared" si="78"/>
        <v>0</v>
      </c>
      <c r="BT151" s="132">
        <f t="shared" si="79"/>
        <v>2</v>
      </c>
      <c r="BU151" s="133"/>
      <c r="BV151" s="133"/>
      <c r="BX151" s="1256">
        <v>43100</v>
      </c>
      <c r="BY151" s="165">
        <f>IFERROR(LOOKUP(BX151,基础数据!A:D),1)</f>
        <v>3.53915880885741</v>
      </c>
      <c r="BZ151" s="165">
        <f t="shared" si="48"/>
        <v>1.00524445538375</v>
      </c>
      <c r="CA151" s="165" t="e">
        <f t="shared" si="49"/>
        <v>#VALUE!</v>
      </c>
      <c r="CB151" s="165">
        <f t="shared" si="74"/>
        <v>90</v>
      </c>
      <c r="CC151" s="165" t="e">
        <f t="shared" si="50"/>
        <v>#VALUE!</v>
      </c>
      <c r="CD151" s="1257" t="s">
        <v>2237</v>
      </c>
    </row>
    <row r="152" ht="15" customHeight="1" spans="1:82">
      <c r="A152" s="123" t="str">
        <f>IF(B152="","",COUNT(A$7:A151)+1)</f>
        <v/>
      </c>
      <c r="B152" s="139"/>
      <c r="C152" s="139"/>
      <c r="D152" s="141"/>
      <c r="E152" s="126"/>
      <c r="F152" s="142"/>
      <c r="G152" s="127"/>
      <c r="H152" s="128"/>
      <c r="I152" s="128"/>
      <c r="J152" s="980"/>
      <c r="K152" s="143"/>
      <c r="L152" s="143"/>
      <c r="M152" s="129"/>
      <c r="N152" s="144"/>
      <c r="O152" s="144"/>
      <c r="P152" s="144"/>
      <c r="Q152" s="143"/>
      <c r="R152" s="353" t="str">
        <f t="shared" si="62"/>
        <v/>
      </c>
      <c r="S152" s="129" t="str">
        <f t="shared" si="57"/>
        <v/>
      </c>
      <c r="T152" s="1226" t="str">
        <f t="shared" si="71"/>
        <v/>
      </c>
      <c r="U152" s="1226" t="str">
        <f t="shared" si="72"/>
        <v/>
      </c>
      <c r="V152" s="353" t="str">
        <f t="shared" si="60"/>
        <v/>
      </c>
      <c r="W152" s="129">
        <v>0</v>
      </c>
      <c r="X152" s="129">
        <v>0</v>
      </c>
      <c r="Y152" s="129" t="str">
        <f t="shared" si="58"/>
        <v/>
      </c>
      <c r="Z152" s="129" t="str">
        <f t="shared" si="59"/>
        <v/>
      </c>
      <c r="AA152" s="145"/>
      <c r="BA152" s="78"/>
      <c r="BB152" s="132" t="s">
        <v>2390</v>
      </c>
      <c r="BC152" s="133"/>
      <c r="BD152" s="132" t="str">
        <f>IF(OR(B152="",BC152=""),"",COUNTIF(BC$8:BC152,"√"))</f>
        <v/>
      </c>
      <c r="BE152" s="134" t="str">
        <f t="shared" si="75"/>
        <v/>
      </c>
      <c r="BF152" s="135" t="str">
        <f t="shared" si="47"/>
        <v/>
      </c>
      <c r="BG152" s="135" t="str">
        <f t="shared" si="47"/>
        <v/>
      </c>
      <c r="BH152" s="136"/>
      <c r="BI152" s="136"/>
      <c r="BJ152" s="136"/>
      <c r="BK152" s="136"/>
      <c r="BL152" s="137"/>
      <c r="BM152" s="137"/>
      <c r="BP152" s="134" t="str">
        <f>IF(COUNTIF(BP$7:BP151,B152)&gt;0,"",B152)&amp;""</f>
        <v/>
      </c>
      <c r="BQ152" s="138">
        <f t="shared" si="76"/>
        <v>0</v>
      </c>
      <c r="BR152" s="132">
        <f t="shared" si="77"/>
        <v>1</v>
      </c>
      <c r="BS152" s="138">
        <f t="shared" si="78"/>
        <v>0</v>
      </c>
      <c r="BT152" s="132">
        <f t="shared" si="79"/>
        <v>2</v>
      </c>
      <c r="BU152" s="133"/>
      <c r="BV152" s="133"/>
      <c r="BX152" s="1256">
        <v>43100</v>
      </c>
      <c r="BY152" s="165">
        <f>IFERROR(LOOKUP(BX152,基础数据!A:D),1)</f>
        <v>3.53915880885741</v>
      </c>
      <c r="BZ152" s="165">
        <f t="shared" si="48"/>
        <v>1.00524445538375</v>
      </c>
      <c r="CA152" s="165" t="e">
        <f t="shared" si="49"/>
        <v>#VALUE!</v>
      </c>
      <c r="CB152" s="165">
        <f t="shared" si="74"/>
        <v>90</v>
      </c>
      <c r="CC152" s="165" t="e">
        <f t="shared" si="50"/>
        <v>#VALUE!</v>
      </c>
      <c r="CD152" s="1257" t="s">
        <v>2237</v>
      </c>
    </row>
    <row r="153" ht="15" customHeight="1" spans="1:82">
      <c r="A153" s="123" t="str">
        <f>IF(B153="","",COUNT(A$7:A152)+1)</f>
        <v/>
      </c>
      <c r="B153" s="139"/>
      <c r="C153" s="139"/>
      <c r="D153" s="141"/>
      <c r="E153" s="126"/>
      <c r="F153" s="142"/>
      <c r="G153" s="127"/>
      <c r="H153" s="128"/>
      <c r="I153" s="128"/>
      <c r="J153" s="980"/>
      <c r="K153" s="143"/>
      <c r="L153" s="143"/>
      <c r="M153" s="129"/>
      <c r="N153" s="144"/>
      <c r="O153" s="144"/>
      <c r="P153" s="144"/>
      <c r="Q153" s="143"/>
      <c r="R153" s="353" t="str">
        <f t="shared" si="62"/>
        <v/>
      </c>
      <c r="S153" s="129" t="str">
        <f t="shared" si="57"/>
        <v/>
      </c>
      <c r="T153" s="1226" t="str">
        <f t="shared" si="71"/>
        <v/>
      </c>
      <c r="U153" s="1226" t="str">
        <f t="shared" si="72"/>
        <v/>
      </c>
      <c r="V153" s="353" t="str">
        <f t="shared" si="60"/>
        <v/>
      </c>
      <c r="W153" s="129">
        <v>0</v>
      </c>
      <c r="X153" s="129">
        <v>0</v>
      </c>
      <c r="Y153" s="129" t="str">
        <f t="shared" si="58"/>
        <v/>
      </c>
      <c r="Z153" s="129" t="str">
        <f t="shared" si="59"/>
        <v/>
      </c>
      <c r="AA153" s="145"/>
      <c r="BA153" s="78"/>
      <c r="BB153" s="132" t="s">
        <v>2391</v>
      </c>
      <c r="BC153" s="133"/>
      <c r="BD153" s="132" t="str">
        <f>IF(OR(B153="",BC153=""),"",COUNTIF(BC$8:BC153,"√"))</f>
        <v/>
      </c>
      <c r="BE153" s="134" t="str">
        <f t="shared" si="75"/>
        <v/>
      </c>
      <c r="BF153" s="135" t="str">
        <f t="shared" si="47"/>
        <v/>
      </c>
      <c r="BG153" s="135" t="str">
        <f t="shared" si="47"/>
        <v/>
      </c>
      <c r="BH153" s="136"/>
      <c r="BI153" s="136"/>
      <c r="BJ153" s="136"/>
      <c r="BK153" s="136"/>
      <c r="BL153" s="137"/>
      <c r="BM153" s="137"/>
      <c r="BP153" s="134" t="str">
        <f>IF(COUNTIF(BP$7:BP152,B153)&gt;0,"",B153)&amp;""</f>
        <v/>
      </c>
      <c r="BQ153" s="138">
        <f t="shared" si="76"/>
        <v>0</v>
      </c>
      <c r="BR153" s="132">
        <f t="shared" si="77"/>
        <v>1</v>
      </c>
      <c r="BS153" s="138">
        <f t="shared" si="78"/>
        <v>0</v>
      </c>
      <c r="BT153" s="132">
        <f t="shared" si="79"/>
        <v>2</v>
      </c>
      <c r="BU153" s="133"/>
      <c r="BV153" s="133"/>
      <c r="BX153" s="1256">
        <v>43100</v>
      </c>
      <c r="BY153" s="165">
        <f>IFERROR(LOOKUP(BX153,基础数据!A:D),1)</f>
        <v>3.53915880885741</v>
      </c>
      <c r="BZ153" s="165">
        <f t="shared" si="48"/>
        <v>1.00524445538375</v>
      </c>
      <c r="CA153" s="165" t="e">
        <f t="shared" si="49"/>
        <v>#VALUE!</v>
      </c>
      <c r="CB153" s="165">
        <f t="shared" si="74"/>
        <v>90</v>
      </c>
      <c r="CC153" s="165" t="e">
        <f t="shared" si="50"/>
        <v>#VALUE!</v>
      </c>
      <c r="CD153" s="1257" t="s">
        <v>2237</v>
      </c>
    </row>
    <row r="154" ht="15" customHeight="1" spans="1:82">
      <c r="A154" s="123" t="str">
        <f>IF(B154="","",COUNT(A$7:A153)+1)</f>
        <v/>
      </c>
      <c r="B154" s="139"/>
      <c r="C154" s="139"/>
      <c r="D154" s="141"/>
      <c r="E154" s="126"/>
      <c r="F154" s="142"/>
      <c r="G154" s="127"/>
      <c r="H154" s="128"/>
      <c r="I154" s="128"/>
      <c r="J154" s="980"/>
      <c r="K154" s="143"/>
      <c r="L154" s="143"/>
      <c r="M154" s="129"/>
      <c r="N154" s="144"/>
      <c r="O154" s="144"/>
      <c r="P154" s="144"/>
      <c r="Q154" s="143"/>
      <c r="R154" s="353" t="str">
        <f t="shared" si="62"/>
        <v/>
      </c>
      <c r="S154" s="129" t="str">
        <f t="shared" si="57"/>
        <v/>
      </c>
      <c r="T154" s="1226" t="str">
        <f t="shared" si="71"/>
        <v/>
      </c>
      <c r="U154" s="1226" t="str">
        <f t="shared" si="72"/>
        <v/>
      </c>
      <c r="V154" s="353" t="str">
        <f t="shared" si="60"/>
        <v/>
      </c>
      <c r="W154" s="129">
        <v>0</v>
      </c>
      <c r="X154" s="129">
        <v>0</v>
      </c>
      <c r="Y154" s="129" t="str">
        <f t="shared" si="58"/>
        <v/>
      </c>
      <c r="Z154" s="129" t="str">
        <f t="shared" si="59"/>
        <v/>
      </c>
      <c r="AA154" s="145"/>
      <c r="BA154" s="78"/>
      <c r="BB154" s="132" t="s">
        <v>2392</v>
      </c>
      <c r="BC154" s="133"/>
      <c r="BD154" s="132" t="str">
        <f>IF(OR(B154="",BC154=""),"",COUNTIF(BC$8:BC154,"√"))</f>
        <v/>
      </c>
      <c r="BE154" s="134" t="str">
        <f t="shared" si="75"/>
        <v/>
      </c>
      <c r="BF154" s="135" t="str">
        <f t="shared" ref="BF154:BG217" si="80">IF($B154="","",IF(BF$5=0,"OK","出错"))</f>
        <v/>
      </c>
      <c r="BG154" s="135" t="str">
        <f t="shared" si="80"/>
        <v/>
      </c>
      <c r="BH154" s="136"/>
      <c r="BI154" s="136"/>
      <c r="BJ154" s="136"/>
      <c r="BK154" s="136"/>
      <c r="BL154" s="137"/>
      <c r="BM154" s="137"/>
      <c r="BP154" s="134" t="str">
        <f>IF(COUNTIF(BP$7:BP153,B154)&gt;0,"",B154)&amp;""</f>
        <v/>
      </c>
      <c r="BQ154" s="138">
        <f t="shared" si="76"/>
        <v>0</v>
      </c>
      <c r="BR154" s="132">
        <f t="shared" si="77"/>
        <v>1</v>
      </c>
      <c r="BS154" s="138">
        <f t="shared" si="78"/>
        <v>0</v>
      </c>
      <c r="BT154" s="132">
        <f t="shared" si="79"/>
        <v>2</v>
      </c>
      <c r="BU154" s="133"/>
      <c r="BV154" s="133"/>
      <c r="BX154" s="1256">
        <v>43100</v>
      </c>
      <c r="BY154" s="165">
        <f>IFERROR(LOOKUP(BX154,基础数据!A:D),1)</f>
        <v>3.53915880885741</v>
      </c>
      <c r="BZ154" s="165">
        <f t="shared" si="48"/>
        <v>1.00524445538375</v>
      </c>
      <c r="CA154" s="165" t="e">
        <f t="shared" si="49"/>
        <v>#VALUE!</v>
      </c>
      <c r="CB154" s="165">
        <f t="shared" si="74"/>
        <v>90</v>
      </c>
      <c r="CC154" s="165" t="e">
        <f t="shared" si="50"/>
        <v>#VALUE!</v>
      </c>
      <c r="CD154" s="1257" t="s">
        <v>2237</v>
      </c>
    </row>
    <row r="155" ht="15" customHeight="1" spans="1:82">
      <c r="A155" s="123" t="str">
        <f>IF(B155="","",COUNT(A$7:A154)+1)</f>
        <v/>
      </c>
      <c r="B155" s="139"/>
      <c r="C155" s="139"/>
      <c r="D155" s="141"/>
      <c r="E155" s="126"/>
      <c r="F155" s="142"/>
      <c r="G155" s="127"/>
      <c r="H155" s="128"/>
      <c r="I155" s="128"/>
      <c r="J155" s="980"/>
      <c r="K155" s="143"/>
      <c r="L155" s="143"/>
      <c r="M155" s="129"/>
      <c r="N155" s="144"/>
      <c r="O155" s="144"/>
      <c r="P155" s="144"/>
      <c r="Q155" s="143"/>
      <c r="R155" s="353" t="str">
        <f t="shared" si="62"/>
        <v/>
      </c>
      <c r="S155" s="129" t="str">
        <f t="shared" si="57"/>
        <v/>
      </c>
      <c r="T155" s="1226" t="str">
        <f t="shared" si="71"/>
        <v/>
      </c>
      <c r="U155" s="1226" t="str">
        <f t="shared" si="72"/>
        <v/>
      </c>
      <c r="V155" s="353" t="str">
        <f t="shared" si="60"/>
        <v/>
      </c>
      <c r="W155" s="129">
        <v>0</v>
      </c>
      <c r="X155" s="129">
        <v>0</v>
      </c>
      <c r="Y155" s="129" t="str">
        <f t="shared" si="58"/>
        <v/>
      </c>
      <c r="Z155" s="129" t="str">
        <f t="shared" si="59"/>
        <v/>
      </c>
      <c r="AA155" s="145"/>
      <c r="BA155" s="78"/>
      <c r="BB155" s="132" t="s">
        <v>2393</v>
      </c>
      <c r="BC155" s="133"/>
      <c r="BD155" s="132" t="str">
        <f>IF(OR(B155="",BC155=""),"",COUNTIF(BC$8:BC155,"√"))</f>
        <v/>
      </c>
      <c r="BE155" s="134" t="str">
        <f t="shared" si="75"/>
        <v/>
      </c>
      <c r="BF155" s="135" t="str">
        <f t="shared" si="80"/>
        <v/>
      </c>
      <c r="BG155" s="135" t="str">
        <f t="shared" si="80"/>
        <v/>
      </c>
      <c r="BH155" s="136"/>
      <c r="BI155" s="136"/>
      <c r="BJ155" s="136"/>
      <c r="BK155" s="136"/>
      <c r="BL155" s="137"/>
      <c r="BM155" s="137"/>
      <c r="BP155" s="134" t="str">
        <f>IF(COUNTIF(BP$7:BP154,B155)&gt;0,"",B155)&amp;""</f>
        <v/>
      </c>
      <c r="BQ155" s="138">
        <f t="shared" si="76"/>
        <v>0</v>
      </c>
      <c r="BR155" s="132">
        <f t="shared" si="77"/>
        <v>1</v>
      </c>
      <c r="BS155" s="138">
        <f t="shared" si="78"/>
        <v>0</v>
      </c>
      <c r="BT155" s="132">
        <f t="shared" si="79"/>
        <v>2</v>
      </c>
      <c r="BU155" s="133"/>
      <c r="BV155" s="133"/>
      <c r="BX155" s="1256">
        <v>43100</v>
      </c>
      <c r="BY155" s="165">
        <f>IFERROR(LOOKUP(BX155,基础数据!A:D),1)</f>
        <v>3.53915880885741</v>
      </c>
      <c r="BZ155" s="165">
        <f t="shared" si="48"/>
        <v>1.00524445538375</v>
      </c>
      <c r="CA155" s="165" t="e">
        <f t="shared" si="49"/>
        <v>#VALUE!</v>
      </c>
      <c r="CB155" s="165">
        <f t="shared" si="74"/>
        <v>90</v>
      </c>
      <c r="CC155" s="165" t="e">
        <f t="shared" si="50"/>
        <v>#VALUE!</v>
      </c>
      <c r="CD155" s="1257" t="s">
        <v>2237</v>
      </c>
    </row>
    <row r="156" ht="15" customHeight="1" spans="1:82">
      <c r="A156" s="123" t="str">
        <f>IF(B156="","",COUNT(A$7:A155)+1)</f>
        <v/>
      </c>
      <c r="B156" s="139"/>
      <c r="C156" s="139"/>
      <c r="D156" s="141"/>
      <c r="E156" s="126"/>
      <c r="F156" s="142"/>
      <c r="G156" s="127"/>
      <c r="H156" s="128"/>
      <c r="I156" s="128"/>
      <c r="J156" s="980"/>
      <c r="K156" s="143"/>
      <c r="L156" s="143"/>
      <c r="M156" s="129"/>
      <c r="N156" s="144"/>
      <c r="O156" s="144"/>
      <c r="P156" s="144"/>
      <c r="Q156" s="143"/>
      <c r="R156" s="353" t="str">
        <f t="shared" si="62"/>
        <v/>
      </c>
      <c r="S156" s="129" t="str">
        <f t="shared" si="57"/>
        <v/>
      </c>
      <c r="T156" s="1226" t="str">
        <f t="shared" si="71"/>
        <v/>
      </c>
      <c r="U156" s="1226" t="str">
        <f t="shared" si="72"/>
        <v/>
      </c>
      <c r="V156" s="353" t="str">
        <f t="shared" si="60"/>
        <v/>
      </c>
      <c r="W156" s="129">
        <v>0</v>
      </c>
      <c r="X156" s="129">
        <v>0</v>
      </c>
      <c r="Y156" s="129" t="str">
        <f t="shared" si="58"/>
        <v/>
      </c>
      <c r="Z156" s="129" t="str">
        <f t="shared" si="59"/>
        <v/>
      </c>
      <c r="AA156" s="145"/>
      <c r="BA156" s="78"/>
      <c r="BB156" s="132" t="s">
        <v>2394</v>
      </c>
      <c r="BC156" s="133"/>
      <c r="BD156" s="132" t="str">
        <f>IF(OR(B156="",BC156=""),"",COUNTIF(BC$8:BC156,"√"))</f>
        <v/>
      </c>
      <c r="BE156" s="134" t="str">
        <f t="shared" si="75"/>
        <v/>
      </c>
      <c r="BF156" s="135" t="str">
        <f t="shared" si="80"/>
        <v/>
      </c>
      <c r="BG156" s="135" t="str">
        <f t="shared" si="80"/>
        <v/>
      </c>
      <c r="BH156" s="136"/>
      <c r="BI156" s="136"/>
      <c r="BJ156" s="136"/>
      <c r="BK156" s="136"/>
      <c r="BL156" s="137"/>
      <c r="BM156" s="137"/>
      <c r="BP156" s="134" t="str">
        <f>IF(COUNTIF(BP$7:BP155,B156)&gt;0,"",B156)&amp;""</f>
        <v/>
      </c>
      <c r="BQ156" s="138">
        <f t="shared" si="76"/>
        <v>0</v>
      </c>
      <c r="BR156" s="132">
        <f t="shared" si="77"/>
        <v>1</v>
      </c>
      <c r="BS156" s="138">
        <f t="shared" si="78"/>
        <v>0</v>
      </c>
      <c r="BT156" s="132">
        <f t="shared" si="79"/>
        <v>2</v>
      </c>
      <c r="BU156" s="133"/>
      <c r="BV156" s="133"/>
      <c r="BX156" s="1256">
        <v>43100</v>
      </c>
      <c r="BY156" s="165">
        <f>IFERROR(LOOKUP(BX156,基础数据!A:D),1)</f>
        <v>3.53915880885741</v>
      </c>
      <c r="BZ156" s="165">
        <f t="shared" si="48"/>
        <v>1.00524445538375</v>
      </c>
      <c r="CA156" s="165" t="e">
        <f t="shared" si="49"/>
        <v>#VALUE!</v>
      </c>
      <c r="CB156" s="165">
        <f t="shared" si="74"/>
        <v>90</v>
      </c>
      <c r="CC156" s="165" t="e">
        <f t="shared" si="50"/>
        <v>#VALUE!</v>
      </c>
      <c r="CD156" s="1257" t="s">
        <v>2237</v>
      </c>
    </row>
    <row r="157" ht="15" customHeight="1" spans="1:82">
      <c r="A157" s="123" t="str">
        <f>IF(B157="","",COUNT(A$7:A156)+1)</f>
        <v/>
      </c>
      <c r="B157" s="798"/>
      <c r="C157" s="139"/>
      <c r="D157" s="141"/>
      <c r="E157" s="126"/>
      <c r="F157" s="142"/>
      <c r="G157" s="127"/>
      <c r="H157" s="128"/>
      <c r="I157" s="128"/>
      <c r="J157" s="980"/>
      <c r="K157" s="143"/>
      <c r="L157" s="143"/>
      <c r="M157" s="129"/>
      <c r="N157" s="144"/>
      <c r="O157" s="144"/>
      <c r="P157" s="144"/>
      <c r="Q157" s="143"/>
      <c r="R157" s="353" t="str">
        <f t="shared" si="62"/>
        <v/>
      </c>
      <c r="S157" s="129" t="str">
        <f t="shared" si="57"/>
        <v/>
      </c>
      <c r="T157" s="1226" t="str">
        <f t="shared" si="71"/>
        <v/>
      </c>
      <c r="U157" s="1226" t="str">
        <f t="shared" si="72"/>
        <v/>
      </c>
      <c r="V157" s="353" t="str">
        <f t="shared" si="60"/>
        <v/>
      </c>
      <c r="W157" s="129">
        <v>0</v>
      </c>
      <c r="X157" s="129">
        <v>0</v>
      </c>
      <c r="Y157" s="129" t="str">
        <f t="shared" si="58"/>
        <v/>
      </c>
      <c r="Z157" s="129" t="str">
        <f t="shared" si="59"/>
        <v/>
      </c>
      <c r="AA157" s="145"/>
      <c r="BA157" s="78"/>
      <c r="BB157" s="132" t="s">
        <v>2395</v>
      </c>
      <c r="BC157" s="133"/>
      <c r="BD157" s="132" t="str">
        <f>IF(OR(B157="",BC157=""),"",COUNTIF(BC$8:BC157,"√"))</f>
        <v/>
      </c>
      <c r="BE157" s="134" t="str">
        <f t="shared" si="75"/>
        <v/>
      </c>
      <c r="BF157" s="135" t="str">
        <f t="shared" si="80"/>
        <v/>
      </c>
      <c r="BG157" s="135" t="str">
        <f t="shared" si="80"/>
        <v/>
      </c>
      <c r="BH157" s="136"/>
      <c r="BI157" s="136"/>
      <c r="BJ157" s="136"/>
      <c r="BK157" s="136"/>
      <c r="BL157" s="137"/>
      <c r="BM157" s="137"/>
      <c r="BO157" s="1262"/>
      <c r="BP157" s="134" t="str">
        <f>IF(COUNTIF(BP$7:BP156,B157)&gt;0,"",B157)&amp;""</f>
        <v/>
      </c>
      <c r="BQ157" s="138">
        <f t="shared" si="76"/>
        <v>0</v>
      </c>
      <c r="BR157" s="132">
        <f t="shared" si="77"/>
        <v>1</v>
      </c>
      <c r="BS157" s="138">
        <f t="shared" si="78"/>
        <v>0</v>
      </c>
      <c r="BT157" s="132">
        <f t="shared" si="79"/>
        <v>2</v>
      </c>
      <c r="BU157" s="133"/>
      <c r="BV157" s="133"/>
      <c r="BX157" s="1256">
        <v>43100</v>
      </c>
      <c r="BY157" s="165">
        <f>IFERROR(LOOKUP(BX157,基础数据!A:D),1)</f>
        <v>3.53915880885741</v>
      </c>
      <c r="BZ157" s="165">
        <f t="shared" ref="BZ157:BZ220" si="81">BY$5/BY157</f>
        <v>1.00524445538375</v>
      </c>
      <c r="CA157" s="165">
        <f>ROUND(BN157/1.13,0)</f>
        <v>0</v>
      </c>
      <c r="CB157" s="165">
        <f t="shared" si="74"/>
        <v>90</v>
      </c>
      <c r="CC157" s="165">
        <f t="shared" ref="CC157:CC220" si="82">ROUND(CB157*CA157/100,0)</f>
        <v>0</v>
      </c>
      <c r="CD157" s="1257" t="s">
        <v>2237</v>
      </c>
    </row>
    <row r="158" ht="15" customHeight="1" spans="1:82">
      <c r="A158" s="123" t="str">
        <f>IF(B158="","",COUNT(A$7:A157)+1)</f>
        <v/>
      </c>
      <c r="B158" s="139"/>
      <c r="C158" s="139"/>
      <c r="D158" s="141"/>
      <c r="E158" s="126"/>
      <c r="F158" s="142"/>
      <c r="G158" s="127"/>
      <c r="H158" s="128"/>
      <c r="I158" s="128"/>
      <c r="J158" s="980"/>
      <c r="K158" s="143"/>
      <c r="L158" s="143"/>
      <c r="M158" s="129"/>
      <c r="N158" s="144"/>
      <c r="O158" s="144"/>
      <c r="P158" s="144"/>
      <c r="Q158" s="143"/>
      <c r="R158" s="353" t="str">
        <f t="shared" si="62"/>
        <v/>
      </c>
      <c r="S158" s="129" t="str">
        <f t="shared" si="57"/>
        <v/>
      </c>
      <c r="T158" s="1226" t="str">
        <f t="shared" si="71"/>
        <v/>
      </c>
      <c r="U158" s="1226" t="str">
        <f t="shared" si="72"/>
        <v/>
      </c>
      <c r="V158" s="353" t="str">
        <f t="shared" si="60"/>
        <v/>
      </c>
      <c r="W158" s="129">
        <v>0</v>
      </c>
      <c r="X158" s="129">
        <v>0</v>
      </c>
      <c r="Y158" s="129" t="str">
        <f t="shared" si="58"/>
        <v/>
      </c>
      <c r="Z158" s="129" t="str">
        <f t="shared" si="59"/>
        <v/>
      </c>
      <c r="AA158" s="145"/>
      <c r="BA158" s="78"/>
      <c r="BB158" s="132" t="s">
        <v>2396</v>
      </c>
      <c r="BC158" s="133"/>
      <c r="BD158" s="132" t="str">
        <f>IF(OR(B158="",BC158=""),"",COUNTIF(BC$8:BC158,"√"))</f>
        <v/>
      </c>
      <c r="BE158" s="134" t="str">
        <f t="shared" si="75"/>
        <v/>
      </c>
      <c r="BF158" s="135" t="str">
        <f t="shared" si="80"/>
        <v/>
      </c>
      <c r="BG158" s="135" t="str">
        <f t="shared" si="80"/>
        <v/>
      </c>
      <c r="BH158" s="136"/>
      <c r="BI158" s="136"/>
      <c r="BJ158" s="136"/>
      <c r="BK158" s="136"/>
      <c r="BL158" s="137"/>
      <c r="BM158" s="137"/>
      <c r="BP158" s="134" t="str">
        <f>IF(COUNTIF(BP$7:BP157,B158)&gt;0,"",B158)&amp;""</f>
        <v/>
      </c>
      <c r="BQ158" s="138">
        <f t="shared" si="76"/>
        <v>0</v>
      </c>
      <c r="BR158" s="132">
        <f t="shared" si="77"/>
        <v>1</v>
      </c>
      <c r="BS158" s="138">
        <f t="shared" si="78"/>
        <v>0</v>
      </c>
      <c r="BT158" s="132">
        <f t="shared" si="79"/>
        <v>2</v>
      </c>
      <c r="BU158" s="133"/>
      <c r="BV158" s="133"/>
      <c r="BX158" s="1256">
        <v>43100</v>
      </c>
      <c r="BY158" s="165">
        <f>IFERROR(LOOKUP(BX158,基础数据!A:D),1)</f>
        <v>3.53915880885741</v>
      </c>
      <c r="BZ158" s="165">
        <f t="shared" si="81"/>
        <v>1.00524445538375</v>
      </c>
      <c r="CA158" s="165" t="e">
        <f t="shared" ref="CA158:CA220" si="83">ROUND(S158*BZ158,0)</f>
        <v>#VALUE!</v>
      </c>
      <c r="CB158" s="165">
        <f t="shared" si="74"/>
        <v>90</v>
      </c>
      <c r="CC158" s="165" t="e">
        <f t="shared" si="82"/>
        <v>#VALUE!</v>
      </c>
      <c r="CD158" s="1257" t="s">
        <v>2237</v>
      </c>
    </row>
    <row r="159" ht="15" customHeight="1" spans="1:82">
      <c r="A159" s="123" t="str">
        <f>IF(B159="","",COUNT(A$7:A158)+1)</f>
        <v/>
      </c>
      <c r="B159" s="139"/>
      <c r="C159" s="139"/>
      <c r="D159" s="141"/>
      <c r="E159" s="126"/>
      <c r="F159" s="142"/>
      <c r="G159" s="127"/>
      <c r="H159" s="128"/>
      <c r="I159" s="128"/>
      <c r="J159" s="980"/>
      <c r="K159" s="143"/>
      <c r="L159" s="143"/>
      <c r="M159" s="129"/>
      <c r="N159" s="144"/>
      <c r="O159" s="144"/>
      <c r="P159" s="144"/>
      <c r="Q159" s="143"/>
      <c r="R159" s="353" t="str">
        <f t="shared" si="62"/>
        <v/>
      </c>
      <c r="S159" s="129" t="str">
        <f t="shared" si="57"/>
        <v/>
      </c>
      <c r="T159" s="1226" t="str">
        <f t="shared" si="71"/>
        <v/>
      </c>
      <c r="U159" s="1226" t="str">
        <f t="shared" si="72"/>
        <v/>
      </c>
      <c r="V159" s="353" t="str">
        <f t="shared" si="60"/>
        <v/>
      </c>
      <c r="W159" s="129">
        <v>0</v>
      </c>
      <c r="X159" s="129">
        <v>0</v>
      </c>
      <c r="Y159" s="129" t="str">
        <f t="shared" si="58"/>
        <v/>
      </c>
      <c r="Z159" s="129" t="str">
        <f t="shared" si="59"/>
        <v/>
      </c>
      <c r="AA159" s="145"/>
      <c r="BA159" s="78"/>
      <c r="BB159" s="132" t="s">
        <v>2397</v>
      </c>
      <c r="BC159" s="133"/>
      <c r="BD159" s="132" t="str">
        <f>IF(OR(B159="",BC159=""),"",COUNTIF(BC$8:BC159,"√"))</f>
        <v/>
      </c>
      <c r="BE159" s="134" t="str">
        <f t="shared" si="75"/>
        <v/>
      </c>
      <c r="BF159" s="135" t="str">
        <f t="shared" si="80"/>
        <v/>
      </c>
      <c r="BG159" s="135" t="str">
        <f t="shared" si="80"/>
        <v/>
      </c>
      <c r="BH159" s="136"/>
      <c r="BI159" s="136"/>
      <c r="BJ159" s="136"/>
      <c r="BK159" s="136"/>
      <c r="BL159" s="137"/>
      <c r="BM159" s="137"/>
      <c r="BP159" s="134" t="str">
        <f>IF(COUNTIF(BP$7:BP158,B159)&gt;0,"",B159)&amp;""</f>
        <v/>
      </c>
      <c r="BQ159" s="138">
        <f t="shared" si="76"/>
        <v>0</v>
      </c>
      <c r="BR159" s="132">
        <f t="shared" si="77"/>
        <v>1</v>
      </c>
      <c r="BS159" s="138">
        <f t="shared" si="78"/>
        <v>0</v>
      </c>
      <c r="BT159" s="132">
        <f t="shared" si="79"/>
        <v>2</v>
      </c>
      <c r="BU159" s="133"/>
      <c r="BV159" s="133"/>
      <c r="BX159" s="1256">
        <v>43100</v>
      </c>
      <c r="BY159" s="165">
        <f>IFERROR(LOOKUP(BX159,基础数据!A:D),1)</f>
        <v>3.53915880885741</v>
      </c>
      <c r="BZ159" s="165">
        <f t="shared" si="81"/>
        <v>1.00524445538375</v>
      </c>
      <c r="CA159" s="165" t="e">
        <f t="shared" si="83"/>
        <v>#VALUE!</v>
      </c>
      <c r="CB159" s="165">
        <f t="shared" si="74"/>
        <v>90</v>
      </c>
      <c r="CC159" s="165" t="e">
        <f t="shared" si="82"/>
        <v>#VALUE!</v>
      </c>
      <c r="CD159" s="1257" t="s">
        <v>2237</v>
      </c>
    </row>
    <row r="160" ht="15" customHeight="1" spans="1:82">
      <c r="A160" s="123" t="str">
        <f>IF(B160="","",COUNT(A$7:A159)+1)</f>
        <v/>
      </c>
      <c r="B160" s="139"/>
      <c r="C160" s="139"/>
      <c r="D160" s="141"/>
      <c r="E160" s="126"/>
      <c r="F160" s="142"/>
      <c r="G160" s="127"/>
      <c r="H160" s="128"/>
      <c r="I160" s="128"/>
      <c r="J160" s="980"/>
      <c r="K160" s="143"/>
      <c r="L160" s="143"/>
      <c r="M160" s="129"/>
      <c r="N160" s="144"/>
      <c r="O160" s="144"/>
      <c r="P160" s="144"/>
      <c r="Q160" s="143"/>
      <c r="R160" s="353" t="str">
        <f t="shared" si="62"/>
        <v/>
      </c>
      <c r="S160" s="129" t="str">
        <f t="shared" si="57"/>
        <v/>
      </c>
      <c r="T160" s="1226" t="str">
        <f t="shared" si="71"/>
        <v/>
      </c>
      <c r="U160" s="1226" t="str">
        <f t="shared" si="72"/>
        <v/>
      </c>
      <c r="V160" s="353" t="str">
        <f t="shared" si="60"/>
        <v/>
      </c>
      <c r="W160" s="129">
        <v>0</v>
      </c>
      <c r="X160" s="129">
        <v>0</v>
      </c>
      <c r="Y160" s="129" t="str">
        <f t="shared" si="58"/>
        <v/>
      </c>
      <c r="Z160" s="129" t="str">
        <f t="shared" si="59"/>
        <v/>
      </c>
      <c r="AA160" s="145"/>
      <c r="BA160" s="78"/>
      <c r="BB160" s="132" t="s">
        <v>2398</v>
      </c>
      <c r="BC160" s="133"/>
      <c r="BD160" s="132" t="str">
        <f>IF(OR(B160="",BC160=""),"",COUNTIF(BC$8:BC160,"√"))</f>
        <v/>
      </c>
      <c r="BE160" s="134" t="str">
        <f t="shared" si="75"/>
        <v/>
      </c>
      <c r="BF160" s="135" t="str">
        <f t="shared" si="80"/>
        <v/>
      </c>
      <c r="BG160" s="135" t="str">
        <f t="shared" si="80"/>
        <v/>
      </c>
      <c r="BH160" s="136"/>
      <c r="BI160" s="136"/>
      <c r="BJ160" s="136"/>
      <c r="BK160" s="136"/>
      <c r="BL160" s="137"/>
      <c r="BM160" s="137"/>
      <c r="BP160" s="134" t="str">
        <f>IF(COUNTIF(BP$7:BP159,B160)&gt;0,"",B160)&amp;""</f>
        <v/>
      </c>
      <c r="BQ160" s="138">
        <f t="shared" si="76"/>
        <v>0</v>
      </c>
      <c r="BR160" s="132">
        <f t="shared" si="77"/>
        <v>1</v>
      </c>
      <c r="BS160" s="138">
        <f t="shared" si="78"/>
        <v>0</v>
      </c>
      <c r="BT160" s="132">
        <f t="shared" si="79"/>
        <v>2</v>
      </c>
      <c r="BU160" s="133"/>
      <c r="BV160" s="133"/>
      <c r="BX160" s="1256">
        <v>43100</v>
      </c>
      <c r="BY160" s="165">
        <f>IFERROR(LOOKUP(BX160,基础数据!A:D),1)</f>
        <v>3.53915880885741</v>
      </c>
      <c r="BZ160" s="165">
        <f t="shared" si="81"/>
        <v>1.00524445538375</v>
      </c>
      <c r="CA160" s="165" t="e">
        <f t="shared" si="83"/>
        <v>#VALUE!</v>
      </c>
      <c r="CB160" s="165">
        <f t="shared" si="74"/>
        <v>90</v>
      </c>
      <c r="CC160" s="165" t="e">
        <f t="shared" si="82"/>
        <v>#VALUE!</v>
      </c>
      <c r="CD160" s="1257" t="s">
        <v>2237</v>
      </c>
    </row>
    <row r="161" ht="15" customHeight="1" spans="1:82">
      <c r="A161" s="123" t="str">
        <f>IF(B161="","",COUNT(A$7:A160)+1)</f>
        <v/>
      </c>
      <c r="B161" s="798"/>
      <c r="C161" s="139"/>
      <c r="D161" s="141"/>
      <c r="E161" s="126"/>
      <c r="F161" s="142"/>
      <c r="G161" s="127"/>
      <c r="H161" s="128"/>
      <c r="I161" s="128"/>
      <c r="J161" s="980"/>
      <c r="K161" s="143"/>
      <c r="L161" s="143"/>
      <c r="M161" s="129"/>
      <c r="N161" s="144"/>
      <c r="O161" s="144"/>
      <c r="P161" s="144"/>
      <c r="Q161" s="143"/>
      <c r="R161" s="353" t="str">
        <f t="shared" si="62"/>
        <v/>
      </c>
      <c r="S161" s="129" t="str">
        <f t="shared" si="57"/>
        <v/>
      </c>
      <c r="T161" s="1226" t="str">
        <f t="shared" si="71"/>
        <v/>
      </c>
      <c r="U161" s="1226" t="str">
        <f t="shared" si="72"/>
        <v/>
      </c>
      <c r="V161" s="353" t="str">
        <f t="shared" si="60"/>
        <v/>
      </c>
      <c r="W161" s="129">
        <v>0</v>
      </c>
      <c r="X161" s="129">
        <v>0</v>
      </c>
      <c r="Y161" s="129" t="str">
        <f t="shared" si="58"/>
        <v/>
      </c>
      <c r="Z161" s="129" t="str">
        <f t="shared" si="59"/>
        <v/>
      </c>
      <c r="AA161" s="145"/>
      <c r="BA161" s="78"/>
      <c r="BB161" s="132" t="s">
        <v>2399</v>
      </c>
      <c r="BC161" s="133"/>
      <c r="BD161" s="132" t="str">
        <f>IF(OR(B161="",BC161=""),"",COUNTIF(BC$8:BC161,"√"))</f>
        <v/>
      </c>
      <c r="BE161" s="134" t="str">
        <f t="shared" si="75"/>
        <v/>
      </c>
      <c r="BF161" s="135" t="str">
        <f t="shared" si="80"/>
        <v/>
      </c>
      <c r="BG161" s="135" t="str">
        <f t="shared" si="80"/>
        <v/>
      </c>
      <c r="BH161" s="136"/>
      <c r="BI161" s="136"/>
      <c r="BJ161" s="136"/>
      <c r="BK161" s="136"/>
      <c r="BL161" s="137"/>
      <c r="BM161" s="137"/>
      <c r="BO161" s="1262"/>
      <c r="BP161" s="134" t="str">
        <f>IF(COUNTIF(BP$7:BP160,B161)&gt;0,"",B161)&amp;""</f>
        <v/>
      </c>
      <c r="BQ161" s="138">
        <f t="shared" si="76"/>
        <v>0</v>
      </c>
      <c r="BR161" s="132">
        <f t="shared" si="77"/>
        <v>1</v>
      </c>
      <c r="BS161" s="138">
        <f t="shared" si="78"/>
        <v>0</v>
      </c>
      <c r="BT161" s="132">
        <f t="shared" si="79"/>
        <v>2</v>
      </c>
      <c r="BU161" s="133"/>
      <c r="BV161" s="133"/>
      <c r="BX161" s="1256">
        <v>43100</v>
      </c>
      <c r="BY161" s="165">
        <f>IFERROR(LOOKUP(BX161,基础数据!A:D),1)</f>
        <v>3.53915880885741</v>
      </c>
      <c r="BZ161" s="165">
        <f t="shared" si="81"/>
        <v>1.00524445538375</v>
      </c>
      <c r="CA161" s="165">
        <f>ROUND(BN161/1.13,0)</f>
        <v>0</v>
      </c>
      <c r="CB161" s="165">
        <f t="shared" si="74"/>
        <v>90</v>
      </c>
      <c r="CC161" s="165">
        <f t="shared" si="82"/>
        <v>0</v>
      </c>
      <c r="CD161" s="1257" t="s">
        <v>2237</v>
      </c>
    </row>
    <row r="162" ht="15" customHeight="1" spans="1:82">
      <c r="A162" s="123" t="str">
        <f>IF(B162="","",COUNT(A$7:A161)+1)</f>
        <v/>
      </c>
      <c r="B162" s="139"/>
      <c r="C162" s="139"/>
      <c r="D162" s="141"/>
      <c r="E162" s="126"/>
      <c r="F162" s="142"/>
      <c r="G162" s="127"/>
      <c r="H162" s="128"/>
      <c r="I162" s="128"/>
      <c r="J162" s="980"/>
      <c r="K162" s="143"/>
      <c r="L162" s="143"/>
      <c r="M162" s="129"/>
      <c r="N162" s="144"/>
      <c r="O162" s="144"/>
      <c r="P162" s="144"/>
      <c r="Q162" s="143"/>
      <c r="R162" s="353" t="str">
        <f t="shared" si="62"/>
        <v/>
      </c>
      <c r="S162" s="129" t="str">
        <f t="shared" si="57"/>
        <v/>
      </c>
      <c r="T162" s="1226" t="str">
        <f t="shared" si="71"/>
        <v/>
      </c>
      <c r="U162" s="1226" t="str">
        <f t="shared" si="72"/>
        <v/>
      </c>
      <c r="V162" s="353" t="str">
        <f t="shared" si="60"/>
        <v/>
      </c>
      <c r="W162" s="129">
        <v>0</v>
      </c>
      <c r="X162" s="129">
        <v>0</v>
      </c>
      <c r="Y162" s="129" t="str">
        <f t="shared" si="58"/>
        <v/>
      </c>
      <c r="Z162" s="129" t="str">
        <f t="shared" si="59"/>
        <v/>
      </c>
      <c r="AA162" s="145"/>
      <c r="BA162" s="78"/>
      <c r="BB162" s="132" t="s">
        <v>2400</v>
      </c>
      <c r="BC162" s="133"/>
      <c r="BD162" s="132" t="str">
        <f>IF(OR(B162="",BC162=""),"",COUNTIF(BC$8:BC162,"√"))</f>
        <v/>
      </c>
      <c r="BE162" s="134" t="str">
        <f t="shared" si="75"/>
        <v/>
      </c>
      <c r="BF162" s="135" t="str">
        <f t="shared" si="80"/>
        <v/>
      </c>
      <c r="BG162" s="135" t="str">
        <f t="shared" si="80"/>
        <v/>
      </c>
      <c r="BH162" s="136"/>
      <c r="BI162" s="136"/>
      <c r="BJ162" s="136"/>
      <c r="BK162" s="136"/>
      <c r="BL162" s="137"/>
      <c r="BM162" s="137"/>
      <c r="BP162" s="134" t="str">
        <f>IF(COUNTIF(BP$7:BP161,B162)&gt;0,"",B162)&amp;""</f>
        <v/>
      </c>
      <c r="BQ162" s="138">
        <f t="shared" si="76"/>
        <v>0</v>
      </c>
      <c r="BR162" s="132">
        <f t="shared" si="77"/>
        <v>1</v>
      </c>
      <c r="BS162" s="138">
        <f t="shared" si="78"/>
        <v>0</v>
      </c>
      <c r="BT162" s="132">
        <f t="shared" si="79"/>
        <v>2</v>
      </c>
      <c r="BU162" s="133"/>
      <c r="BV162" s="133"/>
      <c r="BX162" s="1256">
        <v>43100</v>
      </c>
      <c r="BY162" s="165">
        <f>IFERROR(LOOKUP(BX162,基础数据!A:D),1)</f>
        <v>3.53915880885741</v>
      </c>
      <c r="BZ162" s="165">
        <f t="shared" si="81"/>
        <v>1.00524445538375</v>
      </c>
      <c r="CA162" s="165" t="e">
        <f t="shared" si="83"/>
        <v>#VALUE!</v>
      </c>
      <c r="CB162" s="165">
        <f t="shared" ref="CB162:CB163" si="84">CO$2</f>
        <v>95</v>
      </c>
      <c r="CC162" s="165" t="e">
        <f t="shared" si="82"/>
        <v>#VALUE!</v>
      </c>
      <c r="CD162" s="1260" t="s">
        <v>2236</v>
      </c>
    </row>
    <row r="163" ht="15" customHeight="1" spans="1:82">
      <c r="A163" s="123" t="str">
        <f>IF(B163="","",COUNT(A$7:A162)+1)</f>
        <v/>
      </c>
      <c r="B163" s="139"/>
      <c r="C163" s="139"/>
      <c r="D163" s="141"/>
      <c r="E163" s="126"/>
      <c r="F163" s="142"/>
      <c r="G163" s="127"/>
      <c r="H163" s="128"/>
      <c r="I163" s="128"/>
      <c r="J163" s="980"/>
      <c r="K163" s="143"/>
      <c r="L163" s="143"/>
      <c r="M163" s="129"/>
      <c r="N163" s="144"/>
      <c r="O163" s="144"/>
      <c r="P163" s="144"/>
      <c r="Q163" s="143"/>
      <c r="R163" s="353" t="str">
        <f t="shared" si="62"/>
        <v/>
      </c>
      <c r="S163" s="129" t="str">
        <f t="shared" si="57"/>
        <v/>
      </c>
      <c r="T163" s="1226" t="str">
        <f t="shared" si="71"/>
        <v/>
      </c>
      <c r="U163" s="1226" t="str">
        <f t="shared" si="72"/>
        <v/>
      </c>
      <c r="V163" s="353" t="str">
        <f t="shared" si="60"/>
        <v/>
      </c>
      <c r="W163" s="129">
        <v>0</v>
      </c>
      <c r="X163" s="129">
        <v>0</v>
      </c>
      <c r="Y163" s="129" t="str">
        <f t="shared" si="58"/>
        <v/>
      </c>
      <c r="Z163" s="129" t="str">
        <f t="shared" si="59"/>
        <v/>
      </c>
      <c r="AA163" s="145"/>
      <c r="BA163" s="78"/>
      <c r="BB163" s="132" t="s">
        <v>2401</v>
      </c>
      <c r="BC163" s="133"/>
      <c r="BD163" s="132" t="str">
        <f>IF(OR(B163="",BC163=""),"",COUNTIF(BC$8:BC163,"√"))</f>
        <v/>
      </c>
      <c r="BE163" s="134" t="str">
        <f t="shared" si="75"/>
        <v/>
      </c>
      <c r="BF163" s="135" t="str">
        <f t="shared" si="80"/>
        <v/>
      </c>
      <c r="BG163" s="135" t="str">
        <f t="shared" si="80"/>
        <v/>
      </c>
      <c r="BH163" s="136"/>
      <c r="BI163" s="136"/>
      <c r="BJ163" s="136"/>
      <c r="BK163" s="136"/>
      <c r="BL163" s="137"/>
      <c r="BM163" s="137"/>
      <c r="BP163" s="134" t="str">
        <f>IF(COUNTIF(BP$7:BP162,B163)&gt;0,"",B163)&amp;""</f>
        <v/>
      </c>
      <c r="BQ163" s="138">
        <f t="shared" si="76"/>
        <v>0</v>
      </c>
      <c r="BR163" s="132">
        <f t="shared" si="77"/>
        <v>1</v>
      </c>
      <c r="BS163" s="138">
        <f t="shared" si="78"/>
        <v>0</v>
      </c>
      <c r="BT163" s="132">
        <f t="shared" si="79"/>
        <v>2</v>
      </c>
      <c r="BU163" s="133"/>
      <c r="BV163" s="133"/>
      <c r="BX163" s="1256">
        <v>43100</v>
      </c>
      <c r="BY163" s="165">
        <f>IFERROR(LOOKUP(BX163,基础数据!A:D),1)</f>
        <v>3.53915880885741</v>
      </c>
      <c r="BZ163" s="165">
        <f t="shared" si="81"/>
        <v>1.00524445538375</v>
      </c>
      <c r="CA163" s="165" t="e">
        <f t="shared" si="83"/>
        <v>#VALUE!</v>
      </c>
      <c r="CB163" s="165">
        <f t="shared" si="84"/>
        <v>95</v>
      </c>
      <c r="CC163" s="165" t="e">
        <f t="shared" si="82"/>
        <v>#VALUE!</v>
      </c>
      <c r="CD163" s="1260" t="s">
        <v>2236</v>
      </c>
    </row>
    <row r="164" ht="15" customHeight="1" spans="1:82">
      <c r="A164" s="123" t="str">
        <f>IF(B164="","",COUNT(A$7:A163)+1)</f>
        <v/>
      </c>
      <c r="B164" s="139"/>
      <c r="C164" s="139"/>
      <c r="D164" s="141"/>
      <c r="E164" s="126"/>
      <c r="F164" s="142"/>
      <c r="G164" s="127"/>
      <c r="H164" s="128"/>
      <c r="I164" s="128"/>
      <c r="J164" s="980"/>
      <c r="K164" s="143"/>
      <c r="L164" s="143"/>
      <c r="M164" s="129"/>
      <c r="N164" s="144"/>
      <c r="O164" s="144"/>
      <c r="P164" s="144"/>
      <c r="Q164" s="143"/>
      <c r="R164" s="353" t="str">
        <f t="shared" si="62"/>
        <v/>
      </c>
      <c r="S164" s="129" t="str">
        <f t="shared" si="57"/>
        <v/>
      </c>
      <c r="T164" s="1226" t="str">
        <f t="shared" si="71"/>
        <v/>
      </c>
      <c r="U164" s="1226" t="str">
        <f t="shared" si="72"/>
        <v/>
      </c>
      <c r="V164" s="353" t="str">
        <f t="shared" si="60"/>
        <v/>
      </c>
      <c r="W164" s="129">
        <v>0</v>
      </c>
      <c r="X164" s="129">
        <v>0</v>
      </c>
      <c r="Y164" s="129" t="str">
        <f t="shared" si="58"/>
        <v/>
      </c>
      <c r="Z164" s="129" t="str">
        <f t="shared" si="59"/>
        <v/>
      </c>
      <c r="AA164" s="145"/>
      <c r="BA164" s="78"/>
      <c r="BB164" s="132" t="s">
        <v>2402</v>
      </c>
      <c r="BC164" s="133"/>
      <c r="BD164" s="132" t="str">
        <f>IF(OR(B164="",BC164=""),"",COUNTIF(BC$8:BC164,"√"))</f>
        <v/>
      </c>
      <c r="BE164" s="134" t="str">
        <f t="shared" si="75"/>
        <v/>
      </c>
      <c r="BF164" s="135" t="str">
        <f t="shared" si="80"/>
        <v/>
      </c>
      <c r="BG164" s="135" t="str">
        <f t="shared" si="80"/>
        <v/>
      </c>
      <c r="BH164" s="136"/>
      <c r="BI164" s="136"/>
      <c r="BJ164" s="136"/>
      <c r="BK164" s="136"/>
      <c r="BL164" s="137"/>
      <c r="BM164" s="137"/>
      <c r="BP164" s="134" t="str">
        <f>IF(COUNTIF(BP$7:BP163,B164)&gt;0,"",B164)&amp;""</f>
        <v/>
      </c>
      <c r="BQ164" s="138">
        <f t="shared" si="76"/>
        <v>0</v>
      </c>
      <c r="BR164" s="132">
        <f t="shared" si="77"/>
        <v>1</v>
      </c>
      <c r="BS164" s="138">
        <f t="shared" si="78"/>
        <v>0</v>
      </c>
      <c r="BT164" s="132">
        <f t="shared" si="79"/>
        <v>2</v>
      </c>
      <c r="BU164" s="133"/>
      <c r="BV164" s="133"/>
      <c r="BX164" s="1256">
        <v>43100</v>
      </c>
      <c r="BY164" s="165">
        <f>IFERROR(LOOKUP(BX164,基础数据!A:D),1)</f>
        <v>3.53915880885741</v>
      </c>
      <c r="BZ164" s="165">
        <f t="shared" si="81"/>
        <v>1.00524445538375</v>
      </c>
      <c r="CA164" s="165" t="e">
        <f t="shared" si="83"/>
        <v>#VALUE!</v>
      </c>
      <c r="CB164" s="165">
        <f t="shared" ref="CB164:CB185" si="85">CO$3</f>
        <v>90</v>
      </c>
      <c r="CC164" s="165" t="e">
        <f t="shared" si="82"/>
        <v>#VALUE!</v>
      </c>
      <c r="CD164" s="1257" t="s">
        <v>2237</v>
      </c>
    </row>
    <row r="165" ht="15" customHeight="1" spans="1:82">
      <c r="A165" s="123" t="str">
        <f>IF(B165="","",COUNT(A$7:A164)+1)</f>
        <v/>
      </c>
      <c r="B165" s="139"/>
      <c r="C165" s="139"/>
      <c r="D165" s="141"/>
      <c r="E165" s="126"/>
      <c r="F165" s="142"/>
      <c r="G165" s="127"/>
      <c r="H165" s="128"/>
      <c r="I165" s="128"/>
      <c r="J165" s="980"/>
      <c r="K165" s="143"/>
      <c r="L165" s="143"/>
      <c r="M165" s="129"/>
      <c r="N165" s="144"/>
      <c r="O165" s="144"/>
      <c r="P165" s="144"/>
      <c r="Q165" s="143"/>
      <c r="R165" s="353" t="str">
        <f t="shared" si="62"/>
        <v/>
      </c>
      <c r="S165" s="129" t="str">
        <f t="shared" si="57"/>
        <v/>
      </c>
      <c r="T165" s="1226" t="str">
        <f t="shared" si="71"/>
        <v/>
      </c>
      <c r="U165" s="1226" t="str">
        <f t="shared" si="72"/>
        <v/>
      </c>
      <c r="V165" s="353" t="str">
        <f t="shared" si="60"/>
        <v/>
      </c>
      <c r="W165" s="129">
        <v>0</v>
      </c>
      <c r="X165" s="129">
        <v>0</v>
      </c>
      <c r="Y165" s="129" t="str">
        <f t="shared" si="58"/>
        <v/>
      </c>
      <c r="Z165" s="129" t="str">
        <f t="shared" si="59"/>
        <v/>
      </c>
      <c r="AA165" s="145"/>
      <c r="BA165" s="78"/>
      <c r="BB165" s="132" t="s">
        <v>2403</v>
      </c>
      <c r="BC165" s="133"/>
      <c r="BD165" s="132" t="str">
        <f>IF(OR(B165="",BC165=""),"",COUNTIF(BC$8:BC165,"√"))</f>
        <v/>
      </c>
      <c r="BE165" s="134" t="str">
        <f t="shared" si="75"/>
        <v/>
      </c>
      <c r="BF165" s="135" t="str">
        <f t="shared" si="80"/>
        <v/>
      </c>
      <c r="BG165" s="135" t="str">
        <f t="shared" si="80"/>
        <v/>
      </c>
      <c r="BH165" s="136"/>
      <c r="BI165" s="136"/>
      <c r="BJ165" s="136"/>
      <c r="BK165" s="136"/>
      <c r="BL165" s="137"/>
      <c r="BM165" s="137"/>
      <c r="BP165" s="134" t="str">
        <f>IF(COUNTIF(BP$7:BP164,B165)&gt;0,"",B165)&amp;""</f>
        <v/>
      </c>
      <c r="BQ165" s="138">
        <f t="shared" si="76"/>
        <v>0</v>
      </c>
      <c r="BR165" s="132">
        <f t="shared" si="77"/>
        <v>1</v>
      </c>
      <c r="BS165" s="138">
        <f t="shared" si="78"/>
        <v>0</v>
      </c>
      <c r="BT165" s="132">
        <f t="shared" si="79"/>
        <v>2</v>
      </c>
      <c r="BU165" s="133"/>
      <c r="BV165" s="133"/>
      <c r="BX165" s="1256">
        <v>43100</v>
      </c>
      <c r="BY165" s="165">
        <f>IFERROR(LOOKUP(BX165,基础数据!A:D),1)</f>
        <v>3.53915880885741</v>
      </c>
      <c r="BZ165" s="165">
        <f t="shared" si="81"/>
        <v>1.00524445538375</v>
      </c>
      <c r="CA165" s="165" t="e">
        <f t="shared" si="83"/>
        <v>#VALUE!</v>
      </c>
      <c r="CB165" s="165">
        <f t="shared" si="85"/>
        <v>90</v>
      </c>
      <c r="CC165" s="165" t="e">
        <f t="shared" si="82"/>
        <v>#VALUE!</v>
      </c>
      <c r="CD165" s="1257" t="s">
        <v>2237</v>
      </c>
    </row>
    <row r="166" ht="15" customHeight="1" spans="1:82">
      <c r="A166" s="123" t="str">
        <f>IF(B166="","",COUNT(A$7:A165)+1)</f>
        <v/>
      </c>
      <c r="B166" s="798"/>
      <c r="C166" s="139"/>
      <c r="D166" s="141"/>
      <c r="E166" s="126"/>
      <c r="F166" s="142"/>
      <c r="G166" s="127"/>
      <c r="H166" s="128"/>
      <c r="I166" s="128"/>
      <c r="J166" s="980"/>
      <c r="K166" s="143"/>
      <c r="L166" s="143"/>
      <c r="M166" s="129"/>
      <c r="N166" s="144"/>
      <c r="O166" s="144"/>
      <c r="P166" s="144"/>
      <c r="Q166" s="143"/>
      <c r="R166" s="353" t="str">
        <f t="shared" si="62"/>
        <v/>
      </c>
      <c r="S166" s="129" t="str">
        <f t="shared" si="57"/>
        <v/>
      </c>
      <c r="T166" s="1226" t="str">
        <f t="shared" si="71"/>
        <v/>
      </c>
      <c r="U166" s="1226" t="str">
        <f t="shared" si="72"/>
        <v/>
      </c>
      <c r="V166" s="353" t="str">
        <f t="shared" si="60"/>
        <v/>
      </c>
      <c r="W166" s="129">
        <v>0</v>
      </c>
      <c r="X166" s="129">
        <v>0</v>
      </c>
      <c r="Y166" s="129" t="str">
        <f t="shared" si="58"/>
        <v/>
      </c>
      <c r="Z166" s="129" t="str">
        <f t="shared" si="59"/>
        <v/>
      </c>
      <c r="AA166" s="145"/>
      <c r="BA166" s="78"/>
      <c r="BB166" s="132" t="s">
        <v>2404</v>
      </c>
      <c r="BC166" s="133"/>
      <c r="BD166" s="132" t="str">
        <f>IF(OR(B166="",BC166=""),"",COUNTIF(BC$8:BC166,"√"))</f>
        <v/>
      </c>
      <c r="BE166" s="134" t="str">
        <f t="shared" si="75"/>
        <v/>
      </c>
      <c r="BF166" s="135" t="str">
        <f t="shared" si="80"/>
        <v/>
      </c>
      <c r="BG166" s="135" t="str">
        <f t="shared" si="80"/>
        <v/>
      </c>
      <c r="BH166" s="136"/>
      <c r="BI166" s="136"/>
      <c r="BJ166" s="136"/>
      <c r="BK166" s="136"/>
      <c r="BL166" s="137"/>
      <c r="BM166" s="137"/>
      <c r="BP166" s="134" t="str">
        <f>IF(COUNTIF(BP$7:BP165,B166)&gt;0,"",B166)&amp;""</f>
        <v/>
      </c>
      <c r="BQ166" s="138">
        <f t="shared" si="76"/>
        <v>0</v>
      </c>
      <c r="BR166" s="132">
        <f t="shared" si="77"/>
        <v>1</v>
      </c>
      <c r="BS166" s="138">
        <f t="shared" si="78"/>
        <v>0</v>
      </c>
      <c r="BT166" s="132">
        <f t="shared" si="79"/>
        <v>2</v>
      </c>
      <c r="BU166" s="133"/>
      <c r="BV166" s="133"/>
      <c r="BX166" s="1256">
        <v>43100</v>
      </c>
      <c r="BY166" s="165">
        <f>IFERROR(LOOKUP(BX166,基础数据!A:D),1)</f>
        <v>3.53915880885741</v>
      </c>
      <c r="BZ166" s="165">
        <f t="shared" si="81"/>
        <v>1.00524445538375</v>
      </c>
      <c r="CA166" s="165" t="e">
        <f t="shared" si="83"/>
        <v>#VALUE!</v>
      </c>
      <c r="CB166" s="165">
        <f t="shared" si="85"/>
        <v>90</v>
      </c>
      <c r="CC166" s="165" t="e">
        <f t="shared" si="82"/>
        <v>#VALUE!</v>
      </c>
      <c r="CD166" s="1257" t="s">
        <v>2237</v>
      </c>
    </row>
    <row r="167" ht="15" customHeight="1" spans="1:82">
      <c r="A167" s="123" t="str">
        <f>IF(B167="","",COUNT(A$7:A166)+1)</f>
        <v/>
      </c>
      <c r="B167" s="139"/>
      <c r="C167" s="139"/>
      <c r="D167" s="141"/>
      <c r="E167" s="126"/>
      <c r="F167" s="142"/>
      <c r="G167" s="127"/>
      <c r="H167" s="128"/>
      <c r="I167" s="128"/>
      <c r="J167" s="980"/>
      <c r="K167" s="143"/>
      <c r="L167" s="143"/>
      <c r="M167" s="129"/>
      <c r="N167" s="144"/>
      <c r="O167" s="144"/>
      <c r="P167" s="144"/>
      <c r="Q167" s="143"/>
      <c r="R167" s="353" t="str">
        <f t="shared" si="62"/>
        <v/>
      </c>
      <c r="S167" s="129" t="str">
        <f t="shared" si="57"/>
        <v/>
      </c>
      <c r="T167" s="1226" t="str">
        <f t="shared" si="71"/>
        <v/>
      </c>
      <c r="U167" s="1226" t="str">
        <f t="shared" si="72"/>
        <v/>
      </c>
      <c r="V167" s="353" t="str">
        <f t="shared" si="60"/>
        <v/>
      </c>
      <c r="W167" s="129">
        <v>0</v>
      </c>
      <c r="X167" s="129">
        <v>0</v>
      </c>
      <c r="Y167" s="129" t="str">
        <f t="shared" si="58"/>
        <v/>
      </c>
      <c r="Z167" s="129" t="str">
        <f t="shared" si="59"/>
        <v/>
      </c>
      <c r="AA167" s="145"/>
      <c r="BA167" s="78"/>
      <c r="BB167" s="132" t="s">
        <v>2405</v>
      </c>
      <c r="BC167" s="133"/>
      <c r="BD167" s="132" t="str">
        <f>IF(OR(B167="",BC167=""),"",COUNTIF(BC$8:BC167,"√"))</f>
        <v/>
      </c>
      <c r="BE167" s="134" t="str">
        <f t="shared" si="75"/>
        <v/>
      </c>
      <c r="BF167" s="135" t="str">
        <f t="shared" si="80"/>
        <v/>
      </c>
      <c r="BG167" s="135" t="str">
        <f t="shared" si="80"/>
        <v/>
      </c>
      <c r="BH167" s="136"/>
      <c r="BI167" s="136"/>
      <c r="BJ167" s="136"/>
      <c r="BK167" s="136"/>
      <c r="BL167" s="137"/>
      <c r="BM167" s="137"/>
      <c r="BP167" s="134" t="str">
        <f>IF(COUNTIF(BP$7:BP166,B167)&gt;0,"",B167)&amp;""</f>
        <v/>
      </c>
      <c r="BQ167" s="138">
        <f t="shared" si="76"/>
        <v>0</v>
      </c>
      <c r="BR167" s="132">
        <f t="shared" si="77"/>
        <v>1</v>
      </c>
      <c r="BS167" s="138">
        <f t="shared" si="78"/>
        <v>0</v>
      </c>
      <c r="BT167" s="132">
        <f t="shared" si="79"/>
        <v>2</v>
      </c>
      <c r="BU167" s="133"/>
      <c r="BV167" s="133"/>
      <c r="BX167" s="1256">
        <v>43100</v>
      </c>
      <c r="BY167" s="165">
        <f>IFERROR(LOOKUP(BX167,基础数据!A:D),1)</f>
        <v>3.53915880885741</v>
      </c>
      <c r="BZ167" s="165">
        <f t="shared" si="81"/>
        <v>1.00524445538375</v>
      </c>
      <c r="CA167" s="165" t="e">
        <f t="shared" si="83"/>
        <v>#VALUE!</v>
      </c>
      <c r="CB167" s="165">
        <f t="shared" si="85"/>
        <v>90</v>
      </c>
      <c r="CC167" s="165" t="e">
        <f t="shared" si="82"/>
        <v>#VALUE!</v>
      </c>
      <c r="CD167" s="1257" t="s">
        <v>2237</v>
      </c>
    </row>
    <row r="168" ht="15" customHeight="1" spans="1:82">
      <c r="A168" s="123" t="str">
        <f>IF(B168="","",COUNT(A$7:A167)+1)</f>
        <v/>
      </c>
      <c r="B168" s="139"/>
      <c r="C168" s="139"/>
      <c r="D168" s="141"/>
      <c r="E168" s="126"/>
      <c r="F168" s="142"/>
      <c r="G168" s="127"/>
      <c r="H168" s="128"/>
      <c r="I168" s="128"/>
      <c r="J168" s="980"/>
      <c r="K168" s="143"/>
      <c r="L168" s="143"/>
      <c r="M168" s="129"/>
      <c r="N168" s="144"/>
      <c r="O168" s="144"/>
      <c r="P168" s="144"/>
      <c r="Q168" s="143"/>
      <c r="R168" s="353" t="str">
        <f t="shared" si="62"/>
        <v/>
      </c>
      <c r="S168" s="129" t="str">
        <f t="shared" si="57"/>
        <v/>
      </c>
      <c r="T168" s="1226" t="str">
        <f t="shared" si="71"/>
        <v/>
      </c>
      <c r="U168" s="1226" t="str">
        <f t="shared" si="72"/>
        <v/>
      </c>
      <c r="V168" s="353" t="str">
        <f t="shared" si="60"/>
        <v/>
      </c>
      <c r="W168" s="129">
        <v>0</v>
      </c>
      <c r="X168" s="129">
        <v>0</v>
      </c>
      <c r="Y168" s="129" t="str">
        <f t="shared" si="58"/>
        <v/>
      </c>
      <c r="Z168" s="129" t="str">
        <f t="shared" si="59"/>
        <v/>
      </c>
      <c r="AA168" s="145"/>
      <c r="BA168" s="78"/>
      <c r="BB168" s="132" t="s">
        <v>2406</v>
      </c>
      <c r="BC168" s="133"/>
      <c r="BD168" s="132" t="str">
        <f>IF(OR(B168="",BC168=""),"",COUNTIF(BC$8:BC168,"√"))</f>
        <v/>
      </c>
      <c r="BE168" s="134" t="str">
        <f t="shared" si="75"/>
        <v/>
      </c>
      <c r="BF168" s="135" t="str">
        <f t="shared" si="80"/>
        <v/>
      </c>
      <c r="BG168" s="135" t="str">
        <f t="shared" si="80"/>
        <v/>
      </c>
      <c r="BH168" s="136"/>
      <c r="BI168" s="136"/>
      <c r="BJ168" s="136"/>
      <c r="BK168" s="136"/>
      <c r="BL168" s="137"/>
      <c r="BM168" s="137"/>
      <c r="BP168" s="134" t="str">
        <f>IF(COUNTIF(BP$7:BP167,B168)&gt;0,"",B168)&amp;""</f>
        <v/>
      </c>
      <c r="BQ168" s="138">
        <f t="shared" si="76"/>
        <v>0</v>
      </c>
      <c r="BR168" s="132">
        <f t="shared" si="77"/>
        <v>1</v>
      </c>
      <c r="BS168" s="138">
        <f t="shared" si="78"/>
        <v>0</v>
      </c>
      <c r="BT168" s="132">
        <f t="shared" si="79"/>
        <v>2</v>
      </c>
      <c r="BU168" s="133"/>
      <c r="BV168" s="133"/>
      <c r="BX168" s="1256">
        <v>43100</v>
      </c>
      <c r="BY168" s="165">
        <f>IFERROR(LOOKUP(BX168,基础数据!A:D),1)</f>
        <v>3.53915880885741</v>
      </c>
      <c r="BZ168" s="165">
        <f t="shared" si="81"/>
        <v>1.00524445538375</v>
      </c>
      <c r="CA168" s="165" t="e">
        <f t="shared" si="83"/>
        <v>#VALUE!</v>
      </c>
      <c r="CB168" s="165">
        <f t="shared" si="85"/>
        <v>90</v>
      </c>
      <c r="CC168" s="165" t="e">
        <f t="shared" si="82"/>
        <v>#VALUE!</v>
      </c>
      <c r="CD168" s="1257" t="s">
        <v>2237</v>
      </c>
    </row>
    <row r="169" ht="15" customHeight="1" spans="1:82">
      <c r="A169" s="123" t="str">
        <f>IF(B169="","",COUNT(A$7:A168)+1)</f>
        <v/>
      </c>
      <c r="B169" s="139"/>
      <c r="C169" s="139"/>
      <c r="D169" s="141"/>
      <c r="E169" s="126"/>
      <c r="F169" s="142"/>
      <c r="G169" s="127"/>
      <c r="H169" s="128"/>
      <c r="I169" s="128"/>
      <c r="J169" s="980"/>
      <c r="K169" s="143"/>
      <c r="L169" s="143"/>
      <c r="M169" s="129"/>
      <c r="N169" s="144"/>
      <c r="O169" s="144"/>
      <c r="P169" s="144"/>
      <c r="Q169" s="143"/>
      <c r="R169" s="353" t="str">
        <f t="shared" si="62"/>
        <v/>
      </c>
      <c r="S169" s="129" t="str">
        <f t="shared" si="57"/>
        <v/>
      </c>
      <c r="T169" s="1226" t="str">
        <f t="shared" si="71"/>
        <v/>
      </c>
      <c r="U169" s="1226" t="str">
        <f t="shared" si="72"/>
        <v/>
      </c>
      <c r="V169" s="353" t="str">
        <f t="shared" si="60"/>
        <v/>
      </c>
      <c r="W169" s="129">
        <v>0</v>
      </c>
      <c r="X169" s="129">
        <v>0</v>
      </c>
      <c r="Y169" s="129" t="str">
        <f t="shared" si="58"/>
        <v/>
      </c>
      <c r="Z169" s="129" t="str">
        <f t="shared" si="59"/>
        <v/>
      </c>
      <c r="AA169" s="145"/>
      <c r="BA169" s="78"/>
      <c r="BB169" s="132" t="s">
        <v>2407</v>
      </c>
      <c r="BC169" s="133"/>
      <c r="BD169" s="132" t="str">
        <f>IF(OR(B169="",BC169=""),"",COUNTIF(BC$8:BC169,"√"))</f>
        <v/>
      </c>
      <c r="BE169" s="134" t="str">
        <f t="shared" si="75"/>
        <v/>
      </c>
      <c r="BF169" s="135" t="str">
        <f t="shared" si="80"/>
        <v/>
      </c>
      <c r="BG169" s="135" t="str">
        <f t="shared" si="80"/>
        <v/>
      </c>
      <c r="BH169" s="136"/>
      <c r="BI169" s="136"/>
      <c r="BJ169" s="136"/>
      <c r="BK169" s="136"/>
      <c r="BL169" s="137"/>
      <c r="BM169" s="137"/>
      <c r="BP169" s="134" t="str">
        <f>IF(COUNTIF(BP$7:BP168,B169)&gt;0,"",B169)&amp;""</f>
        <v/>
      </c>
      <c r="BQ169" s="138">
        <f t="shared" si="76"/>
        <v>0</v>
      </c>
      <c r="BR169" s="132">
        <f t="shared" si="77"/>
        <v>1</v>
      </c>
      <c r="BS169" s="138">
        <f t="shared" si="78"/>
        <v>0</v>
      </c>
      <c r="BT169" s="132">
        <f t="shared" si="79"/>
        <v>2</v>
      </c>
      <c r="BU169" s="133"/>
      <c r="BV169" s="133"/>
      <c r="BX169" s="1256">
        <v>43100</v>
      </c>
      <c r="BY169" s="165">
        <f>IFERROR(LOOKUP(BX169,基础数据!A:D),1)</f>
        <v>3.53915880885741</v>
      </c>
      <c r="BZ169" s="165">
        <f t="shared" si="81"/>
        <v>1.00524445538375</v>
      </c>
      <c r="CA169" s="165" t="e">
        <f t="shared" si="83"/>
        <v>#VALUE!</v>
      </c>
      <c r="CB169" s="165">
        <f t="shared" si="85"/>
        <v>90</v>
      </c>
      <c r="CC169" s="165" t="e">
        <f t="shared" si="82"/>
        <v>#VALUE!</v>
      </c>
      <c r="CD169" s="1257" t="s">
        <v>2237</v>
      </c>
    </row>
    <row r="170" ht="15" customHeight="1" spans="1:82">
      <c r="A170" s="123" t="str">
        <f>IF(B170="","",COUNT(A$7:A169)+1)</f>
        <v/>
      </c>
      <c r="B170" s="139"/>
      <c r="C170" s="139"/>
      <c r="D170" s="141"/>
      <c r="E170" s="126"/>
      <c r="F170" s="142"/>
      <c r="G170" s="127"/>
      <c r="H170" s="128"/>
      <c r="I170" s="128"/>
      <c r="J170" s="980"/>
      <c r="K170" s="143"/>
      <c r="L170" s="143"/>
      <c r="M170" s="129"/>
      <c r="N170" s="144"/>
      <c r="O170" s="144"/>
      <c r="P170" s="144"/>
      <c r="Q170" s="143"/>
      <c r="R170" s="353" t="str">
        <f t="shared" si="62"/>
        <v/>
      </c>
      <c r="S170" s="129" t="str">
        <f t="shared" si="57"/>
        <v/>
      </c>
      <c r="T170" s="1226" t="str">
        <f t="shared" si="71"/>
        <v/>
      </c>
      <c r="U170" s="1226" t="str">
        <f t="shared" si="72"/>
        <v/>
      </c>
      <c r="V170" s="353" t="str">
        <f t="shared" si="60"/>
        <v/>
      </c>
      <c r="W170" s="129">
        <v>0</v>
      </c>
      <c r="X170" s="129">
        <v>0</v>
      </c>
      <c r="Y170" s="129" t="str">
        <f t="shared" si="58"/>
        <v/>
      </c>
      <c r="Z170" s="129" t="str">
        <f t="shared" si="59"/>
        <v/>
      </c>
      <c r="AA170" s="145"/>
      <c r="BA170" s="78"/>
      <c r="BB170" s="132" t="s">
        <v>2408</v>
      </c>
      <c r="BC170" s="133"/>
      <c r="BD170" s="132" t="str">
        <f>IF(OR(B170="",BC170=""),"",COUNTIF(BC$8:BC170,"√"))</f>
        <v/>
      </c>
      <c r="BE170" s="134" t="str">
        <f t="shared" si="75"/>
        <v/>
      </c>
      <c r="BF170" s="135" t="str">
        <f t="shared" si="80"/>
        <v/>
      </c>
      <c r="BG170" s="135" t="str">
        <f t="shared" si="80"/>
        <v/>
      </c>
      <c r="BH170" s="136"/>
      <c r="BI170" s="136"/>
      <c r="BJ170" s="136"/>
      <c r="BK170" s="136"/>
      <c r="BL170" s="137"/>
      <c r="BM170" s="137"/>
      <c r="BP170" s="134" t="str">
        <f>IF(COUNTIF(BP$7:BP169,B170)&gt;0,"",B170)&amp;""</f>
        <v/>
      </c>
      <c r="BQ170" s="138">
        <f t="shared" si="76"/>
        <v>0</v>
      </c>
      <c r="BR170" s="132">
        <f t="shared" si="77"/>
        <v>1</v>
      </c>
      <c r="BS170" s="138">
        <f t="shared" si="78"/>
        <v>0</v>
      </c>
      <c r="BT170" s="132">
        <f t="shared" si="79"/>
        <v>2</v>
      </c>
      <c r="BU170" s="133"/>
      <c r="BV170" s="133"/>
      <c r="BX170" s="1256">
        <v>43100</v>
      </c>
      <c r="BY170" s="165">
        <f>IFERROR(LOOKUP(BX170,基础数据!A:D),1)</f>
        <v>3.53915880885741</v>
      </c>
      <c r="BZ170" s="165">
        <f t="shared" si="81"/>
        <v>1.00524445538375</v>
      </c>
      <c r="CA170" s="165" t="e">
        <f t="shared" si="83"/>
        <v>#VALUE!</v>
      </c>
      <c r="CB170" s="165">
        <f t="shared" si="85"/>
        <v>90</v>
      </c>
      <c r="CC170" s="165" t="e">
        <f t="shared" si="82"/>
        <v>#VALUE!</v>
      </c>
      <c r="CD170" s="1257" t="s">
        <v>2237</v>
      </c>
    </row>
    <row r="171" ht="15" customHeight="1" spans="1:82">
      <c r="A171" s="123" t="str">
        <f>IF(B171="","",COUNT(A$7:A170)+1)</f>
        <v/>
      </c>
      <c r="B171" s="139"/>
      <c r="C171" s="139"/>
      <c r="D171" s="141"/>
      <c r="E171" s="126"/>
      <c r="F171" s="142"/>
      <c r="G171" s="127"/>
      <c r="H171" s="128"/>
      <c r="I171" s="128"/>
      <c r="J171" s="980"/>
      <c r="K171" s="143"/>
      <c r="L171" s="143"/>
      <c r="M171" s="129"/>
      <c r="N171" s="144"/>
      <c r="O171" s="144"/>
      <c r="P171" s="144"/>
      <c r="Q171" s="143"/>
      <c r="R171" s="353" t="str">
        <f t="shared" si="62"/>
        <v/>
      </c>
      <c r="S171" s="129" t="str">
        <f t="shared" si="57"/>
        <v/>
      </c>
      <c r="T171" s="1226" t="str">
        <f t="shared" si="71"/>
        <v/>
      </c>
      <c r="U171" s="1226" t="str">
        <f t="shared" si="72"/>
        <v/>
      </c>
      <c r="V171" s="353" t="str">
        <f t="shared" si="60"/>
        <v/>
      </c>
      <c r="W171" s="129">
        <v>0</v>
      </c>
      <c r="X171" s="129">
        <v>0</v>
      </c>
      <c r="Y171" s="129" t="str">
        <f t="shared" si="58"/>
        <v/>
      </c>
      <c r="Z171" s="129" t="str">
        <f t="shared" si="59"/>
        <v/>
      </c>
      <c r="AA171" s="145"/>
      <c r="BA171" s="78"/>
      <c r="BB171" s="132" t="s">
        <v>2409</v>
      </c>
      <c r="BC171" s="133"/>
      <c r="BD171" s="132" t="str">
        <f>IF(OR(B171="",BC171=""),"",COUNTIF(BC$8:BC171,"√"))</f>
        <v/>
      </c>
      <c r="BE171" s="134" t="str">
        <f t="shared" si="75"/>
        <v/>
      </c>
      <c r="BF171" s="135" t="str">
        <f t="shared" si="80"/>
        <v/>
      </c>
      <c r="BG171" s="135" t="str">
        <f t="shared" si="80"/>
        <v/>
      </c>
      <c r="BH171" s="136"/>
      <c r="BI171" s="136"/>
      <c r="BJ171" s="136"/>
      <c r="BK171" s="136"/>
      <c r="BL171" s="137"/>
      <c r="BM171" s="137"/>
      <c r="BP171" s="134" t="str">
        <f>IF(COUNTIF(BP$7:BP170,B171)&gt;0,"",B171)&amp;""</f>
        <v/>
      </c>
      <c r="BQ171" s="138">
        <f t="shared" si="76"/>
        <v>0</v>
      </c>
      <c r="BR171" s="132">
        <f t="shared" si="77"/>
        <v>1</v>
      </c>
      <c r="BS171" s="138">
        <f t="shared" si="78"/>
        <v>0</v>
      </c>
      <c r="BT171" s="132">
        <f t="shared" si="79"/>
        <v>2</v>
      </c>
      <c r="BU171" s="133"/>
      <c r="BV171" s="133"/>
      <c r="BX171" s="1256">
        <v>43100</v>
      </c>
      <c r="BY171" s="165">
        <f>IFERROR(LOOKUP(BX171,基础数据!A:D),1)</f>
        <v>3.53915880885741</v>
      </c>
      <c r="BZ171" s="165">
        <f t="shared" si="81"/>
        <v>1.00524445538375</v>
      </c>
      <c r="CA171" s="165" t="e">
        <f t="shared" si="83"/>
        <v>#VALUE!</v>
      </c>
      <c r="CB171" s="165">
        <f t="shared" si="85"/>
        <v>90</v>
      </c>
      <c r="CC171" s="165" t="e">
        <f t="shared" si="82"/>
        <v>#VALUE!</v>
      </c>
      <c r="CD171" s="1257" t="s">
        <v>2237</v>
      </c>
    </row>
    <row r="172" ht="15" customHeight="1" spans="1:82">
      <c r="A172" s="123" t="str">
        <f>IF(B172="","",COUNT(A$7:A171)+1)</f>
        <v/>
      </c>
      <c r="B172" s="139"/>
      <c r="C172" s="139"/>
      <c r="D172" s="141"/>
      <c r="E172" s="126"/>
      <c r="F172" s="142"/>
      <c r="G172" s="127"/>
      <c r="H172" s="128"/>
      <c r="I172" s="128"/>
      <c r="J172" s="980"/>
      <c r="K172" s="143"/>
      <c r="L172" s="143"/>
      <c r="M172" s="129"/>
      <c r="N172" s="144"/>
      <c r="O172" s="144"/>
      <c r="P172" s="144"/>
      <c r="Q172" s="143"/>
      <c r="R172" s="353" t="str">
        <f t="shared" si="62"/>
        <v/>
      </c>
      <c r="S172" s="129" t="str">
        <f t="shared" si="57"/>
        <v/>
      </c>
      <c r="T172" s="1226" t="str">
        <f t="shared" si="71"/>
        <v/>
      </c>
      <c r="U172" s="1226" t="str">
        <f t="shared" si="72"/>
        <v/>
      </c>
      <c r="V172" s="353" t="str">
        <f t="shared" si="60"/>
        <v/>
      </c>
      <c r="W172" s="129">
        <v>0</v>
      </c>
      <c r="X172" s="129">
        <v>0</v>
      </c>
      <c r="Y172" s="129" t="str">
        <f t="shared" si="58"/>
        <v/>
      </c>
      <c r="Z172" s="129" t="str">
        <f t="shared" si="59"/>
        <v/>
      </c>
      <c r="AA172" s="145"/>
      <c r="BA172" s="78"/>
      <c r="BB172" s="132" t="s">
        <v>2410</v>
      </c>
      <c r="BC172" s="133"/>
      <c r="BD172" s="132" t="str">
        <f>IF(OR(B172="",BC172=""),"",COUNTIF(BC$8:BC172,"√"))</f>
        <v/>
      </c>
      <c r="BE172" s="134" t="str">
        <f t="shared" si="75"/>
        <v/>
      </c>
      <c r="BF172" s="135" t="str">
        <f t="shared" si="80"/>
        <v/>
      </c>
      <c r="BG172" s="135" t="str">
        <f t="shared" si="80"/>
        <v/>
      </c>
      <c r="BH172" s="136"/>
      <c r="BI172" s="136"/>
      <c r="BJ172" s="136"/>
      <c r="BK172" s="136"/>
      <c r="BL172" s="137"/>
      <c r="BM172" s="137"/>
      <c r="BP172" s="134" t="str">
        <f>IF(COUNTIF(BP$7:BP171,B172)&gt;0,"",B172)&amp;""</f>
        <v/>
      </c>
      <c r="BQ172" s="138">
        <f t="shared" si="76"/>
        <v>0</v>
      </c>
      <c r="BR172" s="132">
        <f t="shared" si="77"/>
        <v>1</v>
      </c>
      <c r="BS172" s="138">
        <f t="shared" si="78"/>
        <v>0</v>
      </c>
      <c r="BT172" s="132">
        <f t="shared" si="79"/>
        <v>2</v>
      </c>
      <c r="BU172" s="133"/>
      <c r="BV172" s="133"/>
      <c r="BX172" s="1256">
        <v>43100</v>
      </c>
      <c r="BY172" s="165">
        <f>IFERROR(LOOKUP(BX172,基础数据!A:D),1)</f>
        <v>3.53915880885741</v>
      </c>
      <c r="BZ172" s="165">
        <f t="shared" si="81"/>
        <v>1.00524445538375</v>
      </c>
      <c r="CA172" s="165" t="e">
        <f t="shared" si="83"/>
        <v>#VALUE!</v>
      </c>
      <c r="CB172" s="165">
        <f t="shared" si="85"/>
        <v>90</v>
      </c>
      <c r="CC172" s="165" t="e">
        <f t="shared" si="82"/>
        <v>#VALUE!</v>
      </c>
      <c r="CD172" s="1257" t="s">
        <v>2237</v>
      </c>
    </row>
    <row r="173" ht="15" customHeight="1" spans="1:82">
      <c r="A173" s="123" t="str">
        <f>IF(B173="","",COUNT(A$7:A172)+1)</f>
        <v/>
      </c>
      <c r="B173" s="139"/>
      <c r="C173" s="139"/>
      <c r="D173" s="141"/>
      <c r="E173" s="126"/>
      <c r="F173" s="142"/>
      <c r="G173" s="127"/>
      <c r="H173" s="128"/>
      <c r="I173" s="128"/>
      <c r="J173" s="980"/>
      <c r="K173" s="143"/>
      <c r="L173" s="143"/>
      <c r="M173" s="129"/>
      <c r="N173" s="144"/>
      <c r="O173" s="144"/>
      <c r="P173" s="144"/>
      <c r="Q173" s="143"/>
      <c r="R173" s="353" t="str">
        <f t="shared" si="62"/>
        <v/>
      </c>
      <c r="S173" s="129" t="str">
        <f t="shared" si="57"/>
        <v/>
      </c>
      <c r="T173" s="1226" t="str">
        <f t="shared" si="71"/>
        <v/>
      </c>
      <c r="U173" s="1226" t="str">
        <f t="shared" si="72"/>
        <v/>
      </c>
      <c r="V173" s="353" t="str">
        <f t="shared" si="60"/>
        <v/>
      </c>
      <c r="W173" s="129">
        <v>0</v>
      </c>
      <c r="X173" s="129">
        <v>0</v>
      </c>
      <c r="Y173" s="129" t="str">
        <f t="shared" si="58"/>
        <v/>
      </c>
      <c r="Z173" s="129" t="str">
        <f t="shared" si="59"/>
        <v/>
      </c>
      <c r="AA173" s="145"/>
      <c r="BA173" s="78"/>
      <c r="BB173" s="132" t="s">
        <v>2411</v>
      </c>
      <c r="BC173" s="133"/>
      <c r="BD173" s="132" t="str">
        <f>IF(OR(B173="",BC173=""),"",COUNTIF(BC$8:BC173,"√"))</f>
        <v/>
      </c>
      <c r="BE173" s="134" t="str">
        <f t="shared" si="75"/>
        <v/>
      </c>
      <c r="BF173" s="135" t="str">
        <f t="shared" si="80"/>
        <v/>
      </c>
      <c r="BG173" s="135" t="str">
        <f t="shared" si="80"/>
        <v/>
      </c>
      <c r="BH173" s="136"/>
      <c r="BI173" s="136"/>
      <c r="BJ173" s="136"/>
      <c r="BK173" s="136"/>
      <c r="BL173" s="137"/>
      <c r="BM173" s="137"/>
      <c r="BP173" s="134" t="str">
        <f>IF(COUNTIF(BP$7:BP172,B173)&gt;0,"",B173)&amp;""</f>
        <v/>
      </c>
      <c r="BQ173" s="138">
        <f t="shared" si="76"/>
        <v>0</v>
      </c>
      <c r="BR173" s="132">
        <f t="shared" si="77"/>
        <v>1</v>
      </c>
      <c r="BS173" s="138">
        <f t="shared" si="78"/>
        <v>0</v>
      </c>
      <c r="BT173" s="132">
        <f t="shared" si="79"/>
        <v>2</v>
      </c>
      <c r="BU173" s="133"/>
      <c r="BV173" s="133"/>
      <c r="BX173" s="1256">
        <v>43100</v>
      </c>
      <c r="BY173" s="165">
        <f>IFERROR(LOOKUP(BX173,基础数据!A:D),1)</f>
        <v>3.53915880885741</v>
      </c>
      <c r="BZ173" s="165">
        <f t="shared" si="81"/>
        <v>1.00524445538375</v>
      </c>
      <c r="CA173" s="165" t="e">
        <f t="shared" si="83"/>
        <v>#VALUE!</v>
      </c>
      <c r="CB173" s="165">
        <f t="shared" si="85"/>
        <v>90</v>
      </c>
      <c r="CC173" s="165" t="e">
        <f t="shared" si="82"/>
        <v>#VALUE!</v>
      </c>
      <c r="CD173" s="1257" t="s">
        <v>2237</v>
      </c>
    </row>
    <row r="174" ht="15" customHeight="1" spans="1:82">
      <c r="A174" s="123" t="str">
        <f>IF(B174="","",COUNT(A$7:A173)+1)</f>
        <v/>
      </c>
      <c r="B174" s="139"/>
      <c r="C174" s="139"/>
      <c r="D174" s="141"/>
      <c r="E174" s="126"/>
      <c r="F174" s="142"/>
      <c r="G174" s="127"/>
      <c r="H174" s="128"/>
      <c r="I174" s="128"/>
      <c r="J174" s="980"/>
      <c r="K174" s="143"/>
      <c r="L174" s="143"/>
      <c r="M174" s="129"/>
      <c r="N174" s="144"/>
      <c r="O174" s="144"/>
      <c r="P174" s="144"/>
      <c r="Q174" s="143"/>
      <c r="R174" s="353" t="str">
        <f t="shared" si="62"/>
        <v/>
      </c>
      <c r="S174" s="129" t="str">
        <f t="shared" ref="S174:S237" si="86">IFERROR(T174/R174,"")</f>
        <v/>
      </c>
      <c r="T174" s="1226" t="str">
        <f t="shared" si="71"/>
        <v/>
      </c>
      <c r="U174" s="1226" t="str">
        <f t="shared" si="72"/>
        <v/>
      </c>
      <c r="V174" s="353" t="str">
        <f t="shared" si="60"/>
        <v/>
      </c>
      <c r="W174" s="129">
        <v>0</v>
      </c>
      <c r="X174" s="129">
        <v>0</v>
      </c>
      <c r="Y174" s="129" t="str">
        <f t="shared" ref="Y174:Y237" si="87">IFERROR(X174-(T174-U174),"")</f>
        <v/>
      </c>
      <c r="Z174" s="129" t="str">
        <f t="shared" ref="Z174:Z237" si="88">IFERROR(Y174/(T174-U174)*100,"")</f>
        <v/>
      </c>
      <c r="AA174" s="145"/>
      <c r="BA174" s="78"/>
      <c r="BB174" s="132" t="s">
        <v>2412</v>
      </c>
      <c r="BC174" s="133"/>
      <c r="BD174" s="132" t="str">
        <f>IF(OR(B174="",BC174=""),"",COUNTIF(BC$8:BC174,"√"))</f>
        <v/>
      </c>
      <c r="BE174" s="134" t="str">
        <f t="shared" si="75"/>
        <v/>
      </c>
      <c r="BF174" s="135" t="str">
        <f t="shared" si="80"/>
        <v/>
      </c>
      <c r="BG174" s="135" t="str">
        <f t="shared" si="80"/>
        <v/>
      </c>
      <c r="BH174" s="136"/>
      <c r="BI174" s="136"/>
      <c r="BJ174" s="136"/>
      <c r="BK174" s="136"/>
      <c r="BL174" s="137"/>
      <c r="BM174" s="137"/>
      <c r="BP174" s="134" t="str">
        <f>IF(COUNTIF(BP$7:BP173,B174)&gt;0,"",B174)&amp;""</f>
        <v/>
      </c>
      <c r="BQ174" s="138">
        <f t="shared" si="76"/>
        <v>0</v>
      </c>
      <c r="BR174" s="132">
        <f t="shared" si="77"/>
        <v>1</v>
      </c>
      <c r="BS174" s="138">
        <f t="shared" si="78"/>
        <v>0</v>
      </c>
      <c r="BT174" s="132">
        <f t="shared" si="79"/>
        <v>2</v>
      </c>
      <c r="BU174" s="133"/>
      <c r="BV174" s="133"/>
      <c r="BX174" s="1256">
        <v>43100</v>
      </c>
      <c r="BY174" s="165">
        <f>IFERROR(LOOKUP(BX174,基础数据!A:D),1)</f>
        <v>3.53915880885741</v>
      </c>
      <c r="BZ174" s="165">
        <f t="shared" si="81"/>
        <v>1.00524445538375</v>
      </c>
      <c r="CA174" s="165" t="e">
        <f t="shared" si="83"/>
        <v>#VALUE!</v>
      </c>
      <c r="CB174" s="165">
        <f t="shared" si="85"/>
        <v>90</v>
      </c>
      <c r="CC174" s="165" t="e">
        <f t="shared" si="82"/>
        <v>#VALUE!</v>
      </c>
      <c r="CD174" s="1257" t="s">
        <v>2237</v>
      </c>
    </row>
    <row r="175" ht="15" customHeight="1" spans="1:82">
      <c r="A175" s="123" t="str">
        <f>IF(B175="","",COUNT(A$7:A174)+1)</f>
        <v/>
      </c>
      <c r="B175" s="139"/>
      <c r="C175" s="139"/>
      <c r="D175" s="141"/>
      <c r="E175" s="126"/>
      <c r="F175" s="142"/>
      <c r="G175" s="127"/>
      <c r="H175" s="128"/>
      <c r="I175" s="128"/>
      <c r="J175" s="980"/>
      <c r="K175" s="143"/>
      <c r="L175" s="143"/>
      <c r="M175" s="129"/>
      <c r="N175" s="144"/>
      <c r="O175" s="144"/>
      <c r="P175" s="144"/>
      <c r="Q175" s="143"/>
      <c r="R175" s="353" t="str">
        <f t="shared" si="62"/>
        <v/>
      </c>
      <c r="S175" s="129" t="str">
        <f t="shared" si="86"/>
        <v/>
      </c>
      <c r="T175" s="1226" t="str">
        <f t="shared" si="71"/>
        <v/>
      </c>
      <c r="U175" s="1226" t="str">
        <f t="shared" si="72"/>
        <v/>
      </c>
      <c r="V175" s="353" t="str">
        <f t="shared" si="60"/>
        <v/>
      </c>
      <c r="W175" s="129">
        <v>0</v>
      </c>
      <c r="X175" s="129">
        <v>0</v>
      </c>
      <c r="Y175" s="129" t="str">
        <f t="shared" si="87"/>
        <v/>
      </c>
      <c r="Z175" s="129" t="str">
        <f t="shared" si="88"/>
        <v/>
      </c>
      <c r="AA175" s="145"/>
      <c r="BA175" s="78"/>
      <c r="BB175" s="132" t="s">
        <v>2413</v>
      </c>
      <c r="BC175" s="133"/>
      <c r="BD175" s="132" t="str">
        <f>IF(OR(B175="",BC175=""),"",COUNTIF(BC$8:BC175,"√"))</f>
        <v/>
      </c>
      <c r="BE175" s="134" t="str">
        <f t="shared" si="75"/>
        <v/>
      </c>
      <c r="BF175" s="135" t="str">
        <f t="shared" si="80"/>
        <v/>
      </c>
      <c r="BG175" s="135" t="str">
        <f t="shared" si="80"/>
        <v/>
      </c>
      <c r="BH175" s="136"/>
      <c r="BI175" s="136"/>
      <c r="BJ175" s="136"/>
      <c r="BK175" s="136"/>
      <c r="BL175" s="137"/>
      <c r="BM175" s="137"/>
      <c r="BP175" s="134" t="str">
        <f>IF(COUNTIF(BP$7:BP174,B175)&gt;0,"",B175)&amp;""</f>
        <v/>
      </c>
      <c r="BQ175" s="138">
        <f t="shared" si="76"/>
        <v>0</v>
      </c>
      <c r="BR175" s="132">
        <f t="shared" si="77"/>
        <v>1</v>
      </c>
      <c r="BS175" s="138">
        <f t="shared" si="78"/>
        <v>0</v>
      </c>
      <c r="BT175" s="132">
        <f t="shared" si="79"/>
        <v>2</v>
      </c>
      <c r="BU175" s="133"/>
      <c r="BV175" s="133"/>
      <c r="BX175" s="1256">
        <v>43100</v>
      </c>
      <c r="BY175" s="165">
        <f>IFERROR(LOOKUP(BX175,基础数据!A:D),1)</f>
        <v>3.53915880885741</v>
      </c>
      <c r="BZ175" s="165">
        <f t="shared" si="81"/>
        <v>1.00524445538375</v>
      </c>
      <c r="CA175" s="165" t="e">
        <f t="shared" si="83"/>
        <v>#VALUE!</v>
      </c>
      <c r="CB175" s="165">
        <f t="shared" si="85"/>
        <v>90</v>
      </c>
      <c r="CC175" s="165" t="e">
        <f t="shared" si="82"/>
        <v>#VALUE!</v>
      </c>
      <c r="CD175" s="1257" t="s">
        <v>2237</v>
      </c>
    </row>
    <row r="176" ht="15" customHeight="1" spans="1:82">
      <c r="A176" s="123" t="str">
        <f>IF(B176="","",COUNT(A$7:A175)+1)</f>
        <v/>
      </c>
      <c r="B176" s="139"/>
      <c r="C176" s="139"/>
      <c r="D176" s="141"/>
      <c r="E176" s="126"/>
      <c r="F176" s="142"/>
      <c r="G176" s="127"/>
      <c r="H176" s="128"/>
      <c r="I176" s="128"/>
      <c r="J176" s="980"/>
      <c r="K176" s="143"/>
      <c r="L176" s="143"/>
      <c r="M176" s="129"/>
      <c r="N176" s="144"/>
      <c r="O176" s="144"/>
      <c r="P176" s="144"/>
      <c r="Q176" s="143"/>
      <c r="R176" s="353" t="str">
        <f t="shared" si="62"/>
        <v/>
      </c>
      <c r="S176" s="129" t="str">
        <f t="shared" si="86"/>
        <v/>
      </c>
      <c r="T176" s="1226" t="str">
        <f t="shared" si="71"/>
        <v/>
      </c>
      <c r="U176" s="1226" t="str">
        <f t="shared" si="72"/>
        <v/>
      </c>
      <c r="V176" s="353" t="str">
        <f t="shared" si="60"/>
        <v/>
      </c>
      <c r="W176" s="129">
        <v>0</v>
      </c>
      <c r="X176" s="129">
        <v>0</v>
      </c>
      <c r="Y176" s="129" t="str">
        <f t="shared" si="87"/>
        <v/>
      </c>
      <c r="Z176" s="129" t="str">
        <f t="shared" si="88"/>
        <v/>
      </c>
      <c r="AA176" s="145"/>
      <c r="BA176" s="78"/>
      <c r="BB176" s="132" t="s">
        <v>2414</v>
      </c>
      <c r="BC176" s="133"/>
      <c r="BD176" s="132" t="str">
        <f>IF(OR(B176="",BC176=""),"",COUNTIF(BC$8:BC176,"√"))</f>
        <v/>
      </c>
      <c r="BE176" s="134" t="str">
        <f t="shared" si="75"/>
        <v/>
      </c>
      <c r="BF176" s="135" t="str">
        <f t="shared" si="80"/>
        <v/>
      </c>
      <c r="BG176" s="135" t="str">
        <f t="shared" si="80"/>
        <v/>
      </c>
      <c r="BH176" s="136"/>
      <c r="BI176" s="136"/>
      <c r="BJ176" s="136"/>
      <c r="BK176" s="136"/>
      <c r="BL176" s="137"/>
      <c r="BM176" s="137"/>
      <c r="BP176" s="134" t="str">
        <f>IF(COUNTIF(BP$7:BP175,B176)&gt;0,"",B176)&amp;""</f>
        <v/>
      </c>
      <c r="BQ176" s="138">
        <f t="shared" si="76"/>
        <v>0</v>
      </c>
      <c r="BR176" s="132">
        <f t="shared" si="77"/>
        <v>1</v>
      </c>
      <c r="BS176" s="138">
        <f t="shared" si="78"/>
        <v>0</v>
      </c>
      <c r="BT176" s="132">
        <f t="shared" si="79"/>
        <v>2</v>
      </c>
      <c r="BU176" s="133"/>
      <c r="BV176" s="133"/>
      <c r="BX176" s="1256">
        <v>43100</v>
      </c>
      <c r="BY176" s="165">
        <f>IFERROR(LOOKUP(BX176,基础数据!A:D),1)</f>
        <v>3.53915880885741</v>
      </c>
      <c r="BZ176" s="165">
        <f t="shared" si="81"/>
        <v>1.00524445538375</v>
      </c>
      <c r="CA176" s="165" t="e">
        <f t="shared" si="83"/>
        <v>#VALUE!</v>
      </c>
      <c r="CB176" s="165">
        <f t="shared" si="85"/>
        <v>90</v>
      </c>
      <c r="CC176" s="165" t="e">
        <f t="shared" si="82"/>
        <v>#VALUE!</v>
      </c>
      <c r="CD176" s="1257" t="s">
        <v>2237</v>
      </c>
    </row>
    <row r="177" ht="15" customHeight="1" spans="1:82">
      <c r="A177" s="123" t="str">
        <f>IF(B177="","",COUNT(A$7:A176)+1)</f>
        <v/>
      </c>
      <c r="B177" s="798"/>
      <c r="C177" s="139"/>
      <c r="D177" s="141"/>
      <c r="E177" s="126"/>
      <c r="F177" s="142"/>
      <c r="G177" s="127"/>
      <c r="H177" s="128"/>
      <c r="I177" s="128"/>
      <c r="J177" s="980"/>
      <c r="K177" s="143"/>
      <c r="L177" s="143"/>
      <c r="M177" s="129"/>
      <c r="N177" s="144"/>
      <c r="O177" s="144"/>
      <c r="P177" s="144"/>
      <c r="Q177" s="143"/>
      <c r="R177" s="353" t="str">
        <f t="shared" si="62"/>
        <v/>
      </c>
      <c r="S177" s="129" t="str">
        <f t="shared" si="86"/>
        <v/>
      </c>
      <c r="T177" s="1226" t="str">
        <f t="shared" si="71"/>
        <v/>
      </c>
      <c r="U177" s="1226" t="str">
        <f t="shared" si="72"/>
        <v/>
      </c>
      <c r="V177" s="353" t="str">
        <f t="shared" si="60"/>
        <v/>
      </c>
      <c r="W177" s="129">
        <v>0</v>
      </c>
      <c r="X177" s="129">
        <v>0</v>
      </c>
      <c r="Y177" s="129" t="str">
        <f t="shared" si="87"/>
        <v/>
      </c>
      <c r="Z177" s="129" t="str">
        <f t="shared" si="88"/>
        <v/>
      </c>
      <c r="AA177" s="145"/>
      <c r="BA177" s="78"/>
      <c r="BB177" s="132" t="s">
        <v>2415</v>
      </c>
      <c r="BC177" s="133"/>
      <c r="BD177" s="132" t="str">
        <f>IF(OR(B177="",BC177=""),"",COUNTIF(BC$8:BC177,"√"))</f>
        <v/>
      </c>
      <c r="BE177" s="134" t="str">
        <f t="shared" si="75"/>
        <v/>
      </c>
      <c r="BF177" s="135" t="str">
        <f t="shared" si="80"/>
        <v/>
      </c>
      <c r="BG177" s="135" t="str">
        <f t="shared" si="80"/>
        <v/>
      </c>
      <c r="BH177" s="136"/>
      <c r="BI177" s="136"/>
      <c r="BJ177" s="136"/>
      <c r="BK177" s="136"/>
      <c r="BL177" s="137"/>
      <c r="BM177" s="137"/>
      <c r="BO177" s="1262"/>
      <c r="BP177" s="134" t="str">
        <f>IF(COUNTIF(BP$7:BP176,B177)&gt;0,"",B177)&amp;""</f>
        <v/>
      </c>
      <c r="BQ177" s="138">
        <f t="shared" si="76"/>
        <v>0</v>
      </c>
      <c r="BR177" s="132">
        <f t="shared" si="77"/>
        <v>1</v>
      </c>
      <c r="BS177" s="138">
        <f t="shared" si="78"/>
        <v>0</v>
      </c>
      <c r="BT177" s="132">
        <f t="shared" si="79"/>
        <v>2</v>
      </c>
      <c r="BU177" s="133"/>
      <c r="BV177" s="133"/>
      <c r="BX177" s="1256">
        <v>43100</v>
      </c>
      <c r="BY177" s="165">
        <f>IFERROR(LOOKUP(BX177,基础数据!A:D),1)</f>
        <v>3.53915880885741</v>
      </c>
      <c r="BZ177" s="165">
        <f t="shared" si="81"/>
        <v>1.00524445538375</v>
      </c>
      <c r="CA177" s="165">
        <f>ROUND(BN177/1.13,0)</f>
        <v>0</v>
      </c>
      <c r="CB177" s="165">
        <v>97</v>
      </c>
      <c r="CC177" s="165">
        <f t="shared" si="82"/>
        <v>0</v>
      </c>
      <c r="CD177" s="1257" t="s">
        <v>2236</v>
      </c>
    </row>
    <row r="178" ht="15" customHeight="1" spans="1:82">
      <c r="A178" s="123" t="str">
        <f>IF(B178="","",COUNT(A$7:A177)+1)</f>
        <v/>
      </c>
      <c r="B178" s="139"/>
      <c r="C178" s="139"/>
      <c r="D178" s="141"/>
      <c r="E178" s="126"/>
      <c r="F178" s="142"/>
      <c r="G178" s="127"/>
      <c r="H178" s="128"/>
      <c r="I178" s="128"/>
      <c r="J178" s="980"/>
      <c r="K178" s="143"/>
      <c r="L178" s="143"/>
      <c r="M178" s="129"/>
      <c r="N178" s="144"/>
      <c r="O178" s="144"/>
      <c r="P178" s="144"/>
      <c r="Q178" s="143"/>
      <c r="R178" s="353" t="str">
        <f t="shared" si="62"/>
        <v/>
      </c>
      <c r="S178" s="129" t="str">
        <f t="shared" si="86"/>
        <v/>
      </c>
      <c r="T178" s="1226" t="str">
        <f t="shared" si="71"/>
        <v/>
      </c>
      <c r="U178" s="1226" t="str">
        <f t="shared" si="72"/>
        <v/>
      </c>
      <c r="V178" s="353" t="str">
        <f t="shared" si="60"/>
        <v/>
      </c>
      <c r="W178" s="129">
        <v>0</v>
      </c>
      <c r="X178" s="129">
        <v>0</v>
      </c>
      <c r="Y178" s="129" t="str">
        <f t="shared" si="87"/>
        <v/>
      </c>
      <c r="Z178" s="129" t="str">
        <f t="shared" si="88"/>
        <v/>
      </c>
      <c r="AA178" s="145"/>
      <c r="BA178" s="78"/>
      <c r="BB178" s="132" t="s">
        <v>2416</v>
      </c>
      <c r="BC178" s="133"/>
      <c r="BD178" s="132" t="str">
        <f>IF(OR(B178="",BC178=""),"",COUNTIF(BC$8:BC178,"√"))</f>
        <v/>
      </c>
      <c r="BE178" s="134" t="str">
        <f t="shared" si="75"/>
        <v/>
      </c>
      <c r="BF178" s="135" t="str">
        <f t="shared" si="80"/>
        <v/>
      </c>
      <c r="BG178" s="135" t="str">
        <f t="shared" si="80"/>
        <v/>
      </c>
      <c r="BH178" s="136"/>
      <c r="BI178" s="136"/>
      <c r="BJ178" s="136"/>
      <c r="BK178" s="136"/>
      <c r="BL178" s="137"/>
      <c r="BM178" s="137"/>
      <c r="BP178" s="134" t="str">
        <f>IF(COUNTIF(BP$7:BP177,B178)&gt;0,"",B178)&amp;""</f>
        <v/>
      </c>
      <c r="BQ178" s="138">
        <f t="shared" si="76"/>
        <v>0</v>
      </c>
      <c r="BR178" s="132">
        <f t="shared" si="77"/>
        <v>1</v>
      </c>
      <c r="BS178" s="138">
        <f t="shared" si="78"/>
        <v>0</v>
      </c>
      <c r="BT178" s="132">
        <f t="shared" si="79"/>
        <v>2</v>
      </c>
      <c r="BU178" s="133"/>
      <c r="BV178" s="133"/>
      <c r="BX178" s="1256">
        <v>43100</v>
      </c>
      <c r="BY178" s="165">
        <f>IFERROR(LOOKUP(BX178,基础数据!A:D),1)</f>
        <v>3.53915880885741</v>
      </c>
      <c r="BZ178" s="165">
        <f t="shared" si="81"/>
        <v>1.00524445538375</v>
      </c>
      <c r="CA178" s="165" t="e">
        <f t="shared" si="83"/>
        <v>#VALUE!</v>
      </c>
      <c r="CB178" s="165">
        <f t="shared" si="85"/>
        <v>90</v>
      </c>
      <c r="CC178" s="165" t="e">
        <f t="shared" si="82"/>
        <v>#VALUE!</v>
      </c>
      <c r="CD178" s="1257" t="s">
        <v>2237</v>
      </c>
    </row>
    <row r="179" ht="15" customHeight="1" spans="1:82">
      <c r="A179" s="123" t="str">
        <f>IF(B179="","",COUNT(A$7:A178)+1)</f>
        <v/>
      </c>
      <c r="B179" s="139"/>
      <c r="C179" s="139"/>
      <c r="D179" s="141"/>
      <c r="E179" s="126"/>
      <c r="F179" s="142"/>
      <c r="G179" s="127"/>
      <c r="H179" s="128"/>
      <c r="I179" s="128"/>
      <c r="J179" s="980"/>
      <c r="K179" s="143"/>
      <c r="L179" s="143"/>
      <c r="M179" s="129"/>
      <c r="N179" s="144"/>
      <c r="O179" s="144"/>
      <c r="P179" s="144"/>
      <c r="Q179" s="143"/>
      <c r="R179" s="353" t="str">
        <f t="shared" si="62"/>
        <v/>
      </c>
      <c r="S179" s="129" t="str">
        <f t="shared" si="86"/>
        <v/>
      </c>
      <c r="T179" s="1226" t="str">
        <f t="shared" si="71"/>
        <v/>
      </c>
      <c r="U179" s="1226" t="str">
        <f t="shared" si="72"/>
        <v/>
      </c>
      <c r="V179" s="353" t="str">
        <f t="shared" si="60"/>
        <v/>
      </c>
      <c r="W179" s="129">
        <v>0</v>
      </c>
      <c r="X179" s="129">
        <v>0</v>
      </c>
      <c r="Y179" s="129" t="str">
        <f t="shared" si="87"/>
        <v/>
      </c>
      <c r="Z179" s="129" t="str">
        <f t="shared" si="88"/>
        <v/>
      </c>
      <c r="AA179" s="145"/>
      <c r="BA179" s="78"/>
      <c r="BB179" s="132" t="s">
        <v>2417</v>
      </c>
      <c r="BC179" s="133"/>
      <c r="BD179" s="132" t="str">
        <f>IF(OR(B179="",BC179=""),"",COUNTIF(BC$8:BC179,"√"))</f>
        <v/>
      </c>
      <c r="BE179" s="134" t="str">
        <f t="shared" si="75"/>
        <v/>
      </c>
      <c r="BF179" s="135" t="str">
        <f t="shared" si="80"/>
        <v/>
      </c>
      <c r="BG179" s="135" t="str">
        <f t="shared" si="80"/>
        <v/>
      </c>
      <c r="BH179" s="136"/>
      <c r="BI179" s="136"/>
      <c r="BJ179" s="136"/>
      <c r="BK179" s="136"/>
      <c r="BL179" s="137"/>
      <c r="BM179" s="137"/>
      <c r="BP179" s="134" t="str">
        <f>IF(COUNTIF(BP$7:BP178,B179)&gt;0,"",B179)&amp;""</f>
        <v/>
      </c>
      <c r="BQ179" s="138">
        <f t="shared" si="76"/>
        <v>0</v>
      </c>
      <c r="BR179" s="132">
        <f t="shared" si="77"/>
        <v>1</v>
      </c>
      <c r="BS179" s="138">
        <f t="shared" si="78"/>
        <v>0</v>
      </c>
      <c r="BT179" s="132">
        <f t="shared" si="79"/>
        <v>2</v>
      </c>
      <c r="BU179" s="133"/>
      <c r="BV179" s="133"/>
      <c r="BX179" s="1256">
        <v>43100</v>
      </c>
      <c r="BY179" s="165">
        <f>IFERROR(LOOKUP(BX179,基础数据!A:D),1)</f>
        <v>3.53915880885741</v>
      </c>
      <c r="BZ179" s="165">
        <f t="shared" si="81"/>
        <v>1.00524445538375</v>
      </c>
      <c r="CA179" s="165" t="e">
        <f t="shared" si="83"/>
        <v>#VALUE!</v>
      </c>
      <c r="CB179" s="165">
        <f t="shared" si="85"/>
        <v>90</v>
      </c>
      <c r="CC179" s="165" t="e">
        <f t="shared" si="82"/>
        <v>#VALUE!</v>
      </c>
      <c r="CD179" s="1257" t="s">
        <v>2237</v>
      </c>
    </row>
    <row r="180" ht="15" customHeight="1" spans="1:82">
      <c r="A180" s="123" t="str">
        <f>IF(B180="","",COUNT(A$7:A179)+1)</f>
        <v/>
      </c>
      <c r="B180" s="139"/>
      <c r="C180" s="139"/>
      <c r="D180" s="141"/>
      <c r="E180" s="126"/>
      <c r="F180" s="142"/>
      <c r="G180" s="127"/>
      <c r="H180" s="128"/>
      <c r="I180" s="128"/>
      <c r="J180" s="980"/>
      <c r="K180" s="143"/>
      <c r="L180" s="143"/>
      <c r="M180" s="129"/>
      <c r="N180" s="144"/>
      <c r="O180" s="144"/>
      <c r="P180" s="144"/>
      <c r="Q180" s="143"/>
      <c r="R180" s="353" t="str">
        <f t="shared" si="62"/>
        <v/>
      </c>
      <c r="S180" s="129" t="str">
        <f t="shared" si="86"/>
        <v/>
      </c>
      <c r="T180" s="1226" t="str">
        <f t="shared" si="71"/>
        <v/>
      </c>
      <c r="U180" s="1226" t="str">
        <f t="shared" si="72"/>
        <v/>
      </c>
      <c r="V180" s="353" t="str">
        <f t="shared" si="60"/>
        <v/>
      </c>
      <c r="W180" s="129">
        <v>0</v>
      </c>
      <c r="X180" s="129">
        <v>0</v>
      </c>
      <c r="Y180" s="129" t="str">
        <f t="shared" si="87"/>
        <v/>
      </c>
      <c r="Z180" s="129" t="str">
        <f t="shared" si="88"/>
        <v/>
      </c>
      <c r="AA180" s="145"/>
      <c r="BA180" s="78"/>
      <c r="BB180" s="132" t="s">
        <v>2418</v>
      </c>
      <c r="BC180" s="133"/>
      <c r="BD180" s="132" t="str">
        <f>IF(OR(B180="",BC180=""),"",COUNTIF(BC$8:BC180,"√"))</f>
        <v/>
      </c>
      <c r="BE180" s="134" t="str">
        <f t="shared" si="75"/>
        <v/>
      </c>
      <c r="BF180" s="135" t="str">
        <f t="shared" si="80"/>
        <v/>
      </c>
      <c r="BG180" s="135" t="str">
        <f t="shared" si="80"/>
        <v/>
      </c>
      <c r="BH180" s="136"/>
      <c r="BI180" s="136"/>
      <c r="BJ180" s="136"/>
      <c r="BK180" s="136"/>
      <c r="BL180" s="137"/>
      <c r="BM180" s="137"/>
      <c r="BP180" s="134" t="str">
        <f>IF(COUNTIF(BP$7:BP179,B180)&gt;0,"",B180)&amp;""</f>
        <v/>
      </c>
      <c r="BQ180" s="138">
        <f t="shared" si="76"/>
        <v>0</v>
      </c>
      <c r="BR180" s="132">
        <f t="shared" si="77"/>
        <v>1</v>
      </c>
      <c r="BS180" s="138">
        <f t="shared" si="78"/>
        <v>0</v>
      </c>
      <c r="BT180" s="132">
        <f t="shared" si="79"/>
        <v>2</v>
      </c>
      <c r="BU180" s="133"/>
      <c r="BV180" s="133"/>
      <c r="BX180" s="1256">
        <v>43100</v>
      </c>
      <c r="BY180" s="165">
        <f>IFERROR(LOOKUP(BX180,基础数据!A:D),1)</f>
        <v>3.53915880885741</v>
      </c>
      <c r="BZ180" s="165">
        <f t="shared" si="81"/>
        <v>1.00524445538375</v>
      </c>
      <c r="CA180" s="165" t="e">
        <f t="shared" si="83"/>
        <v>#VALUE!</v>
      </c>
      <c r="CB180" s="165">
        <f t="shared" si="85"/>
        <v>90</v>
      </c>
      <c r="CC180" s="165" t="e">
        <f t="shared" si="82"/>
        <v>#VALUE!</v>
      </c>
      <c r="CD180" s="1257" t="s">
        <v>2237</v>
      </c>
    </row>
    <row r="181" ht="15" customHeight="1" spans="1:82">
      <c r="A181" s="123" t="str">
        <f>IF(B181="","",COUNT(A$7:A180)+1)</f>
        <v/>
      </c>
      <c r="B181" s="139"/>
      <c r="C181" s="139"/>
      <c r="D181" s="141"/>
      <c r="E181" s="126"/>
      <c r="F181" s="142"/>
      <c r="G181" s="127"/>
      <c r="H181" s="128"/>
      <c r="I181" s="128"/>
      <c r="J181" s="980"/>
      <c r="K181" s="143"/>
      <c r="L181" s="143"/>
      <c r="M181" s="129"/>
      <c r="N181" s="144"/>
      <c r="O181" s="144"/>
      <c r="P181" s="144"/>
      <c r="Q181" s="143"/>
      <c r="R181" s="353" t="str">
        <f t="shared" si="62"/>
        <v/>
      </c>
      <c r="S181" s="129" t="str">
        <f t="shared" si="86"/>
        <v/>
      </c>
      <c r="T181" s="1226" t="str">
        <f t="shared" si="71"/>
        <v/>
      </c>
      <c r="U181" s="1226" t="str">
        <f t="shared" si="72"/>
        <v/>
      </c>
      <c r="V181" s="353" t="str">
        <f t="shared" si="60"/>
        <v/>
      </c>
      <c r="W181" s="129">
        <v>0</v>
      </c>
      <c r="X181" s="129">
        <v>0</v>
      </c>
      <c r="Y181" s="129" t="str">
        <f t="shared" si="87"/>
        <v/>
      </c>
      <c r="Z181" s="129" t="str">
        <f t="shared" si="88"/>
        <v/>
      </c>
      <c r="AA181" s="145"/>
      <c r="BA181" s="78"/>
      <c r="BB181" s="132" t="s">
        <v>2419</v>
      </c>
      <c r="BC181" s="133"/>
      <c r="BD181" s="132" t="str">
        <f>IF(OR(B181="",BC181=""),"",COUNTIF(BC$8:BC181,"√"))</f>
        <v/>
      </c>
      <c r="BE181" s="134" t="str">
        <f t="shared" si="75"/>
        <v/>
      </c>
      <c r="BF181" s="135" t="str">
        <f t="shared" si="80"/>
        <v/>
      </c>
      <c r="BG181" s="135" t="str">
        <f t="shared" si="80"/>
        <v/>
      </c>
      <c r="BH181" s="136"/>
      <c r="BI181" s="136"/>
      <c r="BJ181" s="136"/>
      <c r="BK181" s="136"/>
      <c r="BL181" s="137"/>
      <c r="BM181" s="137"/>
      <c r="BP181" s="134" t="str">
        <f>IF(COUNTIF(BP$7:BP180,B181)&gt;0,"",B181)&amp;""</f>
        <v/>
      </c>
      <c r="BQ181" s="138">
        <f t="shared" si="76"/>
        <v>0</v>
      </c>
      <c r="BR181" s="132">
        <f t="shared" si="77"/>
        <v>1</v>
      </c>
      <c r="BS181" s="138">
        <f t="shared" si="78"/>
        <v>0</v>
      </c>
      <c r="BT181" s="132">
        <f t="shared" si="79"/>
        <v>2</v>
      </c>
      <c r="BU181" s="133"/>
      <c r="BV181" s="133"/>
      <c r="BX181" s="1256">
        <v>43100</v>
      </c>
      <c r="BY181" s="165">
        <f>IFERROR(LOOKUP(BX181,基础数据!A:D),1)</f>
        <v>3.53915880885741</v>
      </c>
      <c r="BZ181" s="165">
        <f t="shared" si="81"/>
        <v>1.00524445538375</v>
      </c>
      <c r="CA181" s="165" t="e">
        <f t="shared" si="83"/>
        <v>#VALUE!</v>
      </c>
      <c r="CB181" s="165">
        <f t="shared" si="85"/>
        <v>90</v>
      </c>
      <c r="CC181" s="165" t="e">
        <f t="shared" si="82"/>
        <v>#VALUE!</v>
      </c>
      <c r="CD181" s="1257" t="s">
        <v>2237</v>
      </c>
    </row>
    <row r="182" ht="15" customHeight="1" spans="1:82">
      <c r="A182" s="123" t="str">
        <f>IF(B182="","",COUNT(A$7:A181)+1)</f>
        <v/>
      </c>
      <c r="B182" s="139"/>
      <c r="C182" s="139"/>
      <c r="D182" s="141"/>
      <c r="E182" s="126"/>
      <c r="F182" s="142"/>
      <c r="G182" s="127"/>
      <c r="H182" s="128"/>
      <c r="I182" s="128"/>
      <c r="J182" s="980"/>
      <c r="K182" s="143"/>
      <c r="L182" s="143"/>
      <c r="M182" s="129"/>
      <c r="N182" s="144"/>
      <c r="O182" s="144"/>
      <c r="P182" s="144"/>
      <c r="Q182" s="143"/>
      <c r="R182" s="353" t="str">
        <f t="shared" si="62"/>
        <v/>
      </c>
      <c r="S182" s="129" t="str">
        <f t="shared" si="86"/>
        <v/>
      </c>
      <c r="T182" s="1226" t="str">
        <f t="shared" si="71"/>
        <v/>
      </c>
      <c r="U182" s="1226" t="str">
        <f t="shared" si="72"/>
        <v/>
      </c>
      <c r="V182" s="353" t="str">
        <f t="shared" si="60"/>
        <v/>
      </c>
      <c r="W182" s="129">
        <v>0</v>
      </c>
      <c r="X182" s="129">
        <v>0</v>
      </c>
      <c r="Y182" s="129" t="str">
        <f t="shared" si="87"/>
        <v/>
      </c>
      <c r="Z182" s="129" t="str">
        <f t="shared" si="88"/>
        <v/>
      </c>
      <c r="AA182" s="145"/>
      <c r="BA182" s="78"/>
      <c r="BB182" s="132" t="s">
        <v>2420</v>
      </c>
      <c r="BC182" s="133"/>
      <c r="BD182" s="132" t="str">
        <f>IF(OR(B182="",BC182=""),"",COUNTIF(BC$8:BC182,"√"))</f>
        <v/>
      </c>
      <c r="BE182" s="134" t="str">
        <f t="shared" si="75"/>
        <v/>
      </c>
      <c r="BF182" s="135" t="str">
        <f t="shared" si="80"/>
        <v/>
      </c>
      <c r="BG182" s="135" t="str">
        <f t="shared" si="80"/>
        <v/>
      </c>
      <c r="BH182" s="136"/>
      <c r="BI182" s="136"/>
      <c r="BJ182" s="136"/>
      <c r="BK182" s="136"/>
      <c r="BL182" s="137"/>
      <c r="BM182" s="137"/>
      <c r="BP182" s="134" t="str">
        <f>IF(COUNTIF(BP$7:BP181,B182)&gt;0,"",B182)&amp;""</f>
        <v/>
      </c>
      <c r="BQ182" s="138">
        <f t="shared" si="76"/>
        <v>0</v>
      </c>
      <c r="BR182" s="132">
        <f t="shared" si="77"/>
        <v>1</v>
      </c>
      <c r="BS182" s="138">
        <f t="shared" si="78"/>
        <v>0</v>
      </c>
      <c r="BT182" s="132">
        <f t="shared" si="79"/>
        <v>2</v>
      </c>
      <c r="BU182" s="133"/>
      <c r="BV182" s="133"/>
      <c r="BX182" s="1256">
        <v>43100</v>
      </c>
      <c r="BY182" s="165">
        <f>IFERROR(LOOKUP(BX182,基础数据!A:D),1)</f>
        <v>3.53915880885741</v>
      </c>
      <c r="BZ182" s="165">
        <f t="shared" si="81"/>
        <v>1.00524445538375</v>
      </c>
      <c r="CA182" s="165" t="e">
        <f t="shared" si="83"/>
        <v>#VALUE!</v>
      </c>
      <c r="CB182" s="165">
        <f t="shared" si="85"/>
        <v>90</v>
      </c>
      <c r="CC182" s="165" t="e">
        <f t="shared" si="82"/>
        <v>#VALUE!</v>
      </c>
      <c r="CD182" s="1257" t="s">
        <v>2237</v>
      </c>
    </row>
    <row r="183" ht="15" customHeight="1" spans="1:82">
      <c r="A183" s="123" t="str">
        <f>IF(B183="","",COUNT(A$7:A182)+1)</f>
        <v/>
      </c>
      <c r="B183" s="139"/>
      <c r="C183" s="139"/>
      <c r="D183" s="141"/>
      <c r="E183" s="126"/>
      <c r="F183" s="142"/>
      <c r="G183" s="127"/>
      <c r="H183" s="128"/>
      <c r="I183" s="128"/>
      <c r="J183" s="980"/>
      <c r="K183" s="143"/>
      <c r="L183" s="143"/>
      <c r="M183" s="129"/>
      <c r="N183" s="144"/>
      <c r="O183" s="144"/>
      <c r="P183" s="144"/>
      <c r="Q183" s="143"/>
      <c r="R183" s="353" t="str">
        <f t="shared" si="62"/>
        <v/>
      </c>
      <c r="S183" s="129" t="str">
        <f t="shared" si="86"/>
        <v/>
      </c>
      <c r="T183" s="1226" t="str">
        <f t="shared" si="71"/>
        <v/>
      </c>
      <c r="U183" s="1226" t="str">
        <f t="shared" si="72"/>
        <v/>
      </c>
      <c r="V183" s="353" t="str">
        <f t="shared" si="60"/>
        <v/>
      </c>
      <c r="W183" s="129">
        <v>0</v>
      </c>
      <c r="X183" s="129">
        <v>0</v>
      </c>
      <c r="Y183" s="129" t="str">
        <f t="shared" si="87"/>
        <v/>
      </c>
      <c r="Z183" s="129" t="str">
        <f t="shared" si="88"/>
        <v/>
      </c>
      <c r="AA183" s="145"/>
      <c r="BA183" s="78"/>
      <c r="BB183" s="132" t="s">
        <v>2421</v>
      </c>
      <c r="BC183" s="133"/>
      <c r="BD183" s="132" t="str">
        <f>IF(OR(B183="",BC183=""),"",COUNTIF(BC$8:BC183,"√"))</f>
        <v/>
      </c>
      <c r="BE183" s="134" t="str">
        <f t="shared" si="75"/>
        <v/>
      </c>
      <c r="BF183" s="135" t="str">
        <f t="shared" si="80"/>
        <v/>
      </c>
      <c r="BG183" s="135" t="str">
        <f t="shared" si="80"/>
        <v/>
      </c>
      <c r="BH183" s="136"/>
      <c r="BI183" s="136"/>
      <c r="BJ183" s="136"/>
      <c r="BK183" s="136"/>
      <c r="BL183" s="137"/>
      <c r="BM183" s="137"/>
      <c r="BP183" s="134" t="str">
        <f>IF(COUNTIF(BP$7:BP182,B183)&gt;0,"",B183)&amp;""</f>
        <v/>
      </c>
      <c r="BQ183" s="138">
        <f t="shared" si="76"/>
        <v>0</v>
      </c>
      <c r="BR183" s="132">
        <f t="shared" si="77"/>
        <v>1</v>
      </c>
      <c r="BS183" s="138">
        <f t="shared" si="78"/>
        <v>0</v>
      </c>
      <c r="BT183" s="132">
        <f t="shared" si="79"/>
        <v>2</v>
      </c>
      <c r="BU183" s="133"/>
      <c r="BV183" s="133"/>
      <c r="BX183" s="1256">
        <v>43100</v>
      </c>
      <c r="BY183" s="165">
        <f>IFERROR(LOOKUP(BX183,基础数据!A:D),1)</f>
        <v>3.53915880885741</v>
      </c>
      <c r="BZ183" s="165">
        <f t="shared" si="81"/>
        <v>1.00524445538375</v>
      </c>
      <c r="CA183" s="165" t="e">
        <f t="shared" si="83"/>
        <v>#VALUE!</v>
      </c>
      <c r="CB183" s="165">
        <v>97</v>
      </c>
      <c r="CC183" s="165" t="e">
        <f t="shared" si="82"/>
        <v>#VALUE!</v>
      </c>
      <c r="CD183" s="1257" t="s">
        <v>2236</v>
      </c>
    </row>
    <row r="184" ht="15" customHeight="1" spans="1:82">
      <c r="A184" s="123" t="str">
        <f>IF(B184="","",COUNT(A$7:A183)+1)</f>
        <v/>
      </c>
      <c r="B184" s="139"/>
      <c r="C184" s="139"/>
      <c r="D184" s="141"/>
      <c r="E184" s="126"/>
      <c r="F184" s="142"/>
      <c r="G184" s="127"/>
      <c r="H184" s="128"/>
      <c r="I184" s="128"/>
      <c r="J184" s="980"/>
      <c r="K184" s="143"/>
      <c r="L184" s="143"/>
      <c r="M184" s="129"/>
      <c r="N184" s="144"/>
      <c r="O184" s="144"/>
      <c r="P184" s="144"/>
      <c r="Q184" s="143"/>
      <c r="R184" s="353" t="str">
        <f t="shared" si="62"/>
        <v/>
      </c>
      <c r="S184" s="129" t="str">
        <f t="shared" si="86"/>
        <v/>
      </c>
      <c r="T184" s="1226" t="str">
        <f t="shared" si="71"/>
        <v/>
      </c>
      <c r="U184" s="1226" t="str">
        <f t="shared" si="72"/>
        <v/>
      </c>
      <c r="V184" s="353" t="str">
        <f t="shared" si="60"/>
        <v/>
      </c>
      <c r="W184" s="129">
        <v>0</v>
      </c>
      <c r="X184" s="129">
        <v>0</v>
      </c>
      <c r="Y184" s="129" t="str">
        <f t="shared" si="87"/>
        <v/>
      </c>
      <c r="Z184" s="129" t="str">
        <f t="shared" si="88"/>
        <v/>
      </c>
      <c r="AA184" s="145"/>
      <c r="BA184" s="78"/>
      <c r="BB184" s="132" t="s">
        <v>2422</v>
      </c>
      <c r="BC184" s="133"/>
      <c r="BD184" s="132" t="str">
        <f>IF(OR(B184="",BC184=""),"",COUNTIF(BC$8:BC184,"√"))</f>
        <v/>
      </c>
      <c r="BE184" s="134" t="str">
        <f t="shared" si="75"/>
        <v/>
      </c>
      <c r="BF184" s="135" t="str">
        <f t="shared" si="80"/>
        <v/>
      </c>
      <c r="BG184" s="135" t="str">
        <f t="shared" si="80"/>
        <v/>
      </c>
      <c r="BH184" s="136"/>
      <c r="BI184" s="136"/>
      <c r="BJ184" s="136"/>
      <c r="BK184" s="136"/>
      <c r="BL184" s="137"/>
      <c r="BM184" s="137"/>
      <c r="BP184" s="134" t="str">
        <f>IF(COUNTIF(BP$7:BP183,B184)&gt;0,"",B184)&amp;""</f>
        <v/>
      </c>
      <c r="BQ184" s="138">
        <f t="shared" si="76"/>
        <v>0</v>
      </c>
      <c r="BR184" s="132">
        <f t="shared" si="77"/>
        <v>1</v>
      </c>
      <c r="BS184" s="138">
        <f t="shared" si="78"/>
        <v>0</v>
      </c>
      <c r="BT184" s="132">
        <f t="shared" si="79"/>
        <v>2</v>
      </c>
      <c r="BU184" s="133"/>
      <c r="BV184" s="133"/>
      <c r="BX184" s="1256">
        <v>43100</v>
      </c>
      <c r="BY184" s="165">
        <f>IFERROR(LOOKUP(BX184,基础数据!A:D),1)</f>
        <v>3.53915880885741</v>
      </c>
      <c r="BZ184" s="165">
        <f t="shared" si="81"/>
        <v>1.00524445538375</v>
      </c>
      <c r="CA184" s="165" t="e">
        <f t="shared" si="83"/>
        <v>#VALUE!</v>
      </c>
      <c r="CB184" s="165">
        <f t="shared" si="85"/>
        <v>90</v>
      </c>
      <c r="CC184" s="165" t="e">
        <f t="shared" si="82"/>
        <v>#VALUE!</v>
      </c>
      <c r="CD184" s="1257" t="s">
        <v>2237</v>
      </c>
    </row>
    <row r="185" ht="15" customHeight="1" spans="1:82">
      <c r="A185" s="123" t="str">
        <f>IF(B185="","",COUNT(A$7:A184)+1)</f>
        <v/>
      </c>
      <c r="B185" s="139"/>
      <c r="C185" s="139"/>
      <c r="D185" s="141"/>
      <c r="E185" s="126"/>
      <c r="F185" s="142"/>
      <c r="G185" s="127"/>
      <c r="H185" s="128"/>
      <c r="I185" s="128"/>
      <c r="J185" s="980"/>
      <c r="K185" s="143"/>
      <c r="L185" s="143"/>
      <c r="M185" s="129"/>
      <c r="N185" s="144"/>
      <c r="O185" s="144"/>
      <c r="P185" s="144"/>
      <c r="Q185" s="143"/>
      <c r="R185" s="353" t="str">
        <f t="shared" si="62"/>
        <v/>
      </c>
      <c r="S185" s="129" t="str">
        <f t="shared" si="86"/>
        <v/>
      </c>
      <c r="T185" s="1226" t="str">
        <f t="shared" si="71"/>
        <v/>
      </c>
      <c r="U185" s="1226" t="str">
        <f t="shared" si="72"/>
        <v/>
      </c>
      <c r="V185" s="353" t="str">
        <f t="shared" si="60"/>
        <v/>
      </c>
      <c r="W185" s="129">
        <v>0</v>
      </c>
      <c r="X185" s="129">
        <v>0</v>
      </c>
      <c r="Y185" s="129" t="str">
        <f t="shared" si="87"/>
        <v/>
      </c>
      <c r="Z185" s="129" t="str">
        <f t="shared" si="88"/>
        <v/>
      </c>
      <c r="AA185" s="145"/>
      <c r="BA185" s="78"/>
      <c r="BB185" s="132" t="s">
        <v>2423</v>
      </c>
      <c r="BC185" s="133"/>
      <c r="BD185" s="132" t="str">
        <f>IF(OR(B185="",BC185=""),"",COUNTIF(BC$8:BC185,"√"))</f>
        <v/>
      </c>
      <c r="BE185" s="134" t="str">
        <f t="shared" si="75"/>
        <v/>
      </c>
      <c r="BF185" s="135" t="str">
        <f t="shared" si="80"/>
        <v/>
      </c>
      <c r="BG185" s="135" t="str">
        <f t="shared" si="80"/>
        <v/>
      </c>
      <c r="BH185" s="136"/>
      <c r="BI185" s="136"/>
      <c r="BJ185" s="136"/>
      <c r="BK185" s="136"/>
      <c r="BL185" s="137"/>
      <c r="BM185" s="137"/>
      <c r="BP185" s="134" t="str">
        <f>IF(COUNTIF(BP$7:BP184,B185)&gt;0,"",B185)&amp;""</f>
        <v/>
      </c>
      <c r="BQ185" s="138">
        <f t="shared" si="76"/>
        <v>0</v>
      </c>
      <c r="BR185" s="132">
        <f t="shared" si="77"/>
        <v>1</v>
      </c>
      <c r="BS185" s="138">
        <f t="shared" si="78"/>
        <v>0</v>
      </c>
      <c r="BT185" s="132">
        <f t="shared" si="79"/>
        <v>2</v>
      </c>
      <c r="BU185" s="133"/>
      <c r="BV185" s="133"/>
      <c r="BX185" s="1256">
        <v>43100</v>
      </c>
      <c r="BY185" s="165">
        <f>IFERROR(LOOKUP(BX185,基础数据!A:D),1)</f>
        <v>3.53915880885741</v>
      </c>
      <c r="BZ185" s="165">
        <f t="shared" si="81"/>
        <v>1.00524445538375</v>
      </c>
      <c r="CA185" s="165" t="e">
        <f t="shared" si="83"/>
        <v>#VALUE!</v>
      </c>
      <c r="CB185" s="165">
        <f t="shared" si="85"/>
        <v>90</v>
      </c>
      <c r="CC185" s="165" t="e">
        <f t="shared" si="82"/>
        <v>#VALUE!</v>
      </c>
      <c r="CD185" s="1257" t="s">
        <v>2237</v>
      </c>
    </row>
    <row r="186" ht="15" customHeight="1" spans="1:82">
      <c r="A186" s="123" t="str">
        <f>IF(B186="","",COUNT(A$7:A185)+1)</f>
        <v/>
      </c>
      <c r="B186" s="139"/>
      <c r="C186" s="139"/>
      <c r="D186" s="141"/>
      <c r="E186" s="126"/>
      <c r="F186" s="142"/>
      <c r="G186" s="127"/>
      <c r="H186" s="128"/>
      <c r="I186" s="128"/>
      <c r="J186" s="980"/>
      <c r="K186" s="143"/>
      <c r="L186" s="143"/>
      <c r="M186" s="129"/>
      <c r="N186" s="144"/>
      <c r="O186" s="144"/>
      <c r="P186" s="144"/>
      <c r="Q186" s="143"/>
      <c r="R186" s="353" t="str">
        <f t="shared" si="62"/>
        <v/>
      </c>
      <c r="S186" s="129" t="str">
        <f t="shared" si="86"/>
        <v/>
      </c>
      <c r="T186" s="1226" t="str">
        <f t="shared" si="71"/>
        <v/>
      </c>
      <c r="U186" s="1226" t="str">
        <f t="shared" si="72"/>
        <v/>
      </c>
      <c r="V186" s="353" t="str">
        <f t="shared" si="60"/>
        <v/>
      </c>
      <c r="W186" s="129">
        <v>0</v>
      </c>
      <c r="X186" s="129">
        <v>0</v>
      </c>
      <c r="Y186" s="129" t="str">
        <f t="shared" si="87"/>
        <v/>
      </c>
      <c r="Z186" s="129" t="str">
        <f t="shared" si="88"/>
        <v/>
      </c>
      <c r="AA186" s="145"/>
      <c r="BA186" s="78"/>
      <c r="BB186" s="132" t="s">
        <v>2424</v>
      </c>
      <c r="BC186" s="133"/>
      <c r="BD186" s="132" t="str">
        <f>IF(OR(B186="",BC186=""),"",COUNTIF(BC$8:BC186,"√"))</f>
        <v/>
      </c>
      <c r="BE186" s="134" t="str">
        <f t="shared" si="75"/>
        <v/>
      </c>
      <c r="BF186" s="135" t="str">
        <f t="shared" si="80"/>
        <v/>
      </c>
      <c r="BG186" s="135" t="str">
        <f t="shared" si="80"/>
        <v/>
      </c>
      <c r="BH186" s="136"/>
      <c r="BI186" s="136"/>
      <c r="BJ186" s="136"/>
      <c r="BK186" s="136"/>
      <c r="BL186" s="137"/>
      <c r="BM186" s="137"/>
      <c r="BP186" s="134" t="str">
        <f>IF(COUNTIF(BP$7:BP185,B186)&gt;0,"",B186)&amp;""</f>
        <v/>
      </c>
      <c r="BQ186" s="138">
        <f t="shared" si="76"/>
        <v>0</v>
      </c>
      <c r="BR186" s="132">
        <f t="shared" si="77"/>
        <v>1</v>
      </c>
      <c r="BS186" s="138">
        <f t="shared" si="78"/>
        <v>0</v>
      </c>
      <c r="BT186" s="132">
        <f t="shared" si="79"/>
        <v>2</v>
      </c>
      <c r="BU186" s="133"/>
      <c r="BV186" s="133"/>
      <c r="BX186" s="1256">
        <v>43100</v>
      </c>
      <c r="BY186" s="165">
        <f>IFERROR(LOOKUP(BX186,基础数据!A:D),1)</f>
        <v>3.53915880885741</v>
      </c>
      <c r="BZ186" s="165">
        <f t="shared" si="81"/>
        <v>1.00524445538375</v>
      </c>
      <c r="CA186" s="165" t="e">
        <f t="shared" si="83"/>
        <v>#VALUE!</v>
      </c>
      <c r="CB186" s="165">
        <f t="shared" ref="CB186:CB188" si="89">CO$2</f>
        <v>95</v>
      </c>
      <c r="CC186" s="165" t="e">
        <f t="shared" si="82"/>
        <v>#VALUE!</v>
      </c>
      <c r="CD186" s="1260" t="s">
        <v>2236</v>
      </c>
    </row>
    <row r="187" ht="15" customHeight="1" spans="1:82">
      <c r="A187" s="123" t="str">
        <f>IF(B187="","",COUNT(A$7:A186)+1)</f>
        <v/>
      </c>
      <c r="B187" s="139"/>
      <c r="C187" s="139"/>
      <c r="D187" s="141"/>
      <c r="E187" s="126"/>
      <c r="F187" s="142"/>
      <c r="G187" s="127"/>
      <c r="H187" s="128"/>
      <c r="I187" s="128"/>
      <c r="J187" s="980"/>
      <c r="K187" s="143"/>
      <c r="L187" s="143"/>
      <c r="M187" s="129"/>
      <c r="N187" s="144"/>
      <c r="O187" s="144"/>
      <c r="P187" s="144"/>
      <c r="Q187" s="143"/>
      <c r="R187" s="353" t="str">
        <f t="shared" si="62"/>
        <v/>
      </c>
      <c r="S187" s="129" t="str">
        <f t="shared" si="86"/>
        <v/>
      </c>
      <c r="T187" s="1226" t="str">
        <f t="shared" si="71"/>
        <v/>
      </c>
      <c r="U187" s="1226" t="str">
        <f t="shared" si="72"/>
        <v/>
      </c>
      <c r="V187" s="353" t="str">
        <f t="shared" ref="V187:V250" si="90">IF(B187="","",IF($BB$3="是",R187,""))</f>
        <v/>
      </c>
      <c r="W187" s="129">
        <v>0</v>
      </c>
      <c r="X187" s="129">
        <v>0</v>
      </c>
      <c r="Y187" s="129" t="str">
        <f t="shared" si="87"/>
        <v/>
      </c>
      <c r="Z187" s="129" t="str">
        <f t="shared" si="88"/>
        <v/>
      </c>
      <c r="AA187" s="145"/>
      <c r="BA187" s="78"/>
      <c r="BB187" s="132" t="s">
        <v>2425</v>
      </c>
      <c r="BC187" s="133"/>
      <c r="BD187" s="132" t="str">
        <f>IF(OR(B187="",BC187=""),"",COUNTIF(BC$8:BC187,"√"))</f>
        <v/>
      </c>
      <c r="BE187" s="134" t="str">
        <f t="shared" si="75"/>
        <v/>
      </c>
      <c r="BF187" s="135" t="str">
        <f t="shared" si="80"/>
        <v/>
      </c>
      <c r="BG187" s="135" t="str">
        <f t="shared" si="80"/>
        <v/>
      </c>
      <c r="BH187" s="136"/>
      <c r="BI187" s="136"/>
      <c r="BJ187" s="136"/>
      <c r="BK187" s="136"/>
      <c r="BL187" s="137"/>
      <c r="BM187" s="137"/>
      <c r="BP187" s="134" t="str">
        <f>IF(COUNTIF(BP$7:BP186,B187)&gt;0,"",B187)&amp;""</f>
        <v/>
      </c>
      <c r="BQ187" s="138">
        <f t="shared" si="76"/>
        <v>0</v>
      </c>
      <c r="BR187" s="132">
        <f t="shared" si="77"/>
        <v>1</v>
      </c>
      <c r="BS187" s="138">
        <f t="shared" si="78"/>
        <v>0</v>
      </c>
      <c r="BT187" s="132">
        <f t="shared" si="79"/>
        <v>2</v>
      </c>
      <c r="BU187" s="133"/>
      <c r="BV187" s="133"/>
      <c r="BX187" s="1256">
        <v>43100</v>
      </c>
      <c r="BY187" s="165">
        <f>IFERROR(LOOKUP(BX187,基础数据!A:D),1)</f>
        <v>3.53915880885741</v>
      </c>
      <c r="BZ187" s="165">
        <f t="shared" si="81"/>
        <v>1.00524445538375</v>
      </c>
      <c r="CA187" s="165" t="e">
        <f t="shared" si="83"/>
        <v>#VALUE!</v>
      </c>
      <c r="CB187" s="165">
        <f t="shared" si="89"/>
        <v>95</v>
      </c>
      <c r="CC187" s="165" t="e">
        <f t="shared" si="82"/>
        <v>#VALUE!</v>
      </c>
      <c r="CD187" s="1260" t="s">
        <v>2236</v>
      </c>
    </row>
    <row r="188" ht="15" customHeight="1" spans="1:82">
      <c r="A188" s="123" t="str">
        <f>IF(B188="","",COUNT(A$7:A187)+1)</f>
        <v/>
      </c>
      <c r="B188" s="139"/>
      <c r="C188" s="139"/>
      <c r="D188" s="141"/>
      <c r="E188" s="126"/>
      <c r="F188" s="142"/>
      <c r="G188" s="127"/>
      <c r="H188" s="128"/>
      <c r="I188" s="128"/>
      <c r="J188" s="980"/>
      <c r="K188" s="143"/>
      <c r="L188" s="143"/>
      <c r="M188" s="129"/>
      <c r="N188" s="144"/>
      <c r="O188" s="144"/>
      <c r="P188" s="144"/>
      <c r="Q188" s="143"/>
      <c r="R188" s="353" t="str">
        <f t="shared" si="62"/>
        <v/>
      </c>
      <c r="S188" s="129" t="str">
        <f t="shared" si="86"/>
        <v/>
      </c>
      <c r="T188" s="1226" t="str">
        <f t="shared" si="71"/>
        <v/>
      </c>
      <c r="U188" s="1226" t="str">
        <f t="shared" si="72"/>
        <v/>
      </c>
      <c r="V188" s="353" t="str">
        <f t="shared" si="90"/>
        <v/>
      </c>
      <c r="W188" s="129">
        <v>0</v>
      </c>
      <c r="X188" s="129">
        <v>0</v>
      </c>
      <c r="Y188" s="129" t="str">
        <f t="shared" si="87"/>
        <v/>
      </c>
      <c r="Z188" s="129" t="str">
        <f t="shared" si="88"/>
        <v/>
      </c>
      <c r="AA188" s="145"/>
      <c r="BA188" s="78"/>
      <c r="BB188" s="132" t="s">
        <v>2426</v>
      </c>
      <c r="BC188" s="133"/>
      <c r="BD188" s="132" t="str">
        <f>IF(OR(B188="",BC188=""),"",COUNTIF(BC$8:BC188,"√"))</f>
        <v/>
      </c>
      <c r="BE188" s="134" t="str">
        <f t="shared" si="75"/>
        <v/>
      </c>
      <c r="BF188" s="135" t="str">
        <f t="shared" si="80"/>
        <v/>
      </c>
      <c r="BG188" s="135" t="str">
        <f t="shared" si="80"/>
        <v/>
      </c>
      <c r="BH188" s="136"/>
      <c r="BI188" s="136"/>
      <c r="BJ188" s="136"/>
      <c r="BK188" s="136"/>
      <c r="BL188" s="137"/>
      <c r="BM188" s="137"/>
      <c r="BP188" s="134" t="str">
        <f>IF(COUNTIF(BP$7:BP187,B188)&gt;0,"",B188)&amp;""</f>
        <v/>
      </c>
      <c r="BQ188" s="138">
        <f t="shared" si="76"/>
        <v>0</v>
      </c>
      <c r="BR188" s="132">
        <f t="shared" si="77"/>
        <v>1</v>
      </c>
      <c r="BS188" s="138">
        <f t="shared" si="78"/>
        <v>0</v>
      </c>
      <c r="BT188" s="132">
        <f t="shared" si="79"/>
        <v>2</v>
      </c>
      <c r="BU188" s="133"/>
      <c r="BV188" s="133"/>
      <c r="BX188" s="1256">
        <v>43100</v>
      </c>
      <c r="BY188" s="165">
        <f>IFERROR(LOOKUP(BX188,基础数据!A:D),1)</f>
        <v>3.53915880885741</v>
      </c>
      <c r="BZ188" s="165">
        <f t="shared" si="81"/>
        <v>1.00524445538375</v>
      </c>
      <c r="CA188" s="165" t="e">
        <f t="shared" si="83"/>
        <v>#VALUE!</v>
      </c>
      <c r="CB188" s="165">
        <f t="shared" si="89"/>
        <v>95</v>
      </c>
      <c r="CC188" s="165" t="e">
        <f t="shared" si="82"/>
        <v>#VALUE!</v>
      </c>
      <c r="CD188" s="1260" t="s">
        <v>2236</v>
      </c>
    </row>
    <row r="189" ht="15" customHeight="1" spans="1:82">
      <c r="A189" s="123" t="str">
        <f>IF(B189="","",COUNT(A$7:A188)+1)</f>
        <v/>
      </c>
      <c r="B189" s="139"/>
      <c r="C189" s="139"/>
      <c r="D189" s="141"/>
      <c r="E189" s="126"/>
      <c r="F189" s="142"/>
      <c r="G189" s="127"/>
      <c r="H189" s="128"/>
      <c r="I189" s="128"/>
      <c r="J189" s="980"/>
      <c r="K189" s="143"/>
      <c r="L189" s="143"/>
      <c r="M189" s="129"/>
      <c r="N189" s="144"/>
      <c r="O189" s="144"/>
      <c r="P189" s="144"/>
      <c r="Q189" s="143"/>
      <c r="R189" s="353" t="str">
        <f t="shared" ref="R189:R252" si="91">IF(B189="","",J189+N189)</f>
        <v/>
      </c>
      <c r="S189" s="129" t="str">
        <f t="shared" si="86"/>
        <v/>
      </c>
      <c r="T189" s="1226" t="str">
        <f t="shared" si="71"/>
        <v/>
      </c>
      <c r="U189" s="1226" t="str">
        <f t="shared" si="72"/>
        <v/>
      </c>
      <c r="V189" s="353" t="str">
        <f t="shared" si="90"/>
        <v/>
      </c>
      <c r="W189" s="129">
        <v>0</v>
      </c>
      <c r="X189" s="129">
        <v>0</v>
      </c>
      <c r="Y189" s="129" t="str">
        <f t="shared" si="87"/>
        <v/>
      </c>
      <c r="Z189" s="129" t="str">
        <f t="shared" si="88"/>
        <v/>
      </c>
      <c r="AA189" s="145"/>
      <c r="BA189" s="78"/>
      <c r="BB189" s="132" t="s">
        <v>2427</v>
      </c>
      <c r="BC189" s="133"/>
      <c r="BD189" s="132" t="str">
        <f>IF(OR(B189="",BC189=""),"",COUNTIF(BC$8:BC189,"√"))</f>
        <v/>
      </c>
      <c r="BE189" s="134" t="str">
        <f t="shared" si="75"/>
        <v/>
      </c>
      <c r="BF189" s="135" t="str">
        <f t="shared" si="80"/>
        <v/>
      </c>
      <c r="BG189" s="135" t="str">
        <f t="shared" si="80"/>
        <v/>
      </c>
      <c r="BH189" s="136"/>
      <c r="BI189" s="136"/>
      <c r="BJ189" s="136"/>
      <c r="BK189" s="136"/>
      <c r="BL189" s="137"/>
      <c r="BM189" s="137"/>
      <c r="BP189" s="134" t="str">
        <f>IF(COUNTIF(BP$7:BP188,B189)&gt;0,"",B189)&amp;""</f>
        <v/>
      </c>
      <c r="BQ189" s="138">
        <f t="shared" si="76"/>
        <v>0</v>
      </c>
      <c r="BR189" s="132">
        <f t="shared" si="77"/>
        <v>1</v>
      </c>
      <c r="BS189" s="138">
        <f t="shared" si="78"/>
        <v>0</v>
      </c>
      <c r="BT189" s="132">
        <f t="shared" si="79"/>
        <v>2</v>
      </c>
      <c r="BU189" s="133"/>
      <c r="BV189" s="133"/>
      <c r="BX189" s="1256">
        <v>43100</v>
      </c>
      <c r="BY189" s="165">
        <f>IFERROR(LOOKUP(BX189,基础数据!A:D),1)</f>
        <v>3.53915880885741</v>
      </c>
      <c r="BZ189" s="165">
        <f t="shared" si="81"/>
        <v>1.00524445538375</v>
      </c>
      <c r="CA189" s="165" t="e">
        <f t="shared" si="83"/>
        <v>#VALUE!</v>
      </c>
      <c r="CB189" s="165">
        <f t="shared" ref="CB189:CB209" si="92">CO$3</f>
        <v>90</v>
      </c>
      <c r="CC189" s="165" t="e">
        <f t="shared" si="82"/>
        <v>#VALUE!</v>
      </c>
      <c r="CD189" s="1257" t="s">
        <v>2237</v>
      </c>
    </row>
    <row r="190" ht="15" customHeight="1" spans="1:82">
      <c r="A190" s="123" t="str">
        <f>IF(B190="","",COUNT(A$7:A189)+1)</f>
        <v/>
      </c>
      <c r="B190" s="139"/>
      <c r="C190" s="139"/>
      <c r="D190" s="141"/>
      <c r="E190" s="126"/>
      <c r="F190" s="142"/>
      <c r="G190" s="127"/>
      <c r="H190" s="128"/>
      <c r="I190" s="128"/>
      <c r="J190" s="980"/>
      <c r="K190" s="143"/>
      <c r="L190" s="143"/>
      <c r="M190" s="129"/>
      <c r="N190" s="144"/>
      <c r="O190" s="144"/>
      <c r="P190" s="144"/>
      <c r="Q190" s="143"/>
      <c r="R190" s="353" t="str">
        <f t="shared" si="91"/>
        <v/>
      </c>
      <c r="S190" s="129" t="str">
        <f t="shared" si="86"/>
        <v/>
      </c>
      <c r="T190" s="1226" t="str">
        <f t="shared" si="71"/>
        <v/>
      </c>
      <c r="U190" s="1226" t="str">
        <f t="shared" si="72"/>
        <v/>
      </c>
      <c r="V190" s="353" t="str">
        <f t="shared" si="90"/>
        <v/>
      </c>
      <c r="W190" s="129">
        <v>0</v>
      </c>
      <c r="X190" s="129">
        <v>0</v>
      </c>
      <c r="Y190" s="129" t="str">
        <f t="shared" si="87"/>
        <v/>
      </c>
      <c r="Z190" s="129" t="str">
        <f t="shared" si="88"/>
        <v/>
      </c>
      <c r="AA190" s="145"/>
      <c r="BA190" s="78"/>
      <c r="BB190" s="132" t="s">
        <v>2428</v>
      </c>
      <c r="BC190" s="133"/>
      <c r="BD190" s="132" t="str">
        <f>IF(OR(B190="",BC190=""),"",COUNTIF(BC$8:BC190,"√"))</f>
        <v/>
      </c>
      <c r="BE190" s="134" t="str">
        <f t="shared" si="75"/>
        <v/>
      </c>
      <c r="BF190" s="135" t="str">
        <f t="shared" si="80"/>
        <v/>
      </c>
      <c r="BG190" s="135" t="str">
        <f t="shared" si="80"/>
        <v/>
      </c>
      <c r="BH190" s="136"/>
      <c r="BI190" s="136"/>
      <c r="BJ190" s="136"/>
      <c r="BK190" s="136"/>
      <c r="BL190" s="137"/>
      <c r="BM190" s="137"/>
      <c r="BP190" s="134" t="str">
        <f>IF(COUNTIF(BP$7:BP189,B190)&gt;0,"",B190)&amp;""</f>
        <v/>
      </c>
      <c r="BQ190" s="138">
        <f t="shared" si="76"/>
        <v>0</v>
      </c>
      <c r="BR190" s="132">
        <f t="shared" si="77"/>
        <v>1</v>
      </c>
      <c r="BS190" s="138">
        <f t="shared" si="78"/>
        <v>0</v>
      </c>
      <c r="BT190" s="132">
        <f t="shared" si="79"/>
        <v>2</v>
      </c>
      <c r="BU190" s="133"/>
      <c r="BV190" s="133"/>
      <c r="BX190" s="1256">
        <v>43100</v>
      </c>
      <c r="BY190" s="165">
        <f>IFERROR(LOOKUP(BX190,基础数据!A:D),1)</f>
        <v>3.53915880885741</v>
      </c>
      <c r="BZ190" s="165">
        <f t="shared" si="81"/>
        <v>1.00524445538375</v>
      </c>
      <c r="CA190" s="165" t="e">
        <f t="shared" si="83"/>
        <v>#VALUE!</v>
      </c>
      <c r="CB190" s="165">
        <f t="shared" si="92"/>
        <v>90</v>
      </c>
      <c r="CC190" s="165" t="e">
        <f t="shared" si="82"/>
        <v>#VALUE!</v>
      </c>
      <c r="CD190" s="1257" t="s">
        <v>2237</v>
      </c>
    </row>
    <row r="191" ht="15" customHeight="1" spans="1:82">
      <c r="A191" s="123" t="str">
        <f>IF(B191="","",COUNT(A$7:A190)+1)</f>
        <v/>
      </c>
      <c r="B191" s="139"/>
      <c r="C191" s="139"/>
      <c r="D191" s="141"/>
      <c r="E191" s="126"/>
      <c r="F191" s="142"/>
      <c r="G191" s="127"/>
      <c r="H191" s="128"/>
      <c r="I191" s="128"/>
      <c r="J191" s="980"/>
      <c r="K191" s="143"/>
      <c r="L191" s="143"/>
      <c r="M191" s="129"/>
      <c r="N191" s="144"/>
      <c r="O191" s="144"/>
      <c r="P191" s="144"/>
      <c r="Q191" s="143"/>
      <c r="R191" s="353" t="str">
        <f t="shared" si="91"/>
        <v/>
      </c>
      <c r="S191" s="129" t="str">
        <f t="shared" si="86"/>
        <v/>
      </c>
      <c r="T191" s="1226" t="str">
        <f t="shared" si="71"/>
        <v/>
      </c>
      <c r="U191" s="1226" t="str">
        <f t="shared" si="72"/>
        <v/>
      </c>
      <c r="V191" s="353" t="str">
        <f t="shared" si="90"/>
        <v/>
      </c>
      <c r="W191" s="129">
        <v>0</v>
      </c>
      <c r="X191" s="129">
        <v>0</v>
      </c>
      <c r="Y191" s="129" t="str">
        <f t="shared" si="87"/>
        <v/>
      </c>
      <c r="Z191" s="129" t="str">
        <f t="shared" si="88"/>
        <v/>
      </c>
      <c r="AA191" s="145"/>
      <c r="BA191" s="78"/>
      <c r="BB191" s="132" t="s">
        <v>2429</v>
      </c>
      <c r="BC191" s="133"/>
      <c r="BD191" s="132" t="str">
        <f>IF(OR(B191="",BC191=""),"",COUNTIF(BC$8:BC191,"√"))</f>
        <v/>
      </c>
      <c r="BE191" s="134" t="str">
        <f t="shared" si="75"/>
        <v/>
      </c>
      <c r="BF191" s="135" t="str">
        <f t="shared" si="80"/>
        <v/>
      </c>
      <c r="BG191" s="135" t="str">
        <f t="shared" si="80"/>
        <v/>
      </c>
      <c r="BH191" s="136"/>
      <c r="BI191" s="136"/>
      <c r="BJ191" s="136"/>
      <c r="BK191" s="136"/>
      <c r="BL191" s="137"/>
      <c r="BM191" s="137"/>
      <c r="BP191" s="134" t="str">
        <f>IF(COUNTIF(BP$7:BP190,B191)&gt;0,"",B191)&amp;""</f>
        <v/>
      </c>
      <c r="BQ191" s="138">
        <f t="shared" si="76"/>
        <v>0</v>
      </c>
      <c r="BR191" s="132">
        <f t="shared" si="77"/>
        <v>1</v>
      </c>
      <c r="BS191" s="138">
        <f t="shared" si="78"/>
        <v>0</v>
      </c>
      <c r="BT191" s="132">
        <f t="shared" si="79"/>
        <v>2</v>
      </c>
      <c r="BU191" s="133"/>
      <c r="BV191" s="133"/>
      <c r="BX191" s="1256">
        <v>43100</v>
      </c>
      <c r="BY191" s="165">
        <f>IFERROR(LOOKUP(BX191,基础数据!A:D),1)</f>
        <v>3.53915880885741</v>
      </c>
      <c r="BZ191" s="165">
        <f t="shared" si="81"/>
        <v>1.00524445538375</v>
      </c>
      <c r="CA191" s="165" t="e">
        <f t="shared" si="83"/>
        <v>#VALUE!</v>
      </c>
      <c r="CB191" s="165">
        <f t="shared" si="92"/>
        <v>90</v>
      </c>
      <c r="CC191" s="165" t="e">
        <f t="shared" si="82"/>
        <v>#VALUE!</v>
      </c>
      <c r="CD191" s="1257" t="s">
        <v>2237</v>
      </c>
    </row>
    <row r="192" ht="15" customHeight="1" spans="1:82">
      <c r="A192" s="123" t="str">
        <f>IF(B192="","",COUNT(A$7:A191)+1)</f>
        <v/>
      </c>
      <c r="B192" s="139"/>
      <c r="C192" s="139"/>
      <c r="D192" s="141"/>
      <c r="E192" s="126"/>
      <c r="F192" s="142"/>
      <c r="G192" s="127"/>
      <c r="H192" s="128"/>
      <c r="I192" s="128"/>
      <c r="J192" s="980"/>
      <c r="K192" s="143"/>
      <c r="L192" s="143"/>
      <c r="M192" s="129"/>
      <c r="N192" s="144"/>
      <c r="O192" s="144"/>
      <c r="P192" s="144"/>
      <c r="Q192" s="143"/>
      <c r="R192" s="353" t="str">
        <f t="shared" si="91"/>
        <v/>
      </c>
      <c r="S192" s="129" t="str">
        <f t="shared" si="86"/>
        <v/>
      </c>
      <c r="T192" s="1226" t="str">
        <f t="shared" si="71"/>
        <v/>
      </c>
      <c r="U192" s="1226" t="str">
        <f t="shared" si="72"/>
        <v/>
      </c>
      <c r="V192" s="353" t="str">
        <f t="shared" si="90"/>
        <v/>
      </c>
      <c r="W192" s="129">
        <v>0</v>
      </c>
      <c r="X192" s="129">
        <v>0</v>
      </c>
      <c r="Y192" s="129" t="str">
        <f t="shared" si="87"/>
        <v/>
      </c>
      <c r="Z192" s="129" t="str">
        <f t="shared" si="88"/>
        <v/>
      </c>
      <c r="AA192" s="145"/>
      <c r="BA192" s="78"/>
      <c r="BB192" s="132" t="s">
        <v>2430</v>
      </c>
      <c r="BC192" s="133"/>
      <c r="BD192" s="132" t="str">
        <f>IF(OR(B192="",BC192=""),"",COUNTIF(BC$8:BC192,"√"))</f>
        <v/>
      </c>
      <c r="BE192" s="134" t="str">
        <f t="shared" si="75"/>
        <v/>
      </c>
      <c r="BF192" s="135" t="str">
        <f t="shared" si="80"/>
        <v/>
      </c>
      <c r="BG192" s="135" t="str">
        <f t="shared" si="80"/>
        <v/>
      </c>
      <c r="BH192" s="136"/>
      <c r="BI192" s="136"/>
      <c r="BJ192" s="136"/>
      <c r="BK192" s="136"/>
      <c r="BL192" s="137"/>
      <c r="BM192" s="137"/>
      <c r="BP192" s="134" t="str">
        <f>IF(COUNTIF(BP$7:BP191,B192)&gt;0,"",B192)&amp;""</f>
        <v/>
      </c>
      <c r="BQ192" s="138">
        <f t="shared" si="76"/>
        <v>0</v>
      </c>
      <c r="BR192" s="132">
        <f t="shared" si="77"/>
        <v>1</v>
      </c>
      <c r="BS192" s="138">
        <f t="shared" si="78"/>
        <v>0</v>
      </c>
      <c r="BT192" s="132">
        <f t="shared" si="79"/>
        <v>2</v>
      </c>
      <c r="BU192" s="133"/>
      <c r="BV192" s="133"/>
      <c r="BX192" s="1256">
        <v>43100</v>
      </c>
      <c r="BY192" s="165">
        <f>IFERROR(LOOKUP(BX192,基础数据!A:D),1)</f>
        <v>3.53915880885741</v>
      </c>
      <c r="BZ192" s="165">
        <f t="shared" si="81"/>
        <v>1.00524445538375</v>
      </c>
      <c r="CA192" s="165" t="e">
        <f t="shared" si="83"/>
        <v>#VALUE!</v>
      </c>
      <c r="CB192" s="165">
        <f t="shared" si="92"/>
        <v>90</v>
      </c>
      <c r="CC192" s="165" t="e">
        <f t="shared" si="82"/>
        <v>#VALUE!</v>
      </c>
      <c r="CD192" s="1257" t="s">
        <v>2237</v>
      </c>
    </row>
    <row r="193" ht="15" customHeight="1" spans="1:82">
      <c r="A193" s="123" t="str">
        <f>IF(B193="","",COUNT(A$7:A192)+1)</f>
        <v/>
      </c>
      <c r="B193" s="139"/>
      <c r="C193" s="139"/>
      <c r="D193" s="141"/>
      <c r="E193" s="126"/>
      <c r="F193" s="142"/>
      <c r="G193" s="127"/>
      <c r="H193" s="128"/>
      <c r="I193" s="128"/>
      <c r="J193" s="980"/>
      <c r="K193" s="143"/>
      <c r="L193" s="143"/>
      <c r="M193" s="129"/>
      <c r="N193" s="144"/>
      <c r="O193" s="144"/>
      <c r="P193" s="144"/>
      <c r="Q193" s="143"/>
      <c r="R193" s="353" t="str">
        <f t="shared" si="91"/>
        <v/>
      </c>
      <c r="S193" s="129" t="str">
        <f t="shared" si="86"/>
        <v/>
      </c>
      <c r="T193" s="1226" t="str">
        <f t="shared" si="71"/>
        <v/>
      </c>
      <c r="U193" s="1226" t="str">
        <f t="shared" si="72"/>
        <v/>
      </c>
      <c r="V193" s="353" t="str">
        <f t="shared" si="90"/>
        <v/>
      </c>
      <c r="W193" s="129">
        <v>0</v>
      </c>
      <c r="X193" s="129">
        <v>0</v>
      </c>
      <c r="Y193" s="129" t="str">
        <f t="shared" si="87"/>
        <v/>
      </c>
      <c r="Z193" s="129" t="str">
        <f t="shared" si="88"/>
        <v/>
      </c>
      <c r="AA193" s="145"/>
      <c r="BA193" s="78"/>
      <c r="BB193" s="132" t="s">
        <v>2431</v>
      </c>
      <c r="BC193" s="133"/>
      <c r="BD193" s="132" t="str">
        <f>IF(OR(B193="",BC193=""),"",COUNTIF(BC$8:BC193,"√"))</f>
        <v/>
      </c>
      <c r="BE193" s="134" t="str">
        <f t="shared" si="75"/>
        <v/>
      </c>
      <c r="BF193" s="135" t="str">
        <f t="shared" si="80"/>
        <v/>
      </c>
      <c r="BG193" s="135" t="str">
        <f t="shared" si="80"/>
        <v/>
      </c>
      <c r="BH193" s="136"/>
      <c r="BI193" s="136"/>
      <c r="BJ193" s="136"/>
      <c r="BK193" s="136"/>
      <c r="BL193" s="137"/>
      <c r="BM193" s="137"/>
      <c r="BP193" s="134" t="str">
        <f>IF(COUNTIF(BP$7:BP192,B193)&gt;0,"",B193)&amp;""</f>
        <v/>
      </c>
      <c r="BQ193" s="138">
        <f t="shared" si="76"/>
        <v>0</v>
      </c>
      <c r="BR193" s="132">
        <f t="shared" si="77"/>
        <v>1</v>
      </c>
      <c r="BS193" s="138">
        <f t="shared" si="78"/>
        <v>0</v>
      </c>
      <c r="BT193" s="132">
        <f t="shared" si="79"/>
        <v>2</v>
      </c>
      <c r="BU193" s="133"/>
      <c r="BV193" s="133"/>
      <c r="BX193" s="1256">
        <v>43100</v>
      </c>
      <c r="BY193" s="165">
        <f>IFERROR(LOOKUP(BX193,基础数据!A:D),1)</f>
        <v>3.53915880885741</v>
      </c>
      <c r="BZ193" s="165">
        <f t="shared" si="81"/>
        <v>1.00524445538375</v>
      </c>
      <c r="CA193" s="165" t="e">
        <f t="shared" si="83"/>
        <v>#VALUE!</v>
      </c>
      <c r="CB193" s="165">
        <f t="shared" si="92"/>
        <v>90</v>
      </c>
      <c r="CC193" s="165" t="e">
        <f t="shared" si="82"/>
        <v>#VALUE!</v>
      </c>
      <c r="CD193" s="1257" t="s">
        <v>2237</v>
      </c>
    </row>
    <row r="194" ht="15" customHeight="1" spans="1:82">
      <c r="A194" s="123" t="str">
        <f>IF(B194="","",COUNT(A$7:A193)+1)</f>
        <v/>
      </c>
      <c r="B194" s="139"/>
      <c r="C194" s="139"/>
      <c r="D194" s="141"/>
      <c r="E194" s="126"/>
      <c r="F194" s="142"/>
      <c r="G194" s="127"/>
      <c r="H194" s="128"/>
      <c r="I194" s="128"/>
      <c r="J194" s="980"/>
      <c r="K194" s="143"/>
      <c r="L194" s="143"/>
      <c r="M194" s="129"/>
      <c r="N194" s="144"/>
      <c r="O194" s="144"/>
      <c r="P194" s="144"/>
      <c r="Q194" s="143"/>
      <c r="R194" s="353" t="str">
        <f t="shared" si="91"/>
        <v/>
      </c>
      <c r="S194" s="129" t="str">
        <f t="shared" si="86"/>
        <v/>
      </c>
      <c r="T194" s="1226" t="str">
        <f t="shared" si="71"/>
        <v/>
      </c>
      <c r="U194" s="1226" t="str">
        <f t="shared" si="72"/>
        <v/>
      </c>
      <c r="V194" s="353" t="str">
        <f t="shared" si="90"/>
        <v/>
      </c>
      <c r="W194" s="129">
        <v>0</v>
      </c>
      <c r="X194" s="129">
        <v>0</v>
      </c>
      <c r="Y194" s="129" t="str">
        <f t="shared" si="87"/>
        <v/>
      </c>
      <c r="Z194" s="129" t="str">
        <f t="shared" si="88"/>
        <v/>
      </c>
      <c r="AA194" s="145"/>
      <c r="BA194" s="78"/>
      <c r="BB194" s="132" t="s">
        <v>2432</v>
      </c>
      <c r="BC194" s="133"/>
      <c r="BD194" s="132" t="str">
        <f>IF(OR(B194="",BC194=""),"",COUNTIF(BC$8:BC194,"√"))</f>
        <v/>
      </c>
      <c r="BE194" s="134" t="str">
        <f t="shared" si="75"/>
        <v/>
      </c>
      <c r="BF194" s="135" t="str">
        <f t="shared" si="80"/>
        <v/>
      </c>
      <c r="BG194" s="135" t="str">
        <f t="shared" si="80"/>
        <v/>
      </c>
      <c r="BH194" s="136"/>
      <c r="BI194" s="136"/>
      <c r="BJ194" s="136"/>
      <c r="BK194" s="136"/>
      <c r="BL194" s="137"/>
      <c r="BM194" s="137"/>
      <c r="BP194" s="134" t="str">
        <f>IF(COUNTIF(BP$7:BP193,B194)&gt;0,"",B194)&amp;""</f>
        <v/>
      </c>
      <c r="BQ194" s="138">
        <f t="shared" si="76"/>
        <v>0</v>
      </c>
      <c r="BR194" s="132">
        <f t="shared" si="77"/>
        <v>1</v>
      </c>
      <c r="BS194" s="138">
        <f t="shared" si="78"/>
        <v>0</v>
      </c>
      <c r="BT194" s="132">
        <f t="shared" si="79"/>
        <v>2</v>
      </c>
      <c r="BU194" s="133"/>
      <c r="BV194" s="133"/>
      <c r="BX194" s="1256">
        <v>43100</v>
      </c>
      <c r="BY194" s="165">
        <f>IFERROR(LOOKUP(BX194,基础数据!A:D),1)</f>
        <v>3.53915880885741</v>
      </c>
      <c r="BZ194" s="165">
        <f t="shared" si="81"/>
        <v>1.00524445538375</v>
      </c>
      <c r="CA194" s="165" t="e">
        <f t="shared" si="83"/>
        <v>#VALUE!</v>
      </c>
      <c r="CB194" s="165">
        <f t="shared" si="92"/>
        <v>90</v>
      </c>
      <c r="CC194" s="165" t="e">
        <f t="shared" si="82"/>
        <v>#VALUE!</v>
      </c>
      <c r="CD194" s="1257" t="s">
        <v>2237</v>
      </c>
    </row>
    <row r="195" ht="15" customHeight="1" spans="1:82">
      <c r="A195" s="123" t="str">
        <f>IF(B195="","",COUNT(A$7:A194)+1)</f>
        <v/>
      </c>
      <c r="B195" s="139"/>
      <c r="C195" s="139"/>
      <c r="D195" s="141"/>
      <c r="E195" s="126"/>
      <c r="F195" s="142"/>
      <c r="G195" s="127"/>
      <c r="H195" s="128"/>
      <c r="I195" s="128"/>
      <c r="J195" s="980"/>
      <c r="K195" s="143"/>
      <c r="L195" s="143"/>
      <c r="M195" s="129"/>
      <c r="N195" s="144"/>
      <c r="O195" s="144"/>
      <c r="P195" s="144"/>
      <c r="Q195" s="143"/>
      <c r="R195" s="353" t="str">
        <f t="shared" si="91"/>
        <v/>
      </c>
      <c r="S195" s="129" t="str">
        <f t="shared" si="86"/>
        <v/>
      </c>
      <c r="T195" s="1226" t="str">
        <f t="shared" si="71"/>
        <v/>
      </c>
      <c r="U195" s="1226" t="str">
        <f t="shared" si="72"/>
        <v/>
      </c>
      <c r="V195" s="353" t="str">
        <f t="shared" si="90"/>
        <v/>
      </c>
      <c r="W195" s="129">
        <v>0</v>
      </c>
      <c r="X195" s="129">
        <v>0</v>
      </c>
      <c r="Y195" s="129" t="str">
        <f t="shared" si="87"/>
        <v/>
      </c>
      <c r="Z195" s="129" t="str">
        <f t="shared" si="88"/>
        <v/>
      </c>
      <c r="AA195" s="145"/>
      <c r="BA195" s="78"/>
      <c r="BB195" s="132" t="s">
        <v>2433</v>
      </c>
      <c r="BC195" s="133"/>
      <c r="BD195" s="132" t="str">
        <f>IF(OR(B195="",BC195=""),"",COUNTIF(BC$8:BC195,"√"))</f>
        <v/>
      </c>
      <c r="BE195" s="134" t="str">
        <f t="shared" si="75"/>
        <v/>
      </c>
      <c r="BF195" s="135" t="str">
        <f t="shared" si="80"/>
        <v/>
      </c>
      <c r="BG195" s="135" t="str">
        <f t="shared" si="80"/>
        <v/>
      </c>
      <c r="BH195" s="136"/>
      <c r="BI195" s="136"/>
      <c r="BJ195" s="136"/>
      <c r="BK195" s="136"/>
      <c r="BL195" s="137"/>
      <c r="BM195" s="137"/>
      <c r="BP195" s="134" t="str">
        <f>IF(COUNTIF(BP$7:BP194,B195)&gt;0,"",B195)&amp;""</f>
        <v/>
      </c>
      <c r="BQ195" s="138">
        <f t="shared" si="76"/>
        <v>0</v>
      </c>
      <c r="BR195" s="132">
        <f t="shared" si="77"/>
        <v>1</v>
      </c>
      <c r="BS195" s="138">
        <f t="shared" si="78"/>
        <v>0</v>
      </c>
      <c r="BT195" s="132">
        <f t="shared" si="79"/>
        <v>2</v>
      </c>
      <c r="BU195" s="133"/>
      <c r="BV195" s="133"/>
      <c r="BX195" s="1256">
        <v>43100</v>
      </c>
      <c r="BY195" s="165">
        <f>IFERROR(LOOKUP(BX195,基础数据!A:D),1)</f>
        <v>3.53915880885741</v>
      </c>
      <c r="BZ195" s="165">
        <f t="shared" si="81"/>
        <v>1.00524445538375</v>
      </c>
      <c r="CA195" s="165" t="e">
        <f t="shared" si="83"/>
        <v>#VALUE!</v>
      </c>
      <c r="CB195" s="165">
        <f t="shared" si="92"/>
        <v>90</v>
      </c>
      <c r="CC195" s="165" t="e">
        <f t="shared" si="82"/>
        <v>#VALUE!</v>
      </c>
      <c r="CD195" s="1257" t="s">
        <v>2237</v>
      </c>
    </row>
    <row r="196" ht="15" customHeight="1" spans="1:82">
      <c r="A196" s="123" t="str">
        <f>IF(B196="","",COUNT(A$7:A195)+1)</f>
        <v/>
      </c>
      <c r="B196" s="139"/>
      <c r="C196" s="139"/>
      <c r="D196" s="141"/>
      <c r="E196" s="126"/>
      <c r="F196" s="142"/>
      <c r="G196" s="127"/>
      <c r="H196" s="128"/>
      <c r="I196" s="128"/>
      <c r="J196" s="980"/>
      <c r="K196" s="143"/>
      <c r="L196" s="143"/>
      <c r="M196" s="129"/>
      <c r="N196" s="144"/>
      <c r="O196" s="144"/>
      <c r="P196" s="144"/>
      <c r="Q196" s="143"/>
      <c r="R196" s="353" t="str">
        <f t="shared" si="91"/>
        <v/>
      </c>
      <c r="S196" s="129" t="str">
        <f t="shared" si="86"/>
        <v/>
      </c>
      <c r="T196" s="1226" t="str">
        <f t="shared" si="71"/>
        <v/>
      </c>
      <c r="U196" s="1226" t="str">
        <f t="shared" si="72"/>
        <v/>
      </c>
      <c r="V196" s="353" t="str">
        <f t="shared" si="90"/>
        <v/>
      </c>
      <c r="W196" s="129">
        <v>0</v>
      </c>
      <c r="X196" s="129">
        <v>0</v>
      </c>
      <c r="Y196" s="129" t="str">
        <f t="shared" si="87"/>
        <v/>
      </c>
      <c r="Z196" s="129" t="str">
        <f t="shared" si="88"/>
        <v/>
      </c>
      <c r="AA196" s="145"/>
      <c r="BA196" s="78"/>
      <c r="BB196" s="132" t="s">
        <v>2434</v>
      </c>
      <c r="BC196" s="133"/>
      <c r="BD196" s="132" t="str">
        <f>IF(OR(B196="",BC196=""),"",COUNTIF(BC$8:BC196,"√"))</f>
        <v/>
      </c>
      <c r="BE196" s="134" t="str">
        <f t="shared" si="75"/>
        <v/>
      </c>
      <c r="BF196" s="135" t="str">
        <f t="shared" si="80"/>
        <v/>
      </c>
      <c r="BG196" s="135" t="str">
        <f t="shared" si="80"/>
        <v/>
      </c>
      <c r="BH196" s="136"/>
      <c r="BI196" s="136"/>
      <c r="BJ196" s="136"/>
      <c r="BK196" s="136"/>
      <c r="BL196" s="137"/>
      <c r="BM196" s="137"/>
      <c r="BP196" s="134" t="str">
        <f>IF(COUNTIF(BP$7:BP195,B196)&gt;0,"",B196)&amp;""</f>
        <v/>
      </c>
      <c r="BQ196" s="138">
        <f t="shared" si="76"/>
        <v>0</v>
      </c>
      <c r="BR196" s="132">
        <f t="shared" si="77"/>
        <v>1</v>
      </c>
      <c r="BS196" s="138">
        <f t="shared" si="78"/>
        <v>0</v>
      </c>
      <c r="BT196" s="132">
        <f t="shared" si="79"/>
        <v>2</v>
      </c>
      <c r="BU196" s="133"/>
      <c r="BV196" s="133"/>
      <c r="BX196" s="1256">
        <v>43100</v>
      </c>
      <c r="BY196" s="165">
        <f>IFERROR(LOOKUP(BX196,基础数据!A:D),1)</f>
        <v>3.53915880885741</v>
      </c>
      <c r="BZ196" s="165">
        <f t="shared" si="81"/>
        <v>1.00524445538375</v>
      </c>
      <c r="CA196" s="165" t="e">
        <f t="shared" si="83"/>
        <v>#VALUE!</v>
      </c>
      <c r="CB196" s="165">
        <f t="shared" si="92"/>
        <v>90</v>
      </c>
      <c r="CC196" s="165" t="e">
        <f t="shared" si="82"/>
        <v>#VALUE!</v>
      </c>
      <c r="CD196" s="1257" t="s">
        <v>2237</v>
      </c>
    </row>
    <row r="197" ht="15" customHeight="1" spans="1:82">
      <c r="A197" s="123" t="str">
        <f>IF(B197="","",COUNT(A$7:A196)+1)</f>
        <v/>
      </c>
      <c r="B197" s="139"/>
      <c r="C197" s="139"/>
      <c r="D197" s="141"/>
      <c r="E197" s="126"/>
      <c r="F197" s="142"/>
      <c r="G197" s="127"/>
      <c r="H197" s="128"/>
      <c r="I197" s="128"/>
      <c r="J197" s="980"/>
      <c r="K197" s="143"/>
      <c r="L197" s="143"/>
      <c r="M197" s="129"/>
      <c r="N197" s="144"/>
      <c r="O197" s="144"/>
      <c r="P197" s="144"/>
      <c r="Q197" s="143"/>
      <c r="R197" s="353" t="str">
        <f t="shared" si="91"/>
        <v/>
      </c>
      <c r="S197" s="129" t="str">
        <f t="shared" si="86"/>
        <v/>
      </c>
      <c r="T197" s="1226" t="str">
        <f t="shared" si="71"/>
        <v/>
      </c>
      <c r="U197" s="1226" t="str">
        <f t="shared" si="72"/>
        <v/>
      </c>
      <c r="V197" s="353" t="str">
        <f t="shared" si="90"/>
        <v/>
      </c>
      <c r="W197" s="129">
        <v>0</v>
      </c>
      <c r="X197" s="129">
        <v>0</v>
      </c>
      <c r="Y197" s="129" t="str">
        <f t="shared" si="87"/>
        <v/>
      </c>
      <c r="Z197" s="129" t="str">
        <f t="shared" si="88"/>
        <v/>
      </c>
      <c r="AA197" s="145"/>
      <c r="BA197" s="78"/>
      <c r="BB197" s="132" t="s">
        <v>2435</v>
      </c>
      <c r="BC197" s="133"/>
      <c r="BD197" s="132" t="str">
        <f>IF(OR(B197="",BC197=""),"",COUNTIF(BC$8:BC197,"√"))</f>
        <v/>
      </c>
      <c r="BE197" s="134" t="str">
        <f t="shared" si="75"/>
        <v/>
      </c>
      <c r="BF197" s="135" t="str">
        <f t="shared" si="80"/>
        <v/>
      </c>
      <c r="BG197" s="135" t="str">
        <f t="shared" si="80"/>
        <v/>
      </c>
      <c r="BH197" s="136"/>
      <c r="BI197" s="136"/>
      <c r="BJ197" s="136"/>
      <c r="BK197" s="136"/>
      <c r="BL197" s="137"/>
      <c r="BM197" s="137"/>
      <c r="BP197" s="134" t="str">
        <f>IF(COUNTIF(BP$7:BP196,B197)&gt;0,"",B197)&amp;""</f>
        <v/>
      </c>
      <c r="BQ197" s="138">
        <f t="shared" si="76"/>
        <v>0</v>
      </c>
      <c r="BR197" s="132">
        <f t="shared" si="77"/>
        <v>1</v>
      </c>
      <c r="BS197" s="138">
        <f t="shared" si="78"/>
        <v>0</v>
      </c>
      <c r="BT197" s="132">
        <f t="shared" si="79"/>
        <v>2</v>
      </c>
      <c r="BU197" s="133"/>
      <c r="BV197" s="133"/>
      <c r="BX197" s="1256">
        <v>43100</v>
      </c>
      <c r="BY197" s="165">
        <f>IFERROR(LOOKUP(BX197,基础数据!A:D),1)</f>
        <v>3.53915880885741</v>
      </c>
      <c r="BZ197" s="165">
        <f t="shared" si="81"/>
        <v>1.00524445538375</v>
      </c>
      <c r="CA197" s="165" t="e">
        <f>ROUND(S197*BZ197,1)</f>
        <v>#VALUE!</v>
      </c>
      <c r="CB197" s="165">
        <f t="shared" si="92"/>
        <v>90</v>
      </c>
      <c r="CC197" s="165" t="e">
        <f>ROUND(CB197*CA197/100,1)</f>
        <v>#VALUE!</v>
      </c>
      <c r="CD197" s="1257" t="s">
        <v>2237</v>
      </c>
    </row>
    <row r="198" ht="15" customHeight="1" spans="1:82">
      <c r="A198" s="123" t="str">
        <f>IF(B198="","",COUNT(A$7:A197)+1)</f>
        <v/>
      </c>
      <c r="B198" s="139"/>
      <c r="C198" s="139"/>
      <c r="D198" s="141"/>
      <c r="E198" s="126"/>
      <c r="F198" s="142"/>
      <c r="G198" s="127"/>
      <c r="H198" s="128"/>
      <c r="I198" s="128"/>
      <c r="J198" s="980"/>
      <c r="K198" s="143"/>
      <c r="L198" s="143"/>
      <c r="M198" s="129"/>
      <c r="N198" s="144"/>
      <c r="O198" s="144"/>
      <c r="P198" s="144"/>
      <c r="Q198" s="143"/>
      <c r="R198" s="353" t="str">
        <f t="shared" si="91"/>
        <v/>
      </c>
      <c r="S198" s="129" t="str">
        <f t="shared" si="86"/>
        <v/>
      </c>
      <c r="T198" s="1226" t="str">
        <f t="shared" si="71"/>
        <v/>
      </c>
      <c r="U198" s="1226" t="str">
        <f t="shared" si="72"/>
        <v/>
      </c>
      <c r="V198" s="353" t="str">
        <f t="shared" si="90"/>
        <v/>
      </c>
      <c r="W198" s="129">
        <v>0</v>
      </c>
      <c r="X198" s="129">
        <v>0</v>
      </c>
      <c r="Y198" s="129" t="str">
        <f t="shared" si="87"/>
        <v/>
      </c>
      <c r="Z198" s="129" t="str">
        <f t="shared" si="88"/>
        <v/>
      </c>
      <c r="AA198" s="145"/>
      <c r="BA198" s="78"/>
      <c r="BB198" s="132" t="s">
        <v>2436</v>
      </c>
      <c r="BC198" s="133"/>
      <c r="BD198" s="132" t="str">
        <f>IF(OR(B198="",BC198=""),"",COUNTIF(BC$8:BC198,"√"))</f>
        <v/>
      </c>
      <c r="BE198" s="134" t="str">
        <f t="shared" si="75"/>
        <v/>
      </c>
      <c r="BF198" s="135" t="str">
        <f t="shared" si="80"/>
        <v/>
      </c>
      <c r="BG198" s="135" t="str">
        <f t="shared" si="80"/>
        <v/>
      </c>
      <c r="BH198" s="136"/>
      <c r="BI198" s="136"/>
      <c r="BJ198" s="136"/>
      <c r="BK198" s="136"/>
      <c r="BL198" s="137"/>
      <c r="BM198" s="137"/>
      <c r="BP198" s="134" t="str">
        <f>IF(COUNTIF(BP$7:BP197,B198)&gt;0,"",B198)&amp;""</f>
        <v/>
      </c>
      <c r="BQ198" s="138">
        <f t="shared" si="76"/>
        <v>0</v>
      </c>
      <c r="BR198" s="132">
        <f t="shared" si="77"/>
        <v>1</v>
      </c>
      <c r="BS198" s="138">
        <f t="shared" si="78"/>
        <v>0</v>
      </c>
      <c r="BT198" s="132">
        <f t="shared" si="79"/>
        <v>2</v>
      </c>
      <c r="BU198" s="133"/>
      <c r="BV198" s="133"/>
      <c r="BX198" s="1256">
        <v>43100</v>
      </c>
      <c r="BY198" s="165">
        <f>IFERROR(LOOKUP(BX198,基础数据!A:D),1)</f>
        <v>3.53915880885741</v>
      </c>
      <c r="BZ198" s="165">
        <f t="shared" si="81"/>
        <v>1.00524445538375</v>
      </c>
      <c r="CA198" s="165" t="e">
        <f t="shared" si="83"/>
        <v>#VALUE!</v>
      </c>
      <c r="CB198" s="165">
        <f t="shared" si="92"/>
        <v>90</v>
      </c>
      <c r="CC198" s="165" t="e">
        <f t="shared" si="82"/>
        <v>#VALUE!</v>
      </c>
      <c r="CD198" s="1257" t="s">
        <v>2237</v>
      </c>
    </row>
    <row r="199" ht="15" customHeight="1" spans="1:82">
      <c r="A199" s="123" t="str">
        <f>IF(B199="","",COUNT(A$7:A198)+1)</f>
        <v/>
      </c>
      <c r="B199" s="139"/>
      <c r="C199" s="139"/>
      <c r="D199" s="141"/>
      <c r="E199" s="126"/>
      <c r="F199" s="142"/>
      <c r="G199" s="127"/>
      <c r="H199" s="128"/>
      <c r="I199" s="128"/>
      <c r="J199" s="980"/>
      <c r="K199" s="143"/>
      <c r="L199" s="143"/>
      <c r="M199" s="129"/>
      <c r="N199" s="144"/>
      <c r="O199" s="144"/>
      <c r="P199" s="144"/>
      <c r="Q199" s="143"/>
      <c r="R199" s="353" t="str">
        <f t="shared" si="91"/>
        <v/>
      </c>
      <c r="S199" s="129" t="str">
        <f t="shared" si="86"/>
        <v/>
      </c>
      <c r="T199" s="1226" t="str">
        <f t="shared" si="71"/>
        <v/>
      </c>
      <c r="U199" s="1226" t="str">
        <f t="shared" si="72"/>
        <v/>
      </c>
      <c r="V199" s="353" t="str">
        <f t="shared" si="90"/>
        <v/>
      </c>
      <c r="W199" s="129">
        <v>0</v>
      </c>
      <c r="X199" s="129">
        <v>0</v>
      </c>
      <c r="Y199" s="129" t="str">
        <f t="shared" si="87"/>
        <v/>
      </c>
      <c r="Z199" s="129" t="str">
        <f t="shared" si="88"/>
        <v/>
      </c>
      <c r="AA199" s="145"/>
      <c r="BA199" s="78"/>
      <c r="BB199" s="132" t="s">
        <v>2437</v>
      </c>
      <c r="BC199" s="133"/>
      <c r="BD199" s="132" t="str">
        <f>IF(OR(B199="",BC199=""),"",COUNTIF(BC$8:BC199,"√"))</f>
        <v/>
      </c>
      <c r="BE199" s="134" t="str">
        <f t="shared" si="75"/>
        <v/>
      </c>
      <c r="BF199" s="135" t="str">
        <f t="shared" si="80"/>
        <v/>
      </c>
      <c r="BG199" s="135" t="str">
        <f t="shared" si="80"/>
        <v/>
      </c>
      <c r="BH199" s="136"/>
      <c r="BI199" s="136"/>
      <c r="BJ199" s="136"/>
      <c r="BK199" s="136"/>
      <c r="BL199" s="137"/>
      <c r="BM199" s="137"/>
      <c r="BP199" s="134" t="str">
        <f>IF(COUNTIF(BP$7:BP198,B199)&gt;0,"",B199)&amp;""</f>
        <v/>
      </c>
      <c r="BQ199" s="138">
        <f t="shared" si="76"/>
        <v>0</v>
      </c>
      <c r="BR199" s="132">
        <f t="shared" si="77"/>
        <v>1</v>
      </c>
      <c r="BS199" s="138">
        <f t="shared" si="78"/>
        <v>0</v>
      </c>
      <c r="BT199" s="132">
        <f t="shared" si="79"/>
        <v>2</v>
      </c>
      <c r="BU199" s="133"/>
      <c r="BV199" s="133"/>
      <c r="BX199" s="1256">
        <v>43100</v>
      </c>
      <c r="BY199" s="165">
        <f>IFERROR(LOOKUP(BX199,基础数据!A:D),1)</f>
        <v>3.53915880885741</v>
      </c>
      <c r="BZ199" s="165">
        <f t="shared" si="81"/>
        <v>1.00524445538375</v>
      </c>
      <c r="CA199" s="165" t="e">
        <f t="shared" si="83"/>
        <v>#VALUE!</v>
      </c>
      <c r="CB199" s="165">
        <f t="shared" si="92"/>
        <v>90</v>
      </c>
      <c r="CC199" s="165" t="e">
        <f t="shared" si="82"/>
        <v>#VALUE!</v>
      </c>
      <c r="CD199" s="1257" t="s">
        <v>2237</v>
      </c>
    </row>
    <row r="200" ht="15" customHeight="1" spans="1:82">
      <c r="A200" s="123" t="str">
        <f>IF(B200="","",COUNT(A$7:A199)+1)</f>
        <v/>
      </c>
      <c r="B200" s="139"/>
      <c r="C200" s="139"/>
      <c r="D200" s="141"/>
      <c r="E200" s="126"/>
      <c r="F200" s="142"/>
      <c r="G200" s="127"/>
      <c r="H200" s="128"/>
      <c r="I200" s="128"/>
      <c r="J200" s="980"/>
      <c r="K200" s="143"/>
      <c r="L200" s="143"/>
      <c r="M200" s="129"/>
      <c r="N200" s="144"/>
      <c r="O200" s="144"/>
      <c r="P200" s="144"/>
      <c r="Q200" s="143"/>
      <c r="R200" s="353" t="str">
        <f t="shared" si="91"/>
        <v/>
      </c>
      <c r="S200" s="129" t="str">
        <f t="shared" si="86"/>
        <v/>
      </c>
      <c r="T200" s="1226" t="str">
        <f t="shared" si="71"/>
        <v/>
      </c>
      <c r="U200" s="1226" t="str">
        <f t="shared" si="72"/>
        <v/>
      </c>
      <c r="V200" s="353" t="str">
        <f t="shared" si="90"/>
        <v/>
      </c>
      <c r="W200" s="129">
        <v>0</v>
      </c>
      <c r="X200" s="129">
        <v>0</v>
      </c>
      <c r="Y200" s="129" t="str">
        <f t="shared" si="87"/>
        <v/>
      </c>
      <c r="Z200" s="129" t="str">
        <f t="shared" si="88"/>
        <v/>
      </c>
      <c r="AA200" s="145"/>
      <c r="BA200" s="78"/>
      <c r="BB200" s="132" t="s">
        <v>2438</v>
      </c>
      <c r="BC200" s="133"/>
      <c r="BD200" s="132" t="str">
        <f>IF(OR(B200="",BC200=""),"",COUNTIF(BC$8:BC200,"√"))</f>
        <v/>
      </c>
      <c r="BE200" s="134" t="str">
        <f t="shared" si="75"/>
        <v/>
      </c>
      <c r="BF200" s="135" t="str">
        <f t="shared" si="80"/>
        <v/>
      </c>
      <c r="BG200" s="135" t="str">
        <f t="shared" si="80"/>
        <v/>
      </c>
      <c r="BH200" s="136"/>
      <c r="BI200" s="136"/>
      <c r="BJ200" s="136"/>
      <c r="BK200" s="136"/>
      <c r="BL200" s="137"/>
      <c r="BM200" s="137"/>
      <c r="BP200" s="134" t="str">
        <f>IF(COUNTIF(BP$7:BP199,B200)&gt;0,"",B200)&amp;""</f>
        <v/>
      </c>
      <c r="BQ200" s="138">
        <f t="shared" si="76"/>
        <v>0</v>
      </c>
      <c r="BR200" s="132">
        <f t="shared" si="77"/>
        <v>1</v>
      </c>
      <c r="BS200" s="138">
        <f t="shared" si="78"/>
        <v>0</v>
      </c>
      <c r="BT200" s="132">
        <f t="shared" si="79"/>
        <v>2</v>
      </c>
      <c r="BU200" s="133"/>
      <c r="BV200" s="133"/>
      <c r="BX200" s="1256">
        <v>43100</v>
      </c>
      <c r="BY200" s="165">
        <f>IFERROR(LOOKUP(BX200,基础数据!A:D),1)</f>
        <v>3.53915880885741</v>
      </c>
      <c r="BZ200" s="165">
        <f t="shared" si="81"/>
        <v>1.00524445538375</v>
      </c>
      <c r="CA200" s="165" t="e">
        <f t="shared" si="83"/>
        <v>#VALUE!</v>
      </c>
      <c r="CB200" s="165">
        <f t="shared" si="92"/>
        <v>90</v>
      </c>
      <c r="CC200" s="165" t="e">
        <f t="shared" si="82"/>
        <v>#VALUE!</v>
      </c>
      <c r="CD200" s="1257" t="s">
        <v>2237</v>
      </c>
    </row>
    <row r="201" ht="15" customHeight="1" spans="1:82">
      <c r="A201" s="123" t="str">
        <f>IF(B201="","",COUNT(A$7:A200)+1)</f>
        <v/>
      </c>
      <c r="B201" s="139"/>
      <c r="C201" s="139"/>
      <c r="D201" s="141"/>
      <c r="E201" s="126"/>
      <c r="F201" s="142"/>
      <c r="G201" s="127"/>
      <c r="H201" s="128"/>
      <c r="I201" s="128"/>
      <c r="J201" s="980"/>
      <c r="K201" s="143"/>
      <c r="L201" s="143"/>
      <c r="M201" s="129"/>
      <c r="N201" s="144"/>
      <c r="O201" s="144"/>
      <c r="P201" s="144"/>
      <c r="Q201" s="143"/>
      <c r="R201" s="353" t="str">
        <f t="shared" si="91"/>
        <v/>
      </c>
      <c r="S201" s="129" t="str">
        <f t="shared" si="86"/>
        <v/>
      </c>
      <c r="T201" s="1226" t="str">
        <f t="shared" si="71"/>
        <v/>
      </c>
      <c r="U201" s="1226" t="str">
        <f t="shared" si="72"/>
        <v/>
      </c>
      <c r="V201" s="353" t="str">
        <f t="shared" si="90"/>
        <v/>
      </c>
      <c r="W201" s="129">
        <v>0</v>
      </c>
      <c r="X201" s="129">
        <v>0</v>
      </c>
      <c r="Y201" s="129" t="str">
        <f t="shared" si="87"/>
        <v/>
      </c>
      <c r="Z201" s="129" t="str">
        <f t="shared" si="88"/>
        <v/>
      </c>
      <c r="AA201" s="145"/>
      <c r="BA201" s="78"/>
      <c r="BB201" s="132" t="s">
        <v>2439</v>
      </c>
      <c r="BC201" s="133"/>
      <c r="BD201" s="132" t="str">
        <f>IF(OR(B201="",BC201=""),"",COUNTIF(BC$8:BC201,"√"))</f>
        <v/>
      </c>
      <c r="BE201" s="134" t="str">
        <f t="shared" si="75"/>
        <v/>
      </c>
      <c r="BF201" s="135" t="str">
        <f t="shared" si="80"/>
        <v/>
      </c>
      <c r="BG201" s="135" t="str">
        <f t="shared" si="80"/>
        <v/>
      </c>
      <c r="BH201" s="136"/>
      <c r="BI201" s="136"/>
      <c r="BJ201" s="136"/>
      <c r="BK201" s="136"/>
      <c r="BL201" s="137"/>
      <c r="BM201" s="137"/>
      <c r="BP201" s="134" t="str">
        <f>IF(COUNTIF(BP$7:BP200,B201)&gt;0,"",B201)&amp;""</f>
        <v/>
      </c>
      <c r="BQ201" s="138">
        <f t="shared" si="76"/>
        <v>0</v>
      </c>
      <c r="BR201" s="132">
        <f t="shared" si="77"/>
        <v>1</v>
      </c>
      <c r="BS201" s="138">
        <f t="shared" si="78"/>
        <v>0</v>
      </c>
      <c r="BT201" s="132">
        <f t="shared" si="79"/>
        <v>2</v>
      </c>
      <c r="BU201" s="133"/>
      <c r="BV201" s="133"/>
      <c r="BX201" s="1256">
        <v>43100</v>
      </c>
      <c r="BY201" s="165">
        <f>IFERROR(LOOKUP(BX201,基础数据!A:D),1)</f>
        <v>3.53915880885741</v>
      </c>
      <c r="BZ201" s="165">
        <f t="shared" si="81"/>
        <v>1.00524445538375</v>
      </c>
      <c r="CA201" s="165" t="e">
        <f t="shared" si="83"/>
        <v>#VALUE!</v>
      </c>
      <c r="CB201" s="165">
        <f t="shared" si="92"/>
        <v>90</v>
      </c>
      <c r="CC201" s="165" t="e">
        <f t="shared" si="82"/>
        <v>#VALUE!</v>
      </c>
      <c r="CD201" s="1257" t="s">
        <v>2237</v>
      </c>
    </row>
    <row r="202" ht="15" customHeight="1" spans="1:82">
      <c r="A202" s="123" t="str">
        <f>IF(B202="","",COUNT(A$7:A201)+1)</f>
        <v/>
      </c>
      <c r="B202" s="139"/>
      <c r="C202" s="139"/>
      <c r="D202" s="141"/>
      <c r="E202" s="126"/>
      <c r="F202" s="142"/>
      <c r="G202" s="127"/>
      <c r="H202" s="128"/>
      <c r="I202" s="128"/>
      <c r="J202" s="980"/>
      <c r="K202" s="143"/>
      <c r="L202" s="143"/>
      <c r="M202" s="129"/>
      <c r="N202" s="144"/>
      <c r="O202" s="144"/>
      <c r="P202" s="144"/>
      <c r="Q202" s="143"/>
      <c r="R202" s="353" t="str">
        <f t="shared" si="91"/>
        <v/>
      </c>
      <c r="S202" s="129" t="str">
        <f t="shared" si="86"/>
        <v/>
      </c>
      <c r="T202" s="1226" t="str">
        <f t="shared" ref="T202:T265" si="93">IF(B202="","",L202+O202)</f>
        <v/>
      </c>
      <c r="U202" s="1226" t="str">
        <f t="shared" ref="U202:U265" si="94">IF(B202="","",M202+P202)</f>
        <v/>
      </c>
      <c r="V202" s="353" t="str">
        <f t="shared" si="90"/>
        <v/>
      </c>
      <c r="W202" s="129">
        <v>0</v>
      </c>
      <c r="X202" s="129">
        <v>0</v>
      </c>
      <c r="Y202" s="129" t="str">
        <f t="shared" si="87"/>
        <v/>
      </c>
      <c r="Z202" s="129" t="str">
        <f t="shared" si="88"/>
        <v/>
      </c>
      <c r="AA202" s="145"/>
      <c r="BA202" s="78"/>
      <c r="BB202" s="132" t="s">
        <v>2440</v>
      </c>
      <c r="BC202" s="133"/>
      <c r="BD202" s="132" t="str">
        <f>IF(OR(B202="",BC202=""),"",COUNTIF(BC$8:BC202,"√"))</f>
        <v/>
      </c>
      <c r="BE202" s="134" t="str">
        <f t="shared" si="75"/>
        <v/>
      </c>
      <c r="BF202" s="135" t="str">
        <f t="shared" si="80"/>
        <v/>
      </c>
      <c r="BG202" s="135" t="str">
        <f t="shared" si="80"/>
        <v/>
      </c>
      <c r="BH202" s="136"/>
      <c r="BI202" s="136"/>
      <c r="BJ202" s="136"/>
      <c r="BK202" s="136"/>
      <c r="BL202" s="137"/>
      <c r="BM202" s="137"/>
      <c r="BP202" s="134" t="str">
        <f>IF(COUNTIF(BP$7:BP201,B202)&gt;0,"",B202)&amp;""</f>
        <v/>
      </c>
      <c r="BQ202" s="138">
        <f t="shared" si="76"/>
        <v>0</v>
      </c>
      <c r="BR202" s="132">
        <f t="shared" si="77"/>
        <v>1</v>
      </c>
      <c r="BS202" s="138">
        <f t="shared" si="78"/>
        <v>0</v>
      </c>
      <c r="BT202" s="132">
        <f t="shared" si="79"/>
        <v>2</v>
      </c>
      <c r="BU202" s="133"/>
      <c r="BV202" s="133"/>
      <c r="BX202" s="1256">
        <v>43100</v>
      </c>
      <c r="BY202" s="165">
        <f>IFERROR(LOOKUP(BX202,基础数据!A:D),1)</f>
        <v>3.53915880885741</v>
      </c>
      <c r="BZ202" s="165">
        <f t="shared" si="81"/>
        <v>1.00524445538375</v>
      </c>
      <c r="CA202" s="165" t="e">
        <f>ROUND(S202*BZ202,1)</f>
        <v>#VALUE!</v>
      </c>
      <c r="CB202" s="165">
        <f t="shared" si="92"/>
        <v>90</v>
      </c>
      <c r="CC202" s="165" t="e">
        <f>ROUND(CB202*CA202/100,1)</f>
        <v>#VALUE!</v>
      </c>
      <c r="CD202" s="1257" t="s">
        <v>2237</v>
      </c>
    </row>
    <row r="203" ht="15" customHeight="1" spans="1:82">
      <c r="A203" s="123" t="str">
        <f>IF(B203="","",COUNT(A$7:A202)+1)</f>
        <v/>
      </c>
      <c r="B203" s="139"/>
      <c r="C203" s="139"/>
      <c r="D203" s="141"/>
      <c r="E203" s="126"/>
      <c r="F203" s="142"/>
      <c r="G203" s="127"/>
      <c r="H203" s="128"/>
      <c r="I203" s="128"/>
      <c r="J203" s="980"/>
      <c r="K203" s="143"/>
      <c r="L203" s="143"/>
      <c r="M203" s="129"/>
      <c r="N203" s="144"/>
      <c r="O203" s="144"/>
      <c r="P203" s="144"/>
      <c r="Q203" s="143"/>
      <c r="R203" s="353" t="str">
        <f t="shared" si="91"/>
        <v/>
      </c>
      <c r="S203" s="129" t="str">
        <f t="shared" si="86"/>
        <v/>
      </c>
      <c r="T203" s="1226" t="str">
        <f t="shared" si="93"/>
        <v/>
      </c>
      <c r="U203" s="1226" t="str">
        <f t="shared" si="94"/>
        <v/>
      </c>
      <c r="V203" s="353" t="str">
        <f t="shared" si="90"/>
        <v/>
      </c>
      <c r="W203" s="129">
        <v>0</v>
      </c>
      <c r="X203" s="129">
        <v>0</v>
      </c>
      <c r="Y203" s="129" t="str">
        <f t="shared" si="87"/>
        <v/>
      </c>
      <c r="Z203" s="129" t="str">
        <f t="shared" si="88"/>
        <v/>
      </c>
      <c r="AA203" s="145"/>
      <c r="BA203" s="78"/>
      <c r="BB203" s="132" t="s">
        <v>2441</v>
      </c>
      <c r="BC203" s="133"/>
      <c r="BD203" s="132" t="str">
        <f>IF(OR(B203="",BC203=""),"",COUNTIF(BC$8:BC203,"√"))</f>
        <v/>
      </c>
      <c r="BE203" s="134" t="str">
        <f t="shared" si="75"/>
        <v/>
      </c>
      <c r="BF203" s="135" t="str">
        <f t="shared" si="80"/>
        <v/>
      </c>
      <c r="BG203" s="135" t="str">
        <f t="shared" si="80"/>
        <v/>
      </c>
      <c r="BH203" s="136"/>
      <c r="BI203" s="136"/>
      <c r="BJ203" s="136"/>
      <c r="BK203" s="136"/>
      <c r="BL203" s="137"/>
      <c r="BM203" s="137"/>
      <c r="BP203" s="134" t="str">
        <f>IF(COUNTIF(BP$7:BP202,B203)&gt;0,"",B203)&amp;""</f>
        <v/>
      </c>
      <c r="BQ203" s="138">
        <f t="shared" si="76"/>
        <v>0</v>
      </c>
      <c r="BR203" s="132">
        <f t="shared" si="77"/>
        <v>1</v>
      </c>
      <c r="BS203" s="138">
        <f t="shared" si="78"/>
        <v>0</v>
      </c>
      <c r="BT203" s="132">
        <f t="shared" si="79"/>
        <v>2</v>
      </c>
      <c r="BU203" s="133"/>
      <c r="BV203" s="133"/>
      <c r="BX203" s="1256">
        <v>43100</v>
      </c>
      <c r="BY203" s="165">
        <f>IFERROR(LOOKUP(BX203,基础数据!A:D),1)</f>
        <v>3.53915880885741</v>
      </c>
      <c r="BZ203" s="165">
        <f t="shared" si="81"/>
        <v>1.00524445538375</v>
      </c>
      <c r="CA203" s="165" t="e">
        <f t="shared" si="83"/>
        <v>#VALUE!</v>
      </c>
      <c r="CB203" s="165">
        <f t="shared" si="92"/>
        <v>90</v>
      </c>
      <c r="CC203" s="165" t="e">
        <f t="shared" si="82"/>
        <v>#VALUE!</v>
      </c>
      <c r="CD203" s="1257" t="s">
        <v>2237</v>
      </c>
    </row>
    <row r="204" ht="15" customHeight="1" spans="1:82">
      <c r="A204" s="123" t="str">
        <f>IF(B204="","",COUNT(A$7:A203)+1)</f>
        <v/>
      </c>
      <c r="B204" s="139"/>
      <c r="C204" s="139"/>
      <c r="D204" s="141"/>
      <c r="E204" s="126"/>
      <c r="F204" s="142"/>
      <c r="G204" s="127"/>
      <c r="H204" s="128"/>
      <c r="I204" s="128"/>
      <c r="J204" s="980"/>
      <c r="K204" s="143"/>
      <c r="L204" s="143"/>
      <c r="M204" s="129"/>
      <c r="N204" s="144"/>
      <c r="O204" s="144"/>
      <c r="P204" s="144"/>
      <c r="Q204" s="143"/>
      <c r="R204" s="353" t="str">
        <f t="shared" si="91"/>
        <v/>
      </c>
      <c r="S204" s="129" t="str">
        <f t="shared" si="86"/>
        <v/>
      </c>
      <c r="T204" s="1226" t="str">
        <f t="shared" si="93"/>
        <v/>
      </c>
      <c r="U204" s="1226" t="str">
        <f t="shared" si="94"/>
        <v/>
      </c>
      <c r="V204" s="353" t="str">
        <f t="shared" si="90"/>
        <v/>
      </c>
      <c r="W204" s="129">
        <v>0</v>
      </c>
      <c r="X204" s="129">
        <v>0</v>
      </c>
      <c r="Y204" s="129" t="str">
        <f t="shared" si="87"/>
        <v/>
      </c>
      <c r="Z204" s="129" t="str">
        <f t="shared" si="88"/>
        <v/>
      </c>
      <c r="AA204" s="145"/>
      <c r="BA204" s="78"/>
      <c r="BB204" s="132" t="s">
        <v>2442</v>
      </c>
      <c r="BC204" s="133"/>
      <c r="BD204" s="132" t="str">
        <f>IF(OR(B204="",BC204=""),"",COUNTIF(BC$8:BC204,"√"))</f>
        <v/>
      </c>
      <c r="BE204" s="134" t="str">
        <f t="shared" si="75"/>
        <v/>
      </c>
      <c r="BF204" s="135" t="str">
        <f t="shared" si="80"/>
        <v/>
      </c>
      <c r="BG204" s="135" t="str">
        <f t="shared" si="80"/>
        <v/>
      </c>
      <c r="BH204" s="136"/>
      <c r="BI204" s="136"/>
      <c r="BJ204" s="136"/>
      <c r="BK204" s="136"/>
      <c r="BL204" s="137"/>
      <c r="BM204" s="137"/>
      <c r="BP204" s="134" t="str">
        <f>IF(COUNTIF(BP$7:BP203,B204)&gt;0,"",B204)&amp;""</f>
        <v/>
      </c>
      <c r="BQ204" s="138">
        <f t="shared" si="76"/>
        <v>0</v>
      </c>
      <c r="BR204" s="132">
        <f t="shared" si="77"/>
        <v>1</v>
      </c>
      <c r="BS204" s="138">
        <f t="shared" si="78"/>
        <v>0</v>
      </c>
      <c r="BT204" s="132">
        <f t="shared" si="79"/>
        <v>2</v>
      </c>
      <c r="BU204" s="133"/>
      <c r="BV204" s="133"/>
      <c r="BX204" s="1256">
        <v>43100</v>
      </c>
      <c r="BY204" s="165">
        <f>IFERROR(LOOKUP(BX204,基础数据!A:D),1)</f>
        <v>3.53915880885741</v>
      </c>
      <c r="BZ204" s="165">
        <f t="shared" si="81"/>
        <v>1.00524445538375</v>
      </c>
      <c r="CA204" s="165" t="e">
        <f t="shared" si="83"/>
        <v>#VALUE!</v>
      </c>
      <c r="CB204" s="165">
        <f t="shared" si="92"/>
        <v>90</v>
      </c>
      <c r="CC204" s="165" t="e">
        <f t="shared" si="82"/>
        <v>#VALUE!</v>
      </c>
      <c r="CD204" s="1257" t="s">
        <v>2237</v>
      </c>
    </row>
    <row r="205" ht="15" customHeight="1" spans="1:82">
      <c r="A205" s="123" t="str">
        <f>IF(B205="","",COUNT(A$7:A204)+1)</f>
        <v/>
      </c>
      <c r="B205" s="139"/>
      <c r="C205" s="139"/>
      <c r="D205" s="141"/>
      <c r="E205" s="126"/>
      <c r="F205" s="142"/>
      <c r="G205" s="127"/>
      <c r="H205" s="128"/>
      <c r="I205" s="128"/>
      <c r="J205" s="980"/>
      <c r="K205" s="143"/>
      <c r="L205" s="143"/>
      <c r="M205" s="129"/>
      <c r="N205" s="144"/>
      <c r="O205" s="144"/>
      <c r="P205" s="144"/>
      <c r="Q205" s="143"/>
      <c r="R205" s="353" t="str">
        <f t="shared" si="91"/>
        <v/>
      </c>
      <c r="S205" s="129" t="str">
        <f t="shared" si="86"/>
        <v/>
      </c>
      <c r="T205" s="1226" t="str">
        <f t="shared" si="93"/>
        <v/>
      </c>
      <c r="U205" s="1226" t="str">
        <f t="shared" si="94"/>
        <v/>
      </c>
      <c r="V205" s="353" t="str">
        <f t="shared" si="90"/>
        <v/>
      </c>
      <c r="W205" s="129">
        <v>0</v>
      </c>
      <c r="X205" s="129">
        <v>0</v>
      </c>
      <c r="Y205" s="129" t="str">
        <f t="shared" si="87"/>
        <v/>
      </c>
      <c r="Z205" s="129" t="str">
        <f t="shared" si="88"/>
        <v/>
      </c>
      <c r="AA205" s="145"/>
      <c r="BA205" s="78"/>
      <c r="BB205" s="132" t="s">
        <v>2443</v>
      </c>
      <c r="BC205" s="133"/>
      <c r="BD205" s="132" t="str">
        <f>IF(OR(B205="",BC205=""),"",COUNTIF(BC$8:BC205,"√"))</f>
        <v/>
      </c>
      <c r="BE205" s="134" t="str">
        <f t="shared" si="75"/>
        <v/>
      </c>
      <c r="BF205" s="135" t="str">
        <f t="shared" si="80"/>
        <v/>
      </c>
      <c r="BG205" s="135" t="str">
        <f t="shared" si="80"/>
        <v/>
      </c>
      <c r="BH205" s="136"/>
      <c r="BI205" s="136"/>
      <c r="BJ205" s="136"/>
      <c r="BK205" s="136"/>
      <c r="BL205" s="137"/>
      <c r="BM205" s="137"/>
      <c r="BP205" s="134" t="str">
        <f>IF(COUNTIF(BP$7:BP204,B205)&gt;0,"",B205)&amp;""</f>
        <v/>
      </c>
      <c r="BQ205" s="138">
        <f t="shared" si="76"/>
        <v>0</v>
      </c>
      <c r="BR205" s="132">
        <f t="shared" si="77"/>
        <v>1</v>
      </c>
      <c r="BS205" s="138">
        <f t="shared" si="78"/>
        <v>0</v>
      </c>
      <c r="BT205" s="132">
        <f t="shared" si="79"/>
        <v>2</v>
      </c>
      <c r="BU205" s="133"/>
      <c r="BV205" s="133"/>
      <c r="BX205" s="1256">
        <v>43100</v>
      </c>
      <c r="BY205" s="165">
        <f>IFERROR(LOOKUP(BX205,基础数据!A:D),1)</f>
        <v>3.53915880885741</v>
      </c>
      <c r="BZ205" s="165">
        <f t="shared" si="81"/>
        <v>1.00524445538375</v>
      </c>
      <c r="CA205" s="165" t="e">
        <f t="shared" si="83"/>
        <v>#VALUE!</v>
      </c>
      <c r="CB205" s="165">
        <f t="shared" si="92"/>
        <v>90</v>
      </c>
      <c r="CC205" s="165" t="e">
        <f t="shared" si="82"/>
        <v>#VALUE!</v>
      </c>
      <c r="CD205" s="1257" t="s">
        <v>2237</v>
      </c>
    </row>
    <row r="206" ht="15" customHeight="1" spans="1:82">
      <c r="A206" s="123" t="str">
        <f>IF(B206="","",COUNT(A$7:A205)+1)</f>
        <v/>
      </c>
      <c r="B206" s="139"/>
      <c r="C206" s="139"/>
      <c r="D206" s="141"/>
      <c r="E206" s="126"/>
      <c r="F206" s="142"/>
      <c r="G206" s="127"/>
      <c r="H206" s="128"/>
      <c r="I206" s="128"/>
      <c r="J206" s="980"/>
      <c r="K206" s="143"/>
      <c r="L206" s="143"/>
      <c r="M206" s="129"/>
      <c r="N206" s="144"/>
      <c r="O206" s="144"/>
      <c r="P206" s="144"/>
      <c r="Q206" s="143"/>
      <c r="R206" s="353" t="str">
        <f t="shared" si="91"/>
        <v/>
      </c>
      <c r="S206" s="129" t="str">
        <f t="shared" si="86"/>
        <v/>
      </c>
      <c r="T206" s="1226" t="str">
        <f t="shared" si="93"/>
        <v/>
      </c>
      <c r="U206" s="1226" t="str">
        <f t="shared" si="94"/>
        <v/>
      </c>
      <c r="V206" s="353" t="str">
        <f t="shared" si="90"/>
        <v/>
      </c>
      <c r="W206" s="129">
        <v>0</v>
      </c>
      <c r="X206" s="129">
        <v>0</v>
      </c>
      <c r="Y206" s="129" t="str">
        <f t="shared" si="87"/>
        <v/>
      </c>
      <c r="Z206" s="129" t="str">
        <f t="shared" si="88"/>
        <v/>
      </c>
      <c r="AA206" s="145"/>
      <c r="BA206" s="78"/>
      <c r="BB206" s="132" t="s">
        <v>2444</v>
      </c>
      <c r="BC206" s="133"/>
      <c r="BD206" s="132" t="str">
        <f>IF(OR(B206="",BC206=""),"",COUNTIF(BC$8:BC206,"√"))</f>
        <v/>
      </c>
      <c r="BE206" s="134" t="str">
        <f t="shared" si="75"/>
        <v/>
      </c>
      <c r="BF206" s="135" t="str">
        <f t="shared" si="80"/>
        <v/>
      </c>
      <c r="BG206" s="135" t="str">
        <f t="shared" si="80"/>
        <v/>
      </c>
      <c r="BH206" s="136"/>
      <c r="BI206" s="136"/>
      <c r="BJ206" s="136"/>
      <c r="BK206" s="136"/>
      <c r="BL206" s="137"/>
      <c r="BM206" s="137"/>
      <c r="BP206" s="134" t="str">
        <f>IF(COUNTIF(BP$7:BP205,B206)&gt;0,"",B206)&amp;""</f>
        <v/>
      </c>
      <c r="BQ206" s="138">
        <f t="shared" si="76"/>
        <v>0</v>
      </c>
      <c r="BR206" s="132">
        <f t="shared" si="77"/>
        <v>1</v>
      </c>
      <c r="BS206" s="138">
        <f t="shared" si="78"/>
        <v>0</v>
      </c>
      <c r="BT206" s="132">
        <f t="shared" si="79"/>
        <v>2</v>
      </c>
      <c r="BU206" s="133"/>
      <c r="BV206" s="133"/>
      <c r="BX206" s="1256">
        <v>43100</v>
      </c>
      <c r="BY206" s="165">
        <f>IFERROR(LOOKUP(BX206,基础数据!A:D),1)</f>
        <v>3.53915880885741</v>
      </c>
      <c r="BZ206" s="165">
        <f t="shared" si="81"/>
        <v>1.00524445538375</v>
      </c>
      <c r="CA206" s="165" t="e">
        <f t="shared" si="83"/>
        <v>#VALUE!</v>
      </c>
      <c r="CB206" s="165">
        <f t="shared" si="92"/>
        <v>90</v>
      </c>
      <c r="CC206" s="165" t="e">
        <f t="shared" si="82"/>
        <v>#VALUE!</v>
      </c>
      <c r="CD206" s="1257" t="s">
        <v>2237</v>
      </c>
    </row>
    <row r="207" ht="15" customHeight="1" spans="1:82">
      <c r="A207" s="123" t="str">
        <f>IF(B207="","",COUNT(A$7:A206)+1)</f>
        <v/>
      </c>
      <c r="B207" s="139"/>
      <c r="C207" s="139"/>
      <c r="D207" s="141"/>
      <c r="E207" s="126"/>
      <c r="F207" s="142"/>
      <c r="G207" s="127"/>
      <c r="H207" s="128"/>
      <c r="I207" s="128"/>
      <c r="J207" s="980"/>
      <c r="K207" s="143"/>
      <c r="L207" s="143"/>
      <c r="M207" s="129"/>
      <c r="N207" s="144"/>
      <c r="O207" s="144"/>
      <c r="P207" s="144"/>
      <c r="Q207" s="143"/>
      <c r="R207" s="353" t="str">
        <f t="shared" si="91"/>
        <v/>
      </c>
      <c r="S207" s="129" t="str">
        <f t="shared" si="86"/>
        <v/>
      </c>
      <c r="T207" s="1226" t="str">
        <f t="shared" si="93"/>
        <v/>
      </c>
      <c r="U207" s="1226" t="str">
        <f t="shared" si="94"/>
        <v/>
      </c>
      <c r="V207" s="353" t="str">
        <f t="shared" si="90"/>
        <v/>
      </c>
      <c r="W207" s="129">
        <v>0</v>
      </c>
      <c r="X207" s="129">
        <v>0</v>
      </c>
      <c r="Y207" s="129" t="str">
        <f t="shared" si="87"/>
        <v/>
      </c>
      <c r="Z207" s="129" t="str">
        <f t="shared" si="88"/>
        <v/>
      </c>
      <c r="AA207" s="145"/>
      <c r="BA207" s="78"/>
      <c r="BB207" s="132" t="s">
        <v>2445</v>
      </c>
      <c r="BC207" s="133"/>
      <c r="BD207" s="132" t="str">
        <f>IF(OR(B207="",BC207=""),"",COUNTIF(BC$8:BC207,"√"))</f>
        <v/>
      </c>
      <c r="BE207" s="134" t="str">
        <f t="shared" si="75"/>
        <v/>
      </c>
      <c r="BF207" s="135" t="str">
        <f t="shared" si="80"/>
        <v/>
      </c>
      <c r="BG207" s="135" t="str">
        <f t="shared" si="80"/>
        <v/>
      </c>
      <c r="BH207" s="136"/>
      <c r="BI207" s="136"/>
      <c r="BJ207" s="136"/>
      <c r="BK207" s="136"/>
      <c r="BL207" s="137"/>
      <c r="BM207" s="137"/>
      <c r="BP207" s="134" t="str">
        <f>IF(COUNTIF(BP$7:BP206,B207)&gt;0,"",B207)&amp;""</f>
        <v/>
      </c>
      <c r="BQ207" s="138">
        <f t="shared" si="76"/>
        <v>0</v>
      </c>
      <c r="BR207" s="132">
        <f t="shared" si="77"/>
        <v>1</v>
      </c>
      <c r="BS207" s="138">
        <f t="shared" si="78"/>
        <v>0</v>
      </c>
      <c r="BT207" s="132">
        <f t="shared" si="79"/>
        <v>2</v>
      </c>
      <c r="BU207" s="133"/>
      <c r="BV207" s="133"/>
      <c r="BX207" s="1256">
        <v>43100</v>
      </c>
      <c r="BY207" s="165">
        <f>IFERROR(LOOKUP(BX207,基础数据!A:D),1)</f>
        <v>3.53915880885741</v>
      </c>
      <c r="BZ207" s="165">
        <f t="shared" si="81"/>
        <v>1.00524445538375</v>
      </c>
      <c r="CA207" s="165" t="e">
        <f t="shared" si="83"/>
        <v>#VALUE!</v>
      </c>
      <c r="CB207" s="165">
        <f t="shared" si="92"/>
        <v>90</v>
      </c>
      <c r="CC207" s="165" t="e">
        <f t="shared" si="82"/>
        <v>#VALUE!</v>
      </c>
      <c r="CD207" s="1257" t="s">
        <v>2237</v>
      </c>
    </row>
    <row r="208" ht="15" customHeight="1" spans="1:82">
      <c r="A208" s="123" t="str">
        <f>IF(B208="","",COUNT(A$7:A207)+1)</f>
        <v/>
      </c>
      <c r="B208" s="139"/>
      <c r="C208" s="139"/>
      <c r="D208" s="141"/>
      <c r="E208" s="126"/>
      <c r="F208" s="142"/>
      <c r="G208" s="127"/>
      <c r="H208" s="128"/>
      <c r="I208" s="128"/>
      <c r="J208" s="980"/>
      <c r="K208" s="143"/>
      <c r="L208" s="143"/>
      <c r="M208" s="129"/>
      <c r="N208" s="144"/>
      <c r="O208" s="144"/>
      <c r="P208" s="144"/>
      <c r="Q208" s="143"/>
      <c r="R208" s="353" t="str">
        <f t="shared" si="91"/>
        <v/>
      </c>
      <c r="S208" s="129" t="str">
        <f t="shared" si="86"/>
        <v/>
      </c>
      <c r="T208" s="1226" t="str">
        <f t="shared" si="93"/>
        <v/>
      </c>
      <c r="U208" s="1226" t="str">
        <f t="shared" si="94"/>
        <v/>
      </c>
      <c r="V208" s="353" t="str">
        <f t="shared" si="90"/>
        <v/>
      </c>
      <c r="W208" s="129">
        <v>0</v>
      </c>
      <c r="X208" s="129">
        <v>0</v>
      </c>
      <c r="Y208" s="129" t="str">
        <f t="shared" si="87"/>
        <v/>
      </c>
      <c r="Z208" s="129" t="str">
        <f t="shared" si="88"/>
        <v/>
      </c>
      <c r="AA208" s="145"/>
      <c r="BA208" s="78"/>
      <c r="BB208" s="132" t="s">
        <v>2446</v>
      </c>
      <c r="BC208" s="133"/>
      <c r="BD208" s="132" t="str">
        <f>IF(OR(B208="",BC208=""),"",COUNTIF(BC$8:BC208,"√"))</f>
        <v/>
      </c>
      <c r="BE208" s="134" t="str">
        <f t="shared" si="75"/>
        <v/>
      </c>
      <c r="BF208" s="135" t="str">
        <f t="shared" si="80"/>
        <v/>
      </c>
      <c r="BG208" s="135" t="str">
        <f t="shared" si="80"/>
        <v/>
      </c>
      <c r="BH208" s="136"/>
      <c r="BI208" s="136"/>
      <c r="BJ208" s="136"/>
      <c r="BK208" s="136"/>
      <c r="BL208" s="137"/>
      <c r="BM208" s="137"/>
      <c r="BP208" s="134" t="str">
        <f>IF(COUNTIF(BP$7:BP207,B208)&gt;0,"",B208)&amp;""</f>
        <v/>
      </c>
      <c r="BQ208" s="138">
        <f t="shared" si="76"/>
        <v>0</v>
      </c>
      <c r="BR208" s="132">
        <f t="shared" si="77"/>
        <v>1</v>
      </c>
      <c r="BS208" s="138">
        <f t="shared" si="78"/>
        <v>0</v>
      </c>
      <c r="BT208" s="132">
        <f t="shared" si="79"/>
        <v>2</v>
      </c>
      <c r="BU208" s="133"/>
      <c r="BV208" s="133"/>
      <c r="BX208" s="1256">
        <v>43100</v>
      </c>
      <c r="BY208" s="165">
        <f>IFERROR(LOOKUP(BX208,基础数据!A:D),1)</f>
        <v>3.53915880885741</v>
      </c>
      <c r="BZ208" s="165">
        <f t="shared" si="81"/>
        <v>1.00524445538375</v>
      </c>
      <c r="CA208" s="165" t="e">
        <f>ROUND(S208*BZ208,1)</f>
        <v>#VALUE!</v>
      </c>
      <c r="CB208" s="165">
        <f t="shared" si="92"/>
        <v>90</v>
      </c>
      <c r="CC208" s="165" t="e">
        <f>ROUND(CB208*CA208/100,1)</f>
        <v>#VALUE!</v>
      </c>
      <c r="CD208" s="1257" t="s">
        <v>2237</v>
      </c>
    </row>
    <row r="209" ht="15" customHeight="1" spans="1:82">
      <c r="A209" s="123" t="str">
        <f>IF(B209="","",COUNT(A$7:A208)+1)</f>
        <v/>
      </c>
      <c r="B209" s="139"/>
      <c r="C209" s="139"/>
      <c r="D209" s="141"/>
      <c r="E209" s="126"/>
      <c r="F209" s="142"/>
      <c r="G209" s="127"/>
      <c r="H209" s="128"/>
      <c r="I209" s="128"/>
      <c r="J209" s="980"/>
      <c r="K209" s="143"/>
      <c r="L209" s="143"/>
      <c r="M209" s="129"/>
      <c r="N209" s="144"/>
      <c r="O209" s="144"/>
      <c r="P209" s="144"/>
      <c r="Q209" s="143"/>
      <c r="R209" s="353" t="str">
        <f t="shared" si="91"/>
        <v/>
      </c>
      <c r="S209" s="129" t="str">
        <f t="shared" si="86"/>
        <v/>
      </c>
      <c r="T209" s="1226" t="str">
        <f t="shared" si="93"/>
        <v/>
      </c>
      <c r="U209" s="1226" t="str">
        <f t="shared" si="94"/>
        <v/>
      </c>
      <c r="V209" s="353" t="str">
        <f t="shared" si="90"/>
        <v/>
      </c>
      <c r="W209" s="129">
        <v>0</v>
      </c>
      <c r="X209" s="129">
        <v>0</v>
      </c>
      <c r="Y209" s="129" t="str">
        <f t="shared" si="87"/>
        <v/>
      </c>
      <c r="Z209" s="129" t="str">
        <f t="shared" si="88"/>
        <v/>
      </c>
      <c r="AA209" s="145"/>
      <c r="BA209" s="78"/>
      <c r="BB209" s="132" t="s">
        <v>2447</v>
      </c>
      <c r="BC209" s="133"/>
      <c r="BD209" s="132" t="str">
        <f>IF(OR(B209="",BC209=""),"",COUNTIF(BC$8:BC209,"√"))</f>
        <v/>
      </c>
      <c r="BE209" s="134" t="str">
        <f t="shared" si="75"/>
        <v/>
      </c>
      <c r="BF209" s="135" t="str">
        <f t="shared" si="80"/>
        <v/>
      </c>
      <c r="BG209" s="135" t="str">
        <f t="shared" si="80"/>
        <v/>
      </c>
      <c r="BH209" s="136"/>
      <c r="BI209" s="136"/>
      <c r="BJ209" s="136"/>
      <c r="BK209" s="136"/>
      <c r="BL209" s="137"/>
      <c r="BM209" s="137"/>
      <c r="BP209" s="134" t="str">
        <f>IF(COUNTIF(BP$7:BP208,B209)&gt;0,"",B209)&amp;""</f>
        <v/>
      </c>
      <c r="BQ209" s="138">
        <f t="shared" si="76"/>
        <v>0</v>
      </c>
      <c r="BR209" s="132">
        <f t="shared" si="77"/>
        <v>1</v>
      </c>
      <c r="BS209" s="138">
        <f t="shared" si="78"/>
        <v>0</v>
      </c>
      <c r="BT209" s="132">
        <f t="shared" si="79"/>
        <v>2</v>
      </c>
      <c r="BU209" s="133"/>
      <c r="BV209" s="133"/>
      <c r="BX209" s="1256">
        <v>45001</v>
      </c>
      <c r="BY209" s="165">
        <f>IFERROR(LOOKUP(BX209,基础数据!A:D),1)</f>
        <v>3.80882053463966</v>
      </c>
      <c r="BZ209" s="165">
        <f t="shared" si="81"/>
        <v>0.934073878506601</v>
      </c>
      <c r="CA209" s="165" t="e">
        <f t="shared" si="83"/>
        <v>#VALUE!</v>
      </c>
      <c r="CB209" s="165">
        <f t="shared" si="92"/>
        <v>90</v>
      </c>
      <c r="CC209" s="165" t="e">
        <f t="shared" si="82"/>
        <v>#VALUE!</v>
      </c>
      <c r="CD209" s="1257" t="s">
        <v>2237</v>
      </c>
    </row>
    <row r="210" ht="15" customHeight="1" spans="1:82">
      <c r="A210" s="123" t="str">
        <f>IF(B210="","",COUNT(A$7:A209)+1)</f>
        <v/>
      </c>
      <c r="B210" s="139"/>
      <c r="C210" s="139"/>
      <c r="D210" s="141"/>
      <c r="E210" s="126"/>
      <c r="F210" s="142"/>
      <c r="G210" s="127"/>
      <c r="H210" s="128"/>
      <c r="I210" s="128"/>
      <c r="J210" s="980"/>
      <c r="K210" s="143"/>
      <c r="L210" s="143"/>
      <c r="M210" s="129"/>
      <c r="N210" s="144"/>
      <c r="O210" s="144"/>
      <c r="P210" s="144"/>
      <c r="Q210" s="143"/>
      <c r="R210" s="353" t="str">
        <f t="shared" si="91"/>
        <v/>
      </c>
      <c r="S210" s="129" t="str">
        <f t="shared" si="86"/>
        <v/>
      </c>
      <c r="T210" s="1226" t="str">
        <f t="shared" si="93"/>
        <v/>
      </c>
      <c r="U210" s="1226" t="str">
        <f t="shared" si="94"/>
        <v/>
      </c>
      <c r="V210" s="353" t="str">
        <f t="shared" si="90"/>
        <v/>
      </c>
      <c r="W210" s="129">
        <v>0</v>
      </c>
      <c r="X210" s="129">
        <v>0</v>
      </c>
      <c r="Y210" s="129" t="str">
        <f t="shared" si="87"/>
        <v/>
      </c>
      <c r="Z210" s="129" t="str">
        <f t="shared" si="88"/>
        <v/>
      </c>
      <c r="AA210" s="145"/>
      <c r="BA210" s="78"/>
      <c r="BB210" s="132" t="s">
        <v>2448</v>
      </c>
      <c r="BC210" s="133"/>
      <c r="BD210" s="132" t="str">
        <f>IF(OR(B210="",BC210=""),"",COUNTIF(BC$8:BC210,"√"))</f>
        <v/>
      </c>
      <c r="BE210" s="134" t="str">
        <f t="shared" si="75"/>
        <v/>
      </c>
      <c r="BF210" s="135" t="str">
        <f t="shared" si="80"/>
        <v/>
      </c>
      <c r="BG210" s="135" t="str">
        <f t="shared" si="80"/>
        <v/>
      </c>
      <c r="BH210" s="136"/>
      <c r="BI210" s="136"/>
      <c r="BJ210" s="136"/>
      <c r="BK210" s="136"/>
      <c r="BL210" s="137"/>
      <c r="BM210" s="137"/>
      <c r="BP210" s="134" t="str">
        <f>IF(COUNTIF(BP$7:BP209,B210)&gt;0,"",B210)&amp;""</f>
        <v/>
      </c>
      <c r="BQ210" s="138">
        <f t="shared" si="76"/>
        <v>0</v>
      </c>
      <c r="BR210" s="132">
        <f t="shared" si="77"/>
        <v>1</v>
      </c>
      <c r="BS210" s="138">
        <f t="shared" si="78"/>
        <v>0</v>
      </c>
      <c r="BT210" s="132">
        <f t="shared" si="79"/>
        <v>2</v>
      </c>
      <c r="BU210" s="133"/>
      <c r="BV210" s="133"/>
      <c r="BX210" s="1256">
        <v>45001</v>
      </c>
      <c r="BY210" s="165">
        <f>IFERROR(LOOKUP(BX210,基础数据!A:D),1)</f>
        <v>3.80882053463966</v>
      </c>
      <c r="BZ210" s="165">
        <f t="shared" si="81"/>
        <v>0.934073878506601</v>
      </c>
      <c r="CA210" s="165" t="e">
        <f t="shared" si="83"/>
        <v>#VALUE!</v>
      </c>
      <c r="CB210" s="165">
        <f>CO$2</f>
        <v>95</v>
      </c>
      <c r="CC210" s="165" t="e">
        <f t="shared" si="82"/>
        <v>#VALUE!</v>
      </c>
      <c r="CD210" s="1260" t="s">
        <v>2236</v>
      </c>
    </row>
    <row r="211" ht="15" customHeight="1" spans="1:82">
      <c r="A211" s="123" t="str">
        <f>IF(B211="","",COUNT(A$7:A210)+1)</f>
        <v/>
      </c>
      <c r="B211" s="139"/>
      <c r="C211" s="139"/>
      <c r="D211" s="141"/>
      <c r="E211" s="126"/>
      <c r="F211" s="142"/>
      <c r="G211" s="127"/>
      <c r="H211" s="128"/>
      <c r="I211" s="128"/>
      <c r="J211" s="980"/>
      <c r="K211" s="143"/>
      <c r="L211" s="143"/>
      <c r="M211" s="129"/>
      <c r="N211" s="144"/>
      <c r="O211" s="144"/>
      <c r="P211" s="144"/>
      <c r="Q211" s="143"/>
      <c r="R211" s="353" t="str">
        <f t="shared" si="91"/>
        <v/>
      </c>
      <c r="S211" s="129" t="str">
        <f t="shared" si="86"/>
        <v/>
      </c>
      <c r="T211" s="1226" t="str">
        <f t="shared" si="93"/>
        <v/>
      </c>
      <c r="U211" s="1226" t="str">
        <f t="shared" si="94"/>
        <v/>
      </c>
      <c r="V211" s="353" t="str">
        <f t="shared" si="90"/>
        <v/>
      </c>
      <c r="W211" s="129">
        <v>0</v>
      </c>
      <c r="X211" s="129">
        <v>0</v>
      </c>
      <c r="Y211" s="129" t="str">
        <f t="shared" si="87"/>
        <v/>
      </c>
      <c r="Z211" s="129" t="str">
        <f t="shared" si="88"/>
        <v/>
      </c>
      <c r="AA211" s="145"/>
      <c r="BA211" s="78"/>
      <c r="BB211" s="132" t="s">
        <v>2449</v>
      </c>
      <c r="BC211" s="133"/>
      <c r="BD211" s="132" t="str">
        <f>IF(OR(B211="",BC211=""),"",COUNTIF(BC$8:BC211,"√"))</f>
        <v/>
      </c>
      <c r="BE211" s="134" t="str">
        <f t="shared" ref="BE211:BE274" si="95">IF(BC211="","",BB211&amp;"︱"&amp;B211&amp;"︱"&amp;TEXT(L211,"#,##0.00"))</f>
        <v/>
      </c>
      <c r="BF211" s="135" t="str">
        <f t="shared" si="80"/>
        <v/>
      </c>
      <c r="BG211" s="135" t="str">
        <f t="shared" si="80"/>
        <v/>
      </c>
      <c r="BH211" s="136"/>
      <c r="BI211" s="136"/>
      <c r="BJ211" s="136"/>
      <c r="BK211" s="136"/>
      <c r="BL211" s="137"/>
      <c r="BM211" s="137"/>
      <c r="BP211" s="134" t="str">
        <f>IF(COUNTIF(BP$7:BP210,B211)&gt;0,"",B211)&amp;""</f>
        <v/>
      </c>
      <c r="BQ211" s="138">
        <f t="shared" ref="BQ211:BQ274" si="96">SUMIF(B$8:B$397,BP211,T$8:T$397)</f>
        <v>0</v>
      </c>
      <c r="BR211" s="132">
        <f t="shared" ref="BR211:BR274" si="97">RANK(BQ211,BQ$8:BQ$397)</f>
        <v>1</v>
      </c>
      <c r="BS211" s="138">
        <f t="shared" ref="BS211:BS274" si="98">SUMIF(B$8:B$397,BP211,X$8:X$397)</f>
        <v>0</v>
      </c>
      <c r="BT211" s="132">
        <f t="shared" ref="BT211:BT274" si="99">RANK(BS211,BS$8:BS$397)</f>
        <v>2</v>
      </c>
      <c r="BU211" s="133"/>
      <c r="BV211" s="133"/>
      <c r="BX211" s="1256">
        <v>45001</v>
      </c>
      <c r="BY211" s="165">
        <f>IFERROR(LOOKUP(BX211,基础数据!A:D),1)</f>
        <v>3.80882053463966</v>
      </c>
      <c r="BZ211" s="165">
        <f t="shared" si="81"/>
        <v>0.934073878506601</v>
      </c>
      <c r="CA211" s="165" t="e">
        <f t="shared" si="83"/>
        <v>#VALUE!</v>
      </c>
      <c r="CB211" s="165">
        <f t="shared" ref="CB211:CB245" si="100">CO$3</f>
        <v>90</v>
      </c>
      <c r="CC211" s="165" t="e">
        <f t="shared" si="82"/>
        <v>#VALUE!</v>
      </c>
      <c r="CD211" s="1257" t="s">
        <v>2237</v>
      </c>
    </row>
    <row r="212" ht="15" customHeight="1" spans="1:82">
      <c r="A212" s="123" t="str">
        <f>IF(B212="","",COUNT(A$7:A211)+1)</f>
        <v/>
      </c>
      <c r="B212" s="139"/>
      <c r="C212" s="139"/>
      <c r="D212" s="141"/>
      <c r="E212" s="126"/>
      <c r="F212" s="142"/>
      <c r="G212" s="127"/>
      <c r="H212" s="128"/>
      <c r="I212" s="128"/>
      <c r="J212" s="980"/>
      <c r="K212" s="143"/>
      <c r="L212" s="143"/>
      <c r="M212" s="129"/>
      <c r="N212" s="144"/>
      <c r="O212" s="144"/>
      <c r="P212" s="144"/>
      <c r="Q212" s="143"/>
      <c r="R212" s="353" t="str">
        <f t="shared" si="91"/>
        <v/>
      </c>
      <c r="S212" s="129" t="str">
        <f t="shared" si="86"/>
        <v/>
      </c>
      <c r="T212" s="1226" t="str">
        <f t="shared" si="93"/>
        <v/>
      </c>
      <c r="U212" s="1226" t="str">
        <f t="shared" si="94"/>
        <v/>
      </c>
      <c r="V212" s="353" t="str">
        <f t="shared" si="90"/>
        <v/>
      </c>
      <c r="W212" s="129">
        <v>0</v>
      </c>
      <c r="X212" s="129">
        <v>0</v>
      </c>
      <c r="Y212" s="129" t="str">
        <f t="shared" si="87"/>
        <v/>
      </c>
      <c r="Z212" s="129" t="str">
        <f t="shared" si="88"/>
        <v/>
      </c>
      <c r="AA212" s="145"/>
      <c r="BA212" s="78"/>
      <c r="BB212" s="132" t="s">
        <v>2450</v>
      </c>
      <c r="BC212" s="133"/>
      <c r="BD212" s="132" t="str">
        <f>IF(OR(B212="",BC212=""),"",COUNTIF(BC$8:BC212,"√"))</f>
        <v/>
      </c>
      <c r="BE212" s="134" t="str">
        <f t="shared" si="95"/>
        <v/>
      </c>
      <c r="BF212" s="135" t="str">
        <f t="shared" si="80"/>
        <v/>
      </c>
      <c r="BG212" s="135" t="str">
        <f t="shared" si="80"/>
        <v/>
      </c>
      <c r="BH212" s="136"/>
      <c r="BI212" s="136"/>
      <c r="BJ212" s="136"/>
      <c r="BK212" s="136"/>
      <c r="BL212" s="137"/>
      <c r="BM212" s="137"/>
      <c r="BP212" s="134" t="str">
        <f>IF(COUNTIF(BP$7:BP211,B212)&gt;0,"",B212)&amp;""</f>
        <v/>
      </c>
      <c r="BQ212" s="138">
        <f t="shared" si="96"/>
        <v>0</v>
      </c>
      <c r="BR212" s="132">
        <f t="shared" si="97"/>
        <v>1</v>
      </c>
      <c r="BS212" s="138">
        <f t="shared" si="98"/>
        <v>0</v>
      </c>
      <c r="BT212" s="132">
        <f t="shared" si="99"/>
        <v>2</v>
      </c>
      <c r="BU212" s="133"/>
      <c r="BV212" s="133"/>
      <c r="BX212" s="1256">
        <v>45001</v>
      </c>
      <c r="BY212" s="165">
        <f>IFERROR(LOOKUP(BX212,基础数据!A:D),1)</f>
        <v>3.80882053463966</v>
      </c>
      <c r="BZ212" s="165">
        <f t="shared" si="81"/>
        <v>0.934073878506601</v>
      </c>
      <c r="CA212" s="165" t="e">
        <f t="shared" si="83"/>
        <v>#VALUE!</v>
      </c>
      <c r="CB212" s="165">
        <f t="shared" si="100"/>
        <v>90</v>
      </c>
      <c r="CC212" s="165" t="e">
        <f t="shared" si="82"/>
        <v>#VALUE!</v>
      </c>
      <c r="CD212" s="1257" t="s">
        <v>2237</v>
      </c>
    </row>
    <row r="213" ht="15" customHeight="1" spans="1:82">
      <c r="A213" s="123" t="str">
        <f>IF(B213="","",COUNT(A$7:A212)+1)</f>
        <v/>
      </c>
      <c r="B213" s="139"/>
      <c r="C213" s="139"/>
      <c r="D213" s="141"/>
      <c r="E213" s="126"/>
      <c r="F213" s="142"/>
      <c r="G213" s="127"/>
      <c r="H213" s="128"/>
      <c r="I213" s="128"/>
      <c r="J213" s="980"/>
      <c r="K213" s="143"/>
      <c r="L213" s="143"/>
      <c r="M213" s="129"/>
      <c r="N213" s="144"/>
      <c r="O213" s="144"/>
      <c r="P213" s="144"/>
      <c r="Q213" s="143"/>
      <c r="R213" s="353" t="str">
        <f t="shared" si="91"/>
        <v/>
      </c>
      <c r="S213" s="129" t="str">
        <f t="shared" si="86"/>
        <v/>
      </c>
      <c r="T213" s="1226" t="str">
        <f t="shared" si="93"/>
        <v/>
      </c>
      <c r="U213" s="1226" t="str">
        <f t="shared" si="94"/>
        <v/>
      </c>
      <c r="V213" s="353" t="str">
        <f t="shared" si="90"/>
        <v/>
      </c>
      <c r="W213" s="129">
        <v>0</v>
      </c>
      <c r="X213" s="129">
        <v>0</v>
      </c>
      <c r="Y213" s="129" t="str">
        <f t="shared" si="87"/>
        <v/>
      </c>
      <c r="Z213" s="129" t="str">
        <f t="shared" si="88"/>
        <v/>
      </c>
      <c r="AA213" s="145"/>
      <c r="BA213" s="78"/>
      <c r="BB213" s="132" t="s">
        <v>2451</v>
      </c>
      <c r="BC213" s="133"/>
      <c r="BD213" s="132" t="str">
        <f>IF(OR(B213="",BC213=""),"",COUNTIF(BC$8:BC213,"√"))</f>
        <v/>
      </c>
      <c r="BE213" s="134" t="str">
        <f t="shared" si="95"/>
        <v/>
      </c>
      <c r="BF213" s="135" t="str">
        <f t="shared" si="80"/>
        <v/>
      </c>
      <c r="BG213" s="135" t="str">
        <f t="shared" si="80"/>
        <v/>
      </c>
      <c r="BH213" s="136"/>
      <c r="BI213" s="136"/>
      <c r="BJ213" s="136"/>
      <c r="BK213" s="136"/>
      <c r="BL213" s="137"/>
      <c r="BM213" s="137"/>
      <c r="BO213" s="1262"/>
      <c r="BP213" s="134" t="str">
        <f>IF(COUNTIF(BP$7:BP212,B213)&gt;0,"",B213)&amp;""</f>
        <v/>
      </c>
      <c r="BQ213" s="138">
        <f t="shared" si="96"/>
        <v>0</v>
      </c>
      <c r="BR213" s="132">
        <f t="shared" si="97"/>
        <v>1</v>
      </c>
      <c r="BS213" s="138">
        <f t="shared" si="98"/>
        <v>0</v>
      </c>
      <c r="BT213" s="132">
        <f t="shared" si="99"/>
        <v>2</v>
      </c>
      <c r="BU213" s="133"/>
      <c r="BV213" s="133"/>
      <c r="BX213" s="1256">
        <v>45001</v>
      </c>
      <c r="BY213" s="165">
        <f>IFERROR(LOOKUP(BX213,基础数据!A:D),1)</f>
        <v>3.80882053463966</v>
      </c>
      <c r="BZ213" s="165">
        <f t="shared" si="81"/>
        <v>0.934073878506601</v>
      </c>
      <c r="CA213" s="165">
        <f t="shared" ref="CA213:CA214" si="101">ROUND(BN213/1.13,0)</f>
        <v>0</v>
      </c>
      <c r="CB213" s="165">
        <f t="shared" si="100"/>
        <v>90</v>
      </c>
      <c r="CC213" s="165">
        <f t="shared" si="82"/>
        <v>0</v>
      </c>
      <c r="CD213" s="1257" t="s">
        <v>2237</v>
      </c>
    </row>
    <row r="214" ht="15" customHeight="1" spans="1:82">
      <c r="A214" s="123" t="str">
        <f>IF(B214="","",COUNT(A$7:A213)+1)</f>
        <v/>
      </c>
      <c r="B214" s="798"/>
      <c r="C214" s="139"/>
      <c r="D214" s="141"/>
      <c r="E214" s="126"/>
      <c r="F214" s="142"/>
      <c r="G214" s="127"/>
      <c r="H214" s="128"/>
      <c r="I214" s="128"/>
      <c r="J214" s="980"/>
      <c r="K214" s="143"/>
      <c r="L214" s="143"/>
      <c r="M214" s="129"/>
      <c r="N214" s="144"/>
      <c r="O214" s="144"/>
      <c r="P214" s="144"/>
      <c r="Q214" s="143"/>
      <c r="R214" s="353" t="str">
        <f t="shared" si="91"/>
        <v/>
      </c>
      <c r="S214" s="129" t="str">
        <f t="shared" si="86"/>
        <v/>
      </c>
      <c r="T214" s="1226" t="str">
        <f t="shared" si="93"/>
        <v/>
      </c>
      <c r="U214" s="1226" t="str">
        <f t="shared" si="94"/>
        <v/>
      </c>
      <c r="V214" s="353" t="str">
        <f t="shared" si="90"/>
        <v/>
      </c>
      <c r="W214" s="129">
        <v>0</v>
      </c>
      <c r="X214" s="129">
        <v>0</v>
      </c>
      <c r="Y214" s="129" t="str">
        <f t="shared" si="87"/>
        <v/>
      </c>
      <c r="Z214" s="129" t="str">
        <f t="shared" si="88"/>
        <v/>
      </c>
      <c r="AA214" s="145"/>
      <c r="BA214" s="78"/>
      <c r="BB214" s="132" t="s">
        <v>2452</v>
      </c>
      <c r="BC214" s="133"/>
      <c r="BD214" s="132" t="str">
        <f>IF(OR(B214="",BC214=""),"",COUNTIF(BC$8:BC214,"√"))</f>
        <v/>
      </c>
      <c r="BE214" s="134" t="str">
        <f t="shared" si="95"/>
        <v/>
      </c>
      <c r="BF214" s="135" t="str">
        <f t="shared" si="80"/>
        <v/>
      </c>
      <c r="BG214" s="135" t="str">
        <f t="shared" si="80"/>
        <v/>
      </c>
      <c r="BH214" s="136"/>
      <c r="BI214" s="136"/>
      <c r="BJ214" s="136"/>
      <c r="BK214" s="136"/>
      <c r="BL214" s="137"/>
      <c r="BM214" s="137"/>
      <c r="BO214" s="1262"/>
      <c r="BP214" s="134" t="str">
        <f>IF(COUNTIF(BP$7:BP213,B214)&gt;0,"",B214)&amp;""</f>
        <v/>
      </c>
      <c r="BQ214" s="138">
        <f t="shared" si="96"/>
        <v>0</v>
      </c>
      <c r="BR214" s="132">
        <f t="shared" si="97"/>
        <v>1</v>
      </c>
      <c r="BS214" s="138">
        <f t="shared" si="98"/>
        <v>0</v>
      </c>
      <c r="BT214" s="132">
        <f t="shared" si="99"/>
        <v>2</v>
      </c>
      <c r="BU214" s="133"/>
      <c r="BV214" s="133"/>
      <c r="BX214" s="1256">
        <v>45001</v>
      </c>
      <c r="BY214" s="165">
        <f>IFERROR(LOOKUP(BX214,基础数据!A:D),1)</f>
        <v>3.80882053463966</v>
      </c>
      <c r="BZ214" s="165">
        <f t="shared" si="81"/>
        <v>0.934073878506601</v>
      </c>
      <c r="CA214" s="165">
        <f t="shared" si="101"/>
        <v>0</v>
      </c>
      <c r="CB214" s="165">
        <f t="shared" si="100"/>
        <v>90</v>
      </c>
      <c r="CC214" s="165">
        <f t="shared" si="82"/>
        <v>0</v>
      </c>
      <c r="CD214" s="1257" t="s">
        <v>2237</v>
      </c>
    </row>
    <row r="215" ht="15" customHeight="1" spans="1:82">
      <c r="A215" s="123" t="str">
        <f>IF(B215="","",COUNT(A$7:A214)+1)</f>
        <v/>
      </c>
      <c r="B215" s="139"/>
      <c r="C215" s="139"/>
      <c r="D215" s="141"/>
      <c r="E215" s="126"/>
      <c r="F215" s="142"/>
      <c r="G215" s="127"/>
      <c r="H215" s="128"/>
      <c r="I215" s="128"/>
      <c r="J215" s="980"/>
      <c r="K215" s="143"/>
      <c r="L215" s="143"/>
      <c r="M215" s="129"/>
      <c r="N215" s="144"/>
      <c r="O215" s="144"/>
      <c r="P215" s="144"/>
      <c r="Q215" s="143"/>
      <c r="R215" s="353" t="str">
        <f t="shared" si="91"/>
        <v/>
      </c>
      <c r="S215" s="129" t="str">
        <f t="shared" si="86"/>
        <v/>
      </c>
      <c r="T215" s="1226" t="str">
        <f t="shared" si="93"/>
        <v/>
      </c>
      <c r="U215" s="1226" t="str">
        <f t="shared" si="94"/>
        <v/>
      </c>
      <c r="V215" s="353" t="str">
        <f t="shared" si="90"/>
        <v/>
      </c>
      <c r="W215" s="129">
        <v>0</v>
      </c>
      <c r="X215" s="129">
        <v>0</v>
      </c>
      <c r="Y215" s="129" t="str">
        <f t="shared" si="87"/>
        <v/>
      </c>
      <c r="Z215" s="129" t="str">
        <f t="shared" si="88"/>
        <v/>
      </c>
      <c r="AA215" s="145"/>
      <c r="BA215" s="78"/>
      <c r="BB215" s="132" t="s">
        <v>2453</v>
      </c>
      <c r="BC215" s="133"/>
      <c r="BD215" s="132" t="str">
        <f>IF(OR(B215="",BC215=""),"",COUNTIF(BC$8:BC215,"√"))</f>
        <v/>
      </c>
      <c r="BE215" s="134" t="str">
        <f t="shared" si="95"/>
        <v/>
      </c>
      <c r="BF215" s="135" t="str">
        <f t="shared" si="80"/>
        <v/>
      </c>
      <c r="BG215" s="135" t="str">
        <f t="shared" si="80"/>
        <v/>
      </c>
      <c r="BH215" s="136"/>
      <c r="BI215" s="136"/>
      <c r="BJ215" s="136"/>
      <c r="BK215" s="136"/>
      <c r="BL215" s="137"/>
      <c r="BM215" s="137"/>
      <c r="BP215" s="134" t="str">
        <f>IF(COUNTIF(BP$7:BP214,B215)&gt;0,"",B215)&amp;""</f>
        <v/>
      </c>
      <c r="BQ215" s="138">
        <f t="shared" si="96"/>
        <v>0</v>
      </c>
      <c r="BR215" s="132">
        <f t="shared" si="97"/>
        <v>1</v>
      </c>
      <c r="BS215" s="138">
        <f t="shared" si="98"/>
        <v>0</v>
      </c>
      <c r="BT215" s="132">
        <f t="shared" si="99"/>
        <v>2</v>
      </c>
      <c r="BU215" s="133"/>
      <c r="BV215" s="133"/>
      <c r="BX215" s="1256">
        <v>45001</v>
      </c>
      <c r="BY215" s="165">
        <f>IFERROR(LOOKUP(BX215,基础数据!A:D),1)</f>
        <v>3.80882053463966</v>
      </c>
      <c r="BZ215" s="165">
        <f t="shared" si="81"/>
        <v>0.934073878506601</v>
      </c>
      <c r="CA215" s="165" t="e">
        <f t="shared" si="83"/>
        <v>#VALUE!</v>
      </c>
      <c r="CB215" s="165">
        <f t="shared" si="100"/>
        <v>90</v>
      </c>
      <c r="CC215" s="165" t="e">
        <f t="shared" si="82"/>
        <v>#VALUE!</v>
      </c>
      <c r="CD215" s="1257" t="s">
        <v>2237</v>
      </c>
    </row>
    <row r="216" ht="15" customHeight="1" spans="1:82">
      <c r="A216" s="123" t="str">
        <f>IF(B216="","",COUNT(A$7:A215)+1)</f>
        <v/>
      </c>
      <c r="B216" s="139"/>
      <c r="C216" s="139"/>
      <c r="D216" s="141"/>
      <c r="E216" s="126"/>
      <c r="F216" s="142"/>
      <c r="G216" s="127"/>
      <c r="H216" s="128"/>
      <c r="I216" s="128"/>
      <c r="J216" s="980"/>
      <c r="K216" s="143"/>
      <c r="L216" s="143"/>
      <c r="M216" s="129"/>
      <c r="N216" s="144"/>
      <c r="O216" s="144"/>
      <c r="P216" s="144"/>
      <c r="Q216" s="143"/>
      <c r="R216" s="353" t="str">
        <f t="shared" si="91"/>
        <v/>
      </c>
      <c r="S216" s="129" t="str">
        <f t="shared" si="86"/>
        <v/>
      </c>
      <c r="T216" s="1226" t="str">
        <f t="shared" si="93"/>
        <v/>
      </c>
      <c r="U216" s="1226" t="str">
        <f t="shared" si="94"/>
        <v/>
      </c>
      <c r="V216" s="353" t="str">
        <f t="shared" si="90"/>
        <v/>
      </c>
      <c r="W216" s="129">
        <v>0</v>
      </c>
      <c r="X216" s="129">
        <v>0</v>
      </c>
      <c r="Y216" s="129" t="str">
        <f t="shared" si="87"/>
        <v/>
      </c>
      <c r="Z216" s="129" t="str">
        <f t="shared" si="88"/>
        <v/>
      </c>
      <c r="AA216" s="145"/>
      <c r="BA216" s="78"/>
      <c r="BB216" s="132" t="s">
        <v>2454</v>
      </c>
      <c r="BC216" s="133"/>
      <c r="BD216" s="132" t="str">
        <f>IF(OR(B216="",BC216=""),"",COUNTIF(BC$8:BC216,"√"))</f>
        <v/>
      </c>
      <c r="BE216" s="134" t="str">
        <f t="shared" si="95"/>
        <v/>
      </c>
      <c r="BF216" s="135" t="str">
        <f t="shared" si="80"/>
        <v/>
      </c>
      <c r="BG216" s="135" t="str">
        <f t="shared" si="80"/>
        <v/>
      </c>
      <c r="BH216" s="136"/>
      <c r="BI216" s="136"/>
      <c r="BJ216" s="136"/>
      <c r="BK216" s="136"/>
      <c r="BL216" s="137"/>
      <c r="BM216" s="137"/>
      <c r="BP216" s="134" t="str">
        <f>IF(COUNTIF(BP$7:BP215,B216)&gt;0,"",B216)&amp;""</f>
        <v/>
      </c>
      <c r="BQ216" s="138">
        <f t="shared" si="96"/>
        <v>0</v>
      </c>
      <c r="BR216" s="132">
        <f t="shared" si="97"/>
        <v>1</v>
      </c>
      <c r="BS216" s="138">
        <f t="shared" si="98"/>
        <v>0</v>
      </c>
      <c r="BT216" s="132">
        <f t="shared" si="99"/>
        <v>2</v>
      </c>
      <c r="BU216" s="133"/>
      <c r="BV216" s="133"/>
      <c r="BX216" s="1256">
        <v>43100</v>
      </c>
      <c r="BY216" s="165">
        <f>IFERROR(LOOKUP(BX216,基础数据!A:D),1)</f>
        <v>3.53915880885741</v>
      </c>
      <c r="BZ216" s="165">
        <f t="shared" si="81"/>
        <v>1.00524445538375</v>
      </c>
      <c r="CA216" s="165" t="e">
        <f t="shared" si="83"/>
        <v>#VALUE!</v>
      </c>
      <c r="CB216" s="165">
        <v>97</v>
      </c>
      <c r="CC216" s="165" t="e">
        <f t="shared" si="82"/>
        <v>#VALUE!</v>
      </c>
      <c r="CD216" s="1257" t="s">
        <v>2236</v>
      </c>
    </row>
    <row r="217" ht="15" customHeight="1" spans="1:82">
      <c r="A217" s="123" t="str">
        <f>IF(B217="","",COUNT(A$7:A216)+1)</f>
        <v/>
      </c>
      <c r="B217" s="139"/>
      <c r="C217" s="139"/>
      <c r="D217" s="141"/>
      <c r="E217" s="126"/>
      <c r="F217" s="142"/>
      <c r="G217" s="127"/>
      <c r="H217" s="128"/>
      <c r="I217" s="128"/>
      <c r="J217" s="980"/>
      <c r="K217" s="143"/>
      <c r="L217" s="143"/>
      <c r="M217" s="129"/>
      <c r="N217" s="144"/>
      <c r="O217" s="144"/>
      <c r="P217" s="144"/>
      <c r="Q217" s="143"/>
      <c r="R217" s="353" t="str">
        <f t="shared" si="91"/>
        <v/>
      </c>
      <c r="S217" s="129" t="str">
        <f t="shared" si="86"/>
        <v/>
      </c>
      <c r="T217" s="1226" t="str">
        <f t="shared" si="93"/>
        <v/>
      </c>
      <c r="U217" s="1226" t="str">
        <f t="shared" si="94"/>
        <v/>
      </c>
      <c r="V217" s="353" t="str">
        <f t="shared" si="90"/>
        <v/>
      </c>
      <c r="W217" s="129">
        <v>0</v>
      </c>
      <c r="X217" s="129">
        <v>0</v>
      </c>
      <c r="Y217" s="129" t="str">
        <f t="shared" si="87"/>
        <v/>
      </c>
      <c r="Z217" s="129" t="str">
        <f t="shared" si="88"/>
        <v/>
      </c>
      <c r="AA217" s="145"/>
      <c r="BA217" s="78"/>
      <c r="BB217" s="132" t="s">
        <v>2455</v>
      </c>
      <c r="BC217" s="133"/>
      <c r="BD217" s="132" t="str">
        <f>IF(OR(B217="",BC217=""),"",COUNTIF(BC$8:BC217,"√"))</f>
        <v/>
      </c>
      <c r="BE217" s="134" t="str">
        <f t="shared" si="95"/>
        <v/>
      </c>
      <c r="BF217" s="135" t="str">
        <f t="shared" si="80"/>
        <v/>
      </c>
      <c r="BG217" s="135" t="str">
        <f t="shared" si="80"/>
        <v/>
      </c>
      <c r="BH217" s="136"/>
      <c r="BI217" s="136"/>
      <c r="BJ217" s="136"/>
      <c r="BK217" s="136"/>
      <c r="BL217" s="137"/>
      <c r="BM217" s="137"/>
      <c r="BP217" s="134" t="str">
        <f>IF(COUNTIF(BP$7:BP216,B217)&gt;0,"",B217)&amp;""</f>
        <v/>
      </c>
      <c r="BQ217" s="138">
        <f t="shared" si="96"/>
        <v>0</v>
      </c>
      <c r="BR217" s="132">
        <f t="shared" si="97"/>
        <v>1</v>
      </c>
      <c r="BS217" s="138">
        <f t="shared" si="98"/>
        <v>0</v>
      </c>
      <c r="BT217" s="132">
        <f t="shared" si="99"/>
        <v>2</v>
      </c>
      <c r="BU217" s="133"/>
      <c r="BV217" s="133"/>
      <c r="BX217" s="1256">
        <v>43100</v>
      </c>
      <c r="BY217" s="165">
        <f>IFERROR(LOOKUP(BX217,基础数据!A:D),1)</f>
        <v>3.53915880885741</v>
      </c>
      <c r="BZ217" s="165">
        <f t="shared" si="81"/>
        <v>1.00524445538375</v>
      </c>
      <c r="CA217" s="165" t="e">
        <f t="shared" ref="CA217:CA218" si="102">ROUND(S217*BZ217,1)</f>
        <v>#VALUE!</v>
      </c>
      <c r="CB217" s="165">
        <f t="shared" si="100"/>
        <v>90</v>
      </c>
      <c r="CC217" s="165" t="e">
        <f t="shared" ref="CC217:CC218" si="103">ROUND(CB217*CA217/100,1)</f>
        <v>#VALUE!</v>
      </c>
      <c r="CD217" s="1257" t="s">
        <v>2237</v>
      </c>
    </row>
    <row r="218" ht="15" customHeight="1" spans="1:82">
      <c r="A218" s="123" t="str">
        <f>IF(B218="","",COUNT(A$7:A217)+1)</f>
        <v/>
      </c>
      <c r="B218" s="139"/>
      <c r="C218" s="139"/>
      <c r="D218" s="141"/>
      <c r="E218" s="126"/>
      <c r="F218" s="142"/>
      <c r="G218" s="127"/>
      <c r="H218" s="128"/>
      <c r="I218" s="128"/>
      <c r="J218" s="980"/>
      <c r="K218" s="143"/>
      <c r="L218" s="143"/>
      <c r="M218" s="129"/>
      <c r="N218" s="144"/>
      <c r="O218" s="144"/>
      <c r="P218" s="144"/>
      <c r="Q218" s="143"/>
      <c r="R218" s="353" t="str">
        <f t="shared" si="91"/>
        <v/>
      </c>
      <c r="S218" s="129" t="str">
        <f t="shared" si="86"/>
        <v/>
      </c>
      <c r="T218" s="1226" t="str">
        <f t="shared" si="93"/>
        <v/>
      </c>
      <c r="U218" s="1226" t="str">
        <f t="shared" si="94"/>
        <v/>
      </c>
      <c r="V218" s="353" t="str">
        <f t="shared" si="90"/>
        <v/>
      </c>
      <c r="W218" s="129">
        <v>0</v>
      </c>
      <c r="X218" s="129">
        <v>0</v>
      </c>
      <c r="Y218" s="129" t="str">
        <f t="shared" si="87"/>
        <v/>
      </c>
      <c r="Z218" s="129" t="str">
        <f t="shared" si="88"/>
        <v/>
      </c>
      <c r="AA218" s="145"/>
      <c r="BA218" s="78"/>
      <c r="BB218" s="132" t="s">
        <v>2456</v>
      </c>
      <c r="BC218" s="133"/>
      <c r="BD218" s="132" t="str">
        <f>IF(OR(B218="",BC218=""),"",COUNTIF(BC$8:BC218,"√"))</f>
        <v/>
      </c>
      <c r="BE218" s="134" t="str">
        <f t="shared" si="95"/>
        <v/>
      </c>
      <c r="BF218" s="135" t="str">
        <f t="shared" ref="BF218:BG281" si="104">IF($B218="","",IF(BF$5=0,"OK","出错"))</f>
        <v/>
      </c>
      <c r="BG218" s="135" t="str">
        <f t="shared" si="104"/>
        <v/>
      </c>
      <c r="BH218" s="136"/>
      <c r="BI218" s="136"/>
      <c r="BJ218" s="136"/>
      <c r="BK218" s="136"/>
      <c r="BL218" s="137"/>
      <c r="BM218" s="137"/>
      <c r="BP218" s="134" t="str">
        <f>IF(COUNTIF(BP$7:BP217,B218)&gt;0,"",B218)&amp;""</f>
        <v/>
      </c>
      <c r="BQ218" s="138">
        <f t="shared" si="96"/>
        <v>0</v>
      </c>
      <c r="BR218" s="132">
        <f t="shared" si="97"/>
        <v>1</v>
      </c>
      <c r="BS218" s="138">
        <f t="shared" si="98"/>
        <v>0</v>
      </c>
      <c r="BT218" s="132">
        <f t="shared" si="99"/>
        <v>2</v>
      </c>
      <c r="BU218" s="133"/>
      <c r="BV218" s="133"/>
      <c r="BX218" s="1256">
        <v>43100</v>
      </c>
      <c r="BY218" s="165">
        <f>IFERROR(LOOKUP(BX218,基础数据!A:D),1)</f>
        <v>3.53915880885741</v>
      </c>
      <c r="BZ218" s="165">
        <f t="shared" si="81"/>
        <v>1.00524445538375</v>
      </c>
      <c r="CA218" s="165" t="e">
        <f t="shared" si="102"/>
        <v>#VALUE!</v>
      </c>
      <c r="CB218" s="165">
        <f t="shared" si="100"/>
        <v>90</v>
      </c>
      <c r="CC218" s="165" t="e">
        <f t="shared" si="103"/>
        <v>#VALUE!</v>
      </c>
      <c r="CD218" s="1257" t="s">
        <v>2237</v>
      </c>
    </row>
    <row r="219" ht="15" customHeight="1" spans="1:82">
      <c r="A219" s="123" t="str">
        <f>IF(B219="","",COUNT(A$7:A218)+1)</f>
        <v/>
      </c>
      <c r="B219" s="139"/>
      <c r="C219" s="139"/>
      <c r="D219" s="141"/>
      <c r="E219" s="126"/>
      <c r="F219" s="142"/>
      <c r="G219" s="127"/>
      <c r="H219" s="128"/>
      <c r="I219" s="128"/>
      <c r="J219" s="980"/>
      <c r="K219" s="143"/>
      <c r="L219" s="143"/>
      <c r="M219" s="129"/>
      <c r="N219" s="144"/>
      <c r="O219" s="144"/>
      <c r="P219" s="144"/>
      <c r="Q219" s="143"/>
      <c r="R219" s="353" t="str">
        <f t="shared" si="91"/>
        <v/>
      </c>
      <c r="S219" s="129" t="str">
        <f t="shared" si="86"/>
        <v/>
      </c>
      <c r="T219" s="1226" t="str">
        <f t="shared" si="93"/>
        <v/>
      </c>
      <c r="U219" s="1226" t="str">
        <f t="shared" si="94"/>
        <v/>
      </c>
      <c r="V219" s="353" t="str">
        <f t="shared" si="90"/>
        <v/>
      </c>
      <c r="W219" s="129">
        <v>0</v>
      </c>
      <c r="X219" s="129">
        <v>0</v>
      </c>
      <c r="Y219" s="129" t="str">
        <f t="shared" si="87"/>
        <v/>
      </c>
      <c r="Z219" s="129" t="str">
        <f t="shared" si="88"/>
        <v/>
      </c>
      <c r="AA219" s="145"/>
      <c r="BA219" s="78"/>
      <c r="BB219" s="132" t="s">
        <v>2457</v>
      </c>
      <c r="BC219" s="133"/>
      <c r="BD219" s="132" t="str">
        <f>IF(OR(B219="",BC219=""),"",COUNTIF(BC$8:BC219,"√"))</f>
        <v/>
      </c>
      <c r="BE219" s="134" t="str">
        <f t="shared" si="95"/>
        <v/>
      </c>
      <c r="BF219" s="135" t="str">
        <f t="shared" si="104"/>
        <v/>
      </c>
      <c r="BG219" s="135" t="str">
        <f t="shared" si="104"/>
        <v/>
      </c>
      <c r="BH219" s="136"/>
      <c r="BI219" s="136"/>
      <c r="BJ219" s="136"/>
      <c r="BK219" s="136"/>
      <c r="BL219" s="137"/>
      <c r="BM219" s="137"/>
      <c r="BP219" s="134" t="str">
        <f>IF(COUNTIF(BP$7:BP218,B219)&gt;0,"",B219)&amp;""</f>
        <v/>
      </c>
      <c r="BQ219" s="138">
        <f t="shared" si="96"/>
        <v>0</v>
      </c>
      <c r="BR219" s="132">
        <f t="shared" si="97"/>
        <v>1</v>
      </c>
      <c r="BS219" s="138">
        <f t="shared" si="98"/>
        <v>0</v>
      </c>
      <c r="BT219" s="132">
        <f t="shared" si="99"/>
        <v>2</v>
      </c>
      <c r="BU219" s="133"/>
      <c r="BV219" s="133"/>
      <c r="BX219" s="1256">
        <v>45001</v>
      </c>
      <c r="BY219" s="165">
        <f>IFERROR(LOOKUP(BX219,基础数据!A:D),1)</f>
        <v>3.80882053463966</v>
      </c>
      <c r="BZ219" s="165">
        <f t="shared" si="81"/>
        <v>0.934073878506601</v>
      </c>
      <c r="CA219" s="165" t="e">
        <f t="shared" si="83"/>
        <v>#VALUE!</v>
      </c>
      <c r="CB219" s="165">
        <f t="shared" si="100"/>
        <v>90</v>
      </c>
      <c r="CC219" s="165" t="e">
        <f t="shared" si="82"/>
        <v>#VALUE!</v>
      </c>
      <c r="CD219" s="1257" t="s">
        <v>2237</v>
      </c>
    </row>
    <row r="220" ht="15" customHeight="1" spans="1:82">
      <c r="A220" s="123" t="str">
        <f>IF(B220="","",COUNT(A$7:A219)+1)</f>
        <v/>
      </c>
      <c r="B220" s="139"/>
      <c r="C220" s="139"/>
      <c r="D220" s="141"/>
      <c r="E220" s="126"/>
      <c r="F220" s="142"/>
      <c r="G220" s="127"/>
      <c r="H220" s="128"/>
      <c r="I220" s="128"/>
      <c r="J220" s="980"/>
      <c r="K220" s="143"/>
      <c r="L220" s="143"/>
      <c r="M220" s="129"/>
      <c r="N220" s="144"/>
      <c r="O220" s="144"/>
      <c r="P220" s="144"/>
      <c r="Q220" s="143"/>
      <c r="R220" s="353" t="str">
        <f t="shared" si="91"/>
        <v/>
      </c>
      <c r="S220" s="129" t="str">
        <f t="shared" si="86"/>
        <v/>
      </c>
      <c r="T220" s="1226" t="str">
        <f t="shared" si="93"/>
        <v/>
      </c>
      <c r="U220" s="1226" t="str">
        <f t="shared" si="94"/>
        <v/>
      </c>
      <c r="V220" s="353" t="str">
        <f t="shared" si="90"/>
        <v/>
      </c>
      <c r="W220" s="129">
        <v>0</v>
      </c>
      <c r="X220" s="129">
        <v>0</v>
      </c>
      <c r="Y220" s="129" t="str">
        <f t="shared" si="87"/>
        <v/>
      </c>
      <c r="Z220" s="129" t="str">
        <f t="shared" si="88"/>
        <v/>
      </c>
      <c r="AA220" s="145"/>
      <c r="BA220" s="78"/>
      <c r="BB220" s="132" t="s">
        <v>2458</v>
      </c>
      <c r="BC220" s="133"/>
      <c r="BD220" s="132" t="str">
        <f>IF(OR(B220="",BC220=""),"",COUNTIF(BC$8:BC220,"√"))</f>
        <v/>
      </c>
      <c r="BE220" s="134" t="str">
        <f t="shared" si="95"/>
        <v/>
      </c>
      <c r="BF220" s="135" t="str">
        <f t="shared" si="104"/>
        <v/>
      </c>
      <c r="BG220" s="135" t="str">
        <f t="shared" si="104"/>
        <v/>
      </c>
      <c r="BH220" s="136"/>
      <c r="BI220" s="136"/>
      <c r="BJ220" s="136"/>
      <c r="BK220" s="136"/>
      <c r="BL220" s="137"/>
      <c r="BM220" s="137"/>
      <c r="BP220" s="134" t="str">
        <f>IF(COUNTIF(BP$7:BP219,B220)&gt;0,"",B220)&amp;""</f>
        <v/>
      </c>
      <c r="BQ220" s="138">
        <f t="shared" si="96"/>
        <v>0</v>
      </c>
      <c r="BR220" s="132">
        <f t="shared" si="97"/>
        <v>1</v>
      </c>
      <c r="BS220" s="138">
        <f t="shared" si="98"/>
        <v>0</v>
      </c>
      <c r="BT220" s="132">
        <f t="shared" si="99"/>
        <v>2</v>
      </c>
      <c r="BU220" s="133"/>
      <c r="BV220" s="133"/>
      <c r="BX220" s="1256">
        <v>45001</v>
      </c>
      <c r="BY220" s="165">
        <f>IFERROR(LOOKUP(BX220,基础数据!A:D),1)</f>
        <v>3.80882053463966</v>
      </c>
      <c r="BZ220" s="165">
        <f t="shared" si="81"/>
        <v>0.934073878506601</v>
      </c>
      <c r="CA220" s="165" t="e">
        <f t="shared" si="83"/>
        <v>#VALUE!</v>
      </c>
      <c r="CB220" s="165">
        <f t="shared" si="100"/>
        <v>90</v>
      </c>
      <c r="CC220" s="165" t="e">
        <f t="shared" si="82"/>
        <v>#VALUE!</v>
      </c>
      <c r="CD220" s="1257" t="s">
        <v>2237</v>
      </c>
    </row>
    <row r="221" ht="15" customHeight="1" spans="1:82">
      <c r="A221" s="123" t="str">
        <f>IF(B221="","",COUNT(A$7:A220)+1)</f>
        <v/>
      </c>
      <c r="B221" s="139"/>
      <c r="C221" s="139"/>
      <c r="D221" s="141"/>
      <c r="E221" s="126"/>
      <c r="F221" s="142"/>
      <c r="G221" s="127"/>
      <c r="H221" s="128"/>
      <c r="I221" s="128"/>
      <c r="J221" s="980"/>
      <c r="K221" s="143"/>
      <c r="L221" s="143"/>
      <c r="M221" s="129"/>
      <c r="N221" s="144"/>
      <c r="O221" s="144"/>
      <c r="P221" s="144"/>
      <c r="Q221" s="143"/>
      <c r="R221" s="353" t="str">
        <f t="shared" si="91"/>
        <v/>
      </c>
      <c r="S221" s="129" t="str">
        <f t="shared" si="86"/>
        <v/>
      </c>
      <c r="T221" s="1226" t="str">
        <f t="shared" si="93"/>
        <v/>
      </c>
      <c r="U221" s="1226" t="str">
        <f t="shared" si="94"/>
        <v/>
      </c>
      <c r="V221" s="353" t="str">
        <f t="shared" si="90"/>
        <v/>
      </c>
      <c r="W221" s="129">
        <v>0</v>
      </c>
      <c r="X221" s="129">
        <v>0</v>
      </c>
      <c r="Y221" s="129" t="str">
        <f t="shared" si="87"/>
        <v/>
      </c>
      <c r="Z221" s="129" t="str">
        <f t="shared" si="88"/>
        <v/>
      </c>
      <c r="AA221" s="145"/>
      <c r="BA221" s="78"/>
      <c r="BB221" s="132" t="s">
        <v>2459</v>
      </c>
      <c r="BC221" s="133"/>
      <c r="BD221" s="132" t="str">
        <f>IF(OR(B221="",BC221=""),"",COUNTIF(BC$8:BC221,"√"))</f>
        <v/>
      </c>
      <c r="BE221" s="134" t="str">
        <f t="shared" si="95"/>
        <v/>
      </c>
      <c r="BF221" s="135" t="str">
        <f t="shared" si="104"/>
        <v/>
      </c>
      <c r="BG221" s="135" t="str">
        <f t="shared" si="104"/>
        <v/>
      </c>
      <c r="BH221" s="136"/>
      <c r="BI221" s="136"/>
      <c r="BJ221" s="136"/>
      <c r="BK221" s="136"/>
      <c r="BL221" s="137"/>
      <c r="BM221" s="137"/>
      <c r="BP221" s="134" t="str">
        <f>IF(COUNTIF(BP$7:BP220,B221)&gt;0,"",B221)&amp;""</f>
        <v/>
      </c>
      <c r="BQ221" s="138">
        <f t="shared" si="96"/>
        <v>0</v>
      </c>
      <c r="BR221" s="132">
        <f t="shared" si="97"/>
        <v>1</v>
      </c>
      <c r="BS221" s="138">
        <f t="shared" si="98"/>
        <v>0</v>
      </c>
      <c r="BT221" s="132">
        <f t="shared" si="99"/>
        <v>2</v>
      </c>
      <c r="BU221" s="133"/>
      <c r="BV221" s="133"/>
      <c r="BX221" s="1256">
        <v>45001</v>
      </c>
      <c r="BY221" s="165">
        <f>IFERROR(LOOKUP(BX221,基础数据!A:D),1)</f>
        <v>3.80882053463966</v>
      </c>
      <c r="BZ221" s="165">
        <f t="shared" ref="BZ221:BZ284" si="105">BY$5/BY221</f>
        <v>0.934073878506601</v>
      </c>
      <c r="CA221" s="165" t="e">
        <f t="shared" ref="CA221:CA284" si="106">ROUND(S221*BZ221,0)</f>
        <v>#VALUE!</v>
      </c>
      <c r="CB221" s="165">
        <f t="shared" si="100"/>
        <v>90</v>
      </c>
      <c r="CC221" s="165" t="e">
        <f t="shared" ref="CC221:CC284" si="107">ROUND(CB221*CA221/100,0)</f>
        <v>#VALUE!</v>
      </c>
      <c r="CD221" s="1257" t="s">
        <v>2237</v>
      </c>
    </row>
    <row r="222" ht="15" customHeight="1" spans="1:82">
      <c r="A222" s="123" t="str">
        <f>IF(B222="","",COUNT(A$7:A221)+1)</f>
        <v/>
      </c>
      <c r="B222" s="139"/>
      <c r="C222" s="139"/>
      <c r="D222" s="141"/>
      <c r="E222" s="126"/>
      <c r="F222" s="142"/>
      <c r="G222" s="127"/>
      <c r="H222" s="128"/>
      <c r="I222" s="128"/>
      <c r="J222" s="980"/>
      <c r="K222" s="143"/>
      <c r="L222" s="143"/>
      <c r="M222" s="129"/>
      <c r="N222" s="144"/>
      <c r="O222" s="144"/>
      <c r="P222" s="144"/>
      <c r="Q222" s="143"/>
      <c r="R222" s="353" t="str">
        <f t="shared" si="91"/>
        <v/>
      </c>
      <c r="S222" s="129" t="str">
        <f t="shared" si="86"/>
        <v/>
      </c>
      <c r="T222" s="1226" t="str">
        <f t="shared" si="93"/>
        <v/>
      </c>
      <c r="U222" s="1226" t="str">
        <f t="shared" si="94"/>
        <v/>
      </c>
      <c r="V222" s="353" t="str">
        <f t="shared" si="90"/>
        <v/>
      </c>
      <c r="W222" s="129">
        <v>0</v>
      </c>
      <c r="X222" s="129">
        <v>0</v>
      </c>
      <c r="Y222" s="129" t="str">
        <f t="shared" si="87"/>
        <v/>
      </c>
      <c r="Z222" s="129" t="str">
        <f t="shared" si="88"/>
        <v/>
      </c>
      <c r="AA222" s="145"/>
      <c r="BA222" s="78"/>
      <c r="BB222" s="132" t="s">
        <v>2460</v>
      </c>
      <c r="BC222" s="133"/>
      <c r="BD222" s="132" t="str">
        <f>IF(OR(B222="",BC222=""),"",COUNTIF(BC$8:BC222,"√"))</f>
        <v/>
      </c>
      <c r="BE222" s="134" t="str">
        <f t="shared" si="95"/>
        <v/>
      </c>
      <c r="BF222" s="135" t="str">
        <f t="shared" si="104"/>
        <v/>
      </c>
      <c r="BG222" s="135" t="str">
        <f t="shared" si="104"/>
        <v/>
      </c>
      <c r="BH222" s="136"/>
      <c r="BI222" s="136"/>
      <c r="BJ222" s="136"/>
      <c r="BK222" s="136"/>
      <c r="BL222" s="137"/>
      <c r="BM222" s="137"/>
      <c r="BP222" s="134" t="str">
        <f>IF(COUNTIF(BP$7:BP221,B222)&gt;0,"",B222)&amp;""</f>
        <v/>
      </c>
      <c r="BQ222" s="138">
        <f t="shared" si="96"/>
        <v>0</v>
      </c>
      <c r="BR222" s="132">
        <f t="shared" si="97"/>
        <v>1</v>
      </c>
      <c r="BS222" s="138">
        <f t="shared" si="98"/>
        <v>0</v>
      </c>
      <c r="BT222" s="132">
        <f t="shared" si="99"/>
        <v>2</v>
      </c>
      <c r="BU222" s="133"/>
      <c r="BV222" s="133"/>
      <c r="BX222" s="1256">
        <v>43100</v>
      </c>
      <c r="BY222" s="165">
        <f>IFERROR(LOOKUP(BX222,基础数据!A:D),1)</f>
        <v>3.53915880885741</v>
      </c>
      <c r="BZ222" s="165">
        <f t="shared" si="105"/>
        <v>1.00524445538375</v>
      </c>
      <c r="CA222" s="165" t="e">
        <f t="shared" si="106"/>
        <v>#VALUE!</v>
      </c>
      <c r="CB222" s="165">
        <f t="shared" si="100"/>
        <v>90</v>
      </c>
      <c r="CC222" s="165" t="e">
        <f t="shared" si="107"/>
        <v>#VALUE!</v>
      </c>
      <c r="CD222" s="1257" t="s">
        <v>2237</v>
      </c>
    </row>
    <row r="223" ht="15" customHeight="1" spans="1:82">
      <c r="A223" s="123" t="str">
        <f>IF(B223="","",COUNT(A$7:A222)+1)</f>
        <v/>
      </c>
      <c r="B223" s="139"/>
      <c r="C223" s="139"/>
      <c r="D223" s="141"/>
      <c r="E223" s="126"/>
      <c r="F223" s="142"/>
      <c r="G223" s="127"/>
      <c r="H223" s="128"/>
      <c r="I223" s="128"/>
      <c r="J223" s="980"/>
      <c r="K223" s="143"/>
      <c r="L223" s="143"/>
      <c r="M223" s="129"/>
      <c r="N223" s="144"/>
      <c r="O223" s="144"/>
      <c r="P223" s="144"/>
      <c r="Q223" s="143"/>
      <c r="R223" s="353" t="str">
        <f t="shared" si="91"/>
        <v/>
      </c>
      <c r="S223" s="129" t="str">
        <f t="shared" si="86"/>
        <v/>
      </c>
      <c r="T223" s="1226" t="str">
        <f t="shared" si="93"/>
        <v/>
      </c>
      <c r="U223" s="1226" t="str">
        <f t="shared" si="94"/>
        <v/>
      </c>
      <c r="V223" s="353" t="str">
        <f t="shared" si="90"/>
        <v/>
      </c>
      <c r="W223" s="129">
        <v>0</v>
      </c>
      <c r="X223" s="129">
        <v>0</v>
      </c>
      <c r="Y223" s="129" t="str">
        <f t="shared" si="87"/>
        <v/>
      </c>
      <c r="Z223" s="129" t="str">
        <f t="shared" si="88"/>
        <v/>
      </c>
      <c r="AA223" s="145"/>
      <c r="BA223" s="78"/>
      <c r="BB223" s="132" t="s">
        <v>2461</v>
      </c>
      <c r="BC223" s="133"/>
      <c r="BD223" s="132" t="str">
        <f>IF(OR(B223="",BC223=""),"",COUNTIF(BC$8:BC223,"√"))</f>
        <v/>
      </c>
      <c r="BE223" s="134" t="str">
        <f t="shared" si="95"/>
        <v/>
      </c>
      <c r="BF223" s="135" t="str">
        <f t="shared" si="104"/>
        <v/>
      </c>
      <c r="BG223" s="135" t="str">
        <f t="shared" si="104"/>
        <v/>
      </c>
      <c r="BH223" s="136"/>
      <c r="BI223" s="136"/>
      <c r="BJ223" s="136"/>
      <c r="BK223" s="136"/>
      <c r="BL223" s="137"/>
      <c r="BM223" s="137"/>
      <c r="BP223" s="134" t="str">
        <f>IF(COUNTIF(BP$7:BP222,B223)&gt;0,"",B223)&amp;""</f>
        <v/>
      </c>
      <c r="BQ223" s="138">
        <f t="shared" si="96"/>
        <v>0</v>
      </c>
      <c r="BR223" s="132">
        <f t="shared" si="97"/>
        <v>1</v>
      </c>
      <c r="BS223" s="138">
        <f t="shared" si="98"/>
        <v>0</v>
      </c>
      <c r="BT223" s="132">
        <f t="shared" si="99"/>
        <v>2</v>
      </c>
      <c r="BU223" s="133"/>
      <c r="BV223" s="133"/>
      <c r="BX223" s="1256">
        <v>43100</v>
      </c>
      <c r="BY223" s="165">
        <f>IFERROR(LOOKUP(BX223,基础数据!A:D),1)</f>
        <v>3.53915880885741</v>
      </c>
      <c r="BZ223" s="165">
        <f t="shared" si="105"/>
        <v>1.00524445538375</v>
      </c>
      <c r="CA223" s="165" t="e">
        <f t="shared" si="106"/>
        <v>#VALUE!</v>
      </c>
      <c r="CB223" s="165">
        <f t="shared" si="100"/>
        <v>90</v>
      </c>
      <c r="CC223" s="165" t="e">
        <f t="shared" si="107"/>
        <v>#VALUE!</v>
      </c>
      <c r="CD223" s="1257" t="s">
        <v>2237</v>
      </c>
    </row>
    <row r="224" ht="15" customHeight="1" spans="1:82">
      <c r="A224" s="123" t="str">
        <f>IF(B224="","",COUNT(A$7:A223)+1)</f>
        <v/>
      </c>
      <c r="B224" s="139"/>
      <c r="C224" s="139"/>
      <c r="D224" s="141"/>
      <c r="E224" s="126"/>
      <c r="F224" s="142"/>
      <c r="G224" s="127"/>
      <c r="H224" s="128"/>
      <c r="I224" s="128"/>
      <c r="J224" s="980"/>
      <c r="K224" s="143"/>
      <c r="L224" s="143"/>
      <c r="M224" s="129"/>
      <c r="N224" s="144"/>
      <c r="O224" s="144"/>
      <c r="P224" s="144"/>
      <c r="Q224" s="143"/>
      <c r="R224" s="353" t="str">
        <f t="shared" si="91"/>
        <v/>
      </c>
      <c r="S224" s="129" t="str">
        <f t="shared" si="86"/>
        <v/>
      </c>
      <c r="T224" s="1226" t="str">
        <f t="shared" si="93"/>
        <v/>
      </c>
      <c r="U224" s="1226" t="str">
        <f t="shared" si="94"/>
        <v/>
      </c>
      <c r="V224" s="353" t="str">
        <f t="shared" si="90"/>
        <v/>
      </c>
      <c r="W224" s="129">
        <v>0</v>
      </c>
      <c r="X224" s="129">
        <v>0</v>
      </c>
      <c r="Y224" s="129" t="str">
        <f t="shared" si="87"/>
        <v/>
      </c>
      <c r="Z224" s="129" t="str">
        <f t="shared" si="88"/>
        <v/>
      </c>
      <c r="AA224" s="145"/>
      <c r="BA224" s="78"/>
      <c r="BB224" s="132" t="s">
        <v>2462</v>
      </c>
      <c r="BC224" s="133"/>
      <c r="BD224" s="132" t="str">
        <f>IF(OR(B224="",BC224=""),"",COUNTIF(BC$8:BC224,"√"))</f>
        <v/>
      </c>
      <c r="BE224" s="134" t="str">
        <f t="shared" si="95"/>
        <v/>
      </c>
      <c r="BF224" s="135" t="str">
        <f t="shared" si="104"/>
        <v/>
      </c>
      <c r="BG224" s="135" t="str">
        <f t="shared" si="104"/>
        <v/>
      </c>
      <c r="BH224" s="136"/>
      <c r="BI224" s="136"/>
      <c r="BJ224" s="136"/>
      <c r="BK224" s="136"/>
      <c r="BL224" s="137"/>
      <c r="BM224" s="137"/>
      <c r="BP224" s="134" t="str">
        <f>IF(COUNTIF(BP$7:BP223,B224)&gt;0,"",B224)&amp;""</f>
        <v/>
      </c>
      <c r="BQ224" s="138">
        <f t="shared" si="96"/>
        <v>0</v>
      </c>
      <c r="BR224" s="132">
        <f t="shared" si="97"/>
        <v>1</v>
      </c>
      <c r="BS224" s="138">
        <f t="shared" si="98"/>
        <v>0</v>
      </c>
      <c r="BT224" s="132">
        <f t="shared" si="99"/>
        <v>2</v>
      </c>
      <c r="BU224" s="133"/>
      <c r="BV224" s="133"/>
      <c r="BX224" s="1256">
        <v>43100</v>
      </c>
      <c r="BY224" s="165">
        <f>IFERROR(LOOKUP(BX224,基础数据!A:D),1)</f>
        <v>3.53915880885741</v>
      </c>
      <c r="BZ224" s="165">
        <f t="shared" si="105"/>
        <v>1.00524445538375</v>
      </c>
      <c r="CA224" s="165" t="e">
        <f t="shared" si="106"/>
        <v>#VALUE!</v>
      </c>
      <c r="CB224" s="165">
        <f t="shared" si="100"/>
        <v>90</v>
      </c>
      <c r="CC224" s="165" t="e">
        <f t="shared" si="107"/>
        <v>#VALUE!</v>
      </c>
      <c r="CD224" s="1257" t="s">
        <v>2237</v>
      </c>
    </row>
    <row r="225" ht="15" customHeight="1" spans="1:82">
      <c r="A225" s="123" t="str">
        <f>IF(B225="","",COUNT(A$7:A224)+1)</f>
        <v/>
      </c>
      <c r="B225" s="139"/>
      <c r="C225" s="139"/>
      <c r="D225" s="141"/>
      <c r="E225" s="126"/>
      <c r="F225" s="142"/>
      <c r="G225" s="127"/>
      <c r="H225" s="128"/>
      <c r="I225" s="128"/>
      <c r="J225" s="980"/>
      <c r="K225" s="143"/>
      <c r="L225" s="143"/>
      <c r="M225" s="129"/>
      <c r="N225" s="144"/>
      <c r="O225" s="144"/>
      <c r="P225" s="144"/>
      <c r="Q225" s="143"/>
      <c r="R225" s="353" t="str">
        <f t="shared" si="91"/>
        <v/>
      </c>
      <c r="S225" s="129" t="str">
        <f t="shared" si="86"/>
        <v/>
      </c>
      <c r="T225" s="1226" t="str">
        <f t="shared" si="93"/>
        <v/>
      </c>
      <c r="U225" s="1226" t="str">
        <f t="shared" si="94"/>
        <v/>
      </c>
      <c r="V225" s="353" t="str">
        <f t="shared" si="90"/>
        <v/>
      </c>
      <c r="W225" s="129">
        <v>0</v>
      </c>
      <c r="X225" s="129">
        <v>0</v>
      </c>
      <c r="Y225" s="129" t="str">
        <f t="shared" si="87"/>
        <v/>
      </c>
      <c r="Z225" s="129" t="str">
        <f t="shared" si="88"/>
        <v/>
      </c>
      <c r="AA225" s="145"/>
      <c r="BA225" s="78"/>
      <c r="BB225" s="132" t="s">
        <v>2463</v>
      </c>
      <c r="BC225" s="133"/>
      <c r="BD225" s="132" t="str">
        <f>IF(OR(B225="",BC225=""),"",COUNTIF(BC$8:BC225,"√"))</f>
        <v/>
      </c>
      <c r="BE225" s="134" t="str">
        <f t="shared" si="95"/>
        <v/>
      </c>
      <c r="BF225" s="135" t="str">
        <f t="shared" si="104"/>
        <v/>
      </c>
      <c r="BG225" s="135" t="str">
        <f t="shared" si="104"/>
        <v/>
      </c>
      <c r="BH225" s="136"/>
      <c r="BI225" s="136"/>
      <c r="BJ225" s="136"/>
      <c r="BK225" s="136"/>
      <c r="BL225" s="137"/>
      <c r="BM225" s="137"/>
      <c r="BP225" s="134" t="str">
        <f>IF(COUNTIF(BP$7:BP224,B225)&gt;0,"",B225)&amp;""</f>
        <v/>
      </c>
      <c r="BQ225" s="138">
        <f t="shared" si="96"/>
        <v>0</v>
      </c>
      <c r="BR225" s="132">
        <f t="shared" si="97"/>
        <v>1</v>
      </c>
      <c r="BS225" s="138">
        <f t="shared" si="98"/>
        <v>0</v>
      </c>
      <c r="BT225" s="132">
        <f t="shared" si="99"/>
        <v>2</v>
      </c>
      <c r="BU225" s="133"/>
      <c r="BV225" s="133"/>
      <c r="BX225" s="1256">
        <v>43100</v>
      </c>
      <c r="BY225" s="165">
        <f>IFERROR(LOOKUP(BX225,基础数据!A:D),1)</f>
        <v>3.53915880885741</v>
      </c>
      <c r="BZ225" s="165">
        <f t="shared" si="105"/>
        <v>1.00524445538375</v>
      </c>
      <c r="CA225" s="165" t="e">
        <f t="shared" si="106"/>
        <v>#VALUE!</v>
      </c>
      <c r="CB225" s="165">
        <v>97</v>
      </c>
      <c r="CC225" s="165" t="e">
        <f t="shared" si="107"/>
        <v>#VALUE!</v>
      </c>
      <c r="CD225" s="1257" t="s">
        <v>2236</v>
      </c>
    </row>
    <row r="226" ht="15" customHeight="1" spans="1:82">
      <c r="A226" s="123" t="str">
        <f>IF(B226="","",COUNT(A$7:A225)+1)</f>
        <v/>
      </c>
      <c r="B226" s="139"/>
      <c r="C226" s="139"/>
      <c r="D226" s="141"/>
      <c r="E226" s="126"/>
      <c r="F226" s="142"/>
      <c r="G226" s="127"/>
      <c r="H226" s="128"/>
      <c r="I226" s="128"/>
      <c r="J226" s="980"/>
      <c r="K226" s="143"/>
      <c r="L226" s="143"/>
      <c r="M226" s="129"/>
      <c r="N226" s="144"/>
      <c r="O226" s="144"/>
      <c r="P226" s="144"/>
      <c r="Q226" s="143"/>
      <c r="R226" s="353" t="str">
        <f t="shared" si="91"/>
        <v/>
      </c>
      <c r="S226" s="129" t="str">
        <f t="shared" si="86"/>
        <v/>
      </c>
      <c r="T226" s="1226" t="str">
        <f t="shared" si="93"/>
        <v/>
      </c>
      <c r="U226" s="1226" t="str">
        <f t="shared" si="94"/>
        <v/>
      </c>
      <c r="V226" s="353" t="str">
        <f t="shared" si="90"/>
        <v/>
      </c>
      <c r="W226" s="129">
        <v>0</v>
      </c>
      <c r="X226" s="129">
        <v>0</v>
      </c>
      <c r="Y226" s="129" t="str">
        <f t="shared" si="87"/>
        <v/>
      </c>
      <c r="Z226" s="129" t="str">
        <f t="shared" si="88"/>
        <v/>
      </c>
      <c r="AA226" s="145"/>
      <c r="BA226" s="78"/>
      <c r="BB226" s="132" t="s">
        <v>2464</v>
      </c>
      <c r="BC226" s="133"/>
      <c r="BD226" s="132" t="str">
        <f>IF(OR(B226="",BC226=""),"",COUNTIF(BC$8:BC226,"√"))</f>
        <v/>
      </c>
      <c r="BE226" s="134" t="str">
        <f t="shared" si="95"/>
        <v/>
      </c>
      <c r="BF226" s="135" t="str">
        <f t="shared" si="104"/>
        <v/>
      </c>
      <c r="BG226" s="135" t="str">
        <f t="shared" si="104"/>
        <v/>
      </c>
      <c r="BH226" s="136"/>
      <c r="BI226" s="136"/>
      <c r="BJ226" s="136"/>
      <c r="BK226" s="136"/>
      <c r="BL226" s="137"/>
      <c r="BM226" s="137"/>
      <c r="BP226" s="134" t="str">
        <f>IF(COUNTIF(BP$7:BP225,B226)&gt;0,"",B226)&amp;""</f>
        <v/>
      </c>
      <c r="BQ226" s="138">
        <f t="shared" si="96"/>
        <v>0</v>
      </c>
      <c r="BR226" s="132">
        <f t="shared" si="97"/>
        <v>1</v>
      </c>
      <c r="BS226" s="138">
        <f t="shared" si="98"/>
        <v>0</v>
      </c>
      <c r="BT226" s="132">
        <f t="shared" si="99"/>
        <v>2</v>
      </c>
      <c r="BU226" s="133"/>
      <c r="BV226" s="133"/>
      <c r="BX226" s="1256">
        <v>45001</v>
      </c>
      <c r="BY226" s="165">
        <f>IFERROR(LOOKUP(BX226,基础数据!A:D),1)</f>
        <v>3.80882053463966</v>
      </c>
      <c r="BZ226" s="165">
        <f t="shared" si="105"/>
        <v>0.934073878506601</v>
      </c>
      <c r="CA226" s="165" t="e">
        <f t="shared" si="106"/>
        <v>#VALUE!</v>
      </c>
      <c r="CB226" s="165">
        <f t="shared" si="100"/>
        <v>90</v>
      </c>
      <c r="CC226" s="165" t="e">
        <f t="shared" si="107"/>
        <v>#VALUE!</v>
      </c>
      <c r="CD226" s="1257" t="s">
        <v>2237</v>
      </c>
    </row>
    <row r="227" ht="15" customHeight="1" spans="1:82">
      <c r="A227" s="123" t="str">
        <f>IF(B227="","",COUNT(A$7:A226)+1)</f>
        <v/>
      </c>
      <c r="B227" s="139"/>
      <c r="C227" s="139"/>
      <c r="D227" s="141"/>
      <c r="E227" s="126"/>
      <c r="F227" s="142"/>
      <c r="G227" s="127"/>
      <c r="H227" s="128"/>
      <c r="I227" s="128"/>
      <c r="J227" s="980"/>
      <c r="K227" s="143"/>
      <c r="L227" s="143"/>
      <c r="M227" s="129"/>
      <c r="N227" s="144"/>
      <c r="O227" s="144"/>
      <c r="P227" s="144"/>
      <c r="Q227" s="143"/>
      <c r="R227" s="353" t="str">
        <f t="shared" si="91"/>
        <v/>
      </c>
      <c r="S227" s="129" t="str">
        <f t="shared" si="86"/>
        <v/>
      </c>
      <c r="T227" s="1226" t="str">
        <f t="shared" si="93"/>
        <v/>
      </c>
      <c r="U227" s="1226" t="str">
        <f t="shared" si="94"/>
        <v/>
      </c>
      <c r="V227" s="353" t="str">
        <f t="shared" si="90"/>
        <v/>
      </c>
      <c r="W227" s="129">
        <v>0</v>
      </c>
      <c r="X227" s="129">
        <v>0</v>
      </c>
      <c r="Y227" s="129" t="str">
        <f t="shared" si="87"/>
        <v/>
      </c>
      <c r="Z227" s="129" t="str">
        <f t="shared" si="88"/>
        <v/>
      </c>
      <c r="AA227" s="145"/>
      <c r="BA227" s="78"/>
      <c r="BB227" s="132" t="s">
        <v>2465</v>
      </c>
      <c r="BC227" s="133"/>
      <c r="BD227" s="132" t="str">
        <f>IF(OR(B227="",BC227=""),"",COUNTIF(BC$8:BC227,"√"))</f>
        <v/>
      </c>
      <c r="BE227" s="134" t="str">
        <f t="shared" si="95"/>
        <v/>
      </c>
      <c r="BF227" s="135" t="str">
        <f t="shared" si="104"/>
        <v/>
      </c>
      <c r="BG227" s="135" t="str">
        <f t="shared" si="104"/>
        <v/>
      </c>
      <c r="BH227" s="136"/>
      <c r="BI227" s="136"/>
      <c r="BJ227" s="136"/>
      <c r="BK227" s="136"/>
      <c r="BL227" s="137"/>
      <c r="BM227" s="137"/>
      <c r="BP227" s="134" t="str">
        <f>IF(COUNTIF(BP$7:BP226,B227)&gt;0,"",B227)&amp;""</f>
        <v/>
      </c>
      <c r="BQ227" s="138">
        <f t="shared" si="96"/>
        <v>0</v>
      </c>
      <c r="BR227" s="132">
        <f t="shared" si="97"/>
        <v>1</v>
      </c>
      <c r="BS227" s="138">
        <f t="shared" si="98"/>
        <v>0</v>
      </c>
      <c r="BT227" s="132">
        <f t="shared" si="99"/>
        <v>2</v>
      </c>
      <c r="BU227" s="133"/>
      <c r="BV227" s="133"/>
      <c r="BX227" s="1256">
        <v>45001</v>
      </c>
      <c r="BY227" s="165">
        <f>IFERROR(LOOKUP(BX227,基础数据!A:D),1)</f>
        <v>3.80882053463966</v>
      </c>
      <c r="BZ227" s="165">
        <f t="shared" si="105"/>
        <v>0.934073878506601</v>
      </c>
      <c r="CA227" s="165" t="e">
        <f t="shared" si="106"/>
        <v>#VALUE!</v>
      </c>
      <c r="CB227" s="165">
        <f t="shared" si="100"/>
        <v>90</v>
      </c>
      <c r="CC227" s="165" t="e">
        <f t="shared" si="107"/>
        <v>#VALUE!</v>
      </c>
      <c r="CD227" s="1257" t="s">
        <v>2237</v>
      </c>
    </row>
    <row r="228" ht="15" customHeight="1" spans="1:82">
      <c r="A228" s="123" t="str">
        <f>IF(B228="","",COUNT(A$7:A227)+1)</f>
        <v/>
      </c>
      <c r="B228" s="139"/>
      <c r="C228" s="139"/>
      <c r="D228" s="141"/>
      <c r="E228" s="126"/>
      <c r="F228" s="142"/>
      <c r="G228" s="127"/>
      <c r="H228" s="128"/>
      <c r="I228" s="128"/>
      <c r="J228" s="980"/>
      <c r="K228" s="143"/>
      <c r="L228" s="143"/>
      <c r="M228" s="129"/>
      <c r="N228" s="144"/>
      <c r="O228" s="144"/>
      <c r="P228" s="144"/>
      <c r="Q228" s="143"/>
      <c r="R228" s="353" t="str">
        <f t="shared" si="91"/>
        <v/>
      </c>
      <c r="S228" s="129" t="str">
        <f t="shared" si="86"/>
        <v/>
      </c>
      <c r="T228" s="1226" t="str">
        <f t="shared" si="93"/>
        <v/>
      </c>
      <c r="U228" s="1226" t="str">
        <f t="shared" si="94"/>
        <v/>
      </c>
      <c r="V228" s="353" t="str">
        <f t="shared" si="90"/>
        <v/>
      </c>
      <c r="W228" s="129">
        <v>0</v>
      </c>
      <c r="X228" s="129">
        <v>0</v>
      </c>
      <c r="Y228" s="129" t="str">
        <f t="shared" si="87"/>
        <v/>
      </c>
      <c r="Z228" s="129" t="str">
        <f t="shared" si="88"/>
        <v/>
      </c>
      <c r="AA228" s="145"/>
      <c r="BA228" s="78"/>
      <c r="BB228" s="132" t="s">
        <v>2466</v>
      </c>
      <c r="BC228" s="133"/>
      <c r="BD228" s="132" t="str">
        <f>IF(OR(B228="",BC228=""),"",COUNTIF(BC$8:BC228,"√"))</f>
        <v/>
      </c>
      <c r="BE228" s="134" t="str">
        <f t="shared" si="95"/>
        <v/>
      </c>
      <c r="BF228" s="135" t="str">
        <f t="shared" si="104"/>
        <v/>
      </c>
      <c r="BG228" s="135" t="str">
        <f t="shared" si="104"/>
        <v/>
      </c>
      <c r="BH228" s="136"/>
      <c r="BI228" s="136"/>
      <c r="BJ228" s="136"/>
      <c r="BK228" s="136"/>
      <c r="BL228" s="137"/>
      <c r="BM228" s="137"/>
      <c r="BP228" s="134" t="str">
        <f>IF(COUNTIF(BP$7:BP227,B228)&gt;0,"",B228)&amp;""</f>
        <v/>
      </c>
      <c r="BQ228" s="138">
        <f t="shared" si="96"/>
        <v>0</v>
      </c>
      <c r="BR228" s="132">
        <f t="shared" si="97"/>
        <v>1</v>
      </c>
      <c r="BS228" s="138">
        <f t="shared" si="98"/>
        <v>0</v>
      </c>
      <c r="BT228" s="132">
        <f t="shared" si="99"/>
        <v>2</v>
      </c>
      <c r="BU228" s="133"/>
      <c r="BV228" s="133"/>
      <c r="BX228" s="1256">
        <v>43100</v>
      </c>
      <c r="BY228" s="165">
        <f>IFERROR(LOOKUP(BX228,基础数据!A:D),1)</f>
        <v>3.53915880885741</v>
      </c>
      <c r="BZ228" s="165">
        <f t="shared" si="105"/>
        <v>1.00524445538375</v>
      </c>
      <c r="CA228" s="165" t="e">
        <f t="shared" si="106"/>
        <v>#VALUE!</v>
      </c>
      <c r="CB228" s="165">
        <f t="shared" si="100"/>
        <v>90</v>
      </c>
      <c r="CC228" s="165" t="e">
        <f t="shared" si="107"/>
        <v>#VALUE!</v>
      </c>
      <c r="CD228" s="1257" t="s">
        <v>2237</v>
      </c>
    </row>
    <row r="229" ht="15" customHeight="1" spans="1:82">
      <c r="A229" s="123" t="str">
        <f>IF(B229="","",COUNT(A$7:A228)+1)</f>
        <v/>
      </c>
      <c r="B229" s="139"/>
      <c r="C229" s="139"/>
      <c r="D229" s="141"/>
      <c r="E229" s="126"/>
      <c r="F229" s="142"/>
      <c r="G229" s="127"/>
      <c r="H229" s="128"/>
      <c r="I229" s="128"/>
      <c r="J229" s="980"/>
      <c r="K229" s="143"/>
      <c r="L229" s="143"/>
      <c r="M229" s="129"/>
      <c r="N229" s="144"/>
      <c r="O229" s="144"/>
      <c r="P229" s="144"/>
      <c r="Q229" s="143"/>
      <c r="R229" s="353" t="str">
        <f t="shared" si="91"/>
        <v/>
      </c>
      <c r="S229" s="129" t="str">
        <f t="shared" si="86"/>
        <v/>
      </c>
      <c r="T229" s="1226" t="str">
        <f t="shared" si="93"/>
        <v/>
      </c>
      <c r="U229" s="1226" t="str">
        <f t="shared" si="94"/>
        <v/>
      </c>
      <c r="V229" s="353" t="str">
        <f t="shared" si="90"/>
        <v/>
      </c>
      <c r="W229" s="129">
        <v>0</v>
      </c>
      <c r="X229" s="129">
        <v>0</v>
      </c>
      <c r="Y229" s="129" t="str">
        <f t="shared" si="87"/>
        <v/>
      </c>
      <c r="Z229" s="129" t="str">
        <f t="shared" si="88"/>
        <v/>
      </c>
      <c r="AA229" s="145"/>
      <c r="BA229" s="78"/>
      <c r="BB229" s="132" t="s">
        <v>2467</v>
      </c>
      <c r="BC229" s="133"/>
      <c r="BD229" s="132" t="str">
        <f>IF(OR(B229="",BC229=""),"",COUNTIF(BC$8:BC229,"√"))</f>
        <v/>
      </c>
      <c r="BE229" s="134" t="str">
        <f t="shared" si="95"/>
        <v/>
      </c>
      <c r="BF229" s="135" t="str">
        <f t="shared" si="104"/>
        <v/>
      </c>
      <c r="BG229" s="135" t="str">
        <f t="shared" si="104"/>
        <v/>
      </c>
      <c r="BH229" s="136"/>
      <c r="BI229" s="136"/>
      <c r="BJ229" s="136"/>
      <c r="BK229" s="136"/>
      <c r="BL229" s="137"/>
      <c r="BM229" s="137"/>
      <c r="BP229" s="134" t="str">
        <f>IF(COUNTIF(BP$7:BP228,B229)&gt;0,"",B229)&amp;""</f>
        <v/>
      </c>
      <c r="BQ229" s="138">
        <f t="shared" si="96"/>
        <v>0</v>
      </c>
      <c r="BR229" s="132">
        <f t="shared" si="97"/>
        <v>1</v>
      </c>
      <c r="BS229" s="138">
        <f t="shared" si="98"/>
        <v>0</v>
      </c>
      <c r="BT229" s="132">
        <f t="shared" si="99"/>
        <v>2</v>
      </c>
      <c r="BU229" s="133"/>
      <c r="BV229" s="133"/>
      <c r="BX229" s="1256">
        <v>43100</v>
      </c>
      <c r="BY229" s="165">
        <f>IFERROR(LOOKUP(BX229,基础数据!A:D),1)</f>
        <v>3.53915880885741</v>
      </c>
      <c r="BZ229" s="165">
        <f t="shared" si="105"/>
        <v>1.00524445538375</v>
      </c>
      <c r="CA229" s="165" t="e">
        <f t="shared" si="106"/>
        <v>#VALUE!</v>
      </c>
      <c r="CB229" s="165">
        <f t="shared" si="100"/>
        <v>90</v>
      </c>
      <c r="CC229" s="165" t="e">
        <f t="shared" si="107"/>
        <v>#VALUE!</v>
      </c>
      <c r="CD229" s="1257" t="s">
        <v>2237</v>
      </c>
    </row>
    <row r="230" ht="15" customHeight="1" spans="1:82">
      <c r="A230" s="123" t="str">
        <f>IF(B230="","",COUNT(A$7:A229)+1)</f>
        <v/>
      </c>
      <c r="B230" s="139"/>
      <c r="C230" s="139"/>
      <c r="D230" s="141"/>
      <c r="E230" s="126"/>
      <c r="F230" s="142"/>
      <c r="G230" s="127"/>
      <c r="H230" s="128"/>
      <c r="I230" s="128"/>
      <c r="J230" s="980"/>
      <c r="K230" s="143"/>
      <c r="L230" s="143"/>
      <c r="M230" s="129"/>
      <c r="N230" s="144"/>
      <c r="O230" s="144"/>
      <c r="P230" s="144"/>
      <c r="Q230" s="143"/>
      <c r="R230" s="353" t="str">
        <f t="shared" si="91"/>
        <v/>
      </c>
      <c r="S230" s="129" t="str">
        <f t="shared" si="86"/>
        <v/>
      </c>
      <c r="T230" s="1226" t="str">
        <f t="shared" si="93"/>
        <v/>
      </c>
      <c r="U230" s="1226" t="str">
        <f t="shared" si="94"/>
        <v/>
      </c>
      <c r="V230" s="353" t="str">
        <f t="shared" si="90"/>
        <v/>
      </c>
      <c r="W230" s="129">
        <v>0</v>
      </c>
      <c r="X230" s="129">
        <v>0</v>
      </c>
      <c r="Y230" s="129" t="str">
        <f t="shared" si="87"/>
        <v/>
      </c>
      <c r="Z230" s="129" t="str">
        <f t="shared" si="88"/>
        <v/>
      </c>
      <c r="AA230" s="145"/>
      <c r="BA230" s="78"/>
      <c r="BB230" s="132" t="s">
        <v>2468</v>
      </c>
      <c r="BC230" s="133"/>
      <c r="BD230" s="132" t="str">
        <f>IF(OR(B230="",BC230=""),"",COUNTIF(BC$8:BC230,"√"))</f>
        <v/>
      </c>
      <c r="BE230" s="134" t="str">
        <f t="shared" si="95"/>
        <v/>
      </c>
      <c r="BF230" s="135" t="str">
        <f t="shared" si="104"/>
        <v/>
      </c>
      <c r="BG230" s="135" t="str">
        <f t="shared" si="104"/>
        <v/>
      </c>
      <c r="BH230" s="136"/>
      <c r="BI230" s="136"/>
      <c r="BJ230" s="136"/>
      <c r="BK230" s="136"/>
      <c r="BL230" s="137"/>
      <c r="BM230" s="137"/>
      <c r="BP230" s="134" t="str">
        <f>IF(COUNTIF(BP$7:BP229,B230)&gt;0,"",B230)&amp;""</f>
        <v/>
      </c>
      <c r="BQ230" s="138">
        <f t="shared" si="96"/>
        <v>0</v>
      </c>
      <c r="BR230" s="132">
        <f t="shared" si="97"/>
        <v>1</v>
      </c>
      <c r="BS230" s="138">
        <f t="shared" si="98"/>
        <v>0</v>
      </c>
      <c r="BT230" s="132">
        <f t="shared" si="99"/>
        <v>2</v>
      </c>
      <c r="BU230" s="133"/>
      <c r="BV230" s="133"/>
      <c r="BX230" s="1256">
        <v>43100</v>
      </c>
      <c r="BY230" s="165">
        <f>IFERROR(LOOKUP(BX230,基础数据!A:D),1)</f>
        <v>3.53915880885741</v>
      </c>
      <c r="BZ230" s="165">
        <f t="shared" si="105"/>
        <v>1.00524445538375</v>
      </c>
      <c r="CA230" s="165" t="e">
        <f t="shared" si="106"/>
        <v>#VALUE!</v>
      </c>
      <c r="CB230" s="165">
        <f t="shared" si="100"/>
        <v>90</v>
      </c>
      <c r="CC230" s="165" t="e">
        <f t="shared" si="107"/>
        <v>#VALUE!</v>
      </c>
      <c r="CD230" s="1257" t="s">
        <v>2237</v>
      </c>
    </row>
    <row r="231" ht="15" customHeight="1" spans="1:82">
      <c r="A231" s="123" t="str">
        <f>IF(B231="","",COUNT(A$7:A230)+1)</f>
        <v/>
      </c>
      <c r="B231" s="139"/>
      <c r="C231" s="139"/>
      <c r="D231" s="141"/>
      <c r="E231" s="126"/>
      <c r="F231" s="142"/>
      <c r="G231" s="127"/>
      <c r="H231" s="128"/>
      <c r="I231" s="128"/>
      <c r="J231" s="980"/>
      <c r="K231" s="143"/>
      <c r="L231" s="143"/>
      <c r="M231" s="129"/>
      <c r="N231" s="144"/>
      <c r="O231" s="144"/>
      <c r="P231" s="144"/>
      <c r="Q231" s="143"/>
      <c r="R231" s="353" t="str">
        <f t="shared" si="91"/>
        <v/>
      </c>
      <c r="S231" s="129" t="str">
        <f t="shared" si="86"/>
        <v/>
      </c>
      <c r="T231" s="1226" t="str">
        <f t="shared" si="93"/>
        <v/>
      </c>
      <c r="U231" s="1226" t="str">
        <f t="shared" si="94"/>
        <v/>
      </c>
      <c r="V231" s="353" t="str">
        <f t="shared" si="90"/>
        <v/>
      </c>
      <c r="W231" s="129">
        <v>0</v>
      </c>
      <c r="X231" s="129">
        <v>0</v>
      </c>
      <c r="Y231" s="129" t="str">
        <f t="shared" si="87"/>
        <v/>
      </c>
      <c r="Z231" s="129" t="str">
        <f t="shared" si="88"/>
        <v/>
      </c>
      <c r="AA231" s="145"/>
      <c r="BA231" s="78"/>
      <c r="BB231" s="132" t="s">
        <v>2469</v>
      </c>
      <c r="BC231" s="133"/>
      <c r="BD231" s="132" t="str">
        <f>IF(OR(B231="",BC231=""),"",COUNTIF(BC$8:BC231,"√"))</f>
        <v/>
      </c>
      <c r="BE231" s="134" t="str">
        <f t="shared" si="95"/>
        <v/>
      </c>
      <c r="BF231" s="135" t="str">
        <f t="shared" si="104"/>
        <v/>
      </c>
      <c r="BG231" s="135" t="str">
        <f t="shared" si="104"/>
        <v/>
      </c>
      <c r="BH231" s="136"/>
      <c r="BI231" s="136"/>
      <c r="BJ231" s="136"/>
      <c r="BK231" s="136"/>
      <c r="BL231" s="137"/>
      <c r="BM231" s="137"/>
      <c r="BP231" s="134" t="str">
        <f>IF(COUNTIF(BP$7:BP230,B231)&gt;0,"",B231)&amp;""</f>
        <v/>
      </c>
      <c r="BQ231" s="138">
        <f t="shared" si="96"/>
        <v>0</v>
      </c>
      <c r="BR231" s="132">
        <f t="shared" si="97"/>
        <v>1</v>
      </c>
      <c r="BS231" s="138">
        <f t="shared" si="98"/>
        <v>0</v>
      </c>
      <c r="BT231" s="132">
        <f t="shared" si="99"/>
        <v>2</v>
      </c>
      <c r="BU231" s="133"/>
      <c r="BV231" s="133"/>
      <c r="BX231" s="1256">
        <v>45001</v>
      </c>
      <c r="BY231" s="165">
        <f>IFERROR(LOOKUP(BX231,基础数据!A:D),1)</f>
        <v>3.80882053463966</v>
      </c>
      <c r="BZ231" s="165">
        <f t="shared" si="105"/>
        <v>0.934073878506601</v>
      </c>
      <c r="CA231" s="165" t="e">
        <f t="shared" si="106"/>
        <v>#VALUE!</v>
      </c>
      <c r="CB231" s="165">
        <f t="shared" si="100"/>
        <v>90</v>
      </c>
      <c r="CC231" s="165" t="e">
        <f t="shared" si="107"/>
        <v>#VALUE!</v>
      </c>
      <c r="CD231" s="1257" t="s">
        <v>2237</v>
      </c>
    </row>
    <row r="232" ht="15" customHeight="1" spans="1:82">
      <c r="A232" s="123" t="str">
        <f>IF(B232="","",COUNT(A$7:A231)+1)</f>
        <v/>
      </c>
      <c r="B232" s="798"/>
      <c r="C232" s="139"/>
      <c r="D232" s="141"/>
      <c r="E232" s="126"/>
      <c r="F232" s="142"/>
      <c r="G232" s="127"/>
      <c r="H232" s="128"/>
      <c r="I232" s="128"/>
      <c r="J232" s="980"/>
      <c r="K232" s="143"/>
      <c r="L232" s="143"/>
      <c r="M232" s="129"/>
      <c r="N232" s="144"/>
      <c r="O232" s="144"/>
      <c r="P232" s="144"/>
      <c r="Q232" s="143"/>
      <c r="R232" s="353" t="str">
        <f t="shared" si="91"/>
        <v/>
      </c>
      <c r="S232" s="129" t="str">
        <f t="shared" si="86"/>
        <v/>
      </c>
      <c r="T232" s="1226" t="str">
        <f t="shared" si="93"/>
        <v/>
      </c>
      <c r="U232" s="1226" t="str">
        <f t="shared" si="94"/>
        <v/>
      </c>
      <c r="V232" s="353" t="str">
        <f t="shared" si="90"/>
        <v/>
      </c>
      <c r="W232" s="129">
        <v>0</v>
      </c>
      <c r="X232" s="129">
        <v>0</v>
      </c>
      <c r="Y232" s="129" t="str">
        <f t="shared" si="87"/>
        <v/>
      </c>
      <c r="Z232" s="129" t="str">
        <f t="shared" si="88"/>
        <v/>
      </c>
      <c r="AA232" s="145"/>
      <c r="BA232" s="78"/>
      <c r="BB232" s="132" t="s">
        <v>2470</v>
      </c>
      <c r="BC232" s="133"/>
      <c r="BD232" s="132" t="str">
        <f>IF(OR(B232="",BC232=""),"",COUNTIF(BC$8:BC232,"√"))</f>
        <v/>
      </c>
      <c r="BE232" s="134" t="str">
        <f t="shared" si="95"/>
        <v/>
      </c>
      <c r="BF232" s="135" t="str">
        <f t="shared" si="104"/>
        <v/>
      </c>
      <c r="BG232" s="135" t="str">
        <f t="shared" si="104"/>
        <v/>
      </c>
      <c r="BH232" s="136"/>
      <c r="BI232" s="136"/>
      <c r="BJ232" s="136"/>
      <c r="BK232" s="136"/>
      <c r="BL232" s="137"/>
      <c r="BM232" s="137"/>
      <c r="BP232" s="134" t="str">
        <f>IF(COUNTIF(BP$7:BP231,B232)&gt;0,"",B232)&amp;""</f>
        <v/>
      </c>
      <c r="BQ232" s="138">
        <f t="shared" si="96"/>
        <v>0</v>
      </c>
      <c r="BR232" s="132">
        <f t="shared" si="97"/>
        <v>1</v>
      </c>
      <c r="BS232" s="138">
        <f t="shared" si="98"/>
        <v>0</v>
      </c>
      <c r="BT232" s="132">
        <f t="shared" si="99"/>
        <v>2</v>
      </c>
      <c r="BU232" s="133"/>
      <c r="BV232" s="133"/>
      <c r="BX232" s="1256">
        <v>43100</v>
      </c>
      <c r="BY232" s="165">
        <f>IFERROR(LOOKUP(BX232,基础数据!A:D),1)</f>
        <v>3.53915880885741</v>
      </c>
      <c r="BZ232" s="165">
        <f t="shared" si="105"/>
        <v>1.00524445538375</v>
      </c>
      <c r="CA232" s="165" t="e">
        <f t="shared" si="106"/>
        <v>#VALUE!</v>
      </c>
      <c r="CB232" s="165">
        <f t="shared" si="100"/>
        <v>90</v>
      </c>
      <c r="CC232" s="165" t="e">
        <f t="shared" si="107"/>
        <v>#VALUE!</v>
      </c>
      <c r="CD232" s="1257" t="s">
        <v>2237</v>
      </c>
    </row>
    <row r="233" ht="15" customHeight="1" spans="1:82">
      <c r="A233" s="123" t="str">
        <f>IF(B233="","",COUNT(A$7:A232)+1)</f>
        <v/>
      </c>
      <c r="B233" s="139"/>
      <c r="C233" s="139"/>
      <c r="D233" s="141"/>
      <c r="E233" s="126"/>
      <c r="F233" s="142"/>
      <c r="G233" s="127"/>
      <c r="H233" s="128"/>
      <c r="I233" s="128"/>
      <c r="J233" s="980"/>
      <c r="K233" s="143"/>
      <c r="L233" s="143"/>
      <c r="M233" s="129"/>
      <c r="N233" s="144"/>
      <c r="O233" s="144"/>
      <c r="P233" s="144"/>
      <c r="Q233" s="143"/>
      <c r="R233" s="353" t="str">
        <f t="shared" si="91"/>
        <v/>
      </c>
      <c r="S233" s="129" t="str">
        <f t="shared" si="86"/>
        <v/>
      </c>
      <c r="T233" s="1226" t="str">
        <f t="shared" si="93"/>
        <v/>
      </c>
      <c r="U233" s="1226" t="str">
        <f t="shared" si="94"/>
        <v/>
      </c>
      <c r="V233" s="353" t="str">
        <f t="shared" si="90"/>
        <v/>
      </c>
      <c r="W233" s="129">
        <v>0</v>
      </c>
      <c r="X233" s="129">
        <v>0</v>
      </c>
      <c r="Y233" s="129" t="str">
        <f t="shared" si="87"/>
        <v/>
      </c>
      <c r="Z233" s="129" t="str">
        <f t="shared" si="88"/>
        <v/>
      </c>
      <c r="AA233" s="145"/>
      <c r="BA233" s="78"/>
      <c r="BB233" s="132" t="s">
        <v>2471</v>
      </c>
      <c r="BC233" s="133"/>
      <c r="BD233" s="132" t="str">
        <f>IF(OR(B233="",BC233=""),"",COUNTIF(BC$8:BC233,"√"))</f>
        <v/>
      </c>
      <c r="BE233" s="134" t="str">
        <f t="shared" si="95"/>
        <v/>
      </c>
      <c r="BF233" s="135" t="str">
        <f t="shared" si="104"/>
        <v/>
      </c>
      <c r="BG233" s="135" t="str">
        <f t="shared" si="104"/>
        <v/>
      </c>
      <c r="BH233" s="136"/>
      <c r="BI233" s="136"/>
      <c r="BJ233" s="136"/>
      <c r="BK233" s="136"/>
      <c r="BL233" s="137"/>
      <c r="BM233" s="137"/>
      <c r="BP233" s="134" t="str">
        <f>IF(COUNTIF(BP$7:BP232,B233)&gt;0,"",B233)&amp;""</f>
        <v/>
      </c>
      <c r="BQ233" s="138">
        <f t="shared" si="96"/>
        <v>0</v>
      </c>
      <c r="BR233" s="132">
        <f t="shared" si="97"/>
        <v>1</v>
      </c>
      <c r="BS233" s="138">
        <f t="shared" si="98"/>
        <v>0</v>
      </c>
      <c r="BT233" s="132">
        <f t="shared" si="99"/>
        <v>2</v>
      </c>
      <c r="BU233" s="133"/>
      <c r="BV233" s="133"/>
      <c r="BX233" s="1256">
        <v>43100</v>
      </c>
      <c r="BY233" s="165">
        <f>IFERROR(LOOKUP(BX233,基础数据!A:D),1)</f>
        <v>3.53915880885741</v>
      </c>
      <c r="BZ233" s="165">
        <f t="shared" si="105"/>
        <v>1.00524445538375</v>
      </c>
      <c r="CA233" s="165" t="e">
        <f t="shared" si="106"/>
        <v>#VALUE!</v>
      </c>
      <c r="CB233" s="165">
        <f t="shared" si="100"/>
        <v>90</v>
      </c>
      <c r="CC233" s="165" t="e">
        <f t="shared" si="107"/>
        <v>#VALUE!</v>
      </c>
      <c r="CD233" s="1257" t="s">
        <v>2237</v>
      </c>
    </row>
    <row r="234" ht="15" customHeight="1" spans="1:82">
      <c r="A234" s="123" t="str">
        <f>IF(B234="","",COUNT(A$7:A233)+1)</f>
        <v/>
      </c>
      <c r="B234" s="139"/>
      <c r="C234" s="139"/>
      <c r="D234" s="141"/>
      <c r="E234" s="126"/>
      <c r="F234" s="142"/>
      <c r="G234" s="127"/>
      <c r="H234" s="128"/>
      <c r="I234" s="128"/>
      <c r="J234" s="980"/>
      <c r="K234" s="143"/>
      <c r="L234" s="143"/>
      <c r="M234" s="129"/>
      <c r="N234" s="144"/>
      <c r="O234" s="144"/>
      <c r="P234" s="144"/>
      <c r="Q234" s="143"/>
      <c r="R234" s="353" t="str">
        <f t="shared" si="91"/>
        <v/>
      </c>
      <c r="S234" s="129" t="str">
        <f t="shared" si="86"/>
        <v/>
      </c>
      <c r="T234" s="1226" t="str">
        <f t="shared" si="93"/>
        <v/>
      </c>
      <c r="U234" s="1226" t="str">
        <f t="shared" si="94"/>
        <v/>
      </c>
      <c r="V234" s="353" t="str">
        <f t="shared" si="90"/>
        <v/>
      </c>
      <c r="W234" s="129">
        <v>0</v>
      </c>
      <c r="X234" s="129">
        <v>0</v>
      </c>
      <c r="Y234" s="129" t="str">
        <f t="shared" si="87"/>
        <v/>
      </c>
      <c r="Z234" s="129" t="str">
        <f t="shared" si="88"/>
        <v/>
      </c>
      <c r="AA234" s="145"/>
      <c r="BA234" s="78"/>
      <c r="BB234" s="132" t="s">
        <v>2472</v>
      </c>
      <c r="BC234" s="133"/>
      <c r="BD234" s="132" t="str">
        <f>IF(OR(B234="",BC234=""),"",COUNTIF(BC$8:BC234,"√"))</f>
        <v/>
      </c>
      <c r="BE234" s="134" t="str">
        <f t="shared" si="95"/>
        <v/>
      </c>
      <c r="BF234" s="135" t="str">
        <f t="shared" si="104"/>
        <v/>
      </c>
      <c r="BG234" s="135" t="str">
        <f t="shared" si="104"/>
        <v/>
      </c>
      <c r="BH234" s="136"/>
      <c r="BI234" s="136"/>
      <c r="BJ234" s="136"/>
      <c r="BK234" s="136"/>
      <c r="BL234" s="137"/>
      <c r="BM234" s="137"/>
      <c r="BP234" s="134" t="str">
        <f>IF(COUNTIF(BP$7:BP233,B234)&gt;0,"",B234)&amp;""</f>
        <v/>
      </c>
      <c r="BQ234" s="138">
        <f t="shared" si="96"/>
        <v>0</v>
      </c>
      <c r="BR234" s="132">
        <f t="shared" si="97"/>
        <v>1</v>
      </c>
      <c r="BS234" s="138">
        <f t="shared" si="98"/>
        <v>0</v>
      </c>
      <c r="BT234" s="132">
        <f t="shared" si="99"/>
        <v>2</v>
      </c>
      <c r="BU234" s="133"/>
      <c r="BV234" s="133"/>
      <c r="BX234" s="1256">
        <v>45001</v>
      </c>
      <c r="BY234" s="165">
        <f>IFERROR(LOOKUP(BX234,基础数据!A:D),1)</f>
        <v>3.80882053463966</v>
      </c>
      <c r="BZ234" s="165">
        <f t="shared" si="105"/>
        <v>0.934073878506601</v>
      </c>
      <c r="CA234" s="165" t="e">
        <f t="shared" si="106"/>
        <v>#VALUE!</v>
      </c>
      <c r="CB234" s="165">
        <f t="shared" si="100"/>
        <v>90</v>
      </c>
      <c r="CC234" s="165" t="e">
        <f t="shared" si="107"/>
        <v>#VALUE!</v>
      </c>
      <c r="CD234" s="1257" t="s">
        <v>2237</v>
      </c>
    </row>
    <row r="235" ht="15" customHeight="1" spans="1:82">
      <c r="A235" s="123" t="str">
        <f>IF(B235="","",COUNT(A$7:A234)+1)</f>
        <v/>
      </c>
      <c r="B235" s="139"/>
      <c r="C235" s="139"/>
      <c r="D235" s="141"/>
      <c r="E235" s="126"/>
      <c r="F235" s="142"/>
      <c r="G235" s="127"/>
      <c r="H235" s="128"/>
      <c r="I235" s="128"/>
      <c r="J235" s="980"/>
      <c r="K235" s="143"/>
      <c r="L235" s="143"/>
      <c r="M235" s="129"/>
      <c r="N235" s="144"/>
      <c r="O235" s="144"/>
      <c r="P235" s="144"/>
      <c r="Q235" s="143"/>
      <c r="R235" s="353" t="str">
        <f t="shared" si="91"/>
        <v/>
      </c>
      <c r="S235" s="129" t="str">
        <f t="shared" si="86"/>
        <v/>
      </c>
      <c r="T235" s="1226" t="str">
        <f t="shared" si="93"/>
        <v/>
      </c>
      <c r="U235" s="1226" t="str">
        <f t="shared" si="94"/>
        <v/>
      </c>
      <c r="V235" s="353" t="str">
        <f t="shared" si="90"/>
        <v/>
      </c>
      <c r="W235" s="129">
        <v>0</v>
      </c>
      <c r="X235" s="129">
        <v>0</v>
      </c>
      <c r="Y235" s="129" t="str">
        <f t="shared" si="87"/>
        <v/>
      </c>
      <c r="Z235" s="129" t="str">
        <f t="shared" si="88"/>
        <v/>
      </c>
      <c r="AA235" s="145"/>
      <c r="BA235" s="78"/>
      <c r="BB235" s="132" t="s">
        <v>2473</v>
      </c>
      <c r="BC235" s="133"/>
      <c r="BD235" s="132" t="str">
        <f>IF(OR(B235="",BC235=""),"",COUNTIF(BC$8:BC235,"√"))</f>
        <v/>
      </c>
      <c r="BE235" s="134" t="str">
        <f t="shared" si="95"/>
        <v/>
      </c>
      <c r="BF235" s="135" t="str">
        <f t="shared" si="104"/>
        <v/>
      </c>
      <c r="BG235" s="135" t="str">
        <f t="shared" si="104"/>
        <v/>
      </c>
      <c r="BH235" s="136"/>
      <c r="BI235" s="136"/>
      <c r="BJ235" s="136"/>
      <c r="BK235" s="136"/>
      <c r="BL235" s="137"/>
      <c r="BM235" s="137"/>
      <c r="BP235" s="134" t="str">
        <f>IF(COUNTIF(BP$7:BP234,B235)&gt;0,"",B235)&amp;""</f>
        <v/>
      </c>
      <c r="BQ235" s="138">
        <f t="shared" si="96"/>
        <v>0</v>
      </c>
      <c r="BR235" s="132">
        <f t="shared" si="97"/>
        <v>1</v>
      </c>
      <c r="BS235" s="138">
        <f t="shared" si="98"/>
        <v>0</v>
      </c>
      <c r="BT235" s="132">
        <f t="shared" si="99"/>
        <v>2</v>
      </c>
      <c r="BU235" s="133"/>
      <c r="BV235" s="133"/>
      <c r="BX235" s="1256">
        <v>45001</v>
      </c>
      <c r="BY235" s="165">
        <f>IFERROR(LOOKUP(BX235,基础数据!A:D),1)</f>
        <v>3.80882053463966</v>
      </c>
      <c r="BZ235" s="165">
        <f t="shared" si="105"/>
        <v>0.934073878506601</v>
      </c>
      <c r="CA235" s="165" t="e">
        <f t="shared" si="106"/>
        <v>#VALUE!</v>
      </c>
      <c r="CB235" s="165">
        <f t="shared" si="100"/>
        <v>90</v>
      </c>
      <c r="CC235" s="165" t="e">
        <f t="shared" si="107"/>
        <v>#VALUE!</v>
      </c>
      <c r="CD235" s="1257" t="s">
        <v>2237</v>
      </c>
    </row>
    <row r="236" ht="15" customHeight="1" spans="1:82">
      <c r="A236" s="123" t="str">
        <f>IF(B236="","",COUNT(A$7:A235)+1)</f>
        <v/>
      </c>
      <c r="B236" s="139"/>
      <c r="C236" s="139"/>
      <c r="D236" s="141"/>
      <c r="E236" s="126"/>
      <c r="F236" s="142"/>
      <c r="G236" s="127"/>
      <c r="H236" s="128"/>
      <c r="I236" s="128"/>
      <c r="J236" s="980"/>
      <c r="K236" s="143"/>
      <c r="L236" s="143"/>
      <c r="M236" s="129"/>
      <c r="N236" s="144"/>
      <c r="O236" s="144"/>
      <c r="P236" s="144"/>
      <c r="Q236" s="143"/>
      <c r="R236" s="353" t="str">
        <f t="shared" si="91"/>
        <v/>
      </c>
      <c r="S236" s="129" t="str">
        <f t="shared" si="86"/>
        <v/>
      </c>
      <c r="T236" s="1226" t="str">
        <f t="shared" si="93"/>
        <v/>
      </c>
      <c r="U236" s="1226" t="str">
        <f t="shared" si="94"/>
        <v/>
      </c>
      <c r="V236" s="353" t="str">
        <f t="shared" si="90"/>
        <v/>
      </c>
      <c r="W236" s="129">
        <v>0</v>
      </c>
      <c r="X236" s="129">
        <v>0</v>
      </c>
      <c r="Y236" s="129" t="str">
        <f t="shared" si="87"/>
        <v/>
      </c>
      <c r="Z236" s="129" t="str">
        <f t="shared" si="88"/>
        <v/>
      </c>
      <c r="AA236" s="145"/>
      <c r="BA236" s="78"/>
      <c r="BB236" s="132" t="s">
        <v>2474</v>
      </c>
      <c r="BC236" s="133"/>
      <c r="BD236" s="132" t="str">
        <f>IF(OR(B236="",BC236=""),"",COUNTIF(BC$8:BC236,"√"))</f>
        <v/>
      </c>
      <c r="BE236" s="134" t="str">
        <f t="shared" si="95"/>
        <v/>
      </c>
      <c r="BF236" s="135" t="str">
        <f t="shared" si="104"/>
        <v/>
      </c>
      <c r="BG236" s="135" t="str">
        <f t="shared" si="104"/>
        <v/>
      </c>
      <c r="BH236" s="136"/>
      <c r="BI236" s="136"/>
      <c r="BJ236" s="136"/>
      <c r="BK236" s="136"/>
      <c r="BL236" s="137"/>
      <c r="BM236" s="137"/>
      <c r="BP236" s="134" t="str">
        <f>IF(COUNTIF(BP$7:BP235,B236)&gt;0,"",B236)&amp;""</f>
        <v/>
      </c>
      <c r="BQ236" s="138">
        <f t="shared" si="96"/>
        <v>0</v>
      </c>
      <c r="BR236" s="132">
        <f t="shared" si="97"/>
        <v>1</v>
      </c>
      <c r="BS236" s="138">
        <f t="shared" si="98"/>
        <v>0</v>
      </c>
      <c r="BT236" s="132">
        <f t="shared" si="99"/>
        <v>2</v>
      </c>
      <c r="BU236" s="133"/>
      <c r="BV236" s="133"/>
      <c r="BX236" s="1256">
        <v>43100</v>
      </c>
      <c r="BY236" s="165">
        <f>IFERROR(LOOKUP(BX236,基础数据!A:D),1)</f>
        <v>3.53915880885741</v>
      </c>
      <c r="BZ236" s="165">
        <f t="shared" si="105"/>
        <v>1.00524445538375</v>
      </c>
      <c r="CA236" s="165" t="e">
        <f t="shared" si="106"/>
        <v>#VALUE!</v>
      </c>
      <c r="CB236" s="165">
        <v>97</v>
      </c>
      <c r="CC236" s="165" t="e">
        <f t="shared" si="107"/>
        <v>#VALUE!</v>
      </c>
      <c r="CD236" s="1257" t="s">
        <v>2236</v>
      </c>
    </row>
    <row r="237" ht="15" customHeight="1" spans="1:82">
      <c r="A237" s="123" t="str">
        <f>IF(B237="","",COUNT(A$7:A236)+1)</f>
        <v/>
      </c>
      <c r="B237" s="139"/>
      <c r="C237" s="139"/>
      <c r="D237" s="141"/>
      <c r="E237" s="126"/>
      <c r="F237" s="142"/>
      <c r="G237" s="127"/>
      <c r="H237" s="128"/>
      <c r="I237" s="128"/>
      <c r="J237" s="980"/>
      <c r="K237" s="143"/>
      <c r="L237" s="143"/>
      <c r="M237" s="129"/>
      <c r="N237" s="144"/>
      <c r="O237" s="144"/>
      <c r="P237" s="144"/>
      <c r="Q237" s="143"/>
      <c r="R237" s="353" t="str">
        <f t="shared" si="91"/>
        <v/>
      </c>
      <c r="S237" s="129" t="str">
        <f t="shared" si="86"/>
        <v/>
      </c>
      <c r="T237" s="1226" t="str">
        <f t="shared" si="93"/>
        <v/>
      </c>
      <c r="U237" s="1226" t="str">
        <f t="shared" si="94"/>
        <v/>
      </c>
      <c r="V237" s="353" t="str">
        <f t="shared" si="90"/>
        <v/>
      </c>
      <c r="W237" s="129">
        <v>0</v>
      </c>
      <c r="X237" s="129">
        <v>0</v>
      </c>
      <c r="Y237" s="129" t="str">
        <f t="shared" si="87"/>
        <v/>
      </c>
      <c r="Z237" s="129" t="str">
        <f t="shared" si="88"/>
        <v/>
      </c>
      <c r="AA237" s="145"/>
      <c r="BA237" s="78"/>
      <c r="BB237" s="132" t="s">
        <v>2475</v>
      </c>
      <c r="BC237" s="133"/>
      <c r="BD237" s="132" t="str">
        <f>IF(OR(B237="",BC237=""),"",COUNTIF(BC$8:BC237,"√"))</f>
        <v/>
      </c>
      <c r="BE237" s="134" t="str">
        <f t="shared" si="95"/>
        <v/>
      </c>
      <c r="BF237" s="135" t="str">
        <f t="shared" si="104"/>
        <v/>
      </c>
      <c r="BG237" s="135" t="str">
        <f t="shared" si="104"/>
        <v/>
      </c>
      <c r="BH237" s="136"/>
      <c r="BI237" s="136"/>
      <c r="BJ237" s="136"/>
      <c r="BK237" s="136"/>
      <c r="BL237" s="137"/>
      <c r="BM237" s="137"/>
      <c r="BP237" s="134" t="str">
        <f>IF(COUNTIF(BP$7:BP236,B237)&gt;0,"",B237)&amp;""</f>
        <v/>
      </c>
      <c r="BQ237" s="138">
        <f t="shared" si="96"/>
        <v>0</v>
      </c>
      <c r="BR237" s="132">
        <f t="shared" si="97"/>
        <v>1</v>
      </c>
      <c r="BS237" s="138">
        <f t="shared" si="98"/>
        <v>0</v>
      </c>
      <c r="BT237" s="132">
        <f t="shared" si="99"/>
        <v>2</v>
      </c>
      <c r="BU237" s="133"/>
      <c r="BV237" s="133"/>
      <c r="BX237" s="1256">
        <v>43100</v>
      </c>
      <c r="BY237" s="165">
        <f>IFERROR(LOOKUP(BX237,基础数据!A:D),1)</f>
        <v>3.53915880885741</v>
      </c>
      <c r="BZ237" s="165">
        <f t="shared" si="105"/>
        <v>1.00524445538375</v>
      </c>
      <c r="CA237" s="165" t="e">
        <f t="shared" si="106"/>
        <v>#VALUE!</v>
      </c>
      <c r="CB237" s="165">
        <v>97</v>
      </c>
      <c r="CC237" s="165" t="e">
        <f t="shared" si="107"/>
        <v>#VALUE!</v>
      </c>
      <c r="CD237" s="1257" t="s">
        <v>2236</v>
      </c>
    </row>
    <row r="238" ht="15" customHeight="1" spans="1:82">
      <c r="A238" s="123" t="str">
        <f>IF(B238="","",COUNT(A$7:A237)+1)</f>
        <v/>
      </c>
      <c r="B238" s="139"/>
      <c r="C238" s="139"/>
      <c r="D238" s="141"/>
      <c r="E238" s="126"/>
      <c r="F238" s="142"/>
      <c r="G238" s="127"/>
      <c r="H238" s="128"/>
      <c r="I238" s="128"/>
      <c r="J238" s="980"/>
      <c r="K238" s="143"/>
      <c r="L238" s="143"/>
      <c r="M238" s="129"/>
      <c r="N238" s="144"/>
      <c r="O238" s="144"/>
      <c r="P238" s="144"/>
      <c r="Q238" s="143"/>
      <c r="R238" s="353" t="str">
        <f t="shared" si="91"/>
        <v/>
      </c>
      <c r="S238" s="129" t="str">
        <f t="shared" ref="S238:S300" si="108">IFERROR(T238/R238,"")</f>
        <v/>
      </c>
      <c r="T238" s="1226" t="str">
        <f t="shared" si="93"/>
        <v/>
      </c>
      <c r="U238" s="1226" t="str">
        <f t="shared" si="94"/>
        <v/>
      </c>
      <c r="V238" s="353" t="str">
        <f t="shared" si="90"/>
        <v/>
      </c>
      <c r="W238" s="129">
        <v>0</v>
      </c>
      <c r="X238" s="129">
        <v>0</v>
      </c>
      <c r="Y238" s="129" t="str">
        <f t="shared" ref="Y238:Y300" si="109">IFERROR(X238-(T238-U238),"")</f>
        <v/>
      </c>
      <c r="Z238" s="129" t="str">
        <f t="shared" ref="Z238:Z300" si="110">IFERROR(Y238/(T238-U238)*100,"")</f>
        <v/>
      </c>
      <c r="AA238" s="145"/>
      <c r="BA238" s="78"/>
      <c r="BB238" s="132" t="s">
        <v>2476</v>
      </c>
      <c r="BC238" s="133"/>
      <c r="BD238" s="132" t="str">
        <f>IF(OR(B238="",BC238=""),"",COUNTIF(BC$8:BC238,"√"))</f>
        <v/>
      </c>
      <c r="BE238" s="134" t="str">
        <f t="shared" si="95"/>
        <v/>
      </c>
      <c r="BF238" s="135" t="str">
        <f t="shared" si="104"/>
        <v/>
      </c>
      <c r="BG238" s="135" t="str">
        <f t="shared" si="104"/>
        <v/>
      </c>
      <c r="BH238" s="136"/>
      <c r="BI238" s="136"/>
      <c r="BJ238" s="136"/>
      <c r="BK238" s="136"/>
      <c r="BL238" s="137"/>
      <c r="BM238" s="137"/>
      <c r="BP238" s="134" t="str">
        <f>IF(COUNTIF(BP$7:BP237,B238)&gt;0,"",B238)&amp;""</f>
        <v/>
      </c>
      <c r="BQ238" s="138">
        <f t="shared" si="96"/>
        <v>0</v>
      </c>
      <c r="BR238" s="132">
        <f t="shared" si="97"/>
        <v>1</v>
      </c>
      <c r="BS238" s="138">
        <f t="shared" si="98"/>
        <v>0</v>
      </c>
      <c r="BT238" s="132">
        <f t="shared" si="99"/>
        <v>2</v>
      </c>
      <c r="BU238" s="133"/>
      <c r="BV238" s="133"/>
      <c r="BX238" s="1256">
        <v>43100</v>
      </c>
      <c r="BY238" s="165">
        <f>IFERROR(LOOKUP(BX238,基础数据!A:D),1)</f>
        <v>3.53915880885741</v>
      </c>
      <c r="BZ238" s="165">
        <f t="shared" si="105"/>
        <v>1.00524445538375</v>
      </c>
      <c r="CA238" s="165" t="e">
        <f t="shared" si="106"/>
        <v>#VALUE!</v>
      </c>
      <c r="CB238" s="165">
        <v>97</v>
      </c>
      <c r="CC238" s="165" t="e">
        <f t="shared" si="107"/>
        <v>#VALUE!</v>
      </c>
      <c r="CD238" s="1257" t="s">
        <v>2236</v>
      </c>
    </row>
    <row r="239" ht="15" customHeight="1" spans="1:82">
      <c r="A239" s="123" t="str">
        <f>IF(B239="","",COUNT(A$7:A238)+1)</f>
        <v/>
      </c>
      <c r="B239" s="139"/>
      <c r="C239" s="139"/>
      <c r="D239" s="141"/>
      <c r="E239" s="126"/>
      <c r="F239" s="142"/>
      <c r="G239" s="127"/>
      <c r="H239" s="128"/>
      <c r="I239" s="128"/>
      <c r="J239" s="980"/>
      <c r="K239" s="143"/>
      <c r="L239" s="143"/>
      <c r="M239" s="129"/>
      <c r="N239" s="144"/>
      <c r="O239" s="144"/>
      <c r="P239" s="144"/>
      <c r="Q239" s="143"/>
      <c r="R239" s="353" t="str">
        <f t="shared" si="91"/>
        <v/>
      </c>
      <c r="S239" s="129" t="str">
        <f t="shared" si="108"/>
        <v/>
      </c>
      <c r="T239" s="1226" t="str">
        <f t="shared" si="93"/>
        <v/>
      </c>
      <c r="U239" s="1226" t="str">
        <f t="shared" si="94"/>
        <v/>
      </c>
      <c r="V239" s="353" t="str">
        <f t="shared" si="90"/>
        <v/>
      </c>
      <c r="W239" s="129">
        <v>0</v>
      </c>
      <c r="X239" s="129">
        <v>0</v>
      </c>
      <c r="Y239" s="129" t="str">
        <f t="shared" si="109"/>
        <v/>
      </c>
      <c r="Z239" s="129" t="str">
        <f t="shared" si="110"/>
        <v/>
      </c>
      <c r="AA239" s="145"/>
      <c r="BA239" s="78"/>
      <c r="BB239" s="132" t="s">
        <v>2477</v>
      </c>
      <c r="BC239" s="133"/>
      <c r="BD239" s="132" t="str">
        <f>IF(OR(B239="",BC239=""),"",COUNTIF(BC$8:BC239,"√"))</f>
        <v/>
      </c>
      <c r="BE239" s="134" t="str">
        <f t="shared" si="95"/>
        <v/>
      </c>
      <c r="BF239" s="135" t="str">
        <f t="shared" si="104"/>
        <v/>
      </c>
      <c r="BG239" s="135" t="str">
        <f t="shared" si="104"/>
        <v/>
      </c>
      <c r="BH239" s="136"/>
      <c r="BI239" s="136"/>
      <c r="BJ239" s="136"/>
      <c r="BK239" s="136"/>
      <c r="BL239" s="137"/>
      <c r="BM239" s="137"/>
      <c r="BP239" s="134" t="str">
        <f>IF(COUNTIF(BP$7:BP238,B239)&gt;0,"",B239)&amp;""</f>
        <v/>
      </c>
      <c r="BQ239" s="138">
        <f t="shared" si="96"/>
        <v>0</v>
      </c>
      <c r="BR239" s="132">
        <f t="shared" si="97"/>
        <v>1</v>
      </c>
      <c r="BS239" s="138">
        <f t="shared" si="98"/>
        <v>0</v>
      </c>
      <c r="BT239" s="132">
        <f t="shared" si="99"/>
        <v>2</v>
      </c>
      <c r="BU239" s="133"/>
      <c r="BV239" s="133"/>
      <c r="BX239" s="1256">
        <v>43100</v>
      </c>
      <c r="BY239" s="165">
        <f>IFERROR(LOOKUP(BX239,基础数据!A:D),1)</f>
        <v>3.53915880885741</v>
      </c>
      <c r="BZ239" s="165">
        <f t="shared" si="105"/>
        <v>1.00524445538375</v>
      </c>
      <c r="CA239" s="165" t="e">
        <f t="shared" si="106"/>
        <v>#VALUE!</v>
      </c>
      <c r="CB239" s="165">
        <v>97</v>
      </c>
      <c r="CC239" s="165" t="e">
        <f t="shared" si="107"/>
        <v>#VALUE!</v>
      </c>
      <c r="CD239" s="1257" t="s">
        <v>2236</v>
      </c>
    </row>
    <row r="240" ht="15" customHeight="1" spans="1:82">
      <c r="A240" s="123" t="str">
        <f>IF(B240="","",COUNT(A$7:A239)+1)</f>
        <v/>
      </c>
      <c r="B240" s="139"/>
      <c r="C240" s="139"/>
      <c r="D240" s="141"/>
      <c r="E240" s="126"/>
      <c r="F240" s="142"/>
      <c r="G240" s="127"/>
      <c r="H240" s="128"/>
      <c r="I240" s="128"/>
      <c r="J240" s="980"/>
      <c r="K240" s="143"/>
      <c r="L240" s="143"/>
      <c r="M240" s="129"/>
      <c r="N240" s="144"/>
      <c r="O240" s="144"/>
      <c r="P240" s="144"/>
      <c r="Q240" s="143"/>
      <c r="R240" s="353" t="str">
        <f t="shared" si="91"/>
        <v/>
      </c>
      <c r="S240" s="129" t="str">
        <f t="shared" si="108"/>
        <v/>
      </c>
      <c r="T240" s="1226" t="str">
        <f t="shared" si="93"/>
        <v/>
      </c>
      <c r="U240" s="1226" t="str">
        <f t="shared" si="94"/>
        <v/>
      </c>
      <c r="V240" s="353" t="str">
        <f t="shared" si="90"/>
        <v/>
      </c>
      <c r="W240" s="129">
        <v>0</v>
      </c>
      <c r="X240" s="129">
        <v>0</v>
      </c>
      <c r="Y240" s="129" t="str">
        <f t="shared" si="109"/>
        <v/>
      </c>
      <c r="Z240" s="129" t="str">
        <f t="shared" si="110"/>
        <v/>
      </c>
      <c r="AA240" s="145"/>
      <c r="BA240" s="78"/>
      <c r="BB240" s="132" t="s">
        <v>2478</v>
      </c>
      <c r="BC240" s="133"/>
      <c r="BD240" s="132" t="str">
        <f>IF(OR(B240="",BC240=""),"",COUNTIF(BC$8:BC240,"√"))</f>
        <v/>
      </c>
      <c r="BE240" s="134" t="str">
        <f t="shared" si="95"/>
        <v/>
      </c>
      <c r="BF240" s="135" t="str">
        <f t="shared" si="104"/>
        <v/>
      </c>
      <c r="BG240" s="135" t="str">
        <f t="shared" si="104"/>
        <v/>
      </c>
      <c r="BH240" s="136"/>
      <c r="BI240" s="136"/>
      <c r="BJ240" s="136"/>
      <c r="BK240" s="136"/>
      <c r="BL240" s="137"/>
      <c r="BM240" s="137"/>
      <c r="BP240" s="134" t="str">
        <f>IF(COUNTIF(BP$7:BP239,B240)&gt;0,"",B240)&amp;""</f>
        <v/>
      </c>
      <c r="BQ240" s="138">
        <f t="shared" si="96"/>
        <v>0</v>
      </c>
      <c r="BR240" s="132">
        <f t="shared" si="97"/>
        <v>1</v>
      </c>
      <c r="BS240" s="138">
        <f t="shared" si="98"/>
        <v>0</v>
      </c>
      <c r="BT240" s="132">
        <f t="shared" si="99"/>
        <v>2</v>
      </c>
      <c r="BU240" s="133"/>
      <c r="BV240" s="133"/>
      <c r="BX240" s="1256">
        <v>43100</v>
      </c>
      <c r="BY240" s="165">
        <f>IFERROR(LOOKUP(BX240,基础数据!A:D),1)</f>
        <v>3.53915880885741</v>
      </c>
      <c r="BZ240" s="165">
        <f t="shared" si="105"/>
        <v>1.00524445538375</v>
      </c>
      <c r="CA240" s="165" t="e">
        <f t="shared" si="106"/>
        <v>#VALUE!</v>
      </c>
      <c r="CB240" s="165">
        <v>97</v>
      </c>
      <c r="CC240" s="165" t="e">
        <f t="shared" si="107"/>
        <v>#VALUE!</v>
      </c>
      <c r="CD240" s="1257" t="s">
        <v>2236</v>
      </c>
    </row>
    <row r="241" ht="15" customHeight="1" spans="1:82">
      <c r="A241" s="123" t="str">
        <f>IF(B241="","",COUNT(A$7:A240)+1)</f>
        <v/>
      </c>
      <c r="B241" s="139"/>
      <c r="C241" s="139"/>
      <c r="D241" s="141"/>
      <c r="E241" s="126"/>
      <c r="F241" s="142"/>
      <c r="G241" s="127"/>
      <c r="H241" s="128"/>
      <c r="I241" s="128"/>
      <c r="J241" s="980"/>
      <c r="K241" s="143"/>
      <c r="L241" s="143"/>
      <c r="M241" s="129"/>
      <c r="N241" s="144"/>
      <c r="O241" s="144"/>
      <c r="P241" s="144"/>
      <c r="Q241" s="143"/>
      <c r="R241" s="353" t="str">
        <f t="shared" si="91"/>
        <v/>
      </c>
      <c r="S241" s="129" t="str">
        <f t="shared" si="108"/>
        <v/>
      </c>
      <c r="T241" s="1226" t="str">
        <f t="shared" si="93"/>
        <v/>
      </c>
      <c r="U241" s="1226" t="str">
        <f t="shared" si="94"/>
        <v/>
      </c>
      <c r="V241" s="353" t="str">
        <f t="shared" si="90"/>
        <v/>
      </c>
      <c r="W241" s="129">
        <v>0</v>
      </c>
      <c r="X241" s="129">
        <v>0</v>
      </c>
      <c r="Y241" s="129" t="str">
        <f t="shared" si="109"/>
        <v/>
      </c>
      <c r="Z241" s="129" t="str">
        <f t="shared" si="110"/>
        <v/>
      </c>
      <c r="AA241" s="145"/>
      <c r="BA241" s="78"/>
      <c r="BB241" s="132" t="s">
        <v>2479</v>
      </c>
      <c r="BC241" s="133"/>
      <c r="BD241" s="132" t="str">
        <f>IF(OR(B241="",BC241=""),"",COUNTIF(BC$8:BC241,"√"))</f>
        <v/>
      </c>
      <c r="BE241" s="134" t="str">
        <f t="shared" si="95"/>
        <v/>
      </c>
      <c r="BF241" s="135" t="str">
        <f t="shared" si="104"/>
        <v/>
      </c>
      <c r="BG241" s="135" t="str">
        <f t="shared" si="104"/>
        <v/>
      </c>
      <c r="BH241" s="136"/>
      <c r="BI241" s="136"/>
      <c r="BJ241" s="136"/>
      <c r="BK241" s="136"/>
      <c r="BL241" s="137"/>
      <c r="BM241" s="137"/>
      <c r="BP241" s="134" t="str">
        <f>IF(COUNTIF(BP$7:BP240,B241)&gt;0,"",B241)&amp;""</f>
        <v/>
      </c>
      <c r="BQ241" s="138">
        <f t="shared" si="96"/>
        <v>0</v>
      </c>
      <c r="BR241" s="132">
        <f t="shared" si="97"/>
        <v>1</v>
      </c>
      <c r="BS241" s="138">
        <f t="shared" si="98"/>
        <v>0</v>
      </c>
      <c r="BT241" s="132">
        <f t="shared" si="99"/>
        <v>2</v>
      </c>
      <c r="BU241" s="133"/>
      <c r="BV241" s="133"/>
      <c r="BX241" s="1256">
        <v>43100</v>
      </c>
      <c r="BY241" s="165">
        <f>IFERROR(LOOKUP(BX241,基础数据!A:D),1)</f>
        <v>3.53915880885741</v>
      </c>
      <c r="BZ241" s="165">
        <f t="shared" si="105"/>
        <v>1.00524445538375</v>
      </c>
      <c r="CA241" s="165" t="e">
        <f t="shared" si="106"/>
        <v>#VALUE!</v>
      </c>
      <c r="CB241" s="165">
        <v>97</v>
      </c>
      <c r="CC241" s="165" t="e">
        <f t="shared" si="107"/>
        <v>#VALUE!</v>
      </c>
      <c r="CD241" s="1257" t="s">
        <v>2236</v>
      </c>
    </row>
    <row r="242" ht="15" customHeight="1" spans="1:82">
      <c r="A242" s="123" t="str">
        <f>IF(B242="","",COUNT(A$7:A241)+1)</f>
        <v/>
      </c>
      <c r="B242" s="139"/>
      <c r="C242" s="139"/>
      <c r="D242" s="141"/>
      <c r="E242" s="126"/>
      <c r="F242" s="142"/>
      <c r="G242" s="127"/>
      <c r="H242" s="128"/>
      <c r="I242" s="128"/>
      <c r="J242" s="980"/>
      <c r="K242" s="143"/>
      <c r="L242" s="143"/>
      <c r="M242" s="129"/>
      <c r="N242" s="144"/>
      <c r="O242" s="144"/>
      <c r="P242" s="144"/>
      <c r="Q242" s="143"/>
      <c r="R242" s="353" t="str">
        <f t="shared" si="91"/>
        <v/>
      </c>
      <c r="S242" s="129" t="str">
        <f t="shared" si="108"/>
        <v/>
      </c>
      <c r="T242" s="1226" t="str">
        <f t="shared" si="93"/>
        <v/>
      </c>
      <c r="U242" s="1226" t="str">
        <f t="shared" si="94"/>
        <v/>
      </c>
      <c r="V242" s="353" t="str">
        <f t="shared" si="90"/>
        <v/>
      </c>
      <c r="W242" s="129">
        <v>0</v>
      </c>
      <c r="X242" s="129">
        <v>0</v>
      </c>
      <c r="Y242" s="129" t="str">
        <f t="shared" si="109"/>
        <v/>
      </c>
      <c r="Z242" s="129" t="str">
        <f t="shared" si="110"/>
        <v/>
      </c>
      <c r="AA242" s="145"/>
      <c r="BA242" s="78"/>
      <c r="BB242" s="132" t="s">
        <v>2480</v>
      </c>
      <c r="BC242" s="133"/>
      <c r="BD242" s="132" t="str">
        <f>IF(OR(B242="",BC242=""),"",COUNTIF(BC$8:BC242,"√"))</f>
        <v/>
      </c>
      <c r="BE242" s="134" t="str">
        <f t="shared" si="95"/>
        <v/>
      </c>
      <c r="BF242" s="135" t="str">
        <f t="shared" si="104"/>
        <v/>
      </c>
      <c r="BG242" s="135" t="str">
        <f t="shared" si="104"/>
        <v/>
      </c>
      <c r="BH242" s="136"/>
      <c r="BI242" s="136"/>
      <c r="BJ242" s="136"/>
      <c r="BK242" s="136"/>
      <c r="BL242" s="137"/>
      <c r="BM242" s="137"/>
      <c r="BP242" s="134" t="str">
        <f>IF(COUNTIF(BP$7:BP241,B242)&gt;0,"",B242)&amp;""</f>
        <v/>
      </c>
      <c r="BQ242" s="138">
        <f t="shared" si="96"/>
        <v>0</v>
      </c>
      <c r="BR242" s="132">
        <f t="shared" si="97"/>
        <v>1</v>
      </c>
      <c r="BS242" s="138">
        <f t="shared" si="98"/>
        <v>0</v>
      </c>
      <c r="BT242" s="132">
        <f t="shared" si="99"/>
        <v>2</v>
      </c>
      <c r="BU242" s="133"/>
      <c r="BV242" s="133"/>
      <c r="BX242" s="1256">
        <v>45001</v>
      </c>
      <c r="BY242" s="165">
        <f>IFERROR(LOOKUP(BX242,基础数据!A:D),1)</f>
        <v>3.80882053463966</v>
      </c>
      <c r="BZ242" s="165">
        <f t="shared" si="105"/>
        <v>0.934073878506601</v>
      </c>
      <c r="CA242" s="165" t="e">
        <f t="shared" si="106"/>
        <v>#VALUE!</v>
      </c>
      <c r="CB242" s="165">
        <v>97</v>
      </c>
      <c r="CC242" s="165" t="e">
        <f t="shared" si="107"/>
        <v>#VALUE!</v>
      </c>
      <c r="CD242" s="1257" t="s">
        <v>2236</v>
      </c>
    </row>
    <row r="243" ht="15" customHeight="1" spans="1:82">
      <c r="A243" s="123" t="str">
        <f>IF(B243="","",COUNT(A$7:A242)+1)</f>
        <v/>
      </c>
      <c r="B243" s="139"/>
      <c r="C243" s="139"/>
      <c r="D243" s="141"/>
      <c r="E243" s="126"/>
      <c r="F243" s="142"/>
      <c r="G243" s="127"/>
      <c r="H243" s="128"/>
      <c r="I243" s="128"/>
      <c r="J243" s="980"/>
      <c r="K243" s="143"/>
      <c r="L243" s="143"/>
      <c r="M243" s="129"/>
      <c r="N243" s="144"/>
      <c r="O243" s="144"/>
      <c r="P243" s="144"/>
      <c r="Q243" s="143"/>
      <c r="R243" s="353" t="str">
        <f t="shared" si="91"/>
        <v/>
      </c>
      <c r="S243" s="129" t="str">
        <f t="shared" si="108"/>
        <v/>
      </c>
      <c r="T243" s="1226" t="str">
        <f t="shared" si="93"/>
        <v/>
      </c>
      <c r="U243" s="1226" t="str">
        <f t="shared" si="94"/>
        <v/>
      </c>
      <c r="V243" s="353" t="str">
        <f t="shared" si="90"/>
        <v/>
      </c>
      <c r="W243" s="129">
        <v>0</v>
      </c>
      <c r="X243" s="129">
        <v>0</v>
      </c>
      <c r="Y243" s="129" t="str">
        <f t="shared" si="109"/>
        <v/>
      </c>
      <c r="Z243" s="129" t="str">
        <f t="shared" si="110"/>
        <v/>
      </c>
      <c r="AA243" s="145"/>
      <c r="BA243" s="78"/>
      <c r="BB243" s="132" t="s">
        <v>2481</v>
      </c>
      <c r="BC243" s="133"/>
      <c r="BD243" s="132" t="str">
        <f>IF(OR(B243="",BC243=""),"",COUNTIF(BC$8:BC243,"√"))</f>
        <v/>
      </c>
      <c r="BE243" s="134" t="str">
        <f t="shared" si="95"/>
        <v/>
      </c>
      <c r="BF243" s="135" t="str">
        <f t="shared" si="104"/>
        <v/>
      </c>
      <c r="BG243" s="135" t="str">
        <f t="shared" si="104"/>
        <v/>
      </c>
      <c r="BH243" s="136"/>
      <c r="BI243" s="136"/>
      <c r="BJ243" s="136"/>
      <c r="BK243" s="136"/>
      <c r="BL243" s="137"/>
      <c r="BM243" s="137"/>
      <c r="BP243" s="134" t="str">
        <f>IF(COUNTIF(BP$7:BP242,B243)&gt;0,"",B243)&amp;""</f>
        <v/>
      </c>
      <c r="BQ243" s="138">
        <f t="shared" si="96"/>
        <v>0</v>
      </c>
      <c r="BR243" s="132">
        <f t="shared" si="97"/>
        <v>1</v>
      </c>
      <c r="BS243" s="138">
        <f t="shared" si="98"/>
        <v>0</v>
      </c>
      <c r="BT243" s="132">
        <f t="shared" si="99"/>
        <v>2</v>
      </c>
      <c r="BU243" s="133"/>
      <c r="BV243" s="133"/>
      <c r="BX243" s="1256">
        <v>43100</v>
      </c>
      <c r="BY243" s="165">
        <f>IFERROR(LOOKUP(BX243,基础数据!A:D),1)</f>
        <v>3.53915880885741</v>
      </c>
      <c r="BZ243" s="165">
        <f t="shared" si="105"/>
        <v>1.00524445538375</v>
      </c>
      <c r="CA243" s="165" t="e">
        <f t="shared" si="106"/>
        <v>#VALUE!</v>
      </c>
      <c r="CB243" s="165">
        <v>97</v>
      </c>
      <c r="CC243" s="165" t="e">
        <f t="shared" si="107"/>
        <v>#VALUE!</v>
      </c>
      <c r="CD243" s="1257" t="s">
        <v>2236</v>
      </c>
    </row>
    <row r="244" ht="15" customHeight="1" spans="1:82">
      <c r="A244" s="123" t="str">
        <f>IF(B244="","",COUNT(A$7:A243)+1)</f>
        <v/>
      </c>
      <c r="B244" s="139"/>
      <c r="C244" s="139"/>
      <c r="D244" s="141"/>
      <c r="E244" s="126"/>
      <c r="F244" s="142"/>
      <c r="G244" s="127"/>
      <c r="H244" s="128"/>
      <c r="I244" s="128"/>
      <c r="J244" s="980"/>
      <c r="K244" s="143"/>
      <c r="L244" s="143"/>
      <c r="M244" s="129"/>
      <c r="N244" s="144"/>
      <c r="O244" s="144"/>
      <c r="P244" s="144"/>
      <c r="Q244" s="143"/>
      <c r="R244" s="353" t="str">
        <f t="shared" si="91"/>
        <v/>
      </c>
      <c r="S244" s="129" t="str">
        <f t="shared" si="108"/>
        <v/>
      </c>
      <c r="T244" s="1226" t="str">
        <f t="shared" si="93"/>
        <v/>
      </c>
      <c r="U244" s="1226" t="str">
        <f t="shared" si="94"/>
        <v/>
      </c>
      <c r="V244" s="353" t="str">
        <f t="shared" si="90"/>
        <v/>
      </c>
      <c r="W244" s="129">
        <v>0</v>
      </c>
      <c r="X244" s="129">
        <v>0</v>
      </c>
      <c r="Y244" s="129" t="str">
        <f t="shared" si="109"/>
        <v/>
      </c>
      <c r="Z244" s="129" t="str">
        <f t="shared" si="110"/>
        <v/>
      </c>
      <c r="AA244" s="145"/>
      <c r="BA244" s="78"/>
      <c r="BB244" s="132" t="s">
        <v>2482</v>
      </c>
      <c r="BC244" s="133"/>
      <c r="BD244" s="132" t="str">
        <f>IF(OR(B244="",BC244=""),"",COUNTIF(BC$8:BC244,"√"))</f>
        <v/>
      </c>
      <c r="BE244" s="134" t="str">
        <f t="shared" si="95"/>
        <v/>
      </c>
      <c r="BF244" s="135" t="str">
        <f t="shared" si="104"/>
        <v/>
      </c>
      <c r="BG244" s="135" t="str">
        <f t="shared" si="104"/>
        <v/>
      </c>
      <c r="BH244" s="136"/>
      <c r="BI244" s="136"/>
      <c r="BJ244" s="136"/>
      <c r="BK244" s="136"/>
      <c r="BL244" s="137"/>
      <c r="BM244" s="137"/>
      <c r="BP244" s="134" t="str">
        <f>IF(COUNTIF(BP$7:BP243,B244)&gt;0,"",B244)&amp;""</f>
        <v/>
      </c>
      <c r="BQ244" s="138">
        <f t="shared" si="96"/>
        <v>0</v>
      </c>
      <c r="BR244" s="132">
        <f t="shared" si="97"/>
        <v>1</v>
      </c>
      <c r="BS244" s="138">
        <f t="shared" si="98"/>
        <v>0</v>
      </c>
      <c r="BT244" s="132">
        <f t="shared" si="99"/>
        <v>2</v>
      </c>
      <c r="BU244" s="133"/>
      <c r="BV244" s="133"/>
      <c r="BX244" s="1256">
        <v>43100</v>
      </c>
      <c r="BY244" s="165">
        <f>IFERROR(LOOKUP(BX244,基础数据!A:D),1)</f>
        <v>3.53915880885741</v>
      </c>
      <c r="BZ244" s="165">
        <f t="shared" si="105"/>
        <v>1.00524445538375</v>
      </c>
      <c r="CA244" s="165" t="e">
        <f t="shared" si="106"/>
        <v>#VALUE!</v>
      </c>
      <c r="CB244" s="165">
        <f t="shared" si="100"/>
        <v>90</v>
      </c>
      <c r="CC244" s="165" t="e">
        <f t="shared" si="107"/>
        <v>#VALUE!</v>
      </c>
      <c r="CD244" s="1257" t="s">
        <v>2237</v>
      </c>
    </row>
    <row r="245" ht="15" customHeight="1" spans="1:82">
      <c r="A245" s="123" t="str">
        <f>IF(B245="","",COUNT(A$7:A244)+1)</f>
        <v/>
      </c>
      <c r="B245" s="139"/>
      <c r="C245" s="139"/>
      <c r="D245" s="141"/>
      <c r="E245" s="126"/>
      <c r="F245" s="142"/>
      <c r="G245" s="127"/>
      <c r="H245" s="128"/>
      <c r="I245" s="128"/>
      <c r="J245" s="980"/>
      <c r="K245" s="143"/>
      <c r="L245" s="143"/>
      <c r="M245" s="129"/>
      <c r="N245" s="144"/>
      <c r="O245" s="144"/>
      <c r="P245" s="144"/>
      <c r="Q245" s="143"/>
      <c r="R245" s="353" t="str">
        <f t="shared" si="91"/>
        <v/>
      </c>
      <c r="S245" s="129" t="str">
        <f t="shared" si="108"/>
        <v/>
      </c>
      <c r="T245" s="1226" t="str">
        <f t="shared" si="93"/>
        <v/>
      </c>
      <c r="U245" s="1226" t="str">
        <f t="shared" si="94"/>
        <v/>
      </c>
      <c r="V245" s="353" t="str">
        <f t="shared" si="90"/>
        <v/>
      </c>
      <c r="W245" s="129">
        <v>0</v>
      </c>
      <c r="X245" s="129">
        <v>0</v>
      </c>
      <c r="Y245" s="129" t="str">
        <f t="shared" si="109"/>
        <v/>
      </c>
      <c r="Z245" s="129" t="str">
        <f t="shared" si="110"/>
        <v/>
      </c>
      <c r="AA245" s="145"/>
      <c r="BA245" s="78"/>
      <c r="BB245" s="132" t="s">
        <v>2483</v>
      </c>
      <c r="BC245" s="133"/>
      <c r="BD245" s="132" t="str">
        <f>IF(OR(B245="",BC245=""),"",COUNTIF(BC$8:BC245,"√"))</f>
        <v/>
      </c>
      <c r="BE245" s="134" t="str">
        <f t="shared" si="95"/>
        <v/>
      </c>
      <c r="BF245" s="135" t="str">
        <f t="shared" si="104"/>
        <v/>
      </c>
      <c r="BG245" s="135" t="str">
        <f t="shared" si="104"/>
        <v/>
      </c>
      <c r="BH245" s="136"/>
      <c r="BI245" s="136"/>
      <c r="BJ245" s="136"/>
      <c r="BK245" s="136"/>
      <c r="BL245" s="137"/>
      <c r="BM245" s="137"/>
      <c r="BP245" s="134" t="str">
        <f>IF(COUNTIF(BP$7:BP244,B245)&gt;0,"",B245)&amp;""</f>
        <v/>
      </c>
      <c r="BQ245" s="138">
        <f t="shared" si="96"/>
        <v>0</v>
      </c>
      <c r="BR245" s="132">
        <f t="shared" si="97"/>
        <v>1</v>
      </c>
      <c r="BS245" s="138">
        <f t="shared" si="98"/>
        <v>0</v>
      </c>
      <c r="BT245" s="132">
        <f t="shared" si="99"/>
        <v>2</v>
      </c>
      <c r="BU245" s="133"/>
      <c r="BV245" s="133"/>
      <c r="BX245" s="1256">
        <v>43100</v>
      </c>
      <c r="BY245" s="165">
        <f>IFERROR(LOOKUP(BX245,基础数据!A:D),1)</f>
        <v>3.53915880885741</v>
      </c>
      <c r="BZ245" s="165">
        <f t="shared" si="105"/>
        <v>1.00524445538375</v>
      </c>
      <c r="CA245" s="165" t="e">
        <f t="shared" si="106"/>
        <v>#VALUE!</v>
      </c>
      <c r="CB245" s="165">
        <f t="shared" si="100"/>
        <v>90</v>
      </c>
      <c r="CC245" s="165" t="e">
        <f t="shared" si="107"/>
        <v>#VALUE!</v>
      </c>
      <c r="CD245" s="1257" t="s">
        <v>2237</v>
      </c>
    </row>
    <row r="246" ht="15" customHeight="1" spans="1:82">
      <c r="A246" s="123" t="str">
        <f>IF(B246="","",COUNT(A$7:A245)+1)</f>
        <v/>
      </c>
      <c r="B246" s="139"/>
      <c r="C246" s="139"/>
      <c r="D246" s="141"/>
      <c r="E246" s="126"/>
      <c r="F246" s="142"/>
      <c r="G246" s="127"/>
      <c r="H246" s="128"/>
      <c r="I246" s="128"/>
      <c r="J246" s="980"/>
      <c r="K246" s="143"/>
      <c r="L246" s="143"/>
      <c r="M246" s="129"/>
      <c r="N246" s="144"/>
      <c r="O246" s="144"/>
      <c r="P246" s="144"/>
      <c r="Q246" s="143"/>
      <c r="R246" s="353" t="str">
        <f t="shared" si="91"/>
        <v/>
      </c>
      <c r="S246" s="129" t="str">
        <f t="shared" si="108"/>
        <v/>
      </c>
      <c r="T246" s="1226" t="str">
        <f t="shared" si="93"/>
        <v/>
      </c>
      <c r="U246" s="1226" t="str">
        <f t="shared" si="94"/>
        <v/>
      </c>
      <c r="V246" s="353" t="str">
        <f t="shared" si="90"/>
        <v/>
      </c>
      <c r="W246" s="129">
        <v>0</v>
      </c>
      <c r="X246" s="129">
        <v>0</v>
      </c>
      <c r="Y246" s="129" t="str">
        <f t="shared" si="109"/>
        <v/>
      </c>
      <c r="Z246" s="129" t="str">
        <f t="shared" si="110"/>
        <v/>
      </c>
      <c r="AA246" s="145"/>
      <c r="BA246" s="78"/>
      <c r="BB246" s="132" t="s">
        <v>2484</v>
      </c>
      <c r="BC246" s="133"/>
      <c r="BD246" s="132" t="str">
        <f>IF(OR(B246="",BC246=""),"",COUNTIF(BC$8:BC246,"√"))</f>
        <v/>
      </c>
      <c r="BE246" s="134" t="str">
        <f t="shared" si="95"/>
        <v/>
      </c>
      <c r="BF246" s="135" t="str">
        <f t="shared" si="104"/>
        <v/>
      </c>
      <c r="BG246" s="135" t="str">
        <f t="shared" si="104"/>
        <v/>
      </c>
      <c r="BH246" s="136"/>
      <c r="BI246" s="136"/>
      <c r="BJ246" s="136"/>
      <c r="BK246" s="136"/>
      <c r="BL246" s="137"/>
      <c r="BM246" s="137"/>
      <c r="BP246" s="134" t="str">
        <f>IF(COUNTIF(BP$7:BP245,B246)&gt;0,"",B246)&amp;""</f>
        <v/>
      </c>
      <c r="BQ246" s="138">
        <f t="shared" si="96"/>
        <v>0</v>
      </c>
      <c r="BR246" s="132">
        <f t="shared" si="97"/>
        <v>1</v>
      </c>
      <c r="BS246" s="138">
        <f t="shared" si="98"/>
        <v>0</v>
      </c>
      <c r="BT246" s="132">
        <f t="shared" si="99"/>
        <v>2</v>
      </c>
      <c r="BU246" s="133"/>
      <c r="BV246" s="133"/>
      <c r="BX246" s="1256">
        <v>45001</v>
      </c>
      <c r="BY246" s="165">
        <f>IFERROR(LOOKUP(BX246,基础数据!A:D),1)</f>
        <v>3.80882053463966</v>
      </c>
      <c r="BZ246" s="165">
        <f t="shared" si="105"/>
        <v>0.934073878506601</v>
      </c>
      <c r="CA246" s="165" t="e">
        <f t="shared" si="106"/>
        <v>#VALUE!</v>
      </c>
      <c r="CB246" s="165">
        <v>97</v>
      </c>
      <c r="CC246" s="165" t="e">
        <f t="shared" si="107"/>
        <v>#VALUE!</v>
      </c>
      <c r="CD246" s="1257" t="s">
        <v>2236</v>
      </c>
    </row>
    <row r="247" ht="15" customHeight="1" spans="1:82">
      <c r="A247" s="123" t="str">
        <f>IF(B247="","",COUNT(A$7:A246)+1)</f>
        <v/>
      </c>
      <c r="B247" s="139"/>
      <c r="C247" s="139"/>
      <c r="D247" s="141"/>
      <c r="E247" s="126"/>
      <c r="F247" s="142"/>
      <c r="G247" s="127"/>
      <c r="H247" s="128"/>
      <c r="I247" s="128"/>
      <c r="J247" s="980"/>
      <c r="K247" s="143"/>
      <c r="L247" s="143"/>
      <c r="M247" s="129"/>
      <c r="N247" s="144"/>
      <c r="O247" s="144"/>
      <c r="P247" s="144"/>
      <c r="Q247" s="143"/>
      <c r="R247" s="353" t="str">
        <f t="shared" si="91"/>
        <v/>
      </c>
      <c r="S247" s="129" t="str">
        <f t="shared" si="108"/>
        <v/>
      </c>
      <c r="T247" s="1226" t="str">
        <f t="shared" si="93"/>
        <v/>
      </c>
      <c r="U247" s="1226" t="str">
        <f t="shared" si="94"/>
        <v/>
      </c>
      <c r="V247" s="353" t="str">
        <f t="shared" si="90"/>
        <v/>
      </c>
      <c r="W247" s="129">
        <v>0</v>
      </c>
      <c r="X247" s="129">
        <v>0</v>
      </c>
      <c r="Y247" s="129" t="str">
        <f t="shared" si="109"/>
        <v/>
      </c>
      <c r="Z247" s="129" t="str">
        <f t="shared" si="110"/>
        <v/>
      </c>
      <c r="AA247" s="145"/>
      <c r="BA247" s="78"/>
      <c r="BB247" s="132" t="s">
        <v>2485</v>
      </c>
      <c r="BC247" s="133"/>
      <c r="BD247" s="132" t="str">
        <f>IF(OR(B247="",BC247=""),"",COUNTIF(BC$8:BC247,"√"))</f>
        <v/>
      </c>
      <c r="BE247" s="134" t="str">
        <f t="shared" si="95"/>
        <v/>
      </c>
      <c r="BF247" s="135" t="str">
        <f t="shared" si="104"/>
        <v/>
      </c>
      <c r="BG247" s="135" t="str">
        <f t="shared" si="104"/>
        <v/>
      </c>
      <c r="BH247" s="136"/>
      <c r="BI247" s="136"/>
      <c r="BJ247" s="136"/>
      <c r="BK247" s="136"/>
      <c r="BL247" s="137"/>
      <c r="BM247" s="137"/>
      <c r="BP247" s="134" t="str">
        <f>IF(COUNTIF(BP$7:BP246,B247)&gt;0,"",B247)&amp;""</f>
        <v/>
      </c>
      <c r="BQ247" s="138">
        <f t="shared" si="96"/>
        <v>0</v>
      </c>
      <c r="BR247" s="132">
        <f t="shared" si="97"/>
        <v>1</v>
      </c>
      <c r="BS247" s="138">
        <f t="shared" si="98"/>
        <v>0</v>
      </c>
      <c r="BT247" s="132">
        <f t="shared" si="99"/>
        <v>2</v>
      </c>
      <c r="BU247" s="133"/>
      <c r="BV247" s="133"/>
      <c r="BX247" s="1256">
        <v>45001</v>
      </c>
      <c r="BY247" s="165">
        <f>IFERROR(LOOKUP(BX247,基础数据!A:D),1)</f>
        <v>3.80882053463966</v>
      </c>
      <c r="BZ247" s="165">
        <f t="shared" si="105"/>
        <v>0.934073878506601</v>
      </c>
      <c r="CA247" s="165" t="e">
        <f t="shared" si="106"/>
        <v>#VALUE!</v>
      </c>
      <c r="CB247" s="165">
        <f t="shared" ref="CB247:CB252" si="111">CO$2</f>
        <v>95</v>
      </c>
      <c r="CC247" s="165" t="e">
        <f t="shared" si="107"/>
        <v>#VALUE!</v>
      </c>
      <c r="CD247" s="1260" t="s">
        <v>2236</v>
      </c>
    </row>
    <row r="248" ht="15" customHeight="1" spans="1:82">
      <c r="A248" s="123" t="str">
        <f>IF(B248="","",COUNT(A$7:A247)+1)</f>
        <v/>
      </c>
      <c r="B248" s="139"/>
      <c r="C248" s="139"/>
      <c r="D248" s="141"/>
      <c r="E248" s="126"/>
      <c r="F248" s="142"/>
      <c r="G248" s="127"/>
      <c r="H248" s="128"/>
      <c r="I248" s="128"/>
      <c r="J248" s="980"/>
      <c r="K248" s="143"/>
      <c r="L248" s="143"/>
      <c r="M248" s="129"/>
      <c r="N248" s="144"/>
      <c r="O248" s="144"/>
      <c r="P248" s="144"/>
      <c r="Q248" s="143"/>
      <c r="R248" s="353" t="str">
        <f t="shared" si="91"/>
        <v/>
      </c>
      <c r="S248" s="129" t="str">
        <f t="shared" si="108"/>
        <v/>
      </c>
      <c r="T248" s="1226" t="str">
        <f t="shared" si="93"/>
        <v/>
      </c>
      <c r="U248" s="1226" t="str">
        <f t="shared" si="94"/>
        <v/>
      </c>
      <c r="V248" s="353" t="str">
        <f t="shared" si="90"/>
        <v/>
      </c>
      <c r="W248" s="129">
        <v>0</v>
      </c>
      <c r="X248" s="129">
        <v>0</v>
      </c>
      <c r="Y248" s="129" t="str">
        <f t="shared" si="109"/>
        <v/>
      </c>
      <c r="Z248" s="129" t="str">
        <f t="shared" si="110"/>
        <v/>
      </c>
      <c r="AA248" s="145"/>
      <c r="BA248" s="78"/>
      <c r="BB248" s="132" t="s">
        <v>2486</v>
      </c>
      <c r="BC248" s="133"/>
      <c r="BD248" s="132" t="str">
        <f>IF(OR(B248="",BC248=""),"",COUNTIF(BC$8:BC248,"√"))</f>
        <v/>
      </c>
      <c r="BE248" s="134" t="str">
        <f t="shared" si="95"/>
        <v/>
      </c>
      <c r="BF248" s="135" t="str">
        <f t="shared" si="104"/>
        <v/>
      </c>
      <c r="BG248" s="135" t="str">
        <f t="shared" si="104"/>
        <v/>
      </c>
      <c r="BH248" s="136"/>
      <c r="BI248" s="136"/>
      <c r="BJ248" s="136"/>
      <c r="BK248" s="136"/>
      <c r="BL248" s="137"/>
      <c r="BM248" s="137"/>
      <c r="BP248" s="134" t="str">
        <f>IF(COUNTIF(BP$7:BP247,B248)&gt;0,"",B248)&amp;""</f>
        <v/>
      </c>
      <c r="BQ248" s="138">
        <f t="shared" si="96"/>
        <v>0</v>
      </c>
      <c r="BR248" s="132">
        <f t="shared" si="97"/>
        <v>1</v>
      </c>
      <c r="BS248" s="138">
        <f t="shared" si="98"/>
        <v>0</v>
      </c>
      <c r="BT248" s="132">
        <f t="shared" si="99"/>
        <v>2</v>
      </c>
      <c r="BU248" s="133"/>
      <c r="BV248" s="133"/>
      <c r="BX248" s="1256">
        <v>43100</v>
      </c>
      <c r="BY248" s="165">
        <f>IFERROR(LOOKUP(BX248,基础数据!A:D),1)</f>
        <v>3.53915880885741</v>
      </c>
      <c r="BZ248" s="165">
        <f t="shared" si="105"/>
        <v>1.00524445538375</v>
      </c>
      <c r="CA248" s="165" t="e">
        <f t="shared" si="106"/>
        <v>#VALUE!</v>
      </c>
      <c r="CB248" s="165">
        <f t="shared" si="111"/>
        <v>95</v>
      </c>
      <c r="CC248" s="165" t="e">
        <f t="shared" si="107"/>
        <v>#VALUE!</v>
      </c>
      <c r="CD248" s="1260" t="s">
        <v>2236</v>
      </c>
    </row>
    <row r="249" ht="15" customHeight="1" spans="1:82">
      <c r="A249" s="123" t="str">
        <f>IF(B249="","",COUNT(A$7:A248)+1)</f>
        <v/>
      </c>
      <c r="B249" s="139"/>
      <c r="C249" s="139"/>
      <c r="D249" s="141"/>
      <c r="E249" s="126"/>
      <c r="F249" s="142"/>
      <c r="G249" s="127"/>
      <c r="H249" s="128"/>
      <c r="I249" s="128"/>
      <c r="J249" s="980"/>
      <c r="K249" s="143"/>
      <c r="L249" s="143"/>
      <c r="M249" s="129"/>
      <c r="N249" s="144"/>
      <c r="O249" s="144"/>
      <c r="P249" s="144"/>
      <c r="Q249" s="143"/>
      <c r="R249" s="353" t="str">
        <f t="shared" si="91"/>
        <v/>
      </c>
      <c r="S249" s="129" t="str">
        <f t="shared" si="108"/>
        <v/>
      </c>
      <c r="T249" s="1226" t="str">
        <f t="shared" si="93"/>
        <v/>
      </c>
      <c r="U249" s="1226" t="str">
        <f t="shared" si="94"/>
        <v/>
      </c>
      <c r="V249" s="353" t="str">
        <f t="shared" si="90"/>
        <v/>
      </c>
      <c r="W249" s="129">
        <v>0</v>
      </c>
      <c r="X249" s="129">
        <v>0</v>
      </c>
      <c r="Y249" s="129" t="str">
        <f t="shared" si="109"/>
        <v/>
      </c>
      <c r="Z249" s="129" t="str">
        <f t="shared" si="110"/>
        <v/>
      </c>
      <c r="AA249" s="145"/>
      <c r="BA249" s="78"/>
      <c r="BB249" s="132" t="s">
        <v>2487</v>
      </c>
      <c r="BC249" s="133"/>
      <c r="BD249" s="132" t="str">
        <f>IF(OR(B249="",BC249=""),"",COUNTIF(BC$8:BC249,"√"))</f>
        <v/>
      </c>
      <c r="BE249" s="134" t="str">
        <f t="shared" si="95"/>
        <v/>
      </c>
      <c r="BF249" s="135" t="str">
        <f t="shared" si="104"/>
        <v/>
      </c>
      <c r="BG249" s="135" t="str">
        <f t="shared" si="104"/>
        <v/>
      </c>
      <c r="BH249" s="136"/>
      <c r="BI249" s="136"/>
      <c r="BJ249" s="136"/>
      <c r="BK249" s="136"/>
      <c r="BL249" s="137"/>
      <c r="BM249" s="137"/>
      <c r="BP249" s="134" t="str">
        <f>IF(COUNTIF(BP$7:BP248,B249)&gt;0,"",B249)&amp;""</f>
        <v/>
      </c>
      <c r="BQ249" s="138">
        <f t="shared" si="96"/>
        <v>0</v>
      </c>
      <c r="BR249" s="132">
        <f t="shared" si="97"/>
        <v>1</v>
      </c>
      <c r="BS249" s="138">
        <f t="shared" si="98"/>
        <v>0</v>
      </c>
      <c r="BT249" s="132">
        <f t="shared" si="99"/>
        <v>2</v>
      </c>
      <c r="BU249" s="133"/>
      <c r="BV249" s="133"/>
      <c r="BX249" s="1256">
        <v>43100</v>
      </c>
      <c r="BY249" s="165">
        <f>IFERROR(LOOKUP(BX249,基础数据!A:D),1)</f>
        <v>3.53915880885741</v>
      </c>
      <c r="BZ249" s="165">
        <f t="shared" si="105"/>
        <v>1.00524445538375</v>
      </c>
      <c r="CA249" s="165" t="e">
        <f t="shared" si="106"/>
        <v>#VALUE!</v>
      </c>
      <c r="CB249" s="165">
        <f t="shared" si="111"/>
        <v>95</v>
      </c>
      <c r="CC249" s="165" t="e">
        <f t="shared" si="107"/>
        <v>#VALUE!</v>
      </c>
      <c r="CD249" s="1260" t="s">
        <v>2236</v>
      </c>
    </row>
    <row r="250" ht="15" customHeight="1" spans="1:82">
      <c r="A250" s="123" t="str">
        <f>IF(B250="","",COUNT(A$7:A249)+1)</f>
        <v/>
      </c>
      <c r="B250" s="139"/>
      <c r="C250" s="139"/>
      <c r="D250" s="141"/>
      <c r="E250" s="126"/>
      <c r="F250" s="142"/>
      <c r="G250" s="127"/>
      <c r="H250" s="128"/>
      <c r="I250" s="128"/>
      <c r="J250" s="980"/>
      <c r="K250" s="143"/>
      <c r="L250" s="143"/>
      <c r="M250" s="129"/>
      <c r="N250" s="144"/>
      <c r="O250" s="144"/>
      <c r="P250" s="144"/>
      <c r="Q250" s="143"/>
      <c r="R250" s="353" t="str">
        <f t="shared" si="91"/>
        <v/>
      </c>
      <c r="S250" s="129" t="str">
        <f t="shared" si="108"/>
        <v/>
      </c>
      <c r="T250" s="1226" t="str">
        <f t="shared" si="93"/>
        <v/>
      </c>
      <c r="U250" s="1226" t="str">
        <f t="shared" si="94"/>
        <v/>
      </c>
      <c r="V250" s="353" t="str">
        <f t="shared" si="90"/>
        <v/>
      </c>
      <c r="W250" s="129">
        <v>0</v>
      </c>
      <c r="X250" s="129">
        <v>0</v>
      </c>
      <c r="Y250" s="129" t="str">
        <f t="shared" si="109"/>
        <v/>
      </c>
      <c r="Z250" s="129" t="str">
        <f t="shared" si="110"/>
        <v/>
      </c>
      <c r="AA250" s="145"/>
      <c r="BA250" s="78"/>
      <c r="BB250" s="132" t="s">
        <v>2488</v>
      </c>
      <c r="BC250" s="133"/>
      <c r="BD250" s="132" t="str">
        <f>IF(OR(B250="",BC250=""),"",COUNTIF(BC$8:BC250,"√"))</f>
        <v/>
      </c>
      <c r="BE250" s="134" t="str">
        <f t="shared" si="95"/>
        <v/>
      </c>
      <c r="BF250" s="135" t="str">
        <f t="shared" si="104"/>
        <v/>
      </c>
      <c r="BG250" s="135" t="str">
        <f t="shared" si="104"/>
        <v/>
      </c>
      <c r="BH250" s="136"/>
      <c r="BI250" s="136"/>
      <c r="BJ250" s="136"/>
      <c r="BK250" s="136"/>
      <c r="BL250" s="137"/>
      <c r="BM250" s="137"/>
      <c r="BP250" s="134" t="str">
        <f>IF(COUNTIF(BP$7:BP249,B250)&gt;0,"",B250)&amp;""</f>
        <v/>
      </c>
      <c r="BQ250" s="138">
        <f t="shared" si="96"/>
        <v>0</v>
      </c>
      <c r="BR250" s="132">
        <f t="shared" si="97"/>
        <v>1</v>
      </c>
      <c r="BS250" s="138">
        <f t="shared" si="98"/>
        <v>0</v>
      </c>
      <c r="BT250" s="132">
        <f t="shared" si="99"/>
        <v>2</v>
      </c>
      <c r="BU250" s="133"/>
      <c r="BV250" s="133"/>
      <c r="BX250" s="1256">
        <v>43100</v>
      </c>
      <c r="BY250" s="165">
        <f>IFERROR(LOOKUP(BX250,基础数据!A:D),1)</f>
        <v>3.53915880885741</v>
      </c>
      <c r="BZ250" s="165">
        <f t="shared" si="105"/>
        <v>1.00524445538375</v>
      </c>
      <c r="CA250" s="165" t="e">
        <f t="shared" si="106"/>
        <v>#VALUE!</v>
      </c>
      <c r="CB250" s="165">
        <f t="shared" si="111"/>
        <v>95</v>
      </c>
      <c r="CC250" s="165" t="e">
        <f t="shared" si="107"/>
        <v>#VALUE!</v>
      </c>
      <c r="CD250" s="1260" t="s">
        <v>2236</v>
      </c>
    </row>
    <row r="251" ht="15" customHeight="1" spans="1:82">
      <c r="A251" s="123" t="str">
        <f>IF(B251="","",COUNT(A$7:A250)+1)</f>
        <v/>
      </c>
      <c r="B251" s="139"/>
      <c r="C251" s="139"/>
      <c r="D251" s="141"/>
      <c r="E251" s="126"/>
      <c r="F251" s="142"/>
      <c r="G251" s="127"/>
      <c r="H251" s="128"/>
      <c r="I251" s="128"/>
      <c r="J251" s="980"/>
      <c r="K251" s="143"/>
      <c r="L251" s="143"/>
      <c r="M251" s="129"/>
      <c r="N251" s="144"/>
      <c r="O251" s="144"/>
      <c r="P251" s="144"/>
      <c r="Q251" s="143"/>
      <c r="R251" s="353" t="str">
        <f t="shared" si="91"/>
        <v/>
      </c>
      <c r="S251" s="129" t="str">
        <f t="shared" si="108"/>
        <v/>
      </c>
      <c r="T251" s="1226" t="str">
        <f t="shared" si="93"/>
        <v/>
      </c>
      <c r="U251" s="1226" t="str">
        <f t="shared" si="94"/>
        <v/>
      </c>
      <c r="V251" s="353" t="str">
        <f t="shared" ref="V251:V314" si="112">IF(B251="","",IF($BB$3="是",R251,""))</f>
        <v/>
      </c>
      <c r="W251" s="129">
        <v>0</v>
      </c>
      <c r="X251" s="129">
        <v>0</v>
      </c>
      <c r="Y251" s="129" t="str">
        <f t="shared" si="109"/>
        <v/>
      </c>
      <c r="Z251" s="129" t="str">
        <f t="shared" si="110"/>
        <v/>
      </c>
      <c r="AA251" s="145"/>
      <c r="BA251" s="78"/>
      <c r="BB251" s="132" t="s">
        <v>2489</v>
      </c>
      <c r="BC251" s="133"/>
      <c r="BD251" s="132" t="str">
        <f>IF(OR(B251="",BC251=""),"",COUNTIF(BC$8:BC251,"√"))</f>
        <v/>
      </c>
      <c r="BE251" s="134" t="str">
        <f t="shared" si="95"/>
        <v/>
      </c>
      <c r="BF251" s="135" t="str">
        <f t="shared" si="104"/>
        <v/>
      </c>
      <c r="BG251" s="135" t="str">
        <f t="shared" si="104"/>
        <v/>
      </c>
      <c r="BH251" s="136"/>
      <c r="BI251" s="136"/>
      <c r="BJ251" s="136"/>
      <c r="BK251" s="136"/>
      <c r="BL251" s="137"/>
      <c r="BM251" s="137"/>
      <c r="BP251" s="134" t="str">
        <f>IF(COUNTIF(BP$7:BP250,B251)&gt;0,"",B251)&amp;""</f>
        <v/>
      </c>
      <c r="BQ251" s="138">
        <f t="shared" si="96"/>
        <v>0</v>
      </c>
      <c r="BR251" s="132">
        <f t="shared" si="97"/>
        <v>1</v>
      </c>
      <c r="BS251" s="138">
        <f t="shared" si="98"/>
        <v>0</v>
      </c>
      <c r="BT251" s="132">
        <f t="shared" si="99"/>
        <v>2</v>
      </c>
      <c r="BU251" s="133"/>
      <c r="BV251" s="133"/>
      <c r="BX251" s="1256">
        <v>43100</v>
      </c>
      <c r="BY251" s="165">
        <f>IFERROR(LOOKUP(BX251,基础数据!A:D),1)</f>
        <v>3.53915880885741</v>
      </c>
      <c r="BZ251" s="165">
        <f t="shared" si="105"/>
        <v>1.00524445538375</v>
      </c>
      <c r="CA251" s="165" t="e">
        <f t="shared" si="106"/>
        <v>#VALUE!</v>
      </c>
      <c r="CB251" s="165">
        <f t="shared" si="111"/>
        <v>95</v>
      </c>
      <c r="CC251" s="165" t="e">
        <f t="shared" si="107"/>
        <v>#VALUE!</v>
      </c>
      <c r="CD251" s="1260" t="s">
        <v>2236</v>
      </c>
    </row>
    <row r="252" ht="15" customHeight="1" spans="1:82">
      <c r="A252" s="123" t="str">
        <f>IF(B252="","",COUNT(A$7:A251)+1)</f>
        <v/>
      </c>
      <c r="B252" s="139"/>
      <c r="C252" s="139"/>
      <c r="D252" s="141"/>
      <c r="E252" s="126"/>
      <c r="F252" s="142"/>
      <c r="G252" s="127"/>
      <c r="H252" s="128"/>
      <c r="I252" s="128"/>
      <c r="J252" s="980"/>
      <c r="K252" s="143"/>
      <c r="L252" s="143"/>
      <c r="M252" s="129"/>
      <c r="N252" s="144"/>
      <c r="O252" s="144"/>
      <c r="P252" s="144"/>
      <c r="Q252" s="143"/>
      <c r="R252" s="353" t="str">
        <f t="shared" si="91"/>
        <v/>
      </c>
      <c r="S252" s="129" t="str">
        <f t="shared" si="108"/>
        <v/>
      </c>
      <c r="T252" s="1226" t="str">
        <f t="shared" si="93"/>
        <v/>
      </c>
      <c r="U252" s="1226" t="str">
        <f t="shared" si="94"/>
        <v/>
      </c>
      <c r="V252" s="353" t="str">
        <f t="shared" si="112"/>
        <v/>
      </c>
      <c r="W252" s="129">
        <v>0</v>
      </c>
      <c r="X252" s="129">
        <v>0</v>
      </c>
      <c r="Y252" s="129" t="str">
        <f t="shared" si="109"/>
        <v/>
      </c>
      <c r="Z252" s="129" t="str">
        <f t="shared" si="110"/>
        <v/>
      </c>
      <c r="AA252" s="145"/>
      <c r="BA252" s="78"/>
      <c r="BB252" s="132" t="s">
        <v>2490</v>
      </c>
      <c r="BC252" s="133"/>
      <c r="BD252" s="132" t="str">
        <f>IF(OR(B252="",BC252=""),"",COUNTIF(BC$8:BC252,"√"))</f>
        <v/>
      </c>
      <c r="BE252" s="134" t="str">
        <f t="shared" si="95"/>
        <v/>
      </c>
      <c r="BF252" s="135" t="str">
        <f t="shared" si="104"/>
        <v/>
      </c>
      <c r="BG252" s="135" t="str">
        <f t="shared" si="104"/>
        <v/>
      </c>
      <c r="BH252" s="136"/>
      <c r="BI252" s="136"/>
      <c r="BJ252" s="136"/>
      <c r="BK252" s="136"/>
      <c r="BL252" s="137"/>
      <c r="BM252" s="137"/>
      <c r="BP252" s="134" t="str">
        <f>IF(COUNTIF(BP$7:BP251,B252)&gt;0,"",B252)&amp;""</f>
        <v/>
      </c>
      <c r="BQ252" s="138">
        <f t="shared" si="96"/>
        <v>0</v>
      </c>
      <c r="BR252" s="132">
        <f t="shared" si="97"/>
        <v>1</v>
      </c>
      <c r="BS252" s="138">
        <f t="shared" si="98"/>
        <v>0</v>
      </c>
      <c r="BT252" s="132">
        <f t="shared" si="99"/>
        <v>2</v>
      </c>
      <c r="BU252" s="133"/>
      <c r="BV252" s="133"/>
      <c r="BX252" s="1256">
        <v>43100</v>
      </c>
      <c r="BY252" s="165">
        <f>IFERROR(LOOKUP(BX252,基础数据!A:D),1)</f>
        <v>3.53915880885741</v>
      </c>
      <c r="BZ252" s="165">
        <f t="shared" si="105"/>
        <v>1.00524445538375</v>
      </c>
      <c r="CA252" s="165" t="e">
        <f t="shared" si="106"/>
        <v>#VALUE!</v>
      </c>
      <c r="CB252" s="165">
        <f t="shared" si="111"/>
        <v>95</v>
      </c>
      <c r="CC252" s="165" t="e">
        <f t="shared" si="107"/>
        <v>#VALUE!</v>
      </c>
      <c r="CD252" s="1260" t="s">
        <v>2236</v>
      </c>
    </row>
    <row r="253" ht="15" customHeight="1" spans="1:82">
      <c r="A253" s="123" t="str">
        <f>IF(B253="","",COUNT(A$7:A252)+1)</f>
        <v/>
      </c>
      <c r="B253" s="139"/>
      <c r="C253" s="139"/>
      <c r="D253" s="141"/>
      <c r="E253" s="126"/>
      <c r="F253" s="142"/>
      <c r="G253" s="127"/>
      <c r="H253" s="128"/>
      <c r="I253" s="128"/>
      <c r="J253" s="980"/>
      <c r="K253" s="143"/>
      <c r="L253" s="143"/>
      <c r="M253" s="129"/>
      <c r="N253" s="144"/>
      <c r="O253" s="144"/>
      <c r="P253" s="144"/>
      <c r="Q253" s="143"/>
      <c r="R253" s="353" t="str">
        <f t="shared" ref="R253:R316" si="113">IF(B253="","",J253+N253)</f>
        <v/>
      </c>
      <c r="S253" s="129" t="str">
        <f t="shared" si="108"/>
        <v/>
      </c>
      <c r="T253" s="1226" t="str">
        <f t="shared" si="93"/>
        <v/>
      </c>
      <c r="U253" s="1226" t="str">
        <f t="shared" si="94"/>
        <v/>
      </c>
      <c r="V253" s="353" t="str">
        <f t="shared" si="112"/>
        <v/>
      </c>
      <c r="W253" s="129">
        <v>0</v>
      </c>
      <c r="X253" s="129">
        <v>0</v>
      </c>
      <c r="Y253" s="129" t="str">
        <f t="shared" si="109"/>
        <v/>
      </c>
      <c r="Z253" s="129" t="str">
        <f t="shared" si="110"/>
        <v/>
      </c>
      <c r="AA253" s="145"/>
      <c r="BA253" s="78"/>
      <c r="BB253" s="132" t="s">
        <v>2491</v>
      </c>
      <c r="BC253" s="133"/>
      <c r="BD253" s="132" t="str">
        <f>IF(OR(B253="",BC253=""),"",COUNTIF(BC$8:BC253,"√"))</f>
        <v/>
      </c>
      <c r="BE253" s="134" t="str">
        <f t="shared" si="95"/>
        <v/>
      </c>
      <c r="BF253" s="135" t="str">
        <f t="shared" si="104"/>
        <v/>
      </c>
      <c r="BG253" s="135" t="str">
        <f t="shared" si="104"/>
        <v/>
      </c>
      <c r="BH253" s="136"/>
      <c r="BI253" s="136"/>
      <c r="BJ253" s="136"/>
      <c r="BK253" s="136"/>
      <c r="BL253" s="137"/>
      <c r="BM253" s="137"/>
      <c r="BP253" s="134" t="str">
        <f>IF(COUNTIF(BP$7:BP252,B253)&gt;0,"",B253)&amp;""</f>
        <v/>
      </c>
      <c r="BQ253" s="138">
        <f t="shared" si="96"/>
        <v>0</v>
      </c>
      <c r="BR253" s="132">
        <f t="shared" si="97"/>
        <v>1</v>
      </c>
      <c r="BS253" s="138">
        <f t="shared" si="98"/>
        <v>0</v>
      </c>
      <c r="BT253" s="132">
        <f t="shared" si="99"/>
        <v>2</v>
      </c>
      <c r="BU253" s="133"/>
      <c r="BV253" s="133"/>
      <c r="BX253" s="1256">
        <v>45001</v>
      </c>
      <c r="BY253" s="165">
        <f>IFERROR(LOOKUP(BX253,基础数据!A:D),1)</f>
        <v>3.80882053463966</v>
      </c>
      <c r="BZ253" s="165">
        <f t="shared" si="105"/>
        <v>0.934073878506601</v>
      </c>
      <c r="CA253" s="165" t="e">
        <f t="shared" si="106"/>
        <v>#VALUE!</v>
      </c>
      <c r="CB253" s="165">
        <v>97</v>
      </c>
      <c r="CC253" s="165" t="e">
        <f t="shared" si="107"/>
        <v>#VALUE!</v>
      </c>
      <c r="CD253" s="1257" t="s">
        <v>2236</v>
      </c>
    </row>
    <row r="254" ht="15" customHeight="1" spans="1:82">
      <c r="A254" s="123" t="str">
        <f>IF(B254="","",COUNT(A$7:A253)+1)</f>
        <v/>
      </c>
      <c r="B254" s="139"/>
      <c r="C254" s="139"/>
      <c r="D254" s="141"/>
      <c r="E254" s="126"/>
      <c r="F254" s="142"/>
      <c r="G254" s="127"/>
      <c r="H254" s="128"/>
      <c r="I254" s="128"/>
      <c r="J254" s="980"/>
      <c r="K254" s="143"/>
      <c r="L254" s="143"/>
      <c r="M254" s="129"/>
      <c r="N254" s="144"/>
      <c r="O254" s="144"/>
      <c r="P254" s="144"/>
      <c r="Q254" s="143"/>
      <c r="R254" s="353" t="str">
        <f t="shared" si="113"/>
        <v/>
      </c>
      <c r="S254" s="129" t="str">
        <f t="shared" si="108"/>
        <v/>
      </c>
      <c r="T254" s="1226" t="str">
        <f t="shared" si="93"/>
        <v/>
      </c>
      <c r="U254" s="1226" t="str">
        <f t="shared" si="94"/>
        <v/>
      </c>
      <c r="V254" s="353" t="str">
        <f t="shared" si="112"/>
        <v/>
      </c>
      <c r="W254" s="129">
        <v>0</v>
      </c>
      <c r="X254" s="129">
        <v>0</v>
      </c>
      <c r="Y254" s="129" t="str">
        <f t="shared" si="109"/>
        <v/>
      </c>
      <c r="Z254" s="129" t="str">
        <f t="shared" si="110"/>
        <v/>
      </c>
      <c r="AA254" s="145"/>
      <c r="BA254" s="78"/>
      <c r="BB254" s="132" t="s">
        <v>2492</v>
      </c>
      <c r="BC254" s="133"/>
      <c r="BD254" s="132" t="str">
        <f>IF(OR(B254="",BC254=""),"",COUNTIF(BC$8:BC254,"√"))</f>
        <v/>
      </c>
      <c r="BE254" s="134" t="str">
        <f t="shared" si="95"/>
        <v/>
      </c>
      <c r="BF254" s="135" t="str">
        <f t="shared" si="104"/>
        <v/>
      </c>
      <c r="BG254" s="135" t="str">
        <f t="shared" si="104"/>
        <v/>
      </c>
      <c r="BH254" s="136"/>
      <c r="BI254" s="136"/>
      <c r="BJ254" s="136"/>
      <c r="BK254" s="136"/>
      <c r="BL254" s="137"/>
      <c r="BM254" s="137"/>
      <c r="BP254" s="134" t="str">
        <f>IF(COUNTIF(BP$7:BP253,B254)&gt;0,"",B254)&amp;""</f>
        <v/>
      </c>
      <c r="BQ254" s="138">
        <f t="shared" si="96"/>
        <v>0</v>
      </c>
      <c r="BR254" s="132">
        <f t="shared" si="97"/>
        <v>1</v>
      </c>
      <c r="BS254" s="138">
        <f t="shared" si="98"/>
        <v>0</v>
      </c>
      <c r="BT254" s="132">
        <f t="shared" si="99"/>
        <v>2</v>
      </c>
      <c r="BU254" s="133"/>
      <c r="BV254" s="133"/>
      <c r="BX254" s="1256">
        <v>45001</v>
      </c>
      <c r="BY254" s="165">
        <f>IFERROR(LOOKUP(BX254,基础数据!A:D),1)</f>
        <v>3.80882053463966</v>
      </c>
      <c r="BZ254" s="165">
        <f t="shared" si="105"/>
        <v>0.934073878506601</v>
      </c>
      <c r="CA254" s="165" t="e">
        <f t="shared" si="106"/>
        <v>#VALUE!</v>
      </c>
      <c r="CB254" s="165">
        <v>97</v>
      </c>
      <c r="CC254" s="165" t="e">
        <f t="shared" si="107"/>
        <v>#VALUE!</v>
      </c>
      <c r="CD254" s="1257" t="s">
        <v>2236</v>
      </c>
    </row>
    <row r="255" ht="15" customHeight="1" spans="1:82">
      <c r="A255" s="123" t="str">
        <f>IF(B255="","",COUNT(A$7:A254)+1)</f>
        <v/>
      </c>
      <c r="B255" s="139"/>
      <c r="C255" s="139"/>
      <c r="D255" s="141"/>
      <c r="E255" s="126"/>
      <c r="F255" s="142"/>
      <c r="G255" s="127"/>
      <c r="H255" s="128"/>
      <c r="I255" s="128"/>
      <c r="J255" s="980"/>
      <c r="K255" s="143"/>
      <c r="L255" s="143"/>
      <c r="M255" s="129"/>
      <c r="N255" s="144"/>
      <c r="O255" s="144"/>
      <c r="P255" s="144"/>
      <c r="Q255" s="143"/>
      <c r="R255" s="353" t="str">
        <f t="shared" si="113"/>
        <v/>
      </c>
      <c r="S255" s="129" t="str">
        <f t="shared" si="108"/>
        <v/>
      </c>
      <c r="T255" s="1226" t="str">
        <f t="shared" si="93"/>
        <v/>
      </c>
      <c r="U255" s="1226" t="str">
        <f t="shared" si="94"/>
        <v/>
      </c>
      <c r="V255" s="353" t="str">
        <f t="shared" si="112"/>
        <v/>
      </c>
      <c r="W255" s="129">
        <v>0</v>
      </c>
      <c r="X255" s="129">
        <v>0</v>
      </c>
      <c r="Y255" s="129" t="str">
        <f t="shared" si="109"/>
        <v/>
      </c>
      <c r="Z255" s="129" t="str">
        <f t="shared" si="110"/>
        <v/>
      </c>
      <c r="AA255" s="145"/>
      <c r="BA255" s="78"/>
      <c r="BB255" s="132" t="s">
        <v>2493</v>
      </c>
      <c r="BC255" s="133"/>
      <c r="BD255" s="132" t="str">
        <f>IF(OR(B255="",BC255=""),"",COUNTIF(BC$8:BC255,"√"))</f>
        <v/>
      </c>
      <c r="BE255" s="134" t="str">
        <f t="shared" si="95"/>
        <v/>
      </c>
      <c r="BF255" s="135" t="str">
        <f t="shared" si="104"/>
        <v/>
      </c>
      <c r="BG255" s="135" t="str">
        <f t="shared" si="104"/>
        <v/>
      </c>
      <c r="BH255" s="136"/>
      <c r="BI255" s="136"/>
      <c r="BJ255" s="136"/>
      <c r="BK255" s="136"/>
      <c r="BL255" s="137"/>
      <c r="BM255" s="137"/>
      <c r="BP255" s="134" t="str">
        <f>IF(COUNTIF(BP$7:BP254,B255)&gt;0,"",B255)&amp;""</f>
        <v/>
      </c>
      <c r="BQ255" s="138">
        <f t="shared" si="96"/>
        <v>0</v>
      </c>
      <c r="BR255" s="132">
        <f t="shared" si="97"/>
        <v>1</v>
      </c>
      <c r="BS255" s="138">
        <f t="shared" si="98"/>
        <v>0</v>
      </c>
      <c r="BT255" s="132">
        <f t="shared" si="99"/>
        <v>2</v>
      </c>
      <c r="BU255" s="133"/>
      <c r="BV255" s="133"/>
      <c r="BX255" s="1256">
        <v>43100</v>
      </c>
      <c r="BY255" s="165">
        <f>IFERROR(LOOKUP(BX255,基础数据!A:D),1)</f>
        <v>3.53915880885741</v>
      </c>
      <c r="BZ255" s="165">
        <f t="shared" si="105"/>
        <v>1.00524445538375</v>
      </c>
      <c r="CA255" s="165" t="e">
        <f t="shared" si="106"/>
        <v>#VALUE!</v>
      </c>
      <c r="CB255" s="165">
        <f t="shared" ref="CB255:CB276" si="114">CO$3</f>
        <v>90</v>
      </c>
      <c r="CC255" s="165" t="e">
        <f t="shared" si="107"/>
        <v>#VALUE!</v>
      </c>
      <c r="CD255" s="1257" t="s">
        <v>2237</v>
      </c>
    </row>
    <row r="256" ht="15" customHeight="1" spans="1:82">
      <c r="A256" s="123" t="str">
        <f>IF(B256="","",COUNT(A$7:A255)+1)</f>
        <v/>
      </c>
      <c r="B256" s="139"/>
      <c r="C256" s="139"/>
      <c r="D256" s="141"/>
      <c r="E256" s="126"/>
      <c r="F256" s="142"/>
      <c r="G256" s="127"/>
      <c r="H256" s="128"/>
      <c r="I256" s="128"/>
      <c r="J256" s="980"/>
      <c r="K256" s="143"/>
      <c r="L256" s="143"/>
      <c r="M256" s="129"/>
      <c r="N256" s="144"/>
      <c r="O256" s="144"/>
      <c r="P256" s="144"/>
      <c r="Q256" s="143"/>
      <c r="R256" s="353" t="str">
        <f t="shared" si="113"/>
        <v/>
      </c>
      <c r="S256" s="129" t="str">
        <f t="shared" si="108"/>
        <v/>
      </c>
      <c r="T256" s="1226" t="str">
        <f t="shared" si="93"/>
        <v/>
      </c>
      <c r="U256" s="1226" t="str">
        <f t="shared" si="94"/>
        <v/>
      </c>
      <c r="V256" s="353" t="str">
        <f t="shared" si="112"/>
        <v/>
      </c>
      <c r="W256" s="129">
        <v>0</v>
      </c>
      <c r="X256" s="129">
        <v>0</v>
      </c>
      <c r="Y256" s="129" t="str">
        <f t="shared" si="109"/>
        <v/>
      </c>
      <c r="Z256" s="129" t="str">
        <f t="shared" si="110"/>
        <v/>
      </c>
      <c r="AA256" s="145"/>
      <c r="BA256" s="78"/>
      <c r="BB256" s="132" t="s">
        <v>2494</v>
      </c>
      <c r="BC256" s="133"/>
      <c r="BD256" s="132" t="str">
        <f>IF(OR(B256="",BC256=""),"",COUNTIF(BC$8:BC256,"√"))</f>
        <v/>
      </c>
      <c r="BE256" s="134" t="str">
        <f t="shared" si="95"/>
        <v/>
      </c>
      <c r="BF256" s="135" t="str">
        <f t="shared" si="104"/>
        <v/>
      </c>
      <c r="BG256" s="135" t="str">
        <f t="shared" si="104"/>
        <v/>
      </c>
      <c r="BH256" s="136"/>
      <c r="BI256" s="136"/>
      <c r="BJ256" s="136"/>
      <c r="BK256" s="136"/>
      <c r="BL256" s="137"/>
      <c r="BM256" s="137"/>
      <c r="BP256" s="134" t="str">
        <f>IF(COUNTIF(BP$7:BP255,B256)&gt;0,"",B256)&amp;""</f>
        <v/>
      </c>
      <c r="BQ256" s="138">
        <f t="shared" si="96"/>
        <v>0</v>
      </c>
      <c r="BR256" s="132">
        <f t="shared" si="97"/>
        <v>1</v>
      </c>
      <c r="BS256" s="138">
        <f t="shared" si="98"/>
        <v>0</v>
      </c>
      <c r="BT256" s="132">
        <f t="shared" si="99"/>
        <v>2</v>
      </c>
      <c r="BU256" s="133"/>
      <c r="BV256" s="133"/>
      <c r="BX256" s="1256">
        <v>43100</v>
      </c>
      <c r="BY256" s="165">
        <f>IFERROR(LOOKUP(BX256,基础数据!A:D),1)</f>
        <v>3.53915880885741</v>
      </c>
      <c r="BZ256" s="165">
        <f t="shared" si="105"/>
        <v>1.00524445538375</v>
      </c>
      <c r="CA256" s="165" t="e">
        <f t="shared" si="106"/>
        <v>#VALUE!</v>
      </c>
      <c r="CB256" s="165">
        <f t="shared" si="114"/>
        <v>90</v>
      </c>
      <c r="CC256" s="165" t="e">
        <f t="shared" si="107"/>
        <v>#VALUE!</v>
      </c>
      <c r="CD256" s="1257" t="s">
        <v>2237</v>
      </c>
    </row>
    <row r="257" ht="15" customHeight="1" spans="1:82">
      <c r="A257" s="123" t="str">
        <f>IF(B257="","",COUNT(A$7:A256)+1)</f>
        <v/>
      </c>
      <c r="B257" s="139"/>
      <c r="C257" s="139"/>
      <c r="D257" s="141"/>
      <c r="E257" s="126"/>
      <c r="F257" s="142"/>
      <c r="G257" s="127"/>
      <c r="H257" s="128"/>
      <c r="I257" s="128"/>
      <c r="J257" s="980"/>
      <c r="K257" s="143"/>
      <c r="L257" s="143"/>
      <c r="M257" s="129"/>
      <c r="N257" s="144"/>
      <c r="O257" s="144"/>
      <c r="P257" s="144"/>
      <c r="Q257" s="143"/>
      <c r="R257" s="353" t="str">
        <f t="shared" si="113"/>
        <v/>
      </c>
      <c r="S257" s="129" t="str">
        <f t="shared" si="108"/>
        <v/>
      </c>
      <c r="T257" s="1226" t="str">
        <f t="shared" si="93"/>
        <v/>
      </c>
      <c r="U257" s="1226" t="str">
        <f t="shared" si="94"/>
        <v/>
      </c>
      <c r="V257" s="353" t="str">
        <f t="shared" si="112"/>
        <v/>
      </c>
      <c r="W257" s="129">
        <v>0</v>
      </c>
      <c r="X257" s="129">
        <v>0</v>
      </c>
      <c r="Y257" s="129" t="str">
        <f t="shared" si="109"/>
        <v/>
      </c>
      <c r="Z257" s="129" t="str">
        <f t="shared" si="110"/>
        <v/>
      </c>
      <c r="AA257" s="145"/>
      <c r="BA257" s="78"/>
      <c r="BB257" s="132" t="s">
        <v>2495</v>
      </c>
      <c r="BC257" s="133"/>
      <c r="BD257" s="132" t="str">
        <f>IF(OR(B257="",BC257=""),"",COUNTIF(BC$8:BC257,"√"))</f>
        <v/>
      </c>
      <c r="BE257" s="134" t="str">
        <f t="shared" si="95"/>
        <v/>
      </c>
      <c r="BF257" s="135" t="str">
        <f t="shared" si="104"/>
        <v/>
      </c>
      <c r="BG257" s="135" t="str">
        <f t="shared" si="104"/>
        <v/>
      </c>
      <c r="BH257" s="136"/>
      <c r="BI257" s="136"/>
      <c r="BJ257" s="136"/>
      <c r="BK257" s="136"/>
      <c r="BL257" s="137"/>
      <c r="BM257" s="137"/>
      <c r="BP257" s="134" t="str">
        <f>IF(COUNTIF(BP$7:BP256,B257)&gt;0,"",B257)&amp;""</f>
        <v/>
      </c>
      <c r="BQ257" s="138">
        <f t="shared" si="96"/>
        <v>0</v>
      </c>
      <c r="BR257" s="132">
        <f t="shared" si="97"/>
        <v>1</v>
      </c>
      <c r="BS257" s="138">
        <f t="shared" si="98"/>
        <v>0</v>
      </c>
      <c r="BT257" s="132">
        <f t="shared" si="99"/>
        <v>2</v>
      </c>
      <c r="BU257" s="133"/>
      <c r="BV257" s="133"/>
      <c r="BX257" s="1256">
        <v>43100</v>
      </c>
      <c r="BY257" s="165">
        <f>IFERROR(LOOKUP(BX257,基础数据!A:D),1)</f>
        <v>3.53915880885741</v>
      </c>
      <c r="BZ257" s="165">
        <f t="shared" si="105"/>
        <v>1.00524445538375</v>
      </c>
      <c r="CA257" s="165" t="e">
        <f t="shared" si="106"/>
        <v>#VALUE!</v>
      </c>
      <c r="CB257" s="165">
        <f t="shared" si="114"/>
        <v>90</v>
      </c>
      <c r="CC257" s="165" t="e">
        <f t="shared" si="107"/>
        <v>#VALUE!</v>
      </c>
      <c r="CD257" s="1257" t="s">
        <v>2237</v>
      </c>
    </row>
    <row r="258" ht="15" customHeight="1" spans="1:82">
      <c r="A258" s="123" t="str">
        <f>IF(B258="","",COUNT(A$7:A257)+1)</f>
        <v/>
      </c>
      <c r="B258" s="139"/>
      <c r="C258" s="139"/>
      <c r="D258" s="141"/>
      <c r="E258" s="126"/>
      <c r="F258" s="142"/>
      <c r="G258" s="127"/>
      <c r="H258" s="128"/>
      <c r="I258" s="128"/>
      <c r="J258" s="980"/>
      <c r="K258" s="143"/>
      <c r="L258" s="143"/>
      <c r="M258" s="129"/>
      <c r="N258" s="144"/>
      <c r="O258" s="144"/>
      <c r="P258" s="144"/>
      <c r="Q258" s="143"/>
      <c r="R258" s="353" t="str">
        <f t="shared" si="113"/>
        <v/>
      </c>
      <c r="S258" s="129" t="str">
        <f t="shared" si="108"/>
        <v/>
      </c>
      <c r="T258" s="1226" t="str">
        <f t="shared" si="93"/>
        <v/>
      </c>
      <c r="U258" s="1226" t="str">
        <f t="shared" si="94"/>
        <v/>
      </c>
      <c r="V258" s="353" t="str">
        <f t="shared" si="112"/>
        <v/>
      </c>
      <c r="W258" s="129">
        <v>0</v>
      </c>
      <c r="X258" s="129">
        <v>0</v>
      </c>
      <c r="Y258" s="129" t="str">
        <f t="shared" si="109"/>
        <v/>
      </c>
      <c r="Z258" s="129" t="str">
        <f t="shared" si="110"/>
        <v/>
      </c>
      <c r="AA258" s="145"/>
      <c r="BA258" s="78"/>
      <c r="BB258" s="132" t="s">
        <v>2496</v>
      </c>
      <c r="BC258" s="133"/>
      <c r="BD258" s="132" t="str">
        <f>IF(OR(B258="",BC258=""),"",COUNTIF(BC$8:BC258,"√"))</f>
        <v/>
      </c>
      <c r="BE258" s="134" t="str">
        <f t="shared" si="95"/>
        <v/>
      </c>
      <c r="BF258" s="135" t="str">
        <f t="shared" si="104"/>
        <v/>
      </c>
      <c r="BG258" s="135" t="str">
        <f t="shared" si="104"/>
        <v/>
      </c>
      <c r="BH258" s="136"/>
      <c r="BI258" s="136"/>
      <c r="BJ258" s="136"/>
      <c r="BK258" s="136"/>
      <c r="BL258" s="137"/>
      <c r="BM258" s="137"/>
      <c r="BP258" s="134" t="str">
        <f>IF(COUNTIF(BP$7:BP257,B258)&gt;0,"",B258)&amp;""</f>
        <v/>
      </c>
      <c r="BQ258" s="138">
        <f t="shared" si="96"/>
        <v>0</v>
      </c>
      <c r="BR258" s="132">
        <f t="shared" si="97"/>
        <v>1</v>
      </c>
      <c r="BS258" s="138">
        <f t="shared" si="98"/>
        <v>0</v>
      </c>
      <c r="BT258" s="132">
        <f t="shared" si="99"/>
        <v>2</v>
      </c>
      <c r="BU258" s="133"/>
      <c r="BV258" s="133"/>
      <c r="BX258" s="1256">
        <v>43100</v>
      </c>
      <c r="BY258" s="165">
        <f>IFERROR(LOOKUP(BX258,基础数据!A:D),1)</f>
        <v>3.53915880885741</v>
      </c>
      <c r="BZ258" s="165">
        <f t="shared" si="105"/>
        <v>1.00524445538375</v>
      </c>
      <c r="CA258" s="165" t="e">
        <f t="shared" si="106"/>
        <v>#VALUE!</v>
      </c>
      <c r="CB258" s="165">
        <f t="shared" si="114"/>
        <v>90</v>
      </c>
      <c r="CC258" s="165" t="e">
        <f t="shared" si="107"/>
        <v>#VALUE!</v>
      </c>
      <c r="CD258" s="1257" t="s">
        <v>2237</v>
      </c>
    </row>
    <row r="259" ht="15" customHeight="1" spans="1:82">
      <c r="A259" s="123" t="str">
        <f>IF(B259="","",COUNT(A$7:A258)+1)</f>
        <v/>
      </c>
      <c r="B259" s="139"/>
      <c r="C259" s="139"/>
      <c r="D259" s="141"/>
      <c r="E259" s="126"/>
      <c r="F259" s="142"/>
      <c r="G259" s="127"/>
      <c r="H259" s="128"/>
      <c r="I259" s="128"/>
      <c r="J259" s="980"/>
      <c r="K259" s="143"/>
      <c r="L259" s="143"/>
      <c r="M259" s="129"/>
      <c r="N259" s="144"/>
      <c r="O259" s="144"/>
      <c r="P259" s="144"/>
      <c r="Q259" s="143"/>
      <c r="R259" s="353" t="str">
        <f t="shared" si="113"/>
        <v/>
      </c>
      <c r="S259" s="129" t="str">
        <f t="shared" si="108"/>
        <v/>
      </c>
      <c r="T259" s="1226" t="str">
        <f t="shared" si="93"/>
        <v/>
      </c>
      <c r="U259" s="1226" t="str">
        <f t="shared" si="94"/>
        <v/>
      </c>
      <c r="V259" s="353" t="str">
        <f t="shared" si="112"/>
        <v/>
      </c>
      <c r="W259" s="129">
        <v>0</v>
      </c>
      <c r="X259" s="129">
        <v>0</v>
      </c>
      <c r="Y259" s="129" t="str">
        <f t="shared" si="109"/>
        <v/>
      </c>
      <c r="Z259" s="129" t="str">
        <f t="shared" si="110"/>
        <v/>
      </c>
      <c r="AA259" s="145"/>
      <c r="BA259" s="78"/>
      <c r="BB259" s="132" t="s">
        <v>2497</v>
      </c>
      <c r="BC259" s="133"/>
      <c r="BD259" s="132" t="str">
        <f>IF(OR(B259="",BC259=""),"",COUNTIF(BC$8:BC259,"√"))</f>
        <v/>
      </c>
      <c r="BE259" s="134" t="str">
        <f t="shared" si="95"/>
        <v/>
      </c>
      <c r="BF259" s="135" t="str">
        <f t="shared" si="104"/>
        <v/>
      </c>
      <c r="BG259" s="135" t="str">
        <f t="shared" si="104"/>
        <v/>
      </c>
      <c r="BH259" s="136"/>
      <c r="BI259" s="136"/>
      <c r="BJ259" s="136"/>
      <c r="BK259" s="136"/>
      <c r="BL259" s="137"/>
      <c r="BM259" s="137"/>
      <c r="BP259" s="134" t="str">
        <f>IF(COUNTIF(BP$7:BP258,B259)&gt;0,"",B259)&amp;""</f>
        <v/>
      </c>
      <c r="BQ259" s="138">
        <f t="shared" si="96"/>
        <v>0</v>
      </c>
      <c r="BR259" s="132">
        <f t="shared" si="97"/>
        <v>1</v>
      </c>
      <c r="BS259" s="138">
        <f t="shared" si="98"/>
        <v>0</v>
      </c>
      <c r="BT259" s="132">
        <f t="shared" si="99"/>
        <v>2</v>
      </c>
      <c r="BU259" s="133"/>
      <c r="BV259" s="133"/>
      <c r="BX259" s="1256">
        <v>43100</v>
      </c>
      <c r="BY259" s="165">
        <f>IFERROR(LOOKUP(BX259,基础数据!A:D),1)</f>
        <v>3.53915880885741</v>
      </c>
      <c r="BZ259" s="165">
        <f t="shared" si="105"/>
        <v>1.00524445538375</v>
      </c>
      <c r="CA259" s="165" t="e">
        <f t="shared" si="106"/>
        <v>#VALUE!</v>
      </c>
      <c r="CB259" s="165">
        <f t="shared" si="114"/>
        <v>90</v>
      </c>
      <c r="CC259" s="165" t="e">
        <f t="shared" si="107"/>
        <v>#VALUE!</v>
      </c>
      <c r="CD259" s="1257" t="s">
        <v>2237</v>
      </c>
    </row>
    <row r="260" ht="15" customHeight="1" spans="1:82">
      <c r="A260" s="123" t="str">
        <f>IF(B260="","",COUNT(A$7:A259)+1)</f>
        <v/>
      </c>
      <c r="B260" s="139"/>
      <c r="C260" s="139"/>
      <c r="D260" s="141"/>
      <c r="E260" s="126"/>
      <c r="F260" s="142"/>
      <c r="G260" s="127"/>
      <c r="H260" s="128"/>
      <c r="I260" s="128"/>
      <c r="J260" s="980"/>
      <c r="K260" s="143"/>
      <c r="L260" s="143"/>
      <c r="M260" s="129"/>
      <c r="N260" s="144"/>
      <c r="O260" s="144"/>
      <c r="P260" s="144"/>
      <c r="Q260" s="143"/>
      <c r="R260" s="353" t="str">
        <f t="shared" si="113"/>
        <v/>
      </c>
      <c r="S260" s="129" t="str">
        <f t="shared" si="108"/>
        <v/>
      </c>
      <c r="T260" s="1226" t="str">
        <f t="shared" si="93"/>
        <v/>
      </c>
      <c r="U260" s="1226" t="str">
        <f t="shared" si="94"/>
        <v/>
      </c>
      <c r="V260" s="353" t="str">
        <f t="shared" si="112"/>
        <v/>
      </c>
      <c r="W260" s="129">
        <v>0</v>
      </c>
      <c r="X260" s="129">
        <v>0</v>
      </c>
      <c r="Y260" s="129" t="str">
        <f t="shared" si="109"/>
        <v/>
      </c>
      <c r="Z260" s="129" t="str">
        <f t="shared" si="110"/>
        <v/>
      </c>
      <c r="AA260" s="145"/>
      <c r="BA260" s="78"/>
      <c r="BB260" s="132" t="s">
        <v>2498</v>
      </c>
      <c r="BC260" s="133"/>
      <c r="BD260" s="132" t="str">
        <f>IF(OR(B260="",BC260=""),"",COUNTIF(BC$8:BC260,"√"))</f>
        <v/>
      </c>
      <c r="BE260" s="134" t="str">
        <f t="shared" si="95"/>
        <v/>
      </c>
      <c r="BF260" s="135" t="str">
        <f t="shared" si="104"/>
        <v/>
      </c>
      <c r="BG260" s="135" t="str">
        <f t="shared" si="104"/>
        <v/>
      </c>
      <c r="BH260" s="136"/>
      <c r="BI260" s="136"/>
      <c r="BJ260" s="136"/>
      <c r="BK260" s="136"/>
      <c r="BL260" s="137"/>
      <c r="BM260" s="137"/>
      <c r="BP260" s="134" t="str">
        <f>IF(COUNTIF(BP$7:BP259,B260)&gt;0,"",B260)&amp;""</f>
        <v/>
      </c>
      <c r="BQ260" s="138">
        <f t="shared" si="96"/>
        <v>0</v>
      </c>
      <c r="BR260" s="132">
        <f t="shared" si="97"/>
        <v>1</v>
      </c>
      <c r="BS260" s="138">
        <f t="shared" si="98"/>
        <v>0</v>
      </c>
      <c r="BT260" s="132">
        <f t="shared" si="99"/>
        <v>2</v>
      </c>
      <c r="BU260" s="133"/>
      <c r="BV260" s="133"/>
      <c r="BX260" s="1256">
        <v>44872</v>
      </c>
      <c r="BY260" s="165">
        <f>IFERROR(LOOKUP(BX260,基础数据!A:D),1)</f>
        <v>3.83949417682846</v>
      </c>
      <c r="BZ260" s="165">
        <f t="shared" si="105"/>
        <v>0.926611580972689</v>
      </c>
      <c r="CA260" s="165" t="e">
        <f>ROUND(S260*BZ260,1)</f>
        <v>#VALUE!</v>
      </c>
      <c r="CB260" s="165">
        <f t="shared" si="114"/>
        <v>90</v>
      </c>
      <c r="CC260" s="165" t="e">
        <f>ROUND(CB260*CA260/100,1)</f>
        <v>#VALUE!</v>
      </c>
      <c r="CD260" s="1257" t="s">
        <v>2237</v>
      </c>
    </row>
    <row r="261" ht="15" customHeight="1" spans="1:82">
      <c r="A261" s="123" t="str">
        <f>IF(B261="","",COUNT(A$7:A260)+1)</f>
        <v/>
      </c>
      <c r="B261" s="139"/>
      <c r="C261" s="139"/>
      <c r="D261" s="141"/>
      <c r="E261" s="126"/>
      <c r="F261" s="142"/>
      <c r="G261" s="127"/>
      <c r="H261" s="128"/>
      <c r="I261" s="128"/>
      <c r="J261" s="980"/>
      <c r="K261" s="143"/>
      <c r="L261" s="143"/>
      <c r="M261" s="129"/>
      <c r="N261" s="144"/>
      <c r="O261" s="144"/>
      <c r="P261" s="144"/>
      <c r="Q261" s="143"/>
      <c r="R261" s="353" t="str">
        <f t="shared" si="113"/>
        <v/>
      </c>
      <c r="S261" s="129" t="str">
        <f t="shared" si="108"/>
        <v/>
      </c>
      <c r="T261" s="1226" t="str">
        <f t="shared" si="93"/>
        <v/>
      </c>
      <c r="U261" s="1226" t="str">
        <f t="shared" si="94"/>
        <v/>
      </c>
      <c r="V261" s="353" t="str">
        <f t="shared" si="112"/>
        <v/>
      </c>
      <c r="W261" s="129">
        <v>0</v>
      </c>
      <c r="X261" s="129">
        <v>0</v>
      </c>
      <c r="Y261" s="129" t="str">
        <f t="shared" si="109"/>
        <v/>
      </c>
      <c r="Z261" s="129" t="str">
        <f t="shared" si="110"/>
        <v/>
      </c>
      <c r="AA261" s="145"/>
      <c r="BA261" s="78"/>
      <c r="BB261" s="132" t="s">
        <v>2499</v>
      </c>
      <c r="BC261" s="133"/>
      <c r="BD261" s="132" t="str">
        <f>IF(OR(B261="",BC261=""),"",COUNTIF(BC$8:BC261,"√"))</f>
        <v/>
      </c>
      <c r="BE261" s="134" t="str">
        <f t="shared" si="95"/>
        <v/>
      </c>
      <c r="BF261" s="135" t="str">
        <f t="shared" si="104"/>
        <v/>
      </c>
      <c r="BG261" s="135" t="str">
        <f t="shared" si="104"/>
        <v/>
      </c>
      <c r="BH261" s="136"/>
      <c r="BI261" s="136"/>
      <c r="BJ261" s="136"/>
      <c r="BK261" s="136"/>
      <c r="BL261" s="137"/>
      <c r="BM261" s="137"/>
      <c r="BP261" s="134" t="str">
        <f>IF(COUNTIF(BP$7:BP260,B261)&gt;0,"",B261)&amp;""</f>
        <v/>
      </c>
      <c r="BQ261" s="138">
        <f t="shared" si="96"/>
        <v>0</v>
      </c>
      <c r="BR261" s="132">
        <f t="shared" si="97"/>
        <v>1</v>
      </c>
      <c r="BS261" s="138">
        <f t="shared" si="98"/>
        <v>0</v>
      </c>
      <c r="BT261" s="132">
        <f t="shared" si="99"/>
        <v>2</v>
      </c>
      <c r="BU261" s="133"/>
      <c r="BV261" s="133"/>
      <c r="BX261" s="1256">
        <v>44872</v>
      </c>
      <c r="BY261" s="165">
        <f>IFERROR(LOOKUP(BX261,基础数据!A:D),1)</f>
        <v>3.83949417682846</v>
      </c>
      <c r="BZ261" s="165">
        <f t="shared" si="105"/>
        <v>0.926611580972689</v>
      </c>
      <c r="CA261" s="165" t="e">
        <f t="shared" si="106"/>
        <v>#VALUE!</v>
      </c>
      <c r="CB261" s="165">
        <f t="shared" si="114"/>
        <v>90</v>
      </c>
      <c r="CC261" s="165" t="e">
        <f t="shared" si="107"/>
        <v>#VALUE!</v>
      </c>
      <c r="CD261" s="1257" t="s">
        <v>2237</v>
      </c>
    </row>
    <row r="262" ht="15" customHeight="1" spans="1:82">
      <c r="A262" s="123" t="str">
        <f>IF(B262="","",COUNT(A$7:A261)+1)</f>
        <v/>
      </c>
      <c r="B262" s="139"/>
      <c r="C262" s="139"/>
      <c r="D262" s="141"/>
      <c r="E262" s="126"/>
      <c r="F262" s="142"/>
      <c r="G262" s="127"/>
      <c r="H262" s="128"/>
      <c r="I262" s="128"/>
      <c r="J262" s="980"/>
      <c r="K262" s="143"/>
      <c r="L262" s="143"/>
      <c r="M262" s="129"/>
      <c r="N262" s="144"/>
      <c r="O262" s="144"/>
      <c r="P262" s="144"/>
      <c r="Q262" s="143"/>
      <c r="R262" s="353" t="str">
        <f t="shared" si="113"/>
        <v/>
      </c>
      <c r="S262" s="129" t="str">
        <f t="shared" si="108"/>
        <v/>
      </c>
      <c r="T262" s="1226" t="str">
        <f t="shared" si="93"/>
        <v/>
      </c>
      <c r="U262" s="1226" t="str">
        <f t="shared" si="94"/>
        <v/>
      </c>
      <c r="V262" s="353" t="str">
        <f t="shared" si="112"/>
        <v/>
      </c>
      <c r="W262" s="129">
        <v>0</v>
      </c>
      <c r="X262" s="129">
        <v>0</v>
      </c>
      <c r="Y262" s="129" t="str">
        <f t="shared" si="109"/>
        <v/>
      </c>
      <c r="Z262" s="129" t="str">
        <f t="shared" si="110"/>
        <v/>
      </c>
      <c r="AA262" s="145"/>
      <c r="BA262" s="78"/>
      <c r="BB262" s="132" t="s">
        <v>2500</v>
      </c>
      <c r="BC262" s="133"/>
      <c r="BD262" s="132" t="str">
        <f>IF(OR(B262="",BC262=""),"",COUNTIF(BC$8:BC262,"√"))</f>
        <v/>
      </c>
      <c r="BE262" s="134" t="str">
        <f t="shared" si="95"/>
        <v/>
      </c>
      <c r="BF262" s="135" t="str">
        <f t="shared" si="104"/>
        <v/>
      </c>
      <c r="BG262" s="135" t="str">
        <f t="shared" si="104"/>
        <v/>
      </c>
      <c r="BH262" s="136"/>
      <c r="BI262" s="136"/>
      <c r="BJ262" s="136"/>
      <c r="BK262" s="136"/>
      <c r="BL262" s="137"/>
      <c r="BM262" s="137"/>
      <c r="BP262" s="134" t="str">
        <f>IF(COUNTIF(BP$7:BP261,B262)&gt;0,"",B262)&amp;""</f>
        <v/>
      </c>
      <c r="BQ262" s="138">
        <f t="shared" si="96"/>
        <v>0</v>
      </c>
      <c r="BR262" s="132">
        <f t="shared" si="97"/>
        <v>1</v>
      </c>
      <c r="BS262" s="138">
        <f t="shared" si="98"/>
        <v>0</v>
      </c>
      <c r="BT262" s="132">
        <f t="shared" si="99"/>
        <v>2</v>
      </c>
      <c r="BU262" s="133"/>
      <c r="BV262" s="133"/>
      <c r="BX262" s="1256">
        <v>43100</v>
      </c>
      <c r="BY262" s="165">
        <f>IFERROR(LOOKUP(BX262,基础数据!A:D),1)</f>
        <v>3.53915880885741</v>
      </c>
      <c r="BZ262" s="165">
        <f t="shared" si="105"/>
        <v>1.00524445538375</v>
      </c>
      <c r="CA262" s="165" t="e">
        <f t="shared" si="106"/>
        <v>#VALUE!</v>
      </c>
      <c r="CB262" s="165">
        <f t="shared" si="114"/>
        <v>90</v>
      </c>
      <c r="CC262" s="165" t="e">
        <f t="shared" si="107"/>
        <v>#VALUE!</v>
      </c>
      <c r="CD262" s="1257" t="s">
        <v>2237</v>
      </c>
    </row>
    <row r="263" ht="15" customHeight="1" spans="1:82">
      <c r="A263" s="123" t="str">
        <f>IF(B263="","",COUNT(A$7:A262)+1)</f>
        <v/>
      </c>
      <c r="B263" s="139"/>
      <c r="C263" s="139"/>
      <c r="D263" s="141"/>
      <c r="E263" s="126"/>
      <c r="F263" s="142"/>
      <c r="G263" s="127"/>
      <c r="H263" s="128"/>
      <c r="I263" s="128"/>
      <c r="J263" s="980"/>
      <c r="K263" s="143"/>
      <c r="L263" s="143"/>
      <c r="M263" s="129"/>
      <c r="N263" s="144"/>
      <c r="O263" s="144"/>
      <c r="P263" s="144"/>
      <c r="Q263" s="143"/>
      <c r="R263" s="353" t="str">
        <f t="shared" si="113"/>
        <v/>
      </c>
      <c r="S263" s="129" t="str">
        <f t="shared" si="108"/>
        <v/>
      </c>
      <c r="T263" s="1226" t="str">
        <f t="shared" si="93"/>
        <v/>
      </c>
      <c r="U263" s="1226" t="str">
        <f t="shared" si="94"/>
        <v/>
      </c>
      <c r="V263" s="353" t="str">
        <f t="shared" si="112"/>
        <v/>
      </c>
      <c r="W263" s="129">
        <v>0</v>
      </c>
      <c r="X263" s="129">
        <v>0</v>
      </c>
      <c r="Y263" s="129" t="str">
        <f t="shared" si="109"/>
        <v/>
      </c>
      <c r="Z263" s="129" t="str">
        <f t="shared" si="110"/>
        <v/>
      </c>
      <c r="AA263" s="145"/>
      <c r="BA263" s="78"/>
      <c r="BB263" s="132" t="s">
        <v>2501</v>
      </c>
      <c r="BC263" s="133"/>
      <c r="BD263" s="132" t="str">
        <f>IF(OR(B263="",BC263=""),"",COUNTIF(BC$8:BC263,"√"))</f>
        <v/>
      </c>
      <c r="BE263" s="134" t="str">
        <f t="shared" si="95"/>
        <v/>
      </c>
      <c r="BF263" s="135" t="str">
        <f t="shared" si="104"/>
        <v/>
      </c>
      <c r="BG263" s="135" t="str">
        <f t="shared" si="104"/>
        <v/>
      </c>
      <c r="BH263" s="136"/>
      <c r="BI263" s="136"/>
      <c r="BJ263" s="136"/>
      <c r="BK263" s="136"/>
      <c r="BL263" s="137"/>
      <c r="BM263" s="137"/>
      <c r="BP263" s="134" t="str">
        <f>IF(COUNTIF(BP$7:BP262,B263)&gt;0,"",B263)&amp;""</f>
        <v/>
      </c>
      <c r="BQ263" s="138">
        <f t="shared" si="96"/>
        <v>0</v>
      </c>
      <c r="BR263" s="132">
        <f t="shared" si="97"/>
        <v>1</v>
      </c>
      <c r="BS263" s="138">
        <f t="shared" si="98"/>
        <v>0</v>
      </c>
      <c r="BT263" s="132">
        <f t="shared" si="99"/>
        <v>2</v>
      </c>
      <c r="BU263" s="133"/>
      <c r="BV263" s="133"/>
      <c r="BX263" s="1256">
        <v>43100</v>
      </c>
      <c r="BY263" s="165">
        <f>IFERROR(LOOKUP(BX263,基础数据!A:D),1)</f>
        <v>3.53915880885741</v>
      </c>
      <c r="BZ263" s="165">
        <f t="shared" si="105"/>
        <v>1.00524445538375</v>
      </c>
      <c r="CA263" s="165" t="e">
        <f t="shared" si="106"/>
        <v>#VALUE!</v>
      </c>
      <c r="CB263" s="165">
        <f t="shared" si="114"/>
        <v>90</v>
      </c>
      <c r="CC263" s="165" t="e">
        <f t="shared" si="107"/>
        <v>#VALUE!</v>
      </c>
      <c r="CD263" s="1257" t="s">
        <v>2237</v>
      </c>
    </row>
    <row r="264" ht="15" customHeight="1" spans="1:82">
      <c r="A264" s="123" t="str">
        <f>IF(B264="","",COUNT(A$7:A263)+1)</f>
        <v/>
      </c>
      <c r="B264" s="139"/>
      <c r="C264" s="139"/>
      <c r="D264" s="141"/>
      <c r="E264" s="126"/>
      <c r="F264" s="142"/>
      <c r="G264" s="127"/>
      <c r="H264" s="128"/>
      <c r="I264" s="128"/>
      <c r="J264" s="980"/>
      <c r="K264" s="143"/>
      <c r="L264" s="143"/>
      <c r="M264" s="129"/>
      <c r="N264" s="144"/>
      <c r="O264" s="144"/>
      <c r="P264" s="144"/>
      <c r="Q264" s="143"/>
      <c r="R264" s="353" t="str">
        <f t="shared" si="113"/>
        <v/>
      </c>
      <c r="S264" s="129" t="str">
        <f t="shared" si="108"/>
        <v/>
      </c>
      <c r="T264" s="1226" t="str">
        <f t="shared" si="93"/>
        <v/>
      </c>
      <c r="U264" s="1226" t="str">
        <f t="shared" si="94"/>
        <v/>
      </c>
      <c r="V264" s="353" t="str">
        <f t="shared" si="112"/>
        <v/>
      </c>
      <c r="W264" s="129">
        <v>0</v>
      </c>
      <c r="X264" s="129">
        <v>0</v>
      </c>
      <c r="Y264" s="129" t="str">
        <f t="shared" si="109"/>
        <v/>
      </c>
      <c r="Z264" s="129" t="str">
        <f t="shared" si="110"/>
        <v/>
      </c>
      <c r="AA264" s="145"/>
      <c r="BA264" s="78"/>
      <c r="BB264" s="132" t="s">
        <v>2502</v>
      </c>
      <c r="BC264" s="133"/>
      <c r="BD264" s="132" t="str">
        <f>IF(OR(B264="",BC264=""),"",COUNTIF(BC$8:BC264,"√"))</f>
        <v/>
      </c>
      <c r="BE264" s="134" t="str">
        <f t="shared" si="95"/>
        <v/>
      </c>
      <c r="BF264" s="135" t="str">
        <f t="shared" si="104"/>
        <v/>
      </c>
      <c r="BG264" s="135" t="str">
        <f t="shared" si="104"/>
        <v/>
      </c>
      <c r="BH264" s="136"/>
      <c r="BI264" s="136"/>
      <c r="BJ264" s="136"/>
      <c r="BK264" s="136"/>
      <c r="BL264" s="137"/>
      <c r="BM264" s="137"/>
      <c r="BP264" s="134" t="str">
        <f>IF(COUNTIF(BP$7:BP263,B264)&gt;0,"",B264)&amp;""</f>
        <v/>
      </c>
      <c r="BQ264" s="138">
        <f t="shared" si="96"/>
        <v>0</v>
      </c>
      <c r="BR264" s="132">
        <f t="shared" si="97"/>
        <v>1</v>
      </c>
      <c r="BS264" s="138">
        <f t="shared" si="98"/>
        <v>0</v>
      </c>
      <c r="BT264" s="132">
        <f t="shared" si="99"/>
        <v>2</v>
      </c>
      <c r="BU264" s="133"/>
      <c r="BV264" s="133"/>
      <c r="BX264" s="1256">
        <v>43100</v>
      </c>
      <c r="BY264" s="165">
        <f>IFERROR(LOOKUP(BX264,基础数据!A:D),1)</f>
        <v>3.53915880885741</v>
      </c>
      <c r="BZ264" s="165">
        <f t="shared" si="105"/>
        <v>1.00524445538375</v>
      </c>
      <c r="CA264" s="165" t="e">
        <f t="shared" si="106"/>
        <v>#VALUE!</v>
      </c>
      <c r="CB264" s="165">
        <v>97</v>
      </c>
      <c r="CC264" s="165" t="e">
        <f t="shared" si="107"/>
        <v>#VALUE!</v>
      </c>
      <c r="CD264" s="1257" t="s">
        <v>2236</v>
      </c>
    </row>
    <row r="265" ht="15" customHeight="1" spans="1:82">
      <c r="A265" s="123" t="str">
        <f>IF(B265="","",COUNT(A$7:A264)+1)</f>
        <v/>
      </c>
      <c r="B265" s="139"/>
      <c r="C265" s="139"/>
      <c r="D265" s="141"/>
      <c r="E265" s="126"/>
      <c r="F265" s="142"/>
      <c r="G265" s="127"/>
      <c r="H265" s="128"/>
      <c r="I265" s="128"/>
      <c r="J265" s="980"/>
      <c r="K265" s="143"/>
      <c r="L265" s="143"/>
      <c r="M265" s="129"/>
      <c r="N265" s="144"/>
      <c r="O265" s="144"/>
      <c r="P265" s="144"/>
      <c r="Q265" s="143"/>
      <c r="R265" s="353" t="str">
        <f t="shared" si="113"/>
        <v/>
      </c>
      <c r="S265" s="129" t="str">
        <f t="shared" si="108"/>
        <v/>
      </c>
      <c r="T265" s="1226" t="str">
        <f t="shared" si="93"/>
        <v/>
      </c>
      <c r="U265" s="1226" t="str">
        <f t="shared" si="94"/>
        <v/>
      </c>
      <c r="V265" s="353" t="str">
        <f t="shared" si="112"/>
        <v/>
      </c>
      <c r="W265" s="129">
        <v>0</v>
      </c>
      <c r="X265" s="129">
        <v>0</v>
      </c>
      <c r="Y265" s="129" t="str">
        <f t="shared" si="109"/>
        <v/>
      </c>
      <c r="Z265" s="129" t="str">
        <f t="shared" si="110"/>
        <v/>
      </c>
      <c r="AA265" s="145"/>
      <c r="BA265" s="78"/>
      <c r="BB265" s="132" t="s">
        <v>2503</v>
      </c>
      <c r="BC265" s="133"/>
      <c r="BD265" s="132" t="str">
        <f>IF(OR(B265="",BC265=""),"",COUNTIF(BC$8:BC265,"√"))</f>
        <v/>
      </c>
      <c r="BE265" s="134" t="str">
        <f t="shared" si="95"/>
        <v/>
      </c>
      <c r="BF265" s="135" t="str">
        <f t="shared" si="104"/>
        <v/>
      </c>
      <c r="BG265" s="135" t="str">
        <f t="shared" si="104"/>
        <v/>
      </c>
      <c r="BH265" s="136"/>
      <c r="BI265" s="136"/>
      <c r="BJ265" s="136"/>
      <c r="BK265" s="136"/>
      <c r="BL265" s="137"/>
      <c r="BM265" s="137"/>
      <c r="BP265" s="134" t="str">
        <f>IF(COUNTIF(BP$7:BP264,B265)&gt;0,"",B265)&amp;""</f>
        <v/>
      </c>
      <c r="BQ265" s="138">
        <f t="shared" si="96"/>
        <v>0</v>
      </c>
      <c r="BR265" s="132">
        <f t="shared" si="97"/>
        <v>1</v>
      </c>
      <c r="BS265" s="138">
        <f t="shared" si="98"/>
        <v>0</v>
      </c>
      <c r="BT265" s="132">
        <f t="shared" si="99"/>
        <v>2</v>
      </c>
      <c r="BU265" s="133"/>
      <c r="BV265" s="133"/>
      <c r="BX265" s="1256">
        <v>43100</v>
      </c>
      <c r="BY265" s="165">
        <f>IFERROR(LOOKUP(BX265,基础数据!A:D),1)</f>
        <v>3.53915880885741</v>
      </c>
      <c r="BZ265" s="165">
        <f t="shared" si="105"/>
        <v>1.00524445538375</v>
      </c>
      <c r="CA265" s="165" t="e">
        <f t="shared" si="106"/>
        <v>#VALUE!</v>
      </c>
      <c r="CB265" s="165">
        <f t="shared" si="114"/>
        <v>90</v>
      </c>
      <c r="CC265" s="165" t="e">
        <f t="shared" si="107"/>
        <v>#VALUE!</v>
      </c>
      <c r="CD265" s="1257" t="s">
        <v>2237</v>
      </c>
    </row>
    <row r="266" ht="15" customHeight="1" spans="1:82">
      <c r="A266" s="123" t="str">
        <f>IF(B266="","",COUNT(A$7:A265)+1)</f>
        <v/>
      </c>
      <c r="B266" s="139"/>
      <c r="C266" s="139"/>
      <c r="D266" s="141"/>
      <c r="E266" s="126"/>
      <c r="F266" s="142"/>
      <c r="G266" s="127"/>
      <c r="H266" s="128"/>
      <c r="I266" s="128"/>
      <c r="J266" s="980"/>
      <c r="K266" s="143"/>
      <c r="L266" s="143"/>
      <c r="M266" s="129"/>
      <c r="N266" s="144"/>
      <c r="O266" s="144"/>
      <c r="P266" s="144"/>
      <c r="Q266" s="143"/>
      <c r="R266" s="353" t="str">
        <f t="shared" si="113"/>
        <v/>
      </c>
      <c r="S266" s="129" t="str">
        <f t="shared" si="108"/>
        <v/>
      </c>
      <c r="T266" s="1226" t="str">
        <f t="shared" ref="T266:T329" si="115">IF(B266="","",L266+O266)</f>
        <v/>
      </c>
      <c r="U266" s="1226" t="str">
        <f t="shared" ref="U266:U329" si="116">IF(B266="","",M266+P266)</f>
        <v/>
      </c>
      <c r="V266" s="353" t="str">
        <f t="shared" si="112"/>
        <v/>
      </c>
      <c r="W266" s="129">
        <v>0</v>
      </c>
      <c r="X266" s="129">
        <v>0</v>
      </c>
      <c r="Y266" s="129" t="str">
        <f t="shared" si="109"/>
        <v/>
      </c>
      <c r="Z266" s="129" t="str">
        <f t="shared" si="110"/>
        <v/>
      </c>
      <c r="AA266" s="145"/>
      <c r="BA266" s="78"/>
      <c r="BB266" s="132" t="s">
        <v>2504</v>
      </c>
      <c r="BC266" s="133"/>
      <c r="BD266" s="132" t="str">
        <f>IF(OR(B266="",BC266=""),"",COUNTIF(BC$8:BC266,"√"))</f>
        <v/>
      </c>
      <c r="BE266" s="134" t="str">
        <f t="shared" si="95"/>
        <v/>
      </c>
      <c r="BF266" s="135" t="str">
        <f t="shared" si="104"/>
        <v/>
      </c>
      <c r="BG266" s="135" t="str">
        <f t="shared" si="104"/>
        <v/>
      </c>
      <c r="BH266" s="136"/>
      <c r="BI266" s="136"/>
      <c r="BJ266" s="136"/>
      <c r="BK266" s="136"/>
      <c r="BL266" s="137"/>
      <c r="BM266" s="137"/>
      <c r="BP266" s="134" t="str">
        <f>IF(COUNTIF(BP$7:BP265,B266)&gt;0,"",B266)&amp;""</f>
        <v/>
      </c>
      <c r="BQ266" s="138">
        <f t="shared" si="96"/>
        <v>0</v>
      </c>
      <c r="BR266" s="132">
        <f t="shared" si="97"/>
        <v>1</v>
      </c>
      <c r="BS266" s="138">
        <f t="shared" si="98"/>
        <v>0</v>
      </c>
      <c r="BT266" s="132">
        <f t="shared" si="99"/>
        <v>2</v>
      </c>
      <c r="BU266" s="133"/>
      <c r="BV266" s="133"/>
      <c r="BX266" s="1256">
        <v>43100</v>
      </c>
      <c r="BY266" s="165">
        <f>IFERROR(LOOKUP(BX266,基础数据!A:D),1)</f>
        <v>3.53915880885741</v>
      </c>
      <c r="BZ266" s="165">
        <f t="shared" si="105"/>
        <v>1.00524445538375</v>
      </c>
      <c r="CA266" s="165">
        <f>ROUND(BN266/1.13,0)</f>
        <v>0</v>
      </c>
      <c r="CB266" s="165">
        <f t="shared" si="114"/>
        <v>90</v>
      </c>
      <c r="CC266" s="165">
        <f t="shared" si="107"/>
        <v>0</v>
      </c>
      <c r="CD266" s="1257" t="s">
        <v>2237</v>
      </c>
    </row>
    <row r="267" ht="15" customHeight="1" spans="1:82">
      <c r="A267" s="123" t="str">
        <f>IF(B267="","",COUNT(A$7:A266)+1)</f>
        <v/>
      </c>
      <c r="B267" s="139"/>
      <c r="C267" s="139"/>
      <c r="D267" s="141"/>
      <c r="E267" s="126"/>
      <c r="F267" s="142"/>
      <c r="G267" s="127"/>
      <c r="H267" s="128"/>
      <c r="I267" s="128"/>
      <c r="J267" s="980"/>
      <c r="K267" s="143"/>
      <c r="L267" s="143"/>
      <c r="M267" s="129"/>
      <c r="N267" s="144"/>
      <c r="O267" s="144"/>
      <c r="P267" s="144"/>
      <c r="Q267" s="143"/>
      <c r="R267" s="353" t="str">
        <f t="shared" si="113"/>
        <v/>
      </c>
      <c r="S267" s="129" t="str">
        <f t="shared" si="108"/>
        <v/>
      </c>
      <c r="T267" s="1226" t="str">
        <f t="shared" si="115"/>
        <v/>
      </c>
      <c r="U267" s="1226" t="str">
        <f t="shared" si="116"/>
        <v/>
      </c>
      <c r="V267" s="353" t="str">
        <f t="shared" si="112"/>
        <v/>
      </c>
      <c r="W267" s="129">
        <v>0</v>
      </c>
      <c r="X267" s="129">
        <v>0</v>
      </c>
      <c r="Y267" s="129" t="str">
        <f t="shared" si="109"/>
        <v/>
      </c>
      <c r="Z267" s="129" t="str">
        <f t="shared" si="110"/>
        <v/>
      </c>
      <c r="AA267" s="145"/>
      <c r="BA267" s="78"/>
      <c r="BB267" s="132" t="s">
        <v>2505</v>
      </c>
      <c r="BC267" s="133"/>
      <c r="BD267" s="132" t="str">
        <f>IF(OR(B267="",BC267=""),"",COUNTIF(BC$8:BC267,"√"))</f>
        <v/>
      </c>
      <c r="BE267" s="134" t="str">
        <f t="shared" si="95"/>
        <v/>
      </c>
      <c r="BF267" s="135" t="str">
        <f t="shared" si="104"/>
        <v/>
      </c>
      <c r="BG267" s="135" t="str">
        <f t="shared" si="104"/>
        <v/>
      </c>
      <c r="BH267" s="136"/>
      <c r="BI267" s="136"/>
      <c r="BJ267" s="136"/>
      <c r="BK267" s="136"/>
      <c r="BL267" s="137"/>
      <c r="BM267" s="137"/>
      <c r="BP267" s="134" t="str">
        <f>IF(COUNTIF(BP$7:BP266,B267)&gt;0,"",B267)&amp;""</f>
        <v/>
      </c>
      <c r="BQ267" s="138">
        <f t="shared" si="96"/>
        <v>0</v>
      </c>
      <c r="BR267" s="132">
        <f t="shared" si="97"/>
        <v>1</v>
      </c>
      <c r="BS267" s="138">
        <f t="shared" si="98"/>
        <v>0</v>
      </c>
      <c r="BT267" s="132">
        <f t="shared" si="99"/>
        <v>2</v>
      </c>
      <c r="BU267" s="133"/>
      <c r="BV267" s="133"/>
      <c r="BX267" s="1256">
        <v>43100</v>
      </c>
      <c r="BY267" s="165">
        <f>IFERROR(LOOKUP(BX267,基础数据!A:D),1)</f>
        <v>3.53915880885741</v>
      </c>
      <c r="BZ267" s="165">
        <f t="shared" si="105"/>
        <v>1.00524445538375</v>
      </c>
      <c r="CA267" s="165" t="e">
        <f t="shared" si="106"/>
        <v>#VALUE!</v>
      </c>
      <c r="CB267" s="165">
        <f t="shared" si="114"/>
        <v>90</v>
      </c>
      <c r="CC267" s="165" t="e">
        <f t="shared" si="107"/>
        <v>#VALUE!</v>
      </c>
      <c r="CD267" s="1257" t="s">
        <v>2237</v>
      </c>
    </row>
    <row r="268" ht="15" customHeight="1" spans="1:82">
      <c r="A268" s="123" t="str">
        <f>IF(B268="","",COUNT(A$7:A267)+1)</f>
        <v/>
      </c>
      <c r="B268" s="139"/>
      <c r="C268" s="139"/>
      <c r="D268" s="141"/>
      <c r="E268" s="126"/>
      <c r="F268" s="142"/>
      <c r="G268" s="127"/>
      <c r="H268" s="128"/>
      <c r="I268" s="128"/>
      <c r="J268" s="980"/>
      <c r="K268" s="143"/>
      <c r="L268" s="143"/>
      <c r="M268" s="129"/>
      <c r="N268" s="144"/>
      <c r="O268" s="144"/>
      <c r="P268" s="144"/>
      <c r="Q268" s="143"/>
      <c r="R268" s="353" t="str">
        <f t="shared" si="113"/>
        <v/>
      </c>
      <c r="S268" s="129" t="str">
        <f t="shared" si="108"/>
        <v/>
      </c>
      <c r="T268" s="1226" t="str">
        <f t="shared" si="115"/>
        <v/>
      </c>
      <c r="U268" s="1226" t="str">
        <f t="shared" si="116"/>
        <v/>
      </c>
      <c r="V268" s="353" t="str">
        <f t="shared" si="112"/>
        <v/>
      </c>
      <c r="W268" s="129">
        <v>0</v>
      </c>
      <c r="X268" s="129">
        <v>0</v>
      </c>
      <c r="Y268" s="129" t="str">
        <f t="shared" si="109"/>
        <v/>
      </c>
      <c r="Z268" s="129" t="str">
        <f t="shared" si="110"/>
        <v/>
      </c>
      <c r="AA268" s="145"/>
      <c r="BA268" s="78"/>
      <c r="BB268" s="132" t="s">
        <v>2506</v>
      </c>
      <c r="BC268" s="133"/>
      <c r="BD268" s="132" t="str">
        <f>IF(OR(B268="",BC268=""),"",COUNTIF(BC$8:BC268,"√"))</f>
        <v/>
      </c>
      <c r="BE268" s="134" t="str">
        <f t="shared" si="95"/>
        <v/>
      </c>
      <c r="BF268" s="135" t="str">
        <f t="shared" si="104"/>
        <v/>
      </c>
      <c r="BG268" s="135" t="str">
        <f t="shared" si="104"/>
        <v/>
      </c>
      <c r="BH268" s="136"/>
      <c r="BI268" s="136"/>
      <c r="BJ268" s="136"/>
      <c r="BK268" s="136"/>
      <c r="BL268" s="137"/>
      <c r="BM268" s="137"/>
      <c r="BP268" s="134" t="str">
        <f>IF(COUNTIF(BP$7:BP267,B268)&gt;0,"",B268)&amp;""</f>
        <v/>
      </c>
      <c r="BQ268" s="138">
        <f t="shared" si="96"/>
        <v>0</v>
      </c>
      <c r="BR268" s="132">
        <f t="shared" si="97"/>
        <v>1</v>
      </c>
      <c r="BS268" s="138">
        <f t="shared" si="98"/>
        <v>0</v>
      </c>
      <c r="BT268" s="132">
        <f t="shared" si="99"/>
        <v>2</v>
      </c>
      <c r="BU268" s="133"/>
      <c r="BV268" s="133"/>
      <c r="BX268" s="1256">
        <v>43100</v>
      </c>
      <c r="BY268" s="165">
        <f>IFERROR(LOOKUP(BX268,基础数据!A:D),1)</f>
        <v>3.53915880885741</v>
      </c>
      <c r="BZ268" s="165">
        <f t="shared" si="105"/>
        <v>1.00524445538375</v>
      </c>
      <c r="CA268" s="165" t="e">
        <f t="shared" si="106"/>
        <v>#VALUE!</v>
      </c>
      <c r="CB268" s="165">
        <f t="shared" si="114"/>
        <v>90</v>
      </c>
      <c r="CC268" s="165" t="e">
        <f t="shared" si="107"/>
        <v>#VALUE!</v>
      </c>
      <c r="CD268" s="1257" t="s">
        <v>2237</v>
      </c>
    </row>
    <row r="269" ht="15" customHeight="1" spans="1:82">
      <c r="A269" s="123" t="str">
        <f>IF(B269="","",COUNT(A$7:A268)+1)</f>
        <v/>
      </c>
      <c r="B269" s="798"/>
      <c r="C269" s="139"/>
      <c r="D269" s="141"/>
      <c r="E269" s="126"/>
      <c r="F269" s="142"/>
      <c r="G269" s="127"/>
      <c r="H269" s="128"/>
      <c r="I269" s="128"/>
      <c r="J269" s="980"/>
      <c r="K269" s="143"/>
      <c r="L269" s="143"/>
      <c r="M269" s="129"/>
      <c r="N269" s="144"/>
      <c r="O269" s="144"/>
      <c r="P269" s="144"/>
      <c r="Q269" s="143"/>
      <c r="R269" s="353" t="str">
        <f t="shared" si="113"/>
        <v/>
      </c>
      <c r="S269" s="129" t="str">
        <f t="shared" si="108"/>
        <v/>
      </c>
      <c r="T269" s="1226" t="str">
        <f t="shared" si="115"/>
        <v/>
      </c>
      <c r="U269" s="1226" t="str">
        <f t="shared" si="116"/>
        <v/>
      </c>
      <c r="V269" s="353" t="str">
        <f t="shared" si="112"/>
        <v/>
      </c>
      <c r="W269" s="129">
        <v>0</v>
      </c>
      <c r="X269" s="129">
        <v>0</v>
      </c>
      <c r="Y269" s="129" t="str">
        <f t="shared" si="109"/>
        <v/>
      </c>
      <c r="Z269" s="129" t="str">
        <f t="shared" si="110"/>
        <v/>
      </c>
      <c r="AA269" s="145"/>
      <c r="BA269" s="78"/>
      <c r="BB269" s="132" t="s">
        <v>2507</v>
      </c>
      <c r="BC269" s="133"/>
      <c r="BD269" s="132" t="str">
        <f>IF(OR(B269="",BC269=""),"",COUNTIF(BC$8:BC269,"√"))</f>
        <v/>
      </c>
      <c r="BE269" s="134" t="str">
        <f t="shared" si="95"/>
        <v/>
      </c>
      <c r="BF269" s="135" t="str">
        <f t="shared" si="104"/>
        <v/>
      </c>
      <c r="BG269" s="135" t="str">
        <f t="shared" si="104"/>
        <v/>
      </c>
      <c r="BH269" s="136"/>
      <c r="BI269" s="136"/>
      <c r="BJ269" s="136"/>
      <c r="BK269" s="136"/>
      <c r="BL269" s="137"/>
      <c r="BM269" s="137"/>
      <c r="BP269" s="134" t="str">
        <f>IF(COUNTIF(BP$7:BP268,B269)&gt;0,"",B269)&amp;""</f>
        <v/>
      </c>
      <c r="BQ269" s="138">
        <f t="shared" si="96"/>
        <v>0</v>
      </c>
      <c r="BR269" s="132">
        <f t="shared" si="97"/>
        <v>1</v>
      </c>
      <c r="BS269" s="138">
        <f t="shared" si="98"/>
        <v>0</v>
      </c>
      <c r="BT269" s="132">
        <f t="shared" si="99"/>
        <v>2</v>
      </c>
      <c r="BU269" s="133"/>
      <c r="BV269" s="133"/>
      <c r="BX269" s="1256">
        <v>43100</v>
      </c>
      <c r="BY269" s="165">
        <f>IFERROR(LOOKUP(BX269,基础数据!A:D),1)</f>
        <v>3.53915880885741</v>
      </c>
      <c r="BZ269" s="165">
        <f t="shared" si="105"/>
        <v>1.00524445538375</v>
      </c>
      <c r="CA269" s="165" t="e">
        <f t="shared" si="106"/>
        <v>#VALUE!</v>
      </c>
      <c r="CB269" s="165">
        <v>97</v>
      </c>
      <c r="CC269" s="165" t="e">
        <f t="shared" si="107"/>
        <v>#VALUE!</v>
      </c>
      <c r="CD269" s="1257" t="s">
        <v>2236</v>
      </c>
    </row>
    <row r="270" ht="15" customHeight="1" spans="1:82">
      <c r="A270" s="123" t="str">
        <f>IF(B270="","",COUNT(A$7:A269)+1)</f>
        <v/>
      </c>
      <c r="B270" s="139"/>
      <c r="C270" s="139"/>
      <c r="D270" s="141"/>
      <c r="E270" s="126"/>
      <c r="F270" s="142"/>
      <c r="G270" s="127"/>
      <c r="H270" s="128"/>
      <c r="I270" s="128"/>
      <c r="J270" s="980"/>
      <c r="K270" s="143"/>
      <c r="L270" s="143"/>
      <c r="M270" s="129"/>
      <c r="N270" s="144"/>
      <c r="O270" s="144"/>
      <c r="P270" s="144"/>
      <c r="Q270" s="143"/>
      <c r="R270" s="353" t="str">
        <f t="shared" si="113"/>
        <v/>
      </c>
      <c r="S270" s="129" t="str">
        <f t="shared" si="108"/>
        <v/>
      </c>
      <c r="T270" s="1226" t="str">
        <f t="shared" si="115"/>
        <v/>
      </c>
      <c r="U270" s="1226" t="str">
        <f t="shared" si="116"/>
        <v/>
      </c>
      <c r="V270" s="353" t="str">
        <f t="shared" si="112"/>
        <v/>
      </c>
      <c r="W270" s="129">
        <v>0</v>
      </c>
      <c r="X270" s="129">
        <v>0</v>
      </c>
      <c r="Y270" s="129" t="str">
        <f t="shared" si="109"/>
        <v/>
      </c>
      <c r="Z270" s="129" t="str">
        <f t="shared" si="110"/>
        <v/>
      </c>
      <c r="AA270" s="145"/>
      <c r="BA270" s="78"/>
      <c r="BB270" s="132" t="s">
        <v>2508</v>
      </c>
      <c r="BC270" s="133"/>
      <c r="BD270" s="132" t="str">
        <f>IF(OR(B270="",BC270=""),"",COUNTIF(BC$8:BC270,"√"))</f>
        <v/>
      </c>
      <c r="BE270" s="134" t="str">
        <f t="shared" si="95"/>
        <v/>
      </c>
      <c r="BF270" s="135" t="str">
        <f t="shared" si="104"/>
        <v/>
      </c>
      <c r="BG270" s="135" t="str">
        <f t="shared" si="104"/>
        <v/>
      </c>
      <c r="BH270" s="136"/>
      <c r="BI270" s="136"/>
      <c r="BJ270" s="136"/>
      <c r="BK270" s="136"/>
      <c r="BL270" s="137"/>
      <c r="BM270" s="137"/>
      <c r="BP270" s="134" t="str">
        <f>IF(COUNTIF(BP$7:BP269,B270)&gt;0,"",B270)&amp;""</f>
        <v/>
      </c>
      <c r="BQ270" s="138">
        <f t="shared" si="96"/>
        <v>0</v>
      </c>
      <c r="BR270" s="132">
        <f t="shared" si="97"/>
        <v>1</v>
      </c>
      <c r="BS270" s="138">
        <f t="shared" si="98"/>
        <v>0</v>
      </c>
      <c r="BT270" s="132">
        <f t="shared" si="99"/>
        <v>2</v>
      </c>
      <c r="BU270" s="133"/>
      <c r="BV270" s="133"/>
      <c r="BX270" s="1256">
        <v>43100</v>
      </c>
      <c r="BY270" s="165">
        <f>IFERROR(LOOKUP(BX270,基础数据!A:D),1)</f>
        <v>3.53915880885741</v>
      </c>
      <c r="BZ270" s="165">
        <f t="shared" si="105"/>
        <v>1.00524445538375</v>
      </c>
      <c r="CA270" s="165" t="e">
        <f t="shared" si="106"/>
        <v>#VALUE!</v>
      </c>
      <c r="CB270" s="165">
        <v>97</v>
      </c>
      <c r="CC270" s="165" t="e">
        <f t="shared" si="107"/>
        <v>#VALUE!</v>
      </c>
      <c r="CD270" s="1257" t="s">
        <v>2236</v>
      </c>
    </row>
    <row r="271" ht="15" customHeight="1" spans="1:82">
      <c r="A271" s="123" t="str">
        <f>IF(B271="","",COUNT(A$7:A270)+1)</f>
        <v/>
      </c>
      <c r="B271" s="139"/>
      <c r="C271" s="139"/>
      <c r="D271" s="141"/>
      <c r="E271" s="126"/>
      <c r="F271" s="142"/>
      <c r="G271" s="127"/>
      <c r="H271" s="128"/>
      <c r="I271" s="128"/>
      <c r="J271" s="980"/>
      <c r="K271" s="143"/>
      <c r="L271" s="143"/>
      <c r="M271" s="129"/>
      <c r="N271" s="144"/>
      <c r="O271" s="144"/>
      <c r="P271" s="144"/>
      <c r="Q271" s="143"/>
      <c r="R271" s="353" t="str">
        <f t="shared" si="113"/>
        <v/>
      </c>
      <c r="S271" s="129" t="str">
        <f t="shared" si="108"/>
        <v/>
      </c>
      <c r="T271" s="1226" t="str">
        <f t="shared" si="115"/>
        <v/>
      </c>
      <c r="U271" s="1226" t="str">
        <f t="shared" si="116"/>
        <v/>
      </c>
      <c r="V271" s="353" t="str">
        <f t="shared" si="112"/>
        <v/>
      </c>
      <c r="W271" s="129">
        <v>0</v>
      </c>
      <c r="X271" s="129">
        <v>0</v>
      </c>
      <c r="Y271" s="129" t="str">
        <f t="shared" si="109"/>
        <v/>
      </c>
      <c r="Z271" s="129" t="str">
        <f t="shared" si="110"/>
        <v/>
      </c>
      <c r="AA271" s="145"/>
      <c r="BA271" s="78"/>
      <c r="BB271" s="132" t="s">
        <v>2509</v>
      </c>
      <c r="BC271" s="133"/>
      <c r="BD271" s="132" t="str">
        <f>IF(OR(B271="",BC271=""),"",COUNTIF(BC$8:BC271,"√"))</f>
        <v/>
      </c>
      <c r="BE271" s="134" t="str">
        <f t="shared" si="95"/>
        <v/>
      </c>
      <c r="BF271" s="135" t="str">
        <f t="shared" si="104"/>
        <v/>
      </c>
      <c r="BG271" s="135" t="str">
        <f t="shared" si="104"/>
        <v/>
      </c>
      <c r="BH271" s="136"/>
      <c r="BI271" s="136"/>
      <c r="BJ271" s="136"/>
      <c r="BK271" s="136"/>
      <c r="BL271" s="137"/>
      <c r="BM271" s="137"/>
      <c r="BP271" s="134" t="str">
        <f>IF(COUNTIF(BP$7:BP270,B271)&gt;0,"",B271)&amp;""</f>
        <v/>
      </c>
      <c r="BQ271" s="138">
        <f t="shared" si="96"/>
        <v>0</v>
      </c>
      <c r="BR271" s="132">
        <f t="shared" si="97"/>
        <v>1</v>
      </c>
      <c r="BS271" s="138">
        <f t="shared" si="98"/>
        <v>0</v>
      </c>
      <c r="BT271" s="132">
        <f t="shared" si="99"/>
        <v>2</v>
      </c>
      <c r="BU271" s="133"/>
      <c r="BV271" s="133"/>
      <c r="BX271" s="1256">
        <v>43100</v>
      </c>
      <c r="BY271" s="165">
        <f>IFERROR(LOOKUP(BX271,基础数据!A:D),1)</f>
        <v>3.53915880885741</v>
      </c>
      <c r="BZ271" s="165">
        <f t="shared" si="105"/>
        <v>1.00524445538375</v>
      </c>
      <c r="CA271" s="165" t="e">
        <f t="shared" si="106"/>
        <v>#VALUE!</v>
      </c>
      <c r="CB271" s="165">
        <v>97</v>
      </c>
      <c r="CC271" s="165" t="e">
        <f t="shared" si="107"/>
        <v>#VALUE!</v>
      </c>
      <c r="CD271" s="1257" t="s">
        <v>2236</v>
      </c>
    </row>
    <row r="272" ht="15" customHeight="1" spans="1:82">
      <c r="A272" s="123" t="str">
        <f>IF(B272="","",COUNT(A$7:A271)+1)</f>
        <v/>
      </c>
      <c r="B272" s="139"/>
      <c r="C272" s="139"/>
      <c r="D272" s="141"/>
      <c r="E272" s="126"/>
      <c r="F272" s="142"/>
      <c r="G272" s="127"/>
      <c r="H272" s="128"/>
      <c r="I272" s="128"/>
      <c r="J272" s="980"/>
      <c r="K272" s="143"/>
      <c r="L272" s="143"/>
      <c r="M272" s="129"/>
      <c r="N272" s="144"/>
      <c r="O272" s="144"/>
      <c r="P272" s="144"/>
      <c r="Q272" s="143"/>
      <c r="R272" s="353" t="str">
        <f t="shared" si="113"/>
        <v/>
      </c>
      <c r="S272" s="129" t="str">
        <f t="shared" si="108"/>
        <v/>
      </c>
      <c r="T272" s="1226" t="str">
        <f t="shared" si="115"/>
        <v/>
      </c>
      <c r="U272" s="1226" t="str">
        <f t="shared" si="116"/>
        <v/>
      </c>
      <c r="V272" s="353" t="str">
        <f t="shared" si="112"/>
        <v/>
      </c>
      <c r="W272" s="129">
        <v>0</v>
      </c>
      <c r="X272" s="129">
        <v>0</v>
      </c>
      <c r="Y272" s="129" t="str">
        <f t="shared" si="109"/>
        <v/>
      </c>
      <c r="Z272" s="129" t="str">
        <f t="shared" si="110"/>
        <v/>
      </c>
      <c r="AA272" s="145"/>
      <c r="BA272" s="78"/>
      <c r="BB272" s="132" t="s">
        <v>2510</v>
      </c>
      <c r="BC272" s="133"/>
      <c r="BD272" s="132" t="str">
        <f>IF(OR(B272="",BC272=""),"",COUNTIF(BC$8:BC272,"√"))</f>
        <v/>
      </c>
      <c r="BE272" s="134" t="str">
        <f t="shared" si="95"/>
        <v/>
      </c>
      <c r="BF272" s="135" t="str">
        <f t="shared" si="104"/>
        <v/>
      </c>
      <c r="BG272" s="135" t="str">
        <f t="shared" si="104"/>
        <v/>
      </c>
      <c r="BH272" s="136"/>
      <c r="BI272" s="136"/>
      <c r="BJ272" s="136"/>
      <c r="BK272" s="136"/>
      <c r="BL272" s="137"/>
      <c r="BM272" s="137"/>
      <c r="BP272" s="134" t="str">
        <f>IF(COUNTIF(BP$7:BP271,B272)&gt;0,"",B272)&amp;""</f>
        <v/>
      </c>
      <c r="BQ272" s="138">
        <f t="shared" si="96"/>
        <v>0</v>
      </c>
      <c r="BR272" s="132">
        <f t="shared" si="97"/>
        <v>1</v>
      </c>
      <c r="BS272" s="138">
        <f t="shared" si="98"/>
        <v>0</v>
      </c>
      <c r="BT272" s="132">
        <f t="shared" si="99"/>
        <v>2</v>
      </c>
      <c r="BU272" s="133"/>
      <c r="BV272" s="133"/>
      <c r="BX272" s="1256">
        <v>43100</v>
      </c>
      <c r="BY272" s="165">
        <f>IFERROR(LOOKUP(BX272,基础数据!A:D),1)</f>
        <v>3.53915880885741</v>
      </c>
      <c r="BZ272" s="165">
        <f t="shared" si="105"/>
        <v>1.00524445538375</v>
      </c>
      <c r="CA272" s="165" t="e">
        <f t="shared" si="106"/>
        <v>#VALUE!</v>
      </c>
      <c r="CB272" s="165">
        <f t="shared" si="114"/>
        <v>90</v>
      </c>
      <c r="CC272" s="165" t="e">
        <f t="shared" si="107"/>
        <v>#VALUE!</v>
      </c>
      <c r="CD272" s="1257" t="s">
        <v>2237</v>
      </c>
    </row>
    <row r="273" ht="15" customHeight="1" spans="1:82">
      <c r="A273" s="123" t="str">
        <f>IF(B273="","",COUNT(A$7:A272)+1)</f>
        <v/>
      </c>
      <c r="B273" s="139"/>
      <c r="C273" s="139"/>
      <c r="D273" s="141"/>
      <c r="E273" s="126"/>
      <c r="F273" s="142"/>
      <c r="G273" s="127"/>
      <c r="H273" s="128"/>
      <c r="I273" s="128"/>
      <c r="J273" s="980"/>
      <c r="K273" s="143"/>
      <c r="L273" s="143"/>
      <c r="M273" s="129"/>
      <c r="N273" s="144"/>
      <c r="O273" s="144"/>
      <c r="P273" s="144"/>
      <c r="Q273" s="143"/>
      <c r="R273" s="353" t="str">
        <f t="shared" si="113"/>
        <v/>
      </c>
      <c r="S273" s="129" t="str">
        <f t="shared" si="108"/>
        <v/>
      </c>
      <c r="T273" s="1226" t="str">
        <f t="shared" si="115"/>
        <v/>
      </c>
      <c r="U273" s="1226" t="str">
        <f t="shared" si="116"/>
        <v/>
      </c>
      <c r="V273" s="353" t="str">
        <f t="shared" si="112"/>
        <v/>
      </c>
      <c r="W273" s="129">
        <v>0</v>
      </c>
      <c r="X273" s="129">
        <v>0</v>
      </c>
      <c r="Y273" s="129" t="str">
        <f t="shared" si="109"/>
        <v/>
      </c>
      <c r="Z273" s="129" t="str">
        <f t="shared" si="110"/>
        <v/>
      </c>
      <c r="AA273" s="145"/>
      <c r="BA273" s="78"/>
      <c r="BB273" s="132" t="s">
        <v>2511</v>
      </c>
      <c r="BC273" s="133"/>
      <c r="BD273" s="132" t="str">
        <f>IF(OR(B273="",BC273=""),"",COUNTIF(BC$8:BC273,"√"))</f>
        <v/>
      </c>
      <c r="BE273" s="134" t="str">
        <f t="shared" si="95"/>
        <v/>
      </c>
      <c r="BF273" s="135" t="str">
        <f t="shared" si="104"/>
        <v/>
      </c>
      <c r="BG273" s="135" t="str">
        <f t="shared" si="104"/>
        <v/>
      </c>
      <c r="BH273" s="136"/>
      <c r="BI273" s="136"/>
      <c r="BJ273" s="136"/>
      <c r="BK273" s="136"/>
      <c r="BL273" s="137"/>
      <c r="BM273" s="137"/>
      <c r="BP273" s="134" t="str">
        <f>IF(COUNTIF(BP$7:BP272,B273)&gt;0,"",B273)&amp;""</f>
        <v/>
      </c>
      <c r="BQ273" s="138">
        <f t="shared" si="96"/>
        <v>0</v>
      </c>
      <c r="BR273" s="132">
        <f t="shared" si="97"/>
        <v>1</v>
      </c>
      <c r="BS273" s="138">
        <f t="shared" si="98"/>
        <v>0</v>
      </c>
      <c r="BT273" s="132">
        <f t="shared" si="99"/>
        <v>2</v>
      </c>
      <c r="BU273" s="133"/>
      <c r="BV273" s="133"/>
      <c r="BX273" s="1256">
        <v>43100</v>
      </c>
      <c r="BY273" s="165">
        <f>IFERROR(LOOKUP(BX273,基础数据!A:D),1)</f>
        <v>3.53915880885741</v>
      </c>
      <c r="BZ273" s="165">
        <f t="shared" si="105"/>
        <v>1.00524445538375</v>
      </c>
      <c r="CA273" s="165" t="e">
        <f t="shared" si="106"/>
        <v>#VALUE!</v>
      </c>
      <c r="CB273" s="165">
        <f t="shared" si="114"/>
        <v>90</v>
      </c>
      <c r="CC273" s="165" t="e">
        <f t="shared" si="107"/>
        <v>#VALUE!</v>
      </c>
      <c r="CD273" s="1257" t="s">
        <v>2237</v>
      </c>
    </row>
    <row r="274" ht="15" customHeight="1" spans="1:82">
      <c r="A274" s="123" t="str">
        <f>IF(B274="","",COUNT(A$7:A273)+1)</f>
        <v/>
      </c>
      <c r="B274" s="139"/>
      <c r="C274" s="139"/>
      <c r="D274" s="141"/>
      <c r="E274" s="126"/>
      <c r="F274" s="142"/>
      <c r="G274" s="127"/>
      <c r="H274" s="128"/>
      <c r="I274" s="128"/>
      <c r="J274" s="980"/>
      <c r="K274" s="143"/>
      <c r="L274" s="143"/>
      <c r="M274" s="129"/>
      <c r="N274" s="144"/>
      <c r="O274" s="144"/>
      <c r="P274" s="144"/>
      <c r="Q274" s="143"/>
      <c r="R274" s="353" t="str">
        <f t="shared" si="113"/>
        <v/>
      </c>
      <c r="S274" s="129" t="str">
        <f t="shared" si="108"/>
        <v/>
      </c>
      <c r="T274" s="1226" t="str">
        <f t="shared" si="115"/>
        <v/>
      </c>
      <c r="U274" s="1226" t="str">
        <f t="shared" si="116"/>
        <v/>
      </c>
      <c r="V274" s="353" t="str">
        <f t="shared" si="112"/>
        <v/>
      </c>
      <c r="W274" s="129">
        <v>0</v>
      </c>
      <c r="X274" s="129">
        <v>0</v>
      </c>
      <c r="Y274" s="129" t="str">
        <f t="shared" si="109"/>
        <v/>
      </c>
      <c r="Z274" s="129" t="str">
        <f t="shared" si="110"/>
        <v/>
      </c>
      <c r="AA274" s="145"/>
      <c r="BA274" s="78"/>
      <c r="BB274" s="132" t="s">
        <v>2512</v>
      </c>
      <c r="BC274" s="133"/>
      <c r="BD274" s="132" t="str">
        <f>IF(OR(B274="",BC274=""),"",COUNTIF(BC$8:BC274,"√"))</f>
        <v/>
      </c>
      <c r="BE274" s="134" t="str">
        <f t="shared" si="95"/>
        <v/>
      </c>
      <c r="BF274" s="135" t="str">
        <f t="shared" si="104"/>
        <v/>
      </c>
      <c r="BG274" s="135" t="str">
        <f t="shared" si="104"/>
        <v/>
      </c>
      <c r="BH274" s="136"/>
      <c r="BI274" s="136"/>
      <c r="BJ274" s="136"/>
      <c r="BK274" s="136"/>
      <c r="BL274" s="137"/>
      <c r="BM274" s="137"/>
      <c r="BP274" s="134" t="str">
        <f>IF(COUNTIF(BP$7:BP273,B274)&gt;0,"",B274)&amp;""</f>
        <v/>
      </c>
      <c r="BQ274" s="138">
        <f t="shared" si="96"/>
        <v>0</v>
      </c>
      <c r="BR274" s="132">
        <f t="shared" si="97"/>
        <v>1</v>
      </c>
      <c r="BS274" s="138">
        <f t="shared" si="98"/>
        <v>0</v>
      </c>
      <c r="BT274" s="132">
        <f t="shared" si="99"/>
        <v>2</v>
      </c>
      <c r="BU274" s="133"/>
      <c r="BV274" s="133"/>
      <c r="BX274" s="1256">
        <v>43100</v>
      </c>
      <c r="BY274" s="165">
        <f>IFERROR(LOOKUP(BX274,基础数据!A:D),1)</f>
        <v>3.53915880885741</v>
      </c>
      <c r="BZ274" s="165">
        <f t="shared" si="105"/>
        <v>1.00524445538375</v>
      </c>
      <c r="CA274" s="165" t="e">
        <f t="shared" si="106"/>
        <v>#VALUE!</v>
      </c>
      <c r="CB274" s="165">
        <f t="shared" si="114"/>
        <v>90</v>
      </c>
      <c r="CC274" s="165" t="e">
        <f t="shared" si="107"/>
        <v>#VALUE!</v>
      </c>
      <c r="CD274" s="1257" t="s">
        <v>2237</v>
      </c>
    </row>
    <row r="275" ht="15" customHeight="1" spans="1:82">
      <c r="A275" s="123" t="str">
        <f>IF(B275="","",COUNT(A$7:A274)+1)</f>
        <v/>
      </c>
      <c r="B275" s="139"/>
      <c r="C275" s="139"/>
      <c r="D275" s="141"/>
      <c r="E275" s="126"/>
      <c r="F275" s="142"/>
      <c r="G275" s="127"/>
      <c r="H275" s="128"/>
      <c r="I275" s="128"/>
      <c r="J275" s="980"/>
      <c r="K275" s="143"/>
      <c r="L275" s="143"/>
      <c r="M275" s="129"/>
      <c r="N275" s="144"/>
      <c r="O275" s="144"/>
      <c r="P275" s="144"/>
      <c r="Q275" s="143"/>
      <c r="R275" s="353" t="str">
        <f t="shared" si="113"/>
        <v/>
      </c>
      <c r="S275" s="129" t="str">
        <f t="shared" si="108"/>
        <v/>
      </c>
      <c r="T275" s="1226" t="str">
        <f t="shared" si="115"/>
        <v/>
      </c>
      <c r="U275" s="1226" t="str">
        <f t="shared" si="116"/>
        <v/>
      </c>
      <c r="V275" s="353" t="str">
        <f t="shared" si="112"/>
        <v/>
      </c>
      <c r="W275" s="129">
        <v>0</v>
      </c>
      <c r="X275" s="129">
        <v>0</v>
      </c>
      <c r="Y275" s="129" t="str">
        <f t="shared" si="109"/>
        <v/>
      </c>
      <c r="Z275" s="129" t="str">
        <f t="shared" si="110"/>
        <v/>
      </c>
      <c r="AA275" s="145"/>
      <c r="BA275" s="78"/>
      <c r="BB275" s="132" t="s">
        <v>2513</v>
      </c>
      <c r="BC275" s="133"/>
      <c r="BD275" s="132" t="str">
        <f>IF(OR(B275="",BC275=""),"",COUNTIF(BC$8:BC275,"√"))</f>
        <v/>
      </c>
      <c r="BE275" s="134" t="str">
        <f t="shared" ref="BE275:BE338" si="117">IF(BC275="","",BB275&amp;"︱"&amp;B275&amp;"︱"&amp;TEXT(L275,"#,##0.00"))</f>
        <v/>
      </c>
      <c r="BF275" s="135" t="str">
        <f t="shared" si="104"/>
        <v/>
      </c>
      <c r="BG275" s="135" t="str">
        <f t="shared" si="104"/>
        <v/>
      </c>
      <c r="BH275" s="136"/>
      <c r="BI275" s="136"/>
      <c r="BJ275" s="136"/>
      <c r="BK275" s="136"/>
      <c r="BL275" s="137"/>
      <c r="BM275" s="137"/>
      <c r="BP275" s="134" t="str">
        <f>IF(COUNTIF(BP$7:BP274,B275)&gt;0,"",B275)&amp;""</f>
        <v/>
      </c>
      <c r="BQ275" s="138">
        <f t="shared" ref="BQ275:BQ338" si="118">SUMIF(B$8:B$397,BP275,T$8:T$397)</f>
        <v>0</v>
      </c>
      <c r="BR275" s="132">
        <f t="shared" ref="BR275:BR338" si="119">RANK(BQ275,BQ$8:BQ$397)</f>
        <v>1</v>
      </c>
      <c r="BS275" s="138">
        <f t="shared" ref="BS275:BS338" si="120">SUMIF(B$8:B$397,BP275,X$8:X$397)</f>
        <v>0</v>
      </c>
      <c r="BT275" s="132">
        <f t="shared" ref="BT275:BT338" si="121">RANK(BS275,BS$8:BS$397)</f>
        <v>2</v>
      </c>
      <c r="BU275" s="133"/>
      <c r="BV275" s="133"/>
      <c r="BX275" s="1256">
        <v>43100</v>
      </c>
      <c r="BY275" s="165">
        <f>IFERROR(LOOKUP(BX275,基础数据!A:D),1)</f>
        <v>3.53915880885741</v>
      </c>
      <c r="BZ275" s="165">
        <f t="shared" si="105"/>
        <v>1.00524445538375</v>
      </c>
      <c r="CA275" s="165" t="e">
        <f t="shared" si="106"/>
        <v>#VALUE!</v>
      </c>
      <c r="CB275" s="165">
        <f t="shared" si="114"/>
        <v>90</v>
      </c>
      <c r="CC275" s="165" t="e">
        <f t="shared" si="107"/>
        <v>#VALUE!</v>
      </c>
      <c r="CD275" s="1257" t="s">
        <v>2237</v>
      </c>
    </row>
    <row r="276" ht="15" customHeight="1" spans="1:82">
      <c r="A276" s="123" t="str">
        <f>IF(B276="","",COUNT(A$7:A275)+1)</f>
        <v/>
      </c>
      <c r="B276" s="139"/>
      <c r="C276" s="139"/>
      <c r="D276" s="141"/>
      <c r="E276" s="126"/>
      <c r="F276" s="142"/>
      <c r="G276" s="127"/>
      <c r="H276" s="128"/>
      <c r="I276" s="128"/>
      <c r="J276" s="980"/>
      <c r="K276" s="143"/>
      <c r="L276" s="143"/>
      <c r="M276" s="129"/>
      <c r="N276" s="144"/>
      <c r="O276" s="144"/>
      <c r="P276" s="144"/>
      <c r="Q276" s="143"/>
      <c r="R276" s="353" t="str">
        <f t="shared" si="113"/>
        <v/>
      </c>
      <c r="S276" s="129" t="str">
        <f t="shared" si="108"/>
        <v/>
      </c>
      <c r="T276" s="1226" t="str">
        <f t="shared" si="115"/>
        <v/>
      </c>
      <c r="U276" s="1226" t="str">
        <f t="shared" si="116"/>
        <v/>
      </c>
      <c r="V276" s="353" t="str">
        <f t="shared" si="112"/>
        <v/>
      </c>
      <c r="W276" s="129">
        <v>0</v>
      </c>
      <c r="X276" s="129">
        <v>0</v>
      </c>
      <c r="Y276" s="129" t="str">
        <f t="shared" si="109"/>
        <v/>
      </c>
      <c r="Z276" s="129" t="str">
        <f t="shared" si="110"/>
        <v/>
      </c>
      <c r="AA276" s="145"/>
      <c r="BA276" s="78"/>
      <c r="BB276" s="132" t="s">
        <v>2514</v>
      </c>
      <c r="BC276" s="133"/>
      <c r="BD276" s="132" t="str">
        <f>IF(OR(B276="",BC276=""),"",COUNTIF(BC$8:BC276,"√"))</f>
        <v/>
      </c>
      <c r="BE276" s="134" t="str">
        <f t="shared" si="117"/>
        <v/>
      </c>
      <c r="BF276" s="135" t="str">
        <f t="shared" si="104"/>
        <v/>
      </c>
      <c r="BG276" s="135" t="str">
        <f t="shared" si="104"/>
        <v/>
      </c>
      <c r="BH276" s="136"/>
      <c r="BI276" s="136"/>
      <c r="BJ276" s="136"/>
      <c r="BK276" s="136"/>
      <c r="BL276" s="137"/>
      <c r="BM276" s="137"/>
      <c r="BP276" s="134" t="str">
        <f>IF(COUNTIF(BP$7:BP275,B276)&gt;0,"",B276)&amp;""</f>
        <v/>
      </c>
      <c r="BQ276" s="138">
        <f t="shared" si="118"/>
        <v>0</v>
      </c>
      <c r="BR276" s="132">
        <f t="shared" si="119"/>
        <v>1</v>
      </c>
      <c r="BS276" s="138">
        <f t="shared" si="120"/>
        <v>0</v>
      </c>
      <c r="BT276" s="132">
        <f t="shared" si="121"/>
        <v>2</v>
      </c>
      <c r="BU276" s="133"/>
      <c r="BV276" s="133"/>
      <c r="BX276" s="1256">
        <v>43100</v>
      </c>
      <c r="BY276" s="165">
        <f>IFERROR(LOOKUP(BX276,基础数据!A:D),1)</f>
        <v>3.53915880885741</v>
      </c>
      <c r="BZ276" s="165">
        <f t="shared" si="105"/>
        <v>1.00524445538375</v>
      </c>
      <c r="CA276" s="165" t="e">
        <f t="shared" si="106"/>
        <v>#VALUE!</v>
      </c>
      <c r="CB276" s="165">
        <f t="shared" si="114"/>
        <v>90</v>
      </c>
      <c r="CC276" s="165" t="e">
        <f t="shared" si="107"/>
        <v>#VALUE!</v>
      </c>
      <c r="CD276" s="1257" t="s">
        <v>2237</v>
      </c>
    </row>
    <row r="277" ht="15" customHeight="1" spans="1:82">
      <c r="A277" s="123" t="str">
        <f>IF(B277="","",COUNT(A$7:A276)+1)</f>
        <v/>
      </c>
      <c r="B277" s="139"/>
      <c r="C277" s="139"/>
      <c r="D277" s="141"/>
      <c r="E277" s="126"/>
      <c r="F277" s="142"/>
      <c r="G277" s="127"/>
      <c r="H277" s="128"/>
      <c r="I277" s="128"/>
      <c r="J277" s="980"/>
      <c r="K277" s="143"/>
      <c r="L277" s="143"/>
      <c r="M277" s="129"/>
      <c r="N277" s="144"/>
      <c r="O277" s="144"/>
      <c r="P277" s="144"/>
      <c r="Q277" s="143"/>
      <c r="R277" s="353" t="str">
        <f t="shared" si="113"/>
        <v/>
      </c>
      <c r="S277" s="129" t="str">
        <f t="shared" si="108"/>
        <v/>
      </c>
      <c r="T277" s="1226" t="str">
        <f t="shared" si="115"/>
        <v/>
      </c>
      <c r="U277" s="1226" t="str">
        <f t="shared" si="116"/>
        <v/>
      </c>
      <c r="V277" s="353" t="str">
        <f t="shared" si="112"/>
        <v/>
      </c>
      <c r="W277" s="129">
        <v>0</v>
      </c>
      <c r="X277" s="129">
        <v>0</v>
      </c>
      <c r="Y277" s="129" t="str">
        <f t="shared" si="109"/>
        <v/>
      </c>
      <c r="Z277" s="129" t="str">
        <f t="shared" si="110"/>
        <v/>
      </c>
      <c r="AA277" s="145"/>
      <c r="BA277" s="78"/>
      <c r="BB277" s="132" t="s">
        <v>2515</v>
      </c>
      <c r="BC277" s="133"/>
      <c r="BD277" s="132" t="str">
        <f>IF(OR(B277="",BC277=""),"",COUNTIF(BC$8:BC277,"√"))</f>
        <v/>
      </c>
      <c r="BE277" s="134" t="str">
        <f t="shared" si="117"/>
        <v/>
      </c>
      <c r="BF277" s="135" t="str">
        <f t="shared" si="104"/>
        <v/>
      </c>
      <c r="BG277" s="135" t="str">
        <f t="shared" si="104"/>
        <v/>
      </c>
      <c r="BH277" s="136"/>
      <c r="BI277" s="136"/>
      <c r="BJ277" s="136"/>
      <c r="BK277" s="136"/>
      <c r="BL277" s="137"/>
      <c r="BM277" s="137"/>
      <c r="BP277" s="134" t="str">
        <f>IF(COUNTIF(BP$7:BP276,B277)&gt;0,"",B277)&amp;""</f>
        <v/>
      </c>
      <c r="BQ277" s="138">
        <f t="shared" si="118"/>
        <v>0</v>
      </c>
      <c r="BR277" s="132">
        <f t="shared" si="119"/>
        <v>1</v>
      </c>
      <c r="BS277" s="138">
        <f t="shared" si="120"/>
        <v>0</v>
      </c>
      <c r="BT277" s="132">
        <f t="shared" si="121"/>
        <v>2</v>
      </c>
      <c r="BU277" s="133"/>
      <c r="BV277" s="133"/>
      <c r="BX277" s="1256">
        <v>43100</v>
      </c>
      <c r="BY277" s="165">
        <f>IFERROR(LOOKUP(BX277,基础数据!A:D),1)</f>
        <v>3.53915880885741</v>
      </c>
      <c r="BZ277" s="165">
        <f t="shared" si="105"/>
        <v>1.00524445538375</v>
      </c>
      <c r="CA277" s="165" t="e">
        <f>ROUND(S277*BZ277,1)</f>
        <v>#VALUE!</v>
      </c>
      <c r="CB277" s="165">
        <f t="shared" ref="CB277:CB282" si="122">CO$2</f>
        <v>95</v>
      </c>
      <c r="CC277" s="165" t="e">
        <f>ROUND(CB277*CA277/100,1)</f>
        <v>#VALUE!</v>
      </c>
      <c r="CD277" s="1260" t="s">
        <v>2236</v>
      </c>
    </row>
    <row r="278" ht="15" customHeight="1" spans="1:82">
      <c r="A278" s="123" t="str">
        <f>IF(B278="","",COUNT(A$7:A277)+1)</f>
        <v/>
      </c>
      <c r="B278" s="139"/>
      <c r="C278" s="139"/>
      <c r="D278" s="141"/>
      <c r="E278" s="126"/>
      <c r="F278" s="142"/>
      <c r="G278" s="127"/>
      <c r="H278" s="128"/>
      <c r="I278" s="128"/>
      <c r="J278" s="980"/>
      <c r="K278" s="143"/>
      <c r="L278" s="143"/>
      <c r="M278" s="129"/>
      <c r="N278" s="144"/>
      <c r="O278" s="144"/>
      <c r="P278" s="144"/>
      <c r="Q278" s="143"/>
      <c r="R278" s="353" t="str">
        <f t="shared" si="113"/>
        <v/>
      </c>
      <c r="S278" s="129" t="str">
        <f t="shared" si="108"/>
        <v/>
      </c>
      <c r="T278" s="1226" t="str">
        <f t="shared" si="115"/>
        <v/>
      </c>
      <c r="U278" s="1226" t="str">
        <f t="shared" si="116"/>
        <v/>
      </c>
      <c r="V278" s="353" t="str">
        <f t="shared" si="112"/>
        <v/>
      </c>
      <c r="W278" s="129">
        <v>0</v>
      </c>
      <c r="X278" s="129">
        <v>0</v>
      </c>
      <c r="Y278" s="129" t="str">
        <f t="shared" si="109"/>
        <v/>
      </c>
      <c r="Z278" s="129" t="str">
        <f t="shared" si="110"/>
        <v/>
      </c>
      <c r="AA278" s="145"/>
      <c r="BA278" s="78"/>
      <c r="BB278" s="132" t="s">
        <v>2516</v>
      </c>
      <c r="BC278" s="133"/>
      <c r="BD278" s="132" t="str">
        <f>IF(OR(B278="",BC278=""),"",COUNTIF(BC$8:BC278,"√"))</f>
        <v/>
      </c>
      <c r="BE278" s="134" t="str">
        <f t="shared" si="117"/>
        <v/>
      </c>
      <c r="BF278" s="135" t="str">
        <f t="shared" si="104"/>
        <v/>
      </c>
      <c r="BG278" s="135" t="str">
        <f t="shared" si="104"/>
        <v/>
      </c>
      <c r="BH278" s="136"/>
      <c r="BI278" s="136"/>
      <c r="BJ278" s="136"/>
      <c r="BK278" s="136"/>
      <c r="BL278" s="137"/>
      <c r="BM278" s="137"/>
      <c r="BP278" s="134" t="str">
        <f>IF(COUNTIF(BP$7:BP277,B278)&gt;0,"",B278)&amp;""</f>
        <v/>
      </c>
      <c r="BQ278" s="138">
        <f t="shared" si="118"/>
        <v>0</v>
      </c>
      <c r="BR278" s="132">
        <f t="shared" si="119"/>
        <v>1</v>
      </c>
      <c r="BS278" s="138">
        <f t="shared" si="120"/>
        <v>0</v>
      </c>
      <c r="BT278" s="132">
        <f t="shared" si="121"/>
        <v>2</v>
      </c>
      <c r="BU278" s="133"/>
      <c r="BV278" s="133"/>
      <c r="BX278" s="1256">
        <v>43100</v>
      </c>
      <c r="BY278" s="165">
        <f>IFERROR(LOOKUP(BX278,基础数据!A:D),1)</f>
        <v>3.53915880885741</v>
      </c>
      <c r="BZ278" s="165">
        <f t="shared" si="105"/>
        <v>1.00524445538375</v>
      </c>
      <c r="CA278" s="165" t="e">
        <f t="shared" si="106"/>
        <v>#VALUE!</v>
      </c>
      <c r="CB278" s="165">
        <f t="shared" si="122"/>
        <v>95</v>
      </c>
      <c r="CC278" s="165" t="e">
        <f t="shared" si="107"/>
        <v>#VALUE!</v>
      </c>
      <c r="CD278" s="1260" t="s">
        <v>2236</v>
      </c>
    </row>
    <row r="279" ht="15" customHeight="1" spans="1:82">
      <c r="A279" s="123" t="str">
        <f>IF(B279="","",COUNT(A$7:A278)+1)</f>
        <v/>
      </c>
      <c r="B279" s="139"/>
      <c r="C279" s="139"/>
      <c r="D279" s="141"/>
      <c r="E279" s="126"/>
      <c r="F279" s="142"/>
      <c r="G279" s="127"/>
      <c r="H279" s="128"/>
      <c r="I279" s="128"/>
      <c r="J279" s="980"/>
      <c r="K279" s="143"/>
      <c r="L279" s="143"/>
      <c r="M279" s="129"/>
      <c r="N279" s="144"/>
      <c r="O279" s="144"/>
      <c r="P279" s="144"/>
      <c r="Q279" s="143"/>
      <c r="R279" s="353" t="str">
        <f t="shared" si="113"/>
        <v/>
      </c>
      <c r="S279" s="129" t="str">
        <f t="shared" si="108"/>
        <v/>
      </c>
      <c r="T279" s="1226" t="str">
        <f t="shared" si="115"/>
        <v/>
      </c>
      <c r="U279" s="1226" t="str">
        <f t="shared" si="116"/>
        <v/>
      </c>
      <c r="V279" s="353" t="str">
        <f t="shared" si="112"/>
        <v/>
      </c>
      <c r="W279" s="129">
        <v>0</v>
      </c>
      <c r="X279" s="129">
        <v>0</v>
      </c>
      <c r="Y279" s="129" t="str">
        <f t="shared" si="109"/>
        <v/>
      </c>
      <c r="Z279" s="129" t="str">
        <f t="shared" si="110"/>
        <v/>
      </c>
      <c r="AA279" s="145"/>
      <c r="BA279" s="78"/>
      <c r="BB279" s="132" t="s">
        <v>2517</v>
      </c>
      <c r="BC279" s="133"/>
      <c r="BD279" s="132" t="str">
        <f>IF(OR(B279="",BC279=""),"",COUNTIF(BC$8:BC279,"√"))</f>
        <v/>
      </c>
      <c r="BE279" s="134" t="str">
        <f t="shared" si="117"/>
        <v/>
      </c>
      <c r="BF279" s="135" t="str">
        <f t="shared" si="104"/>
        <v/>
      </c>
      <c r="BG279" s="135" t="str">
        <f t="shared" si="104"/>
        <v/>
      </c>
      <c r="BH279" s="136"/>
      <c r="BI279" s="136"/>
      <c r="BJ279" s="136"/>
      <c r="BK279" s="136"/>
      <c r="BL279" s="137"/>
      <c r="BM279" s="137"/>
      <c r="BP279" s="134" t="str">
        <f>IF(COUNTIF(BP$7:BP278,B279)&gt;0,"",B279)&amp;""</f>
        <v/>
      </c>
      <c r="BQ279" s="138">
        <f t="shared" si="118"/>
        <v>0</v>
      </c>
      <c r="BR279" s="132">
        <f t="shared" si="119"/>
        <v>1</v>
      </c>
      <c r="BS279" s="138">
        <f t="shared" si="120"/>
        <v>0</v>
      </c>
      <c r="BT279" s="132">
        <f t="shared" si="121"/>
        <v>2</v>
      </c>
      <c r="BU279" s="133"/>
      <c r="BV279" s="133"/>
      <c r="BX279" s="1256">
        <v>43100</v>
      </c>
      <c r="BY279" s="165">
        <f>IFERROR(LOOKUP(BX279,基础数据!A:D),1)</f>
        <v>3.53915880885741</v>
      </c>
      <c r="BZ279" s="165">
        <f t="shared" si="105"/>
        <v>1.00524445538375</v>
      </c>
      <c r="CA279" s="165" t="e">
        <f t="shared" si="106"/>
        <v>#VALUE!</v>
      </c>
      <c r="CB279" s="165">
        <f t="shared" si="122"/>
        <v>95</v>
      </c>
      <c r="CC279" s="165" t="e">
        <f t="shared" si="107"/>
        <v>#VALUE!</v>
      </c>
      <c r="CD279" s="1260" t="s">
        <v>2236</v>
      </c>
    </row>
    <row r="280" ht="15" customHeight="1" spans="1:82">
      <c r="A280" s="123" t="str">
        <f>IF(B280="","",COUNT(A$7:A279)+1)</f>
        <v/>
      </c>
      <c r="B280" s="139"/>
      <c r="C280" s="139"/>
      <c r="D280" s="141"/>
      <c r="E280" s="126"/>
      <c r="F280" s="142"/>
      <c r="G280" s="127"/>
      <c r="H280" s="128"/>
      <c r="I280" s="128"/>
      <c r="J280" s="980"/>
      <c r="K280" s="143"/>
      <c r="L280" s="143"/>
      <c r="M280" s="129"/>
      <c r="N280" s="144"/>
      <c r="O280" s="144"/>
      <c r="P280" s="144"/>
      <c r="Q280" s="143"/>
      <c r="R280" s="353" t="str">
        <f t="shared" si="113"/>
        <v/>
      </c>
      <c r="S280" s="129" t="str">
        <f t="shared" si="108"/>
        <v/>
      </c>
      <c r="T280" s="1226" t="str">
        <f t="shared" si="115"/>
        <v/>
      </c>
      <c r="U280" s="1226" t="str">
        <f t="shared" si="116"/>
        <v/>
      </c>
      <c r="V280" s="353" t="str">
        <f t="shared" si="112"/>
        <v/>
      </c>
      <c r="W280" s="129">
        <v>0</v>
      </c>
      <c r="X280" s="129">
        <v>0</v>
      </c>
      <c r="Y280" s="129" t="str">
        <f t="shared" si="109"/>
        <v/>
      </c>
      <c r="Z280" s="129" t="str">
        <f t="shared" si="110"/>
        <v/>
      </c>
      <c r="AA280" s="145"/>
      <c r="BA280" s="78"/>
      <c r="BB280" s="132" t="s">
        <v>2518</v>
      </c>
      <c r="BC280" s="133"/>
      <c r="BD280" s="132" t="str">
        <f>IF(OR(B280="",BC280=""),"",COUNTIF(BC$8:BC280,"√"))</f>
        <v/>
      </c>
      <c r="BE280" s="134" t="str">
        <f t="shared" si="117"/>
        <v/>
      </c>
      <c r="BF280" s="135" t="str">
        <f t="shared" si="104"/>
        <v/>
      </c>
      <c r="BG280" s="135" t="str">
        <f t="shared" si="104"/>
        <v/>
      </c>
      <c r="BH280" s="136"/>
      <c r="BI280" s="136"/>
      <c r="BJ280" s="136"/>
      <c r="BK280" s="136"/>
      <c r="BL280" s="137"/>
      <c r="BM280" s="137"/>
      <c r="BP280" s="134" t="str">
        <f>IF(COUNTIF(BP$7:BP279,B280)&gt;0,"",B280)&amp;""</f>
        <v/>
      </c>
      <c r="BQ280" s="138">
        <f t="shared" si="118"/>
        <v>0</v>
      </c>
      <c r="BR280" s="132">
        <f t="shared" si="119"/>
        <v>1</v>
      </c>
      <c r="BS280" s="138">
        <f t="shared" si="120"/>
        <v>0</v>
      </c>
      <c r="BT280" s="132">
        <f t="shared" si="121"/>
        <v>2</v>
      </c>
      <c r="BU280" s="133"/>
      <c r="BV280" s="133"/>
      <c r="BX280" s="1256">
        <v>43100</v>
      </c>
      <c r="BY280" s="165">
        <f>IFERROR(LOOKUP(BX280,基础数据!A:D),1)</f>
        <v>3.53915880885741</v>
      </c>
      <c r="BZ280" s="165">
        <f t="shared" si="105"/>
        <v>1.00524445538375</v>
      </c>
      <c r="CA280" s="165" t="e">
        <f t="shared" si="106"/>
        <v>#VALUE!</v>
      </c>
      <c r="CB280" s="165">
        <f t="shared" si="122"/>
        <v>95</v>
      </c>
      <c r="CC280" s="165" t="e">
        <f t="shared" si="107"/>
        <v>#VALUE!</v>
      </c>
      <c r="CD280" s="1260" t="s">
        <v>2236</v>
      </c>
    </row>
    <row r="281" ht="15" customHeight="1" spans="1:82">
      <c r="A281" s="123" t="str">
        <f>IF(B281="","",COUNT(A$7:A280)+1)</f>
        <v/>
      </c>
      <c r="B281" s="139"/>
      <c r="C281" s="139"/>
      <c r="D281" s="141"/>
      <c r="E281" s="126"/>
      <c r="F281" s="142"/>
      <c r="G281" s="127"/>
      <c r="H281" s="128"/>
      <c r="I281" s="128"/>
      <c r="J281" s="980"/>
      <c r="K281" s="143"/>
      <c r="L281" s="143"/>
      <c r="M281" s="129"/>
      <c r="N281" s="144"/>
      <c r="O281" s="144"/>
      <c r="P281" s="144"/>
      <c r="Q281" s="143"/>
      <c r="R281" s="353" t="str">
        <f t="shared" si="113"/>
        <v/>
      </c>
      <c r="S281" s="129" t="str">
        <f t="shared" si="108"/>
        <v/>
      </c>
      <c r="T281" s="1226" t="str">
        <f t="shared" si="115"/>
        <v/>
      </c>
      <c r="U281" s="1226" t="str">
        <f t="shared" si="116"/>
        <v/>
      </c>
      <c r="V281" s="353" t="str">
        <f t="shared" si="112"/>
        <v/>
      </c>
      <c r="W281" s="129">
        <v>0</v>
      </c>
      <c r="X281" s="129">
        <v>0</v>
      </c>
      <c r="Y281" s="129" t="str">
        <f t="shared" si="109"/>
        <v/>
      </c>
      <c r="Z281" s="129" t="str">
        <f t="shared" si="110"/>
        <v/>
      </c>
      <c r="AA281" s="145"/>
      <c r="BA281" s="78"/>
      <c r="BB281" s="132" t="s">
        <v>2519</v>
      </c>
      <c r="BC281" s="133"/>
      <c r="BD281" s="132" t="str">
        <f>IF(OR(B281="",BC281=""),"",COUNTIF(BC$8:BC281,"√"))</f>
        <v/>
      </c>
      <c r="BE281" s="134" t="str">
        <f t="shared" si="117"/>
        <v/>
      </c>
      <c r="BF281" s="135" t="str">
        <f t="shared" si="104"/>
        <v/>
      </c>
      <c r="BG281" s="135" t="str">
        <f t="shared" si="104"/>
        <v/>
      </c>
      <c r="BH281" s="136"/>
      <c r="BI281" s="136"/>
      <c r="BJ281" s="136"/>
      <c r="BK281" s="136"/>
      <c r="BL281" s="137"/>
      <c r="BM281" s="137"/>
      <c r="BP281" s="134" t="str">
        <f>IF(COUNTIF(BP$7:BP280,B281)&gt;0,"",B281)&amp;""</f>
        <v/>
      </c>
      <c r="BQ281" s="138">
        <f t="shared" si="118"/>
        <v>0</v>
      </c>
      <c r="BR281" s="132">
        <f t="shared" si="119"/>
        <v>1</v>
      </c>
      <c r="BS281" s="138">
        <f t="shared" si="120"/>
        <v>0</v>
      </c>
      <c r="BT281" s="132">
        <f t="shared" si="121"/>
        <v>2</v>
      </c>
      <c r="BU281" s="133"/>
      <c r="BV281" s="133"/>
      <c r="BX281" s="1256">
        <v>43100</v>
      </c>
      <c r="BY281" s="165">
        <f>IFERROR(LOOKUP(BX281,基础数据!A:D),1)</f>
        <v>3.53915880885741</v>
      </c>
      <c r="BZ281" s="165">
        <f t="shared" si="105"/>
        <v>1.00524445538375</v>
      </c>
      <c r="CA281" s="165" t="e">
        <f t="shared" si="106"/>
        <v>#VALUE!</v>
      </c>
      <c r="CB281" s="165">
        <f t="shared" si="122"/>
        <v>95</v>
      </c>
      <c r="CC281" s="165" t="e">
        <f t="shared" si="107"/>
        <v>#VALUE!</v>
      </c>
      <c r="CD281" s="1260" t="s">
        <v>2236</v>
      </c>
    </row>
    <row r="282" ht="15" customHeight="1" spans="1:82">
      <c r="A282" s="123" t="str">
        <f>IF(B282="","",COUNT(A$7:A281)+1)</f>
        <v/>
      </c>
      <c r="B282" s="139"/>
      <c r="C282" s="139"/>
      <c r="D282" s="141"/>
      <c r="E282" s="126"/>
      <c r="F282" s="142"/>
      <c r="G282" s="127"/>
      <c r="H282" s="128"/>
      <c r="I282" s="128"/>
      <c r="J282" s="980"/>
      <c r="K282" s="143"/>
      <c r="L282" s="143"/>
      <c r="M282" s="129"/>
      <c r="N282" s="144"/>
      <c r="O282" s="144"/>
      <c r="P282" s="144"/>
      <c r="Q282" s="143"/>
      <c r="R282" s="353" t="str">
        <f t="shared" si="113"/>
        <v/>
      </c>
      <c r="S282" s="129" t="str">
        <f t="shared" si="108"/>
        <v/>
      </c>
      <c r="T282" s="1226" t="str">
        <f t="shared" si="115"/>
        <v/>
      </c>
      <c r="U282" s="1226" t="str">
        <f t="shared" si="116"/>
        <v/>
      </c>
      <c r="V282" s="353" t="str">
        <f t="shared" si="112"/>
        <v/>
      </c>
      <c r="W282" s="129">
        <v>0</v>
      </c>
      <c r="X282" s="129">
        <v>0</v>
      </c>
      <c r="Y282" s="129" t="str">
        <f t="shared" si="109"/>
        <v/>
      </c>
      <c r="Z282" s="129" t="str">
        <f t="shared" si="110"/>
        <v/>
      </c>
      <c r="AA282" s="145"/>
      <c r="BA282" s="78"/>
      <c r="BB282" s="132" t="s">
        <v>2520</v>
      </c>
      <c r="BC282" s="133"/>
      <c r="BD282" s="132" t="str">
        <f>IF(OR(B282="",BC282=""),"",COUNTIF(BC$8:BC282,"√"))</f>
        <v/>
      </c>
      <c r="BE282" s="134" t="str">
        <f t="shared" si="117"/>
        <v/>
      </c>
      <c r="BF282" s="135" t="str">
        <f t="shared" ref="BF282:BG344" si="123">IF($B282="","",IF(BF$5=0,"OK","出错"))</f>
        <v/>
      </c>
      <c r="BG282" s="135" t="str">
        <f t="shared" si="123"/>
        <v/>
      </c>
      <c r="BH282" s="136"/>
      <c r="BI282" s="136"/>
      <c r="BJ282" s="136"/>
      <c r="BK282" s="136"/>
      <c r="BL282" s="137"/>
      <c r="BM282" s="137"/>
      <c r="BP282" s="134" t="str">
        <f>IF(COUNTIF(BP$7:BP281,B282)&gt;0,"",B282)&amp;""</f>
        <v/>
      </c>
      <c r="BQ282" s="138">
        <f t="shared" si="118"/>
        <v>0</v>
      </c>
      <c r="BR282" s="132">
        <f t="shared" si="119"/>
        <v>1</v>
      </c>
      <c r="BS282" s="138">
        <f t="shared" si="120"/>
        <v>0</v>
      </c>
      <c r="BT282" s="132">
        <f t="shared" si="121"/>
        <v>2</v>
      </c>
      <c r="BU282" s="133"/>
      <c r="BV282" s="133"/>
      <c r="BX282" s="1256">
        <v>45145</v>
      </c>
      <c r="BY282" s="165">
        <f>IFERROR(LOOKUP(BX282,基础数据!A:D),1)</f>
        <v>3.71817185033308</v>
      </c>
      <c r="BZ282" s="165">
        <f t="shared" si="105"/>
        <v>0.956846512892551</v>
      </c>
      <c r="CA282" s="165" t="e">
        <f t="shared" si="106"/>
        <v>#VALUE!</v>
      </c>
      <c r="CB282" s="165">
        <f t="shared" si="122"/>
        <v>95</v>
      </c>
      <c r="CC282" s="165" t="e">
        <f t="shared" si="107"/>
        <v>#VALUE!</v>
      </c>
      <c r="CD282" s="1260" t="s">
        <v>2236</v>
      </c>
    </row>
    <row r="283" ht="15" customHeight="1" spans="1:82">
      <c r="A283" s="123" t="str">
        <f>IF(B283="","",COUNT(A$7:A282)+1)</f>
        <v/>
      </c>
      <c r="B283" s="139"/>
      <c r="C283" s="139"/>
      <c r="D283" s="141"/>
      <c r="E283" s="126"/>
      <c r="F283" s="142"/>
      <c r="G283" s="127"/>
      <c r="H283" s="128"/>
      <c r="I283" s="128"/>
      <c r="J283" s="980"/>
      <c r="K283" s="143"/>
      <c r="L283" s="143"/>
      <c r="M283" s="129"/>
      <c r="N283" s="144"/>
      <c r="O283" s="144"/>
      <c r="P283" s="144"/>
      <c r="Q283" s="143"/>
      <c r="R283" s="353" t="str">
        <f t="shared" si="113"/>
        <v/>
      </c>
      <c r="S283" s="129" t="str">
        <f t="shared" si="108"/>
        <v/>
      </c>
      <c r="T283" s="1226" t="str">
        <f t="shared" si="115"/>
        <v/>
      </c>
      <c r="U283" s="1226" t="str">
        <f t="shared" si="116"/>
        <v/>
      </c>
      <c r="V283" s="353" t="str">
        <f t="shared" si="112"/>
        <v/>
      </c>
      <c r="W283" s="129">
        <v>0</v>
      </c>
      <c r="X283" s="129">
        <v>0</v>
      </c>
      <c r="Y283" s="129" t="str">
        <f t="shared" si="109"/>
        <v/>
      </c>
      <c r="Z283" s="129" t="str">
        <f t="shared" si="110"/>
        <v/>
      </c>
      <c r="AA283" s="145"/>
      <c r="BA283" s="78"/>
      <c r="BB283" s="132" t="s">
        <v>2521</v>
      </c>
      <c r="BC283" s="133"/>
      <c r="BD283" s="132" t="str">
        <f>IF(OR(B283="",BC283=""),"",COUNTIF(BC$8:BC283,"√"))</f>
        <v/>
      </c>
      <c r="BE283" s="134" t="str">
        <f t="shared" si="117"/>
        <v/>
      </c>
      <c r="BF283" s="135" t="str">
        <f t="shared" si="123"/>
        <v/>
      </c>
      <c r="BG283" s="135" t="str">
        <f t="shared" si="123"/>
        <v/>
      </c>
      <c r="BH283" s="136"/>
      <c r="BI283" s="136"/>
      <c r="BJ283" s="136"/>
      <c r="BK283" s="136"/>
      <c r="BL283" s="137"/>
      <c r="BM283" s="137"/>
      <c r="BP283" s="134" t="str">
        <f>IF(COUNTIF(BP$7:BP282,B283)&gt;0,"",B283)&amp;""</f>
        <v/>
      </c>
      <c r="BQ283" s="138">
        <f t="shared" si="118"/>
        <v>0</v>
      </c>
      <c r="BR283" s="132">
        <f t="shared" si="119"/>
        <v>1</v>
      </c>
      <c r="BS283" s="138">
        <f t="shared" si="120"/>
        <v>0</v>
      </c>
      <c r="BT283" s="132">
        <f t="shared" si="121"/>
        <v>2</v>
      </c>
      <c r="BU283" s="133"/>
      <c r="BV283" s="133"/>
      <c r="BX283" s="1256">
        <v>43100</v>
      </c>
      <c r="BY283" s="165">
        <f>IFERROR(LOOKUP(BX283,基础数据!A:D),1)</f>
        <v>3.53915880885741</v>
      </c>
      <c r="BZ283" s="165">
        <f t="shared" si="105"/>
        <v>1.00524445538375</v>
      </c>
      <c r="CA283" s="165" t="e">
        <f t="shared" si="106"/>
        <v>#VALUE!</v>
      </c>
      <c r="CB283" s="165">
        <f t="shared" ref="CB283:CB284" si="124">CO$3</f>
        <v>90</v>
      </c>
      <c r="CC283" s="165" t="e">
        <f t="shared" si="107"/>
        <v>#VALUE!</v>
      </c>
      <c r="CD283" s="1257" t="s">
        <v>2237</v>
      </c>
    </row>
    <row r="284" ht="15" customHeight="1" spans="1:82">
      <c r="A284" s="123" t="str">
        <f>IF(B284="","",COUNT(A$7:A283)+1)</f>
        <v/>
      </c>
      <c r="B284" s="139"/>
      <c r="C284" s="139"/>
      <c r="D284" s="141"/>
      <c r="E284" s="126"/>
      <c r="F284" s="142"/>
      <c r="G284" s="127"/>
      <c r="H284" s="128"/>
      <c r="I284" s="128"/>
      <c r="J284" s="980"/>
      <c r="K284" s="143"/>
      <c r="L284" s="143"/>
      <c r="M284" s="129"/>
      <c r="N284" s="144"/>
      <c r="O284" s="144"/>
      <c r="P284" s="144"/>
      <c r="Q284" s="143"/>
      <c r="R284" s="353" t="str">
        <f t="shared" si="113"/>
        <v/>
      </c>
      <c r="S284" s="129" t="str">
        <f t="shared" si="108"/>
        <v/>
      </c>
      <c r="T284" s="1226" t="str">
        <f t="shared" si="115"/>
        <v/>
      </c>
      <c r="U284" s="1226" t="str">
        <f t="shared" si="116"/>
        <v/>
      </c>
      <c r="V284" s="353" t="str">
        <f t="shared" si="112"/>
        <v/>
      </c>
      <c r="W284" s="129">
        <v>0</v>
      </c>
      <c r="X284" s="129">
        <v>0</v>
      </c>
      <c r="Y284" s="129" t="str">
        <f t="shared" si="109"/>
        <v/>
      </c>
      <c r="Z284" s="129" t="str">
        <f t="shared" si="110"/>
        <v/>
      </c>
      <c r="AA284" s="145"/>
      <c r="BA284" s="78"/>
      <c r="BB284" s="132" t="s">
        <v>2522</v>
      </c>
      <c r="BC284" s="133"/>
      <c r="BD284" s="132" t="str">
        <f>IF(OR(B284="",BC284=""),"",COUNTIF(BC$8:BC284,"√"))</f>
        <v/>
      </c>
      <c r="BE284" s="134" t="str">
        <f t="shared" si="117"/>
        <v/>
      </c>
      <c r="BF284" s="135" t="str">
        <f t="shared" si="123"/>
        <v/>
      </c>
      <c r="BG284" s="135" t="str">
        <f t="shared" si="123"/>
        <v/>
      </c>
      <c r="BH284" s="136"/>
      <c r="BI284" s="136"/>
      <c r="BJ284" s="136"/>
      <c r="BK284" s="136"/>
      <c r="BL284" s="137"/>
      <c r="BM284" s="137"/>
      <c r="BP284" s="134" t="str">
        <f>IF(COUNTIF(BP$7:BP283,B284)&gt;0,"",B284)&amp;""</f>
        <v/>
      </c>
      <c r="BQ284" s="138">
        <f t="shared" si="118"/>
        <v>0</v>
      </c>
      <c r="BR284" s="132">
        <f t="shared" si="119"/>
        <v>1</v>
      </c>
      <c r="BS284" s="138">
        <f t="shared" si="120"/>
        <v>0</v>
      </c>
      <c r="BT284" s="132">
        <f t="shared" si="121"/>
        <v>2</v>
      </c>
      <c r="BU284" s="133"/>
      <c r="BV284" s="133"/>
      <c r="BX284" s="1256">
        <v>43100</v>
      </c>
      <c r="BY284" s="165">
        <f>IFERROR(LOOKUP(BX284,基础数据!A:D),1)</f>
        <v>3.53915880885741</v>
      </c>
      <c r="BZ284" s="165">
        <f t="shared" si="105"/>
        <v>1.00524445538375</v>
      </c>
      <c r="CA284" s="165" t="e">
        <f t="shared" si="106"/>
        <v>#VALUE!</v>
      </c>
      <c r="CB284" s="165">
        <f t="shared" si="124"/>
        <v>90</v>
      </c>
      <c r="CC284" s="165" t="e">
        <f t="shared" si="107"/>
        <v>#VALUE!</v>
      </c>
      <c r="CD284" s="1257" t="s">
        <v>2237</v>
      </c>
    </row>
    <row r="285" ht="15" customHeight="1" spans="1:82">
      <c r="A285" s="123" t="str">
        <f>IF(B285="","",COUNT(A$7:A284)+1)</f>
        <v/>
      </c>
      <c r="B285" s="139"/>
      <c r="C285" s="139"/>
      <c r="D285" s="141"/>
      <c r="E285" s="126"/>
      <c r="F285" s="142"/>
      <c r="G285" s="127"/>
      <c r="H285" s="128"/>
      <c r="I285" s="128"/>
      <c r="J285" s="980"/>
      <c r="K285" s="143"/>
      <c r="L285" s="143"/>
      <c r="M285" s="129"/>
      <c r="N285" s="144"/>
      <c r="O285" s="144"/>
      <c r="P285" s="144"/>
      <c r="Q285" s="143"/>
      <c r="R285" s="353" t="str">
        <f t="shared" si="113"/>
        <v/>
      </c>
      <c r="S285" s="129" t="str">
        <f t="shared" si="108"/>
        <v/>
      </c>
      <c r="T285" s="1226" t="str">
        <f t="shared" si="115"/>
        <v/>
      </c>
      <c r="U285" s="1226" t="str">
        <f t="shared" si="116"/>
        <v/>
      </c>
      <c r="V285" s="353" t="str">
        <f t="shared" si="112"/>
        <v/>
      </c>
      <c r="W285" s="129">
        <v>0</v>
      </c>
      <c r="X285" s="129">
        <v>0</v>
      </c>
      <c r="Y285" s="129" t="str">
        <f t="shared" si="109"/>
        <v/>
      </c>
      <c r="Z285" s="129" t="str">
        <f t="shared" si="110"/>
        <v/>
      </c>
      <c r="AA285" s="145"/>
      <c r="BA285" s="78"/>
      <c r="BB285" s="132" t="s">
        <v>2523</v>
      </c>
      <c r="BC285" s="133"/>
      <c r="BD285" s="132" t="str">
        <f>IF(OR(B285="",BC285=""),"",COUNTIF(BC$8:BC285,"√"))</f>
        <v/>
      </c>
      <c r="BE285" s="134" t="str">
        <f t="shared" si="117"/>
        <v/>
      </c>
      <c r="BF285" s="135" t="str">
        <f t="shared" si="123"/>
        <v/>
      </c>
      <c r="BG285" s="135" t="str">
        <f t="shared" si="123"/>
        <v/>
      </c>
      <c r="BH285" s="136"/>
      <c r="BI285" s="136"/>
      <c r="BJ285" s="136"/>
      <c r="BK285" s="136"/>
      <c r="BL285" s="137"/>
      <c r="BM285" s="137"/>
      <c r="BO285" s="1262"/>
      <c r="BP285" s="134" t="str">
        <f>IF(COUNTIF(BP$7:BP284,B285)&gt;0,"",B285)&amp;""</f>
        <v/>
      </c>
      <c r="BQ285" s="138">
        <f t="shared" si="118"/>
        <v>0</v>
      </c>
      <c r="BR285" s="132">
        <f t="shared" si="119"/>
        <v>1</v>
      </c>
      <c r="BS285" s="138">
        <f t="shared" si="120"/>
        <v>0</v>
      </c>
      <c r="BT285" s="132">
        <f t="shared" si="121"/>
        <v>2</v>
      </c>
      <c r="BU285" s="133"/>
      <c r="BV285" s="133"/>
      <c r="BX285" s="1256">
        <v>43100</v>
      </c>
      <c r="BY285" s="165">
        <f>IFERROR(LOOKUP(BX285,基础数据!A:D),1)</f>
        <v>3.53915880885741</v>
      </c>
      <c r="BZ285" s="165">
        <f t="shared" ref="BZ285:BZ348" si="125">BY$5/BY285</f>
        <v>1.00524445538375</v>
      </c>
      <c r="CA285" s="165">
        <f>ROUND(BN285/1.13,0)</f>
        <v>0</v>
      </c>
      <c r="CB285" s="165">
        <f t="shared" ref="CB285:CB286" si="126">CO$2</f>
        <v>95</v>
      </c>
      <c r="CC285" s="165">
        <f>ROUND(CB285*CA285/100,-1)</f>
        <v>0</v>
      </c>
      <c r="CD285" s="1260" t="s">
        <v>2236</v>
      </c>
    </row>
    <row r="286" ht="15" customHeight="1" spans="1:82">
      <c r="A286" s="123" t="str">
        <f>IF(B286="","",COUNT(A$7:A285)+1)</f>
        <v/>
      </c>
      <c r="B286" s="139"/>
      <c r="C286" s="139"/>
      <c r="D286" s="141"/>
      <c r="E286" s="126"/>
      <c r="F286" s="142"/>
      <c r="G286" s="127"/>
      <c r="H286" s="128"/>
      <c r="I286" s="128"/>
      <c r="J286" s="980"/>
      <c r="K286" s="143"/>
      <c r="L286" s="143"/>
      <c r="M286" s="129"/>
      <c r="N286" s="144"/>
      <c r="O286" s="144"/>
      <c r="P286" s="144"/>
      <c r="Q286" s="143"/>
      <c r="R286" s="353" t="str">
        <f t="shared" si="113"/>
        <v/>
      </c>
      <c r="S286" s="129" t="str">
        <f t="shared" si="108"/>
        <v/>
      </c>
      <c r="T286" s="1226" t="str">
        <f t="shared" si="115"/>
        <v/>
      </c>
      <c r="U286" s="1226" t="str">
        <f t="shared" si="116"/>
        <v/>
      </c>
      <c r="V286" s="353" t="str">
        <f t="shared" si="112"/>
        <v/>
      </c>
      <c r="W286" s="129">
        <v>0</v>
      </c>
      <c r="X286" s="129">
        <v>0</v>
      </c>
      <c r="Y286" s="129" t="str">
        <f t="shared" si="109"/>
        <v/>
      </c>
      <c r="Z286" s="129" t="str">
        <f t="shared" si="110"/>
        <v/>
      </c>
      <c r="AA286" s="145"/>
      <c r="BA286" s="78"/>
      <c r="BB286" s="132" t="s">
        <v>2524</v>
      </c>
      <c r="BC286" s="133"/>
      <c r="BD286" s="132" t="str">
        <f>IF(OR(B286="",BC286=""),"",COUNTIF(BC$8:BC286,"√"))</f>
        <v/>
      </c>
      <c r="BE286" s="134" t="str">
        <f t="shared" si="117"/>
        <v/>
      </c>
      <c r="BF286" s="135" t="str">
        <f t="shared" si="123"/>
        <v/>
      </c>
      <c r="BG286" s="135" t="str">
        <f t="shared" si="123"/>
        <v/>
      </c>
      <c r="BH286" s="136"/>
      <c r="BI286" s="136"/>
      <c r="BJ286" s="136"/>
      <c r="BK286" s="136"/>
      <c r="BL286" s="137"/>
      <c r="BM286" s="137"/>
      <c r="BP286" s="134" t="str">
        <f>IF(COUNTIF(BP$7:BP285,B286)&gt;0,"",B286)&amp;""</f>
        <v/>
      </c>
      <c r="BQ286" s="138">
        <f t="shared" si="118"/>
        <v>0</v>
      </c>
      <c r="BR286" s="132">
        <f t="shared" si="119"/>
        <v>1</v>
      </c>
      <c r="BS286" s="138">
        <f t="shared" si="120"/>
        <v>0</v>
      </c>
      <c r="BT286" s="132">
        <f t="shared" si="121"/>
        <v>2</v>
      </c>
      <c r="BU286" s="133"/>
      <c r="BV286" s="133"/>
      <c r="BX286" s="1256">
        <v>43100</v>
      </c>
      <c r="BY286" s="165">
        <f>IFERROR(LOOKUP(BX286,基础数据!A:D),1)</f>
        <v>3.53915880885741</v>
      </c>
      <c r="BZ286" s="165">
        <f t="shared" si="125"/>
        <v>1.00524445538375</v>
      </c>
      <c r="CA286" s="165" t="e">
        <f t="shared" ref="CA286:CA348" si="127">ROUND(S286*BZ286,0)</f>
        <v>#VALUE!</v>
      </c>
      <c r="CB286" s="165">
        <f t="shared" si="126"/>
        <v>95</v>
      </c>
      <c r="CC286" s="165" t="e">
        <f t="shared" ref="CC286:CC348" si="128">ROUND(CB286*CA286/100,0)</f>
        <v>#VALUE!</v>
      </c>
      <c r="CD286" s="1260" t="s">
        <v>2236</v>
      </c>
    </row>
    <row r="287" ht="15" customHeight="1" spans="1:82">
      <c r="A287" s="123" t="str">
        <f>IF(B287="","",COUNT(A$7:A286)+1)</f>
        <v/>
      </c>
      <c r="B287" s="139"/>
      <c r="C287" s="139"/>
      <c r="D287" s="141"/>
      <c r="E287" s="126"/>
      <c r="F287" s="142"/>
      <c r="G287" s="127"/>
      <c r="H287" s="128"/>
      <c r="I287" s="128"/>
      <c r="J287" s="980"/>
      <c r="K287" s="143"/>
      <c r="L287" s="143"/>
      <c r="M287" s="129"/>
      <c r="N287" s="144"/>
      <c r="O287" s="144"/>
      <c r="P287" s="144"/>
      <c r="Q287" s="143"/>
      <c r="R287" s="353" t="str">
        <f t="shared" si="113"/>
        <v/>
      </c>
      <c r="S287" s="129" t="str">
        <f t="shared" si="108"/>
        <v/>
      </c>
      <c r="T287" s="1226" t="str">
        <f t="shared" si="115"/>
        <v/>
      </c>
      <c r="U287" s="1226" t="str">
        <f t="shared" si="116"/>
        <v/>
      </c>
      <c r="V287" s="353" t="str">
        <f t="shared" si="112"/>
        <v/>
      </c>
      <c r="W287" s="129">
        <v>0</v>
      </c>
      <c r="X287" s="129">
        <v>0</v>
      </c>
      <c r="Y287" s="129" t="str">
        <f t="shared" si="109"/>
        <v/>
      </c>
      <c r="Z287" s="129" t="str">
        <f t="shared" si="110"/>
        <v/>
      </c>
      <c r="AA287" s="145"/>
      <c r="BA287" s="78"/>
      <c r="BB287" s="132" t="s">
        <v>2525</v>
      </c>
      <c r="BC287" s="133"/>
      <c r="BD287" s="132" t="str">
        <f>IF(OR(B287="",BC287=""),"",COUNTIF(BC$8:BC287,"√"))</f>
        <v/>
      </c>
      <c r="BE287" s="134" t="str">
        <f t="shared" si="117"/>
        <v/>
      </c>
      <c r="BF287" s="135" t="str">
        <f t="shared" si="123"/>
        <v/>
      </c>
      <c r="BG287" s="135" t="str">
        <f t="shared" si="123"/>
        <v/>
      </c>
      <c r="BH287" s="136"/>
      <c r="BI287" s="136"/>
      <c r="BJ287" s="136"/>
      <c r="BK287" s="136"/>
      <c r="BL287" s="137"/>
      <c r="BM287" s="137"/>
      <c r="BP287" s="134" t="str">
        <f>IF(COUNTIF(BP$7:BP286,B287)&gt;0,"",B287)&amp;""</f>
        <v/>
      </c>
      <c r="BQ287" s="138">
        <f t="shared" si="118"/>
        <v>0</v>
      </c>
      <c r="BR287" s="132">
        <f t="shared" si="119"/>
        <v>1</v>
      </c>
      <c r="BS287" s="138">
        <f t="shared" si="120"/>
        <v>0</v>
      </c>
      <c r="BT287" s="132">
        <f t="shared" si="121"/>
        <v>2</v>
      </c>
      <c r="BU287" s="133"/>
      <c r="BV287" s="133"/>
      <c r="BX287" s="1256">
        <v>43100</v>
      </c>
      <c r="BY287" s="165">
        <f>IFERROR(LOOKUP(BX287,基础数据!A:D),1)</f>
        <v>3.53915880885741</v>
      </c>
      <c r="BZ287" s="165">
        <f t="shared" si="125"/>
        <v>1.00524445538375</v>
      </c>
      <c r="CA287" s="165" t="e">
        <f>ROUND(S287*BZ287,1)</f>
        <v>#VALUE!</v>
      </c>
      <c r="CB287" s="165">
        <f t="shared" ref="CB287:CB299" si="129">CO$3</f>
        <v>90</v>
      </c>
      <c r="CC287" s="165" t="e">
        <f>ROUND(CB287*CA287/100,1)</f>
        <v>#VALUE!</v>
      </c>
      <c r="CD287" s="1257" t="s">
        <v>2237</v>
      </c>
    </row>
    <row r="288" ht="15" customHeight="1" spans="1:82">
      <c r="A288" s="123" t="str">
        <f>IF(B288="","",COUNT(A$7:A287)+1)</f>
        <v/>
      </c>
      <c r="B288" s="139"/>
      <c r="C288" s="139"/>
      <c r="D288" s="141"/>
      <c r="E288" s="126"/>
      <c r="F288" s="142"/>
      <c r="G288" s="127"/>
      <c r="H288" s="128"/>
      <c r="I288" s="128"/>
      <c r="J288" s="980"/>
      <c r="K288" s="143"/>
      <c r="L288" s="143"/>
      <c r="M288" s="129"/>
      <c r="N288" s="144"/>
      <c r="O288" s="144"/>
      <c r="P288" s="144"/>
      <c r="Q288" s="143"/>
      <c r="R288" s="353" t="str">
        <f t="shared" si="113"/>
        <v/>
      </c>
      <c r="S288" s="129" t="str">
        <f t="shared" si="108"/>
        <v/>
      </c>
      <c r="T288" s="1226" t="str">
        <f t="shared" si="115"/>
        <v/>
      </c>
      <c r="U288" s="1226" t="str">
        <f t="shared" si="116"/>
        <v/>
      </c>
      <c r="V288" s="353" t="str">
        <f t="shared" si="112"/>
        <v/>
      </c>
      <c r="W288" s="129">
        <v>0</v>
      </c>
      <c r="X288" s="129">
        <v>0</v>
      </c>
      <c r="Y288" s="129" t="str">
        <f t="shared" si="109"/>
        <v/>
      </c>
      <c r="Z288" s="129" t="str">
        <f t="shared" si="110"/>
        <v/>
      </c>
      <c r="AA288" s="145"/>
      <c r="BA288" s="78"/>
      <c r="BB288" s="132" t="s">
        <v>2526</v>
      </c>
      <c r="BC288" s="133"/>
      <c r="BD288" s="132" t="str">
        <f>IF(OR(B288="",BC288=""),"",COUNTIF(BC$8:BC288,"√"))</f>
        <v/>
      </c>
      <c r="BE288" s="134" t="str">
        <f t="shared" si="117"/>
        <v/>
      </c>
      <c r="BF288" s="135" t="str">
        <f t="shared" si="123"/>
        <v/>
      </c>
      <c r="BG288" s="135" t="str">
        <f t="shared" si="123"/>
        <v/>
      </c>
      <c r="BH288" s="136"/>
      <c r="BI288" s="136"/>
      <c r="BJ288" s="136"/>
      <c r="BK288" s="136"/>
      <c r="BL288" s="137"/>
      <c r="BM288" s="137"/>
      <c r="BP288" s="134" t="str">
        <f>IF(COUNTIF(BP$7:BP287,B288)&gt;0,"",B288)&amp;""</f>
        <v/>
      </c>
      <c r="BQ288" s="138">
        <f t="shared" si="118"/>
        <v>0</v>
      </c>
      <c r="BR288" s="132">
        <f t="shared" si="119"/>
        <v>1</v>
      </c>
      <c r="BS288" s="138">
        <f t="shared" si="120"/>
        <v>0</v>
      </c>
      <c r="BT288" s="132">
        <f t="shared" si="121"/>
        <v>2</v>
      </c>
      <c r="BU288" s="133"/>
      <c r="BV288" s="133"/>
      <c r="BX288" s="1256">
        <v>43100</v>
      </c>
      <c r="BY288" s="165">
        <f>IFERROR(LOOKUP(BX288,基础数据!A:D),1)</f>
        <v>3.53915880885741</v>
      </c>
      <c r="BZ288" s="165">
        <f t="shared" si="125"/>
        <v>1.00524445538375</v>
      </c>
      <c r="CA288" s="165" t="e">
        <f t="shared" si="127"/>
        <v>#VALUE!</v>
      </c>
      <c r="CB288" s="165">
        <f t="shared" si="129"/>
        <v>90</v>
      </c>
      <c r="CC288" s="165" t="e">
        <f t="shared" si="128"/>
        <v>#VALUE!</v>
      </c>
      <c r="CD288" s="1257" t="s">
        <v>2237</v>
      </c>
    </row>
    <row r="289" ht="15" customHeight="1" spans="1:85">
      <c r="A289" s="123" t="str">
        <f>IF(B289="","",COUNT(A$7:A288)+1)</f>
        <v/>
      </c>
      <c r="B289" s="139"/>
      <c r="C289" s="139"/>
      <c r="D289" s="141"/>
      <c r="E289" s="126"/>
      <c r="F289" s="142"/>
      <c r="G289" s="127"/>
      <c r="H289" s="128"/>
      <c r="I289" s="128"/>
      <c r="J289" s="980"/>
      <c r="K289" s="143"/>
      <c r="L289" s="143"/>
      <c r="M289" s="129"/>
      <c r="N289" s="144"/>
      <c r="O289" s="144"/>
      <c r="P289" s="144"/>
      <c r="Q289" s="143"/>
      <c r="R289" s="353" t="str">
        <f t="shared" si="113"/>
        <v/>
      </c>
      <c r="S289" s="129" t="str">
        <f t="shared" si="108"/>
        <v/>
      </c>
      <c r="T289" s="1226" t="str">
        <f t="shared" si="115"/>
        <v/>
      </c>
      <c r="U289" s="1226" t="str">
        <f t="shared" si="116"/>
        <v/>
      </c>
      <c r="V289" s="353" t="str">
        <f t="shared" si="112"/>
        <v/>
      </c>
      <c r="W289" s="129">
        <v>0</v>
      </c>
      <c r="X289" s="129">
        <v>0</v>
      </c>
      <c r="Y289" s="129" t="str">
        <f t="shared" si="109"/>
        <v/>
      </c>
      <c r="Z289" s="129" t="str">
        <f t="shared" si="110"/>
        <v/>
      </c>
      <c r="AA289" s="145"/>
      <c r="BA289" s="78"/>
      <c r="BB289" s="132" t="s">
        <v>2527</v>
      </c>
      <c r="BC289" s="133"/>
      <c r="BD289" s="132" t="str">
        <f>IF(OR(B289="",BC289=""),"",COUNTIF(BC$8:BC289,"√"))</f>
        <v/>
      </c>
      <c r="BE289" s="134" t="str">
        <f t="shared" si="117"/>
        <v/>
      </c>
      <c r="BF289" s="135" t="str">
        <f t="shared" si="123"/>
        <v/>
      </c>
      <c r="BG289" s="135" t="str">
        <f t="shared" si="123"/>
        <v/>
      </c>
      <c r="BH289" s="136"/>
      <c r="BI289" s="136"/>
      <c r="BJ289" s="136"/>
      <c r="BK289" s="136"/>
      <c r="BL289" s="137"/>
      <c r="BM289" s="137"/>
      <c r="BP289" s="134" t="str">
        <f>IF(COUNTIF(BP$7:BP288,B289)&gt;0,"",B289)&amp;""</f>
        <v/>
      </c>
      <c r="BQ289" s="138">
        <f t="shared" si="118"/>
        <v>0</v>
      </c>
      <c r="BR289" s="132">
        <f t="shared" si="119"/>
        <v>1</v>
      </c>
      <c r="BS289" s="138">
        <f t="shared" si="120"/>
        <v>0</v>
      </c>
      <c r="BT289" s="132">
        <f t="shared" si="121"/>
        <v>2</v>
      </c>
      <c r="BU289" s="133"/>
      <c r="BV289" s="133"/>
      <c r="BX289" s="1256">
        <v>43100</v>
      </c>
      <c r="BY289" s="165">
        <f>IFERROR(LOOKUP(BX289,基础数据!A:D),1)</f>
        <v>3.53915880885741</v>
      </c>
      <c r="BZ289" s="165">
        <f t="shared" si="125"/>
        <v>1.00524445538375</v>
      </c>
      <c r="CA289" s="165" t="e">
        <f t="shared" si="127"/>
        <v>#VALUE!</v>
      </c>
      <c r="CB289" s="165">
        <f t="shared" si="129"/>
        <v>90</v>
      </c>
      <c r="CC289" s="165" t="e">
        <f t="shared" si="128"/>
        <v>#VALUE!</v>
      </c>
      <c r="CD289" s="1257" t="s">
        <v>2237</v>
      </c>
    </row>
    <row r="290" ht="15" customHeight="1" spans="1:85">
      <c r="A290" s="123" t="str">
        <f>IF(B290="","",COUNT(A$7:A289)+1)</f>
        <v/>
      </c>
      <c r="B290" s="139"/>
      <c r="C290" s="139"/>
      <c r="D290" s="141"/>
      <c r="E290" s="126"/>
      <c r="F290" s="142"/>
      <c r="G290" s="127"/>
      <c r="H290" s="128"/>
      <c r="I290" s="128"/>
      <c r="J290" s="980"/>
      <c r="K290" s="143"/>
      <c r="L290" s="143"/>
      <c r="M290" s="129"/>
      <c r="N290" s="144"/>
      <c r="O290" s="144"/>
      <c r="P290" s="144"/>
      <c r="Q290" s="143"/>
      <c r="R290" s="353" t="str">
        <f t="shared" si="113"/>
        <v/>
      </c>
      <c r="S290" s="129" t="str">
        <f t="shared" si="108"/>
        <v/>
      </c>
      <c r="T290" s="1226" t="str">
        <f t="shared" si="115"/>
        <v/>
      </c>
      <c r="U290" s="1226" t="str">
        <f t="shared" si="116"/>
        <v/>
      </c>
      <c r="V290" s="353" t="str">
        <f t="shared" si="112"/>
        <v/>
      </c>
      <c r="W290" s="129">
        <v>0</v>
      </c>
      <c r="X290" s="129">
        <v>0</v>
      </c>
      <c r="Y290" s="129" t="str">
        <f t="shared" si="109"/>
        <v/>
      </c>
      <c r="Z290" s="129" t="str">
        <f t="shared" si="110"/>
        <v/>
      </c>
      <c r="AA290" s="145"/>
      <c r="BA290" s="78"/>
      <c r="BB290" s="132" t="s">
        <v>2528</v>
      </c>
      <c r="BC290" s="133"/>
      <c r="BD290" s="132" t="str">
        <f>IF(OR(B290="",BC290=""),"",COUNTIF(BC$8:BC290,"√"))</f>
        <v/>
      </c>
      <c r="BE290" s="134" t="str">
        <f t="shared" si="117"/>
        <v/>
      </c>
      <c r="BF290" s="135" t="str">
        <f t="shared" si="123"/>
        <v/>
      </c>
      <c r="BG290" s="135" t="str">
        <f t="shared" si="123"/>
        <v/>
      </c>
      <c r="BH290" s="136"/>
      <c r="BI290" s="136"/>
      <c r="BJ290" s="136"/>
      <c r="BK290" s="136"/>
      <c r="BL290" s="137"/>
      <c r="BM290" s="137"/>
      <c r="BP290" s="134" t="str">
        <f>IF(COUNTIF(BP$7:BP289,B290)&gt;0,"",B290)&amp;""</f>
        <v/>
      </c>
      <c r="BQ290" s="138">
        <f t="shared" si="118"/>
        <v>0</v>
      </c>
      <c r="BR290" s="132">
        <f t="shared" si="119"/>
        <v>1</v>
      </c>
      <c r="BS290" s="138">
        <f t="shared" si="120"/>
        <v>0</v>
      </c>
      <c r="BT290" s="132">
        <f t="shared" si="121"/>
        <v>2</v>
      </c>
      <c r="BU290" s="133"/>
      <c r="BV290" s="133"/>
      <c r="BX290" s="1256">
        <v>43100</v>
      </c>
      <c r="BY290" s="165">
        <f>IFERROR(LOOKUP(BX290,基础数据!A:D),1)</f>
        <v>3.53915880885741</v>
      </c>
      <c r="BZ290" s="165">
        <f t="shared" si="125"/>
        <v>1.00524445538375</v>
      </c>
      <c r="CA290" s="165" t="e">
        <f t="shared" ref="CA290:CA291" si="130">ROUND(S290*BZ290,1)</f>
        <v>#VALUE!</v>
      </c>
      <c r="CB290" s="165">
        <f t="shared" si="129"/>
        <v>90</v>
      </c>
      <c r="CC290" s="165" t="e">
        <f t="shared" ref="CC290:CC291" si="131">ROUND(CB290*CA290/100,1)</f>
        <v>#VALUE!</v>
      </c>
      <c r="CD290" s="1257" t="s">
        <v>2237</v>
      </c>
    </row>
    <row r="291" ht="15" customHeight="1" spans="1:85">
      <c r="A291" s="123" t="str">
        <f>IF(B291="","",COUNT(A$7:A290)+1)</f>
        <v/>
      </c>
      <c r="B291" s="139"/>
      <c r="C291" s="139"/>
      <c r="D291" s="141"/>
      <c r="E291" s="126"/>
      <c r="F291" s="142"/>
      <c r="G291" s="127"/>
      <c r="H291" s="128"/>
      <c r="I291" s="128"/>
      <c r="J291" s="980"/>
      <c r="K291" s="143"/>
      <c r="L291" s="143"/>
      <c r="M291" s="129"/>
      <c r="N291" s="144"/>
      <c r="O291" s="144"/>
      <c r="P291" s="144"/>
      <c r="Q291" s="143"/>
      <c r="R291" s="353" t="str">
        <f t="shared" si="113"/>
        <v/>
      </c>
      <c r="S291" s="129" t="str">
        <f t="shared" si="108"/>
        <v/>
      </c>
      <c r="T291" s="1226" t="str">
        <f t="shared" si="115"/>
        <v/>
      </c>
      <c r="U291" s="1226" t="str">
        <f t="shared" si="116"/>
        <v/>
      </c>
      <c r="V291" s="353" t="str">
        <f t="shared" si="112"/>
        <v/>
      </c>
      <c r="W291" s="129">
        <v>0</v>
      </c>
      <c r="X291" s="129">
        <v>0</v>
      </c>
      <c r="Y291" s="129" t="str">
        <f t="shared" si="109"/>
        <v/>
      </c>
      <c r="Z291" s="129" t="str">
        <f t="shared" si="110"/>
        <v/>
      </c>
      <c r="AA291" s="145"/>
      <c r="BA291" s="78"/>
      <c r="BB291" s="132" t="s">
        <v>2529</v>
      </c>
      <c r="BC291" s="133"/>
      <c r="BD291" s="132" t="str">
        <f>IF(OR(B291="",BC291=""),"",COUNTIF(BC$8:BC291,"√"))</f>
        <v/>
      </c>
      <c r="BE291" s="134" t="str">
        <f t="shared" si="117"/>
        <v/>
      </c>
      <c r="BF291" s="135" t="str">
        <f t="shared" si="123"/>
        <v/>
      </c>
      <c r="BG291" s="135" t="str">
        <f t="shared" si="123"/>
        <v/>
      </c>
      <c r="BH291" s="136"/>
      <c r="BI291" s="136"/>
      <c r="BJ291" s="136"/>
      <c r="BK291" s="136"/>
      <c r="BL291" s="137"/>
      <c r="BM291" s="137"/>
      <c r="BP291" s="134" t="str">
        <f>IF(COUNTIF(BP$7:BP290,B291)&gt;0,"",B291)&amp;""</f>
        <v/>
      </c>
      <c r="BQ291" s="138">
        <f t="shared" si="118"/>
        <v>0</v>
      </c>
      <c r="BR291" s="132">
        <f t="shared" si="119"/>
        <v>1</v>
      </c>
      <c r="BS291" s="138">
        <f t="shared" si="120"/>
        <v>0</v>
      </c>
      <c r="BT291" s="132">
        <f t="shared" si="121"/>
        <v>2</v>
      </c>
      <c r="BU291" s="133"/>
      <c r="BV291" s="133"/>
      <c r="BX291" s="1256">
        <v>43100</v>
      </c>
      <c r="BY291" s="165">
        <f>IFERROR(LOOKUP(BX291,基础数据!A:D),1)</f>
        <v>3.53915880885741</v>
      </c>
      <c r="BZ291" s="165">
        <f t="shared" si="125"/>
        <v>1.00524445538375</v>
      </c>
      <c r="CA291" s="165" t="e">
        <f t="shared" si="130"/>
        <v>#VALUE!</v>
      </c>
      <c r="CB291" s="165">
        <f t="shared" si="129"/>
        <v>90</v>
      </c>
      <c r="CC291" s="165" t="e">
        <f t="shared" si="131"/>
        <v>#VALUE!</v>
      </c>
      <c r="CD291" s="1257" t="s">
        <v>2237</v>
      </c>
    </row>
    <row r="292" ht="15" customHeight="1" spans="1:85">
      <c r="A292" s="123" t="str">
        <f>IF(B292="","",COUNT(A$7:A291)+1)</f>
        <v/>
      </c>
      <c r="B292" s="139"/>
      <c r="C292" s="139"/>
      <c r="D292" s="141"/>
      <c r="E292" s="126"/>
      <c r="F292" s="142"/>
      <c r="G292" s="127"/>
      <c r="H292" s="128"/>
      <c r="I292" s="128"/>
      <c r="J292" s="980"/>
      <c r="K292" s="143"/>
      <c r="L292" s="143"/>
      <c r="M292" s="129"/>
      <c r="N292" s="144"/>
      <c r="O292" s="144"/>
      <c r="P292" s="144"/>
      <c r="Q292" s="143"/>
      <c r="R292" s="353" t="str">
        <f t="shared" si="113"/>
        <v/>
      </c>
      <c r="S292" s="129" t="str">
        <f t="shared" si="108"/>
        <v/>
      </c>
      <c r="T292" s="1226" t="str">
        <f t="shared" si="115"/>
        <v/>
      </c>
      <c r="U292" s="1226" t="str">
        <f t="shared" si="116"/>
        <v/>
      </c>
      <c r="V292" s="353" t="str">
        <f t="shared" si="112"/>
        <v/>
      </c>
      <c r="W292" s="129">
        <v>0</v>
      </c>
      <c r="X292" s="129">
        <v>0</v>
      </c>
      <c r="Y292" s="129" t="str">
        <f t="shared" si="109"/>
        <v/>
      </c>
      <c r="Z292" s="129" t="str">
        <f t="shared" si="110"/>
        <v/>
      </c>
      <c r="AA292" s="145"/>
      <c r="BA292" s="78"/>
      <c r="BB292" s="132" t="s">
        <v>2530</v>
      </c>
      <c r="BC292" s="133"/>
      <c r="BD292" s="132" t="str">
        <f>IF(OR(B292="",BC292=""),"",COUNTIF(BC$8:BC292,"√"))</f>
        <v/>
      </c>
      <c r="BE292" s="134" t="str">
        <f t="shared" si="117"/>
        <v/>
      </c>
      <c r="BF292" s="135" t="str">
        <f t="shared" si="123"/>
        <v/>
      </c>
      <c r="BG292" s="135" t="str">
        <f t="shared" si="123"/>
        <v/>
      </c>
      <c r="BH292" s="136"/>
      <c r="BI292" s="136"/>
      <c r="BJ292" s="136"/>
      <c r="BK292" s="136"/>
      <c r="BL292" s="137"/>
      <c r="BM292" s="137"/>
      <c r="BP292" s="134" t="str">
        <f>IF(COUNTIF(BP$7:BP291,B292)&gt;0,"",B292)&amp;""</f>
        <v/>
      </c>
      <c r="BQ292" s="138">
        <f t="shared" si="118"/>
        <v>0</v>
      </c>
      <c r="BR292" s="132">
        <f t="shared" si="119"/>
        <v>1</v>
      </c>
      <c r="BS292" s="138">
        <f t="shared" si="120"/>
        <v>0</v>
      </c>
      <c r="BT292" s="132">
        <f t="shared" si="121"/>
        <v>2</v>
      </c>
      <c r="BU292" s="133"/>
      <c r="BV292" s="133"/>
      <c r="BX292" s="1256">
        <v>43100</v>
      </c>
      <c r="BY292" s="165">
        <f>IFERROR(LOOKUP(BX292,基础数据!A:D),1)</f>
        <v>3.53915880885741</v>
      </c>
      <c r="BZ292" s="165">
        <f t="shared" si="125"/>
        <v>1.00524445538375</v>
      </c>
      <c r="CA292" s="165" t="e">
        <f t="shared" si="127"/>
        <v>#VALUE!</v>
      </c>
      <c r="CB292" s="165">
        <f t="shared" si="129"/>
        <v>90</v>
      </c>
      <c r="CC292" s="165" t="e">
        <f t="shared" si="128"/>
        <v>#VALUE!</v>
      </c>
      <c r="CD292" s="1257" t="s">
        <v>2237</v>
      </c>
    </row>
    <row r="293" ht="15" customHeight="1" spans="1:85">
      <c r="A293" s="123" t="str">
        <f>IF(B293="","",COUNT(A$7:A292)+1)</f>
        <v/>
      </c>
      <c r="B293" s="139"/>
      <c r="C293" s="139"/>
      <c r="D293" s="141"/>
      <c r="E293" s="126"/>
      <c r="F293" s="142"/>
      <c r="G293" s="127"/>
      <c r="H293" s="128"/>
      <c r="I293" s="128"/>
      <c r="J293" s="980"/>
      <c r="K293" s="143"/>
      <c r="L293" s="143"/>
      <c r="M293" s="129"/>
      <c r="N293" s="144"/>
      <c r="O293" s="144"/>
      <c r="P293" s="144"/>
      <c r="Q293" s="143"/>
      <c r="R293" s="353" t="str">
        <f t="shared" si="113"/>
        <v/>
      </c>
      <c r="S293" s="129" t="str">
        <f t="shared" si="108"/>
        <v/>
      </c>
      <c r="T293" s="1226" t="str">
        <f t="shared" si="115"/>
        <v/>
      </c>
      <c r="U293" s="1226" t="str">
        <f t="shared" si="116"/>
        <v/>
      </c>
      <c r="V293" s="353" t="str">
        <f t="shared" si="112"/>
        <v/>
      </c>
      <c r="W293" s="129">
        <v>0</v>
      </c>
      <c r="X293" s="129">
        <v>0</v>
      </c>
      <c r="Y293" s="129" t="str">
        <f t="shared" si="109"/>
        <v/>
      </c>
      <c r="Z293" s="129" t="str">
        <f t="shared" si="110"/>
        <v/>
      </c>
      <c r="AA293" s="145"/>
      <c r="BA293" s="78"/>
      <c r="BB293" s="132" t="s">
        <v>2531</v>
      </c>
      <c r="BC293" s="133"/>
      <c r="BD293" s="132" t="str">
        <f>IF(OR(B293="",BC293=""),"",COUNTIF(BC$8:BC293,"√"))</f>
        <v/>
      </c>
      <c r="BE293" s="134" t="str">
        <f t="shared" si="117"/>
        <v/>
      </c>
      <c r="BF293" s="135" t="str">
        <f t="shared" si="123"/>
        <v/>
      </c>
      <c r="BG293" s="135" t="str">
        <f t="shared" si="123"/>
        <v/>
      </c>
      <c r="BH293" s="136"/>
      <c r="BI293" s="136"/>
      <c r="BJ293" s="136"/>
      <c r="BK293" s="136"/>
      <c r="BL293" s="137"/>
      <c r="BM293" s="137"/>
      <c r="BP293" s="134" t="str">
        <f>IF(COUNTIF(BP$7:BP292,B293)&gt;0,"",B293)&amp;""</f>
        <v/>
      </c>
      <c r="BQ293" s="138">
        <f t="shared" si="118"/>
        <v>0</v>
      </c>
      <c r="BR293" s="132">
        <f t="shared" si="119"/>
        <v>1</v>
      </c>
      <c r="BS293" s="138">
        <f t="shared" si="120"/>
        <v>0</v>
      </c>
      <c r="BT293" s="132">
        <f t="shared" si="121"/>
        <v>2</v>
      </c>
      <c r="BU293" s="133"/>
      <c r="BV293" s="133"/>
      <c r="BX293" s="1256">
        <v>43100</v>
      </c>
      <c r="BY293" s="165">
        <f>IFERROR(LOOKUP(BX293,基础数据!A:D),1)</f>
        <v>3.53915880885741</v>
      </c>
      <c r="BZ293" s="165">
        <f t="shared" si="125"/>
        <v>1.00524445538375</v>
      </c>
      <c r="CA293" s="165" t="e">
        <f>ROUND(S293*BZ293,1)</f>
        <v>#VALUE!</v>
      </c>
      <c r="CB293" s="165">
        <f t="shared" si="129"/>
        <v>90</v>
      </c>
      <c r="CC293" s="165" t="e">
        <f>ROUND(CB293*CA293/100,1)</f>
        <v>#VALUE!</v>
      </c>
      <c r="CD293" s="1257" t="s">
        <v>2237</v>
      </c>
    </row>
    <row r="294" ht="15" customHeight="1" spans="1:85">
      <c r="A294" s="123" t="str">
        <f>IF(B294="","",COUNT(A$7:A293)+1)</f>
        <v/>
      </c>
      <c r="B294" s="139"/>
      <c r="C294" s="139"/>
      <c r="D294" s="141"/>
      <c r="E294" s="126"/>
      <c r="F294" s="142"/>
      <c r="G294" s="127"/>
      <c r="H294" s="128"/>
      <c r="I294" s="128"/>
      <c r="J294" s="980"/>
      <c r="K294" s="143"/>
      <c r="L294" s="143"/>
      <c r="M294" s="129"/>
      <c r="N294" s="144"/>
      <c r="O294" s="144"/>
      <c r="P294" s="144"/>
      <c r="Q294" s="143"/>
      <c r="R294" s="353" t="str">
        <f t="shared" si="113"/>
        <v/>
      </c>
      <c r="S294" s="129" t="str">
        <f t="shared" si="108"/>
        <v/>
      </c>
      <c r="T294" s="1226" t="str">
        <f t="shared" si="115"/>
        <v/>
      </c>
      <c r="U294" s="1226" t="str">
        <f t="shared" si="116"/>
        <v/>
      </c>
      <c r="V294" s="353" t="str">
        <f t="shared" si="112"/>
        <v/>
      </c>
      <c r="W294" s="129">
        <v>0</v>
      </c>
      <c r="X294" s="129">
        <v>0</v>
      </c>
      <c r="Y294" s="129" t="str">
        <f t="shared" si="109"/>
        <v/>
      </c>
      <c r="Z294" s="129" t="str">
        <f t="shared" si="110"/>
        <v/>
      </c>
      <c r="AA294" s="145"/>
      <c r="BA294" s="78"/>
      <c r="BB294" s="132" t="s">
        <v>2532</v>
      </c>
      <c r="BC294" s="133"/>
      <c r="BD294" s="132" t="str">
        <f>IF(OR(B294="",BC294=""),"",COUNTIF(BC$8:BC294,"√"))</f>
        <v/>
      </c>
      <c r="BE294" s="134" t="str">
        <f t="shared" si="117"/>
        <v/>
      </c>
      <c r="BF294" s="135" t="str">
        <f t="shared" si="123"/>
        <v/>
      </c>
      <c r="BG294" s="135" t="str">
        <f t="shared" si="123"/>
        <v/>
      </c>
      <c r="BH294" s="136"/>
      <c r="BI294" s="136"/>
      <c r="BJ294" s="136"/>
      <c r="BK294" s="136"/>
      <c r="BL294" s="137"/>
      <c r="BM294" s="137"/>
      <c r="BP294" s="134" t="str">
        <f>IF(COUNTIF(BP$7:BP293,B294)&gt;0,"",B294)&amp;""</f>
        <v/>
      </c>
      <c r="BQ294" s="138">
        <f t="shared" si="118"/>
        <v>0</v>
      </c>
      <c r="BR294" s="132">
        <f t="shared" si="119"/>
        <v>1</v>
      </c>
      <c r="BS294" s="138">
        <f t="shared" si="120"/>
        <v>0</v>
      </c>
      <c r="BT294" s="132">
        <f t="shared" si="121"/>
        <v>2</v>
      </c>
      <c r="BU294" s="133"/>
      <c r="BV294" s="133"/>
      <c r="BX294" s="1256">
        <v>43100</v>
      </c>
      <c r="BY294" s="165">
        <f>IFERROR(LOOKUP(BX294,基础数据!A:D),1)</f>
        <v>3.53915880885741</v>
      </c>
      <c r="BZ294" s="165">
        <f t="shared" si="125"/>
        <v>1.00524445538375</v>
      </c>
      <c r="CA294" s="165" t="e">
        <f t="shared" si="127"/>
        <v>#VALUE!</v>
      </c>
      <c r="CB294" s="165">
        <f t="shared" si="129"/>
        <v>90</v>
      </c>
      <c r="CC294" s="165" t="e">
        <f t="shared" si="128"/>
        <v>#VALUE!</v>
      </c>
      <c r="CD294" s="1257" t="s">
        <v>2237</v>
      </c>
    </row>
    <row r="295" ht="15" customHeight="1" spans="1:85">
      <c r="A295" s="123" t="str">
        <f>IF(B295="","",COUNT(A$7:A294)+1)</f>
        <v/>
      </c>
      <c r="B295" s="139"/>
      <c r="C295" s="139"/>
      <c r="D295" s="141"/>
      <c r="E295" s="126"/>
      <c r="F295" s="142"/>
      <c r="G295" s="127"/>
      <c r="H295" s="128"/>
      <c r="I295" s="128"/>
      <c r="J295" s="980"/>
      <c r="K295" s="143"/>
      <c r="L295" s="143"/>
      <c r="M295" s="129"/>
      <c r="N295" s="144"/>
      <c r="O295" s="144"/>
      <c r="P295" s="144"/>
      <c r="Q295" s="143"/>
      <c r="R295" s="353" t="str">
        <f t="shared" si="113"/>
        <v/>
      </c>
      <c r="S295" s="129" t="str">
        <f t="shared" si="108"/>
        <v/>
      </c>
      <c r="T295" s="1226" t="str">
        <f t="shared" si="115"/>
        <v/>
      </c>
      <c r="U295" s="1226" t="str">
        <f t="shared" si="116"/>
        <v/>
      </c>
      <c r="V295" s="353" t="str">
        <f t="shared" si="112"/>
        <v/>
      </c>
      <c r="W295" s="129">
        <v>0</v>
      </c>
      <c r="X295" s="129">
        <v>0</v>
      </c>
      <c r="Y295" s="129" t="str">
        <f t="shared" si="109"/>
        <v/>
      </c>
      <c r="Z295" s="129" t="str">
        <f t="shared" si="110"/>
        <v/>
      </c>
      <c r="AA295" s="145"/>
      <c r="BA295" s="78"/>
      <c r="BB295" s="132" t="s">
        <v>2533</v>
      </c>
      <c r="BC295" s="133"/>
      <c r="BD295" s="132" t="str">
        <f>IF(OR(B295="",BC295=""),"",COUNTIF(BC$8:BC295,"√"))</f>
        <v/>
      </c>
      <c r="BE295" s="134" t="str">
        <f t="shared" si="117"/>
        <v/>
      </c>
      <c r="BF295" s="135" t="str">
        <f t="shared" si="123"/>
        <v/>
      </c>
      <c r="BG295" s="135" t="str">
        <f t="shared" si="123"/>
        <v/>
      </c>
      <c r="BH295" s="136"/>
      <c r="BI295" s="136"/>
      <c r="BJ295" s="136"/>
      <c r="BK295" s="136"/>
      <c r="BL295" s="137"/>
      <c r="BM295" s="137"/>
      <c r="BP295" s="134" t="str">
        <f>IF(COUNTIF(BP$7:BP294,B295)&gt;0,"",B295)&amp;""</f>
        <v/>
      </c>
      <c r="BQ295" s="138">
        <f t="shared" si="118"/>
        <v>0</v>
      </c>
      <c r="BR295" s="132">
        <f t="shared" si="119"/>
        <v>1</v>
      </c>
      <c r="BS295" s="138">
        <f t="shared" si="120"/>
        <v>0</v>
      </c>
      <c r="BT295" s="132">
        <f t="shared" si="121"/>
        <v>2</v>
      </c>
      <c r="BU295" s="133"/>
      <c r="BV295" s="133"/>
      <c r="BX295" s="1256">
        <v>43100</v>
      </c>
      <c r="BY295" s="165">
        <f>IFERROR(LOOKUP(BX295,基础数据!A:D),1)</f>
        <v>3.53915880885741</v>
      </c>
      <c r="BZ295" s="165">
        <f t="shared" si="125"/>
        <v>1.00524445538375</v>
      </c>
      <c r="CA295" s="165" t="e">
        <f>ROUND(S295*BZ295,1)</f>
        <v>#VALUE!</v>
      </c>
      <c r="CB295" s="165">
        <f t="shared" si="129"/>
        <v>90</v>
      </c>
      <c r="CC295" s="165" t="e">
        <f>ROUND(CB295*CA295/100,1)</f>
        <v>#VALUE!</v>
      </c>
      <c r="CD295" s="1257" t="s">
        <v>2237</v>
      </c>
    </row>
    <row r="296" ht="15" customHeight="1" spans="1:85">
      <c r="A296" s="123" t="str">
        <f>IF(B296="","",COUNT(A$7:A295)+1)</f>
        <v/>
      </c>
      <c r="B296" s="139"/>
      <c r="C296" s="139"/>
      <c r="D296" s="141"/>
      <c r="E296" s="126"/>
      <c r="F296" s="142"/>
      <c r="G296" s="127"/>
      <c r="H296" s="128"/>
      <c r="I296" s="128"/>
      <c r="J296" s="980"/>
      <c r="K296" s="143"/>
      <c r="L296" s="143"/>
      <c r="M296" s="129"/>
      <c r="N296" s="144"/>
      <c r="O296" s="144"/>
      <c r="P296" s="144"/>
      <c r="Q296" s="143"/>
      <c r="R296" s="353" t="str">
        <f t="shared" si="113"/>
        <v/>
      </c>
      <c r="S296" s="129" t="str">
        <f t="shared" si="108"/>
        <v/>
      </c>
      <c r="T296" s="1226" t="str">
        <f t="shared" si="115"/>
        <v/>
      </c>
      <c r="U296" s="1226" t="str">
        <f t="shared" si="116"/>
        <v/>
      </c>
      <c r="V296" s="353" t="str">
        <f t="shared" si="112"/>
        <v/>
      </c>
      <c r="W296" s="129">
        <v>0</v>
      </c>
      <c r="X296" s="129">
        <v>0</v>
      </c>
      <c r="Y296" s="129" t="str">
        <f t="shared" si="109"/>
        <v/>
      </c>
      <c r="Z296" s="129" t="str">
        <f t="shared" si="110"/>
        <v/>
      </c>
      <c r="AA296" s="145"/>
      <c r="BA296" s="78"/>
      <c r="BB296" s="132" t="s">
        <v>2534</v>
      </c>
      <c r="BC296" s="133"/>
      <c r="BD296" s="132" t="str">
        <f>IF(OR(B296="",BC296=""),"",COUNTIF(BC$8:BC296,"√"))</f>
        <v/>
      </c>
      <c r="BE296" s="134" t="str">
        <f t="shared" si="117"/>
        <v/>
      </c>
      <c r="BF296" s="135" t="str">
        <f t="shared" si="123"/>
        <v/>
      </c>
      <c r="BG296" s="135" t="str">
        <f t="shared" si="123"/>
        <v/>
      </c>
      <c r="BH296" s="136"/>
      <c r="BI296" s="136"/>
      <c r="BJ296" s="136"/>
      <c r="BK296" s="136"/>
      <c r="BL296" s="137"/>
      <c r="BM296" s="137"/>
      <c r="BP296" s="134" t="str">
        <f>IF(COUNTIF(BP$7:BP295,B296)&gt;0,"",B296)&amp;""</f>
        <v/>
      </c>
      <c r="BQ296" s="138">
        <f t="shared" si="118"/>
        <v>0</v>
      </c>
      <c r="BR296" s="132">
        <f t="shared" si="119"/>
        <v>1</v>
      </c>
      <c r="BS296" s="138">
        <f t="shared" si="120"/>
        <v>0</v>
      </c>
      <c r="BT296" s="132">
        <f t="shared" si="121"/>
        <v>2</v>
      </c>
      <c r="BU296" s="133"/>
      <c r="BV296" s="133"/>
      <c r="BX296" s="1256">
        <v>43100</v>
      </c>
      <c r="BY296" s="165">
        <f>IFERROR(LOOKUP(BX296,基础数据!A:D),1)</f>
        <v>3.53915880885741</v>
      </c>
      <c r="BZ296" s="165">
        <f t="shared" si="125"/>
        <v>1.00524445538375</v>
      </c>
      <c r="CA296" s="165" t="e">
        <f t="shared" si="127"/>
        <v>#VALUE!</v>
      </c>
      <c r="CB296" s="165">
        <f t="shared" si="129"/>
        <v>90</v>
      </c>
      <c r="CC296" s="165" t="e">
        <f t="shared" si="128"/>
        <v>#VALUE!</v>
      </c>
      <c r="CD296" s="1257" t="s">
        <v>2237</v>
      </c>
    </row>
    <row r="297" ht="15" customHeight="1" spans="1:85">
      <c r="A297" s="123" t="str">
        <f>IF(B297="","",COUNT(A$7:A296)+1)</f>
        <v/>
      </c>
      <c r="B297" s="139"/>
      <c r="C297" s="139"/>
      <c r="D297" s="141"/>
      <c r="E297" s="126"/>
      <c r="F297" s="142"/>
      <c r="G297" s="127"/>
      <c r="H297" s="128"/>
      <c r="I297" s="128"/>
      <c r="J297" s="980"/>
      <c r="K297" s="143"/>
      <c r="L297" s="143"/>
      <c r="M297" s="129"/>
      <c r="N297" s="144"/>
      <c r="O297" s="144"/>
      <c r="P297" s="144"/>
      <c r="Q297" s="143"/>
      <c r="R297" s="353" t="str">
        <f t="shared" si="113"/>
        <v/>
      </c>
      <c r="S297" s="129" t="str">
        <f t="shared" si="108"/>
        <v/>
      </c>
      <c r="T297" s="1226" t="str">
        <f t="shared" si="115"/>
        <v/>
      </c>
      <c r="U297" s="1226" t="str">
        <f t="shared" si="116"/>
        <v/>
      </c>
      <c r="V297" s="353" t="str">
        <f t="shared" si="112"/>
        <v/>
      </c>
      <c r="W297" s="129">
        <v>0</v>
      </c>
      <c r="X297" s="129">
        <v>0</v>
      </c>
      <c r="Y297" s="129" t="str">
        <f t="shared" si="109"/>
        <v/>
      </c>
      <c r="Z297" s="129" t="str">
        <f t="shared" si="110"/>
        <v/>
      </c>
      <c r="AA297" s="145"/>
      <c r="BA297" s="78"/>
      <c r="BB297" s="132" t="s">
        <v>2535</v>
      </c>
      <c r="BC297" s="133"/>
      <c r="BD297" s="132" t="str">
        <f>IF(OR(B297="",BC297=""),"",COUNTIF(BC$8:BC297,"√"))</f>
        <v/>
      </c>
      <c r="BE297" s="134" t="str">
        <f t="shared" si="117"/>
        <v/>
      </c>
      <c r="BF297" s="135" t="str">
        <f t="shared" si="123"/>
        <v/>
      </c>
      <c r="BG297" s="135" t="str">
        <f t="shared" si="123"/>
        <v/>
      </c>
      <c r="BH297" s="136"/>
      <c r="BI297" s="136"/>
      <c r="BJ297" s="136"/>
      <c r="BK297" s="136"/>
      <c r="BL297" s="137"/>
      <c r="BM297" s="137"/>
      <c r="BP297" s="134" t="str">
        <f>IF(COUNTIF(BP$7:BP296,B297)&gt;0,"",B297)&amp;""</f>
        <v/>
      </c>
      <c r="BQ297" s="138">
        <f t="shared" si="118"/>
        <v>0</v>
      </c>
      <c r="BR297" s="132">
        <f t="shared" si="119"/>
        <v>1</v>
      </c>
      <c r="BS297" s="138">
        <f t="shared" si="120"/>
        <v>0</v>
      </c>
      <c r="BT297" s="132">
        <f t="shared" si="121"/>
        <v>2</v>
      </c>
      <c r="BU297" s="133"/>
      <c r="BV297" s="133"/>
      <c r="BX297" s="1256">
        <v>43100</v>
      </c>
      <c r="BY297" s="165">
        <f>IFERROR(LOOKUP(BX297,基础数据!A:D),1)</f>
        <v>3.53915880885741</v>
      </c>
      <c r="BZ297" s="165">
        <f t="shared" si="125"/>
        <v>1.00524445538375</v>
      </c>
      <c r="CA297" s="165" t="e">
        <f>ROUND(S297*BZ297,1)</f>
        <v>#VALUE!</v>
      </c>
      <c r="CB297" s="165">
        <f t="shared" si="129"/>
        <v>90</v>
      </c>
      <c r="CC297" s="165" t="e">
        <f>ROUND(CB297*CA297/100,1)</f>
        <v>#VALUE!</v>
      </c>
      <c r="CD297" s="1257" t="s">
        <v>2237</v>
      </c>
    </row>
    <row r="298" ht="15" customHeight="1" spans="1:85">
      <c r="A298" s="123" t="str">
        <f>IF(B298="","",COUNT(A$7:A297)+1)</f>
        <v/>
      </c>
      <c r="B298" s="139"/>
      <c r="C298" s="139"/>
      <c r="D298" s="141"/>
      <c r="E298" s="126"/>
      <c r="F298" s="142"/>
      <c r="G298" s="127"/>
      <c r="H298" s="128"/>
      <c r="I298" s="128"/>
      <c r="J298" s="980"/>
      <c r="K298" s="143"/>
      <c r="L298" s="143"/>
      <c r="M298" s="129"/>
      <c r="N298" s="144"/>
      <c r="O298" s="144"/>
      <c r="P298" s="144"/>
      <c r="Q298" s="143"/>
      <c r="R298" s="353" t="str">
        <f t="shared" si="113"/>
        <v/>
      </c>
      <c r="S298" s="129" t="str">
        <f t="shared" si="108"/>
        <v/>
      </c>
      <c r="T298" s="1226" t="str">
        <f t="shared" si="115"/>
        <v/>
      </c>
      <c r="U298" s="1226" t="str">
        <f t="shared" si="116"/>
        <v/>
      </c>
      <c r="V298" s="353" t="str">
        <f t="shared" si="112"/>
        <v/>
      </c>
      <c r="W298" s="129">
        <v>0</v>
      </c>
      <c r="X298" s="129">
        <v>0</v>
      </c>
      <c r="Y298" s="129" t="str">
        <f t="shared" si="109"/>
        <v/>
      </c>
      <c r="Z298" s="129" t="str">
        <f t="shared" si="110"/>
        <v/>
      </c>
      <c r="AA298" s="145"/>
      <c r="BA298" s="78"/>
      <c r="BB298" s="132" t="s">
        <v>2536</v>
      </c>
      <c r="BC298" s="133"/>
      <c r="BD298" s="132" t="str">
        <f>IF(OR(B298="",BC298=""),"",COUNTIF(BC$8:BC298,"√"))</f>
        <v/>
      </c>
      <c r="BE298" s="134" t="str">
        <f t="shared" si="117"/>
        <v/>
      </c>
      <c r="BF298" s="135" t="str">
        <f t="shared" si="123"/>
        <v/>
      </c>
      <c r="BG298" s="135" t="str">
        <f t="shared" si="123"/>
        <v/>
      </c>
      <c r="BH298" s="136"/>
      <c r="BI298" s="136"/>
      <c r="BJ298" s="136"/>
      <c r="BK298" s="136"/>
      <c r="BL298" s="137"/>
      <c r="BM298" s="137"/>
      <c r="BP298" s="134" t="str">
        <f>IF(COUNTIF(BP$7:BP297,B298)&gt;0,"",B298)&amp;""</f>
        <v/>
      </c>
      <c r="BQ298" s="138">
        <f t="shared" si="118"/>
        <v>0</v>
      </c>
      <c r="BR298" s="132">
        <f t="shared" si="119"/>
        <v>1</v>
      </c>
      <c r="BS298" s="138">
        <f t="shared" si="120"/>
        <v>0</v>
      </c>
      <c r="BT298" s="132">
        <f t="shared" si="121"/>
        <v>2</v>
      </c>
      <c r="BU298" s="133"/>
      <c r="BV298" s="133"/>
      <c r="BX298" s="1256">
        <v>43100</v>
      </c>
      <c r="BY298" s="165">
        <f>IFERROR(LOOKUP(BX298,基础数据!A:D),1)</f>
        <v>3.53915880885741</v>
      </c>
      <c r="BZ298" s="165">
        <f t="shared" si="125"/>
        <v>1.00524445538375</v>
      </c>
      <c r="CA298" s="165" t="e">
        <f t="shared" si="127"/>
        <v>#VALUE!</v>
      </c>
      <c r="CB298" s="165">
        <f t="shared" si="129"/>
        <v>90</v>
      </c>
      <c r="CC298" s="165" t="e">
        <f t="shared" si="128"/>
        <v>#VALUE!</v>
      </c>
      <c r="CD298" s="1257" t="s">
        <v>2237</v>
      </c>
    </row>
    <row r="299" ht="15" customHeight="1" spans="1:85">
      <c r="A299" s="123" t="str">
        <f>IF(B299="","",COUNT(A$7:A298)+1)</f>
        <v/>
      </c>
      <c r="B299" s="139"/>
      <c r="C299" s="139"/>
      <c r="D299" s="141"/>
      <c r="E299" s="126"/>
      <c r="F299" s="142"/>
      <c r="G299" s="127"/>
      <c r="H299" s="128"/>
      <c r="I299" s="128"/>
      <c r="J299" s="980"/>
      <c r="K299" s="143"/>
      <c r="L299" s="143"/>
      <c r="M299" s="129"/>
      <c r="N299" s="144"/>
      <c r="O299" s="144"/>
      <c r="P299" s="144"/>
      <c r="Q299" s="143"/>
      <c r="R299" s="353" t="str">
        <f t="shared" si="113"/>
        <v/>
      </c>
      <c r="S299" s="129" t="str">
        <f t="shared" si="108"/>
        <v/>
      </c>
      <c r="T299" s="1226" t="str">
        <f t="shared" si="115"/>
        <v/>
      </c>
      <c r="U299" s="1226" t="str">
        <f t="shared" si="116"/>
        <v/>
      </c>
      <c r="V299" s="353" t="str">
        <f t="shared" si="112"/>
        <v/>
      </c>
      <c r="W299" s="129">
        <v>0</v>
      </c>
      <c r="X299" s="129">
        <v>0</v>
      </c>
      <c r="Y299" s="129" t="str">
        <f t="shared" si="109"/>
        <v/>
      </c>
      <c r="Z299" s="129" t="str">
        <f t="shared" si="110"/>
        <v/>
      </c>
      <c r="AA299" s="145"/>
      <c r="BA299" s="78"/>
      <c r="BB299" s="132" t="s">
        <v>2537</v>
      </c>
      <c r="BC299" s="133"/>
      <c r="BD299" s="132" t="str">
        <f>IF(OR(B299="",BC299=""),"",COUNTIF(BC$8:BC299,"√"))</f>
        <v/>
      </c>
      <c r="BE299" s="134" t="str">
        <f t="shared" si="117"/>
        <v/>
      </c>
      <c r="BF299" s="135" t="str">
        <f t="shared" si="123"/>
        <v/>
      </c>
      <c r="BG299" s="135" t="str">
        <f t="shared" si="123"/>
        <v/>
      </c>
      <c r="BH299" s="136"/>
      <c r="BI299" s="136"/>
      <c r="BJ299" s="136"/>
      <c r="BK299" s="136"/>
      <c r="BL299" s="137"/>
      <c r="BM299" s="137"/>
      <c r="BP299" s="134" t="str">
        <f>IF(COUNTIF(BP$7:BP298,B299)&gt;0,"",B299)&amp;""</f>
        <v/>
      </c>
      <c r="BQ299" s="138">
        <f t="shared" si="118"/>
        <v>0</v>
      </c>
      <c r="BR299" s="132">
        <f t="shared" si="119"/>
        <v>1</v>
      </c>
      <c r="BS299" s="138">
        <f t="shared" si="120"/>
        <v>0</v>
      </c>
      <c r="BT299" s="132">
        <f t="shared" si="121"/>
        <v>2</v>
      </c>
      <c r="BU299" s="133"/>
      <c r="BV299" s="133"/>
      <c r="BX299" s="1256">
        <v>45001</v>
      </c>
      <c r="BY299" s="165">
        <f>IFERROR(LOOKUP(BX299,基础数据!A:D),1)</f>
        <v>3.80882053463966</v>
      </c>
      <c r="BZ299" s="165">
        <f t="shared" si="125"/>
        <v>0.934073878506601</v>
      </c>
      <c r="CA299" s="165" t="e">
        <f t="shared" si="127"/>
        <v>#VALUE!</v>
      </c>
      <c r="CB299" s="165">
        <f t="shared" si="129"/>
        <v>90</v>
      </c>
      <c r="CC299" s="165" t="e">
        <f t="shared" si="128"/>
        <v>#VALUE!</v>
      </c>
      <c r="CD299" s="1257" t="s">
        <v>2237</v>
      </c>
    </row>
    <row r="300" ht="15" customHeight="1" spans="1:85">
      <c r="A300" s="123" t="str">
        <f>IF(B300="","",COUNT(A$7:A299)+1)</f>
        <v/>
      </c>
      <c r="B300" s="139"/>
      <c r="C300" s="139"/>
      <c r="D300" s="1261"/>
      <c r="E300" s="126"/>
      <c r="F300" s="142"/>
      <c r="G300" s="127"/>
      <c r="H300" s="128"/>
      <c r="I300" s="128"/>
      <c r="J300" s="980"/>
      <c r="K300" s="143"/>
      <c r="L300" s="143"/>
      <c r="M300" s="129"/>
      <c r="N300" s="144"/>
      <c r="O300" s="144"/>
      <c r="P300" s="144"/>
      <c r="Q300" s="143"/>
      <c r="R300" s="353" t="str">
        <f t="shared" si="113"/>
        <v/>
      </c>
      <c r="S300" s="129" t="str">
        <f t="shared" si="108"/>
        <v/>
      </c>
      <c r="T300" s="1226" t="str">
        <f t="shared" si="115"/>
        <v/>
      </c>
      <c r="U300" s="1226" t="str">
        <f t="shared" si="116"/>
        <v/>
      </c>
      <c r="V300" s="353" t="str">
        <f t="shared" si="112"/>
        <v/>
      </c>
      <c r="W300" s="129">
        <v>0</v>
      </c>
      <c r="X300" s="129">
        <v>0</v>
      </c>
      <c r="Y300" s="129" t="str">
        <f t="shared" si="109"/>
        <v/>
      </c>
      <c r="Z300" s="129" t="str">
        <f t="shared" si="110"/>
        <v/>
      </c>
      <c r="AA300" s="145"/>
      <c r="BA300" s="78"/>
      <c r="BB300" s="132" t="s">
        <v>2538</v>
      </c>
      <c r="BC300" s="133"/>
      <c r="BD300" s="132" t="str">
        <f>IF(OR(B300="",BC300=""),"",COUNTIF(BC$8:BC300,"√"))</f>
        <v/>
      </c>
      <c r="BE300" s="134" t="str">
        <f t="shared" si="117"/>
        <v/>
      </c>
      <c r="BF300" s="135" t="str">
        <f t="shared" si="123"/>
        <v/>
      </c>
      <c r="BG300" s="135" t="str">
        <f t="shared" si="123"/>
        <v/>
      </c>
      <c r="BH300" s="136"/>
      <c r="BI300" s="136"/>
      <c r="BJ300" s="136"/>
      <c r="BK300" s="136"/>
      <c r="BL300" s="137"/>
      <c r="BM300" s="137"/>
      <c r="BP300" s="134" t="str">
        <f>IF(COUNTIF(BP$7:BP299,B300)&gt;0,"",B300)&amp;""</f>
        <v/>
      </c>
      <c r="BQ300" s="138">
        <f t="shared" si="118"/>
        <v>0</v>
      </c>
      <c r="BR300" s="132">
        <f t="shared" si="119"/>
        <v>1</v>
      </c>
      <c r="BS300" s="138">
        <f t="shared" si="120"/>
        <v>0</v>
      </c>
      <c r="BT300" s="132">
        <f t="shared" si="121"/>
        <v>2</v>
      </c>
      <c r="BU300" s="133"/>
      <c r="BV300" s="133"/>
      <c r="BX300" s="1256">
        <v>43100</v>
      </c>
      <c r="BY300" s="494"/>
      <c r="BZ300" s="494"/>
      <c r="CA300" s="165"/>
      <c r="CB300" s="165"/>
      <c r="CC300" s="165"/>
      <c r="CD300" s="1260" t="s">
        <v>2238</v>
      </c>
      <c r="CE300" s="75">
        <f>0.5</f>
        <v>0.5</v>
      </c>
      <c r="CF300" s="75">
        <f>ROUND(5.56/1.13,2)</f>
        <v>4.92</v>
      </c>
      <c r="CG300" s="1263" t="s">
        <v>2539</v>
      </c>
    </row>
    <row r="301" ht="15" customHeight="1" spans="1:85">
      <c r="A301" s="123" t="str">
        <f>IF(B301="","",COUNT(A$7:A300)+1)</f>
        <v/>
      </c>
      <c r="B301" s="139"/>
      <c r="C301" s="139"/>
      <c r="D301" s="141"/>
      <c r="E301" s="126"/>
      <c r="F301" s="142"/>
      <c r="G301" s="127"/>
      <c r="H301" s="128"/>
      <c r="I301" s="128"/>
      <c r="J301" s="980"/>
      <c r="K301" s="143"/>
      <c r="L301" s="143"/>
      <c r="M301" s="129"/>
      <c r="N301" s="144"/>
      <c r="O301" s="144"/>
      <c r="P301" s="144"/>
      <c r="Q301" s="143"/>
      <c r="R301" s="353" t="str">
        <f t="shared" si="113"/>
        <v/>
      </c>
      <c r="S301" s="129" t="str">
        <f t="shared" ref="S301:S364" si="132">IFERROR(T301/R301,"")</f>
        <v/>
      </c>
      <c r="T301" s="1226" t="str">
        <f t="shared" si="115"/>
        <v/>
      </c>
      <c r="U301" s="1226" t="str">
        <f t="shared" si="116"/>
        <v/>
      </c>
      <c r="V301" s="353" t="str">
        <f t="shared" si="112"/>
        <v/>
      </c>
      <c r="W301" s="129">
        <v>0</v>
      </c>
      <c r="X301" s="129">
        <v>0</v>
      </c>
      <c r="Y301" s="129" t="str">
        <f t="shared" ref="Y301:Y364" si="133">IFERROR(X301-(T301-U301),"")</f>
        <v/>
      </c>
      <c r="Z301" s="129" t="str">
        <f t="shared" ref="Z301:Z364" si="134">IFERROR(Y301/(T301-U301)*100,"")</f>
        <v/>
      </c>
      <c r="AA301" s="145"/>
      <c r="BA301" s="78"/>
      <c r="BB301" s="132" t="s">
        <v>2540</v>
      </c>
      <c r="BC301" s="133"/>
      <c r="BD301" s="132" t="str">
        <f>IF(OR(B301="",BC301=""),"",COUNTIF(BC$8:BC301,"√"))</f>
        <v/>
      </c>
      <c r="BE301" s="134" t="str">
        <f t="shared" si="117"/>
        <v/>
      </c>
      <c r="BF301" s="135" t="str">
        <f t="shared" si="123"/>
        <v/>
      </c>
      <c r="BG301" s="135" t="str">
        <f t="shared" si="123"/>
        <v/>
      </c>
      <c r="BH301" s="136"/>
      <c r="BI301" s="136"/>
      <c r="BJ301" s="136"/>
      <c r="BK301" s="136"/>
      <c r="BL301" s="137"/>
      <c r="BM301" s="137"/>
      <c r="BP301" s="134" t="str">
        <f>IF(COUNTIF(BP$7:BP300,B301)&gt;0,"",B301)&amp;""</f>
        <v/>
      </c>
      <c r="BQ301" s="138">
        <f t="shared" si="118"/>
        <v>0</v>
      </c>
      <c r="BR301" s="132">
        <f t="shared" si="119"/>
        <v>1</v>
      </c>
      <c r="BS301" s="138">
        <f t="shared" si="120"/>
        <v>0</v>
      </c>
      <c r="BT301" s="132">
        <f t="shared" si="121"/>
        <v>2</v>
      </c>
      <c r="BU301" s="133"/>
      <c r="BV301" s="133"/>
      <c r="BX301" s="1256">
        <v>43100</v>
      </c>
      <c r="BY301" s="165">
        <f>IFERROR(LOOKUP(BX301,基础数据!A:D),1)</f>
        <v>3.53915880885741</v>
      </c>
      <c r="BZ301" s="165">
        <f t="shared" si="125"/>
        <v>1.00524445538375</v>
      </c>
      <c r="CA301" s="165" t="e">
        <f>ROUND(S301*BZ301,1)</f>
        <v>#VALUE!</v>
      </c>
      <c r="CB301" s="165">
        <f t="shared" ref="CB301:CB302" si="135">CO$3</f>
        <v>90</v>
      </c>
      <c r="CC301" s="165" t="e">
        <f>ROUND(CB301*CA301/100,1)</f>
        <v>#VALUE!</v>
      </c>
      <c r="CD301" s="1257" t="s">
        <v>2237</v>
      </c>
    </row>
    <row r="302" ht="15" customHeight="1" spans="1:85">
      <c r="A302" s="123" t="str">
        <f>IF(B302="","",COUNT(A$7:A301)+1)</f>
        <v/>
      </c>
      <c r="B302" s="139"/>
      <c r="C302" s="139"/>
      <c r="D302" s="141"/>
      <c r="E302" s="126"/>
      <c r="F302" s="142"/>
      <c r="G302" s="127"/>
      <c r="H302" s="128"/>
      <c r="I302" s="128"/>
      <c r="J302" s="980"/>
      <c r="K302" s="143"/>
      <c r="L302" s="143"/>
      <c r="M302" s="129"/>
      <c r="N302" s="144"/>
      <c r="O302" s="144"/>
      <c r="P302" s="144"/>
      <c r="Q302" s="143"/>
      <c r="R302" s="353" t="str">
        <f t="shared" si="113"/>
        <v/>
      </c>
      <c r="S302" s="129" t="str">
        <f t="shared" si="132"/>
        <v/>
      </c>
      <c r="T302" s="1226" t="str">
        <f t="shared" si="115"/>
        <v/>
      </c>
      <c r="U302" s="1226" t="str">
        <f t="shared" si="116"/>
        <v/>
      </c>
      <c r="V302" s="353" t="str">
        <f t="shared" si="112"/>
        <v/>
      </c>
      <c r="W302" s="129">
        <v>0</v>
      </c>
      <c r="X302" s="129">
        <v>0</v>
      </c>
      <c r="Y302" s="129" t="str">
        <f t="shared" si="133"/>
        <v/>
      </c>
      <c r="Z302" s="129" t="str">
        <f t="shared" si="134"/>
        <v/>
      </c>
      <c r="AA302" s="145"/>
      <c r="BA302" s="78"/>
      <c r="BB302" s="132" t="s">
        <v>2541</v>
      </c>
      <c r="BC302" s="133"/>
      <c r="BD302" s="132" t="str">
        <f>IF(OR(B302="",BC302=""),"",COUNTIF(BC$8:BC302,"√"))</f>
        <v/>
      </c>
      <c r="BE302" s="134" t="str">
        <f t="shared" si="117"/>
        <v/>
      </c>
      <c r="BF302" s="135" t="str">
        <f t="shared" si="123"/>
        <v/>
      </c>
      <c r="BG302" s="135" t="str">
        <f t="shared" si="123"/>
        <v/>
      </c>
      <c r="BH302" s="136"/>
      <c r="BI302" s="136"/>
      <c r="BJ302" s="136"/>
      <c r="BK302" s="136"/>
      <c r="BL302" s="137"/>
      <c r="BM302" s="137"/>
      <c r="BP302" s="134" t="str">
        <f>IF(COUNTIF(BP$7:BP301,B302)&gt;0,"",B302)&amp;""</f>
        <v/>
      </c>
      <c r="BQ302" s="138">
        <f t="shared" si="118"/>
        <v>0</v>
      </c>
      <c r="BR302" s="132">
        <f t="shared" si="119"/>
        <v>1</v>
      </c>
      <c r="BS302" s="138">
        <f t="shared" si="120"/>
        <v>0</v>
      </c>
      <c r="BT302" s="132">
        <f t="shared" si="121"/>
        <v>2</v>
      </c>
      <c r="BU302" s="133"/>
      <c r="BV302" s="133"/>
      <c r="BX302" s="1256">
        <v>43100</v>
      </c>
      <c r="BY302" s="165">
        <f>IFERROR(LOOKUP(BX302,基础数据!A:D),1)</f>
        <v>3.53915880885741</v>
      </c>
      <c r="BZ302" s="165">
        <f t="shared" si="125"/>
        <v>1.00524445538375</v>
      </c>
      <c r="CA302" s="165" t="e">
        <f t="shared" si="127"/>
        <v>#VALUE!</v>
      </c>
      <c r="CB302" s="165">
        <f t="shared" si="135"/>
        <v>90</v>
      </c>
      <c r="CC302" s="165" t="e">
        <f t="shared" si="128"/>
        <v>#VALUE!</v>
      </c>
      <c r="CD302" s="1257" t="s">
        <v>2237</v>
      </c>
    </row>
    <row r="303" ht="15" customHeight="1" spans="1:85">
      <c r="A303" s="123" t="str">
        <f>IF(B303="","",COUNT(A$7:A302)+1)</f>
        <v/>
      </c>
      <c r="B303" s="139"/>
      <c r="C303" s="139"/>
      <c r="D303" s="141"/>
      <c r="E303" s="126"/>
      <c r="F303" s="142"/>
      <c r="G303" s="127"/>
      <c r="H303" s="128"/>
      <c r="I303" s="128"/>
      <c r="J303" s="980"/>
      <c r="K303" s="143"/>
      <c r="L303" s="143"/>
      <c r="M303" s="129"/>
      <c r="N303" s="144"/>
      <c r="O303" s="144"/>
      <c r="P303" s="144"/>
      <c r="Q303" s="143"/>
      <c r="R303" s="353" t="str">
        <f t="shared" si="113"/>
        <v/>
      </c>
      <c r="S303" s="129" t="str">
        <f t="shared" si="132"/>
        <v/>
      </c>
      <c r="T303" s="1226" t="str">
        <f t="shared" si="115"/>
        <v/>
      </c>
      <c r="U303" s="1226" t="str">
        <f t="shared" si="116"/>
        <v/>
      </c>
      <c r="V303" s="353" t="str">
        <f t="shared" si="112"/>
        <v/>
      </c>
      <c r="W303" s="129">
        <v>0</v>
      </c>
      <c r="X303" s="129">
        <v>0</v>
      </c>
      <c r="Y303" s="129" t="str">
        <f t="shared" si="133"/>
        <v/>
      </c>
      <c r="Z303" s="129" t="str">
        <f t="shared" si="134"/>
        <v/>
      </c>
      <c r="AA303" s="145"/>
      <c r="BA303" s="78"/>
      <c r="BB303" s="132" t="s">
        <v>2542</v>
      </c>
      <c r="BC303" s="133"/>
      <c r="BD303" s="132" t="str">
        <f>IF(OR(B303="",BC303=""),"",COUNTIF(BC$8:BC303,"√"))</f>
        <v/>
      </c>
      <c r="BE303" s="134" t="str">
        <f t="shared" si="117"/>
        <v/>
      </c>
      <c r="BF303" s="135" t="str">
        <f t="shared" si="123"/>
        <v/>
      </c>
      <c r="BG303" s="135" t="str">
        <f t="shared" si="123"/>
        <v/>
      </c>
      <c r="BH303" s="136"/>
      <c r="BI303" s="136"/>
      <c r="BJ303" s="136"/>
      <c r="BK303" s="136"/>
      <c r="BL303" s="137"/>
      <c r="BM303" s="137"/>
      <c r="BP303" s="134" t="str">
        <f>IF(COUNTIF(BP$7:BP302,B303)&gt;0,"",B303)&amp;""</f>
        <v/>
      </c>
      <c r="BQ303" s="138">
        <f t="shared" si="118"/>
        <v>0</v>
      </c>
      <c r="BR303" s="132">
        <f t="shared" si="119"/>
        <v>1</v>
      </c>
      <c r="BS303" s="138">
        <f t="shared" si="120"/>
        <v>0</v>
      </c>
      <c r="BT303" s="132">
        <f t="shared" si="121"/>
        <v>2</v>
      </c>
      <c r="BU303" s="133"/>
      <c r="BV303" s="133"/>
      <c r="BX303" s="1256">
        <v>43100</v>
      </c>
      <c r="BY303" s="165">
        <f>IFERROR(LOOKUP(BX303,基础数据!A:D),1)</f>
        <v>3.53915880885741</v>
      </c>
      <c r="BZ303" s="165">
        <f t="shared" si="125"/>
        <v>1.00524445538375</v>
      </c>
      <c r="CA303" s="165" t="e">
        <f>ROUND(S303*BZ303,1)</f>
        <v>#VALUE!</v>
      </c>
      <c r="CB303" s="165">
        <f>CO$2</f>
        <v>95</v>
      </c>
      <c r="CC303" s="165" t="e">
        <f>ROUND(CB303*CA303/100,1)</f>
        <v>#VALUE!</v>
      </c>
      <c r="CD303" s="1260" t="s">
        <v>2236</v>
      </c>
    </row>
    <row r="304" ht="15" customHeight="1" spans="1:85">
      <c r="A304" s="123" t="str">
        <f>IF(B304="","",COUNT(A$7:A303)+1)</f>
        <v/>
      </c>
      <c r="B304" s="139"/>
      <c r="C304" s="139"/>
      <c r="D304" s="141"/>
      <c r="E304" s="126"/>
      <c r="F304" s="142"/>
      <c r="G304" s="127"/>
      <c r="H304" s="128"/>
      <c r="I304" s="128"/>
      <c r="J304" s="980"/>
      <c r="K304" s="143"/>
      <c r="L304" s="143"/>
      <c r="M304" s="129"/>
      <c r="N304" s="144"/>
      <c r="O304" s="144"/>
      <c r="P304" s="144"/>
      <c r="Q304" s="143"/>
      <c r="R304" s="353" t="str">
        <f t="shared" si="113"/>
        <v/>
      </c>
      <c r="S304" s="129" t="str">
        <f t="shared" si="132"/>
        <v/>
      </c>
      <c r="T304" s="1226" t="str">
        <f t="shared" si="115"/>
        <v/>
      </c>
      <c r="U304" s="1226" t="str">
        <f t="shared" si="116"/>
        <v/>
      </c>
      <c r="V304" s="353" t="str">
        <f t="shared" si="112"/>
        <v/>
      </c>
      <c r="W304" s="129">
        <v>0</v>
      </c>
      <c r="X304" s="129">
        <v>0</v>
      </c>
      <c r="Y304" s="129" t="str">
        <f t="shared" si="133"/>
        <v/>
      </c>
      <c r="Z304" s="129" t="str">
        <f t="shared" si="134"/>
        <v/>
      </c>
      <c r="AA304" s="145"/>
      <c r="BA304" s="78"/>
      <c r="BB304" s="132" t="s">
        <v>2543</v>
      </c>
      <c r="BC304" s="133"/>
      <c r="BD304" s="132" t="str">
        <f>IF(OR(B304="",BC304=""),"",COUNTIF(BC$8:BC304,"√"))</f>
        <v/>
      </c>
      <c r="BE304" s="134" t="str">
        <f t="shared" si="117"/>
        <v/>
      </c>
      <c r="BF304" s="135" t="str">
        <f t="shared" si="123"/>
        <v/>
      </c>
      <c r="BG304" s="135" t="str">
        <f t="shared" si="123"/>
        <v/>
      </c>
      <c r="BH304" s="136"/>
      <c r="BI304" s="136"/>
      <c r="BJ304" s="136"/>
      <c r="BK304" s="136"/>
      <c r="BL304" s="137"/>
      <c r="BM304" s="137"/>
      <c r="BP304" s="134" t="str">
        <f>IF(COUNTIF(BP$7:BP303,B304)&gt;0,"",B304)&amp;""</f>
        <v/>
      </c>
      <c r="BQ304" s="138">
        <f t="shared" si="118"/>
        <v>0</v>
      </c>
      <c r="BR304" s="132">
        <f t="shared" si="119"/>
        <v>1</v>
      </c>
      <c r="BS304" s="138">
        <f t="shared" si="120"/>
        <v>0</v>
      </c>
      <c r="BT304" s="132">
        <f t="shared" si="121"/>
        <v>2</v>
      </c>
      <c r="BU304" s="133"/>
      <c r="BV304" s="133"/>
      <c r="BX304" s="1256">
        <v>43100</v>
      </c>
      <c r="BY304" s="165">
        <f>IFERROR(LOOKUP(BX304,基础数据!A:D),1)</f>
        <v>3.53915880885741</v>
      </c>
      <c r="BZ304" s="165">
        <f t="shared" si="125"/>
        <v>1.00524445538375</v>
      </c>
      <c r="CA304" s="165" t="e">
        <f t="shared" si="127"/>
        <v>#VALUE!</v>
      </c>
      <c r="CB304" s="165">
        <f t="shared" ref="CB304:CB320" si="136">CO$3</f>
        <v>90</v>
      </c>
      <c r="CC304" s="165" t="e">
        <f t="shared" si="128"/>
        <v>#VALUE!</v>
      </c>
      <c r="CD304" s="1257" t="s">
        <v>2237</v>
      </c>
    </row>
    <row r="305" ht="15" customHeight="1" spans="1:82">
      <c r="A305" s="123" t="str">
        <f>IF(B305="","",COUNT(A$7:A304)+1)</f>
        <v/>
      </c>
      <c r="B305" s="139"/>
      <c r="C305" s="139"/>
      <c r="D305" s="141"/>
      <c r="E305" s="126"/>
      <c r="F305" s="142"/>
      <c r="G305" s="127"/>
      <c r="H305" s="128"/>
      <c r="I305" s="128"/>
      <c r="J305" s="980"/>
      <c r="K305" s="143"/>
      <c r="L305" s="143"/>
      <c r="M305" s="129"/>
      <c r="N305" s="144"/>
      <c r="O305" s="144"/>
      <c r="P305" s="144"/>
      <c r="Q305" s="143"/>
      <c r="R305" s="353" t="str">
        <f t="shared" si="113"/>
        <v/>
      </c>
      <c r="S305" s="129" t="str">
        <f t="shared" si="132"/>
        <v/>
      </c>
      <c r="T305" s="1226" t="str">
        <f t="shared" si="115"/>
        <v/>
      </c>
      <c r="U305" s="1226" t="str">
        <f t="shared" si="116"/>
        <v/>
      </c>
      <c r="V305" s="353" t="str">
        <f t="shared" si="112"/>
        <v/>
      </c>
      <c r="W305" s="129">
        <v>0</v>
      </c>
      <c r="X305" s="129">
        <v>0</v>
      </c>
      <c r="Y305" s="129" t="str">
        <f t="shared" si="133"/>
        <v/>
      </c>
      <c r="Z305" s="129" t="str">
        <f t="shared" si="134"/>
        <v/>
      </c>
      <c r="AA305" s="145"/>
      <c r="BA305" s="78"/>
      <c r="BB305" s="132" t="s">
        <v>2544</v>
      </c>
      <c r="BC305" s="133"/>
      <c r="BD305" s="132" t="str">
        <f>IF(OR(B305="",BC305=""),"",COUNTIF(BC$8:BC305,"√"))</f>
        <v/>
      </c>
      <c r="BE305" s="134" t="str">
        <f t="shared" si="117"/>
        <v/>
      </c>
      <c r="BF305" s="135" t="str">
        <f t="shared" si="123"/>
        <v/>
      </c>
      <c r="BG305" s="135" t="str">
        <f t="shared" si="123"/>
        <v/>
      </c>
      <c r="BH305" s="136"/>
      <c r="BI305" s="136"/>
      <c r="BJ305" s="136"/>
      <c r="BK305" s="136"/>
      <c r="BL305" s="137"/>
      <c r="BM305" s="137"/>
      <c r="BP305" s="134" t="str">
        <f>IF(COUNTIF(BP$7:BP304,B305)&gt;0,"",B305)&amp;""</f>
        <v/>
      </c>
      <c r="BQ305" s="138">
        <f t="shared" si="118"/>
        <v>0</v>
      </c>
      <c r="BR305" s="132">
        <f t="shared" si="119"/>
        <v>1</v>
      </c>
      <c r="BS305" s="138">
        <f t="shared" si="120"/>
        <v>0</v>
      </c>
      <c r="BT305" s="132">
        <f t="shared" si="121"/>
        <v>2</v>
      </c>
      <c r="BU305" s="133"/>
      <c r="BV305" s="133"/>
      <c r="BX305" s="1256">
        <v>43100</v>
      </c>
      <c r="BY305" s="165">
        <f>IFERROR(LOOKUP(BX305,基础数据!A:D),1)</f>
        <v>3.53915880885741</v>
      </c>
      <c r="BZ305" s="165">
        <f t="shared" si="125"/>
        <v>1.00524445538375</v>
      </c>
      <c r="CA305" s="165" t="e">
        <f t="shared" ref="CA305:CA306" si="137">ROUND(S305*BZ305,1)</f>
        <v>#VALUE!</v>
      </c>
      <c r="CB305" s="165">
        <f t="shared" si="136"/>
        <v>90</v>
      </c>
      <c r="CC305" s="165" t="e">
        <f t="shared" ref="CC305:CC306" si="138">ROUND(CB305*CA305/100,1)</f>
        <v>#VALUE!</v>
      </c>
      <c r="CD305" s="1257" t="s">
        <v>2237</v>
      </c>
    </row>
    <row r="306" ht="15" customHeight="1" spans="1:82">
      <c r="A306" s="123" t="str">
        <f>IF(B306="","",COUNT(A$7:A305)+1)</f>
        <v/>
      </c>
      <c r="B306" s="139"/>
      <c r="C306" s="139"/>
      <c r="D306" s="141"/>
      <c r="E306" s="126"/>
      <c r="F306" s="142"/>
      <c r="G306" s="127"/>
      <c r="H306" s="128"/>
      <c r="I306" s="128"/>
      <c r="J306" s="980"/>
      <c r="K306" s="143"/>
      <c r="L306" s="143"/>
      <c r="M306" s="129"/>
      <c r="N306" s="144"/>
      <c r="O306" s="144"/>
      <c r="P306" s="144"/>
      <c r="Q306" s="143"/>
      <c r="R306" s="353" t="str">
        <f t="shared" si="113"/>
        <v/>
      </c>
      <c r="S306" s="129" t="str">
        <f t="shared" si="132"/>
        <v/>
      </c>
      <c r="T306" s="1226" t="str">
        <f t="shared" si="115"/>
        <v/>
      </c>
      <c r="U306" s="1226" t="str">
        <f t="shared" si="116"/>
        <v/>
      </c>
      <c r="V306" s="353" t="str">
        <f t="shared" si="112"/>
        <v/>
      </c>
      <c r="W306" s="129">
        <v>0</v>
      </c>
      <c r="X306" s="129">
        <v>0</v>
      </c>
      <c r="Y306" s="129" t="str">
        <f t="shared" si="133"/>
        <v/>
      </c>
      <c r="Z306" s="129" t="str">
        <f t="shared" si="134"/>
        <v/>
      </c>
      <c r="AA306" s="145"/>
      <c r="BA306" s="78"/>
      <c r="BB306" s="132" t="s">
        <v>2545</v>
      </c>
      <c r="BC306" s="133"/>
      <c r="BD306" s="132" t="str">
        <f>IF(OR(B306="",BC306=""),"",COUNTIF(BC$8:BC306,"√"))</f>
        <v/>
      </c>
      <c r="BE306" s="134" t="str">
        <f t="shared" si="117"/>
        <v/>
      </c>
      <c r="BF306" s="135" t="str">
        <f t="shared" si="123"/>
        <v/>
      </c>
      <c r="BG306" s="135" t="str">
        <f t="shared" si="123"/>
        <v/>
      </c>
      <c r="BH306" s="136"/>
      <c r="BI306" s="136"/>
      <c r="BJ306" s="136"/>
      <c r="BK306" s="136"/>
      <c r="BL306" s="137"/>
      <c r="BM306" s="137"/>
      <c r="BP306" s="134" t="str">
        <f>IF(COUNTIF(BP$7:BP305,B306)&gt;0,"",B306)&amp;""</f>
        <v/>
      </c>
      <c r="BQ306" s="138">
        <f t="shared" si="118"/>
        <v>0</v>
      </c>
      <c r="BR306" s="132">
        <f t="shared" si="119"/>
        <v>1</v>
      </c>
      <c r="BS306" s="138">
        <f t="shared" si="120"/>
        <v>0</v>
      </c>
      <c r="BT306" s="132">
        <f t="shared" si="121"/>
        <v>2</v>
      </c>
      <c r="BU306" s="133"/>
      <c r="BV306" s="133"/>
      <c r="BX306" s="1256">
        <v>44882</v>
      </c>
      <c r="BY306" s="165">
        <f>IFERROR(LOOKUP(BX306,基础数据!A:D),1)</f>
        <v>3.83949417682846</v>
      </c>
      <c r="BZ306" s="165">
        <f t="shared" si="125"/>
        <v>0.926611580972689</v>
      </c>
      <c r="CA306" s="165" t="e">
        <f t="shared" si="137"/>
        <v>#VALUE!</v>
      </c>
      <c r="CB306" s="165">
        <f t="shared" si="136"/>
        <v>90</v>
      </c>
      <c r="CC306" s="165" t="e">
        <f t="shared" si="138"/>
        <v>#VALUE!</v>
      </c>
      <c r="CD306" s="1257" t="s">
        <v>2237</v>
      </c>
    </row>
    <row r="307" ht="15" customHeight="1" spans="1:82">
      <c r="A307" s="123" t="str">
        <f>IF(B307="","",COUNT(A$7:A306)+1)</f>
        <v/>
      </c>
      <c r="B307" s="139"/>
      <c r="C307" s="139"/>
      <c r="D307" s="141"/>
      <c r="E307" s="126"/>
      <c r="F307" s="142"/>
      <c r="G307" s="127"/>
      <c r="H307" s="128"/>
      <c r="I307" s="128"/>
      <c r="J307" s="980"/>
      <c r="K307" s="143"/>
      <c r="L307" s="143"/>
      <c r="M307" s="129"/>
      <c r="N307" s="144"/>
      <c r="O307" s="144"/>
      <c r="P307" s="144"/>
      <c r="Q307" s="143"/>
      <c r="R307" s="353" t="str">
        <f t="shared" si="113"/>
        <v/>
      </c>
      <c r="S307" s="129" t="str">
        <f t="shared" si="132"/>
        <v/>
      </c>
      <c r="T307" s="1226" t="str">
        <f t="shared" si="115"/>
        <v/>
      </c>
      <c r="U307" s="1226" t="str">
        <f t="shared" si="116"/>
        <v/>
      </c>
      <c r="V307" s="353" t="str">
        <f t="shared" si="112"/>
        <v/>
      </c>
      <c r="W307" s="129">
        <v>0</v>
      </c>
      <c r="X307" s="129">
        <v>0</v>
      </c>
      <c r="Y307" s="129" t="str">
        <f t="shared" si="133"/>
        <v/>
      </c>
      <c r="Z307" s="129" t="str">
        <f t="shared" si="134"/>
        <v/>
      </c>
      <c r="AA307" s="145"/>
      <c r="BA307" s="78"/>
      <c r="BB307" s="132" t="s">
        <v>2546</v>
      </c>
      <c r="BC307" s="133"/>
      <c r="BD307" s="132" t="str">
        <f>IF(OR(B307="",BC307=""),"",COUNTIF(BC$8:BC307,"√"))</f>
        <v/>
      </c>
      <c r="BE307" s="134" t="str">
        <f t="shared" si="117"/>
        <v/>
      </c>
      <c r="BF307" s="135" t="str">
        <f t="shared" si="123"/>
        <v/>
      </c>
      <c r="BG307" s="135" t="str">
        <f t="shared" si="123"/>
        <v/>
      </c>
      <c r="BH307" s="136"/>
      <c r="BI307" s="136"/>
      <c r="BJ307" s="136"/>
      <c r="BK307" s="136"/>
      <c r="BL307" s="137"/>
      <c r="BM307" s="137"/>
      <c r="BP307" s="134" t="str">
        <f>IF(COUNTIF(BP$7:BP306,B307)&gt;0,"",B307)&amp;""</f>
        <v/>
      </c>
      <c r="BQ307" s="138">
        <f t="shared" si="118"/>
        <v>0</v>
      </c>
      <c r="BR307" s="132">
        <f t="shared" si="119"/>
        <v>1</v>
      </c>
      <c r="BS307" s="138">
        <f t="shared" si="120"/>
        <v>0</v>
      </c>
      <c r="BT307" s="132">
        <f t="shared" si="121"/>
        <v>2</v>
      </c>
      <c r="BU307" s="133"/>
      <c r="BV307" s="133"/>
      <c r="BX307" s="1256">
        <v>44882</v>
      </c>
      <c r="BY307" s="165">
        <f>IFERROR(LOOKUP(BX307,基础数据!A:D),1)</f>
        <v>3.83949417682846</v>
      </c>
      <c r="BZ307" s="165">
        <f t="shared" si="125"/>
        <v>0.926611580972689</v>
      </c>
      <c r="CA307" s="165" t="e">
        <f t="shared" si="127"/>
        <v>#VALUE!</v>
      </c>
      <c r="CB307" s="165">
        <v>97</v>
      </c>
      <c r="CC307" s="165" t="e">
        <f t="shared" si="128"/>
        <v>#VALUE!</v>
      </c>
      <c r="CD307" s="1257" t="s">
        <v>2236</v>
      </c>
    </row>
    <row r="308" ht="15" customHeight="1" spans="1:82">
      <c r="A308" s="123" t="str">
        <f>IF(B308="","",COUNT(A$7:A307)+1)</f>
        <v/>
      </c>
      <c r="B308" s="139"/>
      <c r="C308" s="139"/>
      <c r="D308" s="141"/>
      <c r="E308" s="126"/>
      <c r="F308" s="142"/>
      <c r="G308" s="127"/>
      <c r="H308" s="128"/>
      <c r="I308" s="128"/>
      <c r="J308" s="980"/>
      <c r="K308" s="143"/>
      <c r="L308" s="143"/>
      <c r="M308" s="129"/>
      <c r="N308" s="144"/>
      <c r="O308" s="144"/>
      <c r="P308" s="144"/>
      <c r="Q308" s="143"/>
      <c r="R308" s="353" t="str">
        <f t="shared" si="113"/>
        <v/>
      </c>
      <c r="S308" s="129" t="str">
        <f t="shared" si="132"/>
        <v/>
      </c>
      <c r="T308" s="1226" t="str">
        <f t="shared" si="115"/>
        <v/>
      </c>
      <c r="U308" s="1226" t="str">
        <f t="shared" si="116"/>
        <v/>
      </c>
      <c r="V308" s="353" t="str">
        <f t="shared" si="112"/>
        <v/>
      </c>
      <c r="W308" s="129">
        <v>0</v>
      </c>
      <c r="X308" s="129">
        <v>0</v>
      </c>
      <c r="Y308" s="129" t="str">
        <f t="shared" si="133"/>
        <v/>
      </c>
      <c r="Z308" s="129" t="str">
        <f t="shared" si="134"/>
        <v/>
      </c>
      <c r="AA308" s="145"/>
      <c r="BA308" s="78"/>
      <c r="BB308" s="132" t="s">
        <v>2547</v>
      </c>
      <c r="BC308" s="133"/>
      <c r="BD308" s="132" t="str">
        <f>IF(OR(B308="",BC308=""),"",COUNTIF(BC$8:BC308,"√"))</f>
        <v/>
      </c>
      <c r="BE308" s="134" t="str">
        <f t="shared" si="117"/>
        <v/>
      </c>
      <c r="BF308" s="135" t="str">
        <f t="shared" si="123"/>
        <v/>
      </c>
      <c r="BG308" s="135" t="str">
        <f t="shared" si="123"/>
        <v/>
      </c>
      <c r="BH308" s="136"/>
      <c r="BI308" s="136"/>
      <c r="BJ308" s="136"/>
      <c r="BK308" s="136"/>
      <c r="BL308" s="137"/>
      <c r="BM308" s="137"/>
      <c r="BP308" s="134" t="str">
        <f>IF(COUNTIF(BP$7:BP307,B308)&gt;0,"",B308)&amp;""</f>
        <v/>
      </c>
      <c r="BQ308" s="138">
        <f t="shared" si="118"/>
        <v>0</v>
      </c>
      <c r="BR308" s="132">
        <f t="shared" si="119"/>
        <v>1</v>
      </c>
      <c r="BS308" s="138">
        <f t="shared" si="120"/>
        <v>0</v>
      </c>
      <c r="BT308" s="132">
        <f t="shared" si="121"/>
        <v>2</v>
      </c>
      <c r="BU308" s="133"/>
      <c r="BV308" s="133"/>
      <c r="BX308" s="1256">
        <v>43100</v>
      </c>
      <c r="BY308" s="165">
        <f>IFERROR(LOOKUP(BX308,基础数据!A:D),1)</f>
        <v>3.53915880885741</v>
      </c>
      <c r="BZ308" s="165">
        <f t="shared" si="125"/>
        <v>1.00524445538375</v>
      </c>
      <c r="CA308" s="165" t="e">
        <f t="shared" si="127"/>
        <v>#VALUE!</v>
      </c>
      <c r="CB308" s="165">
        <v>97</v>
      </c>
      <c r="CC308" s="165" t="e">
        <f t="shared" si="128"/>
        <v>#VALUE!</v>
      </c>
      <c r="CD308" s="1257" t="s">
        <v>2236</v>
      </c>
    </row>
    <row r="309" ht="15" customHeight="1" spans="1:82">
      <c r="A309" s="123" t="str">
        <f>IF(B309="","",COUNT(A$7:A308)+1)</f>
        <v/>
      </c>
      <c r="B309" s="139"/>
      <c r="C309" s="139"/>
      <c r="D309" s="141"/>
      <c r="E309" s="126"/>
      <c r="F309" s="142"/>
      <c r="G309" s="127"/>
      <c r="H309" s="128"/>
      <c r="I309" s="128"/>
      <c r="J309" s="980"/>
      <c r="K309" s="143"/>
      <c r="L309" s="143"/>
      <c r="M309" s="129"/>
      <c r="N309" s="144"/>
      <c r="O309" s="144"/>
      <c r="P309" s="144"/>
      <c r="Q309" s="143"/>
      <c r="R309" s="353" t="str">
        <f t="shared" si="113"/>
        <v/>
      </c>
      <c r="S309" s="129" t="str">
        <f t="shared" si="132"/>
        <v/>
      </c>
      <c r="T309" s="1226" t="str">
        <f t="shared" si="115"/>
        <v/>
      </c>
      <c r="U309" s="1226" t="str">
        <f t="shared" si="116"/>
        <v/>
      </c>
      <c r="V309" s="353" t="str">
        <f t="shared" si="112"/>
        <v/>
      </c>
      <c r="W309" s="129">
        <v>0</v>
      </c>
      <c r="X309" s="129">
        <v>0</v>
      </c>
      <c r="Y309" s="129" t="str">
        <f t="shared" si="133"/>
        <v/>
      </c>
      <c r="Z309" s="129" t="str">
        <f t="shared" si="134"/>
        <v/>
      </c>
      <c r="AA309" s="145"/>
      <c r="BA309" s="78"/>
      <c r="BB309" s="132" t="s">
        <v>2548</v>
      </c>
      <c r="BC309" s="133"/>
      <c r="BD309" s="132" t="str">
        <f>IF(OR(B309="",BC309=""),"",COUNTIF(BC$8:BC309,"√"))</f>
        <v/>
      </c>
      <c r="BE309" s="134" t="str">
        <f t="shared" si="117"/>
        <v/>
      </c>
      <c r="BF309" s="135" t="str">
        <f t="shared" si="123"/>
        <v/>
      </c>
      <c r="BG309" s="135" t="str">
        <f t="shared" si="123"/>
        <v/>
      </c>
      <c r="BH309" s="136"/>
      <c r="BI309" s="136"/>
      <c r="BJ309" s="136"/>
      <c r="BK309" s="136"/>
      <c r="BL309" s="137"/>
      <c r="BM309" s="137"/>
      <c r="BP309" s="134" t="str">
        <f>IF(COUNTIF(BP$7:BP308,B309)&gt;0,"",B309)&amp;""</f>
        <v/>
      </c>
      <c r="BQ309" s="138">
        <f t="shared" si="118"/>
        <v>0</v>
      </c>
      <c r="BR309" s="132">
        <f t="shared" si="119"/>
        <v>1</v>
      </c>
      <c r="BS309" s="138">
        <f t="shared" si="120"/>
        <v>0</v>
      </c>
      <c r="BT309" s="132">
        <f t="shared" si="121"/>
        <v>2</v>
      </c>
      <c r="BU309" s="133"/>
      <c r="BV309" s="133"/>
      <c r="BX309" s="1256">
        <v>43100</v>
      </c>
      <c r="BY309" s="165">
        <f>IFERROR(LOOKUP(BX309,基础数据!A:D),1)</f>
        <v>3.53915880885741</v>
      </c>
      <c r="BZ309" s="165">
        <f t="shared" si="125"/>
        <v>1.00524445538375</v>
      </c>
      <c r="CA309" s="165" t="e">
        <f>ROUND(S309*BZ309,1)</f>
        <v>#VALUE!</v>
      </c>
      <c r="CB309" s="165">
        <f t="shared" si="136"/>
        <v>90</v>
      </c>
      <c r="CC309" s="165" t="e">
        <f>ROUND(CB309*CA309/100,1)</f>
        <v>#VALUE!</v>
      </c>
      <c r="CD309" s="1257" t="s">
        <v>2237</v>
      </c>
    </row>
    <row r="310" ht="15" customHeight="1" spans="1:82">
      <c r="A310" s="123" t="str">
        <f>IF(B310="","",COUNT(A$7:A309)+1)</f>
        <v/>
      </c>
      <c r="B310" s="139"/>
      <c r="C310" s="139"/>
      <c r="D310" s="141"/>
      <c r="E310" s="126"/>
      <c r="F310" s="142"/>
      <c r="G310" s="127"/>
      <c r="H310" s="128"/>
      <c r="I310" s="128"/>
      <c r="J310" s="980"/>
      <c r="K310" s="143"/>
      <c r="L310" s="143"/>
      <c r="M310" s="129"/>
      <c r="N310" s="144"/>
      <c r="O310" s="144"/>
      <c r="P310" s="144"/>
      <c r="Q310" s="143"/>
      <c r="R310" s="353" t="str">
        <f t="shared" si="113"/>
        <v/>
      </c>
      <c r="S310" s="129" t="str">
        <f t="shared" si="132"/>
        <v/>
      </c>
      <c r="T310" s="1226" t="str">
        <f t="shared" si="115"/>
        <v/>
      </c>
      <c r="U310" s="1226" t="str">
        <f t="shared" si="116"/>
        <v/>
      </c>
      <c r="V310" s="353" t="str">
        <f t="shared" si="112"/>
        <v/>
      </c>
      <c r="W310" s="129">
        <v>0</v>
      </c>
      <c r="X310" s="129">
        <v>0</v>
      </c>
      <c r="Y310" s="129" t="str">
        <f t="shared" si="133"/>
        <v/>
      </c>
      <c r="Z310" s="129" t="str">
        <f t="shared" si="134"/>
        <v/>
      </c>
      <c r="AA310" s="145"/>
      <c r="BA310" s="78"/>
      <c r="BB310" s="132" t="s">
        <v>2549</v>
      </c>
      <c r="BC310" s="133"/>
      <c r="BD310" s="132" t="str">
        <f>IF(OR(B310="",BC310=""),"",COUNTIF(BC$8:BC310,"√"))</f>
        <v/>
      </c>
      <c r="BE310" s="134" t="str">
        <f t="shared" si="117"/>
        <v/>
      </c>
      <c r="BF310" s="135" t="str">
        <f t="shared" si="123"/>
        <v/>
      </c>
      <c r="BG310" s="135" t="str">
        <f t="shared" si="123"/>
        <v/>
      </c>
      <c r="BH310" s="136"/>
      <c r="BI310" s="136"/>
      <c r="BJ310" s="136"/>
      <c r="BK310" s="136"/>
      <c r="BL310" s="137"/>
      <c r="BM310" s="137"/>
      <c r="BP310" s="134" t="str">
        <f>IF(COUNTIF(BP$7:BP309,B310)&gt;0,"",B310)&amp;""</f>
        <v/>
      </c>
      <c r="BQ310" s="138">
        <f t="shared" si="118"/>
        <v>0</v>
      </c>
      <c r="BR310" s="132">
        <f t="shared" si="119"/>
        <v>1</v>
      </c>
      <c r="BS310" s="138">
        <f t="shared" si="120"/>
        <v>0</v>
      </c>
      <c r="BT310" s="132">
        <f t="shared" si="121"/>
        <v>2</v>
      </c>
      <c r="BU310" s="133"/>
      <c r="BV310" s="133"/>
      <c r="BX310" s="1256">
        <v>45145</v>
      </c>
      <c r="BY310" s="165">
        <f>IFERROR(LOOKUP(BX310,基础数据!A:D),1)</f>
        <v>3.71817185033308</v>
      </c>
      <c r="BZ310" s="165">
        <f t="shared" si="125"/>
        <v>0.956846512892551</v>
      </c>
      <c r="CA310" s="165" t="e">
        <f t="shared" si="127"/>
        <v>#VALUE!</v>
      </c>
      <c r="CB310" s="165">
        <f t="shared" si="136"/>
        <v>90</v>
      </c>
      <c r="CC310" s="165" t="e">
        <f t="shared" si="128"/>
        <v>#VALUE!</v>
      </c>
      <c r="CD310" s="1257" t="s">
        <v>2237</v>
      </c>
    </row>
    <row r="311" ht="15" customHeight="1" spans="1:82">
      <c r="A311" s="123" t="str">
        <f>IF(B311="","",COUNT(A$7:A310)+1)</f>
        <v/>
      </c>
      <c r="B311" s="139"/>
      <c r="C311" s="139"/>
      <c r="D311" s="141"/>
      <c r="E311" s="126"/>
      <c r="F311" s="142"/>
      <c r="G311" s="127"/>
      <c r="H311" s="128"/>
      <c r="I311" s="128"/>
      <c r="J311" s="980"/>
      <c r="K311" s="143"/>
      <c r="L311" s="143"/>
      <c r="M311" s="129"/>
      <c r="N311" s="144"/>
      <c r="O311" s="144"/>
      <c r="P311" s="144"/>
      <c r="Q311" s="143"/>
      <c r="R311" s="353" t="str">
        <f t="shared" si="113"/>
        <v/>
      </c>
      <c r="S311" s="129" t="str">
        <f t="shared" si="132"/>
        <v/>
      </c>
      <c r="T311" s="1226" t="str">
        <f t="shared" si="115"/>
        <v/>
      </c>
      <c r="U311" s="1226" t="str">
        <f t="shared" si="116"/>
        <v/>
      </c>
      <c r="V311" s="353" t="str">
        <f t="shared" si="112"/>
        <v/>
      </c>
      <c r="W311" s="129">
        <v>0</v>
      </c>
      <c r="X311" s="129">
        <v>0</v>
      </c>
      <c r="Y311" s="129" t="str">
        <f t="shared" si="133"/>
        <v/>
      </c>
      <c r="Z311" s="129" t="str">
        <f t="shared" si="134"/>
        <v/>
      </c>
      <c r="AA311" s="145"/>
      <c r="BA311" s="78"/>
      <c r="BB311" s="132" t="s">
        <v>2550</v>
      </c>
      <c r="BC311" s="133"/>
      <c r="BD311" s="132" t="str">
        <f>IF(OR(B311="",BC311=""),"",COUNTIF(BC$8:BC311,"√"))</f>
        <v/>
      </c>
      <c r="BE311" s="134" t="str">
        <f t="shared" si="117"/>
        <v/>
      </c>
      <c r="BF311" s="135" t="str">
        <f t="shared" si="123"/>
        <v/>
      </c>
      <c r="BG311" s="135" t="str">
        <f t="shared" si="123"/>
        <v/>
      </c>
      <c r="BH311" s="136"/>
      <c r="BI311" s="136"/>
      <c r="BJ311" s="136"/>
      <c r="BK311" s="136"/>
      <c r="BL311" s="137"/>
      <c r="BM311" s="137"/>
      <c r="BP311" s="134" t="str">
        <f>IF(COUNTIF(BP$7:BP310,B311)&gt;0,"",B311)&amp;""</f>
        <v/>
      </c>
      <c r="BQ311" s="138">
        <f t="shared" si="118"/>
        <v>0</v>
      </c>
      <c r="BR311" s="132">
        <f t="shared" si="119"/>
        <v>1</v>
      </c>
      <c r="BS311" s="138">
        <f t="shared" si="120"/>
        <v>0</v>
      </c>
      <c r="BT311" s="132">
        <f t="shared" si="121"/>
        <v>2</v>
      </c>
      <c r="BU311" s="133"/>
      <c r="BV311" s="133"/>
      <c r="BX311" s="1256">
        <v>43100</v>
      </c>
      <c r="BY311" s="165">
        <f>IFERROR(LOOKUP(BX311,基础数据!A:D),1)</f>
        <v>3.53915880885741</v>
      </c>
      <c r="BZ311" s="165">
        <f t="shared" si="125"/>
        <v>1.00524445538375</v>
      </c>
      <c r="CA311" s="165" t="e">
        <f t="shared" si="127"/>
        <v>#VALUE!</v>
      </c>
      <c r="CB311" s="165">
        <f t="shared" si="136"/>
        <v>90</v>
      </c>
      <c r="CC311" s="165" t="e">
        <f t="shared" si="128"/>
        <v>#VALUE!</v>
      </c>
      <c r="CD311" s="1257" t="s">
        <v>2237</v>
      </c>
    </row>
    <row r="312" ht="15" customHeight="1" spans="1:82">
      <c r="A312" s="123" t="str">
        <f>IF(B312="","",COUNT(A$7:A311)+1)</f>
        <v/>
      </c>
      <c r="B312" s="139"/>
      <c r="C312" s="139"/>
      <c r="D312" s="141"/>
      <c r="E312" s="126"/>
      <c r="F312" s="142"/>
      <c r="G312" s="127"/>
      <c r="H312" s="128"/>
      <c r="I312" s="128"/>
      <c r="J312" s="980"/>
      <c r="K312" s="143"/>
      <c r="L312" s="143"/>
      <c r="M312" s="129"/>
      <c r="N312" s="144"/>
      <c r="O312" s="144"/>
      <c r="P312" s="144"/>
      <c r="Q312" s="143"/>
      <c r="R312" s="353" t="str">
        <f t="shared" si="113"/>
        <v/>
      </c>
      <c r="S312" s="129" t="str">
        <f t="shared" si="132"/>
        <v/>
      </c>
      <c r="T312" s="1226" t="str">
        <f t="shared" si="115"/>
        <v/>
      </c>
      <c r="U312" s="1226" t="str">
        <f t="shared" si="116"/>
        <v/>
      </c>
      <c r="V312" s="353" t="str">
        <f t="shared" si="112"/>
        <v/>
      </c>
      <c r="W312" s="129">
        <v>0</v>
      </c>
      <c r="X312" s="129">
        <v>0</v>
      </c>
      <c r="Y312" s="129" t="str">
        <f t="shared" si="133"/>
        <v/>
      </c>
      <c r="Z312" s="129" t="str">
        <f t="shared" si="134"/>
        <v/>
      </c>
      <c r="AA312" s="145"/>
      <c r="BA312" s="78"/>
      <c r="BB312" s="132" t="s">
        <v>2551</v>
      </c>
      <c r="BC312" s="133"/>
      <c r="BD312" s="132" t="str">
        <f>IF(OR(B312="",BC312=""),"",COUNTIF(BC$8:BC312,"√"))</f>
        <v/>
      </c>
      <c r="BE312" s="134" t="str">
        <f t="shared" si="117"/>
        <v/>
      </c>
      <c r="BF312" s="135" t="str">
        <f t="shared" si="123"/>
        <v/>
      </c>
      <c r="BG312" s="135" t="str">
        <f t="shared" si="123"/>
        <v/>
      </c>
      <c r="BH312" s="136"/>
      <c r="BI312" s="136"/>
      <c r="BJ312" s="136"/>
      <c r="BK312" s="136"/>
      <c r="BL312" s="137"/>
      <c r="BM312" s="137"/>
      <c r="BP312" s="134" t="str">
        <f>IF(COUNTIF(BP$7:BP311,B312)&gt;0,"",B312)&amp;""</f>
        <v/>
      </c>
      <c r="BQ312" s="138">
        <f t="shared" si="118"/>
        <v>0</v>
      </c>
      <c r="BR312" s="132">
        <f t="shared" si="119"/>
        <v>1</v>
      </c>
      <c r="BS312" s="138">
        <f t="shared" si="120"/>
        <v>0</v>
      </c>
      <c r="BT312" s="132">
        <f t="shared" si="121"/>
        <v>2</v>
      </c>
      <c r="BU312" s="133"/>
      <c r="BV312" s="133"/>
      <c r="BX312" s="1256">
        <v>43100</v>
      </c>
      <c r="BY312" s="165">
        <f>IFERROR(LOOKUP(BX312,基础数据!A:D),1)</f>
        <v>3.53915880885741</v>
      </c>
      <c r="BZ312" s="165">
        <f t="shared" si="125"/>
        <v>1.00524445538375</v>
      </c>
      <c r="CA312" s="165" t="e">
        <f t="shared" ref="CA312:CA316" si="139">ROUND(S312*BZ312,1)</f>
        <v>#VALUE!</v>
      </c>
      <c r="CB312" s="165">
        <f t="shared" si="136"/>
        <v>90</v>
      </c>
      <c r="CC312" s="165" t="e">
        <f t="shared" ref="CC312:CC316" si="140">ROUND(CB312*CA312/100,1)</f>
        <v>#VALUE!</v>
      </c>
      <c r="CD312" s="1257" t="s">
        <v>2237</v>
      </c>
    </row>
    <row r="313" ht="15" customHeight="1" spans="1:82">
      <c r="A313" s="123" t="str">
        <f>IF(B313="","",COUNT(A$7:A312)+1)</f>
        <v/>
      </c>
      <c r="B313" s="139"/>
      <c r="C313" s="139"/>
      <c r="D313" s="141"/>
      <c r="E313" s="126"/>
      <c r="F313" s="142"/>
      <c r="G313" s="127"/>
      <c r="H313" s="128"/>
      <c r="I313" s="128"/>
      <c r="J313" s="980"/>
      <c r="K313" s="143"/>
      <c r="L313" s="143"/>
      <c r="M313" s="129"/>
      <c r="N313" s="144"/>
      <c r="O313" s="144"/>
      <c r="P313" s="144"/>
      <c r="Q313" s="143"/>
      <c r="R313" s="353" t="str">
        <f t="shared" si="113"/>
        <v/>
      </c>
      <c r="S313" s="129" t="str">
        <f t="shared" si="132"/>
        <v/>
      </c>
      <c r="T313" s="1226" t="str">
        <f t="shared" si="115"/>
        <v/>
      </c>
      <c r="U313" s="1226" t="str">
        <f t="shared" si="116"/>
        <v/>
      </c>
      <c r="V313" s="353" t="str">
        <f t="shared" si="112"/>
        <v/>
      </c>
      <c r="W313" s="129">
        <v>0</v>
      </c>
      <c r="X313" s="129">
        <v>0</v>
      </c>
      <c r="Y313" s="129" t="str">
        <f t="shared" si="133"/>
        <v/>
      </c>
      <c r="Z313" s="129" t="str">
        <f t="shared" si="134"/>
        <v/>
      </c>
      <c r="AA313" s="145"/>
      <c r="BA313" s="78"/>
      <c r="BB313" s="132" t="s">
        <v>2552</v>
      </c>
      <c r="BC313" s="133"/>
      <c r="BD313" s="132" t="str">
        <f>IF(OR(B313="",BC313=""),"",COUNTIF(BC$8:BC313,"√"))</f>
        <v/>
      </c>
      <c r="BE313" s="134" t="str">
        <f t="shared" si="117"/>
        <v/>
      </c>
      <c r="BF313" s="135" t="str">
        <f t="shared" si="123"/>
        <v/>
      </c>
      <c r="BG313" s="135" t="str">
        <f t="shared" si="123"/>
        <v/>
      </c>
      <c r="BH313" s="136"/>
      <c r="BI313" s="136"/>
      <c r="BJ313" s="136"/>
      <c r="BK313" s="136"/>
      <c r="BL313" s="137"/>
      <c r="BM313" s="137"/>
      <c r="BP313" s="134" t="str">
        <f>IF(COUNTIF(BP$7:BP312,B313)&gt;0,"",B313)&amp;""</f>
        <v/>
      </c>
      <c r="BQ313" s="138">
        <f t="shared" si="118"/>
        <v>0</v>
      </c>
      <c r="BR313" s="132">
        <f t="shared" si="119"/>
        <v>1</v>
      </c>
      <c r="BS313" s="138">
        <f t="shared" si="120"/>
        <v>0</v>
      </c>
      <c r="BT313" s="132">
        <f t="shared" si="121"/>
        <v>2</v>
      </c>
      <c r="BU313" s="133"/>
      <c r="BV313" s="133"/>
      <c r="BX313" s="1256">
        <v>45145</v>
      </c>
      <c r="BY313" s="165">
        <f>IFERROR(LOOKUP(BX313,基础数据!A:D),1)</f>
        <v>3.71817185033308</v>
      </c>
      <c r="BZ313" s="165">
        <f t="shared" si="125"/>
        <v>0.956846512892551</v>
      </c>
      <c r="CA313" s="165" t="e">
        <f t="shared" si="139"/>
        <v>#VALUE!</v>
      </c>
      <c r="CB313" s="165">
        <f t="shared" si="136"/>
        <v>90</v>
      </c>
      <c r="CC313" s="165" t="e">
        <f t="shared" si="140"/>
        <v>#VALUE!</v>
      </c>
      <c r="CD313" s="1257" t="s">
        <v>2237</v>
      </c>
    </row>
    <row r="314" ht="15" customHeight="1" spans="1:82">
      <c r="A314" s="123" t="str">
        <f>IF(B314="","",COUNT(A$7:A313)+1)</f>
        <v/>
      </c>
      <c r="B314" s="139"/>
      <c r="C314" s="139"/>
      <c r="D314" s="141"/>
      <c r="E314" s="126"/>
      <c r="F314" s="142"/>
      <c r="G314" s="127"/>
      <c r="H314" s="128"/>
      <c r="I314" s="128"/>
      <c r="J314" s="980"/>
      <c r="K314" s="143"/>
      <c r="L314" s="143"/>
      <c r="M314" s="129"/>
      <c r="N314" s="144"/>
      <c r="O314" s="144"/>
      <c r="P314" s="144"/>
      <c r="Q314" s="143"/>
      <c r="R314" s="353" t="str">
        <f t="shared" si="113"/>
        <v/>
      </c>
      <c r="S314" s="129" t="str">
        <f t="shared" si="132"/>
        <v/>
      </c>
      <c r="T314" s="1226" t="str">
        <f t="shared" si="115"/>
        <v/>
      </c>
      <c r="U314" s="1226" t="str">
        <f t="shared" si="116"/>
        <v/>
      </c>
      <c r="V314" s="353" t="str">
        <f t="shared" si="112"/>
        <v/>
      </c>
      <c r="W314" s="129">
        <v>0</v>
      </c>
      <c r="X314" s="129">
        <v>0</v>
      </c>
      <c r="Y314" s="129" t="str">
        <f t="shared" si="133"/>
        <v/>
      </c>
      <c r="Z314" s="129" t="str">
        <f t="shared" si="134"/>
        <v/>
      </c>
      <c r="AA314" s="145"/>
      <c r="BA314" s="78"/>
      <c r="BB314" s="132" t="s">
        <v>2553</v>
      </c>
      <c r="BC314" s="133"/>
      <c r="BD314" s="132" t="str">
        <f>IF(OR(B314="",BC314=""),"",COUNTIF(BC$8:BC314,"√"))</f>
        <v/>
      </c>
      <c r="BE314" s="134" t="str">
        <f t="shared" si="117"/>
        <v/>
      </c>
      <c r="BF314" s="135" t="str">
        <f t="shared" si="123"/>
        <v/>
      </c>
      <c r="BG314" s="135" t="str">
        <f t="shared" si="123"/>
        <v/>
      </c>
      <c r="BH314" s="136"/>
      <c r="BI314" s="136"/>
      <c r="BJ314" s="136"/>
      <c r="BK314" s="136"/>
      <c r="BL314" s="137"/>
      <c r="BM314" s="137"/>
      <c r="BP314" s="134" t="str">
        <f>IF(COUNTIF(BP$7:BP313,B314)&gt;0,"",B314)&amp;""</f>
        <v/>
      </c>
      <c r="BQ314" s="138">
        <f t="shared" si="118"/>
        <v>0</v>
      </c>
      <c r="BR314" s="132">
        <f t="shared" si="119"/>
        <v>1</v>
      </c>
      <c r="BS314" s="138">
        <f t="shared" si="120"/>
        <v>0</v>
      </c>
      <c r="BT314" s="132">
        <f t="shared" si="121"/>
        <v>2</v>
      </c>
      <c r="BU314" s="133"/>
      <c r="BV314" s="133"/>
      <c r="BX314" s="1256">
        <v>43100</v>
      </c>
      <c r="BY314" s="165">
        <f>IFERROR(LOOKUP(BX314,基础数据!A:D),1)</f>
        <v>3.53915880885741</v>
      </c>
      <c r="BZ314" s="165">
        <f t="shared" si="125"/>
        <v>1.00524445538375</v>
      </c>
      <c r="CA314" s="165" t="e">
        <f t="shared" si="139"/>
        <v>#VALUE!</v>
      </c>
      <c r="CB314" s="165">
        <f t="shared" si="136"/>
        <v>90</v>
      </c>
      <c r="CC314" s="165" t="e">
        <f t="shared" si="140"/>
        <v>#VALUE!</v>
      </c>
      <c r="CD314" s="1257" t="s">
        <v>2237</v>
      </c>
    </row>
    <row r="315" ht="15" customHeight="1" spans="1:82">
      <c r="A315" s="123" t="str">
        <f>IF(B315="","",COUNT(A$7:A314)+1)</f>
        <v/>
      </c>
      <c r="B315" s="139"/>
      <c r="C315" s="139"/>
      <c r="D315" s="141"/>
      <c r="E315" s="126"/>
      <c r="F315" s="142"/>
      <c r="G315" s="127"/>
      <c r="H315" s="128"/>
      <c r="I315" s="128"/>
      <c r="J315" s="980"/>
      <c r="K315" s="143"/>
      <c r="L315" s="143"/>
      <c r="M315" s="129"/>
      <c r="N315" s="144"/>
      <c r="O315" s="144"/>
      <c r="P315" s="144"/>
      <c r="Q315" s="143"/>
      <c r="R315" s="353" t="str">
        <f t="shared" si="113"/>
        <v/>
      </c>
      <c r="S315" s="129" t="str">
        <f t="shared" si="132"/>
        <v/>
      </c>
      <c r="T315" s="1226" t="str">
        <f t="shared" si="115"/>
        <v/>
      </c>
      <c r="U315" s="1226" t="str">
        <f t="shared" si="116"/>
        <v/>
      </c>
      <c r="V315" s="353" t="str">
        <f t="shared" ref="V315:V378" si="141">IF(B315="","",IF($BB$3="是",R315,""))</f>
        <v/>
      </c>
      <c r="W315" s="129">
        <v>0</v>
      </c>
      <c r="X315" s="129">
        <v>0</v>
      </c>
      <c r="Y315" s="129" t="str">
        <f t="shared" si="133"/>
        <v/>
      </c>
      <c r="Z315" s="129" t="str">
        <f t="shared" si="134"/>
        <v/>
      </c>
      <c r="AA315" s="145"/>
      <c r="BA315" s="78"/>
      <c r="BB315" s="132" t="s">
        <v>2554</v>
      </c>
      <c r="BC315" s="133"/>
      <c r="BD315" s="132" t="str">
        <f>IF(OR(B315="",BC315=""),"",COUNTIF(BC$8:BC315,"√"))</f>
        <v/>
      </c>
      <c r="BE315" s="134" t="str">
        <f t="shared" si="117"/>
        <v/>
      </c>
      <c r="BF315" s="135" t="str">
        <f t="shared" si="123"/>
        <v/>
      </c>
      <c r="BG315" s="135" t="str">
        <f t="shared" si="123"/>
        <v/>
      </c>
      <c r="BH315" s="136"/>
      <c r="BI315" s="136"/>
      <c r="BJ315" s="136"/>
      <c r="BK315" s="136"/>
      <c r="BL315" s="137"/>
      <c r="BM315" s="137"/>
      <c r="BP315" s="134" t="str">
        <f>IF(COUNTIF(BP$7:BP314,B315)&gt;0,"",B315)&amp;""</f>
        <v/>
      </c>
      <c r="BQ315" s="138">
        <f t="shared" si="118"/>
        <v>0</v>
      </c>
      <c r="BR315" s="132">
        <f t="shared" si="119"/>
        <v>1</v>
      </c>
      <c r="BS315" s="138">
        <f t="shared" si="120"/>
        <v>0</v>
      </c>
      <c r="BT315" s="132">
        <f t="shared" si="121"/>
        <v>2</v>
      </c>
      <c r="BU315" s="133"/>
      <c r="BV315" s="133"/>
      <c r="BX315" s="1256">
        <v>44882</v>
      </c>
      <c r="BY315" s="165">
        <f>IFERROR(LOOKUP(BX315,基础数据!A:D),1)</f>
        <v>3.83949417682846</v>
      </c>
      <c r="BZ315" s="165">
        <f t="shared" si="125"/>
        <v>0.926611580972689</v>
      </c>
      <c r="CA315" s="165" t="e">
        <f t="shared" si="139"/>
        <v>#VALUE!</v>
      </c>
      <c r="CB315" s="165">
        <f t="shared" si="136"/>
        <v>90</v>
      </c>
      <c r="CC315" s="165" t="e">
        <f t="shared" si="140"/>
        <v>#VALUE!</v>
      </c>
      <c r="CD315" s="1257" t="s">
        <v>2237</v>
      </c>
    </row>
    <row r="316" ht="15" customHeight="1" spans="1:82">
      <c r="A316" s="123" t="str">
        <f>IF(B316="","",COUNT(A$7:A315)+1)</f>
        <v/>
      </c>
      <c r="B316" s="139"/>
      <c r="C316" s="139"/>
      <c r="D316" s="141"/>
      <c r="E316" s="126"/>
      <c r="F316" s="142"/>
      <c r="G316" s="127"/>
      <c r="H316" s="128"/>
      <c r="I316" s="128"/>
      <c r="J316" s="980"/>
      <c r="K316" s="143"/>
      <c r="L316" s="143"/>
      <c r="M316" s="129"/>
      <c r="N316" s="144"/>
      <c r="O316" s="144"/>
      <c r="P316" s="144"/>
      <c r="Q316" s="143"/>
      <c r="R316" s="353" t="str">
        <f t="shared" si="113"/>
        <v/>
      </c>
      <c r="S316" s="129" t="str">
        <f t="shared" si="132"/>
        <v/>
      </c>
      <c r="T316" s="1226" t="str">
        <f t="shared" si="115"/>
        <v/>
      </c>
      <c r="U316" s="1226" t="str">
        <f t="shared" si="116"/>
        <v/>
      </c>
      <c r="V316" s="353" t="str">
        <f t="shared" si="141"/>
        <v/>
      </c>
      <c r="W316" s="129">
        <v>0</v>
      </c>
      <c r="X316" s="129">
        <v>0</v>
      </c>
      <c r="Y316" s="129" t="str">
        <f t="shared" si="133"/>
        <v/>
      </c>
      <c r="Z316" s="129" t="str">
        <f t="shared" si="134"/>
        <v/>
      </c>
      <c r="AA316" s="145"/>
      <c r="BA316" s="78"/>
      <c r="BB316" s="132" t="s">
        <v>2555</v>
      </c>
      <c r="BC316" s="133"/>
      <c r="BD316" s="132" t="str">
        <f>IF(OR(B316="",BC316=""),"",COUNTIF(BC$8:BC316,"√"))</f>
        <v/>
      </c>
      <c r="BE316" s="134" t="str">
        <f t="shared" si="117"/>
        <v/>
      </c>
      <c r="BF316" s="135" t="str">
        <f t="shared" si="123"/>
        <v/>
      </c>
      <c r="BG316" s="135" t="str">
        <f t="shared" si="123"/>
        <v/>
      </c>
      <c r="BH316" s="136"/>
      <c r="BI316" s="136"/>
      <c r="BJ316" s="136"/>
      <c r="BK316" s="136"/>
      <c r="BL316" s="137"/>
      <c r="BM316" s="137"/>
      <c r="BP316" s="134" t="str">
        <f>IF(COUNTIF(BP$7:BP315,B316)&gt;0,"",B316)&amp;""</f>
        <v/>
      </c>
      <c r="BQ316" s="138">
        <f t="shared" si="118"/>
        <v>0</v>
      </c>
      <c r="BR316" s="132">
        <f t="shared" si="119"/>
        <v>1</v>
      </c>
      <c r="BS316" s="138">
        <f t="shared" si="120"/>
        <v>0</v>
      </c>
      <c r="BT316" s="132">
        <f t="shared" si="121"/>
        <v>2</v>
      </c>
      <c r="BU316" s="133"/>
      <c r="BV316" s="133"/>
      <c r="BX316" s="1256">
        <v>43100</v>
      </c>
      <c r="BY316" s="165">
        <f>IFERROR(LOOKUP(BX316,基础数据!A:D),1)</f>
        <v>3.53915880885741</v>
      </c>
      <c r="BZ316" s="165">
        <f t="shared" si="125"/>
        <v>1.00524445538375</v>
      </c>
      <c r="CA316" s="165" t="e">
        <f t="shared" si="139"/>
        <v>#VALUE!</v>
      </c>
      <c r="CB316" s="165">
        <f t="shared" si="136"/>
        <v>90</v>
      </c>
      <c r="CC316" s="165" t="e">
        <f t="shared" si="140"/>
        <v>#VALUE!</v>
      </c>
      <c r="CD316" s="1257" t="s">
        <v>2237</v>
      </c>
    </row>
    <row r="317" ht="15" customHeight="1" spans="1:82">
      <c r="A317" s="123" t="str">
        <f>IF(B317="","",COUNT(A$7:A316)+1)</f>
        <v/>
      </c>
      <c r="B317" s="139"/>
      <c r="C317" s="139"/>
      <c r="D317" s="141"/>
      <c r="E317" s="126"/>
      <c r="F317" s="142"/>
      <c r="G317" s="127"/>
      <c r="H317" s="128"/>
      <c r="I317" s="128"/>
      <c r="J317" s="980"/>
      <c r="K317" s="143"/>
      <c r="L317" s="143"/>
      <c r="M317" s="129"/>
      <c r="N317" s="144"/>
      <c r="O317" s="144"/>
      <c r="P317" s="144"/>
      <c r="Q317" s="143"/>
      <c r="R317" s="353" t="str">
        <f t="shared" ref="R317:R380" si="142">IF(B317="","",J317+N317)</f>
        <v/>
      </c>
      <c r="S317" s="129" t="str">
        <f t="shared" si="132"/>
        <v/>
      </c>
      <c r="T317" s="1226" t="str">
        <f t="shared" si="115"/>
        <v/>
      </c>
      <c r="U317" s="1226" t="str">
        <f t="shared" si="116"/>
        <v/>
      </c>
      <c r="V317" s="353" t="str">
        <f t="shared" si="141"/>
        <v/>
      </c>
      <c r="W317" s="129">
        <v>0</v>
      </c>
      <c r="X317" s="129">
        <v>0</v>
      </c>
      <c r="Y317" s="129" t="str">
        <f t="shared" si="133"/>
        <v/>
      </c>
      <c r="Z317" s="129" t="str">
        <f t="shared" si="134"/>
        <v/>
      </c>
      <c r="AA317" s="145"/>
      <c r="BA317" s="78"/>
      <c r="BB317" s="132" t="s">
        <v>2556</v>
      </c>
      <c r="BC317" s="133"/>
      <c r="BD317" s="132" t="str">
        <f>IF(OR(B317="",BC317=""),"",COUNTIF(BC$8:BC317,"√"))</f>
        <v/>
      </c>
      <c r="BE317" s="134" t="str">
        <f t="shared" si="117"/>
        <v/>
      </c>
      <c r="BF317" s="135" t="str">
        <f t="shared" si="123"/>
        <v/>
      </c>
      <c r="BG317" s="135" t="str">
        <f t="shared" si="123"/>
        <v/>
      </c>
      <c r="BH317" s="136"/>
      <c r="BI317" s="136"/>
      <c r="BJ317" s="136"/>
      <c r="BK317" s="136"/>
      <c r="BL317" s="137"/>
      <c r="BM317" s="137"/>
      <c r="BP317" s="134" t="str">
        <f>IF(COUNTIF(BP$7:BP316,B317)&gt;0,"",B317)&amp;""</f>
        <v/>
      </c>
      <c r="BQ317" s="138">
        <f t="shared" si="118"/>
        <v>0</v>
      </c>
      <c r="BR317" s="132">
        <f t="shared" si="119"/>
        <v>1</v>
      </c>
      <c r="BS317" s="138">
        <f t="shared" si="120"/>
        <v>0</v>
      </c>
      <c r="BT317" s="132">
        <f t="shared" si="121"/>
        <v>2</v>
      </c>
      <c r="BU317" s="133"/>
      <c r="BV317" s="133"/>
      <c r="BX317" s="1256">
        <v>44882</v>
      </c>
      <c r="BY317" s="165">
        <f>IFERROR(LOOKUP(BX317,基础数据!A:D),1)</f>
        <v>3.83949417682846</v>
      </c>
      <c r="BZ317" s="165">
        <f t="shared" si="125"/>
        <v>0.926611580972689</v>
      </c>
      <c r="CA317" s="165" t="e">
        <f t="shared" si="127"/>
        <v>#VALUE!</v>
      </c>
      <c r="CB317" s="165">
        <f t="shared" si="136"/>
        <v>90</v>
      </c>
      <c r="CC317" s="165" t="e">
        <f t="shared" si="128"/>
        <v>#VALUE!</v>
      </c>
      <c r="CD317" s="1257" t="s">
        <v>2237</v>
      </c>
    </row>
    <row r="318" ht="15" customHeight="1" spans="1:82">
      <c r="A318" s="123" t="str">
        <f>IF(B318="","",COUNT(A$7:A317)+1)</f>
        <v/>
      </c>
      <c r="B318" s="139"/>
      <c r="C318" s="139"/>
      <c r="D318" s="141"/>
      <c r="E318" s="126"/>
      <c r="F318" s="142"/>
      <c r="G318" s="127"/>
      <c r="H318" s="128"/>
      <c r="I318" s="128"/>
      <c r="J318" s="980"/>
      <c r="K318" s="143"/>
      <c r="L318" s="143"/>
      <c r="M318" s="129"/>
      <c r="N318" s="144"/>
      <c r="O318" s="144"/>
      <c r="P318" s="144"/>
      <c r="Q318" s="143"/>
      <c r="R318" s="353" t="str">
        <f t="shared" si="142"/>
        <v/>
      </c>
      <c r="S318" s="129" t="str">
        <f t="shared" si="132"/>
        <v/>
      </c>
      <c r="T318" s="1226" t="str">
        <f t="shared" si="115"/>
        <v/>
      </c>
      <c r="U318" s="1226" t="str">
        <f t="shared" si="116"/>
        <v/>
      </c>
      <c r="V318" s="353" t="str">
        <f t="shared" si="141"/>
        <v/>
      </c>
      <c r="W318" s="129">
        <v>0</v>
      </c>
      <c r="X318" s="129">
        <v>0</v>
      </c>
      <c r="Y318" s="129" t="str">
        <f t="shared" si="133"/>
        <v/>
      </c>
      <c r="Z318" s="129" t="str">
        <f t="shared" si="134"/>
        <v/>
      </c>
      <c r="AA318" s="145"/>
      <c r="BA318" s="78"/>
      <c r="BB318" s="132" t="s">
        <v>2557</v>
      </c>
      <c r="BC318" s="133"/>
      <c r="BD318" s="132" t="str">
        <f>IF(OR(B318="",BC318=""),"",COUNTIF(BC$8:BC318,"√"))</f>
        <v/>
      </c>
      <c r="BE318" s="134" t="str">
        <f t="shared" si="117"/>
        <v/>
      </c>
      <c r="BF318" s="135" t="str">
        <f t="shared" si="123"/>
        <v/>
      </c>
      <c r="BG318" s="135" t="str">
        <f t="shared" si="123"/>
        <v/>
      </c>
      <c r="BH318" s="136"/>
      <c r="BI318" s="136"/>
      <c r="BJ318" s="136"/>
      <c r="BK318" s="136"/>
      <c r="BL318" s="137"/>
      <c r="BM318" s="137"/>
      <c r="BP318" s="134" t="str">
        <f>IF(COUNTIF(BP$7:BP317,B318)&gt;0,"",B318)&amp;""</f>
        <v/>
      </c>
      <c r="BQ318" s="138">
        <f t="shared" si="118"/>
        <v>0</v>
      </c>
      <c r="BR318" s="132">
        <f t="shared" si="119"/>
        <v>1</v>
      </c>
      <c r="BS318" s="138">
        <f t="shared" si="120"/>
        <v>0</v>
      </c>
      <c r="BT318" s="132">
        <f t="shared" si="121"/>
        <v>2</v>
      </c>
      <c r="BU318" s="133"/>
      <c r="BV318" s="133"/>
      <c r="BX318" s="1256">
        <v>44882</v>
      </c>
      <c r="BY318" s="165">
        <f>IFERROR(LOOKUP(BX318,基础数据!A:D),1)</f>
        <v>3.83949417682846</v>
      </c>
      <c r="BZ318" s="165">
        <f t="shared" si="125"/>
        <v>0.926611580972689</v>
      </c>
      <c r="CA318" s="165" t="e">
        <f>ROUND(S318*BZ318,1)</f>
        <v>#VALUE!</v>
      </c>
      <c r="CB318" s="165">
        <f t="shared" si="136"/>
        <v>90</v>
      </c>
      <c r="CC318" s="165" t="e">
        <f>ROUND(CB318*CA318/100,1)</f>
        <v>#VALUE!</v>
      </c>
      <c r="CD318" s="1257" t="s">
        <v>2237</v>
      </c>
    </row>
    <row r="319" ht="15" customHeight="1" spans="1:82">
      <c r="A319" s="123" t="str">
        <f>IF(B319="","",COUNT(A$7:A318)+1)</f>
        <v/>
      </c>
      <c r="B319" s="139"/>
      <c r="C319" s="139"/>
      <c r="D319" s="141"/>
      <c r="E319" s="126"/>
      <c r="F319" s="142"/>
      <c r="G319" s="127"/>
      <c r="H319" s="128"/>
      <c r="I319" s="128"/>
      <c r="J319" s="980"/>
      <c r="K319" s="143"/>
      <c r="L319" s="143"/>
      <c r="M319" s="129"/>
      <c r="N319" s="144"/>
      <c r="O319" s="144"/>
      <c r="P319" s="144"/>
      <c r="Q319" s="143"/>
      <c r="R319" s="353" t="str">
        <f t="shared" si="142"/>
        <v/>
      </c>
      <c r="S319" s="129" t="str">
        <f t="shared" si="132"/>
        <v/>
      </c>
      <c r="T319" s="1226" t="str">
        <f t="shared" si="115"/>
        <v/>
      </c>
      <c r="U319" s="1226" t="str">
        <f t="shared" si="116"/>
        <v/>
      </c>
      <c r="V319" s="353" t="str">
        <f t="shared" si="141"/>
        <v/>
      </c>
      <c r="W319" s="129">
        <v>0</v>
      </c>
      <c r="X319" s="129">
        <v>0</v>
      </c>
      <c r="Y319" s="129" t="str">
        <f t="shared" si="133"/>
        <v/>
      </c>
      <c r="Z319" s="129" t="str">
        <f t="shared" si="134"/>
        <v/>
      </c>
      <c r="AA319" s="145"/>
      <c r="BA319" s="78"/>
      <c r="BB319" s="132" t="s">
        <v>2558</v>
      </c>
      <c r="BC319" s="133"/>
      <c r="BD319" s="132" t="str">
        <f>IF(OR(B319="",BC319=""),"",COUNTIF(BC$8:BC319,"√"))</f>
        <v/>
      </c>
      <c r="BE319" s="134" t="str">
        <f t="shared" si="117"/>
        <v/>
      </c>
      <c r="BF319" s="135" t="str">
        <f t="shared" si="123"/>
        <v/>
      </c>
      <c r="BG319" s="135" t="str">
        <f t="shared" si="123"/>
        <v/>
      </c>
      <c r="BH319" s="136"/>
      <c r="BI319" s="136"/>
      <c r="BJ319" s="136"/>
      <c r="BK319" s="136"/>
      <c r="BL319" s="137"/>
      <c r="BM319" s="137"/>
      <c r="BP319" s="134" t="str">
        <f>IF(COUNTIF(BP$7:BP318,B319)&gt;0,"",B319)&amp;""</f>
        <v/>
      </c>
      <c r="BQ319" s="138">
        <f t="shared" si="118"/>
        <v>0</v>
      </c>
      <c r="BR319" s="132">
        <f t="shared" si="119"/>
        <v>1</v>
      </c>
      <c r="BS319" s="138">
        <f t="shared" si="120"/>
        <v>0</v>
      </c>
      <c r="BT319" s="132">
        <f t="shared" si="121"/>
        <v>2</v>
      </c>
      <c r="BU319" s="133"/>
      <c r="BV319" s="133"/>
      <c r="BX319" s="1256">
        <v>43100</v>
      </c>
      <c r="BY319" s="165">
        <f>IFERROR(LOOKUP(BX319,基础数据!A:D),1)</f>
        <v>3.53915880885741</v>
      </c>
      <c r="BZ319" s="165">
        <f t="shared" si="125"/>
        <v>1.00524445538375</v>
      </c>
      <c r="CA319" s="165" t="e">
        <f t="shared" si="127"/>
        <v>#VALUE!</v>
      </c>
      <c r="CB319" s="165">
        <f t="shared" si="136"/>
        <v>90</v>
      </c>
      <c r="CC319" s="165" t="e">
        <f t="shared" si="128"/>
        <v>#VALUE!</v>
      </c>
      <c r="CD319" s="1257" t="s">
        <v>2237</v>
      </c>
    </row>
    <row r="320" ht="15" customHeight="1" spans="1:82">
      <c r="A320" s="123" t="str">
        <f>IF(B320="","",COUNT(A$7:A319)+1)</f>
        <v/>
      </c>
      <c r="B320" s="139"/>
      <c r="C320" s="139"/>
      <c r="D320" s="141"/>
      <c r="E320" s="126"/>
      <c r="F320" s="142"/>
      <c r="G320" s="127"/>
      <c r="H320" s="128"/>
      <c r="I320" s="128"/>
      <c r="J320" s="980"/>
      <c r="K320" s="143"/>
      <c r="L320" s="143"/>
      <c r="M320" s="129"/>
      <c r="N320" s="144"/>
      <c r="O320" s="144"/>
      <c r="P320" s="144"/>
      <c r="Q320" s="143"/>
      <c r="R320" s="353" t="str">
        <f t="shared" si="142"/>
        <v/>
      </c>
      <c r="S320" s="129" t="str">
        <f t="shared" si="132"/>
        <v/>
      </c>
      <c r="T320" s="1226" t="str">
        <f t="shared" si="115"/>
        <v/>
      </c>
      <c r="U320" s="1226" t="str">
        <f t="shared" si="116"/>
        <v/>
      </c>
      <c r="V320" s="353" t="str">
        <f t="shared" si="141"/>
        <v/>
      </c>
      <c r="W320" s="129">
        <v>0</v>
      </c>
      <c r="X320" s="129">
        <v>0</v>
      </c>
      <c r="Y320" s="129" t="str">
        <f t="shared" si="133"/>
        <v/>
      </c>
      <c r="Z320" s="129" t="str">
        <f t="shared" si="134"/>
        <v/>
      </c>
      <c r="AA320" s="145"/>
      <c r="BA320" s="78"/>
      <c r="BB320" s="132" t="s">
        <v>2559</v>
      </c>
      <c r="BC320" s="133"/>
      <c r="BD320" s="132" t="str">
        <f>IF(OR(B320="",BC320=""),"",COUNTIF(BC$8:BC320,"√"))</f>
        <v/>
      </c>
      <c r="BE320" s="134" t="str">
        <f t="shared" si="117"/>
        <v/>
      </c>
      <c r="BF320" s="135" t="str">
        <f t="shared" si="123"/>
        <v/>
      </c>
      <c r="BG320" s="135" t="str">
        <f t="shared" si="123"/>
        <v/>
      </c>
      <c r="BH320" s="136"/>
      <c r="BI320" s="136"/>
      <c r="BJ320" s="136"/>
      <c r="BK320" s="136"/>
      <c r="BL320" s="137"/>
      <c r="BM320" s="137"/>
      <c r="BP320" s="134" t="str">
        <f>IF(COUNTIF(BP$7:BP319,B320)&gt;0,"",B320)&amp;""</f>
        <v/>
      </c>
      <c r="BQ320" s="138">
        <f t="shared" si="118"/>
        <v>0</v>
      </c>
      <c r="BR320" s="132">
        <f t="shared" si="119"/>
        <v>1</v>
      </c>
      <c r="BS320" s="138">
        <f t="shared" si="120"/>
        <v>0</v>
      </c>
      <c r="BT320" s="132">
        <f t="shared" si="121"/>
        <v>2</v>
      </c>
      <c r="BU320" s="133"/>
      <c r="BV320" s="133"/>
      <c r="BX320" s="1256">
        <v>44882</v>
      </c>
      <c r="BY320" s="165">
        <f>IFERROR(LOOKUP(BX320,基础数据!A:D),1)</f>
        <v>3.83949417682846</v>
      </c>
      <c r="BZ320" s="165">
        <f t="shared" si="125"/>
        <v>0.926611580972689</v>
      </c>
      <c r="CA320" s="165" t="e">
        <f t="shared" si="127"/>
        <v>#VALUE!</v>
      </c>
      <c r="CB320" s="165">
        <f t="shared" si="136"/>
        <v>90</v>
      </c>
      <c r="CC320" s="165" t="e">
        <f t="shared" si="128"/>
        <v>#VALUE!</v>
      </c>
      <c r="CD320" s="1257" t="s">
        <v>2237</v>
      </c>
    </row>
    <row r="321" ht="15" customHeight="1" spans="1:82">
      <c r="A321" s="123" t="str">
        <f>IF(B321="","",COUNT(A$7:A320)+1)</f>
        <v/>
      </c>
      <c r="B321" s="139"/>
      <c r="C321" s="139"/>
      <c r="D321" s="141"/>
      <c r="E321" s="126"/>
      <c r="F321" s="142"/>
      <c r="G321" s="127"/>
      <c r="H321" s="128"/>
      <c r="I321" s="128"/>
      <c r="J321" s="980"/>
      <c r="K321" s="143"/>
      <c r="L321" s="143"/>
      <c r="M321" s="129"/>
      <c r="N321" s="144"/>
      <c r="O321" s="144"/>
      <c r="P321" s="144"/>
      <c r="Q321" s="143"/>
      <c r="R321" s="353" t="str">
        <f t="shared" si="142"/>
        <v/>
      </c>
      <c r="S321" s="129" t="str">
        <f t="shared" si="132"/>
        <v/>
      </c>
      <c r="T321" s="1226" t="str">
        <f t="shared" si="115"/>
        <v/>
      </c>
      <c r="U321" s="1226" t="str">
        <f t="shared" si="116"/>
        <v/>
      </c>
      <c r="V321" s="353" t="str">
        <f t="shared" si="141"/>
        <v/>
      </c>
      <c r="W321" s="129">
        <v>0</v>
      </c>
      <c r="X321" s="129">
        <v>0</v>
      </c>
      <c r="Y321" s="129" t="str">
        <f t="shared" si="133"/>
        <v/>
      </c>
      <c r="Z321" s="129" t="str">
        <f t="shared" si="134"/>
        <v/>
      </c>
      <c r="AA321" s="145"/>
      <c r="BA321" s="78"/>
      <c r="BB321" s="132" t="s">
        <v>2560</v>
      </c>
      <c r="BC321" s="133"/>
      <c r="BD321" s="132" t="str">
        <f>IF(OR(B321="",BC321=""),"",COUNTIF(BC$8:BC321,"√"))</f>
        <v/>
      </c>
      <c r="BE321" s="134" t="str">
        <f t="shared" si="117"/>
        <v/>
      </c>
      <c r="BF321" s="135" t="str">
        <f t="shared" si="123"/>
        <v/>
      </c>
      <c r="BG321" s="135" t="str">
        <f t="shared" si="123"/>
        <v/>
      </c>
      <c r="BH321" s="136"/>
      <c r="BI321" s="136"/>
      <c r="BJ321" s="136"/>
      <c r="BK321" s="136"/>
      <c r="BL321" s="137"/>
      <c r="BM321" s="137"/>
      <c r="BP321" s="134" t="str">
        <f>IF(COUNTIF(BP$7:BP320,B321)&gt;0,"",B321)&amp;""</f>
        <v/>
      </c>
      <c r="BQ321" s="138">
        <f t="shared" si="118"/>
        <v>0</v>
      </c>
      <c r="BR321" s="132">
        <f t="shared" si="119"/>
        <v>1</v>
      </c>
      <c r="BS321" s="138">
        <f t="shared" si="120"/>
        <v>0</v>
      </c>
      <c r="BT321" s="132">
        <f t="shared" si="121"/>
        <v>2</v>
      </c>
      <c r="BU321" s="133"/>
      <c r="BV321" s="133"/>
      <c r="BX321" s="1256">
        <v>45145</v>
      </c>
      <c r="BY321" s="165">
        <f>IFERROR(LOOKUP(BX321,基础数据!A:D),1)</f>
        <v>3.71817185033308</v>
      </c>
      <c r="BZ321" s="165">
        <f t="shared" si="125"/>
        <v>0.956846512892551</v>
      </c>
      <c r="CA321" s="165" t="e">
        <f>ROUND(S321*BZ321,1)</f>
        <v>#VALUE!</v>
      </c>
      <c r="CB321" s="165">
        <f t="shared" ref="CB321:CB326" si="143">CO$2</f>
        <v>95</v>
      </c>
      <c r="CC321" s="165" t="e">
        <f>ROUND(CB321*CA321/100,1)</f>
        <v>#VALUE!</v>
      </c>
      <c r="CD321" s="1260" t="s">
        <v>2236</v>
      </c>
    </row>
    <row r="322" ht="15" customHeight="1" spans="1:82">
      <c r="A322" s="123" t="str">
        <f>IF(B322="","",COUNT(A$7:A321)+1)</f>
        <v/>
      </c>
      <c r="B322" s="139"/>
      <c r="C322" s="139"/>
      <c r="D322" s="141"/>
      <c r="E322" s="126"/>
      <c r="F322" s="142"/>
      <c r="G322" s="127"/>
      <c r="H322" s="128"/>
      <c r="I322" s="128"/>
      <c r="J322" s="980"/>
      <c r="K322" s="143"/>
      <c r="L322" s="143"/>
      <c r="M322" s="129"/>
      <c r="N322" s="144"/>
      <c r="O322" s="144"/>
      <c r="P322" s="144"/>
      <c r="Q322" s="143"/>
      <c r="R322" s="353" t="str">
        <f t="shared" si="142"/>
        <v/>
      </c>
      <c r="S322" s="129" t="str">
        <f t="shared" si="132"/>
        <v/>
      </c>
      <c r="T322" s="1226" t="str">
        <f t="shared" si="115"/>
        <v/>
      </c>
      <c r="U322" s="1226" t="str">
        <f t="shared" si="116"/>
        <v/>
      </c>
      <c r="V322" s="353" t="str">
        <f t="shared" si="141"/>
        <v/>
      </c>
      <c r="W322" s="129">
        <v>0</v>
      </c>
      <c r="X322" s="129">
        <v>0</v>
      </c>
      <c r="Y322" s="129" t="str">
        <f t="shared" si="133"/>
        <v/>
      </c>
      <c r="Z322" s="129" t="str">
        <f t="shared" si="134"/>
        <v/>
      </c>
      <c r="AA322" s="145"/>
      <c r="BA322" s="78"/>
      <c r="BB322" s="132" t="s">
        <v>2561</v>
      </c>
      <c r="BC322" s="133"/>
      <c r="BD322" s="132" t="str">
        <f>IF(OR(B322="",BC322=""),"",COUNTIF(BC$8:BC322,"√"))</f>
        <v/>
      </c>
      <c r="BE322" s="134" t="str">
        <f t="shared" si="117"/>
        <v/>
      </c>
      <c r="BF322" s="135" t="str">
        <f t="shared" si="123"/>
        <v/>
      </c>
      <c r="BG322" s="135" t="str">
        <f t="shared" si="123"/>
        <v/>
      </c>
      <c r="BH322" s="136"/>
      <c r="BI322" s="136"/>
      <c r="BJ322" s="136"/>
      <c r="BK322" s="136"/>
      <c r="BL322" s="137"/>
      <c r="BM322" s="137"/>
      <c r="BP322" s="134" t="str">
        <f>IF(COUNTIF(BP$7:BP321,B322)&gt;0,"",B322)&amp;""</f>
        <v/>
      </c>
      <c r="BQ322" s="138">
        <f t="shared" si="118"/>
        <v>0</v>
      </c>
      <c r="BR322" s="132">
        <f t="shared" si="119"/>
        <v>1</v>
      </c>
      <c r="BS322" s="138">
        <f t="shared" si="120"/>
        <v>0</v>
      </c>
      <c r="BT322" s="132">
        <f t="shared" si="121"/>
        <v>2</v>
      </c>
      <c r="BU322" s="133"/>
      <c r="BV322" s="133"/>
      <c r="BX322" s="1256">
        <v>45145</v>
      </c>
      <c r="BY322" s="165">
        <f>IFERROR(LOOKUP(BX322,基础数据!A:D),1)</f>
        <v>3.71817185033308</v>
      </c>
      <c r="BZ322" s="165">
        <f t="shared" si="125"/>
        <v>0.956846512892551</v>
      </c>
      <c r="CA322" s="165" t="e">
        <f t="shared" si="127"/>
        <v>#VALUE!</v>
      </c>
      <c r="CB322" s="165">
        <f t="shared" si="143"/>
        <v>95</v>
      </c>
      <c r="CC322" s="165" t="e">
        <f t="shared" si="128"/>
        <v>#VALUE!</v>
      </c>
      <c r="CD322" s="1260" t="s">
        <v>2236</v>
      </c>
    </row>
    <row r="323" ht="15" customHeight="1" spans="1:82">
      <c r="A323" s="123" t="str">
        <f>IF(B323="","",COUNT(A$7:A322)+1)</f>
        <v/>
      </c>
      <c r="B323" s="139"/>
      <c r="C323" s="139"/>
      <c r="D323" s="141"/>
      <c r="E323" s="126"/>
      <c r="F323" s="142"/>
      <c r="G323" s="127"/>
      <c r="H323" s="128"/>
      <c r="I323" s="128"/>
      <c r="J323" s="980"/>
      <c r="K323" s="143"/>
      <c r="L323" s="143"/>
      <c r="M323" s="129"/>
      <c r="N323" s="144"/>
      <c r="O323" s="144"/>
      <c r="P323" s="144"/>
      <c r="Q323" s="143"/>
      <c r="R323" s="353" t="str">
        <f t="shared" si="142"/>
        <v/>
      </c>
      <c r="S323" s="129" t="str">
        <f t="shared" si="132"/>
        <v/>
      </c>
      <c r="T323" s="1226" t="str">
        <f t="shared" si="115"/>
        <v/>
      </c>
      <c r="U323" s="1226" t="str">
        <f t="shared" si="116"/>
        <v/>
      </c>
      <c r="V323" s="353" t="str">
        <f t="shared" si="141"/>
        <v/>
      </c>
      <c r="W323" s="129">
        <v>0</v>
      </c>
      <c r="X323" s="129">
        <v>0</v>
      </c>
      <c r="Y323" s="129" t="str">
        <f t="shared" si="133"/>
        <v/>
      </c>
      <c r="Z323" s="129" t="str">
        <f t="shared" si="134"/>
        <v/>
      </c>
      <c r="AA323" s="145"/>
      <c r="BA323" s="78"/>
      <c r="BB323" s="132" t="s">
        <v>2562</v>
      </c>
      <c r="BC323" s="133"/>
      <c r="BD323" s="132" t="str">
        <f>IF(OR(B323="",BC323=""),"",COUNTIF(BC$8:BC323,"√"))</f>
        <v/>
      </c>
      <c r="BE323" s="134" t="str">
        <f t="shared" si="117"/>
        <v/>
      </c>
      <c r="BF323" s="135" t="str">
        <f t="shared" si="123"/>
        <v/>
      </c>
      <c r="BG323" s="135" t="str">
        <f t="shared" si="123"/>
        <v/>
      </c>
      <c r="BH323" s="136"/>
      <c r="BI323" s="136"/>
      <c r="BJ323" s="136"/>
      <c r="BK323" s="136"/>
      <c r="BL323" s="137"/>
      <c r="BM323" s="137"/>
      <c r="BP323" s="134" t="str">
        <f>IF(COUNTIF(BP$7:BP322,B323)&gt;0,"",B323)&amp;""</f>
        <v/>
      </c>
      <c r="BQ323" s="138">
        <f t="shared" si="118"/>
        <v>0</v>
      </c>
      <c r="BR323" s="132">
        <f t="shared" si="119"/>
        <v>1</v>
      </c>
      <c r="BS323" s="138">
        <f t="shared" si="120"/>
        <v>0</v>
      </c>
      <c r="BT323" s="132">
        <f t="shared" si="121"/>
        <v>2</v>
      </c>
      <c r="BU323" s="133"/>
      <c r="BV323" s="133"/>
      <c r="BX323" s="1256">
        <v>44882</v>
      </c>
      <c r="BY323" s="165">
        <f>IFERROR(LOOKUP(BX323,基础数据!A:D),1)</f>
        <v>3.83949417682846</v>
      </c>
      <c r="BZ323" s="165">
        <f t="shared" si="125"/>
        <v>0.926611580972689</v>
      </c>
      <c r="CA323" s="165" t="e">
        <f t="shared" si="127"/>
        <v>#VALUE!</v>
      </c>
      <c r="CB323" s="165">
        <f t="shared" si="143"/>
        <v>95</v>
      </c>
      <c r="CC323" s="165" t="e">
        <f t="shared" si="128"/>
        <v>#VALUE!</v>
      </c>
      <c r="CD323" s="1260" t="s">
        <v>2236</v>
      </c>
    </row>
    <row r="324" ht="15" customHeight="1" spans="1:82">
      <c r="A324" s="123" t="str">
        <f>IF(B324="","",COUNT(A$7:A323)+1)</f>
        <v/>
      </c>
      <c r="B324" s="139"/>
      <c r="C324" s="139"/>
      <c r="D324" s="141"/>
      <c r="E324" s="126"/>
      <c r="F324" s="142"/>
      <c r="G324" s="127"/>
      <c r="H324" s="128"/>
      <c r="I324" s="128"/>
      <c r="J324" s="980"/>
      <c r="K324" s="143"/>
      <c r="L324" s="143"/>
      <c r="M324" s="129"/>
      <c r="N324" s="144"/>
      <c r="O324" s="144"/>
      <c r="P324" s="144"/>
      <c r="Q324" s="143"/>
      <c r="R324" s="353" t="str">
        <f t="shared" si="142"/>
        <v/>
      </c>
      <c r="S324" s="129" t="str">
        <f t="shared" si="132"/>
        <v/>
      </c>
      <c r="T324" s="1226" t="str">
        <f t="shared" si="115"/>
        <v/>
      </c>
      <c r="U324" s="1226" t="str">
        <f t="shared" si="116"/>
        <v/>
      </c>
      <c r="V324" s="353" t="str">
        <f t="shared" si="141"/>
        <v/>
      </c>
      <c r="W324" s="129">
        <v>0</v>
      </c>
      <c r="X324" s="129">
        <v>0</v>
      </c>
      <c r="Y324" s="129" t="str">
        <f t="shared" si="133"/>
        <v/>
      </c>
      <c r="Z324" s="129" t="str">
        <f t="shared" si="134"/>
        <v/>
      </c>
      <c r="AA324" s="145"/>
      <c r="BA324" s="78"/>
      <c r="BB324" s="132" t="s">
        <v>2563</v>
      </c>
      <c r="BC324" s="133"/>
      <c r="BD324" s="132" t="str">
        <f>IF(OR(B324="",BC324=""),"",COUNTIF(BC$8:BC324,"√"))</f>
        <v/>
      </c>
      <c r="BE324" s="134" t="str">
        <f t="shared" si="117"/>
        <v/>
      </c>
      <c r="BF324" s="135" t="str">
        <f t="shared" si="123"/>
        <v/>
      </c>
      <c r="BG324" s="135" t="str">
        <f t="shared" si="123"/>
        <v/>
      </c>
      <c r="BH324" s="136"/>
      <c r="BI324" s="136"/>
      <c r="BJ324" s="136"/>
      <c r="BK324" s="136"/>
      <c r="BL324" s="137"/>
      <c r="BM324" s="137"/>
      <c r="BP324" s="134" t="str">
        <f>IF(COUNTIF(BP$7:BP323,B324)&gt;0,"",B324)&amp;""</f>
        <v/>
      </c>
      <c r="BQ324" s="138">
        <f t="shared" si="118"/>
        <v>0</v>
      </c>
      <c r="BR324" s="132">
        <f t="shared" si="119"/>
        <v>1</v>
      </c>
      <c r="BS324" s="138">
        <f t="shared" si="120"/>
        <v>0</v>
      </c>
      <c r="BT324" s="132">
        <f t="shared" si="121"/>
        <v>2</v>
      </c>
      <c r="BU324" s="133"/>
      <c r="BV324" s="133"/>
      <c r="BX324" s="1256">
        <v>43100</v>
      </c>
      <c r="BY324" s="165">
        <f>IFERROR(LOOKUP(BX324,基础数据!A:D),1)</f>
        <v>3.53915880885741</v>
      </c>
      <c r="BZ324" s="165">
        <f t="shared" si="125"/>
        <v>1.00524445538375</v>
      </c>
      <c r="CA324" s="165" t="e">
        <f t="shared" si="127"/>
        <v>#VALUE!</v>
      </c>
      <c r="CB324" s="165">
        <f t="shared" si="143"/>
        <v>95</v>
      </c>
      <c r="CC324" s="165" t="e">
        <f t="shared" si="128"/>
        <v>#VALUE!</v>
      </c>
      <c r="CD324" s="1260" t="s">
        <v>2236</v>
      </c>
    </row>
    <row r="325" ht="15" customHeight="1" spans="1:82">
      <c r="A325" s="123" t="str">
        <f>IF(B325="","",COUNT(A$7:A324)+1)</f>
        <v/>
      </c>
      <c r="B325" s="139"/>
      <c r="C325" s="139"/>
      <c r="D325" s="141"/>
      <c r="E325" s="126"/>
      <c r="F325" s="142"/>
      <c r="G325" s="127"/>
      <c r="H325" s="128"/>
      <c r="I325" s="128"/>
      <c r="J325" s="980"/>
      <c r="K325" s="143"/>
      <c r="L325" s="143"/>
      <c r="M325" s="129"/>
      <c r="N325" s="144"/>
      <c r="O325" s="144"/>
      <c r="P325" s="144"/>
      <c r="Q325" s="143"/>
      <c r="R325" s="353" t="str">
        <f t="shared" si="142"/>
        <v/>
      </c>
      <c r="S325" s="129" t="str">
        <f t="shared" si="132"/>
        <v/>
      </c>
      <c r="T325" s="1226" t="str">
        <f t="shared" si="115"/>
        <v/>
      </c>
      <c r="U325" s="1226" t="str">
        <f t="shared" si="116"/>
        <v/>
      </c>
      <c r="V325" s="353" t="str">
        <f t="shared" si="141"/>
        <v/>
      </c>
      <c r="W325" s="129">
        <v>0</v>
      </c>
      <c r="X325" s="129">
        <v>0</v>
      </c>
      <c r="Y325" s="129" t="str">
        <f t="shared" si="133"/>
        <v/>
      </c>
      <c r="Z325" s="129" t="str">
        <f t="shared" si="134"/>
        <v/>
      </c>
      <c r="AA325" s="145"/>
      <c r="BA325" s="78"/>
      <c r="BB325" s="132" t="s">
        <v>2564</v>
      </c>
      <c r="BC325" s="133"/>
      <c r="BD325" s="132" t="str">
        <f>IF(OR(B325="",BC325=""),"",COUNTIF(BC$8:BC325,"√"))</f>
        <v/>
      </c>
      <c r="BE325" s="134" t="str">
        <f t="shared" si="117"/>
        <v/>
      </c>
      <c r="BF325" s="135" t="str">
        <f t="shared" si="123"/>
        <v/>
      </c>
      <c r="BG325" s="135" t="str">
        <f t="shared" si="123"/>
        <v/>
      </c>
      <c r="BH325" s="136"/>
      <c r="BI325" s="136"/>
      <c r="BJ325" s="136"/>
      <c r="BK325" s="136"/>
      <c r="BL325" s="137"/>
      <c r="BM325" s="137"/>
      <c r="BP325" s="134" t="str">
        <f>IF(COUNTIF(BP$7:BP324,B325)&gt;0,"",B325)&amp;""</f>
        <v/>
      </c>
      <c r="BQ325" s="138">
        <f t="shared" si="118"/>
        <v>0</v>
      </c>
      <c r="BR325" s="132">
        <f t="shared" si="119"/>
        <v>1</v>
      </c>
      <c r="BS325" s="138">
        <f t="shared" si="120"/>
        <v>0</v>
      </c>
      <c r="BT325" s="132">
        <f t="shared" si="121"/>
        <v>2</v>
      </c>
      <c r="BU325" s="133"/>
      <c r="BV325" s="133"/>
      <c r="BX325" s="1256">
        <v>43100</v>
      </c>
      <c r="BY325" s="165">
        <f>IFERROR(LOOKUP(BX325,基础数据!A:D),1)</f>
        <v>3.53915880885741</v>
      </c>
      <c r="BZ325" s="165">
        <f t="shared" si="125"/>
        <v>1.00524445538375</v>
      </c>
      <c r="CA325" s="165" t="e">
        <f t="shared" si="127"/>
        <v>#VALUE!</v>
      </c>
      <c r="CB325" s="165">
        <f t="shared" si="143"/>
        <v>95</v>
      </c>
      <c r="CC325" s="165" t="e">
        <f t="shared" si="128"/>
        <v>#VALUE!</v>
      </c>
      <c r="CD325" s="1260" t="s">
        <v>2236</v>
      </c>
    </row>
    <row r="326" ht="15" customHeight="1" spans="1:82">
      <c r="A326" s="123" t="str">
        <f>IF(B326="","",COUNT(A$7:A325)+1)</f>
        <v/>
      </c>
      <c r="B326" s="139"/>
      <c r="C326" s="139"/>
      <c r="D326" s="141"/>
      <c r="E326" s="126"/>
      <c r="F326" s="142"/>
      <c r="G326" s="127"/>
      <c r="H326" s="128"/>
      <c r="I326" s="128"/>
      <c r="J326" s="980"/>
      <c r="K326" s="143"/>
      <c r="L326" s="143"/>
      <c r="M326" s="129"/>
      <c r="N326" s="144"/>
      <c r="O326" s="144"/>
      <c r="P326" s="144"/>
      <c r="Q326" s="143"/>
      <c r="R326" s="353" t="str">
        <f t="shared" si="142"/>
        <v/>
      </c>
      <c r="S326" s="129" t="str">
        <f t="shared" si="132"/>
        <v/>
      </c>
      <c r="T326" s="1226" t="str">
        <f t="shared" si="115"/>
        <v/>
      </c>
      <c r="U326" s="1226" t="str">
        <f t="shared" si="116"/>
        <v/>
      </c>
      <c r="V326" s="353" t="str">
        <f t="shared" si="141"/>
        <v/>
      </c>
      <c r="W326" s="129">
        <v>0</v>
      </c>
      <c r="X326" s="129">
        <v>0</v>
      </c>
      <c r="Y326" s="129" t="str">
        <f t="shared" si="133"/>
        <v/>
      </c>
      <c r="Z326" s="129" t="str">
        <f t="shared" si="134"/>
        <v/>
      </c>
      <c r="AA326" s="145"/>
      <c r="BA326" s="78"/>
      <c r="BB326" s="132" t="s">
        <v>2565</v>
      </c>
      <c r="BC326" s="133"/>
      <c r="BD326" s="132" t="str">
        <f>IF(OR(B326="",BC326=""),"",COUNTIF(BC$8:BC326,"√"))</f>
        <v/>
      </c>
      <c r="BE326" s="134" t="str">
        <f t="shared" si="117"/>
        <v/>
      </c>
      <c r="BF326" s="135" t="str">
        <f t="shared" si="123"/>
        <v/>
      </c>
      <c r="BG326" s="135" t="str">
        <f t="shared" si="123"/>
        <v/>
      </c>
      <c r="BH326" s="136"/>
      <c r="BI326" s="136"/>
      <c r="BJ326" s="136"/>
      <c r="BK326" s="136"/>
      <c r="BL326" s="137"/>
      <c r="BM326" s="137"/>
      <c r="BP326" s="134" t="str">
        <f>IF(COUNTIF(BP$7:BP325,B326)&gt;0,"",B326)&amp;""</f>
        <v/>
      </c>
      <c r="BQ326" s="138">
        <f t="shared" si="118"/>
        <v>0</v>
      </c>
      <c r="BR326" s="132">
        <f t="shared" si="119"/>
        <v>1</v>
      </c>
      <c r="BS326" s="138">
        <f t="shared" si="120"/>
        <v>0</v>
      </c>
      <c r="BT326" s="132">
        <f t="shared" si="121"/>
        <v>2</v>
      </c>
      <c r="BU326" s="133"/>
      <c r="BV326" s="133"/>
      <c r="BX326" s="1256">
        <v>43100</v>
      </c>
      <c r="BY326" s="165">
        <f>IFERROR(LOOKUP(BX326,基础数据!A:D),1)</f>
        <v>3.53915880885741</v>
      </c>
      <c r="BZ326" s="165">
        <f t="shared" si="125"/>
        <v>1.00524445538375</v>
      </c>
      <c r="CA326" s="165" t="e">
        <f t="shared" si="127"/>
        <v>#VALUE!</v>
      </c>
      <c r="CB326" s="165">
        <f t="shared" si="143"/>
        <v>95</v>
      </c>
      <c r="CC326" s="165" t="e">
        <f t="shared" si="128"/>
        <v>#VALUE!</v>
      </c>
      <c r="CD326" s="1260" t="s">
        <v>2236</v>
      </c>
    </row>
    <row r="327" ht="15" customHeight="1" spans="1:82">
      <c r="A327" s="123" t="str">
        <f>IF(B327="","",COUNT(A$7:A326)+1)</f>
        <v/>
      </c>
      <c r="B327" s="139"/>
      <c r="C327" s="139"/>
      <c r="D327" s="141"/>
      <c r="E327" s="126"/>
      <c r="F327" s="142"/>
      <c r="G327" s="127"/>
      <c r="H327" s="128"/>
      <c r="I327" s="128"/>
      <c r="J327" s="980"/>
      <c r="K327" s="143"/>
      <c r="L327" s="143"/>
      <c r="M327" s="129"/>
      <c r="N327" s="144"/>
      <c r="O327" s="144"/>
      <c r="P327" s="144"/>
      <c r="Q327" s="143"/>
      <c r="R327" s="353" t="str">
        <f t="shared" si="142"/>
        <v/>
      </c>
      <c r="S327" s="129" t="str">
        <f t="shared" si="132"/>
        <v/>
      </c>
      <c r="T327" s="1226" t="str">
        <f t="shared" si="115"/>
        <v/>
      </c>
      <c r="U327" s="1226" t="str">
        <f t="shared" si="116"/>
        <v/>
      </c>
      <c r="V327" s="353" t="str">
        <f t="shared" si="141"/>
        <v/>
      </c>
      <c r="W327" s="129">
        <v>0</v>
      </c>
      <c r="X327" s="129">
        <v>0</v>
      </c>
      <c r="Y327" s="129" t="str">
        <f t="shared" si="133"/>
        <v/>
      </c>
      <c r="Z327" s="129" t="str">
        <f t="shared" si="134"/>
        <v/>
      </c>
      <c r="AA327" s="145"/>
      <c r="BA327" s="78"/>
      <c r="BB327" s="132" t="s">
        <v>2566</v>
      </c>
      <c r="BC327" s="133"/>
      <c r="BD327" s="132" t="str">
        <f>IF(OR(B327="",BC327=""),"",COUNTIF(BC$8:BC327,"√"))</f>
        <v/>
      </c>
      <c r="BE327" s="134" t="str">
        <f t="shared" si="117"/>
        <v/>
      </c>
      <c r="BF327" s="135" t="str">
        <f t="shared" si="123"/>
        <v/>
      </c>
      <c r="BG327" s="135" t="str">
        <f t="shared" si="123"/>
        <v/>
      </c>
      <c r="BH327" s="136"/>
      <c r="BI327" s="136"/>
      <c r="BJ327" s="136"/>
      <c r="BK327" s="136"/>
      <c r="BL327" s="137"/>
      <c r="BM327" s="137"/>
      <c r="BP327" s="134" t="str">
        <f>IF(COUNTIF(BP$7:BP326,B327)&gt;0,"",B327)&amp;""</f>
        <v/>
      </c>
      <c r="BQ327" s="138">
        <f t="shared" si="118"/>
        <v>0</v>
      </c>
      <c r="BR327" s="132">
        <f t="shared" si="119"/>
        <v>1</v>
      </c>
      <c r="BS327" s="138">
        <f t="shared" si="120"/>
        <v>0</v>
      </c>
      <c r="BT327" s="132">
        <f t="shared" si="121"/>
        <v>2</v>
      </c>
      <c r="BU327" s="133"/>
      <c r="BV327" s="133"/>
      <c r="BX327" s="1256">
        <v>43100</v>
      </c>
      <c r="BY327" s="165">
        <f>IFERROR(LOOKUP(BX327,基础数据!A:D),1)</f>
        <v>3.53915880885741</v>
      </c>
      <c r="BZ327" s="165">
        <f t="shared" si="125"/>
        <v>1.00524445538375</v>
      </c>
      <c r="CA327" s="165" t="e">
        <f t="shared" si="127"/>
        <v>#VALUE!</v>
      </c>
      <c r="CB327" s="165">
        <v>97</v>
      </c>
      <c r="CC327" s="165" t="e">
        <f t="shared" si="128"/>
        <v>#VALUE!</v>
      </c>
      <c r="CD327" s="1257" t="s">
        <v>2236</v>
      </c>
    </row>
    <row r="328" ht="15" customHeight="1" spans="1:82">
      <c r="A328" s="123" t="str">
        <f>IF(B328="","",COUNT(A$7:A327)+1)</f>
        <v/>
      </c>
      <c r="B328" s="798"/>
      <c r="C328" s="139"/>
      <c r="D328" s="141"/>
      <c r="E328" s="126"/>
      <c r="F328" s="142"/>
      <c r="G328" s="127"/>
      <c r="H328" s="128"/>
      <c r="I328" s="128"/>
      <c r="J328" s="980"/>
      <c r="K328" s="143"/>
      <c r="L328" s="143"/>
      <c r="M328" s="129"/>
      <c r="N328" s="144"/>
      <c r="O328" s="144"/>
      <c r="P328" s="144"/>
      <c r="Q328" s="143"/>
      <c r="R328" s="353" t="str">
        <f t="shared" si="142"/>
        <v/>
      </c>
      <c r="S328" s="129" t="str">
        <f t="shared" si="132"/>
        <v/>
      </c>
      <c r="T328" s="1226" t="str">
        <f t="shared" si="115"/>
        <v/>
      </c>
      <c r="U328" s="1226" t="str">
        <f t="shared" si="116"/>
        <v/>
      </c>
      <c r="V328" s="353" t="str">
        <f t="shared" si="141"/>
        <v/>
      </c>
      <c r="W328" s="129">
        <v>0</v>
      </c>
      <c r="X328" s="129">
        <v>0</v>
      </c>
      <c r="Y328" s="129" t="str">
        <f t="shared" si="133"/>
        <v/>
      </c>
      <c r="Z328" s="129" t="str">
        <f t="shared" si="134"/>
        <v/>
      </c>
      <c r="AA328" s="145"/>
      <c r="BA328" s="78"/>
      <c r="BB328" s="132" t="s">
        <v>2567</v>
      </c>
      <c r="BC328" s="133"/>
      <c r="BD328" s="132" t="str">
        <f>IF(OR(B328="",BC328=""),"",COUNTIF(BC$8:BC328,"√"))</f>
        <v/>
      </c>
      <c r="BE328" s="134" t="str">
        <f t="shared" si="117"/>
        <v/>
      </c>
      <c r="BF328" s="135" t="str">
        <f t="shared" si="123"/>
        <v/>
      </c>
      <c r="BG328" s="135" t="str">
        <f t="shared" si="123"/>
        <v/>
      </c>
      <c r="BH328" s="136"/>
      <c r="BI328" s="136"/>
      <c r="BJ328" s="136"/>
      <c r="BK328" s="136"/>
      <c r="BL328" s="137"/>
      <c r="BM328" s="137"/>
      <c r="BP328" s="134" t="str">
        <f>IF(COUNTIF(BP$7:BP327,B328)&gt;0,"",B328)&amp;""</f>
        <v/>
      </c>
      <c r="BQ328" s="138">
        <f t="shared" si="118"/>
        <v>0</v>
      </c>
      <c r="BR328" s="132">
        <f t="shared" si="119"/>
        <v>1</v>
      </c>
      <c r="BS328" s="138">
        <f t="shared" si="120"/>
        <v>0</v>
      </c>
      <c r="BT328" s="132">
        <f t="shared" si="121"/>
        <v>2</v>
      </c>
      <c r="BU328" s="133"/>
      <c r="BV328" s="133"/>
      <c r="BX328" s="1256">
        <v>43100</v>
      </c>
      <c r="BY328" s="165">
        <f>IFERROR(LOOKUP(BX328,基础数据!A:D),1)</f>
        <v>3.53915880885741</v>
      </c>
      <c r="BZ328" s="165">
        <f t="shared" si="125"/>
        <v>1.00524445538375</v>
      </c>
      <c r="CA328" s="165" t="e">
        <f t="shared" ref="CA328:CA329" si="144">ROUND(S328*BZ328,1)</f>
        <v>#VALUE!</v>
      </c>
      <c r="CB328" s="165">
        <f t="shared" ref="CB328:CB334" si="145">CO$3</f>
        <v>90</v>
      </c>
      <c r="CC328" s="165" t="e">
        <f t="shared" ref="CC328:CC329" si="146">ROUND(CB328*CA328/100,1)</f>
        <v>#VALUE!</v>
      </c>
      <c r="CD328" s="1257" t="s">
        <v>2237</v>
      </c>
    </row>
    <row r="329" ht="15" customHeight="1" spans="1:82">
      <c r="A329" s="123" t="str">
        <f>IF(B329="","",COUNT(A$7:A328)+1)</f>
        <v/>
      </c>
      <c r="B329" s="139"/>
      <c r="C329" s="139"/>
      <c r="D329" s="141"/>
      <c r="E329" s="126"/>
      <c r="F329" s="142"/>
      <c r="G329" s="127"/>
      <c r="H329" s="128"/>
      <c r="I329" s="128"/>
      <c r="J329" s="980"/>
      <c r="K329" s="143"/>
      <c r="L329" s="143"/>
      <c r="M329" s="129"/>
      <c r="N329" s="144"/>
      <c r="O329" s="144"/>
      <c r="P329" s="144"/>
      <c r="Q329" s="143"/>
      <c r="R329" s="353" t="str">
        <f t="shared" si="142"/>
        <v/>
      </c>
      <c r="S329" s="129" t="str">
        <f t="shared" si="132"/>
        <v/>
      </c>
      <c r="T329" s="1226" t="str">
        <f t="shared" si="115"/>
        <v/>
      </c>
      <c r="U329" s="1226" t="str">
        <f t="shared" si="116"/>
        <v/>
      </c>
      <c r="V329" s="353" t="str">
        <f t="shared" si="141"/>
        <v/>
      </c>
      <c r="W329" s="129">
        <v>0</v>
      </c>
      <c r="X329" s="129">
        <v>0</v>
      </c>
      <c r="Y329" s="129" t="str">
        <f t="shared" si="133"/>
        <v/>
      </c>
      <c r="Z329" s="129" t="str">
        <f t="shared" si="134"/>
        <v/>
      </c>
      <c r="AA329" s="145"/>
      <c r="BA329" s="78"/>
      <c r="BB329" s="132" t="s">
        <v>2568</v>
      </c>
      <c r="BC329" s="133"/>
      <c r="BD329" s="132" t="str">
        <f>IF(OR(B329="",BC329=""),"",COUNTIF(BC$8:BC329,"√"))</f>
        <v/>
      </c>
      <c r="BE329" s="134" t="str">
        <f t="shared" si="117"/>
        <v/>
      </c>
      <c r="BF329" s="135" t="str">
        <f t="shared" si="123"/>
        <v/>
      </c>
      <c r="BG329" s="135" t="str">
        <f t="shared" si="123"/>
        <v/>
      </c>
      <c r="BH329" s="136"/>
      <c r="BI329" s="136"/>
      <c r="BJ329" s="136"/>
      <c r="BK329" s="136"/>
      <c r="BL329" s="137"/>
      <c r="BM329" s="137"/>
      <c r="BP329" s="134" t="str">
        <f>IF(COUNTIF(BP$7:BP328,B329)&gt;0,"",B329)&amp;""</f>
        <v/>
      </c>
      <c r="BQ329" s="138">
        <f t="shared" si="118"/>
        <v>0</v>
      </c>
      <c r="BR329" s="132">
        <f t="shared" si="119"/>
        <v>1</v>
      </c>
      <c r="BS329" s="138">
        <f t="shared" si="120"/>
        <v>0</v>
      </c>
      <c r="BT329" s="132">
        <f t="shared" si="121"/>
        <v>2</v>
      </c>
      <c r="BU329" s="133"/>
      <c r="BV329" s="133"/>
      <c r="BX329" s="1256">
        <v>43100</v>
      </c>
      <c r="BY329" s="165">
        <f>IFERROR(LOOKUP(BX329,基础数据!A:D),1)</f>
        <v>3.53915880885741</v>
      </c>
      <c r="BZ329" s="165">
        <f t="shared" si="125"/>
        <v>1.00524445538375</v>
      </c>
      <c r="CA329" s="165" t="e">
        <f t="shared" si="144"/>
        <v>#VALUE!</v>
      </c>
      <c r="CB329" s="165">
        <f t="shared" si="145"/>
        <v>90</v>
      </c>
      <c r="CC329" s="165" t="e">
        <f t="shared" si="146"/>
        <v>#VALUE!</v>
      </c>
      <c r="CD329" s="1257" t="s">
        <v>2237</v>
      </c>
    </row>
    <row r="330" ht="15" customHeight="1" spans="1:82">
      <c r="A330" s="123" t="str">
        <f>IF(B330="","",COUNT(A$7:A329)+1)</f>
        <v/>
      </c>
      <c r="B330" s="139"/>
      <c r="C330" s="139"/>
      <c r="D330" s="141"/>
      <c r="E330" s="126"/>
      <c r="F330" s="142"/>
      <c r="G330" s="127"/>
      <c r="H330" s="128"/>
      <c r="I330" s="128"/>
      <c r="J330" s="980"/>
      <c r="K330" s="143"/>
      <c r="L330" s="143"/>
      <c r="M330" s="129"/>
      <c r="N330" s="144"/>
      <c r="O330" s="144"/>
      <c r="P330" s="144"/>
      <c r="Q330" s="143"/>
      <c r="R330" s="353" t="str">
        <f t="shared" si="142"/>
        <v/>
      </c>
      <c r="S330" s="129" t="str">
        <f t="shared" si="132"/>
        <v/>
      </c>
      <c r="T330" s="1226" t="str">
        <f t="shared" ref="T330:T393" si="147">IF(B330="","",L330+O330)</f>
        <v/>
      </c>
      <c r="U330" s="1226" t="str">
        <f t="shared" ref="U330:U393" si="148">IF(B330="","",M330+P330)</f>
        <v/>
      </c>
      <c r="V330" s="353" t="str">
        <f t="shared" si="141"/>
        <v/>
      </c>
      <c r="W330" s="129">
        <v>0</v>
      </c>
      <c r="X330" s="129">
        <v>0</v>
      </c>
      <c r="Y330" s="129" t="str">
        <f t="shared" si="133"/>
        <v/>
      </c>
      <c r="Z330" s="129" t="str">
        <f t="shared" si="134"/>
        <v/>
      </c>
      <c r="AA330" s="145"/>
      <c r="BA330" s="78"/>
      <c r="BB330" s="132" t="s">
        <v>2569</v>
      </c>
      <c r="BC330" s="133"/>
      <c r="BD330" s="132" t="str">
        <f>IF(OR(B330="",BC330=""),"",COUNTIF(BC$8:BC330,"√"))</f>
        <v/>
      </c>
      <c r="BE330" s="134" t="str">
        <f t="shared" si="117"/>
        <v/>
      </c>
      <c r="BF330" s="135" t="str">
        <f t="shared" si="123"/>
        <v/>
      </c>
      <c r="BG330" s="135" t="str">
        <f t="shared" si="123"/>
        <v/>
      </c>
      <c r="BH330" s="136"/>
      <c r="BI330" s="136"/>
      <c r="BJ330" s="136"/>
      <c r="BK330" s="136"/>
      <c r="BL330" s="137"/>
      <c r="BM330" s="137"/>
      <c r="BP330" s="134" t="str">
        <f>IF(COUNTIF(BP$7:BP329,B330)&gt;0,"",B330)&amp;""</f>
        <v/>
      </c>
      <c r="BQ330" s="138">
        <f t="shared" si="118"/>
        <v>0</v>
      </c>
      <c r="BR330" s="132">
        <f t="shared" si="119"/>
        <v>1</v>
      </c>
      <c r="BS330" s="138">
        <f t="shared" si="120"/>
        <v>0</v>
      </c>
      <c r="BT330" s="132">
        <f t="shared" si="121"/>
        <v>2</v>
      </c>
      <c r="BU330" s="133"/>
      <c r="BV330" s="133"/>
      <c r="BX330" s="1256">
        <v>43100</v>
      </c>
      <c r="BY330" s="165">
        <f>IFERROR(LOOKUP(BX330,基础数据!A:D),1)</f>
        <v>3.53915880885741</v>
      </c>
      <c r="BZ330" s="165">
        <f t="shared" si="125"/>
        <v>1.00524445538375</v>
      </c>
      <c r="CA330" s="165" t="e">
        <f t="shared" si="127"/>
        <v>#VALUE!</v>
      </c>
      <c r="CB330" s="165">
        <v>97</v>
      </c>
      <c r="CC330" s="165" t="e">
        <f t="shared" si="128"/>
        <v>#VALUE!</v>
      </c>
      <c r="CD330" s="1257" t="s">
        <v>2236</v>
      </c>
    </row>
    <row r="331" ht="15" customHeight="1" spans="1:82">
      <c r="A331" s="123" t="str">
        <f>IF(B331="","",COUNT(A$7:A330)+1)</f>
        <v/>
      </c>
      <c r="B331" s="139"/>
      <c r="C331" s="139"/>
      <c r="D331" s="141"/>
      <c r="E331" s="126"/>
      <c r="F331" s="142"/>
      <c r="G331" s="127"/>
      <c r="H331" s="128"/>
      <c r="I331" s="128"/>
      <c r="J331" s="980"/>
      <c r="K331" s="143"/>
      <c r="L331" s="143"/>
      <c r="M331" s="129"/>
      <c r="N331" s="144"/>
      <c r="O331" s="144"/>
      <c r="P331" s="144"/>
      <c r="Q331" s="143"/>
      <c r="R331" s="353" t="str">
        <f t="shared" si="142"/>
        <v/>
      </c>
      <c r="S331" s="129" t="str">
        <f t="shared" si="132"/>
        <v/>
      </c>
      <c r="T331" s="1226" t="str">
        <f t="shared" si="147"/>
        <v/>
      </c>
      <c r="U331" s="1226" t="str">
        <f t="shared" si="148"/>
        <v/>
      </c>
      <c r="V331" s="353" t="str">
        <f t="shared" si="141"/>
        <v/>
      </c>
      <c r="W331" s="129">
        <v>0</v>
      </c>
      <c r="X331" s="129">
        <v>0</v>
      </c>
      <c r="Y331" s="129" t="str">
        <f t="shared" si="133"/>
        <v/>
      </c>
      <c r="Z331" s="129" t="str">
        <f t="shared" si="134"/>
        <v/>
      </c>
      <c r="AA331" s="145"/>
      <c r="BA331" s="78"/>
      <c r="BB331" s="132" t="s">
        <v>2570</v>
      </c>
      <c r="BC331" s="133"/>
      <c r="BD331" s="132" t="str">
        <f>IF(OR(B331="",BC331=""),"",COUNTIF(BC$8:BC331,"√"))</f>
        <v/>
      </c>
      <c r="BE331" s="134" t="str">
        <f t="shared" si="117"/>
        <v/>
      </c>
      <c r="BF331" s="135" t="str">
        <f t="shared" si="123"/>
        <v/>
      </c>
      <c r="BG331" s="135" t="str">
        <f t="shared" si="123"/>
        <v/>
      </c>
      <c r="BH331" s="136"/>
      <c r="BI331" s="136"/>
      <c r="BJ331" s="136"/>
      <c r="BK331" s="136"/>
      <c r="BL331" s="137"/>
      <c r="BM331" s="137"/>
      <c r="BP331" s="134" t="str">
        <f>IF(COUNTIF(BP$7:BP330,B331)&gt;0,"",B331)&amp;""</f>
        <v/>
      </c>
      <c r="BQ331" s="138">
        <f t="shared" si="118"/>
        <v>0</v>
      </c>
      <c r="BR331" s="132">
        <f t="shared" si="119"/>
        <v>1</v>
      </c>
      <c r="BS331" s="138">
        <f t="shared" si="120"/>
        <v>0</v>
      </c>
      <c r="BT331" s="132">
        <f t="shared" si="121"/>
        <v>2</v>
      </c>
      <c r="BU331" s="133"/>
      <c r="BV331" s="133"/>
      <c r="BX331" s="1256">
        <v>43100</v>
      </c>
      <c r="BY331" s="165">
        <f>IFERROR(LOOKUP(BX331,基础数据!A:D),1)</f>
        <v>3.53915880885741</v>
      </c>
      <c r="BZ331" s="165">
        <f t="shared" si="125"/>
        <v>1.00524445538375</v>
      </c>
      <c r="CA331" s="165" t="e">
        <f t="shared" ref="CA331:CA332" si="149">ROUND(S331*BZ331,1)</f>
        <v>#VALUE!</v>
      </c>
      <c r="CB331" s="165">
        <v>97</v>
      </c>
      <c r="CC331" s="165" t="e">
        <f t="shared" ref="CC331:CC332" si="150">ROUND(CB331*CA331/100,1)</f>
        <v>#VALUE!</v>
      </c>
      <c r="CD331" s="1257" t="s">
        <v>2236</v>
      </c>
    </row>
    <row r="332" ht="15" customHeight="1" spans="1:82">
      <c r="A332" s="123" t="str">
        <f>IF(B332="","",COUNT(A$7:A331)+1)</f>
        <v/>
      </c>
      <c r="B332" s="139"/>
      <c r="C332" s="139"/>
      <c r="D332" s="141"/>
      <c r="E332" s="126"/>
      <c r="F332" s="142"/>
      <c r="G332" s="127"/>
      <c r="H332" s="128"/>
      <c r="I332" s="128"/>
      <c r="J332" s="980"/>
      <c r="K332" s="143"/>
      <c r="L332" s="143"/>
      <c r="M332" s="129"/>
      <c r="N332" s="144"/>
      <c r="O332" s="144"/>
      <c r="P332" s="144"/>
      <c r="Q332" s="143"/>
      <c r="R332" s="353" t="str">
        <f t="shared" si="142"/>
        <v/>
      </c>
      <c r="S332" s="129" t="str">
        <f t="shared" si="132"/>
        <v/>
      </c>
      <c r="T332" s="1226" t="str">
        <f t="shared" si="147"/>
        <v/>
      </c>
      <c r="U332" s="1226" t="str">
        <f t="shared" si="148"/>
        <v/>
      </c>
      <c r="V332" s="353" t="str">
        <f t="shared" si="141"/>
        <v/>
      </c>
      <c r="W332" s="129">
        <v>0</v>
      </c>
      <c r="X332" s="129">
        <v>0</v>
      </c>
      <c r="Y332" s="129" t="str">
        <f t="shared" si="133"/>
        <v/>
      </c>
      <c r="Z332" s="129" t="str">
        <f t="shared" si="134"/>
        <v/>
      </c>
      <c r="AA332" s="145"/>
      <c r="BA332" s="78"/>
      <c r="BB332" s="132" t="s">
        <v>2571</v>
      </c>
      <c r="BC332" s="133"/>
      <c r="BD332" s="132" t="str">
        <f>IF(OR(B332="",BC332=""),"",COUNTIF(BC$8:BC332,"√"))</f>
        <v/>
      </c>
      <c r="BE332" s="134" t="str">
        <f t="shared" si="117"/>
        <v/>
      </c>
      <c r="BF332" s="135" t="str">
        <f t="shared" si="123"/>
        <v/>
      </c>
      <c r="BG332" s="135" t="str">
        <f t="shared" si="123"/>
        <v/>
      </c>
      <c r="BH332" s="136"/>
      <c r="BI332" s="136"/>
      <c r="BJ332" s="136"/>
      <c r="BK332" s="136"/>
      <c r="BL332" s="137"/>
      <c r="BM332" s="137"/>
      <c r="BP332" s="134" t="str">
        <f>IF(COUNTIF(BP$7:BP331,B332)&gt;0,"",B332)&amp;""</f>
        <v/>
      </c>
      <c r="BQ332" s="138">
        <f t="shared" si="118"/>
        <v>0</v>
      </c>
      <c r="BR332" s="132">
        <f t="shared" si="119"/>
        <v>1</v>
      </c>
      <c r="BS332" s="138">
        <f t="shared" si="120"/>
        <v>0</v>
      </c>
      <c r="BT332" s="132">
        <f t="shared" si="121"/>
        <v>2</v>
      </c>
      <c r="BU332" s="133"/>
      <c r="BV332" s="133"/>
      <c r="BX332" s="1256">
        <v>43100</v>
      </c>
      <c r="BY332" s="165">
        <f>IFERROR(LOOKUP(BX332,基础数据!A:D),1)</f>
        <v>3.53915880885741</v>
      </c>
      <c r="BZ332" s="165">
        <f t="shared" si="125"/>
        <v>1.00524445538375</v>
      </c>
      <c r="CA332" s="165" t="e">
        <f t="shared" si="149"/>
        <v>#VALUE!</v>
      </c>
      <c r="CB332" s="165">
        <v>97</v>
      </c>
      <c r="CC332" s="165" t="e">
        <f t="shared" si="150"/>
        <v>#VALUE!</v>
      </c>
      <c r="CD332" s="1257" t="s">
        <v>2236</v>
      </c>
    </row>
    <row r="333" ht="15" customHeight="1" spans="1:82">
      <c r="A333" s="123" t="str">
        <f>IF(B333="","",COUNT(A$7:A332)+1)</f>
        <v/>
      </c>
      <c r="B333" s="139"/>
      <c r="C333" s="139"/>
      <c r="D333" s="141"/>
      <c r="E333" s="126"/>
      <c r="F333" s="142"/>
      <c r="G333" s="127"/>
      <c r="H333" s="128"/>
      <c r="I333" s="128"/>
      <c r="J333" s="980"/>
      <c r="K333" s="143"/>
      <c r="L333" s="143"/>
      <c r="M333" s="129"/>
      <c r="N333" s="144"/>
      <c r="O333" s="144"/>
      <c r="P333" s="144"/>
      <c r="Q333" s="143"/>
      <c r="R333" s="353" t="str">
        <f t="shared" si="142"/>
        <v/>
      </c>
      <c r="S333" s="129" t="str">
        <f t="shared" si="132"/>
        <v/>
      </c>
      <c r="T333" s="1226" t="str">
        <f t="shared" si="147"/>
        <v/>
      </c>
      <c r="U333" s="1226" t="str">
        <f t="shared" si="148"/>
        <v/>
      </c>
      <c r="V333" s="353" t="str">
        <f t="shared" si="141"/>
        <v/>
      </c>
      <c r="W333" s="129">
        <v>0</v>
      </c>
      <c r="X333" s="129">
        <v>0</v>
      </c>
      <c r="Y333" s="129" t="str">
        <f t="shared" si="133"/>
        <v/>
      </c>
      <c r="Z333" s="129" t="str">
        <f t="shared" si="134"/>
        <v/>
      </c>
      <c r="AA333" s="145"/>
      <c r="BA333" s="78"/>
      <c r="BB333" s="132" t="s">
        <v>2572</v>
      </c>
      <c r="BC333" s="133"/>
      <c r="BD333" s="132" t="str">
        <f>IF(OR(B333="",BC333=""),"",COUNTIF(BC$8:BC333,"√"))</f>
        <v/>
      </c>
      <c r="BE333" s="134" t="str">
        <f t="shared" si="117"/>
        <v/>
      </c>
      <c r="BF333" s="135" t="str">
        <f t="shared" si="123"/>
        <v/>
      </c>
      <c r="BG333" s="135" t="str">
        <f t="shared" si="123"/>
        <v/>
      </c>
      <c r="BH333" s="136"/>
      <c r="BI333" s="136"/>
      <c r="BJ333" s="136"/>
      <c r="BK333" s="136"/>
      <c r="BL333" s="137"/>
      <c r="BM333" s="137"/>
      <c r="BP333" s="134" t="str">
        <f>IF(COUNTIF(BP$7:BP332,B333)&gt;0,"",B333)&amp;""</f>
        <v/>
      </c>
      <c r="BQ333" s="138">
        <f t="shared" si="118"/>
        <v>0</v>
      </c>
      <c r="BR333" s="132">
        <f t="shared" si="119"/>
        <v>1</v>
      </c>
      <c r="BS333" s="138">
        <f t="shared" si="120"/>
        <v>0</v>
      </c>
      <c r="BT333" s="132">
        <f t="shared" si="121"/>
        <v>2</v>
      </c>
      <c r="BU333" s="133"/>
      <c r="BV333" s="133"/>
      <c r="BX333" s="1256">
        <v>43100</v>
      </c>
      <c r="BY333" s="165">
        <f>IFERROR(LOOKUP(BX333,基础数据!A:D),1)</f>
        <v>3.53915880885741</v>
      </c>
      <c r="BZ333" s="165">
        <f t="shared" si="125"/>
        <v>1.00524445538375</v>
      </c>
      <c r="CA333" s="165" t="e">
        <f t="shared" si="127"/>
        <v>#VALUE!</v>
      </c>
      <c r="CB333" s="165">
        <f t="shared" si="145"/>
        <v>90</v>
      </c>
      <c r="CC333" s="165" t="e">
        <f t="shared" si="128"/>
        <v>#VALUE!</v>
      </c>
      <c r="CD333" s="1257" t="s">
        <v>2237</v>
      </c>
    </row>
    <row r="334" ht="15" customHeight="1" spans="1:82">
      <c r="A334" s="123" t="str">
        <f>IF(B334="","",COUNT(A$7:A333)+1)</f>
        <v/>
      </c>
      <c r="B334" s="139"/>
      <c r="C334" s="139"/>
      <c r="D334" s="141"/>
      <c r="E334" s="126"/>
      <c r="F334" s="142"/>
      <c r="G334" s="127"/>
      <c r="H334" s="128"/>
      <c r="I334" s="128"/>
      <c r="J334" s="980"/>
      <c r="K334" s="143"/>
      <c r="L334" s="143"/>
      <c r="M334" s="129"/>
      <c r="N334" s="144"/>
      <c r="O334" s="144"/>
      <c r="P334" s="144"/>
      <c r="Q334" s="143"/>
      <c r="R334" s="353" t="str">
        <f t="shared" si="142"/>
        <v/>
      </c>
      <c r="S334" s="129" t="str">
        <f t="shared" si="132"/>
        <v/>
      </c>
      <c r="T334" s="1226" t="str">
        <f t="shared" si="147"/>
        <v/>
      </c>
      <c r="U334" s="1226" t="str">
        <f t="shared" si="148"/>
        <v/>
      </c>
      <c r="V334" s="353" t="str">
        <f t="shared" si="141"/>
        <v/>
      </c>
      <c r="W334" s="129">
        <v>0</v>
      </c>
      <c r="X334" s="129">
        <v>0</v>
      </c>
      <c r="Y334" s="129" t="str">
        <f t="shared" si="133"/>
        <v/>
      </c>
      <c r="Z334" s="129" t="str">
        <f t="shared" si="134"/>
        <v/>
      </c>
      <c r="AA334" s="145"/>
      <c r="BA334" s="78"/>
      <c r="BB334" s="132" t="s">
        <v>2573</v>
      </c>
      <c r="BC334" s="133"/>
      <c r="BD334" s="132" t="str">
        <f>IF(OR(B334="",BC334=""),"",COUNTIF(BC$8:BC334,"√"))</f>
        <v/>
      </c>
      <c r="BE334" s="134" t="str">
        <f t="shared" si="117"/>
        <v/>
      </c>
      <c r="BF334" s="135" t="str">
        <f t="shared" si="123"/>
        <v/>
      </c>
      <c r="BG334" s="135" t="str">
        <f t="shared" si="123"/>
        <v/>
      </c>
      <c r="BH334" s="136"/>
      <c r="BI334" s="136"/>
      <c r="BJ334" s="136"/>
      <c r="BK334" s="136"/>
      <c r="BL334" s="137"/>
      <c r="BM334" s="137"/>
      <c r="BP334" s="134" t="str">
        <f>IF(COUNTIF(BP$7:BP333,B334)&gt;0,"",B334)&amp;""</f>
        <v/>
      </c>
      <c r="BQ334" s="138">
        <f t="shared" si="118"/>
        <v>0</v>
      </c>
      <c r="BR334" s="132">
        <f t="shared" si="119"/>
        <v>1</v>
      </c>
      <c r="BS334" s="138">
        <f t="shared" si="120"/>
        <v>0</v>
      </c>
      <c r="BT334" s="132">
        <f t="shared" si="121"/>
        <v>2</v>
      </c>
      <c r="BU334" s="133"/>
      <c r="BV334" s="133"/>
      <c r="BX334" s="1256">
        <v>43100</v>
      </c>
      <c r="BY334" s="165">
        <f>IFERROR(LOOKUP(BX334,基础数据!A:D),1)</f>
        <v>3.53915880885741</v>
      </c>
      <c r="BZ334" s="165">
        <f t="shared" si="125"/>
        <v>1.00524445538375</v>
      </c>
      <c r="CA334" s="165" t="e">
        <f>ROUND(S334*BZ334,1)</f>
        <v>#VALUE!</v>
      </c>
      <c r="CB334" s="165">
        <f t="shared" si="145"/>
        <v>90</v>
      </c>
      <c r="CC334" s="165" t="e">
        <f>ROUND(CB334*CA334/100,1)</f>
        <v>#VALUE!</v>
      </c>
      <c r="CD334" s="1257" t="s">
        <v>2237</v>
      </c>
    </row>
    <row r="335" ht="15" customHeight="1" spans="1:82">
      <c r="A335" s="123" t="str">
        <f>IF(B335="","",COUNT(A$7:A334)+1)</f>
        <v/>
      </c>
      <c r="B335" s="139"/>
      <c r="C335" s="139"/>
      <c r="D335" s="141"/>
      <c r="E335" s="126"/>
      <c r="F335" s="142"/>
      <c r="G335" s="127"/>
      <c r="H335" s="128"/>
      <c r="I335" s="128"/>
      <c r="J335" s="980"/>
      <c r="K335" s="143"/>
      <c r="L335" s="143"/>
      <c r="M335" s="129"/>
      <c r="N335" s="144"/>
      <c r="O335" s="144"/>
      <c r="P335" s="144"/>
      <c r="Q335" s="143"/>
      <c r="R335" s="353" t="str">
        <f t="shared" si="142"/>
        <v/>
      </c>
      <c r="S335" s="129" t="str">
        <f t="shared" si="132"/>
        <v/>
      </c>
      <c r="T335" s="1226" t="str">
        <f t="shared" si="147"/>
        <v/>
      </c>
      <c r="U335" s="1226" t="str">
        <f t="shared" si="148"/>
        <v/>
      </c>
      <c r="V335" s="353" t="str">
        <f t="shared" si="141"/>
        <v/>
      </c>
      <c r="W335" s="129">
        <v>0</v>
      </c>
      <c r="X335" s="129">
        <v>0</v>
      </c>
      <c r="Y335" s="129" t="str">
        <f t="shared" si="133"/>
        <v/>
      </c>
      <c r="Z335" s="129" t="str">
        <f t="shared" si="134"/>
        <v/>
      </c>
      <c r="AA335" s="145"/>
      <c r="BA335" s="78"/>
      <c r="BB335" s="132" t="s">
        <v>2574</v>
      </c>
      <c r="BC335" s="133"/>
      <c r="BD335" s="132" t="str">
        <f>IF(OR(B335="",BC335=""),"",COUNTIF(BC$8:BC335,"√"))</f>
        <v/>
      </c>
      <c r="BE335" s="134" t="str">
        <f t="shared" si="117"/>
        <v/>
      </c>
      <c r="BF335" s="135" t="str">
        <f t="shared" si="123"/>
        <v/>
      </c>
      <c r="BG335" s="135" t="str">
        <f t="shared" si="123"/>
        <v/>
      </c>
      <c r="BH335" s="136"/>
      <c r="BI335" s="136"/>
      <c r="BJ335" s="136"/>
      <c r="BK335" s="136"/>
      <c r="BL335" s="137"/>
      <c r="BM335" s="137"/>
      <c r="BP335" s="134" t="str">
        <f>IF(COUNTIF(BP$7:BP334,B335)&gt;0,"",B335)&amp;""</f>
        <v/>
      </c>
      <c r="BQ335" s="138">
        <f t="shared" si="118"/>
        <v>0</v>
      </c>
      <c r="BR335" s="132">
        <f t="shared" si="119"/>
        <v>1</v>
      </c>
      <c r="BS335" s="138">
        <f t="shared" si="120"/>
        <v>0</v>
      </c>
      <c r="BT335" s="132">
        <f t="shared" si="121"/>
        <v>2</v>
      </c>
      <c r="BU335" s="133"/>
      <c r="BV335" s="133"/>
      <c r="BX335" s="1256">
        <v>43100</v>
      </c>
      <c r="BY335" s="165">
        <f>IFERROR(LOOKUP(BX335,基础数据!A:D),1)</f>
        <v>3.53915880885741</v>
      </c>
      <c r="BZ335" s="165">
        <f t="shared" si="125"/>
        <v>1.00524445538375</v>
      </c>
      <c r="CA335" s="165" t="e">
        <f t="shared" si="127"/>
        <v>#VALUE!</v>
      </c>
      <c r="CB335" s="165">
        <v>97</v>
      </c>
      <c r="CC335" s="165" t="e">
        <f t="shared" si="128"/>
        <v>#VALUE!</v>
      </c>
      <c r="CD335" s="1257" t="s">
        <v>2236</v>
      </c>
    </row>
    <row r="336" ht="15" customHeight="1" spans="1:82">
      <c r="A336" s="123" t="str">
        <f>IF(B336="","",COUNT(A$7:A335)+1)</f>
        <v/>
      </c>
      <c r="B336" s="139"/>
      <c r="C336" s="139"/>
      <c r="D336" s="141"/>
      <c r="E336" s="126"/>
      <c r="F336" s="142"/>
      <c r="G336" s="127"/>
      <c r="H336" s="128"/>
      <c r="I336" s="128"/>
      <c r="J336" s="980"/>
      <c r="K336" s="143"/>
      <c r="L336" s="143"/>
      <c r="M336" s="129"/>
      <c r="N336" s="144"/>
      <c r="O336" s="144"/>
      <c r="P336" s="144"/>
      <c r="Q336" s="143"/>
      <c r="R336" s="353" t="str">
        <f t="shared" si="142"/>
        <v/>
      </c>
      <c r="S336" s="129" t="str">
        <f t="shared" si="132"/>
        <v/>
      </c>
      <c r="T336" s="1226" t="str">
        <f t="shared" si="147"/>
        <v/>
      </c>
      <c r="U336" s="1226" t="str">
        <f t="shared" si="148"/>
        <v/>
      </c>
      <c r="V336" s="353" t="str">
        <f t="shared" si="141"/>
        <v/>
      </c>
      <c r="W336" s="129">
        <v>0</v>
      </c>
      <c r="X336" s="129">
        <v>0</v>
      </c>
      <c r="Y336" s="129" t="str">
        <f t="shared" si="133"/>
        <v/>
      </c>
      <c r="Z336" s="129" t="str">
        <f t="shared" si="134"/>
        <v/>
      </c>
      <c r="AA336" s="145"/>
      <c r="BA336" s="78"/>
      <c r="BB336" s="132" t="s">
        <v>2575</v>
      </c>
      <c r="BC336" s="133"/>
      <c r="BD336" s="132" t="str">
        <f>IF(OR(B336="",BC336=""),"",COUNTIF(BC$8:BC336,"√"))</f>
        <v/>
      </c>
      <c r="BE336" s="134" t="str">
        <f t="shared" si="117"/>
        <v/>
      </c>
      <c r="BF336" s="135" t="str">
        <f t="shared" si="123"/>
        <v/>
      </c>
      <c r="BG336" s="135" t="str">
        <f t="shared" si="123"/>
        <v/>
      </c>
      <c r="BH336" s="136"/>
      <c r="BI336" s="136"/>
      <c r="BJ336" s="136"/>
      <c r="BK336" s="136"/>
      <c r="BL336" s="137"/>
      <c r="BM336" s="137"/>
      <c r="BP336" s="134" t="str">
        <f>IF(COUNTIF(BP$7:BP335,B336)&gt;0,"",B336)&amp;""</f>
        <v/>
      </c>
      <c r="BQ336" s="138">
        <f t="shared" si="118"/>
        <v>0</v>
      </c>
      <c r="BR336" s="132">
        <f t="shared" si="119"/>
        <v>1</v>
      </c>
      <c r="BS336" s="138">
        <f t="shared" si="120"/>
        <v>0</v>
      </c>
      <c r="BT336" s="132">
        <f t="shared" si="121"/>
        <v>2</v>
      </c>
      <c r="BU336" s="133"/>
      <c r="BV336" s="133"/>
      <c r="BX336" s="1256">
        <v>43100</v>
      </c>
      <c r="BY336" s="165">
        <f>IFERROR(LOOKUP(BX336,基础数据!A:D),1)</f>
        <v>3.53915880885741</v>
      </c>
      <c r="BZ336" s="165">
        <f t="shared" si="125"/>
        <v>1.00524445538375</v>
      </c>
      <c r="CA336" s="165" t="e">
        <f t="shared" ref="CA336:CA342" si="151">ROUND(S336*BZ336,1)</f>
        <v>#VALUE!</v>
      </c>
      <c r="CB336" s="165">
        <v>97</v>
      </c>
      <c r="CC336" s="165" t="e">
        <f t="shared" ref="CC336:CC342" si="152">ROUND(CB336*CA336/100,1)</f>
        <v>#VALUE!</v>
      </c>
      <c r="CD336" s="1257" t="s">
        <v>2236</v>
      </c>
    </row>
    <row r="337" ht="15" customHeight="1" spans="1:82">
      <c r="A337" s="123" t="str">
        <f>IF(B337="","",COUNT(A$7:A336)+1)</f>
        <v/>
      </c>
      <c r="B337" s="139"/>
      <c r="C337" s="139"/>
      <c r="D337" s="141"/>
      <c r="E337" s="126"/>
      <c r="F337" s="142"/>
      <c r="G337" s="127"/>
      <c r="H337" s="128"/>
      <c r="I337" s="128"/>
      <c r="J337" s="980"/>
      <c r="K337" s="143"/>
      <c r="L337" s="143"/>
      <c r="M337" s="129"/>
      <c r="N337" s="144"/>
      <c r="O337" s="144"/>
      <c r="P337" s="144"/>
      <c r="Q337" s="143"/>
      <c r="R337" s="353" t="str">
        <f t="shared" si="142"/>
        <v/>
      </c>
      <c r="S337" s="129" t="str">
        <f t="shared" si="132"/>
        <v/>
      </c>
      <c r="T337" s="1226" t="str">
        <f t="shared" si="147"/>
        <v/>
      </c>
      <c r="U337" s="1226" t="str">
        <f t="shared" si="148"/>
        <v/>
      </c>
      <c r="V337" s="353" t="str">
        <f t="shared" si="141"/>
        <v/>
      </c>
      <c r="W337" s="129">
        <v>0</v>
      </c>
      <c r="X337" s="129">
        <v>0</v>
      </c>
      <c r="Y337" s="129" t="str">
        <f t="shared" si="133"/>
        <v/>
      </c>
      <c r="Z337" s="129" t="str">
        <f t="shared" si="134"/>
        <v/>
      </c>
      <c r="AA337" s="145"/>
      <c r="BA337" s="78"/>
      <c r="BB337" s="132" t="s">
        <v>2576</v>
      </c>
      <c r="BC337" s="133"/>
      <c r="BD337" s="132" t="str">
        <f>IF(OR(B337="",BC337=""),"",COUNTIF(BC$8:BC337,"√"))</f>
        <v/>
      </c>
      <c r="BE337" s="134" t="str">
        <f t="shared" si="117"/>
        <v/>
      </c>
      <c r="BF337" s="135" t="str">
        <f t="shared" si="123"/>
        <v/>
      </c>
      <c r="BG337" s="135" t="str">
        <f t="shared" si="123"/>
        <v/>
      </c>
      <c r="BH337" s="136"/>
      <c r="BI337" s="136"/>
      <c r="BJ337" s="136"/>
      <c r="BK337" s="136"/>
      <c r="BL337" s="137"/>
      <c r="BM337" s="137"/>
      <c r="BP337" s="134" t="str">
        <f>IF(COUNTIF(BP$7:BP336,B337)&gt;0,"",B337)&amp;""</f>
        <v/>
      </c>
      <c r="BQ337" s="138">
        <f t="shared" si="118"/>
        <v>0</v>
      </c>
      <c r="BR337" s="132">
        <f t="shared" si="119"/>
        <v>1</v>
      </c>
      <c r="BS337" s="138">
        <f t="shared" si="120"/>
        <v>0</v>
      </c>
      <c r="BT337" s="132">
        <f t="shared" si="121"/>
        <v>2</v>
      </c>
      <c r="BU337" s="133"/>
      <c r="BV337" s="133"/>
      <c r="BX337" s="1256">
        <v>43100</v>
      </c>
      <c r="BY337" s="165">
        <f>IFERROR(LOOKUP(BX337,基础数据!A:D),1)</f>
        <v>3.53915880885741</v>
      </c>
      <c r="BZ337" s="165">
        <f t="shared" si="125"/>
        <v>1.00524445538375</v>
      </c>
      <c r="CA337" s="165" t="e">
        <f t="shared" si="151"/>
        <v>#VALUE!</v>
      </c>
      <c r="CB337" s="165">
        <v>50</v>
      </c>
      <c r="CC337" s="165" t="e">
        <f t="shared" si="152"/>
        <v>#VALUE!</v>
      </c>
      <c r="CD337" s="1257" t="s">
        <v>2237</v>
      </c>
    </row>
    <row r="338" ht="15" customHeight="1" spans="1:82">
      <c r="A338" s="123" t="str">
        <f>IF(B338="","",COUNT(A$7:A337)+1)</f>
        <v/>
      </c>
      <c r="B338" s="139"/>
      <c r="C338" s="139"/>
      <c r="D338" s="141"/>
      <c r="E338" s="126"/>
      <c r="F338" s="142"/>
      <c r="G338" s="127"/>
      <c r="H338" s="128"/>
      <c r="I338" s="128"/>
      <c r="J338" s="980"/>
      <c r="K338" s="143"/>
      <c r="L338" s="143"/>
      <c r="M338" s="129"/>
      <c r="N338" s="144"/>
      <c r="O338" s="144"/>
      <c r="P338" s="144"/>
      <c r="Q338" s="143"/>
      <c r="R338" s="353" t="str">
        <f t="shared" si="142"/>
        <v/>
      </c>
      <c r="S338" s="129" t="str">
        <f t="shared" si="132"/>
        <v/>
      </c>
      <c r="T338" s="1226" t="str">
        <f t="shared" si="147"/>
        <v/>
      </c>
      <c r="U338" s="1226" t="str">
        <f t="shared" si="148"/>
        <v/>
      </c>
      <c r="V338" s="353" t="str">
        <f t="shared" si="141"/>
        <v/>
      </c>
      <c r="W338" s="129">
        <v>0</v>
      </c>
      <c r="X338" s="129">
        <v>0</v>
      </c>
      <c r="Y338" s="129" t="str">
        <f t="shared" si="133"/>
        <v/>
      </c>
      <c r="Z338" s="129" t="str">
        <f t="shared" si="134"/>
        <v/>
      </c>
      <c r="AA338" s="145"/>
      <c r="BA338" s="78"/>
      <c r="BB338" s="132" t="s">
        <v>2577</v>
      </c>
      <c r="BC338" s="133"/>
      <c r="BD338" s="132" t="str">
        <f>IF(OR(B338="",BC338=""),"",COUNTIF(BC$8:BC338,"√"))</f>
        <v/>
      </c>
      <c r="BE338" s="134" t="str">
        <f t="shared" si="117"/>
        <v/>
      </c>
      <c r="BF338" s="135" t="str">
        <f t="shared" si="123"/>
        <v/>
      </c>
      <c r="BG338" s="135" t="str">
        <f t="shared" si="123"/>
        <v/>
      </c>
      <c r="BH338" s="136"/>
      <c r="BI338" s="136"/>
      <c r="BJ338" s="136"/>
      <c r="BK338" s="136"/>
      <c r="BL338" s="137"/>
      <c r="BM338" s="137"/>
      <c r="BP338" s="134" t="str">
        <f>IF(COUNTIF(BP$7:BP337,B338)&gt;0,"",B338)&amp;""</f>
        <v/>
      </c>
      <c r="BQ338" s="138">
        <f t="shared" si="118"/>
        <v>0</v>
      </c>
      <c r="BR338" s="132">
        <f t="shared" si="119"/>
        <v>1</v>
      </c>
      <c r="BS338" s="138">
        <f t="shared" si="120"/>
        <v>0</v>
      </c>
      <c r="BT338" s="132">
        <f t="shared" si="121"/>
        <v>2</v>
      </c>
      <c r="BU338" s="133"/>
      <c r="BV338" s="133"/>
      <c r="BX338" s="1256">
        <v>43100</v>
      </c>
      <c r="BY338" s="165">
        <f>IFERROR(LOOKUP(BX338,基础数据!A:D),1)</f>
        <v>3.53915880885741</v>
      </c>
      <c r="BZ338" s="165">
        <f t="shared" si="125"/>
        <v>1.00524445538375</v>
      </c>
      <c r="CA338" s="165" t="e">
        <f t="shared" si="151"/>
        <v>#VALUE!</v>
      </c>
      <c r="CB338" s="165">
        <v>97</v>
      </c>
      <c r="CC338" s="165" t="e">
        <f t="shared" si="152"/>
        <v>#VALUE!</v>
      </c>
      <c r="CD338" s="1257" t="s">
        <v>2236</v>
      </c>
    </row>
    <row r="339" ht="15" customHeight="1" spans="1:82">
      <c r="A339" s="123" t="str">
        <f>IF(B339="","",COUNT(A$7:A338)+1)</f>
        <v/>
      </c>
      <c r="B339" s="139"/>
      <c r="C339" s="139"/>
      <c r="D339" s="141"/>
      <c r="E339" s="126"/>
      <c r="F339" s="142"/>
      <c r="G339" s="127"/>
      <c r="H339" s="128"/>
      <c r="I339" s="128"/>
      <c r="J339" s="980"/>
      <c r="K339" s="143"/>
      <c r="L339" s="143"/>
      <c r="M339" s="129"/>
      <c r="N339" s="144"/>
      <c r="O339" s="144"/>
      <c r="P339" s="144"/>
      <c r="Q339" s="143"/>
      <c r="R339" s="353" t="str">
        <f t="shared" si="142"/>
        <v/>
      </c>
      <c r="S339" s="129" t="str">
        <f t="shared" si="132"/>
        <v/>
      </c>
      <c r="T339" s="1226" t="str">
        <f t="shared" si="147"/>
        <v/>
      </c>
      <c r="U339" s="1226" t="str">
        <f t="shared" si="148"/>
        <v/>
      </c>
      <c r="V339" s="353" t="str">
        <f t="shared" si="141"/>
        <v/>
      </c>
      <c r="W339" s="129">
        <v>0</v>
      </c>
      <c r="X339" s="129">
        <v>0</v>
      </c>
      <c r="Y339" s="129" t="str">
        <f t="shared" si="133"/>
        <v/>
      </c>
      <c r="Z339" s="129" t="str">
        <f t="shared" si="134"/>
        <v/>
      </c>
      <c r="AA339" s="145"/>
      <c r="BA339" s="78"/>
      <c r="BB339" s="132" t="s">
        <v>2578</v>
      </c>
      <c r="BC339" s="133"/>
      <c r="BD339" s="132" t="str">
        <f>IF(OR(B339="",BC339=""),"",COUNTIF(BC$8:BC339,"√"))</f>
        <v/>
      </c>
      <c r="BE339" s="134" t="str">
        <f t="shared" ref="BE339:BE396" si="153">IF(BC339="","",BB339&amp;"︱"&amp;B339&amp;"︱"&amp;TEXT(L339,"#,##0.00"))</f>
        <v/>
      </c>
      <c r="BF339" s="135" t="str">
        <f t="shared" si="123"/>
        <v/>
      </c>
      <c r="BG339" s="135" t="str">
        <f t="shared" si="123"/>
        <v/>
      </c>
      <c r="BH339" s="136"/>
      <c r="BI339" s="136"/>
      <c r="BJ339" s="136"/>
      <c r="BK339" s="136"/>
      <c r="BL339" s="137"/>
      <c r="BM339" s="137"/>
      <c r="BP339" s="134" t="str">
        <f>IF(COUNTIF(BP$7:BP338,B339)&gt;0,"",B339)&amp;""</f>
        <v/>
      </c>
      <c r="BQ339" s="138">
        <f t="shared" ref="BQ339:BQ396" si="154">SUMIF(B$8:B$397,BP339,T$8:T$397)</f>
        <v>0</v>
      </c>
      <c r="BR339" s="132">
        <f t="shared" ref="BR339:BR396" si="155">RANK(BQ339,BQ$8:BQ$397)</f>
        <v>1</v>
      </c>
      <c r="BS339" s="138">
        <f t="shared" ref="BS339:BS396" si="156">SUMIF(B$8:B$397,BP339,X$8:X$397)</f>
        <v>0</v>
      </c>
      <c r="BT339" s="132">
        <f t="shared" ref="BT339:BT396" si="157">RANK(BS339,BS$8:BS$397)</f>
        <v>2</v>
      </c>
      <c r="BU339" s="133"/>
      <c r="BV339" s="133"/>
      <c r="BX339" s="1256">
        <v>43100</v>
      </c>
      <c r="BY339" s="165">
        <f>IFERROR(LOOKUP(BX339,基础数据!A:D),1)</f>
        <v>3.53915880885741</v>
      </c>
      <c r="BZ339" s="165">
        <f t="shared" si="125"/>
        <v>1.00524445538375</v>
      </c>
      <c r="CA339" s="165" t="e">
        <f t="shared" si="151"/>
        <v>#VALUE!</v>
      </c>
      <c r="CB339" s="165">
        <v>97</v>
      </c>
      <c r="CC339" s="165" t="e">
        <f t="shared" si="152"/>
        <v>#VALUE!</v>
      </c>
      <c r="CD339" s="1257" t="s">
        <v>2236</v>
      </c>
    </row>
    <row r="340" ht="15" customHeight="1" spans="1:82">
      <c r="A340" s="123" t="str">
        <f>IF(B340="","",COUNT(A$7:A339)+1)</f>
        <v/>
      </c>
      <c r="B340" s="139"/>
      <c r="C340" s="139"/>
      <c r="D340" s="141"/>
      <c r="E340" s="126"/>
      <c r="F340" s="142"/>
      <c r="G340" s="127"/>
      <c r="H340" s="128"/>
      <c r="I340" s="128"/>
      <c r="J340" s="980"/>
      <c r="K340" s="143"/>
      <c r="L340" s="143"/>
      <c r="M340" s="129"/>
      <c r="N340" s="144"/>
      <c r="O340" s="144"/>
      <c r="P340" s="144"/>
      <c r="Q340" s="143"/>
      <c r="R340" s="353" t="str">
        <f t="shared" si="142"/>
        <v/>
      </c>
      <c r="S340" s="129" t="str">
        <f t="shared" si="132"/>
        <v/>
      </c>
      <c r="T340" s="1226" t="str">
        <f t="shared" si="147"/>
        <v/>
      </c>
      <c r="U340" s="1226" t="str">
        <f t="shared" si="148"/>
        <v/>
      </c>
      <c r="V340" s="353" t="str">
        <f t="shared" si="141"/>
        <v/>
      </c>
      <c r="W340" s="129">
        <v>0</v>
      </c>
      <c r="X340" s="129">
        <v>0</v>
      </c>
      <c r="Y340" s="129" t="str">
        <f t="shared" si="133"/>
        <v/>
      </c>
      <c r="Z340" s="129" t="str">
        <f t="shared" si="134"/>
        <v/>
      </c>
      <c r="AA340" s="145"/>
      <c r="BA340" s="78"/>
      <c r="BB340" s="132" t="s">
        <v>2579</v>
      </c>
      <c r="BC340" s="133"/>
      <c r="BD340" s="132" t="str">
        <f>IF(OR(B340="",BC340=""),"",COUNTIF(BC$8:BC340,"√"))</f>
        <v/>
      </c>
      <c r="BE340" s="134" t="str">
        <f t="shared" si="153"/>
        <v/>
      </c>
      <c r="BF340" s="135" t="str">
        <f t="shared" si="123"/>
        <v/>
      </c>
      <c r="BG340" s="135" t="str">
        <f t="shared" si="123"/>
        <v/>
      </c>
      <c r="BH340" s="136"/>
      <c r="BI340" s="136"/>
      <c r="BJ340" s="136"/>
      <c r="BK340" s="136"/>
      <c r="BL340" s="137"/>
      <c r="BM340" s="137"/>
      <c r="BP340" s="134" t="str">
        <f>IF(COUNTIF(BP$7:BP339,B340)&gt;0,"",B340)&amp;""</f>
        <v/>
      </c>
      <c r="BQ340" s="138">
        <f t="shared" si="154"/>
        <v>0</v>
      </c>
      <c r="BR340" s="132">
        <f t="shared" si="155"/>
        <v>1</v>
      </c>
      <c r="BS340" s="138">
        <f t="shared" si="156"/>
        <v>0</v>
      </c>
      <c r="BT340" s="132">
        <f t="shared" si="157"/>
        <v>2</v>
      </c>
      <c r="BU340" s="133"/>
      <c r="BV340" s="133"/>
      <c r="BX340" s="1256">
        <v>43100</v>
      </c>
      <c r="BY340" s="165">
        <f>IFERROR(LOOKUP(BX340,基础数据!A:D),1)</f>
        <v>3.53915880885741</v>
      </c>
      <c r="BZ340" s="165">
        <f t="shared" si="125"/>
        <v>1.00524445538375</v>
      </c>
      <c r="CA340" s="165" t="e">
        <f t="shared" si="151"/>
        <v>#VALUE!</v>
      </c>
      <c r="CB340" s="165">
        <v>97</v>
      </c>
      <c r="CC340" s="165" t="e">
        <f t="shared" si="152"/>
        <v>#VALUE!</v>
      </c>
      <c r="CD340" s="1257" t="s">
        <v>2236</v>
      </c>
    </row>
    <row r="341" ht="15" customHeight="1" spans="1:82">
      <c r="A341" s="123" t="str">
        <f>IF(B341="","",COUNT(A$7:A340)+1)</f>
        <v/>
      </c>
      <c r="B341" s="139"/>
      <c r="C341" s="139"/>
      <c r="D341" s="141"/>
      <c r="E341" s="126"/>
      <c r="F341" s="142"/>
      <c r="G341" s="127"/>
      <c r="H341" s="128"/>
      <c r="I341" s="128"/>
      <c r="J341" s="980"/>
      <c r="K341" s="143"/>
      <c r="L341" s="143"/>
      <c r="M341" s="129"/>
      <c r="N341" s="144"/>
      <c r="O341" s="144"/>
      <c r="P341" s="144"/>
      <c r="Q341" s="143"/>
      <c r="R341" s="353" t="str">
        <f t="shared" si="142"/>
        <v/>
      </c>
      <c r="S341" s="129" t="str">
        <f t="shared" si="132"/>
        <v/>
      </c>
      <c r="T341" s="1226" t="str">
        <f t="shared" si="147"/>
        <v/>
      </c>
      <c r="U341" s="1226" t="str">
        <f t="shared" si="148"/>
        <v/>
      </c>
      <c r="V341" s="353" t="str">
        <f t="shared" si="141"/>
        <v/>
      </c>
      <c r="W341" s="129">
        <v>0</v>
      </c>
      <c r="X341" s="129">
        <v>0</v>
      </c>
      <c r="Y341" s="129" t="str">
        <f t="shared" si="133"/>
        <v/>
      </c>
      <c r="Z341" s="129" t="str">
        <f t="shared" si="134"/>
        <v/>
      </c>
      <c r="AA341" s="145"/>
      <c r="BA341" s="78"/>
      <c r="BB341" s="132" t="s">
        <v>2580</v>
      </c>
      <c r="BC341" s="133"/>
      <c r="BD341" s="132" t="str">
        <f>IF(OR(B341="",BC341=""),"",COUNTIF(BC$8:BC341,"√"))</f>
        <v/>
      </c>
      <c r="BE341" s="134" t="str">
        <f t="shared" si="153"/>
        <v/>
      </c>
      <c r="BF341" s="135" t="str">
        <f t="shared" si="123"/>
        <v/>
      </c>
      <c r="BG341" s="135" t="str">
        <f t="shared" si="123"/>
        <v/>
      </c>
      <c r="BH341" s="136"/>
      <c r="BI341" s="136"/>
      <c r="BJ341" s="136"/>
      <c r="BK341" s="136"/>
      <c r="BL341" s="137"/>
      <c r="BM341" s="137"/>
      <c r="BP341" s="134" t="str">
        <f>IF(COUNTIF(BP$7:BP340,B341)&gt;0,"",B341)&amp;""</f>
        <v/>
      </c>
      <c r="BQ341" s="138">
        <f t="shared" si="154"/>
        <v>0</v>
      </c>
      <c r="BR341" s="132">
        <f t="shared" si="155"/>
        <v>1</v>
      </c>
      <c r="BS341" s="138">
        <f t="shared" si="156"/>
        <v>0</v>
      </c>
      <c r="BT341" s="132">
        <f t="shared" si="157"/>
        <v>2</v>
      </c>
      <c r="BU341" s="133"/>
      <c r="BV341" s="133"/>
      <c r="BX341" s="1256">
        <v>43100</v>
      </c>
      <c r="BY341" s="165">
        <f>IFERROR(LOOKUP(BX341,基础数据!A:D),1)</f>
        <v>3.53915880885741</v>
      </c>
      <c r="BZ341" s="165">
        <f t="shared" si="125"/>
        <v>1.00524445538375</v>
      </c>
      <c r="CA341" s="165" t="e">
        <f t="shared" si="151"/>
        <v>#VALUE!</v>
      </c>
      <c r="CB341" s="165">
        <v>97</v>
      </c>
      <c r="CC341" s="165" t="e">
        <f t="shared" si="152"/>
        <v>#VALUE!</v>
      </c>
      <c r="CD341" s="1257" t="s">
        <v>2236</v>
      </c>
    </row>
    <row r="342" ht="15" customHeight="1" spans="1:82">
      <c r="A342" s="123" t="str">
        <f>IF(B342="","",COUNT(A$7:A341)+1)</f>
        <v/>
      </c>
      <c r="B342" s="139"/>
      <c r="C342" s="139"/>
      <c r="D342" s="141"/>
      <c r="E342" s="126"/>
      <c r="F342" s="142"/>
      <c r="G342" s="127"/>
      <c r="H342" s="128"/>
      <c r="I342" s="128"/>
      <c r="J342" s="980"/>
      <c r="K342" s="143"/>
      <c r="L342" s="143"/>
      <c r="M342" s="129"/>
      <c r="N342" s="144"/>
      <c r="O342" s="144"/>
      <c r="P342" s="144"/>
      <c r="Q342" s="143"/>
      <c r="R342" s="353" t="str">
        <f t="shared" si="142"/>
        <v/>
      </c>
      <c r="S342" s="129" t="str">
        <f t="shared" si="132"/>
        <v/>
      </c>
      <c r="T342" s="1226" t="str">
        <f t="shared" si="147"/>
        <v/>
      </c>
      <c r="U342" s="1226" t="str">
        <f t="shared" si="148"/>
        <v/>
      </c>
      <c r="V342" s="353" t="str">
        <f t="shared" si="141"/>
        <v/>
      </c>
      <c r="W342" s="129">
        <v>0</v>
      </c>
      <c r="X342" s="129">
        <v>0</v>
      </c>
      <c r="Y342" s="129" t="str">
        <f t="shared" si="133"/>
        <v/>
      </c>
      <c r="Z342" s="129" t="str">
        <f t="shared" si="134"/>
        <v/>
      </c>
      <c r="AA342" s="145"/>
      <c r="BA342" s="78"/>
      <c r="BB342" s="132" t="s">
        <v>2581</v>
      </c>
      <c r="BC342" s="133"/>
      <c r="BD342" s="132" t="str">
        <f>IF(OR(B342="",BC342=""),"",COUNTIF(BC$8:BC342,"√"))</f>
        <v/>
      </c>
      <c r="BE342" s="134" t="str">
        <f t="shared" si="153"/>
        <v/>
      </c>
      <c r="BF342" s="135" t="str">
        <f t="shared" si="123"/>
        <v/>
      </c>
      <c r="BG342" s="135" t="str">
        <f t="shared" si="123"/>
        <v/>
      </c>
      <c r="BH342" s="136"/>
      <c r="BI342" s="136"/>
      <c r="BJ342" s="136"/>
      <c r="BK342" s="136"/>
      <c r="BL342" s="137"/>
      <c r="BM342" s="137"/>
      <c r="BP342" s="134" t="str">
        <f>IF(COUNTIF(BP$7:BP341,B342)&gt;0,"",B342)&amp;""</f>
        <v/>
      </c>
      <c r="BQ342" s="138">
        <f t="shared" si="154"/>
        <v>0</v>
      </c>
      <c r="BR342" s="132">
        <f t="shared" si="155"/>
        <v>1</v>
      </c>
      <c r="BS342" s="138">
        <f t="shared" si="156"/>
        <v>0</v>
      </c>
      <c r="BT342" s="132">
        <f t="shared" si="157"/>
        <v>2</v>
      </c>
      <c r="BU342" s="133"/>
      <c r="BV342" s="133"/>
      <c r="BX342" s="1256">
        <v>43100</v>
      </c>
      <c r="BY342" s="165">
        <f>IFERROR(LOOKUP(BX342,基础数据!A:D),1)</f>
        <v>3.53915880885741</v>
      </c>
      <c r="BZ342" s="165">
        <f t="shared" si="125"/>
        <v>1.00524445538375</v>
      </c>
      <c r="CA342" s="165" t="e">
        <f t="shared" si="151"/>
        <v>#VALUE!</v>
      </c>
      <c r="CB342" s="165">
        <v>97</v>
      </c>
      <c r="CC342" s="165" t="e">
        <f t="shared" si="152"/>
        <v>#VALUE!</v>
      </c>
      <c r="CD342" s="1257" t="s">
        <v>2236</v>
      </c>
    </row>
    <row r="343" ht="15" customHeight="1" spans="1:82">
      <c r="A343" s="123" t="str">
        <f>IF(B343="","",COUNT(A$7:A342)+1)</f>
        <v/>
      </c>
      <c r="B343" s="139"/>
      <c r="C343" s="139"/>
      <c r="D343" s="141"/>
      <c r="E343" s="126"/>
      <c r="F343" s="142"/>
      <c r="G343" s="127"/>
      <c r="H343" s="128"/>
      <c r="I343" s="128"/>
      <c r="J343" s="980"/>
      <c r="K343" s="143"/>
      <c r="L343" s="143"/>
      <c r="M343" s="129"/>
      <c r="N343" s="144"/>
      <c r="O343" s="144"/>
      <c r="P343" s="144"/>
      <c r="Q343" s="143"/>
      <c r="R343" s="353" t="str">
        <f t="shared" si="142"/>
        <v/>
      </c>
      <c r="S343" s="129" t="str">
        <f t="shared" si="132"/>
        <v/>
      </c>
      <c r="T343" s="1226" t="str">
        <f t="shared" si="147"/>
        <v/>
      </c>
      <c r="U343" s="1226" t="str">
        <f t="shared" si="148"/>
        <v/>
      </c>
      <c r="V343" s="353" t="str">
        <f t="shared" si="141"/>
        <v/>
      </c>
      <c r="W343" s="129">
        <v>0</v>
      </c>
      <c r="X343" s="129">
        <v>0</v>
      </c>
      <c r="Y343" s="129" t="str">
        <f t="shared" si="133"/>
        <v/>
      </c>
      <c r="Z343" s="129" t="str">
        <f t="shared" si="134"/>
        <v/>
      </c>
      <c r="AA343" s="145"/>
      <c r="BA343" s="78"/>
      <c r="BB343" s="132" t="s">
        <v>2582</v>
      </c>
      <c r="BC343" s="133"/>
      <c r="BD343" s="132" t="str">
        <f>IF(OR(B343="",BC343=""),"",COUNTIF(BC$8:BC343,"√"))</f>
        <v/>
      </c>
      <c r="BE343" s="134" t="str">
        <f t="shared" si="153"/>
        <v/>
      </c>
      <c r="BF343" s="135" t="str">
        <f t="shared" si="123"/>
        <v/>
      </c>
      <c r="BG343" s="135" t="str">
        <f t="shared" si="123"/>
        <v/>
      </c>
      <c r="BH343" s="136"/>
      <c r="BI343" s="136"/>
      <c r="BJ343" s="136"/>
      <c r="BK343" s="136"/>
      <c r="BL343" s="137"/>
      <c r="BM343" s="137"/>
      <c r="BP343" s="134" t="str">
        <f>IF(COUNTIF(BP$7:BP342,B343)&gt;0,"",B343)&amp;""</f>
        <v/>
      </c>
      <c r="BQ343" s="138">
        <f t="shared" si="154"/>
        <v>0</v>
      </c>
      <c r="BR343" s="132">
        <f t="shared" si="155"/>
        <v>1</v>
      </c>
      <c r="BS343" s="138">
        <f t="shared" si="156"/>
        <v>0</v>
      </c>
      <c r="BT343" s="132">
        <f t="shared" si="157"/>
        <v>2</v>
      </c>
      <c r="BU343" s="133"/>
      <c r="BV343" s="133"/>
      <c r="BX343" s="1256">
        <v>43100</v>
      </c>
      <c r="BY343" s="165">
        <f>IFERROR(LOOKUP(BX343,基础数据!A:D),1)</f>
        <v>3.53915880885741</v>
      </c>
      <c r="BZ343" s="165">
        <f t="shared" si="125"/>
        <v>1.00524445538375</v>
      </c>
      <c r="CA343" s="165" t="e">
        <f t="shared" si="127"/>
        <v>#VALUE!</v>
      </c>
      <c r="CB343" s="165">
        <v>97</v>
      </c>
      <c r="CC343" s="165" t="e">
        <f t="shared" si="128"/>
        <v>#VALUE!</v>
      </c>
      <c r="CD343" s="1257" t="s">
        <v>2236</v>
      </c>
    </row>
    <row r="344" ht="15" customHeight="1" spans="1:82">
      <c r="A344" s="123" t="str">
        <f>IF(B344="","",COUNT(A$7:A343)+1)</f>
        <v/>
      </c>
      <c r="B344" s="139"/>
      <c r="C344" s="139"/>
      <c r="D344" s="141"/>
      <c r="E344" s="126"/>
      <c r="F344" s="142"/>
      <c r="G344" s="127"/>
      <c r="H344" s="128"/>
      <c r="I344" s="128"/>
      <c r="J344" s="980"/>
      <c r="K344" s="143"/>
      <c r="L344" s="143"/>
      <c r="M344" s="129"/>
      <c r="N344" s="144"/>
      <c r="O344" s="144"/>
      <c r="P344" s="144"/>
      <c r="Q344" s="143"/>
      <c r="R344" s="353" t="str">
        <f t="shared" si="142"/>
        <v/>
      </c>
      <c r="S344" s="129" t="str">
        <f t="shared" si="132"/>
        <v/>
      </c>
      <c r="T344" s="1226" t="str">
        <f t="shared" si="147"/>
        <v/>
      </c>
      <c r="U344" s="1226" t="str">
        <f t="shared" si="148"/>
        <v/>
      </c>
      <c r="V344" s="353" t="str">
        <f t="shared" si="141"/>
        <v/>
      </c>
      <c r="W344" s="129">
        <v>0</v>
      </c>
      <c r="X344" s="129">
        <v>0</v>
      </c>
      <c r="Y344" s="129" t="str">
        <f t="shared" si="133"/>
        <v/>
      </c>
      <c r="Z344" s="129" t="str">
        <f t="shared" si="134"/>
        <v/>
      </c>
      <c r="AA344" s="145"/>
      <c r="BA344" s="78"/>
      <c r="BB344" s="132" t="s">
        <v>2583</v>
      </c>
      <c r="BC344" s="133"/>
      <c r="BD344" s="132" t="str">
        <f>IF(OR(B344="",BC344=""),"",COUNTIF(BC$8:BC344,"√"))</f>
        <v/>
      </c>
      <c r="BE344" s="134" t="str">
        <f t="shared" si="153"/>
        <v/>
      </c>
      <c r="BF344" s="135" t="str">
        <f t="shared" si="123"/>
        <v/>
      </c>
      <c r="BG344" s="135" t="str">
        <f t="shared" si="123"/>
        <v/>
      </c>
      <c r="BH344" s="136"/>
      <c r="BI344" s="136"/>
      <c r="BJ344" s="136"/>
      <c r="BK344" s="136"/>
      <c r="BL344" s="137"/>
      <c r="BM344" s="137"/>
      <c r="BP344" s="134" t="str">
        <f>IF(COUNTIF(BP$7:BP343,B344)&gt;0,"",B344)&amp;""</f>
        <v/>
      </c>
      <c r="BQ344" s="138">
        <f t="shared" si="154"/>
        <v>0</v>
      </c>
      <c r="BR344" s="132">
        <f t="shared" si="155"/>
        <v>1</v>
      </c>
      <c r="BS344" s="138">
        <f t="shared" si="156"/>
        <v>0</v>
      </c>
      <c r="BT344" s="132">
        <f t="shared" si="157"/>
        <v>2</v>
      </c>
      <c r="BU344" s="133"/>
      <c r="BV344" s="133"/>
      <c r="BX344" s="1256">
        <v>43100</v>
      </c>
      <c r="BY344" s="165">
        <f>IFERROR(LOOKUP(BX344,基础数据!A:D),1)</f>
        <v>3.53915880885741</v>
      </c>
      <c r="BZ344" s="165">
        <f t="shared" si="125"/>
        <v>1.00524445538375</v>
      </c>
      <c r="CA344" s="165" t="e">
        <f>ROUND(S344*BZ344,1)</f>
        <v>#VALUE!</v>
      </c>
      <c r="CB344" s="165">
        <f t="shared" ref="CB344:CB345" si="158">CO$2</f>
        <v>95</v>
      </c>
      <c r="CC344" s="165" t="e">
        <f>ROUND(CB344*CA344/100,1)</f>
        <v>#VALUE!</v>
      </c>
      <c r="CD344" s="1260" t="s">
        <v>2236</v>
      </c>
    </row>
    <row r="345" ht="15" customHeight="1" spans="1:82">
      <c r="A345" s="123" t="str">
        <f>IF(B345="","",COUNT(A$7:A344)+1)</f>
        <v/>
      </c>
      <c r="B345" s="139"/>
      <c r="C345" s="139"/>
      <c r="D345" s="141"/>
      <c r="E345" s="126"/>
      <c r="F345" s="142"/>
      <c r="G345" s="127"/>
      <c r="H345" s="128"/>
      <c r="I345" s="128"/>
      <c r="J345" s="980"/>
      <c r="K345" s="143"/>
      <c r="L345" s="143"/>
      <c r="M345" s="129"/>
      <c r="N345" s="144"/>
      <c r="O345" s="144"/>
      <c r="P345" s="144"/>
      <c r="Q345" s="143"/>
      <c r="R345" s="353" t="str">
        <f t="shared" si="142"/>
        <v/>
      </c>
      <c r="S345" s="129" t="str">
        <f t="shared" si="132"/>
        <v/>
      </c>
      <c r="T345" s="1226" t="str">
        <f t="shared" si="147"/>
        <v/>
      </c>
      <c r="U345" s="1226" t="str">
        <f t="shared" si="148"/>
        <v/>
      </c>
      <c r="V345" s="353" t="str">
        <f t="shared" si="141"/>
        <v/>
      </c>
      <c r="W345" s="129">
        <v>0</v>
      </c>
      <c r="X345" s="129">
        <v>0</v>
      </c>
      <c r="Y345" s="129" t="str">
        <f t="shared" si="133"/>
        <v/>
      </c>
      <c r="Z345" s="129" t="str">
        <f t="shared" si="134"/>
        <v/>
      </c>
      <c r="AA345" s="145"/>
      <c r="BA345" s="78"/>
      <c r="BB345" s="132" t="s">
        <v>2584</v>
      </c>
      <c r="BC345" s="133"/>
      <c r="BD345" s="132" t="str">
        <f>IF(OR(B345="",BC345=""),"",COUNTIF(BC$8:BC345,"√"))</f>
        <v/>
      </c>
      <c r="BE345" s="134" t="str">
        <f t="shared" si="153"/>
        <v/>
      </c>
      <c r="BF345" s="135" t="str">
        <f t="shared" ref="BF345:BG396" si="159">IF($B345="","",IF(BF$5=0,"OK","出错"))</f>
        <v/>
      </c>
      <c r="BG345" s="135" t="str">
        <f t="shared" si="159"/>
        <v/>
      </c>
      <c r="BH345" s="136"/>
      <c r="BI345" s="136"/>
      <c r="BJ345" s="136"/>
      <c r="BK345" s="136"/>
      <c r="BL345" s="137"/>
      <c r="BM345" s="137"/>
      <c r="BP345" s="134" t="str">
        <f>IF(COUNTIF(BP$7:BP344,B345)&gt;0,"",B345)&amp;""</f>
        <v/>
      </c>
      <c r="BQ345" s="138">
        <f t="shared" si="154"/>
        <v>0</v>
      </c>
      <c r="BR345" s="132">
        <f t="shared" si="155"/>
        <v>1</v>
      </c>
      <c r="BS345" s="138">
        <f t="shared" si="156"/>
        <v>0</v>
      </c>
      <c r="BT345" s="132">
        <f t="shared" si="157"/>
        <v>2</v>
      </c>
      <c r="BU345" s="133"/>
      <c r="BV345" s="133"/>
      <c r="BX345" s="1256">
        <v>43100</v>
      </c>
      <c r="BY345" s="165">
        <f>IFERROR(LOOKUP(BX345,基础数据!A:D),1)</f>
        <v>3.53915880885741</v>
      </c>
      <c r="BZ345" s="165">
        <f t="shared" si="125"/>
        <v>1.00524445538375</v>
      </c>
      <c r="CA345" s="165" t="e">
        <f t="shared" si="127"/>
        <v>#VALUE!</v>
      </c>
      <c r="CB345" s="165">
        <f t="shared" si="158"/>
        <v>95</v>
      </c>
      <c r="CC345" s="165" t="e">
        <f t="shared" si="128"/>
        <v>#VALUE!</v>
      </c>
      <c r="CD345" s="1260" t="s">
        <v>2236</v>
      </c>
    </row>
    <row r="346" ht="15" customHeight="1" spans="1:82">
      <c r="A346" s="123" t="str">
        <f>IF(B346="","",COUNT(A$7:A345)+1)</f>
        <v/>
      </c>
      <c r="B346" s="139"/>
      <c r="C346" s="139"/>
      <c r="D346" s="141"/>
      <c r="E346" s="126"/>
      <c r="F346" s="142"/>
      <c r="G346" s="127"/>
      <c r="H346" s="128"/>
      <c r="I346" s="128"/>
      <c r="J346" s="980"/>
      <c r="K346" s="143"/>
      <c r="L346" s="143"/>
      <c r="M346" s="129"/>
      <c r="N346" s="144"/>
      <c r="O346" s="144"/>
      <c r="P346" s="144"/>
      <c r="Q346" s="143"/>
      <c r="R346" s="353" t="str">
        <f t="shared" si="142"/>
        <v/>
      </c>
      <c r="S346" s="129" t="str">
        <f t="shared" si="132"/>
        <v/>
      </c>
      <c r="T346" s="1226" t="str">
        <f t="shared" si="147"/>
        <v/>
      </c>
      <c r="U346" s="1226" t="str">
        <f t="shared" si="148"/>
        <v/>
      </c>
      <c r="V346" s="353" t="str">
        <f t="shared" si="141"/>
        <v/>
      </c>
      <c r="W346" s="129">
        <v>0</v>
      </c>
      <c r="X346" s="129">
        <v>0</v>
      </c>
      <c r="Y346" s="129" t="str">
        <f t="shared" si="133"/>
        <v/>
      </c>
      <c r="Z346" s="129" t="str">
        <f t="shared" si="134"/>
        <v/>
      </c>
      <c r="AA346" s="145"/>
      <c r="BA346" s="78"/>
      <c r="BB346" s="132" t="s">
        <v>2585</v>
      </c>
      <c r="BC346" s="133"/>
      <c r="BD346" s="132" t="str">
        <f>IF(OR(B346="",BC346=""),"",COUNTIF(BC$8:BC346,"√"))</f>
        <v/>
      </c>
      <c r="BE346" s="134" t="str">
        <f t="shared" si="153"/>
        <v/>
      </c>
      <c r="BF346" s="135" t="str">
        <f t="shared" si="159"/>
        <v/>
      </c>
      <c r="BG346" s="135" t="str">
        <f t="shared" si="159"/>
        <v/>
      </c>
      <c r="BH346" s="136"/>
      <c r="BI346" s="136"/>
      <c r="BJ346" s="136"/>
      <c r="BK346" s="136"/>
      <c r="BL346" s="137"/>
      <c r="BM346" s="137"/>
      <c r="BP346" s="134" t="str">
        <f>IF(COUNTIF(BP$7:BP345,B346)&gt;0,"",B346)&amp;""</f>
        <v/>
      </c>
      <c r="BQ346" s="138">
        <f t="shared" si="154"/>
        <v>0</v>
      </c>
      <c r="BR346" s="132">
        <f t="shared" si="155"/>
        <v>1</v>
      </c>
      <c r="BS346" s="138">
        <f t="shared" si="156"/>
        <v>0</v>
      </c>
      <c r="BT346" s="132">
        <f t="shared" si="157"/>
        <v>2</v>
      </c>
      <c r="BU346" s="133"/>
      <c r="BV346" s="133"/>
      <c r="BX346" s="1256">
        <v>43100</v>
      </c>
      <c r="BY346" s="165">
        <f>IFERROR(LOOKUP(BX346,基础数据!A:D),1)</f>
        <v>3.53915880885741</v>
      </c>
      <c r="BZ346" s="165">
        <f t="shared" si="125"/>
        <v>1.00524445538375</v>
      </c>
      <c r="CA346" s="165" t="e">
        <f t="shared" ref="CA346:CA347" si="160">ROUND(S346*BZ346,1)</f>
        <v>#VALUE!</v>
      </c>
      <c r="CB346" s="165">
        <v>97</v>
      </c>
      <c r="CC346" s="165" t="e">
        <f t="shared" ref="CC346:CC347" si="161">ROUND(CB346*CA346/100,1)</f>
        <v>#VALUE!</v>
      </c>
      <c r="CD346" s="1257" t="s">
        <v>2236</v>
      </c>
    </row>
    <row r="347" ht="15" customHeight="1" spans="1:82">
      <c r="A347" s="123" t="str">
        <f>IF(B347="","",COUNT(A$7:A346)+1)</f>
        <v/>
      </c>
      <c r="B347" s="139"/>
      <c r="C347" s="139"/>
      <c r="D347" s="141"/>
      <c r="E347" s="126"/>
      <c r="F347" s="142"/>
      <c r="G347" s="127"/>
      <c r="H347" s="128"/>
      <c r="I347" s="128"/>
      <c r="J347" s="980"/>
      <c r="K347" s="143"/>
      <c r="L347" s="143"/>
      <c r="M347" s="129"/>
      <c r="N347" s="144"/>
      <c r="O347" s="144"/>
      <c r="P347" s="144"/>
      <c r="Q347" s="143"/>
      <c r="R347" s="353" t="str">
        <f t="shared" si="142"/>
        <v/>
      </c>
      <c r="S347" s="129" t="str">
        <f t="shared" si="132"/>
        <v/>
      </c>
      <c r="T347" s="1226" t="str">
        <f t="shared" si="147"/>
        <v/>
      </c>
      <c r="U347" s="1226" t="str">
        <f t="shared" si="148"/>
        <v/>
      </c>
      <c r="V347" s="353" t="str">
        <f t="shared" si="141"/>
        <v/>
      </c>
      <c r="W347" s="129">
        <v>0</v>
      </c>
      <c r="X347" s="129">
        <v>0</v>
      </c>
      <c r="Y347" s="129" t="str">
        <f t="shared" si="133"/>
        <v/>
      </c>
      <c r="Z347" s="129" t="str">
        <f t="shared" si="134"/>
        <v/>
      </c>
      <c r="AA347" s="145"/>
      <c r="BA347" s="78"/>
      <c r="BB347" s="132" t="s">
        <v>2586</v>
      </c>
      <c r="BC347" s="133"/>
      <c r="BD347" s="132" t="str">
        <f>IF(OR(B347="",BC347=""),"",COUNTIF(BC$8:BC347,"√"))</f>
        <v/>
      </c>
      <c r="BE347" s="134" t="str">
        <f t="shared" si="153"/>
        <v/>
      </c>
      <c r="BF347" s="135" t="str">
        <f t="shared" si="159"/>
        <v/>
      </c>
      <c r="BG347" s="135" t="str">
        <f t="shared" si="159"/>
        <v/>
      </c>
      <c r="BH347" s="136"/>
      <c r="BI347" s="136"/>
      <c r="BJ347" s="136"/>
      <c r="BK347" s="136"/>
      <c r="BL347" s="137"/>
      <c r="BM347" s="137"/>
      <c r="BP347" s="134" t="str">
        <f>IF(COUNTIF(BP$7:BP346,B347)&gt;0,"",B347)&amp;""</f>
        <v/>
      </c>
      <c r="BQ347" s="138">
        <f t="shared" si="154"/>
        <v>0</v>
      </c>
      <c r="BR347" s="132">
        <f t="shared" si="155"/>
        <v>1</v>
      </c>
      <c r="BS347" s="138">
        <f t="shared" si="156"/>
        <v>0</v>
      </c>
      <c r="BT347" s="132">
        <f t="shared" si="157"/>
        <v>2</v>
      </c>
      <c r="BU347" s="133"/>
      <c r="BV347" s="133"/>
      <c r="BX347" s="1256">
        <v>43100</v>
      </c>
      <c r="BY347" s="165">
        <f>IFERROR(LOOKUP(BX347,基础数据!A:D),1)</f>
        <v>3.53915880885741</v>
      </c>
      <c r="BZ347" s="165">
        <f t="shared" si="125"/>
        <v>1.00524445538375</v>
      </c>
      <c r="CA347" s="165" t="e">
        <f t="shared" si="160"/>
        <v>#VALUE!</v>
      </c>
      <c r="CB347" s="165">
        <f>CO$2</f>
        <v>95</v>
      </c>
      <c r="CC347" s="165" t="e">
        <f t="shared" si="161"/>
        <v>#VALUE!</v>
      </c>
      <c r="CD347" s="1260" t="s">
        <v>2236</v>
      </c>
    </row>
    <row r="348" ht="15" customHeight="1" spans="1:82">
      <c r="A348" s="123" t="str">
        <f>IF(B348="","",COUNT(A$7:A347)+1)</f>
        <v/>
      </c>
      <c r="B348" s="139"/>
      <c r="C348" s="139"/>
      <c r="D348" s="141"/>
      <c r="E348" s="126"/>
      <c r="F348" s="142"/>
      <c r="G348" s="127"/>
      <c r="H348" s="128"/>
      <c r="I348" s="128"/>
      <c r="J348" s="980"/>
      <c r="K348" s="143"/>
      <c r="L348" s="143"/>
      <c r="M348" s="129"/>
      <c r="N348" s="144"/>
      <c r="O348" s="144"/>
      <c r="P348" s="144"/>
      <c r="Q348" s="143"/>
      <c r="R348" s="353" t="str">
        <f t="shared" si="142"/>
        <v/>
      </c>
      <c r="S348" s="129" t="str">
        <f t="shared" si="132"/>
        <v/>
      </c>
      <c r="T348" s="1226" t="str">
        <f t="shared" si="147"/>
        <v/>
      </c>
      <c r="U348" s="1226" t="str">
        <f t="shared" si="148"/>
        <v/>
      </c>
      <c r="V348" s="353" t="str">
        <f t="shared" si="141"/>
        <v/>
      </c>
      <c r="W348" s="129">
        <v>0</v>
      </c>
      <c r="X348" s="129">
        <v>0</v>
      </c>
      <c r="Y348" s="129" t="str">
        <f t="shared" si="133"/>
        <v/>
      </c>
      <c r="Z348" s="129" t="str">
        <f t="shared" si="134"/>
        <v/>
      </c>
      <c r="AA348" s="145"/>
      <c r="BA348" s="78"/>
      <c r="BB348" s="132" t="s">
        <v>2587</v>
      </c>
      <c r="BC348" s="133"/>
      <c r="BD348" s="132" t="str">
        <f>IF(OR(B348="",BC348=""),"",COUNTIF(BC$8:BC348,"√"))</f>
        <v/>
      </c>
      <c r="BE348" s="134" t="str">
        <f t="shared" si="153"/>
        <v/>
      </c>
      <c r="BF348" s="135" t="str">
        <f t="shared" si="159"/>
        <v/>
      </c>
      <c r="BG348" s="135" t="str">
        <f t="shared" si="159"/>
        <v/>
      </c>
      <c r="BH348" s="136"/>
      <c r="BI348" s="136"/>
      <c r="BJ348" s="136"/>
      <c r="BK348" s="136"/>
      <c r="BL348" s="137"/>
      <c r="BM348" s="137"/>
      <c r="BP348" s="134" t="str">
        <f>IF(COUNTIF(BP$7:BP347,B348)&gt;0,"",B348)&amp;""</f>
        <v/>
      </c>
      <c r="BQ348" s="138">
        <f t="shared" si="154"/>
        <v>0</v>
      </c>
      <c r="BR348" s="132">
        <f t="shared" si="155"/>
        <v>1</v>
      </c>
      <c r="BS348" s="138">
        <f t="shared" si="156"/>
        <v>0</v>
      </c>
      <c r="BT348" s="132">
        <f t="shared" si="157"/>
        <v>2</v>
      </c>
      <c r="BU348" s="133"/>
      <c r="BV348" s="133"/>
      <c r="BX348" s="1256">
        <v>43100</v>
      </c>
      <c r="BY348" s="165">
        <f>IFERROR(LOOKUP(BX348,基础数据!A:D),1)</f>
        <v>3.53915880885741</v>
      </c>
      <c r="BZ348" s="165">
        <f t="shared" si="125"/>
        <v>1.00524445538375</v>
      </c>
      <c r="CA348" s="165" t="e">
        <f t="shared" si="127"/>
        <v>#VALUE!</v>
      </c>
      <c r="CB348" s="165">
        <v>97</v>
      </c>
      <c r="CC348" s="165" t="e">
        <f t="shared" si="128"/>
        <v>#VALUE!</v>
      </c>
      <c r="CD348" s="1257" t="s">
        <v>2236</v>
      </c>
    </row>
    <row r="349" ht="15" customHeight="1" spans="1:82">
      <c r="A349" s="123" t="str">
        <f>IF(B349="","",COUNT(A$7:A348)+1)</f>
        <v/>
      </c>
      <c r="B349" s="139"/>
      <c r="C349" s="139"/>
      <c r="D349" s="141"/>
      <c r="E349" s="126"/>
      <c r="F349" s="142"/>
      <c r="G349" s="127"/>
      <c r="H349" s="128"/>
      <c r="I349" s="128"/>
      <c r="J349" s="980"/>
      <c r="K349" s="143"/>
      <c r="L349" s="143"/>
      <c r="M349" s="129"/>
      <c r="N349" s="144"/>
      <c r="O349" s="144"/>
      <c r="P349" s="144"/>
      <c r="Q349" s="143"/>
      <c r="R349" s="353" t="str">
        <f t="shared" si="142"/>
        <v/>
      </c>
      <c r="S349" s="129" t="str">
        <f t="shared" si="132"/>
        <v/>
      </c>
      <c r="T349" s="1226" t="str">
        <f t="shared" si="147"/>
        <v/>
      </c>
      <c r="U349" s="1226" t="str">
        <f t="shared" si="148"/>
        <v/>
      </c>
      <c r="V349" s="353" t="str">
        <f t="shared" si="141"/>
        <v/>
      </c>
      <c r="W349" s="129">
        <v>0</v>
      </c>
      <c r="X349" s="129">
        <v>0</v>
      </c>
      <c r="Y349" s="129" t="str">
        <f t="shared" si="133"/>
        <v/>
      </c>
      <c r="Z349" s="129" t="str">
        <f t="shared" si="134"/>
        <v/>
      </c>
      <c r="AA349" s="145"/>
      <c r="BA349" s="78"/>
      <c r="BB349" s="132" t="s">
        <v>2588</v>
      </c>
      <c r="BC349" s="133"/>
      <c r="BD349" s="132" t="str">
        <f>IF(OR(B349="",BC349=""),"",COUNTIF(BC$8:BC349,"√"))</f>
        <v/>
      </c>
      <c r="BE349" s="134" t="str">
        <f t="shared" si="153"/>
        <v/>
      </c>
      <c r="BF349" s="135" t="str">
        <f t="shared" si="159"/>
        <v/>
      </c>
      <c r="BG349" s="135" t="str">
        <f t="shared" si="159"/>
        <v/>
      </c>
      <c r="BH349" s="136"/>
      <c r="BI349" s="136"/>
      <c r="BJ349" s="136"/>
      <c r="BK349" s="136"/>
      <c r="BL349" s="137"/>
      <c r="BM349" s="137"/>
      <c r="BP349" s="134" t="str">
        <f>IF(COUNTIF(BP$7:BP348,B349)&gt;0,"",B349)&amp;""</f>
        <v/>
      </c>
      <c r="BQ349" s="138">
        <f t="shared" si="154"/>
        <v>0</v>
      </c>
      <c r="BR349" s="132">
        <f t="shared" si="155"/>
        <v>1</v>
      </c>
      <c r="BS349" s="138">
        <f t="shared" si="156"/>
        <v>0</v>
      </c>
      <c r="BT349" s="132">
        <f t="shared" si="157"/>
        <v>2</v>
      </c>
      <c r="BU349" s="133"/>
      <c r="BV349" s="133"/>
      <c r="BX349" s="1256">
        <v>43100</v>
      </c>
      <c r="BY349" s="165">
        <f>IFERROR(LOOKUP(BX349,基础数据!A:D),1)</f>
        <v>3.53915880885741</v>
      </c>
      <c r="BZ349" s="165">
        <f t="shared" ref="BZ349:BZ396" si="162">BY$5/BY349</f>
        <v>1.00524445538375</v>
      </c>
      <c r="CA349" s="165" t="e">
        <f t="shared" ref="CA349:CA394" si="163">ROUND(S349*BZ349,0)</f>
        <v>#VALUE!</v>
      </c>
      <c r="CB349" s="165">
        <f t="shared" ref="CB349:CB354" si="164">CO$3</f>
        <v>90</v>
      </c>
      <c r="CC349" s="165" t="e">
        <f t="shared" ref="CC349:CC394" si="165">ROUND(CB349*CA349/100,0)</f>
        <v>#VALUE!</v>
      </c>
      <c r="CD349" s="1257" t="s">
        <v>2237</v>
      </c>
    </row>
    <row r="350" ht="15" customHeight="1" spans="1:82">
      <c r="A350" s="123" t="str">
        <f>IF(B350="","",COUNT(A$7:A349)+1)</f>
        <v/>
      </c>
      <c r="B350" s="139"/>
      <c r="C350" s="139"/>
      <c r="D350" s="141"/>
      <c r="E350" s="126"/>
      <c r="F350" s="142"/>
      <c r="G350" s="127"/>
      <c r="H350" s="128"/>
      <c r="I350" s="128"/>
      <c r="J350" s="980"/>
      <c r="K350" s="143"/>
      <c r="L350" s="143"/>
      <c r="M350" s="129"/>
      <c r="N350" s="144"/>
      <c r="O350" s="144"/>
      <c r="P350" s="144"/>
      <c r="Q350" s="143"/>
      <c r="R350" s="353" t="str">
        <f t="shared" si="142"/>
        <v/>
      </c>
      <c r="S350" s="129" t="str">
        <f t="shared" si="132"/>
        <v/>
      </c>
      <c r="T350" s="1226" t="str">
        <f t="shared" si="147"/>
        <v/>
      </c>
      <c r="U350" s="1226" t="str">
        <f t="shared" si="148"/>
        <v/>
      </c>
      <c r="V350" s="353" t="str">
        <f t="shared" si="141"/>
        <v/>
      </c>
      <c r="W350" s="129">
        <v>0</v>
      </c>
      <c r="X350" s="129">
        <v>0</v>
      </c>
      <c r="Y350" s="129" t="str">
        <f t="shared" si="133"/>
        <v/>
      </c>
      <c r="Z350" s="129" t="str">
        <f t="shared" si="134"/>
        <v/>
      </c>
      <c r="AA350" s="145"/>
      <c r="BA350" s="78"/>
      <c r="BB350" s="132" t="s">
        <v>2589</v>
      </c>
      <c r="BC350" s="133"/>
      <c r="BD350" s="132" t="str">
        <f>IF(OR(B350="",BC350=""),"",COUNTIF(BC$8:BC350,"√"))</f>
        <v/>
      </c>
      <c r="BE350" s="134" t="str">
        <f t="shared" si="153"/>
        <v/>
      </c>
      <c r="BF350" s="135" t="str">
        <f t="shared" si="159"/>
        <v/>
      </c>
      <c r="BG350" s="135" t="str">
        <f t="shared" si="159"/>
        <v/>
      </c>
      <c r="BH350" s="136"/>
      <c r="BI350" s="136"/>
      <c r="BJ350" s="136"/>
      <c r="BK350" s="136"/>
      <c r="BL350" s="137"/>
      <c r="BM350" s="137"/>
      <c r="BP350" s="134" t="str">
        <f>IF(COUNTIF(BP$7:BP349,B350)&gt;0,"",B350)&amp;""</f>
        <v/>
      </c>
      <c r="BQ350" s="138">
        <f t="shared" si="154"/>
        <v>0</v>
      </c>
      <c r="BR350" s="132">
        <f t="shared" si="155"/>
        <v>1</v>
      </c>
      <c r="BS350" s="138">
        <f t="shared" si="156"/>
        <v>0</v>
      </c>
      <c r="BT350" s="132">
        <f t="shared" si="157"/>
        <v>2</v>
      </c>
      <c r="BU350" s="133"/>
      <c r="BV350" s="133"/>
      <c r="BX350" s="1256">
        <v>43100</v>
      </c>
      <c r="BY350" s="165">
        <f>IFERROR(LOOKUP(BX350,基础数据!A:D),1)</f>
        <v>3.53915880885741</v>
      </c>
      <c r="BZ350" s="165">
        <f t="shared" si="162"/>
        <v>1.00524445538375</v>
      </c>
      <c r="CA350" s="165" t="e">
        <f t="shared" si="163"/>
        <v>#VALUE!</v>
      </c>
      <c r="CB350" s="165">
        <f t="shared" si="164"/>
        <v>90</v>
      </c>
      <c r="CC350" s="165" t="e">
        <f t="shared" si="165"/>
        <v>#VALUE!</v>
      </c>
      <c r="CD350" s="1257" t="s">
        <v>2237</v>
      </c>
    </row>
    <row r="351" ht="15" customHeight="1" spans="1:82">
      <c r="A351" s="123" t="str">
        <f>IF(B351="","",COUNT(A$7:A350)+1)</f>
        <v/>
      </c>
      <c r="B351" s="139"/>
      <c r="C351" s="139"/>
      <c r="D351" s="141"/>
      <c r="E351" s="126"/>
      <c r="F351" s="142"/>
      <c r="G351" s="127"/>
      <c r="H351" s="128"/>
      <c r="I351" s="128"/>
      <c r="J351" s="980"/>
      <c r="K351" s="143"/>
      <c r="L351" s="143"/>
      <c r="M351" s="129"/>
      <c r="N351" s="144"/>
      <c r="O351" s="144"/>
      <c r="P351" s="144"/>
      <c r="Q351" s="143"/>
      <c r="R351" s="353" t="str">
        <f t="shared" si="142"/>
        <v/>
      </c>
      <c r="S351" s="129" t="str">
        <f t="shared" si="132"/>
        <v/>
      </c>
      <c r="T351" s="1226" t="str">
        <f t="shared" si="147"/>
        <v/>
      </c>
      <c r="U351" s="1226" t="str">
        <f t="shared" si="148"/>
        <v/>
      </c>
      <c r="V351" s="353" t="str">
        <f t="shared" si="141"/>
        <v/>
      </c>
      <c r="W351" s="129">
        <v>0</v>
      </c>
      <c r="X351" s="129">
        <v>0</v>
      </c>
      <c r="Y351" s="129" t="str">
        <f t="shared" si="133"/>
        <v/>
      </c>
      <c r="Z351" s="129" t="str">
        <f t="shared" si="134"/>
        <v/>
      </c>
      <c r="AA351" s="145"/>
      <c r="BA351" s="78"/>
      <c r="BB351" s="132" t="s">
        <v>2590</v>
      </c>
      <c r="BC351" s="133"/>
      <c r="BD351" s="132" t="str">
        <f>IF(OR(B351="",BC351=""),"",COUNTIF(BC$8:BC351,"√"))</f>
        <v/>
      </c>
      <c r="BE351" s="134" t="str">
        <f t="shared" si="153"/>
        <v/>
      </c>
      <c r="BF351" s="135" t="str">
        <f t="shared" si="159"/>
        <v/>
      </c>
      <c r="BG351" s="135" t="str">
        <f t="shared" si="159"/>
        <v/>
      </c>
      <c r="BH351" s="136"/>
      <c r="BI351" s="136"/>
      <c r="BJ351" s="136"/>
      <c r="BK351" s="136"/>
      <c r="BL351" s="137"/>
      <c r="BM351" s="137"/>
      <c r="BP351" s="134" t="str">
        <f>IF(COUNTIF(BP$7:BP350,B351)&gt;0,"",B351)&amp;""</f>
        <v/>
      </c>
      <c r="BQ351" s="138">
        <f t="shared" si="154"/>
        <v>0</v>
      </c>
      <c r="BR351" s="132">
        <f t="shared" si="155"/>
        <v>1</v>
      </c>
      <c r="BS351" s="138">
        <f t="shared" si="156"/>
        <v>0</v>
      </c>
      <c r="BT351" s="132">
        <f t="shared" si="157"/>
        <v>2</v>
      </c>
      <c r="BU351" s="133"/>
      <c r="BV351" s="133"/>
      <c r="BX351" s="1256">
        <v>43100</v>
      </c>
      <c r="BY351" s="165">
        <f>IFERROR(LOOKUP(BX351,基础数据!A:D),1)</f>
        <v>3.53915880885741</v>
      </c>
      <c r="BZ351" s="165">
        <f t="shared" si="162"/>
        <v>1.00524445538375</v>
      </c>
      <c r="CA351" s="165" t="e">
        <f t="shared" si="163"/>
        <v>#VALUE!</v>
      </c>
      <c r="CB351" s="165">
        <f t="shared" si="164"/>
        <v>90</v>
      </c>
      <c r="CC351" s="165" t="e">
        <f t="shared" si="165"/>
        <v>#VALUE!</v>
      </c>
      <c r="CD351" s="1257" t="s">
        <v>2237</v>
      </c>
    </row>
    <row r="352" ht="15" customHeight="1" spans="1:82">
      <c r="A352" s="123" t="str">
        <f>IF(B352="","",COUNT(A$7:A351)+1)</f>
        <v/>
      </c>
      <c r="B352" s="139"/>
      <c r="C352" s="139"/>
      <c r="D352" s="141"/>
      <c r="E352" s="126"/>
      <c r="F352" s="142"/>
      <c r="G352" s="127"/>
      <c r="H352" s="128"/>
      <c r="I352" s="128"/>
      <c r="J352" s="980"/>
      <c r="K352" s="143"/>
      <c r="L352" s="143"/>
      <c r="M352" s="129"/>
      <c r="N352" s="144"/>
      <c r="O352" s="144"/>
      <c r="P352" s="144"/>
      <c r="Q352" s="143"/>
      <c r="R352" s="353" t="str">
        <f t="shared" si="142"/>
        <v/>
      </c>
      <c r="S352" s="129" t="str">
        <f t="shared" si="132"/>
        <v/>
      </c>
      <c r="T352" s="1226" t="str">
        <f t="shared" si="147"/>
        <v/>
      </c>
      <c r="U352" s="1226" t="str">
        <f t="shared" si="148"/>
        <v/>
      </c>
      <c r="V352" s="353" t="str">
        <f t="shared" si="141"/>
        <v/>
      </c>
      <c r="W352" s="129">
        <v>0</v>
      </c>
      <c r="X352" s="129">
        <v>0</v>
      </c>
      <c r="Y352" s="129" t="str">
        <f t="shared" si="133"/>
        <v/>
      </c>
      <c r="Z352" s="129" t="str">
        <f t="shared" si="134"/>
        <v/>
      </c>
      <c r="AA352" s="145"/>
      <c r="BA352" s="78"/>
      <c r="BB352" s="132" t="s">
        <v>2591</v>
      </c>
      <c r="BC352" s="133"/>
      <c r="BD352" s="132" t="str">
        <f>IF(OR(B352="",BC352=""),"",COUNTIF(BC$8:BC352,"√"))</f>
        <v/>
      </c>
      <c r="BE352" s="134" t="str">
        <f t="shared" si="153"/>
        <v/>
      </c>
      <c r="BF352" s="135" t="str">
        <f t="shared" si="159"/>
        <v/>
      </c>
      <c r="BG352" s="135" t="str">
        <f t="shared" si="159"/>
        <v/>
      </c>
      <c r="BH352" s="136"/>
      <c r="BI352" s="136"/>
      <c r="BJ352" s="136"/>
      <c r="BK352" s="136"/>
      <c r="BL352" s="137"/>
      <c r="BM352" s="137"/>
      <c r="BP352" s="134" t="str">
        <f>IF(COUNTIF(BP$7:BP351,B352)&gt;0,"",B352)&amp;""</f>
        <v/>
      </c>
      <c r="BQ352" s="138">
        <f t="shared" si="154"/>
        <v>0</v>
      </c>
      <c r="BR352" s="132">
        <f t="shared" si="155"/>
        <v>1</v>
      </c>
      <c r="BS352" s="138">
        <f t="shared" si="156"/>
        <v>0</v>
      </c>
      <c r="BT352" s="132">
        <f t="shared" si="157"/>
        <v>2</v>
      </c>
      <c r="BU352" s="133"/>
      <c r="BV352" s="133"/>
      <c r="BX352" s="1256">
        <v>43100</v>
      </c>
      <c r="BY352" s="165">
        <f>IFERROR(LOOKUP(BX352,基础数据!A:D),1)</f>
        <v>3.53915880885741</v>
      </c>
      <c r="BZ352" s="165">
        <f t="shared" si="162"/>
        <v>1.00524445538375</v>
      </c>
      <c r="CA352" s="165" t="e">
        <f t="shared" si="163"/>
        <v>#VALUE!</v>
      </c>
      <c r="CB352" s="165">
        <v>50</v>
      </c>
      <c r="CC352" s="165" t="e">
        <f t="shared" si="165"/>
        <v>#VALUE!</v>
      </c>
      <c r="CD352" s="1257" t="s">
        <v>2237</v>
      </c>
    </row>
    <row r="353" ht="15" customHeight="1" spans="1:82">
      <c r="A353" s="123" t="str">
        <f>IF(B353="","",COUNT(A$7:A352)+1)</f>
        <v/>
      </c>
      <c r="B353" s="139"/>
      <c r="C353" s="139"/>
      <c r="D353" s="141"/>
      <c r="E353" s="126"/>
      <c r="F353" s="142"/>
      <c r="G353" s="127"/>
      <c r="H353" s="128"/>
      <c r="I353" s="128"/>
      <c r="J353" s="980"/>
      <c r="K353" s="143"/>
      <c r="L353" s="143"/>
      <c r="M353" s="129"/>
      <c r="N353" s="144"/>
      <c r="O353" s="144"/>
      <c r="P353" s="144"/>
      <c r="Q353" s="143"/>
      <c r="R353" s="353" t="str">
        <f t="shared" si="142"/>
        <v/>
      </c>
      <c r="S353" s="129" t="str">
        <f t="shared" si="132"/>
        <v/>
      </c>
      <c r="T353" s="1226" t="str">
        <f t="shared" si="147"/>
        <v/>
      </c>
      <c r="U353" s="1226" t="str">
        <f t="shared" si="148"/>
        <v/>
      </c>
      <c r="V353" s="353" t="str">
        <f t="shared" si="141"/>
        <v/>
      </c>
      <c r="W353" s="129">
        <v>0</v>
      </c>
      <c r="X353" s="129">
        <v>0</v>
      </c>
      <c r="Y353" s="129" t="str">
        <f t="shared" si="133"/>
        <v/>
      </c>
      <c r="Z353" s="129" t="str">
        <f t="shared" si="134"/>
        <v/>
      </c>
      <c r="AA353" s="145"/>
      <c r="BA353" s="78"/>
      <c r="BB353" s="132" t="s">
        <v>2592</v>
      </c>
      <c r="BC353" s="133"/>
      <c r="BD353" s="132" t="str">
        <f>IF(OR(B353="",BC353=""),"",COUNTIF(BC$8:BC353,"√"))</f>
        <v/>
      </c>
      <c r="BE353" s="134" t="str">
        <f t="shared" si="153"/>
        <v/>
      </c>
      <c r="BF353" s="135" t="str">
        <f t="shared" si="159"/>
        <v/>
      </c>
      <c r="BG353" s="135" t="str">
        <f t="shared" si="159"/>
        <v/>
      </c>
      <c r="BH353" s="136"/>
      <c r="BI353" s="136"/>
      <c r="BJ353" s="136"/>
      <c r="BK353" s="136"/>
      <c r="BL353" s="137"/>
      <c r="BM353" s="137"/>
      <c r="BP353" s="134" t="str">
        <f>IF(COUNTIF(BP$7:BP352,B353)&gt;0,"",B353)&amp;""</f>
        <v/>
      </c>
      <c r="BQ353" s="138">
        <f t="shared" si="154"/>
        <v>0</v>
      </c>
      <c r="BR353" s="132">
        <f t="shared" si="155"/>
        <v>1</v>
      </c>
      <c r="BS353" s="138">
        <f t="shared" si="156"/>
        <v>0</v>
      </c>
      <c r="BT353" s="132">
        <f t="shared" si="157"/>
        <v>2</v>
      </c>
      <c r="BU353" s="133"/>
      <c r="BV353" s="133"/>
      <c r="BX353" s="1256">
        <v>43100</v>
      </c>
      <c r="BY353" s="165">
        <f>IFERROR(LOOKUP(BX353,基础数据!A:D),1)</f>
        <v>3.53915880885741</v>
      </c>
      <c r="BZ353" s="165">
        <f t="shared" si="162"/>
        <v>1.00524445538375</v>
      </c>
      <c r="CA353" s="165" t="e">
        <f t="shared" si="163"/>
        <v>#VALUE!</v>
      </c>
      <c r="CB353" s="165">
        <f t="shared" si="164"/>
        <v>90</v>
      </c>
      <c r="CC353" s="165" t="e">
        <f t="shared" si="165"/>
        <v>#VALUE!</v>
      </c>
      <c r="CD353" s="1257" t="s">
        <v>2237</v>
      </c>
    </row>
    <row r="354" ht="15" customHeight="1" spans="1:82">
      <c r="A354" s="123" t="str">
        <f>IF(B354="","",COUNT(A$7:A353)+1)</f>
        <v/>
      </c>
      <c r="B354" s="139"/>
      <c r="C354" s="139"/>
      <c r="D354" s="141"/>
      <c r="E354" s="126"/>
      <c r="F354" s="142"/>
      <c r="G354" s="127"/>
      <c r="H354" s="128"/>
      <c r="I354" s="128"/>
      <c r="J354" s="980"/>
      <c r="K354" s="143"/>
      <c r="L354" s="143"/>
      <c r="M354" s="129"/>
      <c r="N354" s="144"/>
      <c r="O354" s="144"/>
      <c r="P354" s="144"/>
      <c r="Q354" s="143"/>
      <c r="R354" s="353" t="str">
        <f t="shared" si="142"/>
        <v/>
      </c>
      <c r="S354" s="129" t="str">
        <f t="shared" si="132"/>
        <v/>
      </c>
      <c r="T354" s="1226" t="str">
        <f t="shared" si="147"/>
        <v/>
      </c>
      <c r="U354" s="1226" t="str">
        <f t="shared" si="148"/>
        <v/>
      </c>
      <c r="V354" s="353" t="str">
        <f t="shared" si="141"/>
        <v/>
      </c>
      <c r="W354" s="129">
        <v>0</v>
      </c>
      <c r="X354" s="129">
        <v>0</v>
      </c>
      <c r="Y354" s="129" t="str">
        <f t="shared" si="133"/>
        <v/>
      </c>
      <c r="Z354" s="129" t="str">
        <f t="shared" si="134"/>
        <v/>
      </c>
      <c r="AA354" s="145"/>
      <c r="BA354" s="78"/>
      <c r="BB354" s="132" t="s">
        <v>2593</v>
      </c>
      <c r="BC354" s="133"/>
      <c r="BD354" s="132" t="str">
        <f>IF(OR(B354="",BC354=""),"",COUNTIF(BC$8:BC354,"√"))</f>
        <v/>
      </c>
      <c r="BE354" s="134" t="str">
        <f t="shared" si="153"/>
        <v/>
      </c>
      <c r="BF354" s="135" t="str">
        <f t="shared" si="159"/>
        <v/>
      </c>
      <c r="BG354" s="135" t="str">
        <f t="shared" si="159"/>
        <v/>
      </c>
      <c r="BH354" s="136"/>
      <c r="BI354" s="136"/>
      <c r="BJ354" s="136"/>
      <c r="BK354" s="136"/>
      <c r="BL354" s="137"/>
      <c r="BM354" s="137"/>
      <c r="BP354" s="134" t="str">
        <f>IF(COUNTIF(BP$7:BP353,B354)&gt;0,"",B354)&amp;""</f>
        <v/>
      </c>
      <c r="BQ354" s="138">
        <f t="shared" si="154"/>
        <v>0</v>
      </c>
      <c r="BR354" s="132">
        <f t="shared" si="155"/>
        <v>1</v>
      </c>
      <c r="BS354" s="138">
        <f t="shared" si="156"/>
        <v>0</v>
      </c>
      <c r="BT354" s="132">
        <f t="shared" si="157"/>
        <v>2</v>
      </c>
      <c r="BU354" s="133"/>
      <c r="BV354" s="133"/>
      <c r="BX354" s="1256">
        <v>43100</v>
      </c>
      <c r="BY354" s="165">
        <f>IFERROR(LOOKUP(BX354,基础数据!A:D),1)</f>
        <v>3.53915880885741</v>
      </c>
      <c r="BZ354" s="165">
        <f t="shared" si="162"/>
        <v>1.00524445538375</v>
      </c>
      <c r="CA354" s="165" t="e">
        <f t="shared" si="163"/>
        <v>#VALUE!</v>
      </c>
      <c r="CB354" s="165">
        <f t="shared" si="164"/>
        <v>90</v>
      </c>
      <c r="CC354" s="165" t="e">
        <f t="shared" si="165"/>
        <v>#VALUE!</v>
      </c>
      <c r="CD354" s="1257" t="s">
        <v>2237</v>
      </c>
    </row>
    <row r="355" ht="15" customHeight="1" spans="1:82">
      <c r="A355" s="123" t="str">
        <f>IF(B355="","",COUNT(A$7:A354)+1)</f>
        <v/>
      </c>
      <c r="B355" s="139"/>
      <c r="C355" s="139"/>
      <c r="D355" s="141"/>
      <c r="E355" s="126"/>
      <c r="F355" s="142"/>
      <c r="G355" s="127"/>
      <c r="H355" s="128"/>
      <c r="I355" s="128"/>
      <c r="J355" s="980"/>
      <c r="K355" s="143"/>
      <c r="L355" s="143"/>
      <c r="M355" s="129"/>
      <c r="N355" s="144"/>
      <c r="O355" s="144"/>
      <c r="P355" s="144"/>
      <c r="Q355" s="143"/>
      <c r="R355" s="353" t="str">
        <f t="shared" si="142"/>
        <v/>
      </c>
      <c r="S355" s="129" t="str">
        <f t="shared" si="132"/>
        <v/>
      </c>
      <c r="T355" s="1226" t="str">
        <f t="shared" si="147"/>
        <v/>
      </c>
      <c r="U355" s="1226" t="str">
        <f t="shared" si="148"/>
        <v/>
      </c>
      <c r="V355" s="353" t="str">
        <f t="shared" si="141"/>
        <v/>
      </c>
      <c r="W355" s="129">
        <v>0</v>
      </c>
      <c r="X355" s="129">
        <v>0</v>
      </c>
      <c r="Y355" s="129" t="str">
        <f t="shared" si="133"/>
        <v/>
      </c>
      <c r="Z355" s="129" t="str">
        <f t="shared" si="134"/>
        <v/>
      </c>
      <c r="AA355" s="145"/>
      <c r="BA355" s="78"/>
      <c r="BB355" s="132" t="s">
        <v>2594</v>
      </c>
      <c r="BC355" s="133"/>
      <c r="BD355" s="132" t="str">
        <f>IF(OR(B355="",BC355=""),"",COUNTIF(BC$8:BC355,"√"))</f>
        <v/>
      </c>
      <c r="BE355" s="134" t="str">
        <f t="shared" si="153"/>
        <v/>
      </c>
      <c r="BF355" s="135" t="str">
        <f t="shared" si="159"/>
        <v/>
      </c>
      <c r="BG355" s="135" t="str">
        <f t="shared" si="159"/>
        <v/>
      </c>
      <c r="BH355" s="136"/>
      <c r="BI355" s="136"/>
      <c r="BJ355" s="136"/>
      <c r="BK355" s="136"/>
      <c r="BL355" s="137"/>
      <c r="BM355" s="137"/>
      <c r="BP355" s="134" t="str">
        <f>IF(COUNTIF(BP$7:BP354,B355)&gt;0,"",B355)&amp;""</f>
        <v/>
      </c>
      <c r="BQ355" s="138">
        <f t="shared" si="154"/>
        <v>0</v>
      </c>
      <c r="BR355" s="132">
        <f t="shared" si="155"/>
        <v>1</v>
      </c>
      <c r="BS355" s="138">
        <f t="shared" si="156"/>
        <v>0</v>
      </c>
      <c r="BT355" s="132">
        <f t="shared" si="157"/>
        <v>2</v>
      </c>
      <c r="BU355" s="133"/>
      <c r="BV355" s="133"/>
      <c r="BX355" s="1256">
        <v>43100</v>
      </c>
      <c r="BY355" s="165">
        <f>IFERROR(LOOKUP(BX355,基础数据!A:D),1)</f>
        <v>3.53915880885741</v>
      </c>
      <c r="BZ355" s="165">
        <f t="shared" si="162"/>
        <v>1.00524445538375</v>
      </c>
      <c r="CA355" s="165" t="e">
        <f>ROUND(S355*BZ355,1)</f>
        <v>#VALUE!</v>
      </c>
      <c r="CB355" s="165">
        <f t="shared" ref="CB355:CB357" si="166">CO$2</f>
        <v>95</v>
      </c>
      <c r="CC355" s="165" t="e">
        <f>ROUND(CB355*CA355/100,1)</f>
        <v>#VALUE!</v>
      </c>
      <c r="CD355" s="1260" t="s">
        <v>2236</v>
      </c>
    </row>
    <row r="356" ht="15" customHeight="1" spans="1:82">
      <c r="A356" s="123" t="str">
        <f>IF(B356="","",COUNT(A$7:A355)+1)</f>
        <v/>
      </c>
      <c r="B356" s="139"/>
      <c r="C356" s="139"/>
      <c r="D356" s="141"/>
      <c r="E356" s="126"/>
      <c r="F356" s="142"/>
      <c r="G356" s="127"/>
      <c r="H356" s="128"/>
      <c r="I356" s="128"/>
      <c r="J356" s="980"/>
      <c r="K356" s="143"/>
      <c r="L356" s="143"/>
      <c r="M356" s="129"/>
      <c r="N356" s="144"/>
      <c r="O356" s="144"/>
      <c r="P356" s="144"/>
      <c r="Q356" s="143"/>
      <c r="R356" s="353" t="str">
        <f t="shared" si="142"/>
        <v/>
      </c>
      <c r="S356" s="129" t="str">
        <f t="shared" si="132"/>
        <v/>
      </c>
      <c r="T356" s="1226" t="str">
        <f t="shared" si="147"/>
        <v/>
      </c>
      <c r="U356" s="1226" t="str">
        <f t="shared" si="148"/>
        <v/>
      </c>
      <c r="V356" s="353" t="str">
        <f t="shared" si="141"/>
        <v/>
      </c>
      <c r="W356" s="129">
        <v>0</v>
      </c>
      <c r="X356" s="129">
        <v>0</v>
      </c>
      <c r="Y356" s="129" t="str">
        <f t="shared" si="133"/>
        <v/>
      </c>
      <c r="Z356" s="129" t="str">
        <f t="shared" si="134"/>
        <v/>
      </c>
      <c r="AA356" s="145"/>
      <c r="BA356" s="78"/>
      <c r="BB356" s="132" t="s">
        <v>2595</v>
      </c>
      <c r="BC356" s="133"/>
      <c r="BD356" s="132" t="str">
        <f>IF(OR(B356="",BC356=""),"",COUNTIF(BC$8:BC356,"√"))</f>
        <v/>
      </c>
      <c r="BE356" s="134" t="str">
        <f t="shared" si="153"/>
        <v/>
      </c>
      <c r="BF356" s="135" t="str">
        <f t="shared" si="159"/>
        <v/>
      </c>
      <c r="BG356" s="135" t="str">
        <f t="shared" si="159"/>
        <v/>
      </c>
      <c r="BH356" s="136"/>
      <c r="BI356" s="136"/>
      <c r="BJ356" s="136"/>
      <c r="BK356" s="136"/>
      <c r="BL356" s="137"/>
      <c r="BM356" s="137"/>
      <c r="BP356" s="134" t="str">
        <f>IF(COUNTIF(BP$7:BP355,B356)&gt;0,"",B356)&amp;""</f>
        <v/>
      </c>
      <c r="BQ356" s="138">
        <f t="shared" si="154"/>
        <v>0</v>
      </c>
      <c r="BR356" s="132">
        <f t="shared" si="155"/>
        <v>1</v>
      </c>
      <c r="BS356" s="138">
        <f t="shared" si="156"/>
        <v>0</v>
      </c>
      <c r="BT356" s="132">
        <f t="shared" si="157"/>
        <v>2</v>
      </c>
      <c r="BU356" s="133"/>
      <c r="BV356" s="133"/>
      <c r="BX356" s="1256">
        <v>43100</v>
      </c>
      <c r="BY356" s="165">
        <f>IFERROR(LOOKUP(BX356,基础数据!A:D),1)</f>
        <v>3.53915880885741</v>
      </c>
      <c r="BZ356" s="165">
        <f t="shared" si="162"/>
        <v>1.00524445538375</v>
      </c>
      <c r="CA356" s="165" t="e">
        <f t="shared" si="163"/>
        <v>#VALUE!</v>
      </c>
      <c r="CB356" s="165">
        <f t="shared" si="166"/>
        <v>95</v>
      </c>
      <c r="CC356" s="165" t="e">
        <f t="shared" si="165"/>
        <v>#VALUE!</v>
      </c>
      <c r="CD356" s="1260" t="s">
        <v>2236</v>
      </c>
    </row>
    <row r="357" ht="15" customHeight="1" spans="1:82">
      <c r="A357" s="123" t="str">
        <f>IF(B357="","",COUNT(A$7:A356)+1)</f>
        <v/>
      </c>
      <c r="B357" s="139"/>
      <c r="C357" s="139"/>
      <c r="D357" s="141"/>
      <c r="E357" s="126"/>
      <c r="F357" s="142"/>
      <c r="G357" s="127"/>
      <c r="H357" s="128"/>
      <c r="I357" s="128"/>
      <c r="J357" s="980"/>
      <c r="K357" s="143"/>
      <c r="L357" s="143"/>
      <c r="M357" s="129"/>
      <c r="N357" s="144"/>
      <c r="O357" s="144"/>
      <c r="P357" s="144"/>
      <c r="Q357" s="143"/>
      <c r="R357" s="353" t="str">
        <f t="shared" si="142"/>
        <v/>
      </c>
      <c r="S357" s="129" t="str">
        <f t="shared" si="132"/>
        <v/>
      </c>
      <c r="T357" s="1226" t="str">
        <f t="shared" si="147"/>
        <v/>
      </c>
      <c r="U357" s="1226" t="str">
        <f t="shared" si="148"/>
        <v/>
      </c>
      <c r="V357" s="353" t="str">
        <f t="shared" si="141"/>
        <v/>
      </c>
      <c r="W357" s="129">
        <v>0</v>
      </c>
      <c r="X357" s="129">
        <v>0</v>
      </c>
      <c r="Y357" s="129" t="str">
        <f t="shared" si="133"/>
        <v/>
      </c>
      <c r="Z357" s="129" t="str">
        <f t="shared" si="134"/>
        <v/>
      </c>
      <c r="AA357" s="145"/>
      <c r="BA357" s="78"/>
      <c r="BB357" s="132" t="s">
        <v>2596</v>
      </c>
      <c r="BC357" s="133"/>
      <c r="BD357" s="132" t="str">
        <f>IF(OR(B357="",BC357=""),"",COUNTIF(BC$8:BC357,"√"))</f>
        <v/>
      </c>
      <c r="BE357" s="134" t="str">
        <f t="shared" si="153"/>
        <v/>
      </c>
      <c r="BF357" s="135" t="str">
        <f t="shared" si="159"/>
        <v/>
      </c>
      <c r="BG357" s="135" t="str">
        <f t="shared" si="159"/>
        <v/>
      </c>
      <c r="BH357" s="136"/>
      <c r="BI357" s="136"/>
      <c r="BJ357" s="136"/>
      <c r="BK357" s="136"/>
      <c r="BL357" s="137"/>
      <c r="BM357" s="137"/>
      <c r="BP357" s="134" t="str">
        <f>IF(COUNTIF(BP$7:BP356,B357)&gt;0,"",B357)&amp;""</f>
        <v/>
      </c>
      <c r="BQ357" s="138">
        <f t="shared" si="154"/>
        <v>0</v>
      </c>
      <c r="BR357" s="132">
        <f t="shared" si="155"/>
        <v>1</v>
      </c>
      <c r="BS357" s="138">
        <f t="shared" si="156"/>
        <v>0</v>
      </c>
      <c r="BT357" s="132">
        <f t="shared" si="157"/>
        <v>2</v>
      </c>
      <c r="BU357" s="133"/>
      <c r="BV357" s="133"/>
      <c r="BX357" s="1256">
        <v>43100</v>
      </c>
      <c r="BY357" s="165">
        <f>IFERROR(LOOKUP(BX357,基础数据!A:D),1)</f>
        <v>3.53915880885741</v>
      </c>
      <c r="BZ357" s="165">
        <f t="shared" si="162"/>
        <v>1.00524445538375</v>
      </c>
      <c r="CA357" s="165" t="e">
        <f t="shared" si="163"/>
        <v>#VALUE!</v>
      </c>
      <c r="CB357" s="165">
        <f t="shared" si="166"/>
        <v>95</v>
      </c>
      <c r="CC357" s="165" t="e">
        <f t="shared" si="165"/>
        <v>#VALUE!</v>
      </c>
      <c r="CD357" s="1260" t="s">
        <v>2236</v>
      </c>
    </row>
    <row r="358" ht="15" customHeight="1" spans="1:82">
      <c r="A358" s="123" t="str">
        <f>IF(B358="","",COUNT(A$7:A357)+1)</f>
        <v/>
      </c>
      <c r="B358" s="139"/>
      <c r="C358" s="139"/>
      <c r="D358" s="141"/>
      <c r="E358" s="126"/>
      <c r="F358" s="142"/>
      <c r="G358" s="127"/>
      <c r="H358" s="128"/>
      <c r="I358" s="128"/>
      <c r="J358" s="980"/>
      <c r="K358" s="143"/>
      <c r="L358" s="143"/>
      <c r="M358" s="129"/>
      <c r="N358" s="144"/>
      <c r="O358" s="144"/>
      <c r="P358" s="144"/>
      <c r="Q358" s="143"/>
      <c r="R358" s="353" t="str">
        <f t="shared" si="142"/>
        <v/>
      </c>
      <c r="S358" s="129" t="str">
        <f t="shared" si="132"/>
        <v/>
      </c>
      <c r="T358" s="1226" t="str">
        <f t="shared" si="147"/>
        <v/>
      </c>
      <c r="U358" s="1226" t="str">
        <f t="shared" si="148"/>
        <v/>
      </c>
      <c r="V358" s="353" t="str">
        <f t="shared" si="141"/>
        <v/>
      </c>
      <c r="W358" s="129">
        <v>0</v>
      </c>
      <c r="X358" s="129">
        <v>0</v>
      </c>
      <c r="Y358" s="129" t="str">
        <f t="shared" si="133"/>
        <v/>
      </c>
      <c r="Z358" s="129" t="str">
        <f t="shared" si="134"/>
        <v/>
      </c>
      <c r="AA358" s="145"/>
      <c r="BA358" s="78"/>
      <c r="BB358" s="132" t="s">
        <v>2597</v>
      </c>
      <c r="BC358" s="133"/>
      <c r="BD358" s="132" t="str">
        <f>IF(OR(B358="",BC358=""),"",COUNTIF(BC$8:BC358,"√"))</f>
        <v/>
      </c>
      <c r="BE358" s="134" t="str">
        <f t="shared" si="153"/>
        <v/>
      </c>
      <c r="BF358" s="135" t="str">
        <f t="shared" si="159"/>
        <v/>
      </c>
      <c r="BG358" s="135" t="str">
        <f t="shared" si="159"/>
        <v/>
      </c>
      <c r="BH358" s="136"/>
      <c r="BI358" s="136"/>
      <c r="BJ358" s="136"/>
      <c r="BK358" s="136"/>
      <c r="BL358" s="137"/>
      <c r="BM358" s="137"/>
      <c r="BP358" s="134" t="str">
        <f>IF(COUNTIF(BP$7:BP357,B358)&gt;0,"",B358)&amp;""</f>
        <v/>
      </c>
      <c r="BQ358" s="138">
        <f t="shared" si="154"/>
        <v>0</v>
      </c>
      <c r="BR358" s="132">
        <f t="shared" si="155"/>
        <v>1</v>
      </c>
      <c r="BS358" s="138">
        <f t="shared" si="156"/>
        <v>0</v>
      </c>
      <c r="BT358" s="132">
        <f t="shared" si="157"/>
        <v>2</v>
      </c>
      <c r="BU358" s="133"/>
      <c r="BV358" s="133"/>
      <c r="BX358" s="1256">
        <v>43100</v>
      </c>
      <c r="BY358" s="165">
        <f>IFERROR(LOOKUP(BX358,基础数据!A:D),1)</f>
        <v>3.53915880885741</v>
      </c>
      <c r="BZ358" s="165">
        <f t="shared" si="162"/>
        <v>1.00524445538375</v>
      </c>
      <c r="CA358" s="165" t="e">
        <f>ROUND(S358*BZ358,1)</f>
        <v>#VALUE!</v>
      </c>
      <c r="CB358" s="165">
        <f t="shared" ref="CB358:CB372" si="167">CO$3</f>
        <v>90</v>
      </c>
      <c r="CC358" s="165" t="e">
        <f>ROUND(CB358*CA358/100,1)</f>
        <v>#VALUE!</v>
      </c>
      <c r="CD358" s="1257" t="s">
        <v>2237</v>
      </c>
    </row>
    <row r="359" ht="15" customHeight="1" spans="1:82">
      <c r="A359" s="123" t="str">
        <f>IF(B359="","",COUNT(A$7:A358)+1)</f>
        <v/>
      </c>
      <c r="B359" s="139"/>
      <c r="C359" s="139"/>
      <c r="D359" s="141"/>
      <c r="E359" s="126"/>
      <c r="F359" s="142"/>
      <c r="G359" s="127"/>
      <c r="H359" s="128"/>
      <c r="I359" s="128"/>
      <c r="J359" s="980"/>
      <c r="K359" s="143"/>
      <c r="L359" s="143"/>
      <c r="M359" s="129"/>
      <c r="N359" s="144"/>
      <c r="O359" s="144"/>
      <c r="P359" s="144"/>
      <c r="Q359" s="143"/>
      <c r="R359" s="353" t="str">
        <f t="shared" si="142"/>
        <v/>
      </c>
      <c r="S359" s="129" t="str">
        <f t="shared" si="132"/>
        <v/>
      </c>
      <c r="T359" s="1226" t="str">
        <f t="shared" si="147"/>
        <v/>
      </c>
      <c r="U359" s="1226" t="str">
        <f t="shared" si="148"/>
        <v/>
      </c>
      <c r="V359" s="353" t="str">
        <f t="shared" si="141"/>
        <v/>
      </c>
      <c r="W359" s="129">
        <v>0</v>
      </c>
      <c r="X359" s="129">
        <v>0</v>
      </c>
      <c r="Y359" s="129" t="str">
        <f t="shared" si="133"/>
        <v/>
      </c>
      <c r="Z359" s="129" t="str">
        <f t="shared" si="134"/>
        <v/>
      </c>
      <c r="AA359" s="145"/>
      <c r="BA359" s="78"/>
      <c r="BB359" s="132" t="s">
        <v>2598</v>
      </c>
      <c r="BC359" s="133"/>
      <c r="BD359" s="132" t="str">
        <f>IF(OR(B359="",BC359=""),"",COUNTIF(BC$8:BC359,"√"))</f>
        <v/>
      </c>
      <c r="BE359" s="134" t="str">
        <f t="shared" si="153"/>
        <v/>
      </c>
      <c r="BF359" s="135" t="str">
        <f t="shared" si="159"/>
        <v/>
      </c>
      <c r="BG359" s="135" t="str">
        <f t="shared" si="159"/>
        <v/>
      </c>
      <c r="BH359" s="136"/>
      <c r="BI359" s="136"/>
      <c r="BJ359" s="136"/>
      <c r="BK359" s="136"/>
      <c r="BL359" s="137"/>
      <c r="BM359" s="137"/>
      <c r="BP359" s="134" t="str">
        <f>IF(COUNTIF(BP$7:BP358,B359)&gt;0,"",B359)&amp;""</f>
        <v/>
      </c>
      <c r="BQ359" s="138">
        <f t="shared" si="154"/>
        <v>0</v>
      </c>
      <c r="BR359" s="132">
        <f t="shared" si="155"/>
        <v>1</v>
      </c>
      <c r="BS359" s="138">
        <f t="shared" si="156"/>
        <v>0</v>
      </c>
      <c r="BT359" s="132">
        <f t="shared" si="157"/>
        <v>2</v>
      </c>
      <c r="BU359" s="133"/>
      <c r="BV359" s="133"/>
      <c r="BX359" s="1256">
        <v>43100</v>
      </c>
      <c r="BY359" s="165">
        <f>IFERROR(LOOKUP(BX359,基础数据!A:D),1)</f>
        <v>3.53915880885741</v>
      </c>
      <c r="BZ359" s="165">
        <f t="shared" si="162"/>
        <v>1.00524445538375</v>
      </c>
      <c r="CA359" s="165" t="e">
        <f t="shared" si="163"/>
        <v>#VALUE!</v>
      </c>
      <c r="CB359" s="165">
        <f t="shared" si="167"/>
        <v>90</v>
      </c>
      <c r="CC359" s="165" t="e">
        <f t="shared" si="165"/>
        <v>#VALUE!</v>
      </c>
      <c r="CD359" s="1257" t="s">
        <v>2237</v>
      </c>
    </row>
    <row r="360" ht="15" customHeight="1" spans="1:82">
      <c r="A360" s="123" t="str">
        <f>IF(B360="","",COUNT(A$7:A359)+1)</f>
        <v/>
      </c>
      <c r="B360" s="139"/>
      <c r="C360" s="139"/>
      <c r="D360" s="141"/>
      <c r="E360" s="126"/>
      <c r="F360" s="142"/>
      <c r="G360" s="127"/>
      <c r="H360" s="128"/>
      <c r="I360" s="128"/>
      <c r="J360" s="980"/>
      <c r="K360" s="143"/>
      <c r="L360" s="143"/>
      <c r="M360" s="129"/>
      <c r="N360" s="144"/>
      <c r="O360" s="144"/>
      <c r="P360" s="144"/>
      <c r="Q360" s="143"/>
      <c r="R360" s="353" t="str">
        <f t="shared" si="142"/>
        <v/>
      </c>
      <c r="S360" s="129" t="str">
        <f t="shared" si="132"/>
        <v/>
      </c>
      <c r="T360" s="1226" t="str">
        <f t="shared" si="147"/>
        <v/>
      </c>
      <c r="U360" s="1226" t="str">
        <f t="shared" si="148"/>
        <v/>
      </c>
      <c r="V360" s="353" t="str">
        <f t="shared" si="141"/>
        <v/>
      </c>
      <c r="W360" s="129">
        <v>0</v>
      </c>
      <c r="X360" s="129">
        <v>0</v>
      </c>
      <c r="Y360" s="129" t="str">
        <f t="shared" si="133"/>
        <v/>
      </c>
      <c r="Z360" s="129" t="str">
        <f t="shared" si="134"/>
        <v/>
      </c>
      <c r="AA360" s="145"/>
      <c r="BA360" s="78"/>
      <c r="BB360" s="132" t="s">
        <v>2599</v>
      </c>
      <c r="BC360" s="133"/>
      <c r="BD360" s="132" t="str">
        <f>IF(OR(B360="",BC360=""),"",COUNTIF(BC$8:BC360,"√"))</f>
        <v/>
      </c>
      <c r="BE360" s="134" t="str">
        <f t="shared" si="153"/>
        <v/>
      </c>
      <c r="BF360" s="135" t="str">
        <f t="shared" si="159"/>
        <v/>
      </c>
      <c r="BG360" s="135" t="str">
        <f t="shared" si="159"/>
        <v/>
      </c>
      <c r="BH360" s="136"/>
      <c r="BI360" s="136"/>
      <c r="BJ360" s="136"/>
      <c r="BK360" s="136"/>
      <c r="BL360" s="137"/>
      <c r="BM360" s="137"/>
      <c r="BP360" s="134" t="str">
        <f>IF(COUNTIF(BP$7:BP359,B360)&gt;0,"",B360)&amp;""</f>
        <v/>
      </c>
      <c r="BQ360" s="138">
        <f t="shared" si="154"/>
        <v>0</v>
      </c>
      <c r="BR360" s="132">
        <f t="shared" si="155"/>
        <v>1</v>
      </c>
      <c r="BS360" s="138">
        <f t="shared" si="156"/>
        <v>0</v>
      </c>
      <c r="BT360" s="132">
        <f t="shared" si="157"/>
        <v>2</v>
      </c>
      <c r="BU360" s="133"/>
      <c r="BV360" s="133"/>
      <c r="BX360" s="1256">
        <v>43100</v>
      </c>
      <c r="BY360" s="165">
        <f>IFERROR(LOOKUP(BX360,基础数据!A:D),1)</f>
        <v>3.53915880885741</v>
      </c>
      <c r="BZ360" s="165">
        <f t="shared" si="162"/>
        <v>1.00524445538375</v>
      </c>
      <c r="CA360" s="165" t="e">
        <f t="shared" ref="CA360:CA366" si="168">ROUND(S360*BZ360,1)</f>
        <v>#VALUE!</v>
      </c>
      <c r="CB360" s="165">
        <f t="shared" si="167"/>
        <v>90</v>
      </c>
      <c r="CC360" s="165" t="e">
        <f t="shared" ref="CC360:CC366" si="169">ROUND(CB360*CA360/100,1)</f>
        <v>#VALUE!</v>
      </c>
      <c r="CD360" s="1257" t="s">
        <v>2237</v>
      </c>
    </row>
    <row r="361" ht="15" customHeight="1" spans="1:82">
      <c r="A361" s="123" t="str">
        <f>IF(B361="","",COUNT(A$7:A360)+1)</f>
        <v/>
      </c>
      <c r="B361" s="139"/>
      <c r="C361" s="139"/>
      <c r="D361" s="141"/>
      <c r="E361" s="126"/>
      <c r="F361" s="142"/>
      <c r="G361" s="127"/>
      <c r="H361" s="128"/>
      <c r="I361" s="128"/>
      <c r="J361" s="980"/>
      <c r="K361" s="143"/>
      <c r="L361" s="143"/>
      <c r="M361" s="129"/>
      <c r="N361" s="144"/>
      <c r="O361" s="144"/>
      <c r="P361" s="144"/>
      <c r="Q361" s="143"/>
      <c r="R361" s="353" t="str">
        <f t="shared" si="142"/>
        <v/>
      </c>
      <c r="S361" s="129" t="str">
        <f t="shared" si="132"/>
        <v/>
      </c>
      <c r="T361" s="1226" t="str">
        <f t="shared" si="147"/>
        <v/>
      </c>
      <c r="U361" s="1226" t="str">
        <f t="shared" si="148"/>
        <v/>
      </c>
      <c r="V361" s="353" t="str">
        <f t="shared" si="141"/>
        <v/>
      </c>
      <c r="W361" s="129">
        <v>0</v>
      </c>
      <c r="X361" s="129">
        <v>0</v>
      </c>
      <c r="Y361" s="129" t="str">
        <f t="shared" si="133"/>
        <v/>
      </c>
      <c r="Z361" s="129" t="str">
        <f t="shared" si="134"/>
        <v/>
      </c>
      <c r="AA361" s="145"/>
      <c r="BA361" s="78"/>
      <c r="BB361" s="132" t="s">
        <v>2600</v>
      </c>
      <c r="BC361" s="133"/>
      <c r="BD361" s="132" t="str">
        <f>IF(OR(B361="",BC361=""),"",COUNTIF(BC$8:BC361,"√"))</f>
        <v/>
      </c>
      <c r="BE361" s="134" t="str">
        <f t="shared" si="153"/>
        <v/>
      </c>
      <c r="BF361" s="135" t="str">
        <f t="shared" si="159"/>
        <v/>
      </c>
      <c r="BG361" s="135" t="str">
        <f t="shared" si="159"/>
        <v/>
      </c>
      <c r="BH361" s="136"/>
      <c r="BI361" s="136"/>
      <c r="BJ361" s="136"/>
      <c r="BK361" s="136"/>
      <c r="BL361" s="137"/>
      <c r="BM361" s="137"/>
      <c r="BP361" s="134" t="str">
        <f>IF(COUNTIF(BP$7:BP360,B361)&gt;0,"",B361)&amp;""</f>
        <v/>
      </c>
      <c r="BQ361" s="138">
        <f t="shared" si="154"/>
        <v>0</v>
      </c>
      <c r="BR361" s="132">
        <f t="shared" si="155"/>
        <v>1</v>
      </c>
      <c r="BS361" s="138">
        <f t="shared" si="156"/>
        <v>0</v>
      </c>
      <c r="BT361" s="132">
        <f t="shared" si="157"/>
        <v>2</v>
      </c>
      <c r="BU361" s="133"/>
      <c r="BV361" s="133"/>
      <c r="BX361" s="1256">
        <v>43100</v>
      </c>
      <c r="BY361" s="165">
        <f>IFERROR(LOOKUP(BX361,基础数据!A:D),1)</f>
        <v>3.53915880885741</v>
      </c>
      <c r="BZ361" s="165">
        <f t="shared" si="162"/>
        <v>1.00524445538375</v>
      </c>
      <c r="CA361" s="165" t="e">
        <f t="shared" si="168"/>
        <v>#VALUE!</v>
      </c>
      <c r="CB361" s="165">
        <f t="shared" si="167"/>
        <v>90</v>
      </c>
      <c r="CC361" s="165" t="e">
        <f t="shared" si="169"/>
        <v>#VALUE!</v>
      </c>
      <c r="CD361" s="1257" t="s">
        <v>2237</v>
      </c>
    </row>
    <row r="362" ht="15" customHeight="1" spans="1:82">
      <c r="A362" s="123" t="str">
        <f>IF(B362="","",COUNT(A$7:A361)+1)</f>
        <v/>
      </c>
      <c r="B362" s="139"/>
      <c r="C362" s="139"/>
      <c r="D362" s="141"/>
      <c r="E362" s="126"/>
      <c r="F362" s="142"/>
      <c r="G362" s="127"/>
      <c r="H362" s="128"/>
      <c r="I362" s="128"/>
      <c r="J362" s="980"/>
      <c r="K362" s="143"/>
      <c r="L362" s="143"/>
      <c r="M362" s="129"/>
      <c r="N362" s="144"/>
      <c r="O362" s="144"/>
      <c r="P362" s="144"/>
      <c r="Q362" s="143"/>
      <c r="R362" s="353" t="str">
        <f t="shared" si="142"/>
        <v/>
      </c>
      <c r="S362" s="129" t="str">
        <f t="shared" si="132"/>
        <v/>
      </c>
      <c r="T362" s="1226" t="str">
        <f t="shared" si="147"/>
        <v/>
      </c>
      <c r="U362" s="1226" t="str">
        <f t="shared" si="148"/>
        <v/>
      </c>
      <c r="V362" s="353" t="str">
        <f t="shared" si="141"/>
        <v/>
      </c>
      <c r="W362" s="129">
        <v>0</v>
      </c>
      <c r="X362" s="129">
        <v>0</v>
      </c>
      <c r="Y362" s="129" t="str">
        <f t="shared" si="133"/>
        <v/>
      </c>
      <c r="Z362" s="129" t="str">
        <f t="shared" si="134"/>
        <v/>
      </c>
      <c r="AA362" s="145"/>
      <c r="BA362" s="78"/>
      <c r="BB362" s="132" t="s">
        <v>2601</v>
      </c>
      <c r="BC362" s="133"/>
      <c r="BD362" s="132" t="str">
        <f>IF(OR(B362="",BC362=""),"",COUNTIF(BC$8:BC362,"√"))</f>
        <v/>
      </c>
      <c r="BE362" s="134" t="str">
        <f t="shared" si="153"/>
        <v/>
      </c>
      <c r="BF362" s="135" t="str">
        <f t="shared" si="159"/>
        <v/>
      </c>
      <c r="BG362" s="135" t="str">
        <f t="shared" si="159"/>
        <v/>
      </c>
      <c r="BH362" s="136"/>
      <c r="BI362" s="136"/>
      <c r="BJ362" s="136"/>
      <c r="BK362" s="136"/>
      <c r="BL362" s="137"/>
      <c r="BM362" s="137"/>
      <c r="BP362" s="134" t="str">
        <f>IF(COUNTIF(BP$7:BP361,B362)&gt;0,"",B362)&amp;""</f>
        <v/>
      </c>
      <c r="BQ362" s="138">
        <f t="shared" si="154"/>
        <v>0</v>
      </c>
      <c r="BR362" s="132">
        <f t="shared" si="155"/>
        <v>1</v>
      </c>
      <c r="BS362" s="138">
        <f t="shared" si="156"/>
        <v>0</v>
      </c>
      <c r="BT362" s="132">
        <f t="shared" si="157"/>
        <v>2</v>
      </c>
      <c r="BU362" s="133"/>
      <c r="BV362" s="133"/>
      <c r="BX362" s="1256">
        <v>43100</v>
      </c>
      <c r="BY362" s="165">
        <f>IFERROR(LOOKUP(BX362,基础数据!A:D),1)</f>
        <v>3.53915880885741</v>
      </c>
      <c r="BZ362" s="165">
        <f t="shared" si="162"/>
        <v>1.00524445538375</v>
      </c>
      <c r="CA362" s="165" t="e">
        <f t="shared" si="168"/>
        <v>#VALUE!</v>
      </c>
      <c r="CB362" s="165">
        <f t="shared" si="167"/>
        <v>90</v>
      </c>
      <c r="CC362" s="165" t="e">
        <f t="shared" si="169"/>
        <v>#VALUE!</v>
      </c>
      <c r="CD362" s="1257" t="s">
        <v>2237</v>
      </c>
    </row>
    <row r="363" ht="15" customHeight="1" spans="1:82">
      <c r="A363" s="123" t="str">
        <f>IF(B363="","",COUNT(A$7:A362)+1)</f>
        <v/>
      </c>
      <c r="B363" s="139"/>
      <c r="C363" s="139"/>
      <c r="D363" s="141"/>
      <c r="E363" s="126"/>
      <c r="F363" s="142"/>
      <c r="G363" s="127"/>
      <c r="H363" s="128"/>
      <c r="I363" s="128"/>
      <c r="J363" s="980"/>
      <c r="K363" s="143"/>
      <c r="L363" s="143"/>
      <c r="M363" s="129"/>
      <c r="N363" s="144"/>
      <c r="O363" s="144"/>
      <c r="P363" s="144"/>
      <c r="Q363" s="143"/>
      <c r="R363" s="353" t="str">
        <f t="shared" si="142"/>
        <v/>
      </c>
      <c r="S363" s="129" t="str">
        <f t="shared" si="132"/>
        <v/>
      </c>
      <c r="T363" s="1226" t="str">
        <f t="shared" si="147"/>
        <v/>
      </c>
      <c r="U363" s="1226" t="str">
        <f t="shared" si="148"/>
        <v/>
      </c>
      <c r="V363" s="353" t="str">
        <f t="shared" si="141"/>
        <v/>
      </c>
      <c r="W363" s="129">
        <v>0</v>
      </c>
      <c r="X363" s="129">
        <v>0</v>
      </c>
      <c r="Y363" s="129" t="str">
        <f t="shared" si="133"/>
        <v/>
      </c>
      <c r="Z363" s="129" t="str">
        <f t="shared" si="134"/>
        <v/>
      </c>
      <c r="AA363" s="145"/>
      <c r="BA363" s="78"/>
      <c r="BB363" s="132" t="s">
        <v>2602</v>
      </c>
      <c r="BC363" s="133"/>
      <c r="BD363" s="132" t="str">
        <f>IF(OR(B363="",BC363=""),"",COUNTIF(BC$8:BC363,"√"))</f>
        <v/>
      </c>
      <c r="BE363" s="134" t="str">
        <f t="shared" si="153"/>
        <v/>
      </c>
      <c r="BF363" s="135" t="str">
        <f t="shared" si="159"/>
        <v/>
      </c>
      <c r="BG363" s="135" t="str">
        <f t="shared" si="159"/>
        <v/>
      </c>
      <c r="BH363" s="136"/>
      <c r="BI363" s="136"/>
      <c r="BJ363" s="136"/>
      <c r="BK363" s="136"/>
      <c r="BL363" s="137"/>
      <c r="BM363" s="137"/>
      <c r="BP363" s="134" t="str">
        <f>IF(COUNTIF(BP$7:BP362,B363)&gt;0,"",B363)&amp;""</f>
        <v/>
      </c>
      <c r="BQ363" s="138">
        <f t="shared" si="154"/>
        <v>0</v>
      </c>
      <c r="BR363" s="132">
        <f t="shared" si="155"/>
        <v>1</v>
      </c>
      <c r="BS363" s="138">
        <f t="shared" si="156"/>
        <v>0</v>
      </c>
      <c r="BT363" s="132">
        <f t="shared" si="157"/>
        <v>2</v>
      </c>
      <c r="BU363" s="133"/>
      <c r="BV363" s="133"/>
      <c r="BX363" s="1256">
        <v>43100</v>
      </c>
      <c r="BY363" s="165">
        <f>IFERROR(LOOKUP(BX363,基础数据!A:D),1)</f>
        <v>3.53915880885741</v>
      </c>
      <c r="BZ363" s="165">
        <f t="shared" si="162"/>
        <v>1.00524445538375</v>
      </c>
      <c r="CA363" s="165" t="e">
        <f t="shared" si="168"/>
        <v>#VALUE!</v>
      </c>
      <c r="CB363" s="165">
        <f t="shared" si="167"/>
        <v>90</v>
      </c>
      <c r="CC363" s="165" t="e">
        <f t="shared" si="169"/>
        <v>#VALUE!</v>
      </c>
      <c r="CD363" s="1257" t="s">
        <v>2237</v>
      </c>
    </row>
    <row r="364" ht="15" customHeight="1" spans="1:82">
      <c r="A364" s="123" t="str">
        <f>IF(B364="","",COUNT(A$7:A363)+1)</f>
        <v/>
      </c>
      <c r="B364" s="139"/>
      <c r="C364" s="139"/>
      <c r="D364" s="141"/>
      <c r="E364" s="126"/>
      <c r="F364" s="142"/>
      <c r="G364" s="127"/>
      <c r="H364" s="128"/>
      <c r="I364" s="128"/>
      <c r="J364" s="980"/>
      <c r="K364" s="143"/>
      <c r="L364" s="143"/>
      <c r="M364" s="129"/>
      <c r="N364" s="144"/>
      <c r="O364" s="144"/>
      <c r="P364" s="144"/>
      <c r="Q364" s="143"/>
      <c r="R364" s="353" t="str">
        <f t="shared" si="142"/>
        <v/>
      </c>
      <c r="S364" s="129" t="str">
        <f t="shared" si="132"/>
        <v/>
      </c>
      <c r="T364" s="1226" t="str">
        <f t="shared" si="147"/>
        <v/>
      </c>
      <c r="U364" s="1226" t="str">
        <f t="shared" si="148"/>
        <v/>
      </c>
      <c r="V364" s="353" t="str">
        <f t="shared" si="141"/>
        <v/>
      </c>
      <c r="W364" s="129">
        <v>0</v>
      </c>
      <c r="X364" s="129">
        <v>0</v>
      </c>
      <c r="Y364" s="129" t="str">
        <f t="shared" si="133"/>
        <v/>
      </c>
      <c r="Z364" s="129" t="str">
        <f t="shared" si="134"/>
        <v/>
      </c>
      <c r="AA364" s="145"/>
      <c r="BA364" s="78"/>
      <c r="BB364" s="132" t="s">
        <v>2603</v>
      </c>
      <c r="BC364" s="133"/>
      <c r="BD364" s="132" t="str">
        <f>IF(OR(B364="",BC364=""),"",COUNTIF(BC$8:BC364,"√"))</f>
        <v/>
      </c>
      <c r="BE364" s="134" t="str">
        <f t="shared" si="153"/>
        <v/>
      </c>
      <c r="BF364" s="135" t="str">
        <f t="shared" si="159"/>
        <v/>
      </c>
      <c r="BG364" s="135" t="str">
        <f t="shared" si="159"/>
        <v/>
      </c>
      <c r="BH364" s="136"/>
      <c r="BI364" s="136"/>
      <c r="BJ364" s="136"/>
      <c r="BK364" s="136"/>
      <c r="BL364" s="137"/>
      <c r="BM364" s="137"/>
      <c r="BP364" s="134" t="str">
        <f>IF(COUNTIF(BP$7:BP363,B364)&gt;0,"",B364)&amp;""</f>
        <v/>
      </c>
      <c r="BQ364" s="138">
        <f t="shared" si="154"/>
        <v>0</v>
      </c>
      <c r="BR364" s="132">
        <f t="shared" si="155"/>
        <v>1</v>
      </c>
      <c r="BS364" s="138">
        <f t="shared" si="156"/>
        <v>0</v>
      </c>
      <c r="BT364" s="132">
        <f t="shared" si="157"/>
        <v>2</v>
      </c>
      <c r="BU364" s="133"/>
      <c r="BV364" s="133"/>
      <c r="BX364" s="1256">
        <v>43100</v>
      </c>
      <c r="BY364" s="165">
        <f>IFERROR(LOOKUP(BX364,基础数据!A:D),1)</f>
        <v>3.53915880885741</v>
      </c>
      <c r="BZ364" s="165">
        <f t="shared" si="162"/>
        <v>1.00524445538375</v>
      </c>
      <c r="CA364" s="165" t="e">
        <f t="shared" si="168"/>
        <v>#VALUE!</v>
      </c>
      <c r="CB364" s="165">
        <f t="shared" si="167"/>
        <v>90</v>
      </c>
      <c r="CC364" s="165" t="e">
        <f t="shared" si="169"/>
        <v>#VALUE!</v>
      </c>
      <c r="CD364" s="1257" t="s">
        <v>2237</v>
      </c>
    </row>
    <row r="365" ht="15" customHeight="1" spans="1:82">
      <c r="A365" s="123" t="str">
        <f>IF(B365="","",COUNT(A$7:A364)+1)</f>
        <v/>
      </c>
      <c r="B365" s="139"/>
      <c r="C365" s="139"/>
      <c r="D365" s="141"/>
      <c r="E365" s="126"/>
      <c r="F365" s="142"/>
      <c r="G365" s="127"/>
      <c r="H365" s="128"/>
      <c r="I365" s="128"/>
      <c r="J365" s="980"/>
      <c r="K365" s="143"/>
      <c r="L365" s="143"/>
      <c r="M365" s="129"/>
      <c r="N365" s="144"/>
      <c r="O365" s="144"/>
      <c r="P365" s="144"/>
      <c r="Q365" s="143"/>
      <c r="R365" s="353" t="str">
        <f t="shared" si="142"/>
        <v/>
      </c>
      <c r="S365" s="129" t="str">
        <f t="shared" ref="S365:S396" si="170">IFERROR(T365/R365,"")</f>
        <v/>
      </c>
      <c r="T365" s="1226" t="str">
        <f t="shared" si="147"/>
        <v/>
      </c>
      <c r="U365" s="1226" t="str">
        <f t="shared" si="148"/>
        <v/>
      </c>
      <c r="V365" s="353" t="str">
        <f t="shared" si="141"/>
        <v/>
      </c>
      <c r="W365" s="129">
        <v>0</v>
      </c>
      <c r="X365" s="129">
        <v>0</v>
      </c>
      <c r="Y365" s="129" t="str">
        <f t="shared" ref="Y365:Y396" si="171">IFERROR(X365-(T365-U365),"")</f>
        <v/>
      </c>
      <c r="Z365" s="129" t="str">
        <f t="shared" ref="Z365:Z396" si="172">IFERROR(Y365/(T365-U365)*100,"")</f>
        <v/>
      </c>
      <c r="AA365" s="145"/>
      <c r="BA365" s="78"/>
      <c r="BB365" s="132" t="s">
        <v>2604</v>
      </c>
      <c r="BC365" s="133"/>
      <c r="BD365" s="132" t="str">
        <f>IF(OR(B365="",BC365=""),"",COUNTIF(BC$8:BC365,"√"))</f>
        <v/>
      </c>
      <c r="BE365" s="134" t="str">
        <f t="shared" si="153"/>
        <v/>
      </c>
      <c r="BF365" s="135" t="str">
        <f t="shared" si="159"/>
        <v/>
      </c>
      <c r="BG365" s="135" t="str">
        <f t="shared" si="159"/>
        <v/>
      </c>
      <c r="BH365" s="136"/>
      <c r="BI365" s="136"/>
      <c r="BJ365" s="136"/>
      <c r="BK365" s="136"/>
      <c r="BL365" s="137"/>
      <c r="BM365" s="137"/>
      <c r="BP365" s="134" t="str">
        <f>IF(COUNTIF(BP$7:BP364,B365)&gt;0,"",B365)&amp;""</f>
        <v/>
      </c>
      <c r="BQ365" s="138">
        <f t="shared" si="154"/>
        <v>0</v>
      </c>
      <c r="BR365" s="132">
        <f t="shared" si="155"/>
        <v>1</v>
      </c>
      <c r="BS365" s="138">
        <f t="shared" si="156"/>
        <v>0</v>
      </c>
      <c r="BT365" s="132">
        <f t="shared" si="157"/>
        <v>2</v>
      </c>
      <c r="BU365" s="133"/>
      <c r="BV365" s="133"/>
      <c r="BX365" s="1256">
        <v>43100</v>
      </c>
      <c r="BY365" s="165">
        <f>IFERROR(LOOKUP(BX365,基础数据!A:D),1)</f>
        <v>3.53915880885741</v>
      </c>
      <c r="BZ365" s="165">
        <f t="shared" si="162"/>
        <v>1.00524445538375</v>
      </c>
      <c r="CA365" s="165" t="e">
        <f t="shared" si="168"/>
        <v>#VALUE!</v>
      </c>
      <c r="CB365" s="165">
        <f t="shared" si="167"/>
        <v>90</v>
      </c>
      <c r="CC365" s="165" t="e">
        <f t="shared" si="169"/>
        <v>#VALUE!</v>
      </c>
      <c r="CD365" s="1257" t="s">
        <v>2237</v>
      </c>
    </row>
    <row r="366" ht="15" customHeight="1" spans="1:82">
      <c r="A366" s="123" t="str">
        <f>IF(B366="","",COUNT(A$7:A365)+1)</f>
        <v/>
      </c>
      <c r="B366" s="139"/>
      <c r="C366" s="139"/>
      <c r="D366" s="141"/>
      <c r="E366" s="126"/>
      <c r="F366" s="142"/>
      <c r="G366" s="127"/>
      <c r="H366" s="128"/>
      <c r="I366" s="128"/>
      <c r="J366" s="980"/>
      <c r="K366" s="143"/>
      <c r="L366" s="143"/>
      <c r="M366" s="129"/>
      <c r="N366" s="144"/>
      <c r="O366" s="144"/>
      <c r="P366" s="144"/>
      <c r="Q366" s="143"/>
      <c r="R366" s="353" t="str">
        <f t="shared" si="142"/>
        <v/>
      </c>
      <c r="S366" s="129" t="str">
        <f t="shared" si="170"/>
        <v/>
      </c>
      <c r="T366" s="1226" t="str">
        <f t="shared" si="147"/>
        <v/>
      </c>
      <c r="U366" s="1226" t="str">
        <f t="shared" si="148"/>
        <v/>
      </c>
      <c r="V366" s="353" t="str">
        <f t="shared" si="141"/>
        <v/>
      </c>
      <c r="W366" s="129">
        <v>0</v>
      </c>
      <c r="X366" s="129">
        <v>0</v>
      </c>
      <c r="Y366" s="129" t="str">
        <f t="shared" si="171"/>
        <v/>
      </c>
      <c r="Z366" s="129" t="str">
        <f t="shared" si="172"/>
        <v/>
      </c>
      <c r="AA366" s="145"/>
      <c r="BA366" s="78"/>
      <c r="BB366" s="132" t="s">
        <v>2605</v>
      </c>
      <c r="BC366" s="133"/>
      <c r="BD366" s="132" t="str">
        <f>IF(OR(B366="",BC366=""),"",COUNTIF(BC$8:BC366,"√"))</f>
        <v/>
      </c>
      <c r="BE366" s="134" t="str">
        <f t="shared" si="153"/>
        <v/>
      </c>
      <c r="BF366" s="135" t="str">
        <f t="shared" si="159"/>
        <v/>
      </c>
      <c r="BG366" s="135" t="str">
        <f t="shared" si="159"/>
        <v/>
      </c>
      <c r="BH366" s="136"/>
      <c r="BI366" s="136"/>
      <c r="BJ366" s="136"/>
      <c r="BK366" s="136"/>
      <c r="BL366" s="137"/>
      <c r="BM366" s="137"/>
      <c r="BP366" s="134" t="str">
        <f>IF(COUNTIF(BP$7:BP365,B366)&gt;0,"",B366)&amp;""</f>
        <v/>
      </c>
      <c r="BQ366" s="138">
        <f t="shared" si="154"/>
        <v>0</v>
      </c>
      <c r="BR366" s="132">
        <f t="shared" si="155"/>
        <v>1</v>
      </c>
      <c r="BS366" s="138">
        <f t="shared" si="156"/>
        <v>0</v>
      </c>
      <c r="BT366" s="132">
        <f t="shared" si="157"/>
        <v>2</v>
      </c>
      <c r="BU366" s="133"/>
      <c r="BV366" s="133"/>
      <c r="BX366" s="1256">
        <v>43100</v>
      </c>
      <c r="BY366" s="165">
        <f>IFERROR(LOOKUP(BX366,基础数据!A:D),1)</f>
        <v>3.53915880885741</v>
      </c>
      <c r="BZ366" s="165">
        <f t="shared" si="162"/>
        <v>1.00524445538375</v>
      </c>
      <c r="CA366" s="165" t="e">
        <f t="shared" si="168"/>
        <v>#VALUE!</v>
      </c>
      <c r="CB366" s="165">
        <f t="shared" si="167"/>
        <v>90</v>
      </c>
      <c r="CC366" s="165" t="e">
        <f t="shared" si="169"/>
        <v>#VALUE!</v>
      </c>
      <c r="CD366" s="1257" t="s">
        <v>2237</v>
      </c>
    </row>
    <row r="367" ht="15" customHeight="1" spans="1:82">
      <c r="A367" s="123" t="str">
        <f>IF(B367="","",COUNT(A$7:A366)+1)</f>
        <v/>
      </c>
      <c r="B367" s="139"/>
      <c r="C367" s="139"/>
      <c r="D367" s="141"/>
      <c r="E367" s="126"/>
      <c r="F367" s="142"/>
      <c r="G367" s="127"/>
      <c r="H367" s="128"/>
      <c r="I367" s="128"/>
      <c r="J367" s="980"/>
      <c r="K367" s="143"/>
      <c r="L367" s="143"/>
      <c r="M367" s="129"/>
      <c r="N367" s="144"/>
      <c r="O367" s="144"/>
      <c r="P367" s="144"/>
      <c r="Q367" s="143"/>
      <c r="R367" s="353" t="str">
        <f t="shared" si="142"/>
        <v/>
      </c>
      <c r="S367" s="129" t="str">
        <f t="shared" si="170"/>
        <v/>
      </c>
      <c r="T367" s="1226" t="str">
        <f t="shared" si="147"/>
        <v/>
      </c>
      <c r="U367" s="1226" t="str">
        <f t="shared" si="148"/>
        <v/>
      </c>
      <c r="V367" s="353" t="str">
        <f t="shared" si="141"/>
        <v/>
      </c>
      <c r="W367" s="129">
        <v>0</v>
      </c>
      <c r="X367" s="129">
        <v>0</v>
      </c>
      <c r="Y367" s="129" t="str">
        <f t="shared" si="171"/>
        <v/>
      </c>
      <c r="Z367" s="129" t="str">
        <f t="shared" si="172"/>
        <v/>
      </c>
      <c r="AA367" s="145"/>
      <c r="BA367" s="78"/>
      <c r="BB367" s="132" t="s">
        <v>2606</v>
      </c>
      <c r="BC367" s="133"/>
      <c r="BD367" s="132" t="str">
        <f>IF(OR(B367="",BC367=""),"",COUNTIF(BC$8:BC367,"√"))</f>
        <v/>
      </c>
      <c r="BE367" s="134" t="str">
        <f t="shared" si="153"/>
        <v/>
      </c>
      <c r="BF367" s="135" t="str">
        <f t="shared" si="159"/>
        <v/>
      </c>
      <c r="BG367" s="135" t="str">
        <f t="shared" si="159"/>
        <v/>
      </c>
      <c r="BH367" s="136"/>
      <c r="BI367" s="136"/>
      <c r="BJ367" s="136"/>
      <c r="BK367" s="136"/>
      <c r="BL367" s="137"/>
      <c r="BM367" s="137"/>
      <c r="BP367" s="134" t="str">
        <f>IF(COUNTIF(BP$7:BP366,B367)&gt;0,"",B367)&amp;""</f>
        <v/>
      </c>
      <c r="BQ367" s="138">
        <f t="shared" si="154"/>
        <v>0</v>
      </c>
      <c r="BR367" s="132">
        <f t="shared" si="155"/>
        <v>1</v>
      </c>
      <c r="BS367" s="138">
        <f t="shared" si="156"/>
        <v>0</v>
      </c>
      <c r="BT367" s="132">
        <f t="shared" si="157"/>
        <v>2</v>
      </c>
      <c r="BU367" s="133"/>
      <c r="BV367" s="133"/>
      <c r="BX367" s="1256">
        <v>43100</v>
      </c>
      <c r="BY367" s="165">
        <f>IFERROR(LOOKUP(BX367,基础数据!A:D),1)</f>
        <v>3.53915880885741</v>
      </c>
      <c r="BZ367" s="165">
        <f t="shared" si="162"/>
        <v>1.00524445538375</v>
      </c>
      <c r="CA367" s="165" t="e">
        <f t="shared" si="163"/>
        <v>#VALUE!</v>
      </c>
      <c r="CB367" s="165">
        <f t="shared" si="167"/>
        <v>90</v>
      </c>
      <c r="CC367" s="165" t="e">
        <f t="shared" si="165"/>
        <v>#VALUE!</v>
      </c>
      <c r="CD367" s="1257" t="s">
        <v>2237</v>
      </c>
    </row>
    <row r="368" ht="15" customHeight="1" spans="1:82">
      <c r="A368" s="123" t="str">
        <f>IF(B368="","",COUNT(A$7:A367)+1)</f>
        <v/>
      </c>
      <c r="B368" s="139"/>
      <c r="C368" s="139"/>
      <c r="D368" s="141"/>
      <c r="E368" s="126"/>
      <c r="F368" s="142"/>
      <c r="G368" s="127"/>
      <c r="H368" s="128"/>
      <c r="I368" s="128"/>
      <c r="J368" s="980"/>
      <c r="K368" s="143"/>
      <c r="L368" s="143"/>
      <c r="M368" s="129"/>
      <c r="N368" s="144"/>
      <c r="O368" s="144"/>
      <c r="P368" s="144"/>
      <c r="Q368" s="143"/>
      <c r="R368" s="353" t="str">
        <f t="shared" si="142"/>
        <v/>
      </c>
      <c r="S368" s="129" t="str">
        <f t="shared" si="170"/>
        <v/>
      </c>
      <c r="T368" s="1226" t="str">
        <f t="shared" si="147"/>
        <v/>
      </c>
      <c r="U368" s="1226" t="str">
        <f t="shared" si="148"/>
        <v/>
      </c>
      <c r="V368" s="353" t="str">
        <f t="shared" si="141"/>
        <v/>
      </c>
      <c r="W368" s="129">
        <v>0</v>
      </c>
      <c r="X368" s="129">
        <v>0</v>
      </c>
      <c r="Y368" s="129" t="str">
        <f t="shared" si="171"/>
        <v/>
      </c>
      <c r="Z368" s="129" t="str">
        <f t="shared" si="172"/>
        <v/>
      </c>
      <c r="AA368" s="145"/>
      <c r="BA368" s="78"/>
      <c r="BB368" s="132" t="s">
        <v>2607</v>
      </c>
      <c r="BC368" s="133"/>
      <c r="BD368" s="132" t="str">
        <f>IF(OR(B368="",BC368=""),"",COUNTIF(BC$8:BC368,"√"))</f>
        <v/>
      </c>
      <c r="BE368" s="134" t="str">
        <f t="shared" si="153"/>
        <v/>
      </c>
      <c r="BF368" s="135" t="str">
        <f t="shared" si="159"/>
        <v/>
      </c>
      <c r="BG368" s="135" t="str">
        <f t="shared" si="159"/>
        <v/>
      </c>
      <c r="BH368" s="136"/>
      <c r="BI368" s="136"/>
      <c r="BJ368" s="136"/>
      <c r="BK368" s="136"/>
      <c r="BL368" s="137"/>
      <c r="BM368" s="137"/>
      <c r="BP368" s="134" t="str">
        <f>IF(COUNTIF(BP$7:BP367,B368)&gt;0,"",B368)&amp;""</f>
        <v/>
      </c>
      <c r="BQ368" s="138">
        <f t="shared" si="154"/>
        <v>0</v>
      </c>
      <c r="BR368" s="132">
        <f t="shared" si="155"/>
        <v>1</v>
      </c>
      <c r="BS368" s="138">
        <f t="shared" si="156"/>
        <v>0</v>
      </c>
      <c r="BT368" s="132">
        <f t="shared" si="157"/>
        <v>2</v>
      </c>
      <c r="BU368" s="133"/>
      <c r="BV368" s="133"/>
      <c r="BX368" s="1256">
        <v>43100</v>
      </c>
      <c r="BY368" s="165">
        <f>IFERROR(LOOKUP(BX368,基础数据!A:D),1)</f>
        <v>3.53915880885741</v>
      </c>
      <c r="BZ368" s="165">
        <f t="shared" si="162"/>
        <v>1.00524445538375</v>
      </c>
      <c r="CA368" s="165" t="e">
        <f t="shared" si="163"/>
        <v>#VALUE!</v>
      </c>
      <c r="CB368" s="165">
        <f t="shared" si="167"/>
        <v>90</v>
      </c>
      <c r="CC368" s="165" t="e">
        <f t="shared" si="165"/>
        <v>#VALUE!</v>
      </c>
      <c r="CD368" s="1257" t="s">
        <v>2237</v>
      </c>
    </row>
    <row r="369" ht="15" customHeight="1" spans="1:82">
      <c r="A369" s="123" t="str">
        <f>IF(B369="","",COUNT(A$7:A368)+1)</f>
        <v/>
      </c>
      <c r="B369" s="139"/>
      <c r="C369" s="139"/>
      <c r="D369" s="141"/>
      <c r="E369" s="126"/>
      <c r="F369" s="142"/>
      <c r="G369" s="127"/>
      <c r="H369" s="128"/>
      <c r="I369" s="128"/>
      <c r="J369" s="980"/>
      <c r="K369" s="143"/>
      <c r="L369" s="143"/>
      <c r="M369" s="129"/>
      <c r="N369" s="144"/>
      <c r="O369" s="144"/>
      <c r="P369" s="144"/>
      <c r="Q369" s="143"/>
      <c r="R369" s="353" t="str">
        <f t="shared" si="142"/>
        <v/>
      </c>
      <c r="S369" s="129" t="str">
        <f t="shared" si="170"/>
        <v/>
      </c>
      <c r="T369" s="1226" t="str">
        <f t="shared" si="147"/>
        <v/>
      </c>
      <c r="U369" s="1226" t="str">
        <f t="shared" si="148"/>
        <v/>
      </c>
      <c r="V369" s="353" t="str">
        <f t="shared" si="141"/>
        <v/>
      </c>
      <c r="W369" s="129">
        <v>0</v>
      </c>
      <c r="X369" s="129">
        <v>0</v>
      </c>
      <c r="Y369" s="129" t="str">
        <f t="shared" si="171"/>
        <v/>
      </c>
      <c r="Z369" s="129" t="str">
        <f t="shared" si="172"/>
        <v/>
      </c>
      <c r="AA369" s="145"/>
      <c r="BA369" s="78"/>
      <c r="BB369" s="132" t="s">
        <v>2608</v>
      </c>
      <c r="BC369" s="133"/>
      <c r="BD369" s="132" t="str">
        <f>IF(OR(B369="",BC369=""),"",COUNTIF(BC$8:BC369,"√"))</f>
        <v/>
      </c>
      <c r="BE369" s="134" t="str">
        <f t="shared" si="153"/>
        <v/>
      </c>
      <c r="BF369" s="135" t="str">
        <f t="shared" si="159"/>
        <v/>
      </c>
      <c r="BG369" s="135" t="str">
        <f t="shared" si="159"/>
        <v/>
      </c>
      <c r="BH369" s="136"/>
      <c r="BI369" s="136"/>
      <c r="BJ369" s="136"/>
      <c r="BK369" s="136"/>
      <c r="BL369" s="137"/>
      <c r="BM369" s="137"/>
      <c r="BP369" s="134" t="str">
        <f>IF(COUNTIF(BP$7:BP368,B369)&gt;0,"",B369)&amp;""</f>
        <v/>
      </c>
      <c r="BQ369" s="138">
        <f t="shared" si="154"/>
        <v>0</v>
      </c>
      <c r="BR369" s="132">
        <f t="shared" si="155"/>
        <v>1</v>
      </c>
      <c r="BS369" s="138">
        <f t="shared" si="156"/>
        <v>0</v>
      </c>
      <c r="BT369" s="132">
        <f t="shared" si="157"/>
        <v>2</v>
      </c>
      <c r="BU369" s="133"/>
      <c r="BV369" s="133"/>
      <c r="BX369" s="1256">
        <v>43100</v>
      </c>
      <c r="BY369" s="165">
        <f>IFERROR(LOOKUP(BX369,基础数据!A:D),1)</f>
        <v>3.53915880885741</v>
      </c>
      <c r="BZ369" s="165">
        <f t="shared" si="162"/>
        <v>1.00524445538375</v>
      </c>
      <c r="CA369" s="165" t="e">
        <f t="shared" ref="CA369:CA370" si="173">ROUND(S369*BZ369,1)</f>
        <v>#VALUE!</v>
      </c>
      <c r="CB369" s="165">
        <f t="shared" si="167"/>
        <v>90</v>
      </c>
      <c r="CC369" s="165" t="e">
        <f t="shared" ref="CC369:CC370" si="174">ROUND(CB369*CA369/100,1)</f>
        <v>#VALUE!</v>
      </c>
      <c r="CD369" s="1257" t="s">
        <v>2237</v>
      </c>
    </row>
    <row r="370" ht="15" customHeight="1" spans="1:82">
      <c r="A370" s="123" t="str">
        <f>IF(B370="","",COUNT(A$7:A369)+1)</f>
        <v/>
      </c>
      <c r="B370" s="139"/>
      <c r="C370" s="139"/>
      <c r="D370" s="141"/>
      <c r="E370" s="126"/>
      <c r="F370" s="142"/>
      <c r="G370" s="127"/>
      <c r="H370" s="128"/>
      <c r="I370" s="128"/>
      <c r="J370" s="980"/>
      <c r="K370" s="143"/>
      <c r="L370" s="143"/>
      <c r="M370" s="129"/>
      <c r="N370" s="144"/>
      <c r="O370" s="144"/>
      <c r="P370" s="144"/>
      <c r="Q370" s="143"/>
      <c r="R370" s="353" t="str">
        <f t="shared" si="142"/>
        <v/>
      </c>
      <c r="S370" s="129" t="str">
        <f t="shared" si="170"/>
        <v/>
      </c>
      <c r="T370" s="1226" t="str">
        <f t="shared" si="147"/>
        <v/>
      </c>
      <c r="U370" s="1226" t="str">
        <f t="shared" si="148"/>
        <v/>
      </c>
      <c r="V370" s="353" t="str">
        <f t="shared" si="141"/>
        <v/>
      </c>
      <c r="W370" s="129">
        <v>0</v>
      </c>
      <c r="X370" s="129">
        <v>0</v>
      </c>
      <c r="Y370" s="129" t="str">
        <f t="shared" si="171"/>
        <v/>
      </c>
      <c r="Z370" s="129" t="str">
        <f t="shared" si="172"/>
        <v/>
      </c>
      <c r="AA370" s="145"/>
      <c r="BA370" s="78"/>
      <c r="BB370" s="132" t="s">
        <v>2609</v>
      </c>
      <c r="BC370" s="133"/>
      <c r="BD370" s="132" t="str">
        <f>IF(OR(B370="",BC370=""),"",COUNTIF(BC$8:BC370,"√"))</f>
        <v/>
      </c>
      <c r="BE370" s="134" t="str">
        <f t="shared" si="153"/>
        <v/>
      </c>
      <c r="BF370" s="135" t="str">
        <f t="shared" si="159"/>
        <v/>
      </c>
      <c r="BG370" s="135" t="str">
        <f t="shared" si="159"/>
        <v/>
      </c>
      <c r="BH370" s="136"/>
      <c r="BI370" s="136"/>
      <c r="BJ370" s="136"/>
      <c r="BK370" s="136"/>
      <c r="BL370" s="137"/>
      <c r="BM370" s="137"/>
      <c r="BP370" s="134" t="str">
        <f>IF(COUNTIF(BP$7:BP369,B370)&gt;0,"",B370)&amp;""</f>
        <v/>
      </c>
      <c r="BQ370" s="138">
        <f t="shared" si="154"/>
        <v>0</v>
      </c>
      <c r="BR370" s="132">
        <f t="shared" si="155"/>
        <v>1</v>
      </c>
      <c r="BS370" s="138">
        <f t="shared" si="156"/>
        <v>0</v>
      </c>
      <c r="BT370" s="132">
        <f t="shared" si="157"/>
        <v>2</v>
      </c>
      <c r="BU370" s="133"/>
      <c r="BV370" s="133"/>
      <c r="BX370" s="1256">
        <v>43100</v>
      </c>
      <c r="BY370" s="165">
        <f>IFERROR(LOOKUP(BX370,基础数据!A:D),1)</f>
        <v>3.53915880885741</v>
      </c>
      <c r="BZ370" s="165">
        <f t="shared" si="162"/>
        <v>1.00524445538375</v>
      </c>
      <c r="CA370" s="165" t="e">
        <f t="shared" si="173"/>
        <v>#VALUE!</v>
      </c>
      <c r="CB370" s="165">
        <f t="shared" si="167"/>
        <v>90</v>
      </c>
      <c r="CC370" s="165" t="e">
        <f t="shared" si="174"/>
        <v>#VALUE!</v>
      </c>
      <c r="CD370" s="1257" t="s">
        <v>2237</v>
      </c>
    </row>
    <row r="371" ht="15" customHeight="1" spans="1:82">
      <c r="A371" s="123" t="str">
        <f>IF(B371="","",COUNT(A$7:A370)+1)</f>
        <v/>
      </c>
      <c r="B371" s="139"/>
      <c r="C371" s="139"/>
      <c r="D371" s="141"/>
      <c r="E371" s="126"/>
      <c r="F371" s="142"/>
      <c r="G371" s="127"/>
      <c r="H371" s="128"/>
      <c r="I371" s="128"/>
      <c r="J371" s="980"/>
      <c r="K371" s="143"/>
      <c r="L371" s="143"/>
      <c r="M371" s="129"/>
      <c r="N371" s="144"/>
      <c r="O371" s="144"/>
      <c r="P371" s="144"/>
      <c r="Q371" s="143"/>
      <c r="R371" s="353" t="str">
        <f t="shared" si="142"/>
        <v/>
      </c>
      <c r="S371" s="129" t="str">
        <f t="shared" si="170"/>
        <v/>
      </c>
      <c r="T371" s="1226" t="str">
        <f t="shared" si="147"/>
        <v/>
      </c>
      <c r="U371" s="1226" t="str">
        <f t="shared" si="148"/>
        <v/>
      </c>
      <c r="V371" s="353" t="str">
        <f t="shared" si="141"/>
        <v/>
      </c>
      <c r="W371" s="129">
        <v>0</v>
      </c>
      <c r="X371" s="129">
        <v>0</v>
      </c>
      <c r="Y371" s="129" t="str">
        <f t="shared" si="171"/>
        <v/>
      </c>
      <c r="Z371" s="129" t="str">
        <f t="shared" si="172"/>
        <v/>
      </c>
      <c r="AA371" s="145"/>
      <c r="BA371" s="78"/>
      <c r="BB371" s="132" t="s">
        <v>2610</v>
      </c>
      <c r="BC371" s="133"/>
      <c r="BD371" s="132" t="str">
        <f>IF(OR(B371="",BC371=""),"",COUNTIF(BC$8:BC371,"√"))</f>
        <v/>
      </c>
      <c r="BE371" s="134" t="str">
        <f t="shared" si="153"/>
        <v/>
      </c>
      <c r="BF371" s="135" t="str">
        <f t="shared" si="159"/>
        <v/>
      </c>
      <c r="BG371" s="135" t="str">
        <f t="shared" si="159"/>
        <v/>
      </c>
      <c r="BH371" s="136"/>
      <c r="BI371" s="136"/>
      <c r="BJ371" s="136"/>
      <c r="BK371" s="136"/>
      <c r="BL371" s="137"/>
      <c r="BM371" s="137"/>
      <c r="BP371" s="134" t="str">
        <f>IF(COUNTIF(BP$7:BP370,B371)&gt;0,"",B371)&amp;""</f>
        <v/>
      </c>
      <c r="BQ371" s="138">
        <f t="shared" si="154"/>
        <v>0</v>
      </c>
      <c r="BR371" s="132">
        <f t="shared" si="155"/>
        <v>1</v>
      </c>
      <c r="BS371" s="138">
        <f t="shared" si="156"/>
        <v>0</v>
      </c>
      <c r="BT371" s="132">
        <f t="shared" si="157"/>
        <v>2</v>
      </c>
      <c r="BU371" s="133"/>
      <c r="BV371" s="133"/>
      <c r="BX371" s="1256">
        <v>43100</v>
      </c>
      <c r="BY371" s="165">
        <f>IFERROR(LOOKUP(BX371,基础数据!A:D),1)</f>
        <v>3.53915880885741</v>
      </c>
      <c r="BZ371" s="165">
        <f t="shared" si="162"/>
        <v>1.00524445538375</v>
      </c>
      <c r="CA371" s="165" t="e">
        <f t="shared" si="163"/>
        <v>#VALUE!</v>
      </c>
      <c r="CB371" s="165">
        <f t="shared" si="167"/>
        <v>90</v>
      </c>
      <c r="CC371" s="165" t="e">
        <f t="shared" si="165"/>
        <v>#VALUE!</v>
      </c>
      <c r="CD371" s="1257" t="s">
        <v>2237</v>
      </c>
    </row>
    <row r="372" ht="15" customHeight="1" spans="1:82">
      <c r="A372" s="123" t="str">
        <f>IF(B372="","",COUNT(A$7:A371)+1)</f>
        <v/>
      </c>
      <c r="B372" s="139"/>
      <c r="C372" s="139"/>
      <c r="D372" s="141"/>
      <c r="E372" s="126"/>
      <c r="F372" s="142"/>
      <c r="G372" s="127"/>
      <c r="H372" s="128"/>
      <c r="I372" s="128"/>
      <c r="J372" s="980"/>
      <c r="K372" s="143"/>
      <c r="L372" s="143"/>
      <c r="M372" s="129"/>
      <c r="N372" s="144"/>
      <c r="O372" s="144"/>
      <c r="P372" s="144"/>
      <c r="Q372" s="143"/>
      <c r="R372" s="353" t="str">
        <f t="shared" si="142"/>
        <v/>
      </c>
      <c r="S372" s="129" t="str">
        <f t="shared" si="170"/>
        <v/>
      </c>
      <c r="T372" s="1226" t="str">
        <f t="shared" si="147"/>
        <v/>
      </c>
      <c r="U372" s="1226" t="str">
        <f t="shared" si="148"/>
        <v/>
      </c>
      <c r="V372" s="353" t="str">
        <f t="shared" si="141"/>
        <v/>
      </c>
      <c r="W372" s="129">
        <v>0</v>
      </c>
      <c r="X372" s="129">
        <v>0</v>
      </c>
      <c r="Y372" s="129" t="str">
        <f t="shared" si="171"/>
        <v/>
      </c>
      <c r="Z372" s="129" t="str">
        <f t="shared" si="172"/>
        <v/>
      </c>
      <c r="AA372" s="145"/>
      <c r="BA372" s="78"/>
      <c r="BB372" s="132" t="s">
        <v>2611</v>
      </c>
      <c r="BC372" s="133"/>
      <c r="BD372" s="132" t="str">
        <f>IF(OR(B372="",BC372=""),"",COUNTIF(BC$8:BC372,"√"))</f>
        <v/>
      </c>
      <c r="BE372" s="134" t="str">
        <f t="shared" si="153"/>
        <v/>
      </c>
      <c r="BF372" s="135" t="str">
        <f t="shared" si="159"/>
        <v/>
      </c>
      <c r="BG372" s="135" t="str">
        <f t="shared" si="159"/>
        <v/>
      </c>
      <c r="BH372" s="136"/>
      <c r="BI372" s="136"/>
      <c r="BJ372" s="136"/>
      <c r="BK372" s="136"/>
      <c r="BL372" s="137"/>
      <c r="BM372" s="137"/>
      <c r="BP372" s="134" t="str">
        <f>IF(COUNTIF(BP$7:BP371,B372)&gt;0,"",B372)&amp;""</f>
        <v/>
      </c>
      <c r="BQ372" s="138">
        <f t="shared" si="154"/>
        <v>0</v>
      </c>
      <c r="BR372" s="132">
        <f t="shared" si="155"/>
        <v>1</v>
      </c>
      <c r="BS372" s="138">
        <f t="shared" si="156"/>
        <v>0</v>
      </c>
      <c r="BT372" s="132">
        <f t="shared" si="157"/>
        <v>2</v>
      </c>
      <c r="BU372" s="133"/>
      <c r="BV372" s="133"/>
      <c r="BX372" s="1256">
        <v>43100</v>
      </c>
      <c r="BY372" s="165">
        <f>IFERROR(LOOKUP(BX372,基础数据!A:D),1)</f>
        <v>3.53915880885741</v>
      </c>
      <c r="BZ372" s="165">
        <f t="shared" si="162"/>
        <v>1.00524445538375</v>
      </c>
      <c r="CA372" s="165" t="e">
        <f>ROUND(S372*BZ372,1)</f>
        <v>#VALUE!</v>
      </c>
      <c r="CB372" s="165">
        <f t="shared" si="167"/>
        <v>90</v>
      </c>
      <c r="CC372" s="165" t="e">
        <f>ROUND(CB372*CA372/100,1)</f>
        <v>#VALUE!</v>
      </c>
      <c r="CD372" s="1257" t="s">
        <v>2237</v>
      </c>
    </row>
    <row r="373" ht="15" customHeight="1" spans="1:82">
      <c r="A373" s="123" t="str">
        <f>IF(B373="","",COUNT(A$7:A372)+1)</f>
        <v/>
      </c>
      <c r="B373" s="139"/>
      <c r="C373" s="139"/>
      <c r="D373" s="141"/>
      <c r="E373" s="126"/>
      <c r="F373" s="142"/>
      <c r="G373" s="127"/>
      <c r="H373" s="128"/>
      <c r="I373" s="128"/>
      <c r="J373" s="980"/>
      <c r="K373" s="143"/>
      <c r="L373" s="143"/>
      <c r="M373" s="129"/>
      <c r="N373" s="144"/>
      <c r="O373" s="144"/>
      <c r="P373" s="144"/>
      <c r="Q373" s="143"/>
      <c r="R373" s="353" t="str">
        <f t="shared" si="142"/>
        <v/>
      </c>
      <c r="S373" s="129" t="str">
        <f t="shared" si="170"/>
        <v/>
      </c>
      <c r="T373" s="1226" t="str">
        <f t="shared" si="147"/>
        <v/>
      </c>
      <c r="U373" s="1226" t="str">
        <f t="shared" si="148"/>
        <v/>
      </c>
      <c r="V373" s="353" t="str">
        <f t="shared" si="141"/>
        <v/>
      </c>
      <c r="W373" s="129">
        <v>0</v>
      </c>
      <c r="X373" s="129">
        <v>0</v>
      </c>
      <c r="Y373" s="129" t="str">
        <f t="shared" si="171"/>
        <v/>
      </c>
      <c r="Z373" s="129" t="str">
        <f t="shared" si="172"/>
        <v/>
      </c>
      <c r="AA373" s="950" t="s">
        <v>2612</v>
      </c>
      <c r="BA373" s="78"/>
      <c r="BB373" s="132" t="s">
        <v>2613</v>
      </c>
      <c r="BC373" s="133"/>
      <c r="BD373" s="132" t="str">
        <f>IF(OR(B373="",BC373=""),"",COUNTIF(BC$8:BC373,"√"))</f>
        <v/>
      </c>
      <c r="BE373" s="134" t="str">
        <f t="shared" si="153"/>
        <v/>
      </c>
      <c r="BF373" s="135" t="str">
        <f t="shared" si="159"/>
        <v/>
      </c>
      <c r="BG373" s="135" t="str">
        <f t="shared" si="159"/>
        <v/>
      </c>
      <c r="BH373" s="136"/>
      <c r="BI373" s="136"/>
      <c r="BJ373" s="136"/>
      <c r="BK373" s="136"/>
      <c r="BL373" s="137"/>
      <c r="BM373" s="137"/>
      <c r="BP373" s="134" t="str">
        <f>IF(COUNTIF(BP$7:BP372,B373)&gt;0,"",B373)&amp;""</f>
        <v/>
      </c>
      <c r="BQ373" s="138">
        <f t="shared" si="154"/>
        <v>0</v>
      </c>
      <c r="BR373" s="132">
        <f t="shared" si="155"/>
        <v>1</v>
      </c>
      <c r="BS373" s="138">
        <f t="shared" si="156"/>
        <v>0</v>
      </c>
      <c r="BT373" s="132">
        <f t="shared" si="157"/>
        <v>2</v>
      </c>
      <c r="BU373" s="133"/>
      <c r="BV373" s="133"/>
      <c r="BX373" s="1256">
        <v>43100</v>
      </c>
      <c r="BY373" s="165">
        <f>IFERROR(LOOKUP(BX373,基础数据!A:D),1)</f>
        <v>3.53915880885741</v>
      </c>
      <c r="BZ373" s="165">
        <f t="shared" si="162"/>
        <v>1.00524445538375</v>
      </c>
      <c r="CA373" s="165" t="e">
        <f t="shared" si="163"/>
        <v>#VALUE!</v>
      </c>
      <c r="CB373" s="165">
        <v>0</v>
      </c>
      <c r="CC373" s="165" t="e">
        <f t="shared" si="165"/>
        <v>#VALUE!</v>
      </c>
      <c r="CD373" s="1257" t="s">
        <v>2237</v>
      </c>
    </row>
    <row r="374" ht="15" customHeight="1" spans="1:82">
      <c r="A374" s="123" t="str">
        <f>IF(B374="","",COUNT(A$7:A373)+1)</f>
        <v/>
      </c>
      <c r="B374" s="139"/>
      <c r="C374" s="139"/>
      <c r="D374" s="141"/>
      <c r="E374" s="126"/>
      <c r="F374" s="142"/>
      <c r="G374" s="127"/>
      <c r="H374" s="128"/>
      <c r="I374" s="128"/>
      <c r="J374" s="980"/>
      <c r="K374" s="143"/>
      <c r="L374" s="143"/>
      <c r="M374" s="129"/>
      <c r="N374" s="144"/>
      <c r="O374" s="144"/>
      <c r="P374" s="144"/>
      <c r="Q374" s="143"/>
      <c r="R374" s="353" t="str">
        <f t="shared" si="142"/>
        <v/>
      </c>
      <c r="S374" s="129" t="str">
        <f t="shared" si="170"/>
        <v/>
      </c>
      <c r="T374" s="1226" t="str">
        <f t="shared" si="147"/>
        <v/>
      </c>
      <c r="U374" s="1226" t="str">
        <f t="shared" si="148"/>
        <v/>
      </c>
      <c r="V374" s="353" t="str">
        <f t="shared" si="141"/>
        <v/>
      </c>
      <c r="W374" s="129">
        <v>0</v>
      </c>
      <c r="X374" s="129">
        <v>0</v>
      </c>
      <c r="Y374" s="129" t="str">
        <f t="shared" si="171"/>
        <v/>
      </c>
      <c r="Z374" s="129" t="str">
        <f t="shared" si="172"/>
        <v/>
      </c>
      <c r="AA374" s="145"/>
      <c r="BA374" s="78"/>
      <c r="BB374" s="132" t="s">
        <v>2614</v>
      </c>
      <c r="BC374" s="133"/>
      <c r="BD374" s="132" t="str">
        <f>IF(OR(B374="",BC374=""),"",COUNTIF(BC$8:BC374,"√"))</f>
        <v/>
      </c>
      <c r="BE374" s="134" t="str">
        <f t="shared" si="153"/>
        <v/>
      </c>
      <c r="BF374" s="135" t="str">
        <f t="shared" si="159"/>
        <v/>
      </c>
      <c r="BG374" s="135" t="str">
        <f t="shared" si="159"/>
        <v/>
      </c>
      <c r="BH374" s="136"/>
      <c r="BI374" s="136"/>
      <c r="BJ374" s="136"/>
      <c r="BK374" s="136"/>
      <c r="BL374" s="137"/>
      <c r="BM374" s="137"/>
      <c r="BP374" s="134" t="str">
        <f>IF(COUNTIF(BP$7:BP373,B374)&gt;0,"",B374)&amp;""</f>
        <v/>
      </c>
      <c r="BQ374" s="138">
        <f t="shared" si="154"/>
        <v>0</v>
      </c>
      <c r="BR374" s="132">
        <f t="shared" si="155"/>
        <v>1</v>
      </c>
      <c r="BS374" s="138">
        <f t="shared" si="156"/>
        <v>0</v>
      </c>
      <c r="BT374" s="132">
        <f t="shared" si="157"/>
        <v>2</v>
      </c>
      <c r="BU374" s="133"/>
      <c r="BV374" s="133"/>
      <c r="BX374" s="1256">
        <v>43100</v>
      </c>
      <c r="BY374" s="165">
        <f>IFERROR(LOOKUP(BX374,基础数据!A:D),1)</f>
        <v>3.53915880885741</v>
      </c>
      <c r="BZ374" s="165">
        <f t="shared" si="162"/>
        <v>1.00524445538375</v>
      </c>
      <c r="CA374" s="165" t="e">
        <f t="shared" si="163"/>
        <v>#VALUE!</v>
      </c>
      <c r="CB374" s="165">
        <f t="shared" ref="CB374:CB375" si="175">CO$2</f>
        <v>95</v>
      </c>
      <c r="CC374" s="165" t="e">
        <f t="shared" si="165"/>
        <v>#VALUE!</v>
      </c>
      <c r="CD374" s="1260" t="s">
        <v>2236</v>
      </c>
    </row>
    <row r="375" ht="15" customHeight="1" spans="1:82">
      <c r="A375" s="123" t="str">
        <f>IF(B375="","",COUNT(A$7:A374)+1)</f>
        <v/>
      </c>
      <c r="B375" s="139"/>
      <c r="C375" s="139"/>
      <c r="D375" s="141"/>
      <c r="E375" s="126"/>
      <c r="F375" s="142"/>
      <c r="G375" s="127"/>
      <c r="H375" s="128"/>
      <c r="I375" s="128"/>
      <c r="J375" s="980"/>
      <c r="K375" s="143"/>
      <c r="L375" s="143"/>
      <c r="M375" s="129"/>
      <c r="N375" s="144"/>
      <c r="O375" s="144"/>
      <c r="P375" s="144"/>
      <c r="Q375" s="143"/>
      <c r="R375" s="353" t="str">
        <f t="shared" si="142"/>
        <v/>
      </c>
      <c r="S375" s="129" t="str">
        <f t="shared" si="170"/>
        <v/>
      </c>
      <c r="T375" s="1226" t="str">
        <f t="shared" si="147"/>
        <v/>
      </c>
      <c r="U375" s="1226" t="str">
        <f t="shared" si="148"/>
        <v/>
      </c>
      <c r="V375" s="353" t="str">
        <f t="shared" si="141"/>
        <v/>
      </c>
      <c r="W375" s="129">
        <v>0</v>
      </c>
      <c r="X375" s="129">
        <v>0</v>
      </c>
      <c r="Y375" s="129" t="str">
        <f t="shared" si="171"/>
        <v/>
      </c>
      <c r="Z375" s="129" t="str">
        <f t="shared" si="172"/>
        <v/>
      </c>
      <c r="AA375" s="145"/>
      <c r="BA375" s="78"/>
      <c r="BB375" s="132" t="s">
        <v>2615</v>
      </c>
      <c r="BC375" s="133"/>
      <c r="BD375" s="132" t="str">
        <f>IF(OR(B375="",BC375=""),"",COUNTIF(BC$8:BC375,"√"))</f>
        <v/>
      </c>
      <c r="BE375" s="134" t="str">
        <f t="shared" si="153"/>
        <v/>
      </c>
      <c r="BF375" s="135" t="str">
        <f t="shared" si="159"/>
        <v/>
      </c>
      <c r="BG375" s="135" t="str">
        <f t="shared" si="159"/>
        <v/>
      </c>
      <c r="BH375" s="136"/>
      <c r="BI375" s="136"/>
      <c r="BJ375" s="136"/>
      <c r="BK375" s="136"/>
      <c r="BL375" s="137"/>
      <c r="BM375" s="137"/>
      <c r="BP375" s="134" t="str">
        <f>IF(COUNTIF(BP$7:BP374,B375)&gt;0,"",B375)&amp;""</f>
        <v/>
      </c>
      <c r="BQ375" s="138">
        <f t="shared" si="154"/>
        <v>0</v>
      </c>
      <c r="BR375" s="132">
        <f t="shared" si="155"/>
        <v>1</v>
      </c>
      <c r="BS375" s="138">
        <f t="shared" si="156"/>
        <v>0</v>
      </c>
      <c r="BT375" s="132">
        <f t="shared" si="157"/>
        <v>2</v>
      </c>
      <c r="BU375" s="133"/>
      <c r="BV375" s="133"/>
      <c r="BX375" s="1256">
        <v>43100</v>
      </c>
      <c r="BY375" s="165">
        <f>IFERROR(LOOKUP(BX375,基础数据!A:D),1)</f>
        <v>3.53915880885741</v>
      </c>
      <c r="BZ375" s="165">
        <f t="shared" si="162"/>
        <v>1.00524445538375</v>
      </c>
      <c r="CA375" s="165" t="e">
        <f t="shared" si="163"/>
        <v>#VALUE!</v>
      </c>
      <c r="CB375" s="165">
        <f t="shared" si="175"/>
        <v>95</v>
      </c>
      <c r="CC375" s="165" t="e">
        <f t="shared" si="165"/>
        <v>#VALUE!</v>
      </c>
      <c r="CD375" s="1260" t="s">
        <v>2236</v>
      </c>
    </row>
    <row r="376" ht="15" customHeight="1" spans="1:82">
      <c r="A376" s="123" t="str">
        <f>IF(B376="","",COUNT(A$7:A375)+1)</f>
        <v/>
      </c>
      <c r="B376" s="139"/>
      <c r="C376" s="139"/>
      <c r="D376" s="141"/>
      <c r="E376" s="126"/>
      <c r="F376" s="142"/>
      <c r="G376" s="127"/>
      <c r="H376" s="128"/>
      <c r="I376" s="128"/>
      <c r="J376" s="980"/>
      <c r="K376" s="143"/>
      <c r="L376" s="143"/>
      <c r="M376" s="129"/>
      <c r="N376" s="144"/>
      <c r="O376" s="144"/>
      <c r="P376" s="144"/>
      <c r="Q376" s="143"/>
      <c r="R376" s="353" t="str">
        <f t="shared" si="142"/>
        <v/>
      </c>
      <c r="S376" s="129" t="str">
        <f t="shared" si="170"/>
        <v/>
      </c>
      <c r="T376" s="1226" t="str">
        <f t="shared" si="147"/>
        <v/>
      </c>
      <c r="U376" s="1226" t="str">
        <f t="shared" si="148"/>
        <v/>
      </c>
      <c r="V376" s="353" t="str">
        <f t="shared" si="141"/>
        <v/>
      </c>
      <c r="W376" s="129">
        <v>0</v>
      </c>
      <c r="X376" s="129">
        <v>0</v>
      </c>
      <c r="Y376" s="129" t="str">
        <f t="shared" si="171"/>
        <v/>
      </c>
      <c r="Z376" s="129" t="str">
        <f t="shared" si="172"/>
        <v/>
      </c>
      <c r="AA376" s="145"/>
      <c r="BA376" s="78"/>
      <c r="BB376" s="132" t="s">
        <v>2616</v>
      </c>
      <c r="BC376" s="133"/>
      <c r="BD376" s="132" t="str">
        <f>IF(OR(B376="",BC376=""),"",COUNTIF(BC$8:BC376,"√"))</f>
        <v/>
      </c>
      <c r="BE376" s="134" t="str">
        <f t="shared" si="153"/>
        <v/>
      </c>
      <c r="BF376" s="135" t="str">
        <f t="shared" si="159"/>
        <v/>
      </c>
      <c r="BG376" s="135" t="str">
        <f t="shared" si="159"/>
        <v/>
      </c>
      <c r="BH376" s="136"/>
      <c r="BI376" s="136"/>
      <c r="BJ376" s="136"/>
      <c r="BK376" s="136"/>
      <c r="BL376" s="137"/>
      <c r="BM376" s="137"/>
      <c r="BP376" s="134" t="str">
        <f>IF(COUNTIF(BP$7:BP375,B376)&gt;0,"",B376)&amp;""</f>
        <v/>
      </c>
      <c r="BQ376" s="138">
        <f t="shared" si="154"/>
        <v>0</v>
      </c>
      <c r="BR376" s="132">
        <f t="shared" si="155"/>
        <v>1</v>
      </c>
      <c r="BS376" s="138">
        <f t="shared" si="156"/>
        <v>0</v>
      </c>
      <c r="BT376" s="132">
        <f t="shared" si="157"/>
        <v>2</v>
      </c>
      <c r="BU376" s="133"/>
      <c r="BV376" s="133"/>
      <c r="BX376" s="1256">
        <v>43100</v>
      </c>
      <c r="BY376" s="165">
        <f>IFERROR(LOOKUP(BX376,基础数据!A:D),1)</f>
        <v>3.53915880885741</v>
      </c>
      <c r="BZ376" s="165">
        <f t="shared" si="162"/>
        <v>1.00524445538375</v>
      </c>
      <c r="CA376" s="165" t="e">
        <f t="shared" si="163"/>
        <v>#VALUE!</v>
      </c>
      <c r="CB376" s="165">
        <f t="shared" ref="CB376:CB379" si="176">CO$3</f>
        <v>90</v>
      </c>
      <c r="CC376" s="165" t="e">
        <f t="shared" si="165"/>
        <v>#VALUE!</v>
      </c>
      <c r="CD376" s="1257" t="s">
        <v>2237</v>
      </c>
    </row>
    <row r="377" ht="15" customHeight="1" spans="1:82">
      <c r="A377" s="123" t="str">
        <f>IF(B377="","",COUNT(A$7:A376)+1)</f>
        <v/>
      </c>
      <c r="B377" s="139"/>
      <c r="C377" s="139"/>
      <c r="D377" s="141"/>
      <c r="E377" s="126"/>
      <c r="F377" s="142"/>
      <c r="G377" s="127"/>
      <c r="H377" s="128"/>
      <c r="I377" s="128"/>
      <c r="J377" s="980"/>
      <c r="K377" s="143"/>
      <c r="L377" s="143"/>
      <c r="M377" s="129"/>
      <c r="N377" s="144"/>
      <c r="O377" s="144"/>
      <c r="P377" s="144"/>
      <c r="Q377" s="143"/>
      <c r="R377" s="353" t="str">
        <f t="shared" si="142"/>
        <v/>
      </c>
      <c r="S377" s="129" t="str">
        <f t="shared" si="170"/>
        <v/>
      </c>
      <c r="T377" s="1226" t="str">
        <f t="shared" si="147"/>
        <v/>
      </c>
      <c r="U377" s="1226" t="str">
        <f t="shared" si="148"/>
        <v/>
      </c>
      <c r="V377" s="353" t="str">
        <f t="shared" si="141"/>
        <v/>
      </c>
      <c r="W377" s="129">
        <v>0</v>
      </c>
      <c r="X377" s="129">
        <v>0</v>
      </c>
      <c r="Y377" s="129" t="str">
        <f t="shared" si="171"/>
        <v/>
      </c>
      <c r="Z377" s="129" t="str">
        <f t="shared" si="172"/>
        <v/>
      </c>
      <c r="AA377" s="145"/>
      <c r="BA377" s="78"/>
      <c r="BB377" s="132" t="s">
        <v>2617</v>
      </c>
      <c r="BC377" s="133"/>
      <c r="BD377" s="132" t="str">
        <f>IF(OR(B377="",BC377=""),"",COUNTIF(BC$8:BC377,"√"))</f>
        <v/>
      </c>
      <c r="BE377" s="134" t="str">
        <f t="shared" si="153"/>
        <v/>
      </c>
      <c r="BF377" s="135" t="str">
        <f t="shared" si="159"/>
        <v/>
      </c>
      <c r="BG377" s="135" t="str">
        <f t="shared" si="159"/>
        <v/>
      </c>
      <c r="BH377" s="136"/>
      <c r="BI377" s="136"/>
      <c r="BJ377" s="136"/>
      <c r="BK377" s="136"/>
      <c r="BL377" s="137"/>
      <c r="BM377" s="137"/>
      <c r="BP377" s="134" t="str">
        <f>IF(COUNTIF(BP$7:BP376,B377)&gt;0,"",B377)&amp;""</f>
        <v/>
      </c>
      <c r="BQ377" s="138">
        <f t="shared" si="154"/>
        <v>0</v>
      </c>
      <c r="BR377" s="132">
        <f t="shared" si="155"/>
        <v>1</v>
      </c>
      <c r="BS377" s="138">
        <f t="shared" si="156"/>
        <v>0</v>
      </c>
      <c r="BT377" s="132">
        <f t="shared" si="157"/>
        <v>2</v>
      </c>
      <c r="BU377" s="133"/>
      <c r="BV377" s="133"/>
      <c r="BX377" s="1256">
        <v>43100</v>
      </c>
      <c r="BY377" s="165">
        <f>IFERROR(LOOKUP(BX377,基础数据!A:D),1)</f>
        <v>3.53915880885741</v>
      </c>
      <c r="BZ377" s="165">
        <f t="shared" si="162"/>
        <v>1.00524445538375</v>
      </c>
      <c r="CA377" s="165" t="e">
        <f t="shared" si="163"/>
        <v>#VALUE!</v>
      </c>
      <c r="CB377" s="165">
        <f t="shared" si="176"/>
        <v>90</v>
      </c>
      <c r="CC377" s="165" t="e">
        <f t="shared" si="165"/>
        <v>#VALUE!</v>
      </c>
      <c r="CD377" s="1257" t="s">
        <v>2237</v>
      </c>
    </row>
    <row r="378" ht="15" customHeight="1" spans="1:82">
      <c r="A378" s="123" t="str">
        <f>IF(B378="","",COUNT(A$7:A377)+1)</f>
        <v/>
      </c>
      <c r="B378" s="139"/>
      <c r="C378" s="139"/>
      <c r="D378" s="141"/>
      <c r="E378" s="126"/>
      <c r="F378" s="142"/>
      <c r="G378" s="127"/>
      <c r="H378" s="128"/>
      <c r="I378" s="128"/>
      <c r="J378" s="980"/>
      <c r="K378" s="143"/>
      <c r="L378" s="143"/>
      <c r="M378" s="129"/>
      <c r="N378" s="144"/>
      <c r="O378" s="144"/>
      <c r="P378" s="144"/>
      <c r="Q378" s="143"/>
      <c r="R378" s="353" t="str">
        <f t="shared" si="142"/>
        <v/>
      </c>
      <c r="S378" s="129" t="str">
        <f t="shared" si="170"/>
        <v/>
      </c>
      <c r="T378" s="1226" t="str">
        <f t="shared" si="147"/>
        <v/>
      </c>
      <c r="U378" s="1226" t="str">
        <f t="shared" si="148"/>
        <v/>
      </c>
      <c r="V378" s="353" t="str">
        <f t="shared" si="141"/>
        <v/>
      </c>
      <c r="W378" s="129">
        <v>0</v>
      </c>
      <c r="X378" s="129">
        <v>0</v>
      </c>
      <c r="Y378" s="129" t="str">
        <f t="shared" si="171"/>
        <v/>
      </c>
      <c r="Z378" s="129" t="str">
        <f t="shared" si="172"/>
        <v/>
      </c>
      <c r="AA378" s="145"/>
      <c r="BA378" s="78"/>
      <c r="BB378" s="132" t="s">
        <v>2618</v>
      </c>
      <c r="BC378" s="133"/>
      <c r="BD378" s="132" t="str">
        <f>IF(OR(B378="",BC378=""),"",COUNTIF(BC$8:BC378,"√"))</f>
        <v/>
      </c>
      <c r="BE378" s="134" t="str">
        <f t="shared" si="153"/>
        <v/>
      </c>
      <c r="BF378" s="135" t="str">
        <f t="shared" si="159"/>
        <v/>
      </c>
      <c r="BG378" s="135" t="str">
        <f t="shared" si="159"/>
        <v/>
      </c>
      <c r="BH378" s="136"/>
      <c r="BI378" s="136"/>
      <c r="BJ378" s="136"/>
      <c r="BK378" s="136"/>
      <c r="BL378" s="137"/>
      <c r="BM378" s="137"/>
      <c r="BP378" s="134" t="str">
        <f>IF(COUNTIF(BP$7:BP377,B378)&gt;0,"",B378)&amp;""</f>
        <v/>
      </c>
      <c r="BQ378" s="138">
        <f t="shared" si="154"/>
        <v>0</v>
      </c>
      <c r="BR378" s="132">
        <f t="shared" si="155"/>
        <v>1</v>
      </c>
      <c r="BS378" s="138">
        <f t="shared" si="156"/>
        <v>0</v>
      </c>
      <c r="BT378" s="132">
        <f t="shared" si="157"/>
        <v>2</v>
      </c>
      <c r="BU378" s="133"/>
      <c r="BV378" s="133"/>
      <c r="BX378" s="1256">
        <v>43100</v>
      </c>
      <c r="BY378" s="165">
        <f>IFERROR(LOOKUP(BX378,基础数据!A:D),1)</f>
        <v>3.53915880885741</v>
      </c>
      <c r="BZ378" s="165">
        <f t="shared" si="162"/>
        <v>1.00524445538375</v>
      </c>
      <c r="CA378" s="165" t="e">
        <f t="shared" si="163"/>
        <v>#VALUE!</v>
      </c>
      <c r="CB378" s="165">
        <f t="shared" si="176"/>
        <v>90</v>
      </c>
      <c r="CC378" s="165" t="e">
        <f t="shared" si="165"/>
        <v>#VALUE!</v>
      </c>
      <c r="CD378" s="1257" t="s">
        <v>2237</v>
      </c>
    </row>
    <row r="379" ht="15" customHeight="1" spans="1:82">
      <c r="A379" s="123" t="str">
        <f>IF(B379="","",COUNT(A$7:A378)+1)</f>
        <v/>
      </c>
      <c r="B379" s="139"/>
      <c r="C379" s="139"/>
      <c r="D379" s="141"/>
      <c r="E379" s="126"/>
      <c r="F379" s="142"/>
      <c r="G379" s="127"/>
      <c r="H379" s="128"/>
      <c r="I379" s="128"/>
      <c r="J379" s="980"/>
      <c r="K379" s="143"/>
      <c r="L379" s="143"/>
      <c r="M379" s="129"/>
      <c r="N379" s="144"/>
      <c r="O379" s="144"/>
      <c r="P379" s="144"/>
      <c r="Q379" s="143"/>
      <c r="R379" s="353" t="str">
        <f t="shared" si="142"/>
        <v/>
      </c>
      <c r="S379" s="129" t="str">
        <f t="shared" si="170"/>
        <v/>
      </c>
      <c r="T379" s="1226" t="str">
        <f t="shared" si="147"/>
        <v/>
      </c>
      <c r="U379" s="1226" t="str">
        <f t="shared" si="148"/>
        <v/>
      </c>
      <c r="V379" s="353" t="str">
        <f t="shared" ref="V379:V396" si="177">IF(B379="","",IF($BB$3="是",R379,""))</f>
        <v/>
      </c>
      <c r="W379" s="129">
        <v>0</v>
      </c>
      <c r="X379" s="129">
        <v>0</v>
      </c>
      <c r="Y379" s="129" t="str">
        <f t="shared" si="171"/>
        <v/>
      </c>
      <c r="Z379" s="129" t="str">
        <f t="shared" si="172"/>
        <v/>
      </c>
      <c r="AA379" s="145"/>
      <c r="BA379" s="78"/>
      <c r="BB379" s="132" t="s">
        <v>2619</v>
      </c>
      <c r="BC379" s="133"/>
      <c r="BD379" s="132" t="str">
        <f>IF(OR(B379="",BC379=""),"",COUNTIF(BC$8:BC379,"√"))</f>
        <v/>
      </c>
      <c r="BE379" s="134" t="str">
        <f t="shared" si="153"/>
        <v/>
      </c>
      <c r="BF379" s="135" t="str">
        <f t="shared" si="159"/>
        <v/>
      </c>
      <c r="BG379" s="135" t="str">
        <f t="shared" si="159"/>
        <v/>
      </c>
      <c r="BH379" s="136"/>
      <c r="BI379" s="136"/>
      <c r="BJ379" s="136"/>
      <c r="BK379" s="136"/>
      <c r="BL379" s="137"/>
      <c r="BM379" s="137"/>
      <c r="BP379" s="134" t="str">
        <f>IF(COUNTIF(BP$7:BP378,B379)&gt;0,"",B379)&amp;""</f>
        <v/>
      </c>
      <c r="BQ379" s="138">
        <f t="shared" si="154"/>
        <v>0</v>
      </c>
      <c r="BR379" s="132">
        <f t="shared" si="155"/>
        <v>1</v>
      </c>
      <c r="BS379" s="138">
        <f t="shared" si="156"/>
        <v>0</v>
      </c>
      <c r="BT379" s="132">
        <f t="shared" si="157"/>
        <v>2</v>
      </c>
      <c r="BU379" s="133"/>
      <c r="BV379" s="133"/>
      <c r="BX379" s="1256">
        <v>43100</v>
      </c>
      <c r="BY379" s="165">
        <f>IFERROR(LOOKUP(BX379,基础数据!A:D),1)</f>
        <v>3.53915880885741</v>
      </c>
      <c r="BZ379" s="165">
        <f t="shared" si="162"/>
        <v>1.00524445538375</v>
      </c>
      <c r="CA379" s="165" t="e">
        <f t="shared" si="163"/>
        <v>#VALUE!</v>
      </c>
      <c r="CB379" s="165">
        <f t="shared" si="176"/>
        <v>90</v>
      </c>
      <c r="CC379" s="165" t="e">
        <f t="shared" si="165"/>
        <v>#VALUE!</v>
      </c>
      <c r="CD379" s="1257" t="s">
        <v>2237</v>
      </c>
    </row>
    <row r="380" ht="15" customHeight="1" spans="1:82">
      <c r="A380" s="123" t="str">
        <f>IF(B380="","",COUNT(A$7:A379)+1)</f>
        <v/>
      </c>
      <c r="B380" s="139"/>
      <c r="C380" s="139"/>
      <c r="D380" s="141"/>
      <c r="E380" s="126"/>
      <c r="F380" s="142"/>
      <c r="G380" s="127"/>
      <c r="H380" s="128"/>
      <c r="I380" s="128"/>
      <c r="J380" s="980"/>
      <c r="K380" s="143"/>
      <c r="L380" s="143"/>
      <c r="M380" s="129"/>
      <c r="N380" s="144"/>
      <c r="O380" s="144"/>
      <c r="P380" s="144"/>
      <c r="Q380" s="143"/>
      <c r="R380" s="353" t="str">
        <f t="shared" si="142"/>
        <v/>
      </c>
      <c r="S380" s="129" t="str">
        <f t="shared" si="170"/>
        <v/>
      </c>
      <c r="T380" s="1226" t="str">
        <f t="shared" si="147"/>
        <v/>
      </c>
      <c r="U380" s="1226" t="str">
        <f t="shared" si="148"/>
        <v/>
      </c>
      <c r="V380" s="353" t="str">
        <f t="shared" si="177"/>
        <v/>
      </c>
      <c r="W380" s="129">
        <v>0</v>
      </c>
      <c r="X380" s="129">
        <v>0</v>
      </c>
      <c r="Y380" s="129" t="str">
        <f t="shared" si="171"/>
        <v/>
      </c>
      <c r="Z380" s="129" t="str">
        <f t="shared" si="172"/>
        <v/>
      </c>
      <c r="AA380" s="145"/>
      <c r="BA380" s="78"/>
      <c r="BB380" s="132" t="s">
        <v>2620</v>
      </c>
      <c r="BC380" s="133"/>
      <c r="BD380" s="132" t="str">
        <f>IF(OR(B380="",BC380=""),"",COUNTIF(BC$8:BC380,"√"))</f>
        <v/>
      </c>
      <c r="BE380" s="134" t="str">
        <f t="shared" si="153"/>
        <v/>
      </c>
      <c r="BF380" s="135" t="str">
        <f t="shared" si="159"/>
        <v/>
      </c>
      <c r="BG380" s="135" t="str">
        <f t="shared" si="159"/>
        <v/>
      </c>
      <c r="BH380" s="136"/>
      <c r="BI380" s="136"/>
      <c r="BJ380" s="136"/>
      <c r="BK380" s="136"/>
      <c r="BL380" s="137"/>
      <c r="BM380" s="137"/>
      <c r="BP380" s="134" t="str">
        <f>IF(COUNTIF(BP$7:BP379,B380)&gt;0,"",B380)&amp;""</f>
        <v/>
      </c>
      <c r="BQ380" s="138">
        <f t="shared" si="154"/>
        <v>0</v>
      </c>
      <c r="BR380" s="132">
        <f t="shared" si="155"/>
        <v>1</v>
      </c>
      <c r="BS380" s="138">
        <f t="shared" si="156"/>
        <v>0</v>
      </c>
      <c r="BT380" s="132">
        <f t="shared" si="157"/>
        <v>2</v>
      </c>
      <c r="BU380" s="133"/>
      <c r="BV380" s="133"/>
      <c r="BX380" s="1256">
        <v>43100</v>
      </c>
      <c r="BY380" s="165">
        <f>IFERROR(LOOKUP(BX380,基础数据!A:D),1)</f>
        <v>3.53915880885741</v>
      </c>
      <c r="BZ380" s="165">
        <f t="shared" si="162"/>
        <v>1.00524445538375</v>
      </c>
      <c r="CA380" s="165" t="e">
        <f t="shared" ref="CA380:CA384" si="178">ROUND(S380*BZ380,1)</f>
        <v>#VALUE!</v>
      </c>
      <c r="CB380" s="165">
        <f>CO$2</f>
        <v>95</v>
      </c>
      <c r="CC380" s="165" t="e">
        <f t="shared" ref="CC380:CC384" si="179">ROUND(CB380*CA380/100,1)</f>
        <v>#VALUE!</v>
      </c>
      <c r="CD380" s="1260" t="s">
        <v>2236</v>
      </c>
    </row>
    <row r="381" ht="15" customHeight="1" spans="1:82">
      <c r="A381" s="123" t="str">
        <f>IF(B381="","",COUNT(A$7:A380)+1)</f>
        <v/>
      </c>
      <c r="B381" s="139"/>
      <c r="C381" s="139"/>
      <c r="D381" s="141"/>
      <c r="E381" s="126"/>
      <c r="F381" s="142"/>
      <c r="G381" s="127"/>
      <c r="H381" s="128"/>
      <c r="I381" s="128"/>
      <c r="J381" s="980"/>
      <c r="K381" s="143"/>
      <c r="L381" s="143"/>
      <c r="M381" s="129"/>
      <c r="N381" s="144"/>
      <c r="O381" s="144"/>
      <c r="P381" s="144"/>
      <c r="Q381" s="143"/>
      <c r="R381" s="353" t="str">
        <f t="shared" ref="R381:R396" si="180">IF(B381="","",J381+N381)</f>
        <v/>
      </c>
      <c r="S381" s="129" t="str">
        <f t="shared" si="170"/>
        <v/>
      </c>
      <c r="T381" s="1226" t="str">
        <f t="shared" si="147"/>
        <v/>
      </c>
      <c r="U381" s="1226" t="str">
        <f t="shared" si="148"/>
        <v/>
      </c>
      <c r="V381" s="353" t="str">
        <f t="shared" si="177"/>
        <v/>
      </c>
      <c r="W381" s="129">
        <v>0</v>
      </c>
      <c r="X381" s="129">
        <v>0</v>
      </c>
      <c r="Y381" s="129" t="str">
        <f t="shared" si="171"/>
        <v/>
      </c>
      <c r="Z381" s="129" t="str">
        <f t="shared" si="172"/>
        <v/>
      </c>
      <c r="AA381" s="145"/>
      <c r="BA381" s="78"/>
      <c r="BB381" s="132" t="s">
        <v>2621</v>
      </c>
      <c r="BC381" s="133"/>
      <c r="BD381" s="132" t="str">
        <f>IF(OR(B381="",BC381=""),"",COUNTIF(BC$8:BC381,"√"))</f>
        <v/>
      </c>
      <c r="BE381" s="134" t="str">
        <f t="shared" si="153"/>
        <v/>
      </c>
      <c r="BF381" s="135" t="str">
        <f t="shared" si="159"/>
        <v/>
      </c>
      <c r="BG381" s="135" t="str">
        <f t="shared" si="159"/>
        <v/>
      </c>
      <c r="BH381" s="136"/>
      <c r="BI381" s="136"/>
      <c r="BJ381" s="136"/>
      <c r="BK381" s="136"/>
      <c r="BL381" s="137"/>
      <c r="BM381" s="137"/>
      <c r="BP381" s="134" t="str">
        <f>IF(COUNTIF(BP$7:BP380,B381)&gt;0,"",B381)&amp;""</f>
        <v/>
      </c>
      <c r="BQ381" s="138">
        <f t="shared" si="154"/>
        <v>0</v>
      </c>
      <c r="BR381" s="132">
        <f t="shared" si="155"/>
        <v>1</v>
      </c>
      <c r="BS381" s="138">
        <f t="shared" si="156"/>
        <v>0</v>
      </c>
      <c r="BT381" s="132">
        <f t="shared" si="157"/>
        <v>2</v>
      </c>
      <c r="BU381" s="133"/>
      <c r="BV381" s="133"/>
      <c r="BX381" s="1256">
        <v>43100</v>
      </c>
      <c r="BY381" s="165">
        <f>IFERROR(LOOKUP(BX381,基础数据!A:D),1)</f>
        <v>3.53915880885741</v>
      </c>
      <c r="BZ381" s="165">
        <f t="shared" si="162"/>
        <v>1.00524445538375</v>
      </c>
      <c r="CA381" s="165" t="e">
        <f t="shared" si="178"/>
        <v>#VALUE!</v>
      </c>
      <c r="CB381" s="165">
        <f t="shared" ref="CB381:CB387" si="181">CO$3</f>
        <v>90</v>
      </c>
      <c r="CC381" s="165" t="e">
        <f t="shared" si="179"/>
        <v>#VALUE!</v>
      </c>
      <c r="CD381" s="1257" t="s">
        <v>2237</v>
      </c>
    </row>
    <row r="382" ht="15" customHeight="1" spans="1:82">
      <c r="A382" s="123" t="str">
        <f>IF(B382="","",COUNT(A$7:A381)+1)</f>
        <v/>
      </c>
      <c r="B382" s="139"/>
      <c r="C382" s="139"/>
      <c r="D382" s="141"/>
      <c r="E382" s="126"/>
      <c r="F382" s="142"/>
      <c r="G382" s="127"/>
      <c r="H382" s="128"/>
      <c r="I382" s="128"/>
      <c r="J382" s="980"/>
      <c r="K382" s="143"/>
      <c r="L382" s="143"/>
      <c r="M382" s="129"/>
      <c r="N382" s="144"/>
      <c r="O382" s="144"/>
      <c r="P382" s="144"/>
      <c r="Q382" s="143"/>
      <c r="R382" s="353" t="str">
        <f t="shared" si="180"/>
        <v/>
      </c>
      <c r="S382" s="129" t="str">
        <f t="shared" si="170"/>
        <v/>
      </c>
      <c r="T382" s="1226" t="str">
        <f t="shared" si="147"/>
        <v/>
      </c>
      <c r="U382" s="1226" t="str">
        <f t="shared" si="148"/>
        <v/>
      </c>
      <c r="V382" s="353" t="str">
        <f t="shared" si="177"/>
        <v/>
      </c>
      <c r="W382" s="129">
        <v>0</v>
      </c>
      <c r="X382" s="129">
        <v>0</v>
      </c>
      <c r="Y382" s="129" t="str">
        <f t="shared" si="171"/>
        <v/>
      </c>
      <c r="Z382" s="129" t="str">
        <f t="shared" si="172"/>
        <v/>
      </c>
      <c r="AA382" s="145"/>
      <c r="BA382" s="78"/>
      <c r="BB382" s="132" t="s">
        <v>2622</v>
      </c>
      <c r="BC382" s="133"/>
      <c r="BD382" s="132" t="str">
        <f>IF(OR(B382="",BC382=""),"",COUNTIF(BC$8:BC382,"√"))</f>
        <v/>
      </c>
      <c r="BE382" s="134" t="str">
        <f t="shared" si="153"/>
        <v/>
      </c>
      <c r="BF382" s="135" t="str">
        <f t="shared" si="159"/>
        <v/>
      </c>
      <c r="BG382" s="135" t="str">
        <f t="shared" si="159"/>
        <v/>
      </c>
      <c r="BH382" s="136"/>
      <c r="BI382" s="136"/>
      <c r="BJ382" s="136"/>
      <c r="BK382" s="136"/>
      <c r="BL382" s="137"/>
      <c r="BM382" s="137"/>
      <c r="BP382" s="134" t="str">
        <f>IF(COUNTIF(BP$7:BP381,B382)&gt;0,"",B382)&amp;""</f>
        <v/>
      </c>
      <c r="BQ382" s="138">
        <f t="shared" si="154"/>
        <v>0</v>
      </c>
      <c r="BR382" s="132">
        <f t="shared" si="155"/>
        <v>1</v>
      </c>
      <c r="BS382" s="138">
        <f t="shared" si="156"/>
        <v>0</v>
      </c>
      <c r="BT382" s="132">
        <f t="shared" si="157"/>
        <v>2</v>
      </c>
      <c r="BU382" s="133"/>
      <c r="BV382" s="133"/>
      <c r="BX382" s="1256">
        <v>43100</v>
      </c>
      <c r="BY382" s="165">
        <f>IFERROR(LOOKUP(BX382,基础数据!A:D),1)</f>
        <v>3.53915880885741</v>
      </c>
      <c r="BZ382" s="165">
        <f t="shared" si="162"/>
        <v>1.00524445538375</v>
      </c>
      <c r="CA382" s="165" t="e">
        <f t="shared" si="178"/>
        <v>#VALUE!</v>
      </c>
      <c r="CB382" s="165">
        <f t="shared" si="181"/>
        <v>90</v>
      </c>
      <c r="CC382" s="165" t="e">
        <f t="shared" si="179"/>
        <v>#VALUE!</v>
      </c>
      <c r="CD382" s="1257" t="s">
        <v>2237</v>
      </c>
    </row>
    <row r="383" ht="15" customHeight="1" spans="1:82">
      <c r="A383" s="123" t="str">
        <f>IF(B383="","",COUNT(A$7:A382)+1)</f>
        <v/>
      </c>
      <c r="B383" s="139"/>
      <c r="C383" s="139"/>
      <c r="D383" s="141"/>
      <c r="E383" s="126"/>
      <c r="F383" s="142"/>
      <c r="G383" s="127"/>
      <c r="H383" s="128"/>
      <c r="I383" s="128"/>
      <c r="J383" s="980"/>
      <c r="K383" s="143"/>
      <c r="L383" s="143"/>
      <c r="M383" s="129"/>
      <c r="N383" s="144"/>
      <c r="O383" s="144"/>
      <c r="P383" s="144"/>
      <c r="Q383" s="143"/>
      <c r="R383" s="353" t="str">
        <f t="shared" si="180"/>
        <v/>
      </c>
      <c r="S383" s="129" t="str">
        <f t="shared" si="170"/>
        <v/>
      </c>
      <c r="T383" s="1226" t="str">
        <f t="shared" si="147"/>
        <v/>
      </c>
      <c r="U383" s="1226" t="str">
        <f t="shared" si="148"/>
        <v/>
      </c>
      <c r="V383" s="353" t="str">
        <f t="shared" si="177"/>
        <v/>
      </c>
      <c r="W383" s="129">
        <v>0</v>
      </c>
      <c r="X383" s="129">
        <v>0</v>
      </c>
      <c r="Y383" s="129" t="str">
        <f t="shared" si="171"/>
        <v/>
      </c>
      <c r="Z383" s="129" t="str">
        <f t="shared" si="172"/>
        <v/>
      </c>
      <c r="AA383" s="145"/>
      <c r="BA383" s="78"/>
      <c r="BB383" s="132" t="s">
        <v>2623</v>
      </c>
      <c r="BC383" s="133"/>
      <c r="BD383" s="132" t="str">
        <f>IF(OR(B383="",BC383=""),"",COUNTIF(BC$8:BC383,"√"))</f>
        <v/>
      </c>
      <c r="BE383" s="134" t="str">
        <f t="shared" si="153"/>
        <v/>
      </c>
      <c r="BF383" s="135" t="str">
        <f t="shared" si="159"/>
        <v/>
      </c>
      <c r="BG383" s="135" t="str">
        <f t="shared" si="159"/>
        <v/>
      </c>
      <c r="BH383" s="136"/>
      <c r="BI383" s="136"/>
      <c r="BJ383" s="136"/>
      <c r="BK383" s="136"/>
      <c r="BL383" s="137"/>
      <c r="BM383" s="137"/>
      <c r="BP383" s="134" t="str">
        <f>IF(COUNTIF(BP$7:BP382,B383)&gt;0,"",B383)&amp;""</f>
        <v/>
      </c>
      <c r="BQ383" s="138">
        <f t="shared" si="154"/>
        <v>0</v>
      </c>
      <c r="BR383" s="132">
        <f t="shared" si="155"/>
        <v>1</v>
      </c>
      <c r="BS383" s="138">
        <f t="shared" si="156"/>
        <v>0</v>
      </c>
      <c r="BT383" s="132">
        <f t="shared" si="157"/>
        <v>2</v>
      </c>
      <c r="BU383" s="133"/>
      <c r="BV383" s="133"/>
      <c r="BX383" s="1256">
        <v>43100</v>
      </c>
      <c r="BY383" s="165">
        <f>IFERROR(LOOKUP(BX383,基础数据!A:D),1)</f>
        <v>3.53915880885741</v>
      </c>
      <c r="BZ383" s="165">
        <f t="shared" si="162"/>
        <v>1.00524445538375</v>
      </c>
      <c r="CA383" s="165" t="e">
        <f t="shared" si="178"/>
        <v>#VALUE!</v>
      </c>
      <c r="CB383" s="165">
        <f t="shared" si="181"/>
        <v>90</v>
      </c>
      <c r="CC383" s="165" t="e">
        <f t="shared" si="179"/>
        <v>#VALUE!</v>
      </c>
      <c r="CD383" s="1257" t="s">
        <v>2237</v>
      </c>
    </row>
    <row r="384" ht="15" customHeight="1" spans="1:82">
      <c r="A384" s="123" t="str">
        <f>IF(B384="","",COUNT(A$7:A383)+1)</f>
        <v/>
      </c>
      <c r="B384" s="139"/>
      <c r="C384" s="139"/>
      <c r="D384" s="141"/>
      <c r="E384" s="126"/>
      <c r="F384" s="142"/>
      <c r="G384" s="127"/>
      <c r="H384" s="128"/>
      <c r="I384" s="128"/>
      <c r="J384" s="980"/>
      <c r="K384" s="143"/>
      <c r="L384" s="143"/>
      <c r="M384" s="129"/>
      <c r="N384" s="144"/>
      <c r="O384" s="144"/>
      <c r="P384" s="144"/>
      <c r="Q384" s="143"/>
      <c r="R384" s="353" t="str">
        <f t="shared" si="180"/>
        <v/>
      </c>
      <c r="S384" s="129" t="str">
        <f t="shared" si="170"/>
        <v/>
      </c>
      <c r="T384" s="1226" t="str">
        <f t="shared" si="147"/>
        <v/>
      </c>
      <c r="U384" s="1226" t="str">
        <f t="shared" si="148"/>
        <v/>
      </c>
      <c r="V384" s="353" t="str">
        <f t="shared" si="177"/>
        <v/>
      </c>
      <c r="W384" s="129">
        <v>0</v>
      </c>
      <c r="X384" s="129">
        <v>0</v>
      </c>
      <c r="Y384" s="129" t="str">
        <f t="shared" si="171"/>
        <v/>
      </c>
      <c r="Z384" s="129" t="str">
        <f t="shared" si="172"/>
        <v/>
      </c>
      <c r="AA384" s="145"/>
      <c r="BA384" s="78"/>
      <c r="BB384" s="132" t="s">
        <v>2624</v>
      </c>
      <c r="BC384" s="133"/>
      <c r="BD384" s="132" t="str">
        <f>IF(OR(B384="",BC384=""),"",COUNTIF(BC$8:BC384,"√"))</f>
        <v/>
      </c>
      <c r="BE384" s="134" t="str">
        <f t="shared" si="153"/>
        <v/>
      </c>
      <c r="BF384" s="135" t="str">
        <f t="shared" si="159"/>
        <v/>
      </c>
      <c r="BG384" s="135" t="str">
        <f t="shared" si="159"/>
        <v/>
      </c>
      <c r="BH384" s="136"/>
      <c r="BI384" s="136"/>
      <c r="BJ384" s="136"/>
      <c r="BK384" s="136"/>
      <c r="BL384" s="137"/>
      <c r="BM384" s="137"/>
      <c r="BP384" s="134" t="str">
        <f>IF(COUNTIF(BP$7:BP383,B384)&gt;0,"",B384)&amp;""</f>
        <v/>
      </c>
      <c r="BQ384" s="138">
        <f t="shared" si="154"/>
        <v>0</v>
      </c>
      <c r="BR384" s="132">
        <f t="shared" si="155"/>
        <v>1</v>
      </c>
      <c r="BS384" s="138">
        <f t="shared" si="156"/>
        <v>0</v>
      </c>
      <c r="BT384" s="132">
        <f t="shared" si="157"/>
        <v>2</v>
      </c>
      <c r="BU384" s="133"/>
      <c r="BV384" s="133"/>
      <c r="BX384" s="1256">
        <v>43100</v>
      </c>
      <c r="BY384" s="165">
        <f>IFERROR(LOOKUP(BX384,基础数据!A:D),1)</f>
        <v>3.53915880885741</v>
      </c>
      <c r="BZ384" s="165">
        <f t="shared" si="162"/>
        <v>1.00524445538375</v>
      </c>
      <c r="CA384" s="165" t="e">
        <f t="shared" si="178"/>
        <v>#VALUE!</v>
      </c>
      <c r="CB384" s="165">
        <f t="shared" si="181"/>
        <v>90</v>
      </c>
      <c r="CC384" s="165" t="e">
        <f t="shared" si="179"/>
        <v>#VALUE!</v>
      </c>
      <c r="CD384" s="1257" t="s">
        <v>2237</v>
      </c>
    </row>
    <row r="385" ht="15" customHeight="1" spans="1:86">
      <c r="A385" s="123" t="str">
        <f>IF(B385="","",COUNT(A$7:A384)+1)</f>
        <v/>
      </c>
      <c r="B385" s="139"/>
      <c r="C385" s="139"/>
      <c r="D385" s="141"/>
      <c r="E385" s="126"/>
      <c r="F385" s="142"/>
      <c r="G385" s="127"/>
      <c r="H385" s="128"/>
      <c r="I385" s="128"/>
      <c r="J385" s="980"/>
      <c r="K385" s="143"/>
      <c r="L385" s="143"/>
      <c r="M385" s="129"/>
      <c r="N385" s="144"/>
      <c r="O385" s="144"/>
      <c r="P385" s="144"/>
      <c r="Q385" s="143"/>
      <c r="R385" s="353" t="str">
        <f t="shared" si="180"/>
        <v/>
      </c>
      <c r="S385" s="129" t="str">
        <f t="shared" si="170"/>
        <v/>
      </c>
      <c r="T385" s="1226" t="str">
        <f t="shared" si="147"/>
        <v/>
      </c>
      <c r="U385" s="1226" t="str">
        <f t="shared" si="148"/>
        <v/>
      </c>
      <c r="V385" s="353" t="str">
        <f t="shared" si="177"/>
        <v/>
      </c>
      <c r="W385" s="129">
        <v>0</v>
      </c>
      <c r="X385" s="129">
        <v>0</v>
      </c>
      <c r="Y385" s="129" t="str">
        <f t="shared" si="171"/>
        <v/>
      </c>
      <c r="Z385" s="129" t="str">
        <f t="shared" si="172"/>
        <v/>
      </c>
      <c r="AA385" s="145"/>
      <c r="BA385" s="78"/>
      <c r="BB385" s="132" t="s">
        <v>2625</v>
      </c>
      <c r="BC385" s="133"/>
      <c r="BD385" s="132" t="str">
        <f>IF(OR(B385="",BC385=""),"",COUNTIF(BC$8:BC385,"√"))</f>
        <v/>
      </c>
      <c r="BE385" s="134" t="str">
        <f t="shared" si="153"/>
        <v/>
      </c>
      <c r="BF385" s="135" t="str">
        <f t="shared" si="159"/>
        <v/>
      </c>
      <c r="BG385" s="135" t="str">
        <f t="shared" si="159"/>
        <v/>
      </c>
      <c r="BH385" s="136"/>
      <c r="BI385" s="136"/>
      <c r="BJ385" s="136"/>
      <c r="BK385" s="136"/>
      <c r="BL385" s="137"/>
      <c r="BM385" s="137"/>
      <c r="BP385" s="134" t="str">
        <f>IF(COUNTIF(BP$7:BP384,B385)&gt;0,"",B385)&amp;""</f>
        <v/>
      </c>
      <c r="BQ385" s="138">
        <f t="shared" si="154"/>
        <v>0</v>
      </c>
      <c r="BR385" s="132">
        <f t="shared" si="155"/>
        <v>1</v>
      </c>
      <c r="BS385" s="138">
        <f t="shared" si="156"/>
        <v>0</v>
      </c>
      <c r="BT385" s="132">
        <f t="shared" si="157"/>
        <v>2</v>
      </c>
      <c r="BU385" s="133"/>
      <c r="BV385" s="133"/>
      <c r="BX385" s="1256">
        <v>43100</v>
      </c>
      <c r="BY385" s="165">
        <f>IFERROR(LOOKUP(BX385,基础数据!A:D),1)</f>
        <v>3.53915880885741</v>
      </c>
      <c r="BZ385" s="165">
        <f t="shared" si="162"/>
        <v>1.00524445538375</v>
      </c>
      <c r="CA385" s="165" t="e">
        <f t="shared" si="163"/>
        <v>#VALUE!</v>
      </c>
      <c r="CB385" s="165">
        <f t="shared" si="181"/>
        <v>90</v>
      </c>
      <c r="CC385" s="165" t="e">
        <f t="shared" si="165"/>
        <v>#VALUE!</v>
      </c>
      <c r="CD385" s="1257" t="s">
        <v>2237</v>
      </c>
    </row>
    <row r="386" ht="15" customHeight="1" spans="1:86">
      <c r="A386" s="123" t="str">
        <f>IF(B386="","",COUNT(A$7:A385)+1)</f>
        <v/>
      </c>
      <c r="B386" s="139"/>
      <c r="C386" s="139"/>
      <c r="D386" s="141"/>
      <c r="E386" s="126"/>
      <c r="F386" s="142"/>
      <c r="G386" s="127"/>
      <c r="H386" s="128"/>
      <c r="I386" s="128"/>
      <c r="J386" s="980"/>
      <c r="K386" s="143"/>
      <c r="L386" s="143"/>
      <c r="M386" s="129"/>
      <c r="N386" s="144"/>
      <c r="O386" s="144"/>
      <c r="P386" s="144"/>
      <c r="Q386" s="143"/>
      <c r="R386" s="353" t="str">
        <f t="shared" si="180"/>
        <v/>
      </c>
      <c r="S386" s="129" t="str">
        <f t="shared" si="170"/>
        <v/>
      </c>
      <c r="T386" s="1226" t="str">
        <f t="shared" si="147"/>
        <v/>
      </c>
      <c r="U386" s="1226" t="str">
        <f t="shared" si="148"/>
        <v/>
      </c>
      <c r="V386" s="353" t="str">
        <f t="shared" si="177"/>
        <v/>
      </c>
      <c r="W386" s="129">
        <v>0</v>
      </c>
      <c r="X386" s="129">
        <v>0</v>
      </c>
      <c r="Y386" s="129" t="str">
        <f t="shared" si="171"/>
        <v/>
      </c>
      <c r="Z386" s="129" t="str">
        <f t="shared" si="172"/>
        <v/>
      </c>
      <c r="AA386" s="145"/>
      <c r="BA386" s="78"/>
      <c r="BB386" s="132" t="s">
        <v>2626</v>
      </c>
      <c r="BC386" s="133"/>
      <c r="BD386" s="132" t="str">
        <f>IF(OR(B386="",BC386=""),"",COUNTIF(BC$8:BC386,"√"))</f>
        <v/>
      </c>
      <c r="BE386" s="134" t="str">
        <f t="shared" si="153"/>
        <v/>
      </c>
      <c r="BF386" s="135" t="str">
        <f t="shared" si="159"/>
        <v/>
      </c>
      <c r="BG386" s="135" t="str">
        <f t="shared" si="159"/>
        <v/>
      </c>
      <c r="BH386" s="136"/>
      <c r="BI386" s="136"/>
      <c r="BJ386" s="136"/>
      <c r="BK386" s="136"/>
      <c r="BL386" s="137"/>
      <c r="BM386" s="137"/>
      <c r="BP386" s="134" t="str">
        <f>IF(COUNTIF(BP$7:BP385,B386)&gt;0,"",B386)&amp;""</f>
        <v/>
      </c>
      <c r="BQ386" s="138">
        <f t="shared" si="154"/>
        <v>0</v>
      </c>
      <c r="BR386" s="132">
        <f t="shared" si="155"/>
        <v>1</v>
      </c>
      <c r="BS386" s="138">
        <f t="shared" si="156"/>
        <v>0</v>
      </c>
      <c r="BT386" s="132">
        <f t="shared" si="157"/>
        <v>2</v>
      </c>
      <c r="BU386" s="133"/>
      <c r="BV386" s="133"/>
      <c r="BX386" s="1256">
        <v>43100</v>
      </c>
      <c r="BY386" s="165">
        <f>IFERROR(LOOKUP(BX386,基础数据!A:D),1)</f>
        <v>3.53915880885741</v>
      </c>
      <c r="BZ386" s="165">
        <f t="shared" si="162"/>
        <v>1.00524445538375</v>
      </c>
      <c r="CA386" s="165" t="e">
        <f t="shared" si="163"/>
        <v>#VALUE!</v>
      </c>
      <c r="CB386" s="165">
        <f t="shared" si="181"/>
        <v>90</v>
      </c>
      <c r="CC386" s="165" t="e">
        <f t="shared" si="165"/>
        <v>#VALUE!</v>
      </c>
      <c r="CD386" s="1257" t="s">
        <v>2237</v>
      </c>
    </row>
    <row r="387" ht="15" customHeight="1" spans="1:86">
      <c r="A387" s="123" t="str">
        <f>IF(B387="","",COUNT(A$7:A386)+1)</f>
        <v/>
      </c>
      <c r="B387" s="139"/>
      <c r="C387" s="139"/>
      <c r="D387" s="141"/>
      <c r="E387" s="126"/>
      <c r="F387" s="142"/>
      <c r="G387" s="127"/>
      <c r="H387" s="128"/>
      <c r="I387" s="128"/>
      <c r="J387" s="980"/>
      <c r="K387" s="143"/>
      <c r="L387" s="143"/>
      <c r="M387" s="129"/>
      <c r="N387" s="144"/>
      <c r="O387" s="144"/>
      <c r="P387" s="144"/>
      <c r="Q387" s="143"/>
      <c r="R387" s="353" t="str">
        <f t="shared" si="180"/>
        <v/>
      </c>
      <c r="S387" s="129" t="str">
        <f t="shared" si="170"/>
        <v/>
      </c>
      <c r="T387" s="1226" t="str">
        <f t="shared" si="147"/>
        <v/>
      </c>
      <c r="U387" s="1226" t="str">
        <f t="shared" si="148"/>
        <v/>
      </c>
      <c r="V387" s="353" t="str">
        <f t="shared" si="177"/>
        <v/>
      </c>
      <c r="W387" s="129">
        <v>0</v>
      </c>
      <c r="X387" s="129">
        <v>0</v>
      </c>
      <c r="Y387" s="129" t="str">
        <f t="shared" si="171"/>
        <v/>
      </c>
      <c r="Z387" s="129" t="str">
        <f t="shared" si="172"/>
        <v/>
      </c>
      <c r="AA387" s="145"/>
      <c r="BA387" s="78"/>
      <c r="BB387" s="132" t="s">
        <v>2627</v>
      </c>
      <c r="BC387" s="133"/>
      <c r="BD387" s="132" t="str">
        <f>IF(OR(B387="",BC387=""),"",COUNTIF(BC$8:BC387,"√"))</f>
        <v/>
      </c>
      <c r="BE387" s="134" t="str">
        <f t="shared" si="153"/>
        <v/>
      </c>
      <c r="BF387" s="135" t="str">
        <f t="shared" si="159"/>
        <v/>
      </c>
      <c r="BG387" s="135" t="str">
        <f t="shared" si="159"/>
        <v/>
      </c>
      <c r="BH387" s="136"/>
      <c r="BI387" s="136"/>
      <c r="BJ387" s="136"/>
      <c r="BK387" s="136"/>
      <c r="BL387" s="137"/>
      <c r="BM387" s="137"/>
      <c r="BP387" s="134" t="str">
        <f>IF(COUNTIF(BP$7:BP386,B387)&gt;0,"",B387)&amp;""</f>
        <v/>
      </c>
      <c r="BQ387" s="138">
        <f t="shared" si="154"/>
        <v>0</v>
      </c>
      <c r="BR387" s="132">
        <f t="shared" si="155"/>
        <v>1</v>
      </c>
      <c r="BS387" s="138">
        <f t="shared" si="156"/>
        <v>0</v>
      </c>
      <c r="BT387" s="132">
        <f t="shared" si="157"/>
        <v>2</v>
      </c>
      <c r="BU387" s="133"/>
      <c r="BV387" s="133"/>
      <c r="BX387" s="1256">
        <v>43100</v>
      </c>
      <c r="BY387" s="165">
        <f>IFERROR(LOOKUP(BX387,基础数据!A:D),1)</f>
        <v>3.53915880885741</v>
      </c>
      <c r="BZ387" s="165">
        <f t="shared" si="162"/>
        <v>1.00524445538375</v>
      </c>
      <c r="CA387" s="165" t="e">
        <f t="shared" si="163"/>
        <v>#VALUE!</v>
      </c>
      <c r="CB387" s="165">
        <f t="shared" si="181"/>
        <v>90</v>
      </c>
      <c r="CC387" s="165" t="e">
        <f t="shared" si="165"/>
        <v>#VALUE!</v>
      </c>
      <c r="CD387" s="1257" t="s">
        <v>2237</v>
      </c>
    </row>
    <row r="388" ht="15" customHeight="1" spans="1:86">
      <c r="A388" s="123" t="str">
        <f>IF(B388="","",COUNT(A$7:A387)+1)</f>
        <v/>
      </c>
      <c r="B388" s="139"/>
      <c r="C388" s="139"/>
      <c r="D388" s="141"/>
      <c r="E388" s="126"/>
      <c r="F388" s="142"/>
      <c r="G388" s="127"/>
      <c r="H388" s="128"/>
      <c r="I388" s="128"/>
      <c r="J388" s="980"/>
      <c r="K388" s="143"/>
      <c r="L388" s="143"/>
      <c r="M388" s="129"/>
      <c r="N388" s="144"/>
      <c r="O388" s="144"/>
      <c r="P388" s="144"/>
      <c r="Q388" s="143"/>
      <c r="R388" s="353" t="str">
        <f t="shared" si="180"/>
        <v/>
      </c>
      <c r="S388" s="129" t="str">
        <f t="shared" si="170"/>
        <v/>
      </c>
      <c r="T388" s="1226" t="str">
        <f t="shared" si="147"/>
        <v/>
      </c>
      <c r="U388" s="1226" t="str">
        <f t="shared" si="148"/>
        <v/>
      </c>
      <c r="V388" s="353" t="str">
        <f t="shared" si="177"/>
        <v/>
      </c>
      <c r="W388" s="129">
        <v>0</v>
      </c>
      <c r="X388" s="129">
        <v>0</v>
      </c>
      <c r="Y388" s="129" t="str">
        <f t="shared" si="171"/>
        <v/>
      </c>
      <c r="Z388" s="129" t="str">
        <f t="shared" si="172"/>
        <v/>
      </c>
      <c r="AA388" s="145"/>
      <c r="BA388" s="78"/>
      <c r="BB388" s="132" t="s">
        <v>2628</v>
      </c>
      <c r="BC388" s="133"/>
      <c r="BD388" s="132" t="str">
        <f>IF(OR(B388="",BC388=""),"",COUNTIF(BC$8:BC388,"√"))</f>
        <v/>
      </c>
      <c r="BE388" s="134" t="str">
        <f t="shared" si="153"/>
        <v/>
      </c>
      <c r="BF388" s="135" t="str">
        <f t="shared" si="159"/>
        <v/>
      </c>
      <c r="BG388" s="135" t="str">
        <f t="shared" si="159"/>
        <v/>
      </c>
      <c r="BH388" s="136"/>
      <c r="BI388" s="136"/>
      <c r="BJ388" s="136"/>
      <c r="BK388" s="136"/>
      <c r="BL388" s="137"/>
      <c r="BM388" s="137"/>
      <c r="BP388" s="134" t="str">
        <f>IF(COUNTIF(BP$7:BP387,B388)&gt;0,"",B388)&amp;""</f>
        <v/>
      </c>
      <c r="BQ388" s="138">
        <f t="shared" si="154"/>
        <v>0</v>
      </c>
      <c r="BR388" s="132">
        <f t="shared" si="155"/>
        <v>1</v>
      </c>
      <c r="BS388" s="138">
        <f t="shared" si="156"/>
        <v>0</v>
      </c>
      <c r="BT388" s="132">
        <f t="shared" si="157"/>
        <v>2</v>
      </c>
      <c r="BU388" s="133"/>
      <c r="BV388" s="133"/>
      <c r="BX388" s="1256">
        <v>43100</v>
      </c>
      <c r="BY388" s="165">
        <f>IFERROR(LOOKUP(BX388,基础数据!A:D),1)</f>
        <v>3.53915880885741</v>
      </c>
      <c r="BZ388" s="165">
        <f t="shared" si="162"/>
        <v>1.00524445538375</v>
      </c>
      <c r="CA388" s="165" t="e">
        <f>ROUND(S388*BZ388,1)</f>
        <v>#VALUE!</v>
      </c>
      <c r="CB388" s="165">
        <v>97</v>
      </c>
      <c r="CC388" s="165" t="e">
        <f>ROUND(CB388*CA388/100,1)</f>
        <v>#VALUE!</v>
      </c>
      <c r="CD388" s="1257" t="s">
        <v>2236</v>
      </c>
    </row>
    <row r="389" ht="15" customHeight="1" spans="1:86">
      <c r="A389" s="123" t="str">
        <f>IF(B389="","",COUNT(A$7:A388)+1)</f>
        <v/>
      </c>
      <c r="B389" s="139"/>
      <c r="C389" s="139"/>
      <c r="D389" s="141"/>
      <c r="E389" s="126"/>
      <c r="F389" s="142"/>
      <c r="G389" s="127"/>
      <c r="H389" s="128"/>
      <c r="I389" s="128"/>
      <c r="J389" s="980"/>
      <c r="K389" s="143"/>
      <c r="L389" s="143"/>
      <c r="M389" s="129"/>
      <c r="N389" s="144"/>
      <c r="O389" s="144"/>
      <c r="P389" s="144"/>
      <c r="Q389" s="143"/>
      <c r="R389" s="353" t="str">
        <f t="shared" si="180"/>
        <v/>
      </c>
      <c r="S389" s="129" t="str">
        <f t="shared" si="170"/>
        <v/>
      </c>
      <c r="T389" s="1226" t="str">
        <f t="shared" si="147"/>
        <v/>
      </c>
      <c r="U389" s="1226" t="str">
        <f t="shared" si="148"/>
        <v/>
      </c>
      <c r="V389" s="353" t="str">
        <f t="shared" si="177"/>
        <v/>
      </c>
      <c r="W389" s="129">
        <v>0</v>
      </c>
      <c r="X389" s="129">
        <v>0</v>
      </c>
      <c r="Y389" s="129" t="str">
        <f t="shared" si="171"/>
        <v/>
      </c>
      <c r="Z389" s="129" t="str">
        <f t="shared" si="172"/>
        <v/>
      </c>
      <c r="AA389" s="145"/>
      <c r="BA389" s="78"/>
      <c r="BB389" s="132" t="s">
        <v>2629</v>
      </c>
      <c r="BC389" s="133"/>
      <c r="BD389" s="132" t="str">
        <f>IF(OR(B389="",BC389=""),"",COUNTIF(BC$8:BC389,"√"))</f>
        <v/>
      </c>
      <c r="BE389" s="134" t="str">
        <f t="shared" si="153"/>
        <v/>
      </c>
      <c r="BF389" s="135" t="str">
        <f t="shared" si="159"/>
        <v/>
      </c>
      <c r="BG389" s="135" t="str">
        <f t="shared" si="159"/>
        <v/>
      </c>
      <c r="BH389" s="136"/>
      <c r="BI389" s="136"/>
      <c r="BJ389" s="136"/>
      <c r="BK389" s="136"/>
      <c r="BL389" s="137"/>
      <c r="BM389" s="137"/>
      <c r="BP389" s="134" t="str">
        <f>IF(COUNTIF(BP$7:BP388,B389)&gt;0,"",B389)&amp;""</f>
        <v/>
      </c>
      <c r="BQ389" s="138">
        <f t="shared" si="154"/>
        <v>0</v>
      </c>
      <c r="BR389" s="132">
        <f t="shared" si="155"/>
        <v>1</v>
      </c>
      <c r="BS389" s="138">
        <f t="shared" si="156"/>
        <v>0</v>
      </c>
      <c r="BT389" s="132">
        <f t="shared" si="157"/>
        <v>2</v>
      </c>
      <c r="BU389" s="133"/>
      <c r="BV389" s="133"/>
      <c r="BX389" s="1256">
        <v>43100</v>
      </c>
      <c r="BY389" s="165">
        <f>IFERROR(LOOKUP(BX389,基础数据!A:D),1)</f>
        <v>3.53915880885741</v>
      </c>
      <c r="BZ389" s="165">
        <f t="shared" si="162"/>
        <v>1.00524445538375</v>
      </c>
      <c r="CA389" s="165" t="e">
        <f t="shared" si="163"/>
        <v>#VALUE!</v>
      </c>
      <c r="CB389" s="165">
        <f t="shared" ref="CB389:CB390" si="182">CO$2</f>
        <v>95</v>
      </c>
      <c r="CC389" s="165" t="e">
        <f t="shared" si="165"/>
        <v>#VALUE!</v>
      </c>
      <c r="CD389" s="1260" t="s">
        <v>2236</v>
      </c>
    </row>
    <row r="390" ht="15" customHeight="1" spans="1:86">
      <c r="A390" s="123" t="str">
        <f>IF(B390="","",COUNT(A$7:A389)+1)</f>
        <v/>
      </c>
      <c r="B390" s="139"/>
      <c r="C390" s="139"/>
      <c r="D390" s="141"/>
      <c r="E390" s="126"/>
      <c r="F390" s="142"/>
      <c r="G390" s="127"/>
      <c r="H390" s="128"/>
      <c r="I390" s="128"/>
      <c r="J390" s="980"/>
      <c r="K390" s="143"/>
      <c r="L390" s="143"/>
      <c r="M390" s="129"/>
      <c r="N390" s="144"/>
      <c r="O390" s="144"/>
      <c r="P390" s="144"/>
      <c r="Q390" s="143"/>
      <c r="R390" s="353" t="str">
        <f t="shared" si="180"/>
        <v/>
      </c>
      <c r="S390" s="129" t="str">
        <f t="shared" si="170"/>
        <v/>
      </c>
      <c r="T390" s="1226" t="str">
        <f t="shared" si="147"/>
        <v/>
      </c>
      <c r="U390" s="1226" t="str">
        <f t="shared" si="148"/>
        <v/>
      </c>
      <c r="V390" s="353" t="str">
        <f t="shared" si="177"/>
        <v/>
      </c>
      <c r="W390" s="129">
        <v>0</v>
      </c>
      <c r="X390" s="129">
        <v>0</v>
      </c>
      <c r="Y390" s="129" t="str">
        <f t="shared" si="171"/>
        <v/>
      </c>
      <c r="Z390" s="129" t="str">
        <f t="shared" si="172"/>
        <v/>
      </c>
      <c r="AA390" s="145"/>
      <c r="BA390" s="78"/>
      <c r="BB390" s="132" t="s">
        <v>2630</v>
      </c>
      <c r="BC390" s="133"/>
      <c r="BD390" s="132" t="str">
        <f>IF(OR(B390="",BC390=""),"",COUNTIF(BC$8:BC390,"√"))</f>
        <v/>
      </c>
      <c r="BE390" s="134" t="str">
        <f t="shared" si="153"/>
        <v/>
      </c>
      <c r="BF390" s="135" t="str">
        <f t="shared" si="159"/>
        <v/>
      </c>
      <c r="BG390" s="135" t="str">
        <f t="shared" si="159"/>
        <v/>
      </c>
      <c r="BH390" s="136"/>
      <c r="BI390" s="136"/>
      <c r="BJ390" s="136"/>
      <c r="BK390" s="136"/>
      <c r="BL390" s="137"/>
      <c r="BM390" s="137"/>
      <c r="BP390" s="134" t="str">
        <f>IF(COUNTIF(BP$7:BP389,B390)&gt;0,"",B390)&amp;""</f>
        <v/>
      </c>
      <c r="BQ390" s="138">
        <f t="shared" si="154"/>
        <v>0</v>
      </c>
      <c r="BR390" s="132">
        <f t="shared" si="155"/>
        <v>1</v>
      </c>
      <c r="BS390" s="138">
        <f t="shared" si="156"/>
        <v>0</v>
      </c>
      <c r="BT390" s="132">
        <f t="shared" si="157"/>
        <v>2</v>
      </c>
      <c r="BU390" s="133"/>
      <c r="BV390" s="133"/>
      <c r="BX390" s="1256">
        <v>43100</v>
      </c>
      <c r="BY390" s="165">
        <f>IFERROR(LOOKUP(BX390,基础数据!A:D),1)</f>
        <v>3.53915880885741</v>
      </c>
      <c r="BZ390" s="165">
        <f t="shared" si="162"/>
        <v>1.00524445538375</v>
      </c>
      <c r="CA390" s="165" t="e">
        <f t="shared" si="163"/>
        <v>#VALUE!</v>
      </c>
      <c r="CB390" s="165">
        <f t="shared" si="182"/>
        <v>95</v>
      </c>
      <c r="CC390" s="165" t="e">
        <f t="shared" si="165"/>
        <v>#VALUE!</v>
      </c>
      <c r="CD390" s="1260" t="s">
        <v>2236</v>
      </c>
    </row>
    <row r="391" ht="15" customHeight="1" spans="1:86">
      <c r="A391" s="123" t="str">
        <f>IF(B391="","",COUNT(A$7:A390)+1)</f>
        <v/>
      </c>
      <c r="B391" s="139"/>
      <c r="C391" s="139"/>
      <c r="D391" s="141"/>
      <c r="E391" s="126"/>
      <c r="F391" s="142"/>
      <c r="G391" s="127"/>
      <c r="H391" s="128"/>
      <c r="I391" s="128"/>
      <c r="J391" s="980"/>
      <c r="K391" s="143"/>
      <c r="L391" s="143"/>
      <c r="M391" s="129"/>
      <c r="N391" s="144"/>
      <c r="O391" s="144"/>
      <c r="P391" s="144"/>
      <c r="Q391" s="143"/>
      <c r="R391" s="353" t="str">
        <f t="shared" si="180"/>
        <v/>
      </c>
      <c r="S391" s="129" t="str">
        <f t="shared" si="170"/>
        <v/>
      </c>
      <c r="T391" s="1226" t="str">
        <f t="shared" si="147"/>
        <v/>
      </c>
      <c r="U391" s="1226" t="str">
        <f t="shared" si="148"/>
        <v/>
      </c>
      <c r="V391" s="353" t="str">
        <f t="shared" si="177"/>
        <v/>
      </c>
      <c r="W391" s="129">
        <v>0</v>
      </c>
      <c r="X391" s="129">
        <v>0</v>
      </c>
      <c r="Y391" s="129" t="str">
        <f t="shared" si="171"/>
        <v/>
      </c>
      <c r="Z391" s="129" t="str">
        <f t="shared" si="172"/>
        <v/>
      </c>
      <c r="AA391" s="145"/>
      <c r="BA391" s="78"/>
      <c r="BB391" s="132" t="s">
        <v>2631</v>
      </c>
      <c r="BC391" s="133"/>
      <c r="BD391" s="132" t="str">
        <f>IF(OR(B391="",BC391=""),"",COUNTIF(BC$8:BC391,"√"))</f>
        <v/>
      </c>
      <c r="BE391" s="134" t="str">
        <f t="shared" si="153"/>
        <v/>
      </c>
      <c r="BF391" s="135" t="str">
        <f t="shared" si="159"/>
        <v/>
      </c>
      <c r="BG391" s="135" t="str">
        <f t="shared" si="159"/>
        <v/>
      </c>
      <c r="BH391" s="136"/>
      <c r="BI391" s="136"/>
      <c r="BJ391" s="136"/>
      <c r="BK391" s="136"/>
      <c r="BL391" s="137"/>
      <c r="BM391" s="137"/>
      <c r="BP391" s="134" t="str">
        <f>IF(COUNTIF(BP$7:BP390,B391)&gt;0,"",B391)&amp;""</f>
        <v/>
      </c>
      <c r="BQ391" s="138">
        <f t="shared" si="154"/>
        <v>0</v>
      </c>
      <c r="BR391" s="132">
        <f t="shared" si="155"/>
        <v>1</v>
      </c>
      <c r="BS391" s="138">
        <f t="shared" si="156"/>
        <v>0</v>
      </c>
      <c r="BT391" s="132">
        <f t="shared" si="157"/>
        <v>2</v>
      </c>
      <c r="BU391" s="133"/>
      <c r="BV391" s="133"/>
      <c r="BX391" s="1256">
        <v>43100</v>
      </c>
      <c r="BY391" s="165">
        <f>IFERROR(LOOKUP(BX391,基础数据!A:D),1)</f>
        <v>3.53915880885741</v>
      </c>
      <c r="BZ391" s="165">
        <f t="shared" si="162"/>
        <v>1.00524445538375</v>
      </c>
      <c r="CA391" s="165" t="e">
        <f t="shared" si="163"/>
        <v>#VALUE!</v>
      </c>
      <c r="CB391" s="165">
        <v>97</v>
      </c>
      <c r="CC391" s="165" t="e">
        <f t="shared" si="165"/>
        <v>#VALUE!</v>
      </c>
      <c r="CD391" s="1257" t="s">
        <v>2236</v>
      </c>
    </row>
    <row r="392" ht="15" customHeight="1" spans="1:86">
      <c r="A392" s="123" t="str">
        <f>IF(B392="","",COUNT(A$7:A391)+1)</f>
        <v/>
      </c>
      <c r="B392" s="139"/>
      <c r="C392" s="139"/>
      <c r="D392" s="141"/>
      <c r="E392" s="126"/>
      <c r="F392" s="142"/>
      <c r="G392" s="127"/>
      <c r="H392" s="128"/>
      <c r="I392" s="128"/>
      <c r="J392" s="980"/>
      <c r="K392" s="143"/>
      <c r="L392" s="143"/>
      <c r="M392" s="129"/>
      <c r="N392" s="144"/>
      <c r="O392" s="144"/>
      <c r="P392" s="144"/>
      <c r="Q392" s="143"/>
      <c r="R392" s="353" t="str">
        <f t="shared" si="180"/>
        <v/>
      </c>
      <c r="S392" s="129" t="str">
        <f t="shared" si="170"/>
        <v/>
      </c>
      <c r="T392" s="1226" t="str">
        <f t="shared" si="147"/>
        <v/>
      </c>
      <c r="U392" s="1226" t="str">
        <f t="shared" si="148"/>
        <v/>
      </c>
      <c r="V392" s="353" t="str">
        <f t="shared" si="177"/>
        <v/>
      </c>
      <c r="W392" s="129">
        <v>0</v>
      </c>
      <c r="X392" s="129">
        <v>0</v>
      </c>
      <c r="Y392" s="129" t="str">
        <f t="shared" si="171"/>
        <v/>
      </c>
      <c r="Z392" s="129" t="str">
        <f t="shared" si="172"/>
        <v/>
      </c>
      <c r="AA392" s="145"/>
      <c r="BA392" s="78"/>
      <c r="BB392" s="132" t="s">
        <v>2632</v>
      </c>
      <c r="BC392" s="133"/>
      <c r="BD392" s="132" t="str">
        <f>IF(OR(B392="",BC392=""),"",COUNTIF(BC$8:BC392,"√"))</f>
        <v/>
      </c>
      <c r="BE392" s="134" t="str">
        <f t="shared" si="153"/>
        <v/>
      </c>
      <c r="BF392" s="135" t="str">
        <f t="shared" si="159"/>
        <v/>
      </c>
      <c r="BG392" s="135" t="str">
        <f t="shared" si="159"/>
        <v/>
      </c>
      <c r="BH392" s="136"/>
      <c r="BI392" s="136"/>
      <c r="BJ392" s="136"/>
      <c r="BK392" s="136"/>
      <c r="BL392" s="137"/>
      <c r="BM392" s="137"/>
      <c r="BP392" s="134" t="str">
        <f>IF(COUNTIF(BP$7:BP391,B392)&gt;0,"",B392)&amp;""</f>
        <v/>
      </c>
      <c r="BQ392" s="138">
        <f t="shared" si="154"/>
        <v>0</v>
      </c>
      <c r="BR392" s="132">
        <f t="shared" si="155"/>
        <v>1</v>
      </c>
      <c r="BS392" s="138">
        <f t="shared" si="156"/>
        <v>0</v>
      </c>
      <c r="BT392" s="132">
        <f t="shared" si="157"/>
        <v>2</v>
      </c>
      <c r="BU392" s="133"/>
      <c r="BV392" s="133"/>
      <c r="BX392" s="1256">
        <v>43100</v>
      </c>
      <c r="BY392" s="165">
        <f>IFERROR(LOOKUP(BX392,基础数据!A:D),1)</f>
        <v>3.53915880885741</v>
      </c>
      <c r="BZ392" s="165">
        <f t="shared" si="162"/>
        <v>1.00524445538375</v>
      </c>
      <c r="CA392" s="165" t="e">
        <f>ROUND(S392*BZ392,1)</f>
        <v>#VALUE!</v>
      </c>
      <c r="CB392" s="165">
        <f t="shared" ref="CB392" si="183">CO$3</f>
        <v>90</v>
      </c>
      <c r="CC392" s="165" t="e">
        <f>ROUND(CB392*CA392/100,1)</f>
        <v>#VALUE!</v>
      </c>
      <c r="CD392" s="1257" t="s">
        <v>2237</v>
      </c>
    </row>
    <row r="393" ht="15" customHeight="1" spans="1:86">
      <c r="A393" s="123" t="str">
        <f>IF(B393="","",COUNT(A$7:A392)+1)</f>
        <v/>
      </c>
      <c r="B393" s="139"/>
      <c r="C393" s="139"/>
      <c r="D393" s="141"/>
      <c r="E393" s="126"/>
      <c r="F393" s="142"/>
      <c r="G393" s="127"/>
      <c r="H393" s="128"/>
      <c r="I393" s="128"/>
      <c r="J393" s="980"/>
      <c r="K393" s="143"/>
      <c r="L393" s="143"/>
      <c r="M393" s="129"/>
      <c r="N393" s="144"/>
      <c r="O393" s="144"/>
      <c r="P393" s="144"/>
      <c r="Q393" s="143"/>
      <c r="R393" s="353" t="str">
        <f t="shared" si="180"/>
        <v/>
      </c>
      <c r="S393" s="129" t="str">
        <f t="shared" si="170"/>
        <v/>
      </c>
      <c r="T393" s="1226" t="str">
        <f t="shared" si="147"/>
        <v/>
      </c>
      <c r="U393" s="1226" t="str">
        <f t="shared" si="148"/>
        <v/>
      </c>
      <c r="V393" s="353" t="str">
        <f t="shared" si="177"/>
        <v/>
      </c>
      <c r="W393" s="129">
        <v>0</v>
      </c>
      <c r="X393" s="129">
        <v>0</v>
      </c>
      <c r="Y393" s="129" t="str">
        <f t="shared" si="171"/>
        <v/>
      </c>
      <c r="Z393" s="129" t="str">
        <f t="shared" si="172"/>
        <v/>
      </c>
      <c r="AA393" s="145"/>
      <c r="BA393" s="78"/>
      <c r="BB393" s="132" t="s">
        <v>2633</v>
      </c>
      <c r="BC393" s="133"/>
      <c r="BD393" s="132" t="str">
        <f>IF(OR(B393="",BC393=""),"",COUNTIF(BC$8:BC393,"√"))</f>
        <v/>
      </c>
      <c r="BE393" s="134" t="str">
        <f t="shared" si="153"/>
        <v/>
      </c>
      <c r="BF393" s="135" t="str">
        <f t="shared" si="159"/>
        <v/>
      </c>
      <c r="BG393" s="135" t="str">
        <f t="shared" si="159"/>
        <v/>
      </c>
      <c r="BH393" s="136"/>
      <c r="BI393" s="136"/>
      <c r="BJ393" s="136"/>
      <c r="BK393" s="136"/>
      <c r="BL393" s="137"/>
      <c r="BM393" s="137"/>
      <c r="BP393" s="134" t="str">
        <f>IF(COUNTIF(BP$7:BP392,B393)&gt;0,"",B393)&amp;""</f>
        <v/>
      </c>
      <c r="BQ393" s="138">
        <f t="shared" si="154"/>
        <v>0</v>
      </c>
      <c r="BR393" s="132">
        <f t="shared" si="155"/>
        <v>1</v>
      </c>
      <c r="BS393" s="138">
        <f t="shared" si="156"/>
        <v>0</v>
      </c>
      <c r="BT393" s="132">
        <f t="shared" si="157"/>
        <v>2</v>
      </c>
      <c r="BU393" s="133"/>
      <c r="BV393" s="133"/>
      <c r="BX393" s="1256">
        <v>45001</v>
      </c>
      <c r="BY393" s="165">
        <f>IFERROR(LOOKUP(BX393,基础数据!A:D),1)</f>
        <v>3.80882053463966</v>
      </c>
      <c r="BZ393" s="165">
        <f t="shared" si="162"/>
        <v>0.934073878506601</v>
      </c>
      <c r="CA393" s="165" t="e">
        <f t="shared" si="163"/>
        <v>#VALUE!</v>
      </c>
      <c r="CB393" s="165">
        <f>CO$2</f>
        <v>95</v>
      </c>
      <c r="CC393" s="165" t="e">
        <f t="shared" si="165"/>
        <v>#VALUE!</v>
      </c>
      <c r="CD393" s="1260" t="s">
        <v>2236</v>
      </c>
    </row>
    <row r="394" ht="15" customHeight="1" spans="1:86">
      <c r="A394" s="123" t="str">
        <f>IF(B394="","",COUNT(A$7:A393)+1)</f>
        <v/>
      </c>
      <c r="B394" s="139"/>
      <c r="C394" s="139"/>
      <c r="D394" s="141"/>
      <c r="E394" s="141"/>
      <c r="F394" s="142"/>
      <c r="G394" s="127"/>
      <c r="H394" s="128"/>
      <c r="I394" s="128"/>
      <c r="J394" s="980"/>
      <c r="K394" s="143"/>
      <c r="L394" s="143"/>
      <c r="M394" s="129">
        <f>L394</f>
        <v>0</v>
      </c>
      <c r="N394" s="144"/>
      <c r="O394" s="144"/>
      <c r="P394" s="144"/>
      <c r="Q394" s="143"/>
      <c r="R394" s="353" t="str">
        <f t="shared" si="180"/>
        <v/>
      </c>
      <c r="S394" s="129" t="str">
        <f t="shared" si="170"/>
        <v/>
      </c>
      <c r="T394" s="1226" t="str">
        <f>IF(B394="","",L394+O394)</f>
        <v/>
      </c>
      <c r="U394" s="1226" t="str">
        <f>IF(B394="","",M394+P394)</f>
        <v/>
      </c>
      <c r="V394" s="353" t="str">
        <f t="shared" si="177"/>
        <v/>
      </c>
      <c r="W394" s="129">
        <v>0</v>
      </c>
      <c r="X394" s="129">
        <v>0</v>
      </c>
      <c r="Y394" s="129" t="str">
        <f t="shared" si="171"/>
        <v/>
      </c>
      <c r="Z394" s="129" t="str">
        <f t="shared" si="172"/>
        <v/>
      </c>
      <c r="AA394" s="145"/>
      <c r="BA394" s="78"/>
      <c r="BB394" s="132" t="s">
        <v>2634</v>
      </c>
      <c r="BC394" s="133"/>
      <c r="BD394" s="132" t="str">
        <f>IF(OR(B394="",BC394=""),"",COUNTIF(BC$8:BC394,"√"))</f>
        <v/>
      </c>
      <c r="BE394" s="134" t="str">
        <f t="shared" si="153"/>
        <v/>
      </c>
      <c r="BF394" s="135" t="str">
        <f t="shared" si="159"/>
        <v/>
      </c>
      <c r="BG394" s="135" t="str">
        <f t="shared" si="159"/>
        <v/>
      </c>
      <c r="BH394" s="136"/>
      <c r="BI394" s="136"/>
      <c r="BJ394" s="136"/>
      <c r="BK394" s="136"/>
      <c r="BL394" s="137"/>
      <c r="BM394" s="137"/>
      <c r="BP394" s="134" t="str">
        <f>IF(COUNTIF(BP$7:BP393,B394)&gt;0,"",B394)&amp;""</f>
        <v/>
      </c>
      <c r="BQ394" s="138">
        <f t="shared" si="154"/>
        <v>0</v>
      </c>
      <c r="BR394" s="132">
        <f t="shared" si="155"/>
        <v>1</v>
      </c>
      <c r="BS394" s="138">
        <f t="shared" si="156"/>
        <v>0</v>
      </c>
      <c r="BT394" s="132">
        <f t="shared" si="157"/>
        <v>2</v>
      </c>
      <c r="BU394" s="133"/>
      <c r="BV394" s="133"/>
      <c r="BX394" s="1256">
        <v>0</v>
      </c>
      <c r="BY394" s="165">
        <f>IFERROR(LOOKUP(BX394,基础数据!A:D),1)</f>
        <v>1</v>
      </c>
      <c r="BZ394" s="165">
        <f t="shared" si="162"/>
        <v>3.55771976932645</v>
      </c>
      <c r="CA394" s="165" t="e">
        <f t="shared" si="163"/>
        <v>#VALUE!</v>
      </c>
      <c r="CB394" s="165">
        <f>CO$3</f>
        <v>90</v>
      </c>
      <c r="CC394" s="165" t="e">
        <f t="shared" si="165"/>
        <v>#VALUE!</v>
      </c>
      <c r="CD394" s="1257" t="s">
        <v>2237</v>
      </c>
    </row>
    <row r="395" ht="15" customHeight="1" spans="1:86">
      <c r="A395" s="123" t="str">
        <f>IF(B395="","",COUNT(A$7:A394)+1)</f>
        <v/>
      </c>
      <c r="B395" s="139"/>
      <c r="C395" s="139"/>
      <c r="D395" s="141"/>
      <c r="E395" s="141"/>
      <c r="F395" s="142"/>
      <c r="G395" s="127"/>
      <c r="H395" s="128"/>
      <c r="I395" s="128"/>
      <c r="J395" s="980"/>
      <c r="K395" s="143"/>
      <c r="L395" s="143"/>
      <c r="M395" s="129">
        <f>L395</f>
        <v>0</v>
      </c>
      <c r="N395" s="144"/>
      <c r="O395" s="144"/>
      <c r="P395" s="144"/>
      <c r="Q395" s="143"/>
      <c r="R395" s="353" t="str">
        <f t="shared" si="180"/>
        <v/>
      </c>
      <c r="S395" s="129" t="str">
        <f t="shared" si="170"/>
        <v/>
      </c>
      <c r="T395" s="1226" t="str">
        <f>IF(B395="","",L395+O395)</f>
        <v/>
      </c>
      <c r="U395" s="1226" t="str">
        <f>IF(B395="","",M395+P395)</f>
        <v/>
      </c>
      <c r="V395" s="353" t="str">
        <f t="shared" si="177"/>
        <v/>
      </c>
      <c r="W395" s="129">
        <v>0</v>
      </c>
      <c r="X395" s="129">
        <v>0</v>
      </c>
      <c r="Y395" s="129" t="str">
        <f t="shared" si="171"/>
        <v/>
      </c>
      <c r="Z395" s="129" t="str">
        <f t="shared" si="172"/>
        <v/>
      </c>
      <c r="AA395" s="145"/>
      <c r="BA395" s="78"/>
      <c r="BB395" s="132" t="s">
        <v>2635</v>
      </c>
      <c r="BC395" s="133"/>
      <c r="BD395" s="132" t="str">
        <f>IF(OR(B395="",BC395=""),"",COUNTIF(BC$8:BC395,"√"))</f>
        <v/>
      </c>
      <c r="BE395" s="134" t="str">
        <f t="shared" si="153"/>
        <v/>
      </c>
      <c r="BF395" s="135" t="str">
        <f t="shared" si="159"/>
        <v/>
      </c>
      <c r="BG395" s="135" t="str">
        <f t="shared" si="159"/>
        <v/>
      </c>
      <c r="BH395" s="136"/>
      <c r="BI395" s="136"/>
      <c r="BJ395" s="136"/>
      <c r="BK395" s="136"/>
      <c r="BL395" s="137"/>
      <c r="BM395" s="137"/>
      <c r="BP395" s="134" t="str">
        <f>IF(COUNTIF(BP$7:BP394,B395)&gt;0,"",B395)&amp;""</f>
        <v/>
      </c>
      <c r="BQ395" s="138">
        <f t="shared" si="154"/>
        <v>0</v>
      </c>
      <c r="BR395" s="132">
        <f t="shared" si="155"/>
        <v>1</v>
      </c>
      <c r="BS395" s="138">
        <f t="shared" si="156"/>
        <v>0</v>
      </c>
      <c r="BT395" s="132">
        <f t="shared" si="157"/>
        <v>2</v>
      </c>
      <c r="BU395" s="133"/>
      <c r="BV395" s="133"/>
      <c r="BX395" s="1256">
        <v>44561</v>
      </c>
      <c r="BY395" s="165">
        <f>IFERROR(LOOKUP(BX395,基础数据!A:D),1)</f>
        <v>3.85200541887239</v>
      </c>
      <c r="BZ395" s="165">
        <f t="shared" si="162"/>
        <v>0.923601963770839</v>
      </c>
      <c r="CA395" s="165" t="e">
        <f t="shared" ref="CA395:CA396" si="184">ROUND(S395*BZ395,1)</f>
        <v>#VALUE!</v>
      </c>
      <c r="CB395" s="165">
        <f>CO$3</f>
        <v>90</v>
      </c>
      <c r="CC395" s="165" t="e">
        <f t="shared" ref="CC395:CC396" si="185">ROUND(CB395*CA395/100,1)</f>
        <v>#VALUE!</v>
      </c>
      <c r="CD395" s="1257" t="s">
        <v>2237</v>
      </c>
    </row>
    <row r="396" ht="15" customHeight="1" spans="1:86">
      <c r="A396" s="123" t="str">
        <f>IF(B396="","",COUNT(A$7:A395)+1)</f>
        <v/>
      </c>
      <c r="B396" s="139"/>
      <c r="C396" s="139"/>
      <c r="D396" s="141"/>
      <c r="E396" s="141"/>
      <c r="F396" s="142"/>
      <c r="G396" s="127"/>
      <c r="H396" s="128"/>
      <c r="I396" s="128"/>
      <c r="J396" s="980"/>
      <c r="K396" s="143"/>
      <c r="L396" s="143"/>
      <c r="M396" s="129">
        <f>L396</f>
        <v>0</v>
      </c>
      <c r="N396" s="144"/>
      <c r="O396" s="144"/>
      <c r="P396" s="144"/>
      <c r="Q396" s="143"/>
      <c r="R396" s="353" t="str">
        <f t="shared" si="180"/>
        <v/>
      </c>
      <c r="S396" s="129" t="str">
        <f t="shared" si="170"/>
        <v/>
      </c>
      <c r="T396" s="1226" t="str">
        <f>IF(B396="","",L396+O396)</f>
        <v/>
      </c>
      <c r="U396" s="1226" t="str">
        <f>IF(B396="","",M396+P396)</f>
        <v/>
      </c>
      <c r="V396" s="353" t="str">
        <f t="shared" si="177"/>
        <v/>
      </c>
      <c r="W396" s="129">
        <v>0</v>
      </c>
      <c r="X396" s="129">
        <v>0</v>
      </c>
      <c r="Y396" s="129" t="str">
        <f t="shared" si="171"/>
        <v/>
      </c>
      <c r="Z396" s="129" t="str">
        <f t="shared" si="172"/>
        <v/>
      </c>
      <c r="AA396" s="145"/>
      <c r="BA396" s="78"/>
      <c r="BB396" s="132" t="s">
        <v>2636</v>
      </c>
      <c r="BC396" s="133"/>
      <c r="BD396" s="132" t="str">
        <f>IF(OR(B396="",BC396=""),"",COUNTIF(BC$8:BC396,"√"))</f>
        <v/>
      </c>
      <c r="BE396" s="134" t="str">
        <f t="shared" si="153"/>
        <v/>
      </c>
      <c r="BF396" s="135" t="str">
        <f t="shared" si="159"/>
        <v/>
      </c>
      <c r="BG396" s="135" t="str">
        <f t="shared" si="159"/>
        <v/>
      </c>
      <c r="BH396" s="136"/>
      <c r="BI396" s="136"/>
      <c r="BJ396" s="136"/>
      <c r="BK396" s="136"/>
      <c r="BL396" s="137"/>
      <c r="BM396" s="137"/>
      <c r="BP396" s="134" t="str">
        <f>IF(COUNTIF(BP$7:BP395,B396)&gt;0,"",B396)&amp;""</f>
        <v/>
      </c>
      <c r="BQ396" s="138">
        <f t="shared" si="154"/>
        <v>0</v>
      </c>
      <c r="BR396" s="132">
        <f t="shared" si="155"/>
        <v>1</v>
      </c>
      <c r="BS396" s="138">
        <f t="shared" si="156"/>
        <v>0</v>
      </c>
      <c r="BT396" s="132">
        <f t="shared" si="157"/>
        <v>2</v>
      </c>
      <c r="BU396" s="133"/>
      <c r="BV396" s="133"/>
      <c r="BX396" s="1256">
        <v>44561</v>
      </c>
      <c r="BY396" s="165">
        <f>IFERROR(LOOKUP(BX396,基础数据!A:D),1)</f>
        <v>3.85200541887239</v>
      </c>
      <c r="BZ396" s="165">
        <f t="shared" si="162"/>
        <v>0.923601963770839</v>
      </c>
      <c r="CA396" s="165" t="e">
        <f t="shared" si="184"/>
        <v>#VALUE!</v>
      </c>
      <c r="CB396" s="165">
        <f>CO$3</f>
        <v>90</v>
      </c>
      <c r="CC396" s="165" t="e">
        <f t="shared" si="185"/>
        <v>#VALUE!</v>
      </c>
      <c r="CD396" s="1257" t="s">
        <v>2237</v>
      </c>
    </row>
    <row r="397" ht="15" customHeight="1" spans="1:86">
      <c r="A397" s="123"/>
      <c r="B397" s="123" t="str">
        <f>IF(C397="","",COUNT(A$7:A396)+1)</f>
        <v/>
      </c>
      <c r="C397" s="124"/>
      <c r="D397" s="124"/>
      <c r="E397" s="126"/>
      <c r="F397" s="126"/>
      <c r="G397" s="127"/>
      <c r="H397" s="127" t="str">
        <f>IFERROR(VLOOKUP(G397,参数表!$H$2:$I$50,2,FALSE),"")</f>
        <v/>
      </c>
      <c r="I397" s="128" t="str">
        <f>IFERROR(IF(OR(G397="人民币",G397=""),"",U397/H397),"")</f>
        <v/>
      </c>
      <c r="J397" s="128" t="str">
        <f>IFERROR(IF(OR(G397="人民币",G397=""),"",V397/H397),"")</f>
        <v/>
      </c>
      <c r="K397" s="353"/>
      <c r="L397" s="129" t="str">
        <f>IF(K397=0,"",M397/K397)</f>
        <v/>
      </c>
      <c r="M397" s="129"/>
      <c r="N397" s="129"/>
      <c r="O397" s="130"/>
      <c r="P397" s="130"/>
      <c r="Q397" s="130"/>
      <c r="R397" s="129"/>
      <c r="S397" s="353" t="str">
        <f t="shared" ref="S397" si="186">IF(C397="","",K397+O397)</f>
        <v/>
      </c>
      <c r="T397" s="129" t="str">
        <f>IFERROR(U397/S397,"")</f>
        <v/>
      </c>
      <c r="U397" s="1226" t="str">
        <f t="shared" ref="U397" si="187">IF(C397="","",M397+P397)</f>
        <v/>
      </c>
      <c r="V397" s="1226" t="str">
        <f t="shared" ref="V397" si="188">IF(C397="","",N397+Q397)</f>
        <v/>
      </c>
      <c r="W397" s="353" t="str">
        <f>IF(C397="","",IF($BB$3="是",S397,""))</f>
        <v/>
      </c>
      <c r="X397" s="129" t="str">
        <f t="shared" ref="X397" si="189">IF(C397="","",IF($BB$3="是",IF(BO397="",T397,BO397),""))</f>
        <v/>
      </c>
      <c r="Y397" s="129" t="str">
        <f t="shared" ref="Y397" si="190">IFERROR(W397*X397,"")</f>
        <v/>
      </c>
      <c r="Z397" s="129" t="str">
        <f>IFERROR(Y397-(U397-V397),"")</f>
        <v/>
      </c>
      <c r="AA397" s="129" t="str">
        <f>IFERROR(Z397/(U397-V397)*100,"")</f>
        <v/>
      </c>
      <c r="AB397" s="131"/>
      <c r="BB397" s="78" t="s">
        <v>2637</v>
      </c>
      <c r="BC397" s="132" t="s">
        <v>2638</v>
      </c>
      <c r="BD397" s="133"/>
      <c r="BE397" s="132" t="str">
        <f>IF(OR(C397="",BD397=""),"",COUNTIF(BC$8:BC397,"√"))</f>
        <v/>
      </c>
      <c r="BF397" s="134" t="str">
        <f t="shared" ref="BF397" si="191">IF(BD397="","",BC397&amp;"︱"&amp;C397&amp;"︱"&amp;TEXT(M397,"#,##0.00"))</f>
        <v/>
      </c>
      <c r="BG397" s="135" t="str">
        <f>IF($C397="","",IF(BF$5=0,"OK","出错"))</f>
        <v/>
      </c>
      <c r="BH397" s="135" t="str">
        <f>IF($C397="","",IF(BG$5=0,"OK","出错"))</f>
        <v/>
      </c>
      <c r="BI397" s="136"/>
      <c r="BJ397" s="136"/>
      <c r="BK397" s="136"/>
      <c r="BL397" s="136"/>
      <c r="BM397" s="137"/>
      <c r="BN397" s="137"/>
      <c r="BO397" s="75"/>
      <c r="BP397" s="77"/>
      <c r="BQ397" s="134" t="str">
        <f>IF(COUNTIF(BP$7:BP396,C397)&gt;0,"",C397)&amp;""</f>
        <v/>
      </c>
      <c r="BR397" s="138">
        <f>SUMIF(B$8:B$397,BQ397,T$8:T$397)</f>
        <v>0</v>
      </c>
      <c r="BS397" s="132">
        <f>RANK(BR397,BQ$8:BQ$397)</f>
        <v>1</v>
      </c>
      <c r="BT397" s="138">
        <f>SUMIF(B$8:B$397,BQ397,X$8:X$397)</f>
        <v>0</v>
      </c>
      <c r="BU397" s="132">
        <f>RANK(BT397,BS$8:BS$397)</f>
        <v>2</v>
      </c>
      <c r="BV397" s="133"/>
      <c r="BW397" s="133"/>
      <c r="BX397" s="78"/>
      <c r="CA397" s="165" t="e">
        <f t="shared" ref="CA397:CA460" si="192">ROUND(CH397*BZ397,0)</f>
        <v>#VALUE!</v>
      </c>
      <c r="CH397" s="227" t="s">
        <v>347</v>
      </c>
    </row>
    <row r="398" ht="15" customHeight="1" spans="1:86">
      <c r="A398" s="123"/>
      <c r="B398" s="221" t="s">
        <v>1954</v>
      </c>
      <c r="C398" s="221"/>
      <c r="D398" s="124"/>
      <c r="E398" s="126"/>
      <c r="F398" s="126"/>
      <c r="G398" s="131"/>
      <c r="H398" s="131"/>
      <c r="I398" s="131"/>
      <c r="J398" s="131"/>
      <c r="K398" s="353"/>
      <c r="L398" s="129">
        <f>SUM(L8:L397)</f>
        <v>0</v>
      </c>
      <c r="M398" s="152"/>
      <c r="N398" s="152">
        <f>SUM(M8:M397)</f>
        <v>0</v>
      </c>
      <c r="O398" s="153"/>
      <c r="P398" s="153"/>
      <c r="Q398" s="153"/>
      <c r="R398" s="129"/>
      <c r="S398" s="353"/>
      <c r="T398" s="129">
        <f>SUM(T8:T397)</f>
        <v>0</v>
      </c>
      <c r="U398" s="152"/>
      <c r="V398" s="152">
        <f>SUM(U8:U397)</f>
        <v>0</v>
      </c>
      <c r="W398" s="353"/>
      <c r="X398" s="129">
        <f>SUM(X8:X397)</f>
        <v>0</v>
      </c>
      <c r="Y398" s="152">
        <f>IFERROR(X398-(T398-U398),"")</f>
        <v>0</v>
      </c>
      <c r="Z398" s="129" t="str">
        <f t="shared" ref="Z398:AA398" si="193">IFERROR(Y398/(T398-U398)*100,"")</f>
        <v/>
      </c>
      <c r="AA398" s="152" t="str">
        <f t="shared" si="193"/>
        <v/>
      </c>
      <c r="AB398" s="131"/>
      <c r="BC398" s="75"/>
      <c r="BD398" s="75"/>
      <c r="BE398" s="75"/>
      <c r="BF398" s="75"/>
      <c r="BG398" s="75"/>
      <c r="BI398" s="165"/>
      <c r="BJ398" s="165"/>
      <c r="BK398" s="165"/>
      <c r="BL398" s="165"/>
      <c r="BO398" s="75"/>
      <c r="BP398" s="111"/>
      <c r="BQ398" s="119"/>
      <c r="BR398" s="77"/>
      <c r="BS398" s="77"/>
      <c r="BT398" s="77"/>
      <c r="BU398" s="119"/>
      <c r="BV398" s="119"/>
      <c r="BW398" s="119"/>
      <c r="BX398" s="119"/>
      <c r="CA398" s="165">
        <f t="shared" si="192"/>
        <v>0</v>
      </c>
      <c r="CH398" s="227">
        <v>0</v>
      </c>
    </row>
    <row r="399" ht="15" customHeight="1" spans="1:86">
      <c r="A399" s="123"/>
      <c r="B399" s="982" t="s">
        <v>2205</v>
      </c>
      <c r="C399" s="982"/>
      <c r="D399" s="124"/>
      <c r="E399" s="126"/>
      <c r="F399" s="126"/>
      <c r="G399" s="131"/>
      <c r="H399" s="131"/>
      <c r="I399" s="131"/>
      <c r="J399" s="131"/>
      <c r="K399" s="129"/>
      <c r="L399" s="1226"/>
      <c r="M399" s="129">
        <f>N398</f>
        <v>0</v>
      </c>
      <c r="N399" s="129"/>
      <c r="O399" s="130"/>
      <c r="P399" s="130"/>
      <c r="Q399" s="130"/>
      <c r="R399" s="129"/>
      <c r="S399" s="1226"/>
      <c r="T399" s="129">
        <f>U399</f>
        <v>0</v>
      </c>
      <c r="U399" s="129">
        <f>V398</f>
        <v>0</v>
      </c>
      <c r="V399" s="129"/>
      <c r="W399" s="129"/>
      <c r="X399" s="129"/>
      <c r="Y399" s="129"/>
      <c r="Z399" s="129">
        <f>IFERROR(Y399-(U399-V399),"")</f>
        <v>0</v>
      </c>
      <c r="AA399" s="129" t="str">
        <f>IFERROR(Z399/(U399-V399)*100,"")</f>
        <v/>
      </c>
      <c r="AB399" s="131"/>
      <c r="BC399" s="75"/>
      <c r="BD399" s="75"/>
      <c r="BE399" s="75"/>
      <c r="BF399" s="75"/>
      <c r="BG399" s="75"/>
      <c r="BI399" s="165"/>
      <c r="BJ399" s="165"/>
      <c r="BK399" s="165"/>
      <c r="BL399" s="165"/>
      <c r="BO399" s="75"/>
      <c r="BP399" s="77"/>
      <c r="BQ399" s="78"/>
      <c r="BR399" s="77"/>
      <c r="BW399" s="78"/>
      <c r="BX399" s="78"/>
      <c r="CA399" s="165">
        <f t="shared" si="192"/>
        <v>0</v>
      </c>
      <c r="CH399" s="227">
        <v>0</v>
      </c>
    </row>
    <row r="400" s="73" customFormat="1" ht="15" customHeight="1" spans="1:86">
      <c r="A400" s="123"/>
      <c r="B400" s="221" t="s">
        <v>1957</v>
      </c>
      <c r="C400" s="221"/>
      <c r="D400" s="149"/>
      <c r="E400" s="149"/>
      <c r="F400" s="149"/>
      <c r="G400" s="151"/>
      <c r="H400" s="151"/>
      <c r="I400" s="151"/>
      <c r="J400" s="151"/>
      <c r="K400" s="152"/>
      <c r="L400" s="152">
        <f>L398</f>
        <v>0</v>
      </c>
      <c r="M400" s="152">
        <f>M398-M399</f>
        <v>0</v>
      </c>
      <c r="N400" s="152"/>
      <c r="O400" s="153"/>
      <c r="P400" s="153"/>
      <c r="Q400" s="153"/>
      <c r="R400" s="152"/>
      <c r="S400" s="152"/>
      <c r="T400" s="152">
        <f>T398-T399</f>
        <v>0</v>
      </c>
      <c r="U400" s="152"/>
      <c r="V400" s="152"/>
      <c r="W400" s="152"/>
      <c r="X400" s="152">
        <f>X398-X399</f>
        <v>0</v>
      </c>
      <c r="Y400" s="152"/>
      <c r="Z400" s="152">
        <f>IFERROR(Y400-(U400-V400),"")</f>
        <v>0</v>
      </c>
      <c r="AA400" s="152" t="str">
        <f>IFERROR(Z400/(U400-V400)*100,"")</f>
        <v/>
      </c>
      <c r="AB400" s="151"/>
      <c r="BI400" s="72"/>
      <c r="BJ400" s="72"/>
      <c r="BK400" s="72"/>
      <c r="BL400" s="72"/>
      <c r="BP400" s="77"/>
      <c r="BQ400" s="78"/>
      <c r="BR400" s="77"/>
      <c r="BS400" s="78"/>
      <c r="BT400" s="78"/>
      <c r="BU400" s="78"/>
      <c r="BV400" s="78"/>
      <c r="BW400" s="78"/>
      <c r="BX400" s="78"/>
      <c r="CA400" s="165">
        <f t="shared" si="192"/>
        <v>0</v>
      </c>
      <c r="CD400" s="945"/>
      <c r="CH400" s="227">
        <v>0</v>
      </c>
    </row>
    <row r="401" customHeight="1" spans="1:86">
      <c r="A401" s="286"/>
      <c r="B401" s="102" t="str">
        <f>参数表!F$6</f>
        <v>产权持有单位填表人：贾广东</v>
      </c>
      <c r="C401" s="282"/>
      <c r="D401" s="154"/>
      <c r="E401" s="286"/>
      <c r="F401" s="286"/>
      <c r="G401" s="154"/>
      <c r="H401" s="154"/>
      <c r="I401" s="154"/>
      <c r="J401" s="154"/>
      <c r="K401" s="154"/>
      <c r="L401" s="103"/>
      <c r="M401" s="103"/>
      <c r="N401" s="103"/>
      <c r="O401" s="104"/>
      <c r="P401" s="104"/>
      <c r="Q401" s="104"/>
      <c r="R401" s="103"/>
      <c r="S401" s="1239"/>
      <c r="T401" s="1239"/>
      <c r="U401" s="1239"/>
      <c r="V401" s="1239"/>
      <c r="W401" s="103"/>
      <c r="X401" s="103"/>
      <c r="Y401" s="103" t="str">
        <f>"评估人员："&amp;封面!$G$20</f>
        <v>评估人员：栗祥宁</v>
      </c>
      <c r="Z401" s="103"/>
      <c r="AA401" s="103"/>
      <c r="AB401" s="103"/>
      <c r="BC401" s="75"/>
      <c r="BD401" s="75"/>
      <c r="BE401" s="75"/>
      <c r="BF401" s="75"/>
      <c r="BG401" s="75"/>
      <c r="BI401" s="165"/>
      <c r="BJ401" s="165"/>
      <c r="BK401" s="165"/>
      <c r="BL401" s="165"/>
      <c r="BO401" s="75"/>
      <c r="BP401" s="77"/>
      <c r="BQ401" s="78"/>
      <c r="BR401" s="77"/>
      <c r="BW401" s="78"/>
      <c r="BX401" s="78"/>
      <c r="CA401" s="165">
        <f t="shared" si="192"/>
        <v>0</v>
      </c>
      <c r="CH401" s="227">
        <v>0</v>
      </c>
    </row>
    <row r="402" customHeight="1" spans="1:86">
      <c r="A402" s="286"/>
      <c r="B402" s="102" t="str">
        <f>参数表!F$7</f>
        <v>填表日期：2025年9月20日</v>
      </c>
      <c r="C402" s="154"/>
      <c r="D402" s="154"/>
      <c r="E402" s="286"/>
      <c r="F402" s="286"/>
      <c r="G402" s="154"/>
      <c r="H402" s="154"/>
      <c r="I402" s="154"/>
      <c r="J402" s="154"/>
      <c r="K402" s="154"/>
      <c r="L402" s="103"/>
      <c r="M402" s="103"/>
      <c r="N402" s="103"/>
      <c r="O402" s="104"/>
      <c r="P402" s="104"/>
      <c r="Q402" s="104"/>
      <c r="R402" s="103"/>
      <c r="S402" s="1239"/>
      <c r="T402" s="1239"/>
      <c r="U402" s="1239"/>
      <c r="V402" s="1239"/>
      <c r="W402" s="103"/>
      <c r="X402" s="103"/>
      <c r="Y402" s="103"/>
      <c r="Z402" s="103"/>
      <c r="AA402" s="103"/>
      <c r="AB402" s="103"/>
      <c r="BC402" s="75"/>
      <c r="BD402" s="75"/>
      <c r="BE402" s="75"/>
      <c r="BF402" s="75"/>
      <c r="BG402" s="75"/>
      <c r="BI402" s="165"/>
      <c r="BJ402" s="165"/>
      <c r="BK402" s="165"/>
      <c r="BL402" s="165"/>
      <c r="BO402" s="75"/>
      <c r="BP402" s="77"/>
      <c r="BQ402" s="78"/>
      <c r="BR402" s="77"/>
      <c r="BW402" s="78"/>
      <c r="BX402" s="78"/>
      <c r="CA402" s="165">
        <f t="shared" si="192"/>
        <v>0</v>
      </c>
      <c r="CH402" s="227">
        <v>0</v>
      </c>
    </row>
    <row r="403" customHeight="1" outlineLevel="1" spans="1:86">
      <c r="A403" s="286"/>
      <c r="B403" s="157"/>
      <c r="C403" s="154" t="s">
        <v>1673</v>
      </c>
      <c r="D403" s="158"/>
      <c r="E403" s="228"/>
      <c r="F403" s="228"/>
      <c r="G403" s="158"/>
      <c r="H403" s="158"/>
      <c r="I403" s="158"/>
      <c r="J403" s="158"/>
      <c r="K403" s="158"/>
      <c r="M403" s="159">
        <f>SUMIF($BA8:$BA397,$BB403,L8:L397)</f>
        <v>0</v>
      </c>
      <c r="N403" s="159">
        <f>SUMIF($BA8:$BA397,$BB403,M8:M397)</f>
        <v>0</v>
      </c>
      <c r="O403" s="202"/>
      <c r="P403" s="202"/>
      <c r="Q403" s="202"/>
      <c r="R403" s="176"/>
      <c r="S403" s="176"/>
      <c r="T403" s="1247"/>
      <c r="U403" s="159">
        <f>SUMIF($BA8:$BA397,$BB403,T8:T397)</f>
        <v>0</v>
      </c>
      <c r="V403" s="159">
        <f>SUMIF($BA8:$BA397,$BB403,U8:U397)</f>
        <v>0</v>
      </c>
      <c r="W403" s="176"/>
      <c r="X403" s="176"/>
      <c r="Y403" s="159">
        <f>SUMIF($BA8:$BA397,$BB403,X8:X397)</f>
        <v>0</v>
      </c>
      <c r="BB403" s="161" t="s">
        <v>1674</v>
      </c>
      <c r="BC403" s="75"/>
      <c r="BD403" s="75"/>
      <c r="BE403" s="75"/>
      <c r="BF403" s="75"/>
      <c r="BG403" s="75"/>
      <c r="BI403" s="95" t="s">
        <v>1675</v>
      </c>
      <c r="BJ403" s="95" t="s">
        <v>1675</v>
      </c>
      <c r="BK403" s="95" t="s">
        <v>1675</v>
      </c>
      <c r="BL403" s="95" t="s">
        <v>1675</v>
      </c>
      <c r="BO403" s="75"/>
      <c r="BP403" s="77"/>
      <c r="BQ403" s="78"/>
      <c r="BR403" s="77"/>
      <c r="BW403" s="78"/>
      <c r="BX403" s="78"/>
      <c r="CA403" s="165">
        <f t="shared" si="192"/>
        <v>0</v>
      </c>
      <c r="CH403" s="227">
        <v>0</v>
      </c>
    </row>
    <row r="404" customHeight="1" outlineLevel="1" spans="1:86">
      <c r="A404" s="286"/>
      <c r="B404" s="157"/>
      <c r="C404" s="154" t="s">
        <v>1676</v>
      </c>
      <c r="D404" s="158"/>
      <c r="E404" s="228"/>
      <c r="F404" s="228"/>
      <c r="G404" s="158"/>
      <c r="H404" s="158"/>
      <c r="I404" s="158"/>
      <c r="J404" s="158"/>
      <c r="K404" s="158"/>
      <c r="M404" s="159">
        <f>M398-M403</f>
        <v>0</v>
      </c>
      <c r="N404" s="159">
        <f>N398-N403</f>
        <v>0</v>
      </c>
      <c r="O404" s="202"/>
      <c r="P404" s="202"/>
      <c r="Q404" s="202"/>
      <c r="R404" s="176"/>
      <c r="S404" s="176"/>
      <c r="T404" s="1247"/>
      <c r="U404" s="159">
        <f>U398-U403</f>
        <v>0</v>
      </c>
      <c r="V404" s="159">
        <f>V398-V403</f>
        <v>0</v>
      </c>
      <c r="W404" s="176"/>
      <c r="X404" s="176"/>
      <c r="Y404" s="159">
        <f>Y398-Y403</f>
        <v>0</v>
      </c>
      <c r="BB404" s="161" t="s">
        <v>1677</v>
      </c>
      <c r="BC404" s="75"/>
      <c r="BD404" s="75"/>
      <c r="BE404" s="75"/>
      <c r="BF404" s="75"/>
      <c r="BG404" s="75"/>
      <c r="BI404" s="95" t="s">
        <v>1678</v>
      </c>
      <c r="BJ404" s="95" t="s">
        <v>1678</v>
      </c>
      <c r="BK404" s="95" t="s">
        <v>1678</v>
      </c>
      <c r="BL404" s="95" t="s">
        <v>1678</v>
      </c>
      <c r="BO404" s="75"/>
      <c r="BP404" s="77"/>
      <c r="BQ404" s="78"/>
      <c r="BR404" s="77"/>
      <c r="BW404" s="78"/>
      <c r="BX404" s="78"/>
      <c r="CA404" s="165">
        <f t="shared" si="192"/>
        <v>0</v>
      </c>
      <c r="CH404" s="227">
        <v>0</v>
      </c>
    </row>
    <row r="405" customHeight="1" spans="1:86">
      <c r="A405" s="286"/>
      <c r="B405" s="157"/>
      <c r="C405" s="158"/>
      <c r="D405" s="158"/>
      <c r="E405" s="228"/>
      <c r="F405" s="228"/>
      <c r="G405" s="158"/>
      <c r="H405" s="158"/>
      <c r="I405" s="158"/>
      <c r="J405" s="158"/>
      <c r="K405" s="158"/>
      <c r="N405" s="75"/>
      <c r="Q405" s="76"/>
      <c r="S405" s="75"/>
      <c r="T405" s="1238"/>
      <c r="BC405" s="75"/>
      <c r="BD405" s="75"/>
      <c r="BE405" s="75"/>
      <c r="BF405" s="75"/>
      <c r="BG405" s="75"/>
      <c r="BI405" s="165"/>
      <c r="BJ405" s="165"/>
      <c r="BK405" s="165"/>
      <c r="BL405" s="165"/>
      <c r="BO405" s="75"/>
      <c r="BP405" s="77"/>
      <c r="BQ405" s="78"/>
      <c r="BR405" s="77"/>
      <c r="BW405" s="78"/>
      <c r="BX405" s="78"/>
      <c r="CA405" s="165">
        <f t="shared" si="192"/>
        <v>0</v>
      </c>
      <c r="CH405" s="227">
        <v>0</v>
      </c>
    </row>
    <row r="406" customHeight="1" spans="1:86">
      <c r="A406" s="286"/>
      <c r="B406" s="157"/>
      <c r="C406" s="158"/>
      <c r="D406" s="158"/>
      <c r="E406" s="228"/>
      <c r="F406" s="228"/>
      <c r="G406" s="158"/>
      <c r="H406" s="158"/>
      <c r="I406" s="158"/>
      <c r="J406" s="158"/>
      <c r="K406" s="158"/>
      <c r="N406" s="75"/>
      <c r="Q406" s="76"/>
      <c r="S406" s="75"/>
      <c r="T406" s="1238"/>
      <c r="BC406" s="75"/>
      <c r="BH406" s="165"/>
      <c r="BO406" s="75"/>
      <c r="BP406" s="77"/>
      <c r="BQ406" s="78"/>
      <c r="BR406" s="77"/>
      <c r="BW406" s="78"/>
      <c r="BX406" s="78"/>
      <c r="CA406" s="165">
        <f t="shared" si="192"/>
        <v>0</v>
      </c>
      <c r="CH406" s="227">
        <v>0</v>
      </c>
    </row>
    <row r="407" customHeight="1" spans="1:86">
      <c r="A407" s="286"/>
      <c r="B407" s="157"/>
      <c r="C407" s="158"/>
      <c r="D407" s="158"/>
      <c r="E407" s="228"/>
      <c r="F407" s="228"/>
      <c r="G407" s="158"/>
      <c r="H407" s="158"/>
      <c r="I407" s="158"/>
      <c r="J407" s="158"/>
      <c r="K407" s="158"/>
      <c r="N407" s="75"/>
      <c r="Q407" s="76"/>
      <c r="S407" s="75"/>
      <c r="T407" s="1238"/>
      <c r="BC407" s="75"/>
      <c r="BH407" s="165"/>
      <c r="BO407" s="75"/>
      <c r="BP407" s="77"/>
      <c r="BQ407" s="78"/>
      <c r="BR407" s="77"/>
      <c r="BW407" s="78"/>
      <c r="BX407" s="78"/>
      <c r="CA407" s="165">
        <f t="shared" si="192"/>
        <v>0</v>
      </c>
      <c r="CH407" s="227">
        <v>0</v>
      </c>
    </row>
    <row r="408" customHeight="1" spans="1:86">
      <c r="A408" s="286"/>
      <c r="B408" s="157"/>
      <c r="C408" s="158"/>
      <c r="D408" s="158"/>
      <c r="E408" s="228"/>
      <c r="F408" s="228"/>
      <c r="G408" s="158"/>
      <c r="H408" s="158"/>
      <c r="I408" s="158"/>
      <c r="J408" s="158"/>
      <c r="K408" s="158"/>
      <c r="N408" s="75"/>
      <c r="Q408" s="76"/>
      <c r="S408" s="75"/>
      <c r="T408" s="1238"/>
      <c r="BC408" s="75"/>
      <c r="BH408" s="165"/>
      <c r="BO408" s="75"/>
      <c r="BP408" s="77"/>
      <c r="BQ408" s="78"/>
      <c r="BR408" s="77"/>
      <c r="BW408" s="78"/>
      <c r="BX408" s="78"/>
      <c r="CA408" s="165">
        <f t="shared" si="192"/>
        <v>0</v>
      </c>
      <c r="CH408" s="227">
        <v>0</v>
      </c>
    </row>
    <row r="409" customHeight="1" spans="1:86">
      <c r="A409" s="286"/>
      <c r="B409" s="157"/>
      <c r="C409" s="158"/>
      <c r="D409" s="158"/>
      <c r="E409" s="228"/>
      <c r="F409" s="228"/>
      <c r="G409" s="158"/>
      <c r="H409" s="158"/>
      <c r="I409" s="158"/>
      <c r="J409" s="158"/>
      <c r="K409" s="158"/>
      <c r="N409" s="75"/>
      <c r="Q409" s="76"/>
      <c r="S409" s="75"/>
      <c r="T409" s="1238"/>
      <c r="BC409" s="75"/>
      <c r="BH409" s="165"/>
      <c r="BO409" s="75"/>
      <c r="BP409" s="77"/>
      <c r="BQ409" s="78"/>
      <c r="BR409" s="77"/>
      <c r="BW409" s="78"/>
      <c r="BX409" s="78"/>
      <c r="CA409" s="165">
        <f t="shared" si="192"/>
        <v>0</v>
      </c>
      <c r="CH409" s="227">
        <v>0</v>
      </c>
    </row>
    <row r="410" customHeight="1" spans="1:86">
      <c r="A410" s="286"/>
      <c r="B410" s="74"/>
      <c r="D410" s="75"/>
      <c r="F410" s="165"/>
      <c r="N410" s="75"/>
      <c r="Q410" s="76"/>
      <c r="S410" s="75"/>
      <c r="T410" s="1238"/>
      <c r="BC410" s="75"/>
      <c r="BH410" s="165"/>
      <c r="BO410" s="75"/>
      <c r="BP410" s="77"/>
      <c r="BQ410" s="78"/>
      <c r="BR410" s="77"/>
      <c r="BW410" s="78"/>
      <c r="BX410" s="78"/>
      <c r="CA410" s="165">
        <f t="shared" si="192"/>
        <v>0</v>
      </c>
      <c r="CH410" s="227">
        <v>0</v>
      </c>
    </row>
    <row r="411" customHeight="1" spans="1:86">
      <c r="A411" s="286"/>
      <c r="B411" s="74"/>
      <c r="D411" s="75"/>
      <c r="F411" s="165"/>
      <c r="N411" s="75"/>
      <c r="Q411" s="76"/>
      <c r="S411" s="75"/>
      <c r="T411" s="1238"/>
      <c r="BC411" s="75"/>
      <c r="BH411" s="165"/>
      <c r="BO411" s="75"/>
      <c r="BP411" s="77"/>
      <c r="BQ411" s="78"/>
      <c r="BR411" s="77"/>
      <c r="BW411" s="78"/>
      <c r="BX411" s="78"/>
      <c r="CA411" s="165">
        <f t="shared" si="192"/>
        <v>0</v>
      </c>
      <c r="CH411" s="227">
        <v>0</v>
      </c>
    </row>
    <row r="412" customHeight="1" spans="1:86">
      <c r="A412" s="286"/>
      <c r="B412" s="74"/>
      <c r="D412" s="75"/>
      <c r="F412" s="165"/>
      <c r="N412" s="75"/>
      <c r="Q412" s="76"/>
      <c r="S412" s="75"/>
      <c r="T412" s="1238"/>
      <c r="BC412" s="75"/>
      <c r="BH412" s="165"/>
      <c r="BO412" s="75"/>
      <c r="BP412" s="77"/>
      <c r="BQ412" s="78"/>
      <c r="BR412" s="77"/>
      <c r="BW412" s="78"/>
      <c r="BX412" s="78"/>
      <c r="CA412" s="165">
        <f t="shared" si="192"/>
        <v>0</v>
      </c>
      <c r="CH412" s="227">
        <v>0</v>
      </c>
    </row>
    <row r="413" customHeight="1" spans="1:86">
      <c r="A413" s="286"/>
      <c r="B413" s="74"/>
      <c r="D413" s="75"/>
      <c r="F413" s="165"/>
      <c r="N413" s="75"/>
      <c r="Q413" s="76"/>
      <c r="S413" s="75"/>
      <c r="T413" s="1238"/>
      <c r="BC413" s="75"/>
      <c r="BH413" s="165"/>
      <c r="BO413" s="75"/>
      <c r="BP413" s="77"/>
      <c r="BQ413" s="78"/>
      <c r="BR413" s="77"/>
      <c r="BW413" s="78"/>
      <c r="BX413" s="78"/>
      <c r="CA413" s="165">
        <f t="shared" si="192"/>
        <v>0</v>
      </c>
      <c r="CH413" s="227">
        <v>0</v>
      </c>
    </row>
    <row r="414" customHeight="1" spans="1:86">
      <c r="A414" s="286"/>
      <c r="B414" s="74"/>
      <c r="D414" s="75"/>
      <c r="F414" s="165"/>
      <c r="N414" s="75"/>
      <c r="Q414" s="76"/>
      <c r="S414" s="75"/>
      <c r="T414" s="1238"/>
      <c r="BC414" s="75"/>
      <c r="BH414" s="165"/>
      <c r="BO414" s="75"/>
      <c r="BP414" s="77"/>
      <c r="BQ414" s="78"/>
      <c r="BR414" s="77"/>
      <c r="BW414" s="78"/>
      <c r="BX414" s="78"/>
      <c r="CA414" s="165">
        <f t="shared" si="192"/>
        <v>0</v>
      </c>
      <c r="CH414" s="227">
        <v>0</v>
      </c>
    </row>
    <row r="415" customHeight="1" spans="1:86">
      <c r="A415" s="286"/>
      <c r="B415" s="74"/>
      <c r="D415" s="75"/>
      <c r="F415" s="165"/>
      <c r="N415" s="75"/>
      <c r="Q415" s="76"/>
      <c r="S415" s="75"/>
      <c r="T415" s="1238"/>
      <c r="BC415" s="75"/>
      <c r="BH415" s="165"/>
      <c r="BO415" s="75"/>
      <c r="BP415" s="77"/>
      <c r="BQ415" s="78"/>
      <c r="BR415" s="77"/>
      <c r="BW415" s="78"/>
      <c r="BX415" s="78"/>
      <c r="CA415" s="165">
        <f t="shared" si="192"/>
        <v>0</v>
      </c>
      <c r="CH415" s="227">
        <v>0</v>
      </c>
    </row>
    <row r="416" customHeight="1" spans="1:86">
      <c r="A416" s="286"/>
      <c r="B416" s="74"/>
      <c r="D416" s="75"/>
      <c r="F416" s="165"/>
      <c r="N416" s="75"/>
      <c r="Q416" s="76"/>
      <c r="S416" s="75"/>
      <c r="T416" s="1238"/>
      <c r="BC416" s="75"/>
      <c r="BH416" s="165"/>
      <c r="BO416" s="75"/>
      <c r="BP416" s="77"/>
      <c r="BQ416" s="78"/>
      <c r="BR416" s="77"/>
      <c r="BW416" s="78"/>
      <c r="BX416" s="78"/>
      <c r="CA416" s="165">
        <f t="shared" si="192"/>
        <v>0</v>
      </c>
      <c r="CH416" s="227">
        <v>0</v>
      </c>
    </row>
    <row r="417" customHeight="1" spans="1:86">
      <c r="A417" s="286"/>
      <c r="B417" s="74"/>
      <c r="D417" s="75"/>
      <c r="F417" s="165"/>
      <c r="N417" s="75"/>
      <c r="Q417" s="76"/>
      <c r="S417" s="75"/>
      <c r="T417" s="1238"/>
      <c r="BC417" s="75"/>
      <c r="BH417" s="165"/>
      <c r="BO417" s="75"/>
      <c r="BP417" s="77"/>
      <c r="BQ417" s="78"/>
      <c r="BR417" s="77"/>
      <c r="BW417" s="78"/>
      <c r="BX417" s="78"/>
      <c r="CA417" s="165">
        <f t="shared" si="192"/>
        <v>0</v>
      </c>
      <c r="CH417" s="227">
        <v>0</v>
      </c>
    </row>
    <row r="418" customHeight="1" spans="1:86">
      <c r="A418" s="286"/>
      <c r="B418" s="74"/>
      <c r="D418" s="75"/>
      <c r="F418" s="165"/>
      <c r="N418" s="75"/>
      <c r="Q418" s="76"/>
      <c r="S418" s="75"/>
      <c r="T418" s="1238"/>
      <c r="BC418" s="75"/>
      <c r="BH418" s="165"/>
      <c r="BO418" s="75"/>
      <c r="BP418" s="77"/>
      <c r="BQ418" s="78"/>
      <c r="BR418" s="77"/>
      <c r="BW418" s="78"/>
      <c r="BX418" s="78"/>
      <c r="CA418" s="165">
        <f t="shared" si="192"/>
        <v>0</v>
      </c>
      <c r="CH418" s="227">
        <v>0</v>
      </c>
    </row>
    <row r="419" customHeight="1" spans="1:86">
      <c r="A419" s="286"/>
      <c r="B419" s="74"/>
      <c r="D419" s="75"/>
      <c r="F419" s="165"/>
      <c r="N419" s="75"/>
      <c r="Q419" s="76"/>
      <c r="S419" s="75"/>
      <c r="T419" s="1238"/>
      <c r="BC419" s="75"/>
      <c r="BH419" s="165"/>
      <c r="BO419" s="75"/>
      <c r="BP419" s="77"/>
      <c r="BQ419" s="78"/>
      <c r="BR419" s="77"/>
      <c r="BW419" s="78"/>
      <c r="BX419" s="78"/>
      <c r="CA419" s="165">
        <f t="shared" si="192"/>
        <v>0</v>
      </c>
      <c r="CH419" s="227">
        <v>0</v>
      </c>
    </row>
    <row r="420" customHeight="1" spans="1:86">
      <c r="A420" s="286"/>
      <c r="B420" s="74"/>
      <c r="D420" s="75"/>
      <c r="F420" s="165"/>
      <c r="N420" s="75"/>
      <c r="Q420" s="76"/>
      <c r="S420" s="75"/>
      <c r="T420" s="1238"/>
      <c r="BC420" s="75"/>
      <c r="BH420" s="165"/>
      <c r="BO420" s="75"/>
      <c r="BP420" s="77"/>
      <c r="BQ420" s="78"/>
      <c r="BR420" s="77"/>
      <c r="BW420" s="78"/>
      <c r="BX420" s="78"/>
      <c r="CA420" s="165">
        <f t="shared" si="192"/>
        <v>0</v>
      </c>
      <c r="CH420" s="227">
        <v>0</v>
      </c>
    </row>
    <row r="421" customHeight="1" spans="1:86">
      <c r="A421" s="286"/>
      <c r="B421" s="74"/>
      <c r="D421" s="75"/>
      <c r="F421" s="165"/>
      <c r="N421" s="75"/>
      <c r="Q421" s="76"/>
      <c r="S421" s="75"/>
      <c r="T421" s="1238"/>
      <c r="BC421" s="75"/>
      <c r="BH421" s="165"/>
      <c r="BO421" s="75"/>
      <c r="BP421" s="77"/>
      <c r="BQ421" s="78"/>
      <c r="BR421" s="77"/>
      <c r="BW421" s="78"/>
      <c r="BX421" s="78"/>
      <c r="CA421" s="165">
        <f t="shared" si="192"/>
        <v>0</v>
      </c>
      <c r="CH421" s="227">
        <v>0</v>
      </c>
    </row>
    <row r="422" customHeight="1" spans="1:86">
      <c r="A422" s="286"/>
      <c r="B422" s="74"/>
      <c r="D422" s="75"/>
      <c r="F422" s="165"/>
      <c r="N422" s="75"/>
      <c r="Q422" s="76"/>
      <c r="S422" s="75"/>
      <c r="T422" s="1238"/>
      <c r="BC422" s="75"/>
      <c r="BH422" s="165"/>
      <c r="BO422" s="75"/>
      <c r="BP422" s="77"/>
      <c r="BQ422" s="78"/>
      <c r="BR422" s="77"/>
      <c r="BW422" s="78"/>
      <c r="BX422" s="78"/>
      <c r="CA422" s="165">
        <f t="shared" si="192"/>
        <v>0</v>
      </c>
      <c r="CH422" s="227">
        <v>0</v>
      </c>
    </row>
    <row r="423" customHeight="1" spans="1:86">
      <c r="A423" s="286"/>
      <c r="B423" s="74"/>
      <c r="D423" s="75"/>
      <c r="F423" s="165"/>
      <c r="N423" s="75"/>
      <c r="Q423" s="76"/>
      <c r="S423" s="75"/>
      <c r="T423" s="1238"/>
      <c r="BC423" s="75"/>
      <c r="BH423" s="165"/>
      <c r="BO423" s="75"/>
      <c r="BP423" s="77"/>
      <c r="BQ423" s="78"/>
      <c r="BR423" s="77"/>
      <c r="BW423" s="78"/>
      <c r="BX423" s="78"/>
      <c r="CA423" s="165">
        <f t="shared" si="192"/>
        <v>0</v>
      </c>
      <c r="CH423" s="227">
        <v>0</v>
      </c>
    </row>
    <row r="424" customHeight="1" spans="1:86">
      <c r="A424" s="286"/>
      <c r="B424" s="74"/>
      <c r="D424" s="75"/>
      <c r="F424" s="165"/>
      <c r="N424" s="75"/>
      <c r="Q424" s="76"/>
      <c r="S424" s="75"/>
      <c r="T424" s="1238"/>
      <c r="BC424" s="75"/>
      <c r="BH424" s="165"/>
      <c r="BO424" s="75"/>
      <c r="BP424" s="77"/>
      <c r="BQ424" s="78"/>
      <c r="BR424" s="77"/>
      <c r="BW424" s="78"/>
      <c r="BX424" s="78"/>
      <c r="CA424" s="165">
        <f t="shared" si="192"/>
        <v>0</v>
      </c>
      <c r="CH424" s="227">
        <v>0</v>
      </c>
    </row>
    <row r="425" customHeight="1" spans="1:86">
      <c r="A425" s="286"/>
      <c r="B425" s="74"/>
      <c r="D425" s="75"/>
      <c r="F425" s="165"/>
      <c r="N425" s="75"/>
      <c r="Q425" s="76"/>
      <c r="S425" s="75"/>
      <c r="T425" s="1238"/>
      <c r="BC425" s="75"/>
      <c r="BH425" s="165"/>
      <c r="BO425" s="75"/>
      <c r="BP425" s="77"/>
      <c r="BQ425" s="78"/>
      <c r="BR425" s="77"/>
      <c r="BW425" s="78"/>
      <c r="BX425" s="78"/>
      <c r="CA425" s="165">
        <f t="shared" si="192"/>
        <v>0</v>
      </c>
      <c r="CH425" s="227">
        <v>0</v>
      </c>
    </row>
    <row r="426" customHeight="1" spans="1:86">
      <c r="A426" s="286"/>
      <c r="B426" s="74"/>
      <c r="D426" s="75"/>
      <c r="F426" s="165"/>
      <c r="N426" s="75"/>
      <c r="Q426" s="76"/>
      <c r="S426" s="75"/>
      <c r="T426" s="1238"/>
      <c r="BC426" s="75"/>
      <c r="BH426" s="165"/>
      <c r="BO426" s="75"/>
      <c r="BP426" s="77"/>
      <c r="BQ426" s="78"/>
      <c r="BR426" s="77"/>
      <c r="BW426" s="78"/>
      <c r="BX426" s="78"/>
      <c r="CA426" s="165">
        <f t="shared" si="192"/>
        <v>0</v>
      </c>
      <c r="CH426" s="227">
        <v>0</v>
      </c>
    </row>
    <row r="427" customHeight="1" spans="1:86">
      <c r="A427" s="286"/>
      <c r="B427" s="74"/>
      <c r="D427" s="75"/>
      <c r="F427" s="165"/>
      <c r="N427" s="75"/>
      <c r="Q427" s="76"/>
      <c r="S427" s="75"/>
      <c r="T427" s="1238"/>
      <c r="BC427" s="75"/>
      <c r="BH427" s="165"/>
      <c r="BO427" s="75"/>
      <c r="BP427" s="77"/>
      <c r="BQ427" s="78"/>
      <c r="BR427" s="77"/>
      <c r="BW427" s="78"/>
      <c r="BX427" s="78"/>
      <c r="CA427" s="165">
        <f t="shared" si="192"/>
        <v>0</v>
      </c>
      <c r="CH427" s="227">
        <v>0</v>
      </c>
    </row>
    <row r="428" customHeight="1" spans="1:86">
      <c r="A428" s="286"/>
      <c r="B428" s="74"/>
      <c r="D428" s="75"/>
      <c r="F428" s="165"/>
      <c r="N428" s="75"/>
      <c r="Q428" s="76"/>
      <c r="S428" s="75"/>
      <c r="T428" s="1238"/>
      <c r="BC428" s="75"/>
      <c r="BH428" s="165"/>
      <c r="BO428" s="75"/>
      <c r="BP428" s="77"/>
      <c r="BQ428" s="78"/>
      <c r="BR428" s="77"/>
      <c r="BW428" s="78"/>
      <c r="BX428" s="78"/>
      <c r="CA428" s="165">
        <f t="shared" si="192"/>
        <v>0</v>
      </c>
      <c r="CH428" s="227">
        <v>0</v>
      </c>
    </row>
    <row r="429" customHeight="1" spans="1:86">
      <c r="A429" s="286"/>
      <c r="B429" s="74"/>
      <c r="D429" s="75"/>
      <c r="F429" s="165"/>
      <c r="N429" s="75"/>
      <c r="Q429" s="76"/>
      <c r="S429" s="75"/>
      <c r="T429" s="1238"/>
      <c r="BC429" s="75"/>
      <c r="BH429" s="165"/>
      <c r="BO429" s="75"/>
      <c r="BP429" s="77"/>
      <c r="BQ429" s="78"/>
      <c r="BR429" s="77"/>
      <c r="BW429" s="78"/>
      <c r="BX429" s="78"/>
      <c r="CA429" s="165">
        <f t="shared" si="192"/>
        <v>0</v>
      </c>
      <c r="CH429" s="227">
        <v>0</v>
      </c>
    </row>
    <row r="430" customHeight="1" spans="1:86">
      <c r="A430" s="286"/>
      <c r="B430" s="74"/>
      <c r="D430" s="75"/>
      <c r="F430" s="165"/>
      <c r="N430" s="75"/>
      <c r="Q430" s="76"/>
      <c r="S430" s="75"/>
      <c r="T430" s="1238"/>
      <c r="BC430" s="75"/>
      <c r="BH430" s="165"/>
      <c r="BO430" s="75"/>
      <c r="BP430" s="77"/>
      <c r="BQ430" s="78"/>
      <c r="BR430" s="77"/>
      <c r="BW430" s="78"/>
      <c r="BX430" s="78"/>
      <c r="CA430" s="165">
        <f t="shared" si="192"/>
        <v>0</v>
      </c>
      <c r="CH430" s="227">
        <v>0</v>
      </c>
    </row>
    <row r="431" customHeight="1" spans="1:86">
      <c r="A431" s="286"/>
      <c r="B431" s="74"/>
      <c r="D431" s="75"/>
      <c r="F431" s="165"/>
      <c r="N431" s="75"/>
      <c r="Q431" s="76"/>
      <c r="S431" s="75"/>
      <c r="T431" s="1238"/>
      <c r="BC431" s="75"/>
      <c r="BH431" s="165"/>
      <c r="BO431" s="75"/>
      <c r="BP431" s="77"/>
      <c r="BQ431" s="78"/>
      <c r="BR431" s="77"/>
      <c r="BW431" s="78"/>
      <c r="BX431" s="78"/>
      <c r="CA431" s="165">
        <f t="shared" si="192"/>
        <v>0</v>
      </c>
      <c r="CH431" s="227">
        <v>0</v>
      </c>
    </row>
    <row r="432" customHeight="1" spans="1:86">
      <c r="A432" s="286"/>
      <c r="B432" s="74"/>
      <c r="D432" s="75"/>
      <c r="F432" s="165"/>
      <c r="N432" s="75"/>
      <c r="Q432" s="76"/>
      <c r="S432" s="75"/>
      <c r="T432" s="1238"/>
      <c r="BC432" s="75"/>
      <c r="BH432" s="165"/>
      <c r="BO432" s="75"/>
      <c r="BP432" s="77"/>
      <c r="BQ432" s="78"/>
      <c r="BR432" s="77"/>
      <c r="BW432" s="78"/>
      <c r="BX432" s="78"/>
      <c r="CA432" s="165">
        <f t="shared" si="192"/>
        <v>0</v>
      </c>
      <c r="CH432" s="227">
        <v>0</v>
      </c>
    </row>
    <row r="433" customHeight="1" spans="1:86">
      <c r="A433" s="286"/>
      <c r="B433" s="74"/>
      <c r="D433" s="75"/>
      <c r="F433" s="165"/>
      <c r="N433" s="75"/>
      <c r="Q433" s="76"/>
      <c r="S433" s="75"/>
      <c r="T433" s="1238"/>
      <c r="BC433" s="75"/>
      <c r="BH433" s="165"/>
      <c r="BO433" s="75"/>
      <c r="BP433" s="77"/>
      <c r="BQ433" s="78"/>
      <c r="BR433" s="77"/>
      <c r="BW433" s="78"/>
      <c r="BX433" s="78"/>
      <c r="CA433" s="165">
        <f t="shared" si="192"/>
        <v>0</v>
      </c>
      <c r="CH433" s="227">
        <v>0</v>
      </c>
    </row>
    <row r="434" customHeight="1" spans="1:86">
      <c r="A434" s="286"/>
      <c r="B434" s="74"/>
      <c r="D434" s="75"/>
      <c r="F434" s="165"/>
      <c r="N434" s="75"/>
      <c r="Q434" s="76"/>
      <c r="S434" s="75"/>
      <c r="T434" s="1238"/>
      <c r="BC434" s="75"/>
      <c r="BH434" s="165"/>
      <c r="BO434" s="75"/>
      <c r="BP434" s="77"/>
      <c r="BQ434" s="78"/>
      <c r="BR434" s="77"/>
      <c r="BW434" s="78"/>
      <c r="BX434" s="78"/>
      <c r="CA434" s="165">
        <f t="shared" si="192"/>
        <v>0</v>
      </c>
      <c r="CH434" s="227">
        <v>0</v>
      </c>
    </row>
    <row r="435" customHeight="1" spans="1:86">
      <c r="A435" s="286"/>
      <c r="B435" s="74"/>
      <c r="D435" s="75"/>
      <c r="F435" s="165"/>
      <c r="N435" s="75"/>
      <c r="Q435" s="76"/>
      <c r="S435" s="75"/>
      <c r="T435" s="1238"/>
      <c r="BC435" s="75"/>
      <c r="BH435" s="165"/>
      <c r="BO435" s="75"/>
      <c r="BP435" s="77"/>
      <c r="BQ435" s="78"/>
      <c r="BR435" s="77"/>
      <c r="BW435" s="78"/>
      <c r="BX435" s="78"/>
      <c r="CA435" s="165">
        <f t="shared" si="192"/>
        <v>0</v>
      </c>
      <c r="CH435" s="227">
        <v>0</v>
      </c>
    </row>
    <row r="436" customHeight="1" spans="1:86">
      <c r="A436" s="286"/>
      <c r="B436" s="74"/>
      <c r="D436" s="75"/>
      <c r="F436" s="165"/>
      <c r="N436" s="75"/>
      <c r="Q436" s="76"/>
      <c r="S436" s="75"/>
      <c r="T436" s="1238"/>
      <c r="BC436" s="75"/>
      <c r="BH436" s="165"/>
      <c r="BO436" s="75"/>
      <c r="BP436" s="77"/>
      <c r="BQ436" s="78"/>
      <c r="BR436" s="77"/>
      <c r="BW436" s="78"/>
      <c r="BX436" s="78"/>
      <c r="CA436" s="165">
        <f t="shared" si="192"/>
        <v>0</v>
      </c>
      <c r="CH436" s="227">
        <v>0</v>
      </c>
    </row>
    <row r="437" customHeight="1" spans="1:86">
      <c r="A437" s="286"/>
      <c r="B437" s="74"/>
      <c r="D437" s="75"/>
      <c r="F437" s="165"/>
      <c r="N437" s="75"/>
      <c r="Q437" s="76"/>
      <c r="S437" s="75"/>
      <c r="T437" s="1238"/>
      <c r="BC437" s="75"/>
      <c r="BH437" s="165"/>
      <c r="BO437" s="75"/>
      <c r="BP437" s="77"/>
      <c r="BQ437" s="78"/>
      <c r="BR437" s="77"/>
      <c r="BW437" s="78"/>
      <c r="BX437" s="78"/>
      <c r="CA437" s="165">
        <f t="shared" si="192"/>
        <v>0</v>
      </c>
      <c r="CH437" s="227">
        <v>0</v>
      </c>
    </row>
    <row r="438" customHeight="1" spans="1:86">
      <c r="A438" s="286"/>
      <c r="B438" s="74"/>
      <c r="D438" s="75"/>
      <c r="F438" s="165"/>
      <c r="N438" s="75"/>
      <c r="Q438" s="76"/>
      <c r="S438" s="75"/>
      <c r="T438" s="1238"/>
      <c r="BC438" s="75"/>
      <c r="BH438" s="165"/>
      <c r="BO438" s="75"/>
      <c r="BP438" s="77"/>
      <c r="BQ438" s="78"/>
      <c r="BR438" s="77"/>
      <c r="BW438" s="78"/>
      <c r="BX438" s="78"/>
      <c r="CA438" s="165">
        <f t="shared" si="192"/>
        <v>0</v>
      </c>
      <c r="CH438" s="227">
        <v>0</v>
      </c>
    </row>
    <row r="439" customHeight="1" spans="1:86">
      <c r="A439" s="286"/>
      <c r="B439" s="74"/>
      <c r="D439" s="75"/>
      <c r="F439" s="165"/>
      <c r="N439" s="75"/>
      <c r="Q439" s="76"/>
      <c r="S439" s="75"/>
      <c r="T439" s="1238"/>
      <c r="BC439" s="75"/>
      <c r="BH439" s="165"/>
      <c r="BO439" s="75"/>
      <c r="BP439" s="77"/>
      <c r="BQ439" s="78"/>
      <c r="BR439" s="77"/>
      <c r="BW439" s="78"/>
      <c r="BX439" s="78"/>
      <c r="CA439" s="165">
        <f t="shared" si="192"/>
        <v>0</v>
      </c>
      <c r="CH439" s="227">
        <v>0</v>
      </c>
    </row>
    <row r="440" customHeight="1" spans="1:86">
      <c r="A440" s="286"/>
      <c r="B440" s="74"/>
      <c r="D440" s="75"/>
      <c r="F440" s="165"/>
      <c r="N440" s="75"/>
      <c r="Q440" s="76"/>
      <c r="S440" s="75"/>
      <c r="T440" s="1238"/>
      <c r="BC440" s="75"/>
      <c r="BH440" s="165"/>
      <c r="BO440" s="75"/>
      <c r="BP440" s="77"/>
      <c r="BQ440" s="78"/>
      <c r="BR440" s="77"/>
      <c r="BW440" s="78"/>
      <c r="BX440" s="78"/>
      <c r="CA440" s="165">
        <f t="shared" si="192"/>
        <v>0</v>
      </c>
      <c r="CH440" s="227">
        <v>0</v>
      </c>
    </row>
    <row r="441" customHeight="1" spans="1:86">
      <c r="A441" s="286"/>
      <c r="B441" s="74"/>
      <c r="D441" s="75"/>
      <c r="F441" s="165"/>
      <c r="N441" s="75"/>
      <c r="Q441" s="76"/>
      <c r="S441" s="75"/>
      <c r="T441" s="1238"/>
      <c r="BC441" s="75"/>
      <c r="BH441" s="165"/>
      <c r="BO441" s="75"/>
      <c r="BP441" s="77"/>
      <c r="BQ441" s="78"/>
      <c r="BR441" s="77"/>
      <c r="BW441" s="78"/>
      <c r="BX441" s="78"/>
      <c r="CA441" s="165">
        <f t="shared" si="192"/>
        <v>0</v>
      </c>
      <c r="CH441" s="227">
        <v>0</v>
      </c>
    </row>
    <row r="442" customHeight="1" spans="1:86">
      <c r="A442" s="286"/>
      <c r="B442" s="74"/>
      <c r="D442" s="75"/>
      <c r="F442" s="165"/>
      <c r="N442" s="75"/>
      <c r="Q442" s="76"/>
      <c r="S442" s="75"/>
      <c r="T442" s="1238"/>
      <c r="BC442" s="75"/>
      <c r="BH442" s="165"/>
      <c r="BO442" s="75"/>
      <c r="BP442" s="77"/>
      <c r="BQ442" s="78"/>
      <c r="BR442" s="77"/>
      <c r="BW442" s="78"/>
      <c r="BX442" s="78"/>
      <c r="CA442" s="165">
        <f t="shared" si="192"/>
        <v>0</v>
      </c>
      <c r="CH442" s="227">
        <v>0</v>
      </c>
    </row>
    <row r="443" customHeight="1" spans="1:86">
      <c r="A443" s="286"/>
      <c r="B443" s="74"/>
      <c r="D443" s="75"/>
      <c r="F443" s="165"/>
      <c r="N443" s="75"/>
      <c r="Q443" s="76"/>
      <c r="S443" s="75"/>
      <c r="T443" s="1238"/>
      <c r="BC443" s="75"/>
      <c r="BH443" s="165"/>
      <c r="BO443" s="75"/>
      <c r="BP443" s="77"/>
      <c r="BQ443" s="78"/>
      <c r="BR443" s="77"/>
      <c r="BW443" s="78"/>
      <c r="BX443" s="78"/>
      <c r="CA443" s="165">
        <f t="shared" si="192"/>
        <v>0</v>
      </c>
      <c r="CH443" s="227">
        <v>0</v>
      </c>
    </row>
    <row r="444" customHeight="1" spans="1:86">
      <c r="A444" s="286"/>
      <c r="B444" s="74"/>
      <c r="D444" s="75"/>
      <c r="F444" s="165"/>
      <c r="N444" s="75"/>
      <c r="Q444" s="76"/>
      <c r="S444" s="75"/>
      <c r="T444" s="1238"/>
      <c r="BC444" s="75"/>
      <c r="BH444" s="165"/>
      <c r="BO444" s="75"/>
      <c r="BP444" s="77"/>
      <c r="BQ444" s="78"/>
      <c r="BR444" s="77"/>
      <c r="BW444" s="78"/>
      <c r="BX444" s="78"/>
      <c r="CA444" s="165">
        <f t="shared" si="192"/>
        <v>0</v>
      </c>
      <c r="CH444" s="227">
        <v>0</v>
      </c>
    </row>
    <row r="445" customHeight="1" spans="1:86">
      <c r="A445" s="286"/>
      <c r="B445" s="74"/>
      <c r="D445" s="75"/>
      <c r="F445" s="165"/>
      <c r="N445" s="75"/>
      <c r="Q445" s="76"/>
      <c r="S445" s="75"/>
      <c r="T445" s="1238"/>
      <c r="BC445" s="75"/>
      <c r="BH445" s="165"/>
      <c r="BO445" s="75"/>
      <c r="BP445" s="77"/>
      <c r="BQ445" s="78"/>
      <c r="BR445" s="77"/>
      <c r="BW445" s="78"/>
      <c r="BX445" s="78"/>
      <c r="CA445" s="165">
        <f t="shared" si="192"/>
        <v>0</v>
      </c>
      <c r="CH445" s="227">
        <v>0</v>
      </c>
    </row>
    <row r="446" customHeight="1" spans="1:86">
      <c r="A446" s="286"/>
      <c r="B446" s="74"/>
      <c r="D446" s="75"/>
      <c r="F446" s="165"/>
      <c r="N446" s="75"/>
      <c r="Q446" s="76"/>
      <c r="S446" s="75"/>
      <c r="T446" s="1238"/>
      <c r="BC446" s="75"/>
      <c r="BH446" s="165"/>
      <c r="BO446" s="75"/>
      <c r="BP446" s="77"/>
      <c r="BQ446" s="78"/>
      <c r="BR446" s="77"/>
      <c r="BW446" s="78"/>
      <c r="BX446" s="78"/>
      <c r="CA446" s="165">
        <f t="shared" si="192"/>
        <v>0</v>
      </c>
      <c r="CH446" s="227">
        <v>0</v>
      </c>
    </row>
    <row r="447" customHeight="1" spans="1:86">
      <c r="A447" s="286"/>
      <c r="B447" s="74"/>
      <c r="D447" s="75"/>
      <c r="F447" s="165"/>
      <c r="N447" s="75"/>
      <c r="Q447" s="76"/>
      <c r="S447" s="75"/>
      <c r="T447" s="1238"/>
      <c r="BC447" s="75"/>
      <c r="BH447" s="165"/>
      <c r="BO447" s="75"/>
      <c r="BP447" s="77"/>
      <c r="BQ447" s="78"/>
      <c r="BR447" s="77"/>
      <c r="BW447" s="78"/>
      <c r="BX447" s="78"/>
      <c r="CA447" s="165">
        <f t="shared" si="192"/>
        <v>0</v>
      </c>
      <c r="CH447" s="227">
        <v>0</v>
      </c>
    </row>
    <row r="448" customHeight="1" spans="1:86">
      <c r="A448" s="286"/>
      <c r="B448" s="74"/>
      <c r="D448" s="75"/>
      <c r="F448" s="165"/>
      <c r="N448" s="75"/>
      <c r="Q448" s="76"/>
      <c r="S448" s="75"/>
      <c r="T448" s="1238"/>
      <c r="BC448" s="75"/>
      <c r="BH448" s="165"/>
      <c r="BO448" s="75"/>
      <c r="BP448" s="77"/>
      <c r="BQ448" s="78"/>
      <c r="BR448" s="77"/>
      <c r="BW448" s="78"/>
      <c r="BX448" s="78"/>
      <c r="CA448" s="165">
        <f t="shared" si="192"/>
        <v>0</v>
      </c>
      <c r="CH448" s="227">
        <v>0</v>
      </c>
    </row>
    <row r="449" customHeight="1" spans="1:86">
      <c r="A449" s="286"/>
      <c r="B449" s="74"/>
      <c r="D449" s="75"/>
      <c r="F449" s="165"/>
      <c r="N449" s="75"/>
      <c r="Q449" s="76"/>
      <c r="S449" s="75"/>
      <c r="T449" s="1238"/>
      <c r="BC449" s="75"/>
      <c r="BH449" s="165"/>
      <c r="BO449" s="75"/>
      <c r="BP449" s="77"/>
      <c r="BQ449" s="78"/>
      <c r="BR449" s="77"/>
      <c r="BW449" s="78"/>
      <c r="BX449" s="78"/>
      <c r="CA449" s="165">
        <f t="shared" si="192"/>
        <v>0</v>
      </c>
      <c r="CH449" s="227">
        <v>0</v>
      </c>
    </row>
    <row r="450" customHeight="1" spans="1:86">
      <c r="A450" s="286"/>
      <c r="B450" s="74"/>
      <c r="D450" s="75"/>
      <c r="F450" s="165"/>
      <c r="N450" s="75"/>
      <c r="Q450" s="76"/>
      <c r="S450" s="75"/>
      <c r="T450" s="1238"/>
      <c r="BC450" s="75"/>
      <c r="BH450" s="165"/>
      <c r="BO450" s="75"/>
      <c r="BP450" s="77"/>
      <c r="BQ450" s="78"/>
      <c r="BR450" s="77"/>
      <c r="BW450" s="78"/>
      <c r="BX450" s="78"/>
      <c r="CA450" s="165">
        <f t="shared" si="192"/>
        <v>0</v>
      </c>
      <c r="CH450" s="227">
        <v>0</v>
      </c>
    </row>
    <row r="451" customHeight="1" spans="1:86">
      <c r="A451" s="286"/>
      <c r="B451" s="74"/>
      <c r="D451" s="75"/>
      <c r="F451" s="165"/>
      <c r="N451" s="75"/>
      <c r="Q451" s="76"/>
      <c r="S451" s="75"/>
      <c r="T451" s="1238"/>
      <c r="BC451" s="75"/>
      <c r="BH451" s="165"/>
      <c r="BO451" s="75"/>
      <c r="BP451" s="77"/>
      <c r="BQ451" s="78"/>
      <c r="BR451" s="77"/>
      <c r="BW451" s="78"/>
      <c r="BX451" s="78"/>
      <c r="CA451" s="165">
        <f t="shared" si="192"/>
        <v>0</v>
      </c>
      <c r="CH451" s="227">
        <v>0</v>
      </c>
    </row>
    <row r="452" customHeight="1" spans="1:86">
      <c r="A452" s="286"/>
      <c r="B452" s="74"/>
      <c r="D452" s="75"/>
      <c r="F452" s="165"/>
      <c r="N452" s="75"/>
      <c r="Q452" s="76"/>
      <c r="S452" s="75"/>
      <c r="T452" s="1238"/>
      <c r="BC452" s="75"/>
      <c r="BH452" s="165"/>
      <c r="BO452" s="75"/>
      <c r="BP452" s="77"/>
      <c r="BQ452" s="78"/>
      <c r="BR452" s="77"/>
      <c r="BW452" s="78"/>
      <c r="BX452" s="78"/>
      <c r="CA452" s="165">
        <f t="shared" si="192"/>
        <v>0</v>
      </c>
      <c r="CH452" s="227">
        <v>0</v>
      </c>
    </row>
    <row r="453" customHeight="1" spans="1:86">
      <c r="A453" s="286"/>
      <c r="B453" s="74"/>
      <c r="D453" s="75"/>
      <c r="F453" s="165"/>
      <c r="N453" s="75"/>
      <c r="Q453" s="76"/>
      <c r="S453" s="75"/>
      <c r="T453" s="1238"/>
      <c r="BC453" s="75"/>
      <c r="BH453" s="165"/>
      <c r="BO453" s="75"/>
      <c r="BP453" s="77"/>
      <c r="BQ453" s="78"/>
      <c r="BR453" s="77"/>
      <c r="BW453" s="78"/>
      <c r="BX453" s="78"/>
      <c r="CA453" s="165">
        <f t="shared" si="192"/>
        <v>0</v>
      </c>
      <c r="CH453" s="227">
        <v>0</v>
      </c>
    </row>
    <row r="454" customHeight="1" spans="1:86">
      <c r="A454" s="286"/>
      <c r="B454" s="74"/>
      <c r="D454" s="75"/>
      <c r="F454" s="165"/>
      <c r="N454" s="75"/>
      <c r="Q454" s="76"/>
      <c r="S454" s="75"/>
      <c r="T454" s="1238"/>
      <c r="BC454" s="75"/>
      <c r="BH454" s="165"/>
      <c r="BO454" s="75"/>
      <c r="BP454" s="77"/>
      <c r="BQ454" s="78"/>
      <c r="BR454" s="77"/>
      <c r="BW454" s="78"/>
      <c r="BX454" s="78"/>
      <c r="CA454" s="165">
        <f t="shared" si="192"/>
        <v>0</v>
      </c>
      <c r="CH454" s="227">
        <v>0</v>
      </c>
    </row>
    <row r="455" customHeight="1" spans="1:86">
      <c r="A455" s="286"/>
      <c r="B455" s="74"/>
      <c r="D455" s="75"/>
      <c r="F455" s="165"/>
      <c r="N455" s="75"/>
      <c r="Q455" s="76"/>
      <c r="S455" s="75"/>
      <c r="T455" s="1238"/>
      <c r="BC455" s="75"/>
      <c r="BH455" s="165"/>
      <c r="BO455" s="75"/>
      <c r="BP455" s="77"/>
      <c r="BQ455" s="78"/>
      <c r="BR455" s="77"/>
      <c r="BW455" s="78"/>
      <c r="BX455" s="78"/>
      <c r="CA455" s="165">
        <f t="shared" si="192"/>
        <v>0</v>
      </c>
      <c r="CH455" s="227">
        <v>0</v>
      </c>
    </row>
    <row r="456" customHeight="1" spans="1:86">
      <c r="A456" s="286"/>
      <c r="B456" s="74"/>
      <c r="D456" s="75"/>
      <c r="F456" s="165"/>
      <c r="N456" s="75"/>
      <c r="Q456" s="76"/>
      <c r="S456" s="75"/>
      <c r="T456" s="1238"/>
      <c r="BC456" s="75"/>
      <c r="BH456" s="165"/>
      <c r="BO456" s="75"/>
      <c r="BP456" s="77"/>
      <c r="BQ456" s="78"/>
      <c r="BR456" s="77"/>
      <c r="BW456" s="78"/>
      <c r="BX456" s="78"/>
      <c r="CA456" s="165">
        <f t="shared" si="192"/>
        <v>0</v>
      </c>
      <c r="CH456" s="227">
        <v>0</v>
      </c>
    </row>
    <row r="457" customHeight="1" spans="1:86">
      <c r="A457" s="286"/>
      <c r="B457" s="74"/>
      <c r="D457" s="75"/>
      <c r="F457" s="165"/>
      <c r="N457" s="75"/>
      <c r="Q457" s="76"/>
      <c r="S457" s="75"/>
      <c r="T457" s="1238"/>
      <c r="BC457" s="75"/>
      <c r="BH457" s="165"/>
      <c r="BO457" s="75"/>
      <c r="BP457" s="77"/>
      <c r="BQ457" s="78"/>
      <c r="BR457" s="77"/>
      <c r="BW457" s="78"/>
      <c r="BX457" s="78"/>
      <c r="CA457" s="165">
        <f t="shared" si="192"/>
        <v>0</v>
      </c>
      <c r="CH457" s="227">
        <v>0</v>
      </c>
    </row>
    <row r="458" customHeight="1" spans="1:86">
      <c r="A458" s="286"/>
      <c r="B458" s="74"/>
      <c r="D458" s="75"/>
      <c r="F458" s="165"/>
      <c r="N458" s="75"/>
      <c r="Q458" s="76"/>
      <c r="S458" s="75"/>
      <c r="T458" s="1238"/>
      <c r="BC458" s="75"/>
      <c r="BH458" s="165"/>
      <c r="BO458" s="75"/>
      <c r="BP458" s="77"/>
      <c r="BQ458" s="78"/>
      <c r="BR458" s="77"/>
      <c r="BW458" s="78"/>
      <c r="BX458" s="78"/>
      <c r="CA458" s="165">
        <f t="shared" si="192"/>
        <v>0</v>
      </c>
      <c r="CH458" s="227">
        <v>0</v>
      </c>
    </row>
    <row r="459" customHeight="1" spans="1:86">
      <c r="A459" s="286"/>
      <c r="B459" s="74"/>
      <c r="D459" s="75"/>
      <c r="F459" s="165"/>
      <c r="N459" s="75"/>
      <c r="Q459" s="76"/>
      <c r="S459" s="75"/>
      <c r="T459" s="1238"/>
      <c r="BC459" s="75"/>
      <c r="BH459" s="165"/>
      <c r="BO459" s="75"/>
      <c r="BP459" s="77"/>
      <c r="BQ459" s="78"/>
      <c r="BR459" s="77"/>
      <c r="BW459" s="78"/>
      <c r="BX459" s="78"/>
      <c r="CA459" s="165">
        <f t="shared" si="192"/>
        <v>0</v>
      </c>
      <c r="CH459" s="227">
        <v>0</v>
      </c>
    </row>
    <row r="460" customHeight="1" spans="1:86">
      <c r="A460" s="286"/>
      <c r="B460" s="74"/>
      <c r="D460" s="75"/>
      <c r="F460" s="165"/>
      <c r="N460" s="75"/>
      <c r="Q460" s="76"/>
      <c r="S460" s="75"/>
      <c r="T460" s="1238"/>
      <c r="BC460" s="75"/>
      <c r="BH460" s="165"/>
      <c r="BO460" s="75"/>
      <c r="BP460" s="77"/>
      <c r="BQ460" s="78"/>
      <c r="BR460" s="77"/>
      <c r="BW460" s="78"/>
      <c r="BX460" s="78"/>
      <c r="CA460" s="165">
        <f t="shared" si="192"/>
        <v>0</v>
      </c>
      <c r="CH460" s="227">
        <v>0</v>
      </c>
    </row>
    <row r="461" customHeight="1" spans="1:86">
      <c r="A461" s="286"/>
      <c r="B461" s="74"/>
      <c r="D461" s="75"/>
      <c r="F461" s="165"/>
      <c r="N461" s="75"/>
      <c r="Q461" s="76"/>
      <c r="S461" s="75"/>
      <c r="T461" s="1238"/>
      <c r="BC461" s="75"/>
      <c r="BH461" s="165"/>
      <c r="BO461" s="75"/>
      <c r="BP461" s="77"/>
      <c r="BQ461" s="78"/>
      <c r="BR461" s="77"/>
      <c r="BW461" s="78"/>
      <c r="BX461" s="78"/>
      <c r="CA461" s="165">
        <f t="shared" ref="CA461:CA521" si="194">ROUND(CH461*BZ461,0)</f>
        <v>0</v>
      </c>
      <c r="CH461" s="227">
        <v>0</v>
      </c>
    </row>
    <row r="462" customHeight="1" spans="1:86">
      <c r="A462" s="286"/>
      <c r="B462" s="74"/>
      <c r="D462" s="75"/>
      <c r="F462" s="165"/>
      <c r="N462" s="75"/>
      <c r="Q462" s="76"/>
      <c r="S462" s="75"/>
      <c r="T462" s="1238"/>
      <c r="BC462" s="75"/>
      <c r="BH462" s="165"/>
      <c r="BO462" s="75"/>
      <c r="BP462" s="77"/>
      <c r="BQ462" s="78"/>
      <c r="BR462" s="77"/>
      <c r="BW462" s="78"/>
      <c r="BX462" s="78"/>
      <c r="CA462" s="165">
        <f t="shared" si="194"/>
        <v>0</v>
      </c>
      <c r="CH462" s="227">
        <v>0</v>
      </c>
    </row>
    <row r="463" customHeight="1" spans="1:86">
      <c r="A463" s="286"/>
      <c r="B463" s="74"/>
      <c r="D463" s="75"/>
      <c r="F463" s="165"/>
      <c r="N463" s="75"/>
      <c r="Q463" s="76"/>
      <c r="S463" s="75"/>
      <c r="T463" s="1238"/>
      <c r="BC463" s="75"/>
      <c r="BH463" s="165"/>
      <c r="BO463" s="75"/>
      <c r="BP463" s="77"/>
      <c r="BQ463" s="78"/>
      <c r="BR463" s="77"/>
      <c r="BW463" s="78"/>
      <c r="BX463" s="78"/>
      <c r="CA463" s="165">
        <f t="shared" si="194"/>
        <v>0</v>
      </c>
      <c r="CH463" s="227">
        <v>0</v>
      </c>
    </row>
    <row r="464" customHeight="1" spans="1:86">
      <c r="A464" s="286"/>
      <c r="B464" s="74"/>
      <c r="D464" s="75"/>
      <c r="F464" s="165"/>
      <c r="N464" s="75"/>
      <c r="Q464" s="76"/>
      <c r="S464" s="75"/>
      <c r="T464" s="1238"/>
      <c r="BC464" s="75"/>
      <c r="BH464" s="165"/>
      <c r="BO464" s="75"/>
      <c r="BP464" s="77"/>
      <c r="BQ464" s="78"/>
      <c r="BR464" s="77"/>
      <c r="BW464" s="78"/>
      <c r="BX464" s="78"/>
      <c r="CA464" s="165">
        <f t="shared" si="194"/>
        <v>0</v>
      </c>
      <c r="CH464" s="227">
        <v>0</v>
      </c>
    </row>
    <row r="465" customHeight="1" spans="1:86">
      <c r="A465" s="286"/>
      <c r="B465" s="74"/>
      <c r="D465" s="75"/>
      <c r="F465" s="165"/>
      <c r="N465" s="75"/>
      <c r="Q465" s="76"/>
      <c r="S465" s="75"/>
      <c r="T465" s="1238"/>
      <c r="BC465" s="75"/>
      <c r="BH465" s="165"/>
      <c r="BO465" s="75"/>
      <c r="BP465" s="77"/>
      <c r="BQ465" s="78"/>
      <c r="BR465" s="77"/>
      <c r="BW465" s="78"/>
      <c r="BX465" s="78"/>
      <c r="CA465" s="165">
        <f t="shared" si="194"/>
        <v>0</v>
      </c>
      <c r="CH465" s="227">
        <v>0</v>
      </c>
    </row>
    <row r="466" customHeight="1" spans="1:86">
      <c r="A466" s="286"/>
      <c r="B466" s="74"/>
      <c r="D466" s="75"/>
      <c r="F466" s="165"/>
      <c r="N466" s="75"/>
      <c r="Q466" s="76"/>
      <c r="S466" s="75"/>
      <c r="T466" s="1238"/>
      <c r="BC466" s="75"/>
      <c r="BH466" s="165"/>
      <c r="BO466" s="75"/>
      <c r="BP466" s="77"/>
      <c r="BQ466" s="78"/>
      <c r="BR466" s="77"/>
      <c r="BW466" s="78"/>
      <c r="BX466" s="78"/>
      <c r="CA466" s="165">
        <f t="shared" si="194"/>
        <v>0</v>
      </c>
      <c r="CH466" s="227">
        <v>0</v>
      </c>
    </row>
    <row r="467" customHeight="1" spans="1:86">
      <c r="A467" s="286"/>
      <c r="B467" s="74"/>
      <c r="D467" s="75"/>
      <c r="F467" s="165"/>
      <c r="N467" s="75"/>
      <c r="Q467" s="76"/>
      <c r="S467" s="75"/>
      <c r="T467" s="1238"/>
      <c r="BC467" s="75"/>
      <c r="BH467" s="165"/>
      <c r="BO467" s="75"/>
      <c r="BP467" s="77"/>
      <c r="BQ467" s="78"/>
      <c r="BR467" s="77"/>
      <c r="BW467" s="78"/>
      <c r="BX467" s="78"/>
      <c r="CA467" s="165">
        <f t="shared" si="194"/>
        <v>0</v>
      </c>
      <c r="CH467" s="227">
        <v>0</v>
      </c>
    </row>
    <row r="468" customHeight="1" spans="1:86">
      <c r="A468" s="286"/>
      <c r="B468" s="74"/>
      <c r="D468" s="75"/>
      <c r="F468" s="165"/>
      <c r="N468" s="75"/>
      <c r="Q468" s="76"/>
      <c r="S468" s="75"/>
      <c r="T468" s="1238"/>
      <c r="BC468" s="75"/>
      <c r="BH468" s="165"/>
      <c r="BO468" s="75"/>
      <c r="BP468" s="77"/>
      <c r="BQ468" s="78"/>
      <c r="BR468" s="77"/>
      <c r="BW468" s="78"/>
      <c r="BX468" s="78"/>
      <c r="CA468" s="165">
        <f t="shared" si="194"/>
        <v>0</v>
      </c>
      <c r="CH468" s="227">
        <v>0</v>
      </c>
    </row>
    <row r="469" customHeight="1" spans="1:86">
      <c r="A469" s="286"/>
      <c r="B469" s="74"/>
      <c r="D469" s="75"/>
      <c r="F469" s="165"/>
      <c r="N469" s="75"/>
      <c r="Q469" s="76"/>
      <c r="S469" s="75"/>
      <c r="T469" s="1238"/>
      <c r="BC469" s="75"/>
      <c r="BH469" s="165"/>
      <c r="BO469" s="75"/>
      <c r="BP469" s="77"/>
      <c r="BQ469" s="78"/>
      <c r="BR469" s="77"/>
      <c r="BW469" s="78"/>
      <c r="BX469" s="78"/>
      <c r="CA469" s="165">
        <f t="shared" si="194"/>
        <v>0</v>
      </c>
      <c r="CH469" s="227">
        <v>0</v>
      </c>
    </row>
    <row r="470" customHeight="1" spans="1:86">
      <c r="A470" s="286"/>
      <c r="B470" s="74"/>
      <c r="D470" s="75"/>
      <c r="F470" s="165"/>
      <c r="N470" s="75"/>
      <c r="Q470" s="76"/>
      <c r="S470" s="75"/>
      <c r="T470" s="1238"/>
      <c r="BC470" s="75"/>
      <c r="BH470" s="165"/>
      <c r="BO470" s="75"/>
      <c r="BP470" s="77"/>
      <c r="BQ470" s="78"/>
      <c r="BR470" s="77"/>
      <c r="BW470" s="78"/>
      <c r="BX470" s="78"/>
      <c r="CA470" s="165">
        <f t="shared" si="194"/>
        <v>0</v>
      </c>
      <c r="CH470" s="227">
        <v>0</v>
      </c>
    </row>
    <row r="471" customHeight="1" spans="1:86">
      <c r="A471" s="286"/>
      <c r="B471" s="74"/>
      <c r="D471" s="75"/>
      <c r="F471" s="165"/>
      <c r="N471" s="75"/>
      <c r="Q471" s="76"/>
      <c r="S471" s="75"/>
      <c r="T471" s="1238"/>
      <c r="BC471" s="75"/>
      <c r="BH471" s="165"/>
      <c r="BO471" s="75"/>
      <c r="BP471" s="77"/>
      <c r="BQ471" s="78"/>
      <c r="BR471" s="77"/>
      <c r="BW471" s="78"/>
      <c r="BX471" s="78"/>
      <c r="CA471" s="165">
        <f t="shared" si="194"/>
        <v>0</v>
      </c>
      <c r="CH471" s="227">
        <v>0</v>
      </c>
    </row>
    <row r="472" customHeight="1" spans="1:86">
      <c r="A472" s="286"/>
      <c r="B472" s="74"/>
      <c r="D472" s="75"/>
      <c r="F472" s="165"/>
      <c r="N472" s="75"/>
      <c r="Q472" s="76"/>
      <c r="S472" s="75"/>
      <c r="T472" s="1238"/>
      <c r="BC472" s="75"/>
      <c r="BH472" s="165"/>
      <c r="BO472" s="75"/>
      <c r="BP472" s="77"/>
      <c r="BQ472" s="78"/>
      <c r="BR472" s="77"/>
      <c r="BW472" s="78"/>
      <c r="BX472" s="78"/>
      <c r="CA472" s="165">
        <f t="shared" si="194"/>
        <v>0</v>
      </c>
      <c r="CH472" s="227">
        <v>0</v>
      </c>
    </row>
    <row r="473" customHeight="1" spans="1:86">
      <c r="A473" s="286"/>
      <c r="B473" s="74"/>
      <c r="D473" s="75"/>
      <c r="F473" s="165"/>
      <c r="N473" s="75"/>
      <c r="Q473" s="76"/>
      <c r="S473" s="75"/>
      <c r="T473" s="1238"/>
      <c r="BC473" s="75"/>
      <c r="BH473" s="165"/>
      <c r="BO473" s="75"/>
      <c r="BP473" s="77"/>
      <c r="BQ473" s="78"/>
      <c r="BR473" s="77"/>
      <c r="BW473" s="78"/>
      <c r="BX473" s="78"/>
      <c r="CA473" s="165">
        <f t="shared" si="194"/>
        <v>0</v>
      </c>
      <c r="CH473" s="227">
        <v>0</v>
      </c>
    </row>
    <row r="474" customHeight="1" spans="1:86">
      <c r="A474" s="286"/>
      <c r="B474" s="74"/>
      <c r="D474" s="75"/>
      <c r="F474" s="165"/>
      <c r="N474" s="75"/>
      <c r="Q474" s="76"/>
      <c r="S474" s="75"/>
      <c r="T474" s="1238"/>
      <c r="BC474" s="75"/>
      <c r="BH474" s="165"/>
      <c r="BO474" s="75"/>
      <c r="BP474" s="77"/>
      <c r="BQ474" s="78"/>
      <c r="BR474" s="77"/>
      <c r="BW474" s="78"/>
      <c r="BX474" s="78"/>
      <c r="CA474" s="165">
        <f t="shared" si="194"/>
        <v>0</v>
      </c>
      <c r="CH474" s="227">
        <v>0</v>
      </c>
    </row>
    <row r="475" customHeight="1" spans="1:86">
      <c r="A475" s="286"/>
      <c r="B475" s="74"/>
      <c r="D475" s="75"/>
      <c r="F475" s="165"/>
      <c r="N475" s="75"/>
      <c r="Q475" s="76"/>
      <c r="S475" s="75"/>
      <c r="T475" s="1238"/>
      <c r="BC475" s="75"/>
      <c r="BH475" s="165"/>
      <c r="BO475" s="75"/>
      <c r="BP475" s="77"/>
      <c r="BQ475" s="78"/>
      <c r="BR475" s="77"/>
      <c r="BW475" s="78"/>
      <c r="BX475" s="78"/>
      <c r="CA475" s="165">
        <f t="shared" si="194"/>
        <v>0</v>
      </c>
      <c r="CH475" s="227">
        <v>0</v>
      </c>
    </row>
    <row r="476" customHeight="1" spans="1:86">
      <c r="A476" s="286"/>
      <c r="B476" s="74"/>
      <c r="D476" s="75"/>
      <c r="F476" s="165"/>
      <c r="N476" s="75"/>
      <c r="Q476" s="76"/>
      <c r="S476" s="75"/>
      <c r="T476" s="1238"/>
      <c r="BC476" s="75"/>
      <c r="BH476" s="165"/>
      <c r="BO476" s="75"/>
      <c r="BP476" s="77"/>
      <c r="BQ476" s="78"/>
      <c r="BR476" s="77"/>
      <c r="BW476" s="78"/>
      <c r="BX476" s="78"/>
      <c r="CA476" s="165">
        <f t="shared" si="194"/>
        <v>0</v>
      </c>
      <c r="CH476" s="227">
        <v>0</v>
      </c>
    </row>
    <row r="477" customHeight="1" spans="1:86">
      <c r="A477" s="286"/>
      <c r="B477" s="74"/>
      <c r="D477" s="75"/>
      <c r="F477" s="165"/>
      <c r="N477" s="75"/>
      <c r="Q477" s="76"/>
      <c r="S477" s="75"/>
      <c r="T477" s="1238"/>
      <c r="BC477" s="75"/>
      <c r="BH477" s="165"/>
      <c r="BO477" s="75"/>
      <c r="BP477" s="77"/>
      <c r="BQ477" s="78"/>
      <c r="BR477" s="77"/>
      <c r="BW477" s="78"/>
      <c r="BX477" s="78"/>
      <c r="CA477" s="165">
        <f t="shared" si="194"/>
        <v>0</v>
      </c>
      <c r="CH477" s="227">
        <v>0</v>
      </c>
    </row>
    <row r="478" customHeight="1" spans="1:86">
      <c r="A478" s="286"/>
      <c r="B478" s="74"/>
      <c r="D478" s="75"/>
      <c r="F478" s="165"/>
      <c r="N478" s="75"/>
      <c r="Q478" s="76"/>
      <c r="S478" s="75"/>
      <c r="T478" s="1238"/>
      <c r="BC478" s="75"/>
      <c r="BH478" s="165"/>
      <c r="BO478" s="75"/>
      <c r="BP478" s="77"/>
      <c r="BQ478" s="78"/>
      <c r="BR478" s="77"/>
      <c r="BW478" s="78"/>
      <c r="BX478" s="78"/>
      <c r="CA478" s="165">
        <f t="shared" si="194"/>
        <v>0</v>
      </c>
      <c r="CH478" s="227">
        <v>0</v>
      </c>
    </row>
    <row r="479" customHeight="1" spans="1:86">
      <c r="A479" s="286"/>
      <c r="B479" s="74"/>
      <c r="D479" s="75"/>
      <c r="F479" s="165"/>
      <c r="N479" s="75"/>
      <c r="Q479" s="76"/>
      <c r="S479" s="75"/>
      <c r="T479" s="1238"/>
      <c r="BC479" s="75"/>
      <c r="BH479" s="165"/>
      <c r="BO479" s="75"/>
      <c r="BP479" s="77"/>
      <c r="BQ479" s="78"/>
      <c r="BR479" s="77"/>
      <c r="BW479" s="78"/>
      <c r="BX479" s="78"/>
      <c r="CA479" s="165">
        <f t="shared" si="194"/>
        <v>0</v>
      </c>
      <c r="CH479" s="227">
        <v>0</v>
      </c>
    </row>
    <row r="480" customHeight="1" spans="1:86">
      <c r="A480" s="286"/>
      <c r="B480" s="74"/>
      <c r="D480" s="75"/>
      <c r="F480" s="165"/>
      <c r="N480" s="75"/>
      <c r="Q480" s="76"/>
      <c r="S480" s="75"/>
      <c r="T480" s="1238"/>
      <c r="BC480" s="75"/>
      <c r="BH480" s="165"/>
      <c r="BO480" s="75"/>
      <c r="BP480" s="77"/>
      <c r="BQ480" s="78"/>
      <c r="BR480" s="77"/>
      <c r="BW480" s="78"/>
      <c r="BX480" s="78"/>
      <c r="CA480" s="165">
        <f t="shared" si="194"/>
        <v>0</v>
      </c>
      <c r="CH480" s="227">
        <v>0</v>
      </c>
    </row>
    <row r="481" customHeight="1" spans="1:86">
      <c r="A481" s="286"/>
      <c r="B481" s="74"/>
      <c r="D481" s="75"/>
      <c r="F481" s="165"/>
      <c r="N481" s="75"/>
      <c r="Q481" s="76"/>
      <c r="S481" s="75"/>
      <c r="T481" s="1238"/>
      <c r="BC481" s="75"/>
      <c r="BH481" s="165"/>
      <c r="BO481" s="75"/>
      <c r="BP481" s="77"/>
      <c r="BQ481" s="78"/>
      <c r="BR481" s="77"/>
      <c r="BW481" s="78"/>
      <c r="BX481" s="78"/>
      <c r="CA481" s="165">
        <f t="shared" si="194"/>
        <v>0</v>
      </c>
      <c r="CH481" s="227">
        <v>0</v>
      </c>
    </row>
    <row r="482" customHeight="1" spans="1:86">
      <c r="A482" s="286"/>
      <c r="B482" s="74"/>
      <c r="D482" s="75"/>
      <c r="F482" s="165"/>
      <c r="N482" s="75"/>
      <c r="Q482" s="76"/>
      <c r="S482" s="75"/>
      <c r="T482" s="1238"/>
      <c r="BC482" s="75"/>
      <c r="BH482" s="165"/>
      <c r="BO482" s="75"/>
      <c r="BP482" s="77"/>
      <c r="BQ482" s="78"/>
      <c r="BR482" s="77"/>
      <c r="BW482" s="78"/>
      <c r="BX482" s="78"/>
      <c r="CA482" s="165">
        <f t="shared" si="194"/>
        <v>0</v>
      </c>
      <c r="CH482" s="227">
        <v>0</v>
      </c>
    </row>
    <row r="483" customHeight="1" spans="1:86">
      <c r="A483" s="286"/>
      <c r="B483" s="74"/>
      <c r="D483" s="75"/>
      <c r="F483" s="165"/>
      <c r="N483" s="75"/>
      <c r="Q483" s="76"/>
      <c r="S483" s="75"/>
      <c r="T483" s="1238"/>
      <c r="BC483" s="75"/>
      <c r="BH483" s="165"/>
      <c r="BO483" s="75"/>
      <c r="BP483" s="77"/>
      <c r="BQ483" s="78"/>
      <c r="BR483" s="77"/>
      <c r="BW483" s="78"/>
      <c r="BX483" s="78"/>
      <c r="CA483" s="165">
        <f t="shared" si="194"/>
        <v>0</v>
      </c>
      <c r="CH483" s="227">
        <v>0</v>
      </c>
    </row>
    <row r="484" customHeight="1" spans="1:86">
      <c r="A484" s="286"/>
      <c r="B484" s="74"/>
      <c r="D484" s="75"/>
      <c r="F484" s="165"/>
      <c r="N484" s="75"/>
      <c r="Q484" s="76"/>
      <c r="S484" s="75"/>
      <c r="T484" s="1238"/>
      <c r="BC484" s="75"/>
      <c r="BH484" s="165"/>
      <c r="BO484" s="75"/>
      <c r="BP484" s="77"/>
      <c r="BQ484" s="78"/>
      <c r="BR484" s="77"/>
      <c r="BW484" s="78"/>
      <c r="BX484" s="78"/>
      <c r="CA484" s="165">
        <f t="shared" si="194"/>
        <v>0</v>
      </c>
      <c r="CH484" s="227">
        <v>0</v>
      </c>
    </row>
    <row r="485" customHeight="1" spans="1:86">
      <c r="A485" s="286"/>
      <c r="B485" s="74"/>
      <c r="D485" s="75"/>
      <c r="F485" s="165"/>
      <c r="N485" s="75"/>
      <c r="Q485" s="76"/>
      <c r="S485" s="75"/>
      <c r="T485" s="1238"/>
      <c r="BC485" s="75"/>
      <c r="BH485" s="165"/>
      <c r="BO485" s="75"/>
      <c r="BP485" s="77"/>
      <c r="BQ485" s="78"/>
      <c r="BR485" s="77"/>
      <c r="BW485" s="78"/>
      <c r="BX485" s="78"/>
      <c r="CA485" s="165">
        <f t="shared" si="194"/>
        <v>0</v>
      </c>
      <c r="CH485" s="227">
        <v>0</v>
      </c>
    </row>
    <row r="486" customHeight="1" spans="1:86">
      <c r="A486" s="286"/>
      <c r="B486" s="74"/>
      <c r="D486" s="75"/>
      <c r="F486" s="165"/>
      <c r="N486" s="75"/>
      <c r="Q486" s="76"/>
      <c r="S486" s="75"/>
      <c r="T486" s="1238"/>
      <c r="BC486" s="75"/>
      <c r="BH486" s="165"/>
      <c r="BO486" s="75"/>
      <c r="BP486" s="77"/>
      <c r="BQ486" s="78"/>
      <c r="BR486" s="77"/>
      <c r="BW486" s="78"/>
      <c r="BX486" s="78"/>
      <c r="CA486" s="165">
        <f t="shared" si="194"/>
        <v>0</v>
      </c>
      <c r="CH486" s="227">
        <v>0</v>
      </c>
    </row>
    <row r="487" customHeight="1" spans="1:86">
      <c r="A487" s="286"/>
      <c r="B487" s="74"/>
      <c r="D487" s="75"/>
      <c r="F487" s="165"/>
      <c r="N487" s="75"/>
      <c r="Q487" s="76"/>
      <c r="S487" s="75"/>
      <c r="T487" s="1238"/>
      <c r="BC487" s="75"/>
      <c r="BH487" s="165"/>
      <c r="BO487" s="75"/>
      <c r="BP487" s="77"/>
      <c r="BQ487" s="78"/>
      <c r="BR487" s="77"/>
      <c r="BW487" s="78"/>
      <c r="BX487" s="78"/>
      <c r="CA487" s="165">
        <f t="shared" si="194"/>
        <v>0</v>
      </c>
      <c r="CH487" s="227">
        <v>0</v>
      </c>
    </row>
    <row r="488" customHeight="1" spans="1:86">
      <c r="A488" s="286"/>
      <c r="B488" s="74"/>
      <c r="D488" s="75"/>
      <c r="F488" s="165"/>
      <c r="N488" s="75"/>
      <c r="Q488" s="76"/>
      <c r="S488" s="75"/>
      <c r="T488" s="1238"/>
      <c r="BC488" s="75"/>
      <c r="BH488" s="165"/>
      <c r="BO488" s="75"/>
      <c r="BP488" s="77"/>
      <c r="BQ488" s="78"/>
      <c r="BR488" s="77"/>
      <c r="BW488" s="78"/>
      <c r="BX488" s="78"/>
      <c r="CA488" s="165">
        <f t="shared" si="194"/>
        <v>0</v>
      </c>
      <c r="CH488" s="227">
        <v>0</v>
      </c>
    </row>
    <row r="489" customHeight="1" spans="1:86">
      <c r="A489" s="286"/>
      <c r="B489" s="74"/>
      <c r="D489" s="75"/>
      <c r="F489" s="165"/>
      <c r="N489" s="75"/>
      <c r="Q489" s="76"/>
      <c r="S489" s="75"/>
      <c r="T489" s="1238"/>
      <c r="BC489" s="75"/>
      <c r="BH489" s="165"/>
      <c r="BO489" s="75"/>
      <c r="BP489" s="77"/>
      <c r="BQ489" s="78"/>
      <c r="BR489" s="77"/>
      <c r="BW489" s="78"/>
      <c r="BX489" s="78"/>
      <c r="CA489" s="165">
        <f t="shared" si="194"/>
        <v>0</v>
      </c>
      <c r="CH489" s="227">
        <v>0</v>
      </c>
    </row>
    <row r="490" customHeight="1" spans="1:86">
      <c r="A490" s="286"/>
      <c r="B490" s="74"/>
      <c r="D490" s="75"/>
      <c r="F490" s="165"/>
      <c r="N490" s="75"/>
      <c r="Q490" s="76"/>
      <c r="S490" s="75"/>
      <c r="T490" s="1238"/>
      <c r="BC490" s="75"/>
      <c r="BH490" s="165"/>
      <c r="BO490" s="75"/>
      <c r="BP490" s="77"/>
      <c r="BQ490" s="78"/>
      <c r="BR490" s="77"/>
      <c r="BW490" s="78"/>
      <c r="BX490" s="78"/>
      <c r="CA490" s="165">
        <f t="shared" si="194"/>
        <v>0</v>
      </c>
      <c r="CH490" s="227">
        <v>0</v>
      </c>
    </row>
    <row r="491" customHeight="1" spans="1:86">
      <c r="A491" s="286"/>
      <c r="B491" s="74"/>
      <c r="D491" s="75"/>
      <c r="F491" s="165"/>
      <c r="N491" s="75"/>
      <c r="Q491" s="76"/>
      <c r="S491" s="75"/>
      <c r="T491" s="1238"/>
      <c r="BC491" s="75"/>
      <c r="BH491" s="165"/>
      <c r="BO491" s="75"/>
      <c r="BP491" s="77"/>
      <c r="BQ491" s="78"/>
      <c r="BR491" s="77"/>
      <c r="BW491" s="78"/>
      <c r="BX491" s="78"/>
      <c r="CA491" s="165">
        <f t="shared" si="194"/>
        <v>0</v>
      </c>
      <c r="CH491" s="227">
        <v>0</v>
      </c>
    </row>
    <row r="492" customHeight="1" spans="1:86">
      <c r="A492" s="286"/>
      <c r="B492" s="74"/>
      <c r="D492" s="75"/>
      <c r="F492" s="165"/>
      <c r="N492" s="75"/>
      <c r="Q492" s="76"/>
      <c r="S492" s="75"/>
      <c r="T492" s="1238"/>
      <c r="BC492" s="75"/>
      <c r="BH492" s="165"/>
      <c r="BO492" s="75"/>
      <c r="BP492" s="77"/>
      <c r="BQ492" s="78"/>
      <c r="BR492" s="77"/>
      <c r="BW492" s="78"/>
      <c r="BX492" s="78"/>
      <c r="CA492" s="165">
        <f t="shared" si="194"/>
        <v>0</v>
      </c>
      <c r="CH492" s="227">
        <v>0</v>
      </c>
    </row>
    <row r="493" customHeight="1" spans="1:86">
      <c r="A493" s="286"/>
      <c r="B493" s="74"/>
      <c r="D493" s="75"/>
      <c r="F493" s="165"/>
      <c r="N493" s="75"/>
      <c r="Q493" s="76"/>
      <c r="S493" s="75"/>
      <c r="T493" s="1238"/>
      <c r="BC493" s="75"/>
      <c r="BH493" s="165"/>
      <c r="BO493" s="75"/>
      <c r="BP493" s="77"/>
      <c r="BQ493" s="78"/>
      <c r="BR493" s="77"/>
      <c r="BW493" s="78"/>
      <c r="BX493" s="78"/>
      <c r="CA493" s="165">
        <f t="shared" si="194"/>
        <v>0</v>
      </c>
      <c r="CH493" s="227">
        <v>0</v>
      </c>
    </row>
    <row r="494" customHeight="1" spans="1:86">
      <c r="A494" s="286"/>
      <c r="B494" s="74"/>
      <c r="D494" s="75"/>
      <c r="F494" s="165"/>
      <c r="N494" s="75"/>
      <c r="Q494" s="76"/>
      <c r="S494" s="75"/>
      <c r="T494" s="1238"/>
      <c r="BC494" s="75"/>
      <c r="BH494" s="165"/>
      <c r="BO494" s="75"/>
      <c r="BP494" s="77"/>
      <c r="BQ494" s="78"/>
      <c r="BR494" s="77"/>
      <c r="BW494" s="78"/>
      <c r="BX494" s="78"/>
      <c r="CA494" s="165">
        <f t="shared" si="194"/>
        <v>0</v>
      </c>
      <c r="CH494" s="227">
        <v>0</v>
      </c>
    </row>
    <row r="495" customHeight="1" spans="1:86">
      <c r="A495" s="286"/>
      <c r="B495" s="74"/>
      <c r="D495" s="75"/>
      <c r="F495" s="165"/>
      <c r="N495" s="75"/>
      <c r="Q495" s="76"/>
      <c r="S495" s="75"/>
      <c r="T495" s="1238"/>
      <c r="BC495" s="75"/>
      <c r="BH495" s="165"/>
      <c r="BO495" s="75"/>
      <c r="BP495" s="77"/>
      <c r="BQ495" s="78"/>
      <c r="BR495" s="77"/>
      <c r="BW495" s="78"/>
      <c r="BX495" s="78"/>
      <c r="CA495" s="165">
        <f t="shared" si="194"/>
        <v>0</v>
      </c>
      <c r="CH495" s="227">
        <v>0</v>
      </c>
    </row>
    <row r="496" customHeight="1" spans="1:86">
      <c r="A496" s="286"/>
      <c r="B496" s="74"/>
      <c r="D496" s="75"/>
      <c r="F496" s="165"/>
      <c r="N496" s="75"/>
      <c r="Q496" s="76"/>
      <c r="S496" s="75"/>
      <c r="T496" s="1238"/>
      <c r="BC496" s="75"/>
      <c r="BH496" s="165"/>
      <c r="BO496" s="75"/>
      <c r="BP496" s="77"/>
      <c r="BQ496" s="78"/>
      <c r="BR496" s="77"/>
      <c r="BW496" s="78"/>
      <c r="BX496" s="78"/>
      <c r="CA496" s="165">
        <f t="shared" si="194"/>
        <v>0</v>
      </c>
      <c r="CH496" s="227">
        <v>0</v>
      </c>
    </row>
    <row r="497" customHeight="1" spans="1:86">
      <c r="A497" s="286"/>
      <c r="B497" s="74"/>
      <c r="D497" s="75"/>
      <c r="F497" s="165"/>
      <c r="N497" s="75"/>
      <c r="Q497" s="76"/>
      <c r="S497" s="75"/>
      <c r="T497" s="1238"/>
      <c r="BC497" s="75"/>
      <c r="BH497" s="165"/>
      <c r="BO497" s="75"/>
      <c r="BP497" s="77"/>
      <c r="BQ497" s="78"/>
      <c r="BR497" s="77"/>
      <c r="BW497" s="78"/>
      <c r="BX497" s="78"/>
      <c r="CA497" s="165">
        <f t="shared" si="194"/>
        <v>0</v>
      </c>
      <c r="CH497" s="227">
        <v>0</v>
      </c>
    </row>
    <row r="498" customHeight="1" spans="1:86">
      <c r="A498" s="286"/>
      <c r="B498" s="74"/>
      <c r="D498" s="75"/>
      <c r="F498" s="165"/>
      <c r="N498" s="75"/>
      <c r="Q498" s="76"/>
      <c r="S498" s="75"/>
      <c r="T498" s="1238"/>
      <c r="BC498" s="75"/>
      <c r="BH498" s="165"/>
      <c r="BO498" s="75"/>
      <c r="BP498" s="77"/>
      <c r="BQ498" s="78"/>
      <c r="BR498" s="77"/>
      <c r="BW498" s="78"/>
      <c r="BX498" s="78"/>
      <c r="CA498" s="165">
        <f t="shared" si="194"/>
        <v>0</v>
      </c>
      <c r="CH498" s="227">
        <v>0</v>
      </c>
    </row>
    <row r="499" customHeight="1" spans="1:86">
      <c r="A499" s="286"/>
      <c r="B499" s="74"/>
      <c r="D499" s="75"/>
      <c r="F499" s="165"/>
      <c r="N499" s="75"/>
      <c r="Q499" s="76"/>
      <c r="S499" s="75"/>
      <c r="T499" s="1238"/>
      <c r="BC499" s="75"/>
      <c r="BH499" s="165"/>
      <c r="BO499" s="75"/>
      <c r="BP499" s="77"/>
      <c r="BQ499" s="78"/>
      <c r="BR499" s="77"/>
      <c r="BW499" s="78"/>
      <c r="BX499" s="78"/>
      <c r="CA499" s="165">
        <f t="shared" si="194"/>
        <v>0</v>
      </c>
      <c r="CH499" s="227">
        <v>0</v>
      </c>
    </row>
    <row r="500" customHeight="1" spans="1:86">
      <c r="A500" s="286"/>
      <c r="B500" s="74"/>
      <c r="D500" s="75"/>
      <c r="F500" s="165"/>
      <c r="N500" s="75"/>
      <c r="Q500" s="76"/>
      <c r="S500" s="75"/>
      <c r="T500" s="1238"/>
      <c r="BC500" s="75"/>
      <c r="BH500" s="165"/>
      <c r="BO500" s="75"/>
      <c r="BP500" s="77"/>
      <c r="BQ500" s="78"/>
      <c r="BR500" s="77"/>
      <c r="BW500" s="78"/>
      <c r="BX500" s="78"/>
      <c r="CA500" s="165">
        <f t="shared" si="194"/>
        <v>0</v>
      </c>
      <c r="CH500" s="227">
        <v>0</v>
      </c>
    </row>
    <row r="501" customHeight="1" spans="1:86">
      <c r="A501" s="286"/>
      <c r="B501" s="74"/>
      <c r="D501" s="75"/>
      <c r="F501" s="165"/>
      <c r="N501" s="75"/>
      <c r="Q501" s="76"/>
      <c r="S501" s="75"/>
      <c r="T501" s="1238"/>
      <c r="BC501" s="75"/>
      <c r="BH501" s="165"/>
      <c r="BO501" s="75"/>
      <c r="BP501" s="77"/>
      <c r="BQ501" s="78"/>
      <c r="BR501" s="77"/>
      <c r="BW501" s="78"/>
      <c r="BX501" s="78"/>
      <c r="CA501" s="165">
        <f t="shared" si="194"/>
        <v>0</v>
      </c>
      <c r="CH501" s="227">
        <v>0</v>
      </c>
    </row>
    <row r="502" customHeight="1" spans="1:86">
      <c r="A502" s="286"/>
      <c r="B502" s="74"/>
      <c r="D502" s="75"/>
      <c r="F502" s="165"/>
      <c r="N502" s="75"/>
      <c r="Q502" s="76"/>
      <c r="S502" s="75"/>
      <c r="T502" s="1238"/>
      <c r="BC502" s="75"/>
      <c r="BH502" s="165"/>
      <c r="BO502" s="75"/>
      <c r="BP502" s="77"/>
      <c r="BQ502" s="78"/>
      <c r="BR502" s="77"/>
      <c r="BW502" s="78"/>
      <c r="BX502" s="78"/>
      <c r="CA502" s="165">
        <f t="shared" si="194"/>
        <v>0</v>
      </c>
      <c r="CH502" s="227">
        <v>0</v>
      </c>
    </row>
    <row r="503" customHeight="1" spans="1:86">
      <c r="A503" s="286"/>
      <c r="B503" s="74"/>
      <c r="D503" s="75"/>
      <c r="F503" s="165"/>
      <c r="N503" s="75"/>
      <c r="Q503" s="76"/>
      <c r="S503" s="75"/>
      <c r="T503" s="1238"/>
      <c r="BC503" s="75"/>
      <c r="BH503" s="165"/>
      <c r="BO503" s="75"/>
      <c r="BP503" s="77"/>
      <c r="BQ503" s="78"/>
      <c r="BR503" s="77"/>
      <c r="BW503" s="78"/>
      <c r="BX503" s="78"/>
      <c r="CA503" s="165">
        <f t="shared" si="194"/>
        <v>0</v>
      </c>
      <c r="CH503" s="227">
        <v>0</v>
      </c>
    </row>
    <row r="504" customHeight="1" spans="1:86">
      <c r="A504" s="286"/>
      <c r="B504" s="74"/>
      <c r="D504" s="75"/>
      <c r="F504" s="165"/>
      <c r="N504" s="75"/>
      <c r="Q504" s="76"/>
      <c r="S504" s="75"/>
      <c r="T504" s="1238"/>
      <c r="BC504" s="75"/>
      <c r="BH504" s="165"/>
      <c r="BO504" s="75"/>
      <c r="BP504" s="77"/>
      <c r="BQ504" s="78"/>
      <c r="BR504" s="77"/>
      <c r="BW504" s="78"/>
      <c r="BX504" s="78"/>
      <c r="CA504" s="165">
        <f t="shared" si="194"/>
        <v>0</v>
      </c>
      <c r="CH504" s="227">
        <v>0</v>
      </c>
    </row>
    <row r="505" customHeight="1" spans="1:86">
      <c r="A505" s="286"/>
      <c r="B505" s="74"/>
      <c r="D505" s="75"/>
      <c r="F505" s="165"/>
      <c r="N505" s="75"/>
      <c r="Q505" s="76"/>
      <c r="S505" s="75"/>
      <c r="T505" s="1238"/>
      <c r="BC505" s="75"/>
      <c r="BH505" s="165"/>
      <c r="BO505" s="75"/>
      <c r="BP505" s="77"/>
      <c r="BQ505" s="78"/>
      <c r="BR505" s="77"/>
      <c r="BW505" s="78"/>
      <c r="BX505" s="78"/>
      <c r="CA505" s="165">
        <f t="shared" si="194"/>
        <v>0</v>
      </c>
      <c r="CH505" s="227">
        <v>0</v>
      </c>
    </row>
    <row r="506" customHeight="1" spans="1:86">
      <c r="A506" s="286"/>
      <c r="B506" s="74"/>
      <c r="D506" s="75"/>
      <c r="F506" s="165"/>
      <c r="N506" s="75"/>
      <c r="Q506" s="76"/>
      <c r="S506" s="75"/>
      <c r="T506" s="1238"/>
      <c r="BC506" s="75"/>
      <c r="BH506" s="165"/>
      <c r="BO506" s="75"/>
      <c r="BP506" s="77"/>
      <c r="BQ506" s="78"/>
      <c r="BR506" s="77"/>
      <c r="BW506" s="78"/>
      <c r="BX506" s="78"/>
      <c r="CA506" s="165">
        <f t="shared" si="194"/>
        <v>0</v>
      </c>
      <c r="CH506" s="227">
        <v>0</v>
      </c>
    </row>
    <row r="507" customHeight="1" spans="1:86">
      <c r="A507" s="286"/>
      <c r="B507" s="74"/>
      <c r="D507" s="75"/>
      <c r="F507" s="165"/>
      <c r="N507" s="75"/>
      <c r="Q507" s="76"/>
      <c r="S507" s="75"/>
      <c r="T507" s="1238"/>
      <c r="BC507" s="75"/>
      <c r="BH507" s="165"/>
      <c r="BO507" s="75"/>
      <c r="BP507" s="77"/>
      <c r="BQ507" s="78"/>
      <c r="BR507" s="77"/>
      <c r="BW507" s="78"/>
      <c r="BX507" s="78"/>
      <c r="CA507" s="165">
        <f t="shared" si="194"/>
        <v>0</v>
      </c>
      <c r="CH507" s="227">
        <v>0</v>
      </c>
    </row>
    <row r="508" customHeight="1" spans="1:86">
      <c r="A508" s="286"/>
      <c r="B508" s="74"/>
      <c r="D508" s="75"/>
      <c r="F508" s="165"/>
      <c r="N508" s="75"/>
      <c r="Q508" s="76"/>
      <c r="S508" s="75"/>
      <c r="T508" s="1238"/>
      <c r="BC508" s="75"/>
      <c r="BH508" s="165"/>
      <c r="BO508" s="75"/>
      <c r="BP508" s="77"/>
      <c r="BQ508" s="78"/>
      <c r="BR508" s="77"/>
      <c r="BW508" s="78"/>
      <c r="BX508" s="78"/>
      <c r="CA508" s="165">
        <f t="shared" si="194"/>
        <v>0</v>
      </c>
      <c r="CH508" s="227">
        <v>0</v>
      </c>
    </row>
    <row r="509" customHeight="1" spans="1:86">
      <c r="A509" s="286"/>
      <c r="B509" s="74"/>
      <c r="D509" s="75"/>
      <c r="F509" s="165"/>
      <c r="N509" s="75"/>
      <c r="Q509" s="76"/>
      <c r="S509" s="75"/>
      <c r="T509" s="1238"/>
      <c r="BC509" s="75"/>
      <c r="BH509" s="165"/>
      <c r="BO509" s="75"/>
      <c r="BP509" s="77"/>
      <c r="BQ509" s="78"/>
      <c r="BR509" s="77"/>
      <c r="BW509" s="78"/>
      <c r="BX509" s="78"/>
      <c r="CA509" s="165">
        <f t="shared" si="194"/>
        <v>0</v>
      </c>
      <c r="CH509" s="227">
        <v>0</v>
      </c>
    </row>
    <row r="510" customHeight="1" spans="1:86">
      <c r="A510" s="286"/>
      <c r="B510" s="74"/>
      <c r="D510" s="75"/>
      <c r="F510" s="165"/>
      <c r="N510" s="75"/>
      <c r="Q510" s="76"/>
      <c r="S510" s="75"/>
      <c r="T510" s="1238"/>
      <c r="BC510" s="75"/>
      <c r="BH510" s="165"/>
      <c r="BO510" s="75"/>
      <c r="BP510" s="77"/>
      <c r="BQ510" s="78"/>
      <c r="BR510" s="77"/>
      <c r="BW510" s="78"/>
      <c r="BX510" s="78"/>
      <c r="CA510" s="165">
        <f t="shared" si="194"/>
        <v>0</v>
      </c>
      <c r="CH510" s="227">
        <v>0</v>
      </c>
    </row>
    <row r="511" customHeight="1" spans="1:86">
      <c r="A511" s="286"/>
      <c r="B511" s="74"/>
      <c r="D511" s="75"/>
      <c r="F511" s="165"/>
      <c r="N511" s="75"/>
      <c r="Q511" s="76"/>
      <c r="S511" s="75"/>
      <c r="T511" s="1238"/>
      <c r="BC511" s="75"/>
      <c r="BH511" s="165"/>
      <c r="BO511" s="75"/>
      <c r="BP511" s="77"/>
      <c r="BQ511" s="78"/>
      <c r="BR511" s="77"/>
      <c r="BW511" s="78"/>
      <c r="BX511" s="78"/>
      <c r="CA511" s="165">
        <f t="shared" si="194"/>
        <v>0</v>
      </c>
      <c r="CH511" s="227">
        <v>0</v>
      </c>
    </row>
    <row r="512" customHeight="1" spans="1:86">
      <c r="A512" s="286"/>
      <c r="B512" s="74"/>
      <c r="D512" s="75"/>
      <c r="F512" s="165"/>
      <c r="N512" s="75"/>
      <c r="Q512" s="76"/>
      <c r="S512" s="75"/>
      <c r="T512" s="1238"/>
      <c r="BC512" s="75"/>
      <c r="BH512" s="165"/>
      <c r="BO512" s="75"/>
      <c r="BP512" s="77"/>
      <c r="BQ512" s="78"/>
      <c r="BR512" s="77"/>
      <c r="BW512" s="78"/>
      <c r="BX512" s="78"/>
      <c r="CA512" s="165">
        <f t="shared" si="194"/>
        <v>0</v>
      </c>
      <c r="CH512" s="227">
        <v>0</v>
      </c>
    </row>
    <row r="513" customHeight="1" spans="1:86">
      <c r="A513" s="286"/>
      <c r="B513" s="74"/>
      <c r="D513" s="75"/>
      <c r="F513" s="165"/>
      <c r="N513" s="75"/>
      <c r="Q513" s="76"/>
      <c r="S513" s="75"/>
      <c r="T513" s="1238"/>
      <c r="BC513" s="75"/>
      <c r="BH513" s="165"/>
      <c r="BO513" s="75"/>
      <c r="BP513" s="77"/>
      <c r="BQ513" s="78"/>
      <c r="BR513" s="77"/>
      <c r="BW513" s="78"/>
      <c r="BX513" s="78"/>
      <c r="CA513" s="165">
        <f t="shared" si="194"/>
        <v>0</v>
      </c>
      <c r="CH513" s="227">
        <v>0</v>
      </c>
    </row>
    <row r="514" customHeight="1" spans="1:86">
      <c r="A514" s="286"/>
      <c r="B514" s="74"/>
      <c r="D514" s="75"/>
      <c r="F514" s="165"/>
      <c r="N514" s="75"/>
      <c r="Q514" s="76"/>
      <c r="S514" s="75"/>
      <c r="T514" s="1238"/>
      <c r="BC514" s="75"/>
      <c r="BH514" s="165"/>
      <c r="BO514" s="75"/>
      <c r="BP514" s="77"/>
      <c r="BQ514" s="78"/>
      <c r="BR514" s="77"/>
      <c r="BW514" s="78"/>
      <c r="BX514" s="78"/>
      <c r="CA514" s="165">
        <f t="shared" si="194"/>
        <v>0</v>
      </c>
      <c r="CH514" s="227">
        <v>0</v>
      </c>
    </row>
    <row r="515" customHeight="1" spans="1:86">
      <c r="A515" s="286"/>
      <c r="B515" s="74"/>
      <c r="D515" s="75"/>
      <c r="F515" s="165"/>
      <c r="N515" s="75"/>
      <c r="Q515" s="76"/>
      <c r="S515" s="75"/>
      <c r="T515" s="1238"/>
      <c r="BC515" s="75"/>
      <c r="BH515" s="165"/>
      <c r="BO515" s="75"/>
      <c r="BP515" s="77"/>
      <c r="BQ515" s="78"/>
      <c r="BR515" s="77"/>
      <c r="BW515" s="78"/>
      <c r="BX515" s="78"/>
      <c r="CA515" s="165">
        <f t="shared" si="194"/>
        <v>0</v>
      </c>
      <c r="CH515" s="227">
        <v>0</v>
      </c>
    </row>
    <row r="516" customHeight="1" spans="1:86">
      <c r="A516" s="286"/>
      <c r="B516" s="74"/>
      <c r="D516" s="75"/>
      <c r="F516" s="165"/>
      <c r="N516" s="75"/>
      <c r="Q516" s="76"/>
      <c r="S516" s="75"/>
      <c r="T516" s="1238"/>
      <c r="BC516" s="75"/>
      <c r="BH516" s="165"/>
      <c r="BO516" s="75"/>
      <c r="BP516" s="77"/>
      <c r="BQ516" s="78"/>
      <c r="BR516" s="77"/>
      <c r="BW516" s="78"/>
      <c r="BX516" s="78"/>
      <c r="CA516" s="165">
        <f t="shared" si="194"/>
        <v>0</v>
      </c>
      <c r="CH516" s="227">
        <v>0</v>
      </c>
    </row>
    <row r="517" customHeight="1" spans="1:86">
      <c r="A517" s="286"/>
      <c r="B517" s="74"/>
      <c r="D517" s="75"/>
      <c r="F517" s="165"/>
      <c r="N517" s="75"/>
      <c r="Q517" s="76"/>
      <c r="S517" s="75"/>
      <c r="T517" s="1238"/>
      <c r="BC517" s="75"/>
      <c r="BH517" s="165"/>
      <c r="BO517" s="75"/>
      <c r="BP517" s="77"/>
      <c r="BQ517" s="78"/>
      <c r="BR517" s="77"/>
      <c r="BW517" s="78"/>
      <c r="BX517" s="78"/>
      <c r="CA517" s="165">
        <f t="shared" si="194"/>
        <v>0</v>
      </c>
      <c r="CH517" s="227">
        <v>0</v>
      </c>
    </row>
    <row r="518" customHeight="1" spans="1:86">
      <c r="A518" s="286"/>
      <c r="B518" s="74"/>
      <c r="D518" s="75"/>
      <c r="F518" s="165"/>
      <c r="N518" s="75"/>
      <c r="Q518" s="76"/>
      <c r="S518" s="75"/>
      <c r="T518" s="1238"/>
      <c r="BC518" s="75"/>
      <c r="BH518" s="165"/>
      <c r="BO518" s="75"/>
      <c r="BP518" s="77"/>
      <c r="BQ518" s="78"/>
      <c r="BR518" s="77"/>
      <c r="BW518" s="78"/>
      <c r="BX518" s="78"/>
      <c r="CA518" s="165">
        <f t="shared" si="194"/>
        <v>0</v>
      </c>
      <c r="CH518" s="227">
        <v>0</v>
      </c>
    </row>
    <row r="519" customHeight="1" spans="1:86">
      <c r="A519" s="286"/>
      <c r="B519" s="74"/>
      <c r="D519" s="75"/>
      <c r="F519" s="165"/>
      <c r="N519" s="75"/>
      <c r="Q519" s="76"/>
      <c r="S519" s="75"/>
      <c r="T519" s="1238"/>
      <c r="BC519" s="75"/>
      <c r="BH519" s="165"/>
      <c r="BO519" s="75"/>
      <c r="BP519" s="77"/>
      <c r="BQ519" s="78"/>
      <c r="BR519" s="77"/>
      <c r="BW519" s="78"/>
      <c r="BX519" s="78"/>
      <c r="CA519" s="165">
        <f t="shared" si="194"/>
        <v>0</v>
      </c>
      <c r="CH519" s="227">
        <v>0</v>
      </c>
    </row>
    <row r="520" customHeight="1" spans="1:86">
      <c r="A520" s="286"/>
      <c r="B520" s="74"/>
      <c r="D520" s="75"/>
      <c r="F520" s="165"/>
      <c r="N520" s="75"/>
      <c r="Q520" s="76"/>
      <c r="S520" s="75"/>
      <c r="T520" s="1238"/>
      <c r="BC520" s="75"/>
      <c r="BH520" s="165"/>
      <c r="BO520" s="75"/>
      <c r="BP520" s="77"/>
      <c r="BQ520" s="78"/>
      <c r="BR520" s="77"/>
      <c r="BW520" s="78"/>
      <c r="BX520" s="78"/>
      <c r="CA520" s="165">
        <f t="shared" si="194"/>
        <v>0</v>
      </c>
      <c r="CH520" s="227">
        <v>0</v>
      </c>
    </row>
    <row r="521" customHeight="1" spans="1:86">
      <c r="A521" s="286"/>
      <c r="B521" s="74"/>
      <c r="D521" s="75"/>
      <c r="F521" s="165"/>
      <c r="N521" s="75"/>
      <c r="Q521" s="76"/>
      <c r="S521" s="75"/>
      <c r="T521" s="1238"/>
      <c r="BC521" s="75"/>
      <c r="BH521" s="165"/>
      <c r="BO521" s="75"/>
      <c r="BP521" s="77"/>
      <c r="BQ521" s="78"/>
      <c r="BR521" s="77"/>
      <c r="BW521" s="78"/>
      <c r="BX521" s="78"/>
      <c r="CA521" s="165">
        <f t="shared" si="194"/>
        <v>0</v>
      </c>
      <c r="CH521" s="227">
        <v>0</v>
      </c>
    </row>
    <row r="522" customHeight="1" spans="1:86">
      <c r="A522" s="286"/>
      <c r="B522" s="74"/>
      <c r="D522" s="75"/>
      <c r="F522" s="165"/>
      <c r="N522" s="75"/>
      <c r="Q522" s="76"/>
      <c r="S522" s="75"/>
      <c r="T522" s="1238"/>
      <c r="BC522" s="75"/>
      <c r="BH522" s="165"/>
      <c r="BO522" s="75"/>
      <c r="BP522" s="77"/>
      <c r="BQ522" s="78"/>
      <c r="BR522" s="77"/>
      <c r="BW522" s="78"/>
      <c r="BX522" s="78"/>
      <c r="CH522" s="227">
        <v>0</v>
      </c>
    </row>
    <row r="523" customHeight="1" spans="1:86">
      <c r="A523" s="286"/>
      <c r="B523" s="74"/>
      <c r="D523" s="75"/>
      <c r="F523" s="165"/>
      <c r="N523" s="75"/>
      <c r="Q523" s="76"/>
      <c r="S523" s="75"/>
      <c r="T523" s="1238"/>
      <c r="BC523" s="75"/>
      <c r="BH523" s="165"/>
      <c r="BO523" s="75"/>
      <c r="BP523" s="77"/>
      <c r="BQ523" s="78"/>
      <c r="BR523" s="77"/>
      <c r="BW523" s="78"/>
      <c r="BX523" s="78"/>
      <c r="CH523" s="227">
        <v>0</v>
      </c>
    </row>
    <row r="524" customHeight="1" spans="1:86">
      <c r="A524" s="286"/>
      <c r="B524" s="74"/>
      <c r="D524" s="75"/>
      <c r="F524" s="165"/>
      <c r="N524" s="75"/>
      <c r="Q524" s="76"/>
      <c r="S524" s="75"/>
      <c r="T524" s="1238"/>
      <c r="BC524" s="75"/>
      <c r="BH524" s="165"/>
      <c r="BO524" s="75"/>
      <c r="BP524" s="77"/>
      <c r="BQ524" s="78"/>
      <c r="BR524" s="77"/>
      <c r="BW524" s="78"/>
      <c r="BX524" s="78"/>
      <c r="CH524" s="227">
        <v>0</v>
      </c>
    </row>
    <row r="525" customHeight="1" spans="1:86">
      <c r="A525" s="286"/>
      <c r="B525" s="74"/>
      <c r="D525" s="75"/>
      <c r="F525" s="165"/>
      <c r="N525" s="75"/>
      <c r="Q525" s="76"/>
      <c r="S525" s="75"/>
      <c r="T525" s="1238"/>
      <c r="BC525" s="75"/>
      <c r="BH525" s="165"/>
      <c r="BO525" s="75"/>
      <c r="BP525" s="77"/>
      <c r="BQ525" s="78"/>
      <c r="BR525" s="77"/>
      <c r="BW525" s="78"/>
      <c r="BX525" s="78"/>
      <c r="CH525" s="227">
        <v>0</v>
      </c>
    </row>
    <row r="526" customHeight="1" spans="1:86">
      <c r="A526" s="286"/>
      <c r="B526" s="74"/>
      <c r="D526" s="75"/>
      <c r="F526" s="165"/>
      <c r="N526" s="75"/>
      <c r="Q526" s="76"/>
      <c r="S526" s="75"/>
      <c r="T526" s="1238"/>
      <c r="BC526" s="75"/>
      <c r="BH526" s="165"/>
      <c r="BO526" s="75"/>
      <c r="BP526" s="77"/>
      <c r="BQ526" s="78"/>
      <c r="BR526" s="77"/>
      <c r="BW526" s="78"/>
      <c r="BX526" s="78"/>
      <c r="CH526" s="227">
        <v>0</v>
      </c>
    </row>
    <row r="527" customHeight="1" spans="1:86">
      <c r="A527" s="286"/>
      <c r="B527" s="74"/>
      <c r="D527" s="75"/>
      <c r="F527" s="165"/>
      <c r="N527" s="75"/>
      <c r="Q527" s="76"/>
      <c r="S527" s="75"/>
      <c r="T527" s="1238"/>
      <c r="BC527" s="75"/>
      <c r="BH527" s="165"/>
      <c r="BO527" s="75"/>
      <c r="BP527" s="77"/>
      <c r="BQ527" s="78"/>
      <c r="BR527" s="77"/>
      <c r="BW527" s="78"/>
      <c r="BX527" s="78"/>
      <c r="CH527" s="227">
        <v>0</v>
      </c>
    </row>
    <row r="528" customHeight="1" spans="1:86">
      <c r="A528" s="286"/>
      <c r="B528" s="74"/>
      <c r="D528" s="75"/>
      <c r="F528" s="165"/>
      <c r="N528" s="75"/>
      <c r="Q528" s="76"/>
      <c r="S528" s="75"/>
      <c r="T528" s="1238"/>
      <c r="BC528" s="75"/>
      <c r="BH528" s="165"/>
      <c r="BO528" s="75"/>
      <c r="BP528" s="77"/>
      <c r="BQ528" s="78"/>
      <c r="BR528" s="77"/>
      <c r="BW528" s="78"/>
      <c r="BX528" s="78"/>
      <c r="CH528" s="227">
        <v>0</v>
      </c>
    </row>
    <row r="529" customHeight="1" spans="1:86">
      <c r="A529" s="286"/>
      <c r="B529" s="74"/>
      <c r="D529" s="75"/>
      <c r="F529" s="165"/>
      <c r="N529" s="75"/>
      <c r="Q529" s="76"/>
      <c r="S529" s="75"/>
      <c r="T529" s="1238"/>
      <c r="BC529" s="75"/>
      <c r="BH529" s="165"/>
      <c r="BO529" s="75"/>
      <c r="BP529" s="77"/>
      <c r="BQ529" s="78"/>
      <c r="BR529" s="77"/>
      <c r="BW529" s="78"/>
      <c r="BX529" s="78"/>
      <c r="CH529" s="227">
        <v>0</v>
      </c>
    </row>
    <row r="530" customHeight="1" spans="1:86">
      <c r="A530" s="286"/>
      <c r="B530" s="74"/>
      <c r="D530" s="75"/>
      <c r="F530" s="165"/>
      <c r="N530" s="75"/>
      <c r="Q530" s="76"/>
      <c r="S530" s="75"/>
      <c r="T530" s="1238"/>
      <c r="BC530" s="75"/>
      <c r="BH530" s="165"/>
      <c r="BO530" s="75"/>
      <c r="BP530" s="77"/>
      <c r="BQ530" s="78"/>
      <c r="BR530" s="77"/>
      <c r="BW530" s="78"/>
      <c r="BX530" s="78"/>
      <c r="CH530" s="227">
        <v>0</v>
      </c>
    </row>
    <row r="531" customHeight="1" spans="1:86">
      <c r="A531" s="286"/>
      <c r="B531" s="74"/>
      <c r="D531" s="75"/>
      <c r="F531" s="165"/>
      <c r="N531" s="75"/>
      <c r="Q531" s="76"/>
      <c r="S531" s="75"/>
      <c r="T531" s="1238"/>
      <c r="BC531" s="75"/>
      <c r="BH531" s="165"/>
      <c r="BO531" s="75"/>
      <c r="BP531" s="77"/>
      <c r="BQ531" s="78"/>
      <c r="BR531" s="77"/>
      <c r="BW531" s="78"/>
      <c r="BX531" s="78"/>
      <c r="CH531" s="227">
        <v>0</v>
      </c>
    </row>
    <row r="532" customHeight="1" spans="1:86">
      <c r="A532" s="286"/>
      <c r="B532" s="74"/>
      <c r="D532" s="75"/>
      <c r="F532" s="165"/>
      <c r="N532" s="75"/>
      <c r="Q532" s="76"/>
      <c r="S532" s="75"/>
      <c r="T532" s="1238"/>
      <c r="BC532" s="75"/>
      <c r="BH532" s="165"/>
      <c r="BO532" s="75"/>
      <c r="BP532" s="77"/>
      <c r="BQ532" s="78"/>
      <c r="BR532" s="77"/>
      <c r="BW532" s="78"/>
      <c r="BX532" s="78"/>
      <c r="CH532" s="227">
        <v>0</v>
      </c>
    </row>
    <row r="533" customHeight="1" spans="1:86">
      <c r="A533" s="286"/>
      <c r="B533" s="74"/>
      <c r="D533" s="75"/>
      <c r="F533" s="165"/>
      <c r="N533" s="75"/>
      <c r="Q533" s="76"/>
      <c r="S533" s="75"/>
      <c r="T533" s="1238"/>
      <c r="BC533" s="75"/>
      <c r="BH533" s="165"/>
      <c r="BO533" s="75"/>
      <c r="BP533" s="77"/>
      <c r="BQ533" s="78"/>
      <c r="BR533" s="77"/>
      <c r="BW533" s="78"/>
      <c r="BX533" s="78"/>
      <c r="CH533" s="227">
        <v>0</v>
      </c>
    </row>
    <row r="534" customHeight="1" spans="1:86">
      <c r="A534" s="286"/>
      <c r="B534" s="74"/>
      <c r="D534" s="75"/>
      <c r="F534" s="165"/>
      <c r="N534" s="75"/>
      <c r="Q534" s="76"/>
      <c r="S534" s="75"/>
      <c r="T534" s="1238"/>
      <c r="BC534" s="75"/>
      <c r="BH534" s="165"/>
      <c r="BO534" s="75"/>
      <c r="BP534" s="77"/>
      <c r="BQ534" s="78"/>
      <c r="BR534" s="77"/>
      <c r="BW534" s="78"/>
      <c r="BX534" s="78"/>
      <c r="CH534" s="227">
        <v>0</v>
      </c>
    </row>
    <row r="535" customHeight="1" spans="1:86">
      <c r="A535" s="286"/>
      <c r="B535" s="74"/>
      <c r="D535" s="75"/>
      <c r="F535" s="165"/>
      <c r="N535" s="75"/>
      <c r="Q535" s="76"/>
      <c r="S535" s="75"/>
      <c r="T535" s="1238"/>
      <c r="BC535" s="75"/>
      <c r="BH535" s="165"/>
      <c r="BO535" s="75"/>
      <c r="BP535" s="77"/>
      <c r="BQ535" s="78"/>
      <c r="BR535" s="77"/>
      <c r="BW535" s="78"/>
      <c r="BX535" s="78"/>
      <c r="CH535" s="227">
        <v>0</v>
      </c>
    </row>
    <row r="536" customHeight="1" spans="1:86">
      <c r="A536" s="286"/>
      <c r="B536" s="74"/>
      <c r="D536" s="75"/>
      <c r="F536" s="165"/>
      <c r="N536" s="75"/>
      <c r="Q536" s="76"/>
      <c r="S536" s="75"/>
      <c r="T536" s="1238"/>
      <c r="BC536" s="75"/>
      <c r="BH536" s="165"/>
      <c r="BO536" s="75"/>
      <c r="BP536" s="77"/>
      <c r="BQ536" s="78"/>
      <c r="BR536" s="77"/>
      <c r="BW536" s="78"/>
      <c r="BX536" s="78"/>
      <c r="CH536" s="227">
        <v>0</v>
      </c>
    </row>
    <row r="537" customHeight="1" spans="1:86">
      <c r="A537" s="286"/>
      <c r="B537" s="74"/>
      <c r="D537" s="75"/>
      <c r="F537" s="165"/>
      <c r="N537" s="75"/>
      <c r="Q537" s="76"/>
      <c r="S537" s="75"/>
      <c r="T537" s="1238"/>
      <c r="BC537" s="75"/>
      <c r="BH537" s="165"/>
      <c r="BO537" s="75"/>
      <c r="BP537" s="77"/>
      <c r="BQ537" s="78"/>
      <c r="BR537" s="77"/>
      <c r="BW537" s="78"/>
      <c r="BX537" s="78"/>
      <c r="CH537" s="227">
        <v>0</v>
      </c>
    </row>
    <row r="538" customHeight="1" spans="1:86">
      <c r="A538" s="286"/>
      <c r="B538" s="74"/>
      <c r="D538" s="75"/>
      <c r="F538" s="165"/>
      <c r="N538" s="75"/>
      <c r="Q538" s="76"/>
      <c r="S538" s="75"/>
      <c r="T538" s="1238"/>
      <c r="BC538" s="75"/>
      <c r="BH538" s="165"/>
      <c r="BO538" s="75"/>
      <c r="BP538" s="77"/>
      <c r="BQ538" s="78"/>
      <c r="BR538" s="77"/>
      <c r="BW538" s="78"/>
      <c r="BX538" s="78"/>
      <c r="CH538" s="227">
        <v>0</v>
      </c>
    </row>
    <row r="539" customHeight="1" spans="1:86">
      <c r="A539" s="286"/>
      <c r="B539" s="74"/>
      <c r="D539" s="75"/>
      <c r="F539" s="165"/>
      <c r="N539" s="75"/>
      <c r="Q539" s="76"/>
      <c r="S539" s="75"/>
      <c r="T539" s="1238"/>
      <c r="BC539" s="75"/>
      <c r="BH539" s="165"/>
      <c r="BO539" s="75"/>
      <c r="BP539" s="77"/>
      <c r="BQ539" s="78"/>
      <c r="BR539" s="77"/>
      <c r="BW539" s="78"/>
      <c r="BX539" s="78"/>
      <c r="CH539" s="227">
        <v>0</v>
      </c>
    </row>
    <row r="540" customHeight="1" spans="1:86">
      <c r="A540" s="286"/>
      <c r="B540" s="74"/>
      <c r="D540" s="75"/>
      <c r="F540" s="165"/>
      <c r="N540" s="75"/>
      <c r="Q540" s="76"/>
      <c r="S540" s="75"/>
      <c r="T540" s="1238"/>
      <c r="BC540" s="75"/>
      <c r="BH540" s="165"/>
      <c r="BO540" s="75"/>
      <c r="BP540" s="77"/>
      <c r="BQ540" s="78"/>
      <c r="BR540" s="77"/>
      <c r="BW540" s="78"/>
      <c r="BX540" s="78"/>
      <c r="CH540" s="227">
        <v>0</v>
      </c>
    </row>
    <row r="541" customHeight="1" spans="1:86">
      <c r="A541" s="286"/>
      <c r="B541" s="74"/>
      <c r="D541" s="75"/>
      <c r="F541" s="165"/>
      <c r="N541" s="75"/>
      <c r="Q541" s="76"/>
      <c r="S541" s="75"/>
      <c r="T541" s="1238"/>
      <c r="BC541" s="75"/>
      <c r="BH541" s="165"/>
      <c r="BO541" s="75"/>
      <c r="BP541" s="77"/>
      <c r="BQ541" s="78"/>
      <c r="BR541" s="77"/>
      <c r="BW541" s="78"/>
      <c r="BX541" s="78"/>
    </row>
    <row r="542" customHeight="1" spans="1:86">
      <c r="A542" s="286"/>
      <c r="B542" s="74"/>
      <c r="D542" s="75"/>
      <c r="F542" s="165"/>
      <c r="N542" s="75"/>
      <c r="Q542" s="76"/>
      <c r="S542" s="75"/>
      <c r="T542" s="1238"/>
      <c r="BC542" s="75"/>
      <c r="BH542" s="165"/>
      <c r="BO542" s="75"/>
      <c r="BP542" s="77"/>
      <c r="BQ542" s="78"/>
      <c r="BR542" s="77"/>
      <c r="BW542" s="78"/>
      <c r="BX542" s="78"/>
    </row>
    <row r="543" customHeight="1" spans="1:86">
      <c r="A543" s="286"/>
      <c r="B543" s="74"/>
      <c r="D543" s="75"/>
      <c r="F543" s="165"/>
      <c r="N543" s="75"/>
      <c r="Q543" s="76"/>
      <c r="S543" s="75"/>
      <c r="T543" s="1238"/>
      <c r="BC543" s="75"/>
      <c r="BH543" s="165"/>
      <c r="BO543" s="75"/>
      <c r="BP543" s="77"/>
      <c r="BQ543" s="78"/>
      <c r="BR543" s="77"/>
      <c r="BW543" s="78"/>
      <c r="BX543" s="78"/>
    </row>
    <row r="544" customHeight="1" spans="1:86">
      <c r="A544" s="286"/>
      <c r="B544" s="74"/>
      <c r="D544" s="75"/>
      <c r="F544" s="165"/>
      <c r="N544" s="75"/>
      <c r="Q544" s="76"/>
      <c r="S544" s="75"/>
      <c r="T544" s="1238"/>
      <c r="BC544" s="75"/>
      <c r="BH544" s="165"/>
      <c r="BO544" s="75"/>
      <c r="BP544" s="77"/>
      <c r="BQ544" s="78"/>
      <c r="BR544" s="77"/>
      <c r="BW544" s="78"/>
      <c r="BX544" s="78"/>
    </row>
    <row r="545" customHeight="1" spans="1:76">
      <c r="A545" s="286"/>
      <c r="B545" s="74"/>
      <c r="D545" s="75"/>
      <c r="F545" s="165"/>
      <c r="N545" s="75"/>
      <c r="Q545" s="76"/>
      <c r="S545" s="75"/>
      <c r="T545" s="1238"/>
      <c r="BC545" s="75"/>
      <c r="BH545" s="165"/>
      <c r="BO545" s="75"/>
      <c r="BP545" s="77"/>
      <c r="BQ545" s="78"/>
      <c r="BR545" s="77"/>
      <c r="BW545" s="78"/>
      <c r="BX545" s="78"/>
    </row>
    <row r="546" customHeight="1" spans="1:76">
      <c r="A546" s="286"/>
      <c r="B546" s="74"/>
      <c r="D546" s="75"/>
      <c r="F546" s="165"/>
      <c r="N546" s="75"/>
      <c r="Q546" s="76"/>
      <c r="S546" s="75"/>
      <c r="T546" s="1238"/>
      <c r="BC546" s="75"/>
      <c r="BH546" s="165"/>
      <c r="BO546" s="75"/>
      <c r="BP546" s="77"/>
      <c r="BQ546" s="78"/>
      <c r="BR546" s="77"/>
      <c r="BW546" s="78"/>
      <c r="BX546" s="78"/>
    </row>
    <row r="547" customHeight="1" spans="1:76">
      <c r="A547" s="286"/>
      <c r="B547" s="74"/>
      <c r="D547" s="75"/>
      <c r="F547" s="165"/>
      <c r="N547" s="75"/>
      <c r="Q547" s="76"/>
      <c r="S547" s="75"/>
      <c r="T547" s="1238"/>
      <c r="BC547" s="75"/>
      <c r="BH547" s="165"/>
      <c r="BO547" s="75"/>
      <c r="BP547" s="77"/>
      <c r="BQ547" s="78"/>
      <c r="BR547" s="77"/>
      <c r="BW547" s="78"/>
      <c r="BX547" s="78"/>
    </row>
    <row r="548" customHeight="1" spans="1:76">
      <c r="A548" s="286"/>
      <c r="B548" s="74"/>
      <c r="D548" s="75"/>
      <c r="F548" s="165"/>
      <c r="N548" s="75"/>
      <c r="Q548" s="76"/>
      <c r="S548" s="75"/>
      <c r="T548" s="1238"/>
      <c r="BC548" s="75"/>
      <c r="BH548" s="165"/>
      <c r="BO548" s="75"/>
      <c r="BP548" s="77"/>
      <c r="BQ548" s="78"/>
      <c r="BR548" s="77"/>
      <c r="BW548" s="78"/>
      <c r="BX548" s="78"/>
    </row>
    <row r="549" customHeight="1" spans="1:76">
      <c r="A549" s="286"/>
      <c r="B549" s="74"/>
      <c r="D549" s="75"/>
      <c r="F549" s="165"/>
      <c r="N549" s="75"/>
      <c r="Q549" s="76"/>
      <c r="S549" s="75"/>
      <c r="T549" s="1238"/>
      <c r="BC549" s="75"/>
      <c r="BH549" s="165"/>
      <c r="BO549" s="75"/>
      <c r="BP549" s="77"/>
      <c r="BQ549" s="78"/>
      <c r="BR549" s="77"/>
      <c r="BW549" s="78"/>
      <c r="BX549" s="78"/>
    </row>
    <row r="550" customHeight="1" spans="1:76">
      <c r="A550" s="286"/>
      <c r="B550" s="74"/>
      <c r="D550" s="75"/>
      <c r="F550" s="165"/>
      <c r="N550" s="75"/>
      <c r="Q550" s="76"/>
      <c r="S550" s="75"/>
      <c r="T550" s="1238"/>
      <c r="BC550" s="75"/>
      <c r="BH550" s="165"/>
      <c r="BO550" s="75"/>
      <c r="BP550" s="77"/>
      <c r="BQ550" s="78"/>
      <c r="BR550" s="77"/>
      <c r="BW550" s="78"/>
      <c r="BX550" s="78"/>
    </row>
    <row r="551" customHeight="1" spans="1:76">
      <c r="A551" s="286"/>
      <c r="B551" s="74"/>
      <c r="D551" s="75"/>
      <c r="F551" s="165"/>
      <c r="N551" s="75"/>
      <c r="Q551" s="76"/>
      <c r="S551" s="75"/>
      <c r="T551" s="1238"/>
      <c r="BC551" s="75"/>
      <c r="BH551" s="165"/>
      <c r="BO551" s="75"/>
      <c r="BP551" s="77"/>
      <c r="BQ551" s="78"/>
      <c r="BR551" s="77"/>
      <c r="BW551" s="78"/>
      <c r="BX551" s="78"/>
    </row>
    <row r="552" customHeight="1" spans="1:76">
      <c r="A552" s="286"/>
      <c r="B552" s="74"/>
      <c r="D552" s="75"/>
      <c r="F552" s="165"/>
      <c r="N552" s="75"/>
      <c r="Q552" s="76"/>
      <c r="S552" s="75"/>
      <c r="T552" s="1238"/>
      <c r="BC552" s="75"/>
      <c r="BH552" s="165"/>
      <c r="BO552" s="75"/>
      <c r="BP552" s="77"/>
      <c r="BQ552" s="78"/>
      <c r="BR552" s="77"/>
      <c r="BW552" s="78"/>
      <c r="BX552" s="78"/>
    </row>
    <row r="553" customHeight="1" spans="1:76">
      <c r="A553" s="286"/>
      <c r="B553" s="74"/>
      <c r="D553" s="75"/>
      <c r="F553" s="165"/>
      <c r="N553" s="75"/>
      <c r="Q553" s="76"/>
      <c r="S553" s="75"/>
      <c r="T553" s="1238"/>
      <c r="BC553" s="75"/>
      <c r="BH553" s="165"/>
      <c r="BO553" s="75"/>
      <c r="BP553" s="77"/>
      <c r="BQ553" s="78"/>
      <c r="BR553" s="77"/>
      <c r="BW553" s="78"/>
      <c r="BX553" s="78"/>
    </row>
    <row r="554" customHeight="1" spans="1:76">
      <c r="A554" s="286"/>
      <c r="B554" s="74"/>
      <c r="D554" s="75"/>
      <c r="F554" s="165"/>
      <c r="N554" s="75"/>
      <c r="Q554" s="76"/>
      <c r="S554" s="75"/>
      <c r="T554" s="1238"/>
      <c r="BC554" s="75"/>
      <c r="BH554" s="165"/>
      <c r="BO554" s="75"/>
      <c r="BP554" s="77"/>
      <c r="BQ554" s="78"/>
      <c r="BR554" s="77"/>
      <c r="BW554" s="78"/>
      <c r="BX554" s="78"/>
    </row>
    <row r="555" customHeight="1" spans="1:76">
      <c r="A555" s="286"/>
      <c r="B555" s="74"/>
      <c r="D555" s="75"/>
      <c r="F555" s="165"/>
      <c r="N555" s="75"/>
      <c r="Q555" s="76"/>
      <c r="S555" s="75"/>
      <c r="T555" s="1238"/>
      <c r="BC555" s="75"/>
      <c r="BH555" s="165"/>
      <c r="BO555" s="75"/>
      <c r="BP555" s="77"/>
      <c r="BQ555" s="78"/>
      <c r="BR555" s="77"/>
      <c r="BW555" s="78"/>
      <c r="BX555" s="78"/>
    </row>
    <row r="556" customHeight="1" spans="1:76">
      <c r="A556" s="286"/>
      <c r="B556" s="74"/>
      <c r="D556" s="75"/>
      <c r="F556" s="165"/>
      <c r="N556" s="75"/>
      <c r="Q556" s="76"/>
      <c r="S556" s="75"/>
      <c r="T556" s="1238"/>
      <c r="BC556" s="75"/>
      <c r="BH556" s="165"/>
      <c r="BO556" s="75"/>
      <c r="BP556" s="77"/>
      <c r="BQ556" s="78"/>
      <c r="BR556" s="77"/>
      <c r="BW556" s="78"/>
      <c r="BX556" s="78"/>
    </row>
    <row r="557" customHeight="1" spans="1:76">
      <c r="A557" s="286"/>
      <c r="B557" s="74"/>
      <c r="D557" s="75"/>
      <c r="F557" s="165"/>
      <c r="N557" s="75"/>
      <c r="Q557" s="76"/>
      <c r="S557" s="75"/>
      <c r="T557" s="1238"/>
      <c r="BC557" s="75"/>
      <c r="BH557" s="165"/>
      <c r="BO557" s="75"/>
      <c r="BP557" s="77"/>
      <c r="BQ557" s="78"/>
      <c r="BR557" s="77"/>
      <c r="BW557" s="78"/>
      <c r="BX557" s="78"/>
    </row>
    <row r="558" customHeight="1" spans="1:76">
      <c r="A558" s="286"/>
      <c r="B558" s="74"/>
      <c r="D558" s="75"/>
      <c r="F558" s="165"/>
      <c r="N558" s="75"/>
      <c r="Q558" s="76"/>
      <c r="S558" s="75"/>
      <c r="T558" s="1238"/>
      <c r="BC558" s="75"/>
      <c r="BH558" s="165"/>
      <c r="BO558" s="75"/>
      <c r="BP558" s="77"/>
      <c r="BQ558" s="78"/>
      <c r="BR558" s="77"/>
      <c r="BW558" s="78"/>
      <c r="BX558" s="78"/>
    </row>
    <row r="559" customHeight="1" spans="1:76">
      <c r="A559" s="286"/>
      <c r="B559" s="74"/>
      <c r="D559" s="75"/>
      <c r="F559" s="165"/>
      <c r="N559" s="75"/>
      <c r="Q559" s="76"/>
      <c r="S559" s="75"/>
      <c r="T559" s="1238"/>
      <c r="BC559" s="75"/>
      <c r="BH559" s="165"/>
      <c r="BO559" s="75"/>
      <c r="BP559" s="77"/>
      <c r="BQ559" s="78"/>
      <c r="BR559" s="77"/>
      <c r="BW559" s="78"/>
      <c r="BX559" s="78"/>
    </row>
    <row r="560" customHeight="1" spans="1:76">
      <c r="A560" s="286"/>
      <c r="B560" s="74"/>
      <c r="D560" s="75"/>
      <c r="F560" s="165"/>
      <c r="N560" s="75"/>
      <c r="Q560" s="76"/>
      <c r="S560" s="75"/>
      <c r="T560" s="1238"/>
      <c r="BC560" s="75"/>
      <c r="BH560" s="165"/>
      <c r="BO560" s="75"/>
      <c r="BP560" s="77"/>
      <c r="BQ560" s="78"/>
      <c r="BR560" s="77"/>
      <c r="BW560" s="78"/>
      <c r="BX560" s="78"/>
    </row>
    <row r="561" customHeight="1" spans="1:76">
      <c r="A561" s="286"/>
      <c r="B561" s="74"/>
      <c r="D561" s="75"/>
      <c r="F561" s="165"/>
      <c r="N561" s="75"/>
      <c r="Q561" s="76"/>
      <c r="S561" s="75"/>
      <c r="T561" s="1238"/>
      <c r="BC561" s="75"/>
      <c r="BH561" s="165"/>
      <c r="BO561" s="75"/>
      <c r="BP561" s="77"/>
      <c r="BQ561" s="78"/>
      <c r="BR561" s="77"/>
      <c r="BW561" s="78"/>
      <c r="BX561" s="78"/>
    </row>
    <row r="562" customHeight="1" spans="1:76">
      <c r="A562" s="286"/>
      <c r="B562" s="74"/>
      <c r="D562" s="75"/>
      <c r="F562" s="165"/>
      <c r="N562" s="75"/>
      <c r="Q562" s="76"/>
      <c r="S562" s="75"/>
      <c r="T562" s="1238"/>
      <c r="BC562" s="75"/>
      <c r="BH562" s="165"/>
      <c r="BO562" s="75"/>
      <c r="BP562" s="77"/>
      <c r="BQ562" s="78"/>
      <c r="BR562" s="77"/>
      <c r="BW562" s="78"/>
      <c r="BX562" s="78"/>
    </row>
    <row r="563" customHeight="1" spans="1:76">
      <c r="A563" s="286"/>
      <c r="B563" s="74"/>
      <c r="D563" s="75"/>
      <c r="F563" s="165"/>
      <c r="N563" s="75"/>
      <c r="Q563" s="76"/>
      <c r="S563" s="75"/>
      <c r="T563" s="1238"/>
      <c r="BC563" s="75"/>
      <c r="BH563" s="165"/>
      <c r="BO563" s="75"/>
      <c r="BP563" s="77"/>
      <c r="BQ563" s="78"/>
      <c r="BR563" s="77"/>
      <c r="BW563" s="78"/>
      <c r="BX563" s="78"/>
    </row>
    <row r="564" customHeight="1" spans="1:76">
      <c r="A564" s="286"/>
      <c r="B564" s="74"/>
      <c r="D564" s="75"/>
      <c r="F564" s="165"/>
      <c r="N564" s="75"/>
      <c r="Q564" s="76"/>
      <c r="S564" s="75"/>
      <c r="T564" s="1238"/>
      <c r="BC564" s="75"/>
      <c r="BH564" s="165"/>
      <c r="BO564" s="75"/>
      <c r="BP564" s="77"/>
      <c r="BQ564" s="78"/>
      <c r="BR564" s="77"/>
      <c r="BW564" s="78"/>
      <c r="BX564" s="78"/>
    </row>
    <row r="565" customHeight="1" spans="1:76">
      <c r="A565" s="286"/>
      <c r="B565" s="74"/>
      <c r="D565" s="75"/>
      <c r="F565" s="165"/>
      <c r="N565" s="75"/>
      <c r="Q565" s="76"/>
      <c r="S565" s="75"/>
      <c r="T565" s="1238"/>
      <c r="BC565" s="75"/>
      <c r="BH565" s="165"/>
      <c r="BO565" s="75"/>
      <c r="BP565" s="77"/>
      <c r="BQ565" s="78"/>
      <c r="BR565" s="77"/>
      <c r="BW565" s="78"/>
      <c r="BX565" s="78"/>
    </row>
    <row r="566" customHeight="1" spans="1:76">
      <c r="A566" s="286"/>
      <c r="B566" s="74"/>
      <c r="D566" s="75"/>
      <c r="F566" s="165"/>
      <c r="N566" s="75"/>
      <c r="Q566" s="76"/>
      <c r="S566" s="75"/>
      <c r="T566" s="1238"/>
      <c r="BC566" s="75"/>
      <c r="BH566" s="165"/>
      <c r="BO566" s="75"/>
      <c r="BP566" s="77"/>
      <c r="BQ566" s="78"/>
      <c r="BR566" s="77"/>
      <c r="BW566" s="78"/>
      <c r="BX566" s="78"/>
    </row>
    <row r="567" customHeight="1" spans="1:76">
      <c r="A567" s="286"/>
      <c r="B567" s="74"/>
      <c r="D567" s="75"/>
      <c r="F567" s="165"/>
      <c r="N567" s="75"/>
      <c r="Q567" s="76"/>
      <c r="S567" s="75"/>
      <c r="T567" s="1238"/>
      <c r="BC567" s="75"/>
      <c r="BH567" s="165"/>
      <c r="BO567" s="75"/>
      <c r="BP567" s="77"/>
      <c r="BQ567" s="78"/>
      <c r="BR567" s="77"/>
      <c r="BW567" s="78"/>
      <c r="BX567" s="78"/>
    </row>
    <row r="568" customHeight="1" spans="1:76">
      <c r="A568" s="286"/>
      <c r="B568" s="74"/>
      <c r="D568" s="75"/>
      <c r="F568" s="165"/>
      <c r="N568" s="75"/>
      <c r="Q568" s="76"/>
      <c r="S568" s="75"/>
      <c r="T568" s="1238"/>
      <c r="BC568" s="75"/>
      <c r="BH568" s="165"/>
      <c r="BO568" s="75"/>
      <c r="BP568" s="77"/>
      <c r="BQ568" s="78"/>
      <c r="BR568" s="77"/>
      <c r="BW568" s="78"/>
      <c r="BX568" s="78"/>
    </row>
    <row r="569" customHeight="1" spans="1:76">
      <c r="A569" s="286"/>
      <c r="B569" s="74"/>
      <c r="D569" s="75"/>
      <c r="F569" s="165"/>
      <c r="N569" s="75"/>
      <c r="Q569" s="76"/>
      <c r="S569" s="75"/>
      <c r="T569" s="1238"/>
      <c r="BC569" s="75"/>
      <c r="BH569" s="165"/>
      <c r="BO569" s="75"/>
      <c r="BP569" s="77"/>
      <c r="BQ569" s="78"/>
      <c r="BR569" s="77"/>
      <c r="BW569" s="78"/>
      <c r="BX569" s="78"/>
    </row>
    <row r="570" customHeight="1" spans="1:76">
      <c r="A570" s="286"/>
      <c r="B570" s="74"/>
      <c r="D570" s="75"/>
      <c r="F570" s="165"/>
      <c r="N570" s="75"/>
      <c r="Q570" s="76"/>
      <c r="S570" s="75"/>
      <c r="T570" s="1238"/>
      <c r="BC570" s="75"/>
      <c r="BH570" s="165"/>
      <c r="BO570" s="75"/>
      <c r="BP570" s="77"/>
      <c r="BQ570" s="78"/>
      <c r="BR570" s="77"/>
      <c r="BW570" s="78"/>
      <c r="BX570" s="78"/>
    </row>
    <row r="571" customHeight="1" spans="1:76">
      <c r="A571" s="286"/>
      <c r="B571" s="74"/>
      <c r="D571" s="75"/>
      <c r="F571" s="165"/>
      <c r="N571" s="75"/>
      <c r="Q571" s="76"/>
      <c r="S571" s="75"/>
      <c r="T571" s="1238"/>
      <c r="BC571" s="75"/>
      <c r="BH571" s="165"/>
      <c r="BO571" s="75"/>
      <c r="BP571" s="77"/>
      <c r="BQ571" s="78"/>
      <c r="BR571" s="77"/>
      <c r="BW571" s="78"/>
      <c r="BX571" s="78"/>
    </row>
    <row r="572" customHeight="1" spans="1:76">
      <c r="A572" s="286"/>
      <c r="B572" s="74"/>
      <c r="D572" s="75"/>
      <c r="F572" s="165"/>
      <c r="N572" s="75"/>
      <c r="Q572" s="76"/>
      <c r="S572" s="75"/>
      <c r="T572" s="1238"/>
      <c r="BC572" s="75"/>
      <c r="BH572" s="165"/>
      <c r="BO572" s="75"/>
      <c r="BP572" s="77"/>
      <c r="BQ572" s="78"/>
      <c r="BR572" s="77"/>
      <c r="BW572" s="78"/>
      <c r="BX572" s="78"/>
    </row>
    <row r="573" customHeight="1" spans="1:76">
      <c r="A573" s="286"/>
      <c r="B573" s="74"/>
      <c r="D573" s="75"/>
      <c r="F573" s="165"/>
      <c r="N573" s="75"/>
      <c r="Q573" s="76"/>
      <c r="S573" s="75"/>
      <c r="T573" s="1238"/>
      <c r="BC573" s="75"/>
      <c r="BH573" s="165"/>
      <c r="BO573" s="75"/>
      <c r="BP573" s="77"/>
      <c r="BQ573" s="78"/>
      <c r="BR573" s="77"/>
      <c r="BW573" s="78"/>
      <c r="BX573" s="78"/>
    </row>
    <row r="574" customHeight="1" spans="1:76">
      <c r="A574" s="286"/>
      <c r="B574" s="74"/>
      <c r="D574" s="75"/>
      <c r="F574" s="165"/>
      <c r="N574" s="75"/>
      <c r="Q574" s="76"/>
      <c r="S574" s="75"/>
      <c r="T574" s="1238"/>
      <c r="BC574" s="75"/>
      <c r="BH574" s="165"/>
      <c r="BO574" s="75"/>
      <c r="BP574" s="77"/>
      <c r="BQ574" s="78"/>
      <c r="BR574" s="77"/>
      <c r="BW574" s="78"/>
      <c r="BX574" s="78"/>
    </row>
    <row r="575" customHeight="1" spans="1:76">
      <c r="A575" s="286"/>
      <c r="B575" s="74"/>
      <c r="D575" s="75"/>
      <c r="F575" s="165"/>
      <c r="N575" s="75"/>
      <c r="Q575" s="76"/>
      <c r="S575" s="75"/>
      <c r="T575" s="1238"/>
      <c r="BC575" s="75"/>
      <c r="BH575" s="165"/>
      <c r="BO575" s="75"/>
      <c r="BP575" s="77"/>
      <c r="BQ575" s="78"/>
      <c r="BR575" s="77"/>
      <c r="BW575" s="78"/>
      <c r="BX575" s="78"/>
    </row>
    <row r="576" customHeight="1" spans="1:76">
      <c r="A576" s="286"/>
      <c r="B576" s="74"/>
      <c r="D576" s="75"/>
      <c r="F576" s="165"/>
      <c r="N576" s="75"/>
      <c r="Q576" s="76"/>
      <c r="S576" s="75"/>
      <c r="T576" s="1238"/>
      <c r="BC576" s="75"/>
      <c r="BH576" s="165"/>
      <c r="BO576" s="75"/>
      <c r="BP576" s="77"/>
      <c r="BQ576" s="78"/>
      <c r="BR576" s="77"/>
      <c r="BW576" s="78"/>
      <c r="BX576" s="78"/>
    </row>
    <row r="577" customHeight="1" spans="1:76">
      <c r="A577" s="286"/>
      <c r="B577" s="74"/>
      <c r="D577" s="75"/>
      <c r="F577" s="165"/>
      <c r="N577" s="75"/>
      <c r="Q577" s="76"/>
      <c r="S577" s="75"/>
      <c r="T577" s="1238"/>
      <c r="BC577" s="75"/>
      <c r="BH577" s="165"/>
      <c r="BO577" s="75"/>
      <c r="BP577" s="77"/>
      <c r="BQ577" s="78"/>
      <c r="BR577" s="77"/>
      <c r="BW577" s="78"/>
      <c r="BX577" s="78"/>
    </row>
    <row r="578" customHeight="1" spans="1:76">
      <c r="A578" s="286"/>
      <c r="B578" s="74"/>
      <c r="D578" s="75"/>
      <c r="F578" s="165"/>
      <c r="N578" s="75"/>
      <c r="Q578" s="76"/>
      <c r="S578" s="75"/>
      <c r="T578" s="1238"/>
      <c r="BC578" s="75"/>
      <c r="BH578" s="165"/>
      <c r="BO578" s="75"/>
      <c r="BP578" s="77"/>
      <c r="BQ578" s="78"/>
      <c r="BR578" s="77"/>
      <c r="BW578" s="78"/>
      <c r="BX578" s="78"/>
    </row>
    <row r="579" customHeight="1" spans="1:76">
      <c r="A579" s="286"/>
      <c r="B579" s="74"/>
      <c r="D579" s="75"/>
      <c r="F579" s="165"/>
      <c r="N579" s="75"/>
      <c r="Q579" s="76"/>
      <c r="S579" s="75"/>
      <c r="T579" s="1238"/>
      <c r="BC579" s="75"/>
      <c r="BH579" s="165"/>
      <c r="BO579" s="75"/>
      <c r="BP579" s="77"/>
      <c r="BQ579" s="78"/>
      <c r="BR579" s="77"/>
      <c r="BW579" s="78"/>
      <c r="BX579" s="78"/>
    </row>
    <row r="580" customHeight="1" spans="1:76">
      <c r="A580" s="286"/>
      <c r="B580" s="74"/>
      <c r="D580" s="75"/>
      <c r="F580" s="165"/>
      <c r="N580" s="75"/>
      <c r="Q580" s="76"/>
      <c r="S580" s="75"/>
      <c r="T580" s="1238"/>
      <c r="BC580" s="75"/>
      <c r="BH580" s="165"/>
      <c r="BO580" s="75"/>
      <c r="BP580" s="77"/>
      <c r="BQ580" s="78"/>
      <c r="BR580" s="77"/>
      <c r="BW580" s="78"/>
      <c r="BX580" s="78"/>
    </row>
    <row r="581" customHeight="1" spans="1:76">
      <c r="A581" s="286"/>
      <c r="B581" s="74"/>
      <c r="D581" s="75"/>
      <c r="F581" s="165"/>
      <c r="N581" s="75"/>
      <c r="Q581" s="76"/>
      <c r="S581" s="75"/>
      <c r="T581" s="1238"/>
      <c r="BC581" s="75"/>
      <c r="BH581" s="165"/>
      <c r="BO581" s="75"/>
      <c r="BP581" s="77"/>
      <c r="BQ581" s="78"/>
      <c r="BR581" s="77"/>
      <c r="BW581" s="78"/>
      <c r="BX581" s="78"/>
    </row>
    <row r="582" customHeight="1" spans="1:76">
      <c r="A582" s="286"/>
      <c r="B582" s="74"/>
      <c r="D582" s="75"/>
      <c r="F582" s="165"/>
      <c r="N582" s="75"/>
      <c r="Q582" s="76"/>
      <c r="S582" s="75"/>
      <c r="T582" s="1238"/>
      <c r="BC582" s="75"/>
      <c r="BH582" s="165"/>
      <c r="BO582" s="75"/>
      <c r="BP582" s="77"/>
      <c r="BQ582" s="78"/>
      <c r="BR582" s="77"/>
      <c r="BW582" s="78"/>
      <c r="BX582" s="78"/>
    </row>
    <row r="583" customHeight="1" spans="1:76">
      <c r="A583" s="286"/>
      <c r="B583" s="74"/>
      <c r="D583" s="75"/>
      <c r="F583" s="165"/>
      <c r="N583" s="75"/>
      <c r="Q583" s="76"/>
      <c r="S583" s="75"/>
      <c r="T583" s="1238"/>
      <c r="BC583" s="75"/>
      <c r="BH583" s="165"/>
      <c r="BO583" s="75"/>
      <c r="BP583" s="77"/>
      <c r="BQ583" s="78"/>
      <c r="BR583" s="77"/>
      <c r="BW583" s="78"/>
      <c r="BX583" s="78"/>
    </row>
    <row r="584" customHeight="1" spans="1:76">
      <c r="A584" s="286"/>
      <c r="B584" s="74"/>
      <c r="D584" s="75"/>
      <c r="F584" s="165"/>
      <c r="N584" s="75"/>
      <c r="Q584" s="76"/>
      <c r="S584" s="75"/>
      <c r="T584" s="1238"/>
      <c r="BC584" s="75"/>
      <c r="BH584" s="165"/>
      <c r="BO584" s="75"/>
      <c r="BP584" s="77"/>
      <c r="BQ584" s="78"/>
      <c r="BR584" s="77"/>
      <c r="BW584" s="78"/>
      <c r="BX584" s="78"/>
    </row>
    <row r="585" customHeight="1" spans="1:76">
      <c r="A585" s="286"/>
      <c r="B585" s="74"/>
      <c r="D585" s="75"/>
      <c r="F585" s="165"/>
      <c r="N585" s="75"/>
      <c r="Q585" s="76"/>
      <c r="S585" s="75"/>
      <c r="T585" s="1238"/>
      <c r="BC585" s="75"/>
      <c r="BH585" s="165"/>
      <c r="BO585" s="75"/>
      <c r="BP585" s="77"/>
      <c r="BQ585" s="78"/>
      <c r="BR585" s="77"/>
      <c r="BW585" s="78"/>
      <c r="BX585" s="78"/>
    </row>
    <row r="586" customHeight="1" spans="1:76">
      <c r="A586" s="286"/>
      <c r="B586" s="74"/>
      <c r="D586" s="75"/>
      <c r="F586" s="165"/>
      <c r="N586" s="75"/>
      <c r="Q586" s="76"/>
      <c r="S586" s="75"/>
      <c r="T586" s="1238"/>
      <c r="BC586" s="75"/>
      <c r="BH586" s="165"/>
      <c r="BO586" s="75"/>
      <c r="BP586" s="77"/>
      <c r="BQ586" s="78"/>
      <c r="BR586" s="77"/>
      <c r="BW586" s="78"/>
      <c r="BX586" s="78"/>
    </row>
    <row r="587" customHeight="1" spans="1:76">
      <c r="A587" s="286"/>
      <c r="B587" s="74"/>
      <c r="D587" s="75"/>
      <c r="F587" s="165"/>
      <c r="N587" s="75"/>
      <c r="Q587" s="76"/>
      <c r="S587" s="75"/>
      <c r="T587" s="1238"/>
      <c r="BC587" s="75"/>
      <c r="BH587" s="165"/>
      <c r="BO587" s="75"/>
      <c r="BP587" s="77"/>
      <c r="BQ587" s="78"/>
      <c r="BR587" s="77"/>
      <c r="BW587" s="78"/>
      <c r="BX587" s="78"/>
    </row>
    <row r="588" customHeight="1" spans="1:76">
      <c r="A588" s="286"/>
      <c r="B588" s="74"/>
      <c r="D588" s="75"/>
      <c r="F588" s="165"/>
      <c r="N588" s="75"/>
      <c r="Q588" s="76"/>
      <c r="S588" s="75"/>
      <c r="T588" s="1238"/>
      <c r="BC588" s="75"/>
      <c r="BH588" s="165"/>
      <c r="BO588" s="75"/>
      <c r="BP588" s="77"/>
      <c r="BQ588" s="78"/>
      <c r="BR588" s="77"/>
      <c r="BW588" s="78"/>
      <c r="BX588" s="78"/>
    </row>
    <row r="589" customHeight="1" spans="1:76">
      <c r="A589" s="286"/>
      <c r="B589" s="74"/>
      <c r="D589" s="75"/>
      <c r="F589" s="165"/>
      <c r="N589" s="75"/>
      <c r="Q589" s="76"/>
      <c r="S589" s="75"/>
      <c r="T589" s="1238"/>
      <c r="BC589" s="75"/>
      <c r="BH589" s="165"/>
      <c r="BO589" s="75"/>
      <c r="BP589" s="77"/>
      <c r="BQ589" s="78"/>
      <c r="BR589" s="77"/>
      <c r="BW589" s="78"/>
      <c r="BX589" s="78"/>
    </row>
    <row r="590" customHeight="1" spans="1:76">
      <c r="A590" s="286"/>
      <c r="B590" s="74"/>
      <c r="D590" s="75"/>
      <c r="F590" s="165"/>
      <c r="N590" s="75"/>
      <c r="Q590" s="76"/>
      <c r="S590" s="75"/>
      <c r="T590" s="1238"/>
      <c r="BC590" s="75"/>
      <c r="BH590" s="165"/>
      <c r="BO590" s="75"/>
      <c r="BP590" s="77"/>
      <c r="BQ590" s="78"/>
      <c r="BR590" s="77"/>
      <c r="BW590" s="78"/>
      <c r="BX590" s="78"/>
    </row>
    <row r="591" customHeight="1" spans="1:76">
      <c r="A591" s="286"/>
      <c r="B591" s="74"/>
      <c r="D591" s="75"/>
      <c r="F591" s="165"/>
      <c r="N591" s="75"/>
      <c r="Q591" s="76"/>
      <c r="S591" s="75"/>
      <c r="T591" s="1238"/>
      <c r="BC591" s="75"/>
      <c r="BH591" s="165"/>
      <c r="BO591" s="75"/>
      <c r="BP591" s="77"/>
      <c r="BQ591" s="78"/>
      <c r="BR591" s="77"/>
      <c r="BW591" s="78"/>
      <c r="BX591" s="78"/>
    </row>
    <row r="592" customHeight="1" spans="1:76">
      <c r="A592" s="286"/>
      <c r="B592" s="74"/>
      <c r="D592" s="75"/>
      <c r="F592" s="165"/>
      <c r="N592" s="75"/>
      <c r="Q592" s="76"/>
      <c r="S592" s="75"/>
      <c r="T592" s="1238"/>
      <c r="BC592" s="75"/>
      <c r="BH592" s="165"/>
      <c r="BO592" s="75"/>
      <c r="BP592" s="77"/>
      <c r="BQ592" s="78"/>
      <c r="BR592" s="77"/>
      <c r="BW592" s="78"/>
      <c r="BX592" s="78"/>
    </row>
    <row r="593" customHeight="1" spans="1:76">
      <c r="A593" s="286"/>
      <c r="B593" s="74"/>
      <c r="D593" s="75"/>
      <c r="F593" s="165"/>
      <c r="N593" s="75"/>
      <c r="Q593" s="76"/>
      <c r="S593" s="75"/>
      <c r="T593" s="1238"/>
      <c r="BC593" s="75"/>
      <c r="BH593" s="165"/>
      <c r="BO593" s="75"/>
      <c r="BP593" s="77"/>
      <c r="BQ593" s="78"/>
      <c r="BR593" s="77"/>
      <c r="BW593" s="78"/>
      <c r="BX593" s="78"/>
    </row>
    <row r="594" customHeight="1" spans="1:76">
      <c r="A594" s="286"/>
      <c r="B594" s="74"/>
      <c r="D594" s="75"/>
      <c r="F594" s="165"/>
      <c r="N594" s="75"/>
      <c r="Q594" s="76"/>
      <c r="S594" s="75"/>
      <c r="T594" s="1238"/>
      <c r="BC594" s="75"/>
      <c r="BH594" s="165"/>
      <c r="BO594" s="75"/>
      <c r="BP594" s="77"/>
      <c r="BQ594" s="78"/>
      <c r="BR594" s="77"/>
      <c r="BW594" s="78"/>
      <c r="BX594" s="78"/>
    </row>
    <row r="595" customHeight="1" spans="1:76">
      <c r="A595" s="286"/>
      <c r="B595" s="74"/>
      <c r="D595" s="75"/>
      <c r="F595" s="165"/>
      <c r="N595" s="75"/>
      <c r="Q595" s="76"/>
      <c r="S595" s="75"/>
      <c r="T595" s="1238"/>
      <c r="BC595" s="75"/>
      <c r="BH595" s="165"/>
      <c r="BO595" s="75"/>
      <c r="BP595" s="77"/>
      <c r="BQ595" s="78"/>
      <c r="BR595" s="77"/>
      <c r="BW595" s="78"/>
      <c r="BX595" s="78"/>
    </row>
    <row r="596" customHeight="1" spans="1:76">
      <c r="A596" s="286"/>
      <c r="B596" s="74"/>
      <c r="D596" s="75"/>
      <c r="F596" s="165"/>
      <c r="N596" s="75"/>
      <c r="Q596" s="76"/>
      <c r="S596" s="75"/>
      <c r="T596" s="1238"/>
      <c r="BC596" s="75"/>
      <c r="BH596" s="165"/>
      <c r="BO596" s="75"/>
      <c r="BP596" s="77"/>
      <c r="BQ596" s="78"/>
      <c r="BR596" s="77"/>
      <c r="BW596" s="78"/>
      <c r="BX596" s="78"/>
    </row>
    <row r="597" customHeight="1" spans="1:76">
      <c r="A597" s="286"/>
      <c r="B597" s="74"/>
      <c r="D597" s="75"/>
      <c r="F597" s="165"/>
      <c r="N597" s="75"/>
      <c r="Q597" s="76"/>
      <c r="S597" s="75"/>
      <c r="T597" s="1238"/>
      <c r="BC597" s="75"/>
      <c r="BH597" s="165"/>
      <c r="BO597" s="75"/>
      <c r="BP597" s="77"/>
      <c r="BQ597" s="78"/>
      <c r="BR597" s="77"/>
      <c r="BW597" s="78"/>
      <c r="BX597" s="78"/>
    </row>
    <row r="598" customHeight="1" spans="1:76">
      <c r="A598" s="286"/>
      <c r="B598" s="74"/>
      <c r="D598" s="75"/>
      <c r="F598" s="165"/>
      <c r="N598" s="75"/>
      <c r="Q598" s="76"/>
      <c r="S598" s="75"/>
      <c r="T598" s="1238"/>
      <c r="BC598" s="75"/>
      <c r="BH598" s="165"/>
      <c r="BO598" s="75"/>
      <c r="BP598" s="77"/>
      <c r="BQ598" s="78"/>
      <c r="BR598" s="77"/>
      <c r="BW598" s="78"/>
      <c r="BX598" s="78"/>
    </row>
    <row r="599" customHeight="1" spans="1:76">
      <c r="A599" s="286"/>
      <c r="B599" s="74"/>
      <c r="D599" s="75"/>
      <c r="F599" s="165"/>
      <c r="N599" s="75"/>
      <c r="Q599" s="76"/>
      <c r="S599" s="75"/>
      <c r="T599" s="1238"/>
      <c r="BC599" s="75"/>
      <c r="BH599" s="165"/>
      <c r="BO599" s="75"/>
      <c r="BP599" s="77"/>
      <c r="BQ599" s="78"/>
      <c r="BR599" s="77"/>
      <c r="BW599" s="78"/>
      <c r="BX599" s="78"/>
    </row>
    <row r="600" customHeight="1" spans="1:76">
      <c r="A600" s="286"/>
      <c r="B600" s="74"/>
      <c r="D600" s="75"/>
      <c r="F600" s="165"/>
      <c r="N600" s="75"/>
      <c r="Q600" s="76"/>
      <c r="S600" s="75"/>
      <c r="T600" s="1238"/>
      <c r="BC600" s="75"/>
      <c r="BH600" s="165"/>
      <c r="BO600" s="75"/>
      <c r="BP600" s="77"/>
      <c r="BQ600" s="78"/>
      <c r="BR600" s="77"/>
      <c r="BW600" s="78"/>
      <c r="BX600" s="78"/>
    </row>
    <row r="601" customHeight="1" spans="1:76">
      <c r="A601" s="286"/>
      <c r="B601" s="74"/>
      <c r="D601" s="75"/>
      <c r="F601" s="165"/>
      <c r="N601" s="75"/>
      <c r="Q601" s="76"/>
      <c r="S601" s="75"/>
      <c r="T601" s="1238"/>
      <c r="BC601" s="75"/>
      <c r="BH601" s="165"/>
      <c r="BO601" s="75"/>
      <c r="BP601" s="77"/>
      <c r="BQ601" s="78"/>
      <c r="BR601" s="77"/>
      <c r="BW601" s="78"/>
      <c r="BX601" s="78"/>
    </row>
    <row r="602" customHeight="1" spans="1:76">
      <c r="A602" s="286"/>
      <c r="B602" s="74"/>
      <c r="D602" s="75"/>
      <c r="F602" s="165"/>
      <c r="N602" s="75"/>
      <c r="Q602" s="76"/>
      <c r="S602" s="75"/>
      <c r="T602" s="1238"/>
      <c r="BC602" s="75"/>
      <c r="BH602" s="165"/>
      <c r="BO602" s="75"/>
      <c r="BP602" s="77"/>
      <c r="BQ602" s="78"/>
      <c r="BR602" s="77"/>
      <c r="BW602" s="78"/>
      <c r="BX602" s="78"/>
    </row>
    <row r="603" customHeight="1" spans="1:76">
      <c r="A603" s="286"/>
      <c r="B603" s="74"/>
      <c r="D603" s="75"/>
      <c r="F603" s="165"/>
      <c r="N603" s="75"/>
      <c r="Q603" s="76"/>
      <c r="S603" s="75"/>
      <c r="T603" s="1238"/>
      <c r="BC603" s="75"/>
      <c r="BH603" s="165"/>
      <c r="BO603" s="75"/>
      <c r="BP603" s="77"/>
      <c r="BQ603" s="78"/>
      <c r="BR603" s="77"/>
      <c r="BW603" s="78"/>
      <c r="BX603" s="78"/>
    </row>
    <row r="604" customHeight="1" spans="1:76">
      <c r="A604" s="286"/>
      <c r="B604" s="74"/>
      <c r="D604" s="75"/>
      <c r="F604" s="165"/>
      <c r="N604" s="75"/>
      <c r="Q604" s="76"/>
      <c r="S604" s="75"/>
      <c r="T604" s="1238"/>
      <c r="BC604" s="75"/>
      <c r="BH604" s="165"/>
      <c r="BO604" s="75"/>
      <c r="BP604" s="77"/>
      <c r="BQ604" s="78"/>
      <c r="BR604" s="77"/>
      <c r="BW604" s="78"/>
      <c r="BX604" s="78"/>
    </row>
    <row r="605" customHeight="1" spans="1:76">
      <c r="A605" s="286"/>
      <c r="B605" s="74"/>
      <c r="D605" s="75"/>
      <c r="F605" s="165"/>
      <c r="N605" s="75"/>
      <c r="Q605" s="76"/>
      <c r="S605" s="75"/>
      <c r="T605" s="1238"/>
      <c r="BC605" s="75"/>
      <c r="BH605" s="165"/>
      <c r="BO605" s="75"/>
      <c r="BP605" s="77"/>
      <c r="BQ605" s="78"/>
      <c r="BR605" s="77"/>
      <c r="BW605" s="78"/>
      <c r="BX605" s="78"/>
    </row>
    <row r="606" customHeight="1" spans="1:76">
      <c r="A606" s="286"/>
      <c r="B606" s="74"/>
      <c r="D606" s="75"/>
      <c r="F606" s="165"/>
      <c r="N606" s="75"/>
      <c r="Q606" s="76"/>
      <c r="S606" s="75"/>
      <c r="T606" s="1238"/>
      <c r="BC606" s="75"/>
      <c r="BH606" s="165"/>
      <c r="BO606" s="75"/>
      <c r="BP606" s="77"/>
      <c r="BQ606" s="78"/>
      <c r="BR606" s="77"/>
      <c r="BW606" s="78"/>
      <c r="BX606" s="78"/>
    </row>
    <row r="607" customHeight="1" spans="1:76">
      <c r="A607" s="286"/>
      <c r="B607" s="74"/>
      <c r="D607" s="75"/>
      <c r="F607" s="165"/>
      <c r="N607" s="75"/>
      <c r="Q607" s="76"/>
      <c r="S607" s="75"/>
      <c r="T607" s="1238"/>
      <c r="BC607" s="75"/>
      <c r="BH607" s="165"/>
      <c r="BO607" s="75"/>
      <c r="BP607" s="77"/>
      <c r="BQ607" s="78"/>
      <c r="BR607" s="77"/>
      <c r="BW607" s="78"/>
      <c r="BX607" s="78"/>
    </row>
    <row r="608" customHeight="1" spans="1:76">
      <c r="A608" s="286"/>
      <c r="B608" s="74"/>
      <c r="D608" s="75"/>
      <c r="F608" s="165"/>
      <c r="N608" s="75"/>
      <c r="Q608" s="76"/>
      <c r="S608" s="75"/>
      <c r="T608" s="1238"/>
      <c r="BC608" s="75"/>
      <c r="BH608" s="165"/>
      <c r="BO608" s="75"/>
      <c r="BP608" s="77"/>
      <c r="BQ608" s="78"/>
      <c r="BR608" s="77"/>
      <c r="BW608" s="78"/>
      <c r="BX608" s="78"/>
    </row>
    <row r="609" customHeight="1" spans="1:76">
      <c r="A609" s="286"/>
      <c r="B609" s="74"/>
      <c r="D609" s="75"/>
      <c r="F609" s="165"/>
      <c r="N609" s="75"/>
      <c r="Q609" s="76"/>
      <c r="S609" s="75"/>
      <c r="T609" s="1238"/>
      <c r="BC609" s="75"/>
      <c r="BH609" s="165"/>
      <c r="BO609" s="75"/>
      <c r="BP609" s="77"/>
      <c r="BQ609" s="78"/>
      <c r="BR609" s="77"/>
      <c r="BW609" s="78"/>
      <c r="BX609" s="78"/>
    </row>
    <row r="610" customHeight="1" spans="1:76">
      <c r="A610" s="286"/>
      <c r="B610" s="74"/>
      <c r="D610" s="75"/>
      <c r="F610" s="165"/>
      <c r="N610" s="75"/>
      <c r="Q610" s="76"/>
      <c r="S610" s="75"/>
      <c r="T610" s="1238"/>
      <c r="BC610" s="75"/>
      <c r="BH610" s="165"/>
      <c r="BO610" s="75"/>
      <c r="BP610" s="77"/>
      <c r="BQ610" s="78"/>
      <c r="BR610" s="77"/>
      <c r="BW610" s="78"/>
      <c r="BX610" s="78"/>
    </row>
    <row r="611" customHeight="1" spans="1:76">
      <c r="A611" s="286"/>
      <c r="B611" s="74"/>
      <c r="D611" s="75"/>
      <c r="F611" s="165"/>
      <c r="N611" s="75"/>
      <c r="Q611" s="76"/>
      <c r="S611" s="75"/>
      <c r="T611" s="1238"/>
      <c r="BC611" s="75"/>
      <c r="BH611" s="165"/>
      <c r="BO611" s="75"/>
      <c r="BP611" s="77"/>
      <c r="BQ611" s="78"/>
      <c r="BR611" s="77"/>
      <c r="BW611" s="78"/>
      <c r="BX611" s="78"/>
    </row>
    <row r="612" customHeight="1" spans="1:76">
      <c r="A612" s="286"/>
      <c r="B612" s="74"/>
      <c r="D612" s="75"/>
      <c r="F612" s="165"/>
      <c r="N612" s="75"/>
      <c r="Q612" s="76"/>
      <c r="S612" s="75"/>
      <c r="T612" s="1238"/>
      <c r="BC612" s="75"/>
      <c r="BH612" s="165"/>
      <c r="BO612" s="75"/>
      <c r="BP612" s="77"/>
      <c r="BQ612" s="78"/>
      <c r="BR612" s="77"/>
      <c r="BW612" s="78"/>
      <c r="BX612" s="78"/>
    </row>
    <row r="613" customHeight="1" spans="1:76">
      <c r="A613" s="286"/>
      <c r="B613" s="74"/>
      <c r="D613" s="75"/>
      <c r="F613" s="165"/>
      <c r="N613" s="75"/>
      <c r="Q613" s="76"/>
      <c r="S613" s="75"/>
      <c r="T613" s="1238"/>
      <c r="BC613" s="75"/>
      <c r="BH613" s="165"/>
      <c r="BO613" s="75"/>
      <c r="BP613" s="77"/>
      <c r="BQ613" s="78"/>
      <c r="BR613" s="77"/>
      <c r="BW613" s="78"/>
      <c r="BX613" s="78"/>
    </row>
    <row r="614" customHeight="1" spans="1:76">
      <c r="A614" s="286"/>
      <c r="B614" s="74"/>
      <c r="D614" s="75"/>
      <c r="F614" s="165"/>
      <c r="N614" s="75"/>
      <c r="Q614" s="76"/>
      <c r="S614" s="75"/>
      <c r="T614" s="1238"/>
      <c r="BC614" s="75"/>
      <c r="BH614" s="165"/>
      <c r="BO614" s="75"/>
      <c r="BP614" s="77"/>
      <c r="BQ614" s="78"/>
      <c r="BR614" s="77"/>
      <c r="BW614" s="78"/>
      <c r="BX614" s="78"/>
    </row>
    <row r="615" customHeight="1" spans="1:76">
      <c r="A615" s="286"/>
      <c r="B615" s="74"/>
      <c r="D615" s="75"/>
      <c r="F615" s="165"/>
      <c r="N615" s="75"/>
      <c r="Q615" s="76"/>
      <c r="S615" s="75"/>
      <c r="T615" s="1238"/>
      <c r="BC615" s="75"/>
      <c r="BH615" s="165"/>
      <c r="BO615" s="75"/>
      <c r="BP615" s="77"/>
      <c r="BQ615" s="78"/>
      <c r="BR615" s="77"/>
      <c r="BW615" s="78"/>
      <c r="BX615" s="78"/>
    </row>
    <row r="616" customHeight="1" spans="1:76">
      <c r="A616" s="286"/>
      <c r="B616" s="74"/>
      <c r="D616" s="75"/>
      <c r="F616" s="165"/>
      <c r="N616" s="75"/>
      <c r="Q616" s="76"/>
      <c r="S616" s="75"/>
      <c r="T616" s="1238"/>
      <c r="BC616" s="75"/>
      <c r="BH616" s="165"/>
      <c r="BO616" s="75"/>
      <c r="BP616" s="77"/>
      <c r="BQ616" s="78"/>
      <c r="BR616" s="77"/>
      <c r="BW616" s="78"/>
      <c r="BX616" s="78"/>
    </row>
    <row r="617" customHeight="1" spans="1:76">
      <c r="A617" s="286"/>
      <c r="B617" s="74"/>
      <c r="D617" s="75"/>
      <c r="F617" s="165"/>
      <c r="N617" s="75"/>
      <c r="Q617" s="76"/>
      <c r="S617" s="75"/>
      <c r="T617" s="1238"/>
      <c r="BC617" s="75"/>
      <c r="BH617" s="165"/>
      <c r="BO617" s="75"/>
      <c r="BP617" s="77"/>
      <c r="BQ617" s="78"/>
      <c r="BR617" s="77"/>
      <c r="BW617" s="78"/>
      <c r="BX617" s="78"/>
    </row>
    <row r="618" customHeight="1" spans="1:76">
      <c r="A618" s="286"/>
      <c r="B618" s="74"/>
      <c r="D618" s="75"/>
      <c r="F618" s="165"/>
      <c r="N618" s="75"/>
      <c r="Q618" s="76"/>
      <c r="S618" s="75"/>
      <c r="T618" s="1238"/>
      <c r="BC618" s="75"/>
      <c r="BH618" s="165"/>
      <c r="BO618" s="75"/>
      <c r="BP618" s="77"/>
      <c r="BQ618" s="78"/>
      <c r="BR618" s="77"/>
      <c r="BW618" s="78"/>
      <c r="BX618" s="78"/>
    </row>
    <row r="619" customHeight="1" spans="1:76">
      <c r="A619" s="286"/>
      <c r="B619" s="74"/>
      <c r="D619" s="75"/>
      <c r="F619" s="165"/>
      <c r="N619" s="75"/>
      <c r="Q619" s="76"/>
      <c r="S619" s="75"/>
      <c r="T619" s="1238"/>
      <c r="BC619" s="75"/>
      <c r="BH619" s="165"/>
      <c r="BO619" s="75"/>
      <c r="BP619" s="77"/>
      <c r="BQ619" s="78"/>
      <c r="BR619" s="77"/>
      <c r="BW619" s="78"/>
      <c r="BX619" s="78"/>
    </row>
    <row r="620" customHeight="1" spans="1:76">
      <c r="A620" s="286"/>
      <c r="B620" s="74"/>
      <c r="D620" s="75"/>
      <c r="F620" s="165"/>
      <c r="N620" s="75"/>
      <c r="Q620" s="76"/>
      <c r="S620" s="75"/>
      <c r="T620" s="1238"/>
      <c r="BC620" s="75"/>
      <c r="BH620" s="165"/>
      <c r="BO620" s="75"/>
      <c r="BP620" s="77"/>
      <c r="BQ620" s="78"/>
      <c r="BR620" s="77"/>
      <c r="BW620" s="78"/>
      <c r="BX620" s="78"/>
    </row>
    <row r="621" customHeight="1" spans="1:76">
      <c r="A621" s="286"/>
      <c r="B621" s="74"/>
      <c r="D621" s="75"/>
      <c r="F621" s="165"/>
      <c r="N621" s="75"/>
      <c r="Q621" s="76"/>
      <c r="S621" s="75"/>
      <c r="T621" s="1238"/>
      <c r="BC621" s="75"/>
      <c r="BH621" s="165"/>
      <c r="BO621" s="75"/>
      <c r="BP621" s="77"/>
      <c r="BQ621" s="78"/>
      <c r="BR621" s="77"/>
      <c r="BW621" s="78"/>
      <c r="BX621" s="78"/>
    </row>
    <row r="622" customHeight="1" spans="1:76">
      <c r="A622" s="286"/>
      <c r="B622" s="74"/>
      <c r="D622" s="75"/>
      <c r="F622" s="165"/>
      <c r="N622" s="75"/>
      <c r="Q622" s="76"/>
      <c r="S622" s="75"/>
      <c r="T622" s="1238"/>
      <c r="BC622" s="75"/>
      <c r="BH622" s="165"/>
      <c r="BO622" s="75"/>
      <c r="BP622" s="77"/>
      <c r="BQ622" s="78"/>
      <c r="BR622" s="77"/>
      <c r="BW622" s="78"/>
      <c r="BX622" s="78"/>
    </row>
    <row r="623" customHeight="1" spans="1:76">
      <c r="A623" s="286"/>
      <c r="B623" s="74"/>
      <c r="D623" s="75"/>
      <c r="F623" s="165"/>
      <c r="N623" s="75"/>
      <c r="Q623" s="76"/>
      <c r="S623" s="75"/>
      <c r="T623" s="1238"/>
      <c r="BC623" s="75"/>
      <c r="BH623" s="165"/>
      <c r="BO623" s="75"/>
      <c r="BP623" s="77"/>
      <c r="BQ623" s="78"/>
      <c r="BR623" s="77"/>
      <c r="BW623" s="78"/>
      <c r="BX623" s="78"/>
    </row>
    <row r="624" customHeight="1" spans="1:76">
      <c r="A624" s="286"/>
      <c r="B624" s="74"/>
      <c r="D624" s="75"/>
      <c r="F624" s="165"/>
      <c r="N624" s="75"/>
      <c r="Q624" s="76"/>
      <c r="S624" s="75"/>
      <c r="T624" s="1238"/>
      <c r="BC624" s="75"/>
      <c r="BH624" s="165"/>
      <c r="BO624" s="75"/>
      <c r="BP624" s="77"/>
      <c r="BQ624" s="78"/>
      <c r="BR624" s="77"/>
      <c r="BW624" s="78"/>
      <c r="BX624" s="78"/>
    </row>
    <row r="625" customHeight="1" spans="1:76">
      <c r="A625" s="286"/>
      <c r="B625" s="74"/>
      <c r="D625" s="75"/>
      <c r="F625" s="165"/>
      <c r="N625" s="75"/>
      <c r="Q625" s="76"/>
      <c r="S625" s="75"/>
      <c r="T625" s="1238"/>
      <c r="BC625" s="75"/>
      <c r="BH625" s="165"/>
      <c r="BO625" s="75"/>
      <c r="BP625" s="77"/>
      <c r="BQ625" s="78"/>
      <c r="BR625" s="77"/>
      <c r="BW625" s="78"/>
      <c r="BX625" s="78"/>
    </row>
    <row r="626" customHeight="1" spans="1:76">
      <c r="A626" s="286"/>
      <c r="B626" s="74"/>
      <c r="D626" s="75"/>
      <c r="F626" s="165"/>
      <c r="N626" s="75"/>
      <c r="Q626" s="76"/>
      <c r="S626" s="75"/>
      <c r="T626" s="1238"/>
      <c r="BC626" s="75"/>
      <c r="BH626" s="165"/>
      <c r="BO626" s="75"/>
      <c r="BP626" s="77"/>
      <c r="BQ626" s="78"/>
      <c r="BR626" s="77"/>
      <c r="BW626" s="78"/>
      <c r="BX626" s="78"/>
    </row>
    <row r="627" customHeight="1" spans="1:76">
      <c r="A627" s="286"/>
      <c r="B627" s="74"/>
      <c r="D627" s="75"/>
      <c r="F627" s="165"/>
      <c r="N627" s="75"/>
      <c r="Q627" s="76"/>
      <c r="S627" s="75"/>
      <c r="T627" s="1238"/>
      <c r="BC627" s="75"/>
      <c r="BH627" s="165"/>
      <c r="BO627" s="75"/>
      <c r="BP627" s="77"/>
      <c r="BQ627" s="78"/>
      <c r="BR627" s="77"/>
      <c r="BW627" s="78"/>
      <c r="BX627" s="78"/>
    </row>
    <row r="628" customHeight="1" spans="1:76">
      <c r="A628" s="286"/>
      <c r="B628" s="74"/>
      <c r="D628" s="75"/>
      <c r="F628" s="165"/>
      <c r="N628" s="75"/>
      <c r="Q628" s="76"/>
      <c r="S628" s="75"/>
      <c r="T628" s="1238"/>
      <c r="BC628" s="75"/>
      <c r="BH628" s="165"/>
      <c r="BO628" s="75"/>
      <c r="BP628" s="77"/>
      <c r="BQ628" s="78"/>
      <c r="BR628" s="77"/>
      <c r="BW628" s="78"/>
      <c r="BX628" s="78"/>
    </row>
    <row r="629" customHeight="1" spans="1:76">
      <c r="A629" s="286"/>
      <c r="B629" s="74"/>
      <c r="D629" s="75"/>
      <c r="F629" s="165"/>
      <c r="N629" s="75"/>
      <c r="Q629" s="76"/>
      <c r="S629" s="75"/>
      <c r="T629" s="1238"/>
      <c r="BC629" s="75"/>
      <c r="BH629" s="165"/>
      <c r="BO629" s="75"/>
      <c r="BP629" s="77"/>
      <c r="BQ629" s="78"/>
      <c r="BR629" s="77"/>
      <c r="BW629" s="78"/>
      <c r="BX629" s="78"/>
    </row>
    <row r="630" customHeight="1" spans="1:76">
      <c r="A630" s="286"/>
      <c r="B630" s="74"/>
      <c r="D630" s="75"/>
      <c r="F630" s="165"/>
      <c r="N630" s="75"/>
      <c r="Q630" s="76"/>
      <c r="S630" s="75"/>
      <c r="T630" s="1238"/>
      <c r="BC630" s="75"/>
      <c r="BH630" s="165"/>
      <c r="BO630" s="75"/>
      <c r="BP630" s="77"/>
      <c r="BQ630" s="78"/>
      <c r="BR630" s="77"/>
      <c r="BW630" s="78"/>
      <c r="BX630" s="78"/>
    </row>
    <row r="631" customHeight="1" spans="1:76">
      <c r="A631" s="286"/>
      <c r="B631" s="74"/>
      <c r="D631" s="75"/>
      <c r="F631" s="165"/>
      <c r="N631" s="75"/>
      <c r="Q631" s="76"/>
      <c r="S631" s="75"/>
      <c r="T631" s="1238"/>
      <c r="BC631" s="75"/>
      <c r="BH631" s="165"/>
      <c r="BO631" s="75"/>
      <c r="BP631" s="77"/>
      <c r="BQ631" s="78"/>
      <c r="BR631" s="77"/>
      <c r="BW631" s="78"/>
      <c r="BX631" s="78"/>
    </row>
    <row r="632" customHeight="1" spans="1:76">
      <c r="A632" s="286"/>
      <c r="B632" s="74"/>
      <c r="D632" s="75"/>
      <c r="F632" s="165"/>
      <c r="N632" s="75"/>
      <c r="Q632" s="76"/>
      <c r="S632" s="75"/>
      <c r="T632" s="1238"/>
      <c r="BC632" s="75"/>
      <c r="BH632" s="165"/>
      <c r="BO632" s="75"/>
      <c r="BP632" s="77"/>
      <c r="BQ632" s="78"/>
      <c r="BR632" s="77"/>
      <c r="BW632" s="78"/>
      <c r="BX632" s="78"/>
    </row>
    <row r="633" customHeight="1" spans="1:76">
      <c r="A633" s="286"/>
      <c r="B633" s="74"/>
      <c r="D633" s="75"/>
      <c r="F633" s="165"/>
      <c r="N633" s="75"/>
      <c r="Q633" s="76"/>
      <c r="S633" s="75"/>
      <c r="T633" s="1238"/>
      <c r="BC633" s="75"/>
      <c r="BH633" s="165"/>
      <c r="BO633" s="75"/>
      <c r="BP633" s="77"/>
      <c r="BQ633" s="78"/>
      <c r="BR633" s="77"/>
      <c r="BW633" s="78"/>
      <c r="BX633" s="78"/>
    </row>
    <row r="634" customHeight="1" spans="1:76">
      <c r="A634" s="286"/>
      <c r="B634" s="74"/>
      <c r="D634" s="75"/>
      <c r="F634" s="165"/>
      <c r="N634" s="75"/>
      <c r="Q634" s="76"/>
      <c r="S634" s="75"/>
      <c r="T634" s="1238"/>
      <c r="BC634" s="75"/>
      <c r="BH634" s="165"/>
      <c r="BO634" s="75"/>
      <c r="BP634" s="77"/>
      <c r="BQ634" s="78"/>
      <c r="BR634" s="77"/>
      <c r="BW634" s="78"/>
      <c r="BX634" s="78"/>
    </row>
    <row r="635" customHeight="1" spans="1:76">
      <c r="A635" s="286"/>
      <c r="B635" s="74"/>
      <c r="D635" s="75"/>
      <c r="F635" s="165"/>
      <c r="N635" s="75"/>
      <c r="Q635" s="76"/>
      <c r="S635" s="75"/>
      <c r="T635" s="1238"/>
      <c r="BC635" s="75"/>
      <c r="BH635" s="165"/>
      <c r="BO635" s="75"/>
      <c r="BP635" s="77"/>
      <c r="BQ635" s="78"/>
      <c r="BR635" s="77"/>
      <c r="BW635" s="78"/>
      <c r="BX635" s="78"/>
    </row>
    <row r="636" customHeight="1" spans="1:76">
      <c r="A636" s="286"/>
      <c r="B636" s="74"/>
      <c r="D636" s="75"/>
      <c r="F636" s="165"/>
      <c r="N636" s="75"/>
      <c r="Q636" s="76"/>
      <c r="S636" s="75"/>
      <c r="T636" s="1238"/>
      <c r="BC636" s="75"/>
      <c r="BH636" s="165"/>
      <c r="BO636" s="75"/>
      <c r="BP636" s="77"/>
      <c r="BQ636" s="78"/>
      <c r="BR636" s="77"/>
      <c r="BW636" s="78"/>
      <c r="BX636" s="78"/>
    </row>
    <row r="637" customHeight="1" spans="1:76">
      <c r="A637" s="286"/>
      <c r="B637" s="74"/>
      <c r="D637" s="75"/>
      <c r="F637" s="165"/>
      <c r="N637" s="75"/>
      <c r="Q637" s="76"/>
      <c r="S637" s="75"/>
      <c r="T637" s="1238"/>
      <c r="BC637" s="75"/>
      <c r="BH637" s="165"/>
      <c r="BO637" s="75"/>
      <c r="BP637" s="77"/>
      <c r="BQ637" s="78"/>
      <c r="BR637" s="77"/>
      <c r="BW637" s="78"/>
      <c r="BX637" s="78"/>
    </row>
    <row r="638" customHeight="1" spans="1:76">
      <c r="A638" s="286"/>
      <c r="B638" s="74"/>
      <c r="D638" s="75"/>
      <c r="F638" s="165"/>
      <c r="N638" s="75"/>
      <c r="Q638" s="76"/>
      <c r="S638" s="75"/>
      <c r="T638" s="1238"/>
      <c r="BC638" s="75"/>
      <c r="BH638" s="165"/>
      <c r="BO638" s="75"/>
      <c r="BP638" s="77"/>
      <c r="BQ638" s="78"/>
      <c r="BR638" s="77"/>
      <c r="BW638" s="78"/>
      <c r="BX638" s="78"/>
    </row>
    <row r="639" customHeight="1" spans="1:76">
      <c r="A639" s="286"/>
      <c r="B639" s="74"/>
      <c r="D639" s="75"/>
      <c r="F639" s="165"/>
      <c r="N639" s="75"/>
      <c r="Q639" s="76"/>
      <c r="S639" s="75"/>
      <c r="T639" s="1238"/>
      <c r="BC639" s="75"/>
      <c r="BH639" s="165"/>
      <c r="BO639" s="75"/>
      <c r="BP639" s="77"/>
      <c r="BQ639" s="78"/>
      <c r="BR639" s="77"/>
      <c r="BW639" s="78"/>
      <c r="BX639" s="78"/>
    </row>
    <row r="640" customHeight="1" spans="1:76">
      <c r="A640" s="286"/>
      <c r="B640" s="74"/>
      <c r="D640" s="75"/>
      <c r="F640" s="165"/>
      <c r="N640" s="75"/>
      <c r="Q640" s="76"/>
      <c r="S640" s="75"/>
      <c r="T640" s="1238"/>
      <c r="BC640" s="75"/>
      <c r="BH640" s="165"/>
      <c r="BO640" s="75"/>
      <c r="BP640" s="77"/>
      <c r="BQ640" s="78"/>
      <c r="BR640" s="77"/>
      <c r="BW640" s="78"/>
      <c r="BX640" s="78"/>
    </row>
    <row r="641" customHeight="1" spans="1:76">
      <c r="A641" s="286"/>
      <c r="B641" s="74"/>
      <c r="D641" s="75"/>
      <c r="F641" s="165"/>
      <c r="N641" s="75"/>
      <c r="Q641" s="76"/>
      <c r="S641" s="75"/>
      <c r="T641" s="1238"/>
      <c r="BC641" s="75"/>
      <c r="BH641" s="165"/>
      <c r="BO641" s="75"/>
      <c r="BP641" s="77"/>
      <c r="BQ641" s="78"/>
      <c r="BR641" s="77"/>
      <c r="BW641" s="78"/>
      <c r="BX641" s="78"/>
    </row>
    <row r="642" customHeight="1" spans="1:76">
      <c r="A642" s="286"/>
      <c r="B642" s="74"/>
      <c r="D642" s="75"/>
      <c r="F642" s="165"/>
      <c r="N642" s="75"/>
      <c r="Q642" s="76"/>
      <c r="S642" s="75"/>
      <c r="T642" s="1238"/>
      <c r="BC642" s="75"/>
      <c r="BH642" s="165"/>
      <c r="BO642" s="75"/>
      <c r="BP642" s="77"/>
      <c r="BQ642" s="78"/>
      <c r="BR642" s="77"/>
      <c r="BW642" s="78"/>
      <c r="BX642" s="78"/>
    </row>
    <row r="643" customHeight="1" spans="1:76">
      <c r="A643" s="286"/>
      <c r="B643" s="74"/>
      <c r="D643" s="75"/>
      <c r="F643" s="165"/>
      <c r="N643" s="75"/>
      <c r="Q643" s="76"/>
      <c r="S643" s="75"/>
      <c r="T643" s="1238"/>
      <c r="BC643" s="75"/>
      <c r="BH643" s="165"/>
      <c r="BO643" s="75"/>
      <c r="BP643" s="77"/>
      <c r="BQ643" s="78"/>
      <c r="BR643" s="77"/>
      <c r="BW643" s="78"/>
      <c r="BX643" s="78"/>
    </row>
    <row r="644" customHeight="1" spans="1:76">
      <c r="A644" s="286"/>
      <c r="B644" s="74"/>
      <c r="D644" s="75"/>
      <c r="F644" s="165"/>
      <c r="N644" s="75"/>
      <c r="Q644" s="76"/>
      <c r="S644" s="75"/>
      <c r="T644" s="1238"/>
      <c r="BC644" s="75"/>
      <c r="BH644" s="165"/>
      <c r="BO644" s="75"/>
      <c r="BP644" s="77"/>
      <c r="BQ644" s="78"/>
      <c r="BR644" s="77"/>
      <c r="BW644" s="78"/>
      <c r="BX644" s="78"/>
    </row>
    <row r="645" customHeight="1" spans="1:76">
      <c r="A645" s="286"/>
      <c r="B645" s="74"/>
      <c r="D645" s="75"/>
      <c r="F645" s="165"/>
      <c r="N645" s="75"/>
      <c r="Q645" s="76"/>
      <c r="S645" s="75"/>
      <c r="T645" s="1238"/>
      <c r="BC645" s="75"/>
      <c r="BH645" s="165"/>
      <c r="BO645" s="75"/>
      <c r="BP645" s="77"/>
      <c r="BQ645" s="78"/>
      <c r="BR645" s="77"/>
      <c r="BW645" s="78"/>
      <c r="BX645" s="78"/>
    </row>
    <row r="646" customHeight="1" spans="1:76">
      <c r="A646" s="286"/>
      <c r="B646" s="74"/>
      <c r="D646" s="75"/>
      <c r="F646" s="165"/>
      <c r="N646" s="75"/>
      <c r="Q646" s="76"/>
      <c r="S646" s="75"/>
      <c r="T646" s="1238"/>
      <c r="BC646" s="75"/>
      <c r="BH646" s="165"/>
      <c r="BO646" s="75"/>
      <c r="BP646" s="77"/>
      <c r="BQ646" s="78"/>
      <c r="BR646" s="77"/>
      <c r="BW646" s="78"/>
      <c r="BX646" s="78"/>
    </row>
    <row r="647" customHeight="1" spans="1:76">
      <c r="A647" s="286"/>
      <c r="B647" s="74"/>
      <c r="D647" s="75"/>
      <c r="F647" s="165"/>
      <c r="N647" s="75"/>
      <c r="Q647" s="76"/>
      <c r="S647" s="75"/>
      <c r="T647" s="1238"/>
      <c r="BC647" s="75"/>
      <c r="BH647" s="165"/>
      <c r="BO647" s="75"/>
      <c r="BP647" s="77"/>
      <c r="BQ647" s="78"/>
      <c r="BR647" s="77"/>
      <c r="BW647" s="78"/>
      <c r="BX647" s="78"/>
    </row>
    <row r="648" customHeight="1" spans="1:76">
      <c r="A648" s="286"/>
      <c r="B648" s="74"/>
      <c r="D648" s="75"/>
      <c r="F648" s="165"/>
      <c r="N648" s="75"/>
      <c r="Q648" s="76"/>
      <c r="S648" s="75"/>
      <c r="T648" s="1238"/>
      <c r="BC648" s="75"/>
      <c r="BH648" s="165"/>
      <c r="BO648" s="75"/>
      <c r="BP648" s="77"/>
      <c r="BQ648" s="78"/>
      <c r="BR648" s="77"/>
      <c r="BW648" s="78"/>
      <c r="BX648" s="78"/>
    </row>
    <row r="649" customHeight="1" spans="1:76">
      <c r="A649" s="286"/>
      <c r="B649" s="74"/>
      <c r="D649" s="75"/>
      <c r="F649" s="165"/>
      <c r="N649" s="75"/>
      <c r="Q649" s="76"/>
      <c r="S649" s="75"/>
      <c r="T649" s="1238"/>
      <c r="BC649" s="75"/>
      <c r="BH649" s="165"/>
      <c r="BO649" s="75"/>
      <c r="BP649" s="77"/>
      <c r="BQ649" s="78"/>
      <c r="BR649" s="77"/>
      <c r="BW649" s="78"/>
      <c r="BX649" s="78"/>
    </row>
    <row r="650" customHeight="1" spans="1:76">
      <c r="A650" s="286"/>
      <c r="B650" s="74"/>
      <c r="D650" s="75"/>
      <c r="F650" s="165"/>
      <c r="N650" s="75"/>
      <c r="Q650" s="76"/>
      <c r="S650" s="75"/>
      <c r="T650" s="1238"/>
      <c r="BC650" s="75"/>
      <c r="BH650" s="165"/>
      <c r="BO650" s="75"/>
      <c r="BP650" s="77"/>
      <c r="BQ650" s="78"/>
      <c r="BR650" s="77"/>
      <c r="BW650" s="78"/>
      <c r="BX650" s="78"/>
    </row>
    <row r="651" customHeight="1" spans="1:76">
      <c r="A651" s="286"/>
      <c r="B651" s="74"/>
      <c r="D651" s="75"/>
      <c r="F651" s="165"/>
      <c r="N651" s="75"/>
      <c r="Q651" s="76"/>
      <c r="S651" s="75"/>
      <c r="T651" s="1238"/>
      <c r="BC651" s="75"/>
      <c r="BH651" s="165"/>
      <c r="BO651" s="75"/>
      <c r="BP651" s="77"/>
      <c r="BQ651" s="78"/>
      <c r="BR651" s="77"/>
      <c r="BW651" s="78"/>
      <c r="BX651" s="78"/>
    </row>
    <row r="652" customHeight="1" spans="1:76">
      <c r="A652" s="286"/>
      <c r="B652" s="74"/>
      <c r="D652" s="75"/>
      <c r="F652" s="165"/>
      <c r="N652" s="75"/>
      <c r="Q652" s="76"/>
      <c r="S652" s="75"/>
      <c r="T652" s="1238"/>
      <c r="BC652" s="75"/>
      <c r="BH652" s="165"/>
      <c r="BO652" s="75"/>
      <c r="BP652" s="77"/>
      <c r="BQ652" s="78"/>
      <c r="BR652" s="77"/>
      <c r="BW652" s="78"/>
      <c r="BX652" s="78"/>
    </row>
    <row r="653" customHeight="1" spans="1:76">
      <c r="A653" s="286"/>
      <c r="B653" s="74"/>
      <c r="D653" s="75"/>
      <c r="F653" s="165"/>
      <c r="N653" s="75"/>
      <c r="Q653" s="76"/>
      <c r="S653" s="75"/>
      <c r="T653" s="1238"/>
      <c r="BC653" s="75"/>
      <c r="BH653" s="165"/>
      <c r="BO653" s="75"/>
      <c r="BP653" s="77"/>
      <c r="BQ653" s="78"/>
      <c r="BR653" s="77"/>
      <c r="BW653" s="78"/>
      <c r="BX653" s="78"/>
    </row>
    <row r="654" customHeight="1" spans="1:76">
      <c r="A654" s="286"/>
      <c r="B654" s="74"/>
      <c r="D654" s="75"/>
      <c r="F654" s="165"/>
      <c r="N654" s="75"/>
      <c r="Q654" s="76"/>
      <c r="S654" s="75"/>
      <c r="T654" s="1238"/>
      <c r="BC654" s="75"/>
      <c r="BH654" s="165"/>
      <c r="BO654" s="75"/>
      <c r="BP654" s="77"/>
      <c r="BQ654" s="78"/>
      <c r="BR654" s="77"/>
      <c r="BW654" s="78"/>
      <c r="BX654" s="78"/>
    </row>
    <row r="655" customHeight="1" spans="1:76">
      <c r="A655" s="286"/>
      <c r="B655" s="74"/>
      <c r="D655" s="75"/>
      <c r="F655" s="165"/>
      <c r="N655" s="75"/>
      <c r="Q655" s="76"/>
      <c r="S655" s="75"/>
      <c r="T655" s="1238"/>
      <c r="BC655" s="75"/>
      <c r="BH655" s="165"/>
      <c r="BO655" s="75"/>
      <c r="BP655" s="77"/>
      <c r="BQ655" s="78"/>
      <c r="BR655" s="77"/>
      <c r="BW655" s="78"/>
      <c r="BX655" s="78"/>
    </row>
    <row r="656" customHeight="1" spans="1:76">
      <c r="A656" s="286"/>
      <c r="B656" s="74"/>
      <c r="D656" s="75"/>
      <c r="F656" s="165"/>
      <c r="N656" s="75"/>
      <c r="Q656" s="76"/>
      <c r="S656" s="75"/>
      <c r="T656" s="1238"/>
      <c r="BC656" s="75"/>
      <c r="BH656" s="165"/>
      <c r="BO656" s="75"/>
      <c r="BP656" s="77"/>
      <c r="BQ656" s="78"/>
      <c r="BR656" s="77"/>
      <c r="BW656" s="78"/>
      <c r="BX656" s="78"/>
    </row>
    <row r="657" customHeight="1" spans="1:76">
      <c r="A657" s="286"/>
      <c r="B657" s="74"/>
      <c r="D657" s="75"/>
      <c r="F657" s="165"/>
      <c r="N657" s="75"/>
      <c r="Q657" s="76"/>
      <c r="S657" s="75"/>
      <c r="T657" s="1238"/>
      <c r="BC657" s="75"/>
      <c r="BH657" s="165"/>
      <c r="BO657" s="75"/>
      <c r="BP657" s="77"/>
      <c r="BQ657" s="78"/>
      <c r="BR657" s="77"/>
      <c r="BW657" s="78"/>
      <c r="BX657" s="78"/>
    </row>
    <row r="658" customHeight="1" spans="1:76">
      <c r="A658" s="286"/>
      <c r="B658" s="74"/>
      <c r="D658" s="75"/>
      <c r="F658" s="165"/>
      <c r="N658" s="75"/>
      <c r="Q658" s="76"/>
      <c r="S658" s="75"/>
      <c r="T658" s="1238"/>
      <c r="BC658" s="75"/>
      <c r="BH658" s="165"/>
      <c r="BO658" s="75"/>
      <c r="BP658" s="77"/>
      <c r="BQ658" s="78"/>
      <c r="BR658" s="77"/>
      <c r="BW658" s="78"/>
      <c r="BX658" s="78"/>
    </row>
    <row r="659" customHeight="1" spans="1:76">
      <c r="A659" s="286"/>
      <c r="B659" s="74"/>
      <c r="D659" s="75"/>
      <c r="F659" s="165"/>
      <c r="N659" s="75"/>
      <c r="Q659" s="76"/>
      <c r="S659" s="75"/>
      <c r="T659" s="1238"/>
      <c r="BC659" s="75"/>
      <c r="BH659" s="165"/>
      <c r="BO659" s="75"/>
      <c r="BP659" s="77"/>
      <c r="BQ659" s="78"/>
      <c r="BR659" s="77"/>
      <c r="BW659" s="78"/>
      <c r="BX659" s="78"/>
    </row>
    <row r="660" customHeight="1" spans="1:76">
      <c r="A660" s="286"/>
      <c r="B660" s="74"/>
      <c r="D660" s="75"/>
      <c r="F660" s="165"/>
      <c r="N660" s="75"/>
      <c r="Q660" s="76"/>
      <c r="S660" s="75"/>
      <c r="T660" s="1238"/>
      <c r="BC660" s="75"/>
      <c r="BH660" s="165"/>
      <c r="BO660" s="75"/>
      <c r="BP660" s="77"/>
      <c r="BQ660" s="78"/>
      <c r="BR660" s="77"/>
      <c r="BW660" s="78"/>
      <c r="BX660" s="78"/>
    </row>
    <row r="661" customHeight="1" spans="1:76">
      <c r="A661" s="286"/>
      <c r="B661" s="74"/>
      <c r="D661" s="75"/>
      <c r="F661" s="165"/>
      <c r="N661" s="75"/>
      <c r="Q661" s="76"/>
      <c r="S661" s="75"/>
      <c r="T661" s="1238"/>
      <c r="BC661" s="75"/>
      <c r="BH661" s="165"/>
      <c r="BO661" s="75"/>
      <c r="BP661" s="77"/>
      <c r="BQ661" s="78"/>
      <c r="BR661" s="77"/>
      <c r="BW661" s="78"/>
      <c r="BX661" s="78"/>
    </row>
    <row r="662" customHeight="1" spans="1:76">
      <c r="A662" s="286"/>
      <c r="B662" s="74"/>
      <c r="D662" s="75"/>
      <c r="F662" s="165"/>
      <c r="N662" s="75"/>
      <c r="Q662" s="76"/>
      <c r="S662" s="75"/>
      <c r="T662" s="1238"/>
      <c r="BC662" s="75"/>
      <c r="BH662" s="165"/>
      <c r="BO662" s="75"/>
      <c r="BP662" s="77"/>
      <c r="BQ662" s="78"/>
      <c r="BR662" s="77"/>
      <c r="BW662" s="78"/>
      <c r="BX662" s="78"/>
    </row>
    <row r="663" customHeight="1" spans="1:76">
      <c r="A663" s="286"/>
      <c r="B663" s="74"/>
      <c r="D663" s="75"/>
      <c r="F663" s="165"/>
      <c r="N663" s="75"/>
      <c r="Q663" s="76"/>
      <c r="S663" s="75"/>
      <c r="T663" s="1238"/>
      <c r="BC663" s="75"/>
      <c r="BH663" s="165"/>
      <c r="BO663" s="75"/>
      <c r="BP663" s="77"/>
      <c r="BQ663" s="78"/>
      <c r="BR663" s="77"/>
      <c r="BW663" s="78"/>
      <c r="BX663" s="78"/>
    </row>
    <row r="664" customHeight="1" spans="1:76">
      <c r="A664" s="286"/>
      <c r="B664" s="74"/>
      <c r="D664" s="75"/>
      <c r="F664" s="165"/>
      <c r="N664" s="75"/>
      <c r="Q664" s="76"/>
      <c r="S664" s="75"/>
      <c r="T664" s="1238"/>
      <c r="BC664" s="75"/>
      <c r="BH664" s="165"/>
      <c r="BO664" s="75"/>
      <c r="BP664" s="77"/>
      <c r="BQ664" s="78"/>
      <c r="BR664" s="77"/>
      <c r="BW664" s="78"/>
      <c r="BX664" s="78"/>
    </row>
    <row r="665" customHeight="1" spans="1:76">
      <c r="A665" s="286"/>
      <c r="B665" s="74"/>
      <c r="D665" s="75"/>
      <c r="F665" s="165"/>
      <c r="N665" s="75"/>
      <c r="Q665" s="76"/>
      <c r="S665" s="75"/>
      <c r="T665" s="1238"/>
      <c r="BC665" s="75"/>
      <c r="BH665" s="165"/>
      <c r="BO665" s="75"/>
      <c r="BP665" s="77"/>
      <c r="BQ665" s="78"/>
      <c r="BR665" s="77"/>
      <c r="BW665" s="78"/>
      <c r="BX665" s="78"/>
    </row>
    <row r="666" customHeight="1" spans="1:76">
      <c r="A666" s="286"/>
      <c r="B666" s="74"/>
      <c r="D666" s="75"/>
      <c r="F666" s="165"/>
      <c r="N666" s="75"/>
      <c r="Q666" s="76"/>
      <c r="S666" s="75"/>
      <c r="T666" s="1238"/>
      <c r="BC666" s="75"/>
      <c r="BH666" s="165"/>
      <c r="BO666" s="75"/>
      <c r="BP666" s="77"/>
      <c r="BQ666" s="78"/>
      <c r="BR666" s="77"/>
      <c r="BW666" s="78"/>
      <c r="BX666" s="78"/>
    </row>
    <row r="667" customHeight="1" spans="1:76">
      <c r="A667" s="286"/>
      <c r="B667" s="74"/>
      <c r="D667" s="75"/>
      <c r="F667" s="165"/>
      <c r="N667" s="75"/>
      <c r="Q667" s="76"/>
      <c r="S667" s="75"/>
      <c r="T667" s="1238"/>
      <c r="BC667" s="75"/>
      <c r="BH667" s="165"/>
      <c r="BO667" s="75"/>
      <c r="BP667" s="77"/>
      <c r="BQ667" s="78"/>
      <c r="BR667" s="77"/>
      <c r="BW667" s="78"/>
      <c r="BX667" s="78"/>
    </row>
    <row r="668" customHeight="1" spans="1:76">
      <c r="A668" s="286"/>
      <c r="B668" s="74"/>
      <c r="D668" s="75"/>
      <c r="F668" s="165"/>
      <c r="N668" s="75"/>
      <c r="Q668" s="76"/>
      <c r="S668" s="75"/>
      <c r="T668" s="1238"/>
      <c r="BC668" s="75"/>
      <c r="BH668" s="165"/>
      <c r="BO668" s="75"/>
      <c r="BP668" s="77"/>
      <c r="BQ668" s="78"/>
      <c r="BR668" s="77"/>
      <c r="BW668" s="78"/>
      <c r="BX668" s="78"/>
    </row>
    <row r="669" customHeight="1" spans="1:76">
      <c r="A669" s="286"/>
      <c r="B669" s="74"/>
      <c r="D669" s="75"/>
      <c r="F669" s="165"/>
      <c r="N669" s="75"/>
      <c r="Q669" s="76"/>
      <c r="S669" s="75"/>
      <c r="T669" s="1238"/>
      <c r="BC669" s="75"/>
      <c r="BH669" s="165"/>
      <c r="BO669" s="75"/>
      <c r="BP669" s="77"/>
      <c r="BQ669" s="78"/>
      <c r="BR669" s="77"/>
      <c r="BW669" s="78"/>
      <c r="BX669" s="78"/>
    </row>
    <row r="670" customHeight="1" spans="1:76">
      <c r="A670" s="286"/>
      <c r="B670" s="74"/>
      <c r="D670" s="75"/>
      <c r="F670" s="165"/>
      <c r="N670" s="75"/>
      <c r="Q670" s="76"/>
      <c r="S670" s="75"/>
      <c r="T670" s="1238"/>
      <c r="BC670" s="75"/>
      <c r="BH670" s="165"/>
      <c r="BO670" s="75"/>
      <c r="BP670" s="77"/>
      <c r="BQ670" s="78"/>
      <c r="BR670" s="77"/>
      <c r="BW670" s="78"/>
      <c r="BX670" s="78"/>
    </row>
    <row r="671" customHeight="1" spans="1:76">
      <c r="A671" s="286"/>
      <c r="B671" s="74"/>
      <c r="D671" s="75"/>
      <c r="F671" s="165"/>
      <c r="N671" s="75"/>
      <c r="Q671" s="76"/>
      <c r="S671" s="75"/>
      <c r="T671" s="1238"/>
      <c r="BC671" s="75"/>
      <c r="BH671" s="165"/>
      <c r="BO671" s="75"/>
      <c r="BP671" s="77"/>
      <c r="BQ671" s="78"/>
      <c r="BR671" s="77"/>
      <c r="BW671" s="78"/>
      <c r="BX671" s="78"/>
    </row>
    <row r="672" customHeight="1" spans="1:76">
      <c r="A672" s="286"/>
      <c r="B672" s="74"/>
      <c r="D672" s="75"/>
      <c r="F672" s="165"/>
      <c r="N672" s="75"/>
      <c r="Q672" s="76"/>
      <c r="S672" s="75"/>
      <c r="T672" s="1238"/>
      <c r="BC672" s="75"/>
      <c r="BH672" s="165"/>
      <c r="BO672" s="75"/>
      <c r="BP672" s="77"/>
      <c r="BQ672" s="78"/>
      <c r="BR672" s="77"/>
      <c r="BW672" s="78"/>
      <c r="BX672" s="78"/>
    </row>
    <row r="673" customHeight="1" spans="1:76">
      <c r="A673" s="286"/>
      <c r="B673" s="74"/>
      <c r="D673" s="75"/>
      <c r="F673" s="165"/>
      <c r="N673" s="75"/>
      <c r="Q673" s="76"/>
      <c r="S673" s="75"/>
      <c r="T673" s="1238"/>
      <c r="BC673" s="75"/>
      <c r="BH673" s="165"/>
      <c r="BO673" s="75"/>
      <c r="BP673" s="77"/>
      <c r="BQ673" s="78"/>
      <c r="BR673" s="77"/>
      <c r="BW673" s="78"/>
      <c r="BX673" s="78"/>
    </row>
    <row r="674" customHeight="1" spans="1:76">
      <c r="A674" s="286"/>
      <c r="B674" s="74"/>
      <c r="D674" s="75"/>
      <c r="F674" s="165"/>
      <c r="N674" s="75"/>
      <c r="Q674" s="76"/>
      <c r="S674" s="75"/>
      <c r="T674" s="1238"/>
      <c r="BC674" s="75"/>
      <c r="BH674" s="165"/>
      <c r="BO674" s="75"/>
      <c r="BP674" s="77"/>
      <c r="BQ674" s="78"/>
      <c r="BR674" s="77"/>
      <c r="BW674" s="78"/>
      <c r="BX674" s="78"/>
    </row>
    <row r="675" customHeight="1" spans="1:76">
      <c r="A675" s="286"/>
      <c r="B675" s="74"/>
      <c r="D675" s="75"/>
      <c r="F675" s="165"/>
      <c r="N675" s="75"/>
      <c r="Q675" s="76"/>
      <c r="S675" s="75"/>
      <c r="T675" s="1238"/>
      <c r="BC675" s="75"/>
      <c r="BH675" s="165"/>
      <c r="BO675" s="75"/>
      <c r="BP675" s="77"/>
      <c r="BQ675" s="78"/>
      <c r="BR675" s="77"/>
      <c r="BW675" s="78"/>
      <c r="BX675" s="78"/>
    </row>
    <row r="676" customHeight="1" spans="1:76">
      <c r="A676" s="286"/>
      <c r="B676" s="74"/>
      <c r="D676" s="75"/>
      <c r="F676" s="165"/>
      <c r="N676" s="75"/>
      <c r="Q676" s="76"/>
      <c r="S676" s="75"/>
      <c r="T676" s="1238"/>
      <c r="BC676" s="75"/>
      <c r="BH676" s="165"/>
      <c r="BO676" s="75"/>
      <c r="BP676" s="77"/>
      <c r="BQ676" s="78"/>
      <c r="BR676" s="77"/>
      <c r="BW676" s="78"/>
      <c r="BX676" s="78"/>
    </row>
    <row r="677" customHeight="1" spans="1:76">
      <c r="A677" s="286"/>
      <c r="B677" s="74"/>
      <c r="D677" s="75"/>
      <c r="F677" s="165"/>
      <c r="N677" s="75"/>
      <c r="Q677" s="76"/>
      <c r="S677" s="75"/>
      <c r="T677" s="1238"/>
      <c r="BC677" s="75"/>
      <c r="BH677" s="165"/>
      <c r="BO677" s="75"/>
      <c r="BP677" s="77"/>
      <c r="BQ677" s="78"/>
      <c r="BR677" s="77"/>
      <c r="BW677" s="78"/>
      <c r="BX677" s="78"/>
    </row>
    <row r="678" customHeight="1" spans="1:76">
      <c r="A678" s="286"/>
      <c r="B678" s="74"/>
      <c r="D678" s="75"/>
      <c r="F678" s="165"/>
      <c r="N678" s="75"/>
      <c r="Q678" s="76"/>
      <c r="S678" s="75"/>
      <c r="T678" s="1238"/>
      <c r="BC678" s="75"/>
      <c r="BH678" s="165"/>
      <c r="BO678" s="75"/>
      <c r="BP678" s="77"/>
      <c r="BQ678" s="78"/>
      <c r="BR678" s="77"/>
      <c r="BW678" s="78"/>
      <c r="BX678" s="78"/>
    </row>
    <row r="679" customHeight="1" spans="1:76">
      <c r="A679" s="286"/>
      <c r="B679" s="74"/>
      <c r="D679" s="75"/>
      <c r="F679" s="165"/>
      <c r="N679" s="75"/>
      <c r="Q679" s="76"/>
      <c r="S679" s="75"/>
      <c r="T679" s="1238"/>
      <c r="BC679" s="75"/>
      <c r="BH679" s="165"/>
      <c r="BO679" s="75"/>
      <c r="BP679" s="77"/>
      <c r="BQ679" s="78"/>
      <c r="BR679" s="77"/>
      <c r="BW679" s="78"/>
      <c r="BX679" s="78"/>
    </row>
    <row r="680" customHeight="1" spans="1:76">
      <c r="A680" s="286"/>
      <c r="B680" s="74"/>
      <c r="D680" s="75"/>
      <c r="F680" s="165"/>
      <c r="N680" s="75"/>
      <c r="Q680" s="76"/>
      <c r="S680" s="75"/>
      <c r="T680" s="1238"/>
      <c r="BC680" s="75"/>
      <c r="BH680" s="165"/>
      <c r="BO680" s="75"/>
      <c r="BP680" s="77"/>
      <c r="BQ680" s="78"/>
      <c r="BR680" s="77"/>
      <c r="BW680" s="78"/>
      <c r="BX680" s="78"/>
    </row>
    <row r="681" customHeight="1" spans="1:76">
      <c r="A681" s="286"/>
      <c r="B681" s="74"/>
      <c r="D681" s="75"/>
      <c r="F681" s="165"/>
      <c r="N681" s="75"/>
      <c r="Q681" s="76"/>
      <c r="S681" s="75"/>
      <c r="T681" s="1238"/>
      <c r="BC681" s="75"/>
      <c r="BH681" s="165"/>
      <c r="BO681" s="75"/>
      <c r="BP681" s="77"/>
      <c r="BQ681" s="78"/>
      <c r="BR681" s="77"/>
      <c r="BW681" s="78"/>
      <c r="BX681" s="78"/>
    </row>
    <row r="682" customHeight="1" spans="1:76">
      <c r="A682" s="286"/>
      <c r="B682" s="74"/>
      <c r="D682" s="75"/>
      <c r="F682" s="165"/>
      <c r="N682" s="75"/>
      <c r="Q682" s="76"/>
      <c r="S682" s="75"/>
      <c r="T682" s="1238"/>
      <c r="BC682" s="75"/>
      <c r="BH682" s="165"/>
      <c r="BO682" s="75"/>
      <c r="BP682" s="77"/>
      <c r="BQ682" s="78"/>
      <c r="BR682" s="77"/>
      <c r="BW682" s="78"/>
      <c r="BX682" s="78"/>
    </row>
    <row r="683" customHeight="1" spans="1:76">
      <c r="A683" s="286"/>
      <c r="B683" s="74"/>
      <c r="D683" s="75"/>
      <c r="F683" s="165"/>
      <c r="N683" s="75"/>
      <c r="Q683" s="76"/>
      <c r="S683" s="75"/>
      <c r="T683" s="1238"/>
      <c r="BC683" s="75"/>
      <c r="BH683" s="165"/>
      <c r="BO683" s="75"/>
      <c r="BP683" s="77"/>
      <c r="BQ683" s="78"/>
      <c r="BR683" s="77"/>
      <c r="BW683" s="78"/>
      <c r="BX683" s="78"/>
    </row>
    <row r="684" customHeight="1" spans="1:76">
      <c r="A684" s="286"/>
      <c r="B684" s="74"/>
      <c r="D684" s="75"/>
      <c r="F684" s="165"/>
      <c r="N684" s="75"/>
      <c r="Q684" s="76"/>
      <c r="S684" s="75"/>
      <c r="T684" s="1238"/>
      <c r="BC684" s="75"/>
      <c r="BH684" s="165"/>
      <c r="BO684" s="75"/>
      <c r="BP684" s="77"/>
      <c r="BQ684" s="78"/>
      <c r="BR684" s="77"/>
      <c r="BW684" s="78"/>
      <c r="BX684" s="78"/>
    </row>
    <row r="685" customHeight="1" spans="1:76">
      <c r="A685" s="286"/>
      <c r="B685" s="74"/>
      <c r="D685" s="75"/>
      <c r="F685" s="165"/>
      <c r="N685" s="75"/>
      <c r="Q685" s="76"/>
      <c r="S685" s="75"/>
      <c r="T685" s="1238"/>
      <c r="BC685" s="75"/>
      <c r="BH685" s="165"/>
      <c r="BO685" s="75"/>
      <c r="BP685" s="77"/>
      <c r="BQ685" s="78"/>
      <c r="BR685" s="77"/>
      <c r="BW685" s="78"/>
      <c r="BX685" s="78"/>
    </row>
    <row r="686" customHeight="1" spans="1:76">
      <c r="A686" s="286"/>
      <c r="B686" s="74"/>
      <c r="D686" s="75"/>
      <c r="F686" s="165"/>
      <c r="N686" s="75"/>
      <c r="Q686" s="76"/>
      <c r="S686" s="75"/>
      <c r="T686" s="1238"/>
      <c r="BC686" s="75"/>
      <c r="BH686" s="165"/>
      <c r="BO686" s="75"/>
      <c r="BP686" s="77"/>
      <c r="BQ686" s="78"/>
      <c r="BR686" s="77"/>
      <c r="BW686" s="78"/>
      <c r="BX686" s="78"/>
    </row>
    <row r="687" customHeight="1" spans="1:76">
      <c r="A687" s="286"/>
      <c r="B687" s="74"/>
      <c r="D687" s="75"/>
      <c r="F687" s="165"/>
      <c r="N687" s="75"/>
      <c r="Q687" s="76"/>
      <c r="S687" s="75"/>
      <c r="T687" s="1238"/>
      <c r="BC687" s="75"/>
      <c r="BH687" s="165"/>
      <c r="BO687" s="75"/>
      <c r="BP687" s="77"/>
      <c r="BQ687" s="78"/>
      <c r="BR687" s="77"/>
      <c r="BW687" s="78"/>
      <c r="BX687" s="78"/>
    </row>
    <row r="688" customHeight="1" spans="1:76">
      <c r="A688" s="286"/>
      <c r="B688" s="74"/>
      <c r="D688" s="75"/>
      <c r="F688" s="165"/>
      <c r="N688" s="75"/>
      <c r="Q688" s="76"/>
      <c r="S688" s="75"/>
      <c r="T688" s="1238"/>
      <c r="BC688" s="75"/>
      <c r="BH688" s="165"/>
      <c r="BO688" s="75"/>
      <c r="BP688" s="77"/>
      <c r="BQ688" s="78"/>
      <c r="BR688" s="77"/>
      <c r="BW688" s="78"/>
      <c r="BX688" s="78"/>
    </row>
    <row r="689" customHeight="1" spans="1:76">
      <c r="A689" s="286"/>
      <c r="B689" s="74"/>
      <c r="D689" s="75"/>
      <c r="F689" s="165"/>
      <c r="N689" s="75"/>
      <c r="Q689" s="76"/>
      <c r="S689" s="75"/>
      <c r="T689" s="1238"/>
      <c r="BC689" s="75"/>
      <c r="BH689" s="165"/>
      <c r="BO689" s="75"/>
      <c r="BP689" s="77"/>
      <c r="BQ689" s="78"/>
      <c r="BR689" s="77"/>
      <c r="BW689" s="78"/>
      <c r="BX689" s="78"/>
    </row>
    <row r="690" customHeight="1" spans="1:76">
      <c r="A690" s="286"/>
      <c r="B690" s="74"/>
      <c r="D690" s="75"/>
      <c r="F690" s="165"/>
      <c r="N690" s="75"/>
      <c r="Q690" s="76"/>
      <c r="S690" s="75"/>
      <c r="T690" s="1238"/>
      <c r="BC690" s="75"/>
      <c r="BH690" s="165"/>
      <c r="BO690" s="75"/>
      <c r="BP690" s="77"/>
      <c r="BQ690" s="78"/>
      <c r="BR690" s="77"/>
      <c r="BW690" s="78"/>
      <c r="BX690" s="78"/>
    </row>
    <row r="691" customHeight="1" spans="1:76">
      <c r="A691" s="286"/>
      <c r="B691" s="74"/>
      <c r="D691" s="75"/>
      <c r="F691" s="165"/>
      <c r="N691" s="75"/>
      <c r="Q691" s="76"/>
      <c r="S691" s="75"/>
      <c r="T691" s="1238"/>
      <c r="BC691" s="75"/>
      <c r="BH691" s="165"/>
      <c r="BO691" s="75"/>
      <c r="BP691" s="77"/>
      <c r="BQ691" s="78"/>
      <c r="BR691" s="77"/>
      <c r="BW691" s="78"/>
      <c r="BX691" s="78"/>
    </row>
    <row r="692" customHeight="1" spans="1:76">
      <c r="A692" s="286"/>
      <c r="B692" s="74"/>
      <c r="D692" s="75"/>
      <c r="F692" s="165"/>
      <c r="N692" s="75"/>
      <c r="Q692" s="76"/>
      <c r="S692" s="75"/>
      <c r="T692" s="1238"/>
      <c r="BC692" s="75"/>
      <c r="BH692" s="165"/>
      <c r="BO692" s="75"/>
      <c r="BP692" s="77"/>
      <c r="BQ692" s="78"/>
      <c r="BR692" s="77"/>
      <c r="BW692" s="78"/>
      <c r="BX692" s="78"/>
    </row>
    <row r="693" customHeight="1" spans="1:76">
      <c r="A693" s="286"/>
      <c r="B693" s="74"/>
      <c r="D693" s="75"/>
      <c r="F693" s="165"/>
      <c r="N693" s="75"/>
      <c r="Q693" s="76"/>
      <c r="S693" s="75"/>
      <c r="T693" s="1238"/>
      <c r="BC693" s="75"/>
      <c r="BH693" s="165"/>
      <c r="BO693" s="75"/>
      <c r="BP693" s="77"/>
      <c r="BQ693" s="78"/>
      <c r="BR693" s="77"/>
      <c r="BW693" s="78"/>
      <c r="BX693" s="78"/>
    </row>
    <row r="694" customHeight="1" spans="1:76">
      <c r="A694" s="286"/>
      <c r="B694" s="74"/>
      <c r="D694" s="75"/>
      <c r="F694" s="165"/>
      <c r="N694" s="75"/>
      <c r="Q694" s="76"/>
      <c r="S694" s="75"/>
      <c r="T694" s="1238"/>
      <c r="BC694" s="75"/>
      <c r="BH694" s="165"/>
      <c r="BO694" s="75"/>
      <c r="BP694" s="77"/>
      <c r="BQ694" s="78"/>
      <c r="BR694" s="77"/>
      <c r="BW694" s="78"/>
      <c r="BX694" s="78"/>
    </row>
    <row r="695" customHeight="1" spans="1:76">
      <c r="A695" s="286"/>
      <c r="B695" s="74"/>
      <c r="D695" s="75"/>
      <c r="F695" s="165"/>
      <c r="N695" s="75"/>
      <c r="Q695" s="76"/>
      <c r="S695" s="75"/>
      <c r="T695" s="1238"/>
      <c r="BC695" s="75"/>
      <c r="BH695" s="165"/>
      <c r="BO695" s="75"/>
      <c r="BP695" s="77"/>
      <c r="BQ695" s="78"/>
      <c r="BR695" s="77"/>
      <c r="BW695" s="78"/>
      <c r="BX695" s="78"/>
    </row>
    <row r="696" customHeight="1" spans="1:76">
      <c r="A696" s="286"/>
      <c r="B696" s="74"/>
      <c r="D696" s="75"/>
      <c r="F696" s="165"/>
      <c r="N696" s="75"/>
      <c r="Q696" s="76"/>
      <c r="S696" s="75"/>
      <c r="T696" s="1238"/>
      <c r="BC696" s="75"/>
      <c r="BH696" s="165"/>
      <c r="BO696" s="75"/>
      <c r="BP696" s="77"/>
      <c r="BQ696" s="78"/>
      <c r="BR696" s="77"/>
      <c r="BW696" s="78"/>
      <c r="BX696" s="78"/>
    </row>
    <row r="697" customHeight="1" spans="1:76">
      <c r="A697" s="286"/>
      <c r="B697" s="74"/>
      <c r="D697" s="75"/>
      <c r="F697" s="165"/>
      <c r="N697" s="75"/>
      <c r="Q697" s="76"/>
      <c r="S697" s="75"/>
      <c r="T697" s="1238"/>
      <c r="BC697" s="75"/>
      <c r="BH697" s="165"/>
      <c r="BO697" s="75"/>
      <c r="BP697" s="77"/>
      <c r="BQ697" s="78"/>
      <c r="BR697" s="77"/>
      <c r="BW697" s="78"/>
      <c r="BX697" s="78"/>
    </row>
    <row r="698" customHeight="1" spans="1:76">
      <c r="A698" s="286"/>
      <c r="B698" s="74"/>
      <c r="D698" s="75"/>
      <c r="F698" s="165"/>
      <c r="N698" s="75"/>
      <c r="Q698" s="76"/>
      <c r="S698" s="75"/>
      <c r="T698" s="1238"/>
      <c r="BC698" s="75"/>
      <c r="BH698" s="165"/>
      <c r="BO698" s="75"/>
      <c r="BP698" s="77"/>
      <c r="BQ698" s="78"/>
      <c r="BR698" s="77"/>
      <c r="BW698" s="78"/>
      <c r="BX698" s="78"/>
    </row>
    <row r="699" customHeight="1" spans="1:76">
      <c r="A699" s="286"/>
      <c r="B699" s="74"/>
      <c r="D699" s="75"/>
      <c r="F699" s="165"/>
      <c r="N699" s="75"/>
      <c r="Q699" s="76"/>
      <c r="S699" s="75"/>
      <c r="T699" s="1238"/>
      <c r="BC699" s="75"/>
      <c r="BH699" s="165"/>
      <c r="BO699" s="75"/>
      <c r="BP699" s="77"/>
      <c r="BQ699" s="78"/>
      <c r="BR699" s="77"/>
      <c r="BW699" s="78"/>
      <c r="BX699" s="78"/>
    </row>
    <row r="700" customHeight="1" spans="1:76">
      <c r="A700" s="286"/>
      <c r="B700" s="74"/>
      <c r="D700" s="75"/>
      <c r="F700" s="165"/>
      <c r="N700" s="75"/>
      <c r="Q700" s="76"/>
      <c r="S700" s="75"/>
      <c r="T700" s="1238"/>
      <c r="BC700" s="75"/>
      <c r="BH700" s="165"/>
      <c r="BO700" s="75"/>
      <c r="BP700" s="77"/>
      <c r="BQ700" s="78"/>
      <c r="BR700" s="77"/>
      <c r="BW700" s="78"/>
      <c r="BX700" s="78"/>
    </row>
    <row r="701" customHeight="1" spans="1:76">
      <c r="A701" s="286"/>
      <c r="B701" s="74"/>
      <c r="D701" s="75"/>
      <c r="F701" s="165"/>
      <c r="N701" s="75"/>
      <c r="Q701" s="76"/>
      <c r="S701" s="75"/>
      <c r="T701" s="1238"/>
      <c r="BC701" s="75"/>
      <c r="BH701" s="165"/>
      <c r="BO701" s="75"/>
      <c r="BP701" s="77"/>
      <c r="BQ701" s="78"/>
      <c r="BR701" s="77"/>
      <c r="BW701" s="78"/>
      <c r="BX701" s="78"/>
    </row>
    <row r="702" customHeight="1" spans="1:76">
      <c r="A702" s="286"/>
      <c r="B702" s="74"/>
      <c r="D702" s="75"/>
      <c r="F702" s="165"/>
      <c r="N702" s="75"/>
      <c r="Q702" s="76"/>
      <c r="S702" s="75"/>
      <c r="T702" s="1238"/>
      <c r="BC702" s="75"/>
      <c r="BH702" s="165"/>
      <c r="BO702" s="75"/>
      <c r="BP702" s="77"/>
      <c r="BQ702" s="78"/>
      <c r="BR702" s="77"/>
      <c r="BW702" s="78"/>
      <c r="BX702" s="78"/>
    </row>
    <row r="703" customHeight="1" spans="1:76">
      <c r="A703" s="286"/>
      <c r="B703" s="74"/>
      <c r="D703" s="75"/>
      <c r="F703" s="165"/>
      <c r="N703" s="75"/>
      <c r="Q703" s="76"/>
      <c r="S703" s="75"/>
      <c r="T703" s="1238"/>
      <c r="BC703" s="75"/>
      <c r="BH703" s="165"/>
      <c r="BO703" s="75"/>
      <c r="BP703" s="77"/>
      <c r="BQ703" s="78"/>
      <c r="BR703" s="77"/>
      <c r="BW703" s="78"/>
      <c r="BX703" s="78"/>
    </row>
    <row r="704" customHeight="1" spans="1:76">
      <c r="A704" s="286"/>
      <c r="B704" s="74"/>
      <c r="D704" s="75"/>
      <c r="F704" s="165"/>
      <c r="N704" s="75"/>
      <c r="Q704" s="76"/>
      <c r="S704" s="75"/>
      <c r="T704" s="1238"/>
      <c r="BC704" s="75"/>
      <c r="BH704" s="165"/>
      <c r="BO704" s="75"/>
      <c r="BP704" s="77"/>
      <c r="BQ704" s="78"/>
      <c r="BR704" s="77"/>
      <c r="BW704" s="78"/>
      <c r="BX704" s="78"/>
    </row>
    <row r="705" customHeight="1" spans="1:76">
      <c r="A705" s="286"/>
      <c r="B705" s="74"/>
      <c r="D705" s="75"/>
      <c r="F705" s="165"/>
      <c r="N705" s="75"/>
      <c r="Q705" s="76"/>
      <c r="S705" s="75"/>
      <c r="T705" s="1238"/>
      <c r="BC705" s="75"/>
      <c r="BH705" s="165"/>
      <c r="BO705" s="75"/>
      <c r="BP705" s="77"/>
      <c r="BQ705" s="78"/>
      <c r="BR705" s="77"/>
      <c r="BW705" s="78"/>
      <c r="BX705" s="78"/>
    </row>
    <row r="706" customHeight="1" spans="1:76">
      <c r="A706" s="286"/>
      <c r="B706" s="74"/>
      <c r="D706" s="75"/>
      <c r="F706" s="165"/>
      <c r="N706" s="75"/>
      <c r="Q706" s="76"/>
      <c r="S706" s="75"/>
      <c r="T706" s="1238"/>
      <c r="BC706" s="75"/>
      <c r="BH706" s="165"/>
      <c r="BO706" s="75"/>
      <c r="BP706" s="77"/>
      <c r="BQ706" s="78"/>
      <c r="BR706" s="77"/>
      <c r="BW706" s="78"/>
      <c r="BX706" s="78"/>
    </row>
    <row r="707" customHeight="1" spans="1:76">
      <c r="A707" s="286"/>
      <c r="B707" s="74"/>
      <c r="D707" s="75"/>
      <c r="F707" s="165"/>
      <c r="N707" s="75"/>
      <c r="Q707" s="76"/>
      <c r="S707" s="75"/>
      <c r="T707" s="1238"/>
      <c r="BC707" s="75"/>
      <c r="BH707" s="165"/>
      <c r="BO707" s="75"/>
      <c r="BP707" s="77"/>
      <c r="BQ707" s="78"/>
      <c r="BR707" s="77"/>
      <c r="BW707" s="78"/>
      <c r="BX707" s="78"/>
    </row>
    <row r="708" customHeight="1" spans="1:76">
      <c r="A708" s="286"/>
      <c r="B708" s="74"/>
      <c r="D708" s="75"/>
      <c r="F708" s="165"/>
      <c r="N708" s="75"/>
      <c r="Q708" s="76"/>
      <c r="S708" s="75"/>
      <c r="T708" s="1238"/>
      <c r="BC708" s="75"/>
      <c r="BH708" s="165"/>
      <c r="BO708" s="75"/>
      <c r="BP708" s="77"/>
      <c r="BQ708" s="78"/>
      <c r="BR708" s="77"/>
      <c r="BW708" s="78"/>
      <c r="BX708" s="78"/>
    </row>
    <row r="709" customHeight="1" spans="1:76">
      <c r="A709" s="286"/>
      <c r="B709" s="74"/>
      <c r="D709" s="75"/>
      <c r="F709" s="165"/>
      <c r="N709" s="75"/>
      <c r="Q709" s="76"/>
      <c r="S709" s="75"/>
      <c r="T709" s="1238"/>
      <c r="BC709" s="75"/>
      <c r="BH709" s="165"/>
      <c r="BO709" s="75"/>
      <c r="BP709" s="77"/>
      <c r="BQ709" s="78"/>
      <c r="BR709" s="77"/>
      <c r="BW709" s="78"/>
      <c r="BX709" s="78"/>
    </row>
    <row r="710" customHeight="1" spans="1:76">
      <c r="A710" s="286"/>
      <c r="B710" s="74"/>
      <c r="D710" s="75"/>
      <c r="F710" s="165"/>
      <c r="N710" s="75"/>
      <c r="Q710" s="76"/>
      <c r="S710" s="75"/>
      <c r="T710" s="1238"/>
      <c r="BC710" s="75"/>
      <c r="BH710" s="165"/>
      <c r="BO710" s="75"/>
      <c r="BP710" s="77"/>
      <c r="BQ710" s="78"/>
      <c r="BR710" s="77"/>
      <c r="BW710" s="78"/>
      <c r="BX710" s="78"/>
    </row>
    <row r="711" customHeight="1" spans="1:76">
      <c r="A711" s="286"/>
      <c r="B711" s="74"/>
      <c r="D711" s="75"/>
      <c r="F711" s="165"/>
      <c r="N711" s="75"/>
      <c r="Q711" s="76"/>
      <c r="S711" s="75"/>
      <c r="T711" s="1238"/>
      <c r="BC711" s="75"/>
      <c r="BH711" s="165"/>
      <c r="BO711" s="75"/>
      <c r="BP711" s="77"/>
      <c r="BQ711" s="78"/>
      <c r="BR711" s="77"/>
      <c r="BW711" s="78"/>
      <c r="BX711" s="78"/>
    </row>
    <row r="712" customHeight="1" spans="1:76">
      <c r="A712" s="286"/>
      <c r="B712" s="74"/>
      <c r="D712" s="75"/>
      <c r="F712" s="165"/>
      <c r="N712" s="75"/>
      <c r="Q712" s="76"/>
      <c r="S712" s="75"/>
      <c r="T712" s="1238"/>
      <c r="BC712" s="75"/>
      <c r="BH712" s="165"/>
      <c r="BO712" s="75"/>
      <c r="BP712" s="77"/>
      <c r="BQ712" s="78"/>
      <c r="BR712" s="77"/>
      <c r="BW712" s="78"/>
      <c r="BX712" s="78"/>
    </row>
    <row r="713" customHeight="1" spans="1:76">
      <c r="A713" s="286"/>
      <c r="B713" s="74"/>
      <c r="D713" s="75"/>
      <c r="F713" s="165"/>
      <c r="N713" s="75"/>
      <c r="Q713" s="76"/>
      <c r="S713" s="75"/>
      <c r="T713" s="1238"/>
      <c r="BC713" s="75"/>
      <c r="BH713" s="165"/>
      <c r="BO713" s="75"/>
      <c r="BP713" s="77"/>
      <c r="BQ713" s="78"/>
      <c r="BR713" s="77"/>
      <c r="BW713" s="78"/>
      <c r="BX713" s="78"/>
    </row>
    <row r="714" customHeight="1" spans="1:76">
      <c r="A714" s="286"/>
      <c r="B714" s="74"/>
      <c r="D714" s="75"/>
      <c r="F714" s="165"/>
      <c r="N714" s="75"/>
      <c r="Q714" s="76"/>
      <c r="S714" s="75"/>
      <c r="T714" s="1238"/>
      <c r="BC714" s="75"/>
      <c r="BH714" s="165"/>
      <c r="BO714" s="75"/>
      <c r="BP714" s="77"/>
      <c r="BQ714" s="78"/>
      <c r="BR714" s="77"/>
      <c r="BW714" s="78"/>
      <c r="BX714" s="78"/>
    </row>
    <row r="715" customHeight="1" spans="1:76">
      <c r="A715" s="286"/>
      <c r="B715" s="74"/>
      <c r="D715" s="75"/>
      <c r="F715" s="165"/>
      <c r="N715" s="75"/>
      <c r="Q715" s="76"/>
      <c r="S715" s="75"/>
      <c r="T715" s="1238"/>
      <c r="BC715" s="75"/>
      <c r="BH715" s="165"/>
      <c r="BO715" s="75"/>
      <c r="BP715" s="77"/>
      <c r="BQ715" s="78"/>
      <c r="BR715" s="77"/>
      <c r="BW715" s="78"/>
      <c r="BX715" s="78"/>
    </row>
    <row r="716" customHeight="1" spans="1:76">
      <c r="A716" s="286"/>
      <c r="B716" s="74"/>
      <c r="D716" s="75"/>
      <c r="F716" s="165"/>
      <c r="N716" s="75"/>
      <c r="Q716" s="76"/>
      <c r="S716" s="75"/>
      <c r="T716" s="1238"/>
      <c r="BC716" s="75"/>
      <c r="BH716" s="165"/>
      <c r="BO716" s="75"/>
      <c r="BP716" s="77"/>
      <c r="BQ716" s="78"/>
      <c r="BR716" s="77"/>
      <c r="BW716" s="78"/>
      <c r="BX716" s="78"/>
    </row>
    <row r="717" customHeight="1" spans="1:76">
      <c r="A717" s="286"/>
      <c r="B717" s="74"/>
      <c r="D717" s="75"/>
      <c r="F717" s="165"/>
      <c r="N717" s="75"/>
      <c r="Q717" s="76"/>
      <c r="S717" s="75"/>
      <c r="T717" s="1238"/>
      <c r="BC717" s="75"/>
      <c r="BH717" s="165"/>
      <c r="BO717" s="75"/>
      <c r="BP717" s="77"/>
      <c r="BQ717" s="78"/>
      <c r="BR717" s="77"/>
      <c r="BW717" s="78"/>
      <c r="BX717" s="78"/>
    </row>
    <row r="718" customHeight="1" spans="1:76">
      <c r="A718" s="286"/>
      <c r="B718" s="74"/>
      <c r="D718" s="75"/>
      <c r="F718" s="165"/>
      <c r="N718" s="75"/>
      <c r="Q718" s="76"/>
      <c r="S718" s="75"/>
      <c r="T718" s="1238"/>
      <c r="BC718" s="75"/>
      <c r="BH718" s="165"/>
      <c r="BO718" s="75"/>
      <c r="BP718" s="77"/>
      <c r="BQ718" s="78"/>
      <c r="BR718" s="77"/>
      <c r="BW718" s="78"/>
      <c r="BX718" s="78"/>
    </row>
    <row r="719" customHeight="1" spans="1:76">
      <c r="A719" s="286"/>
      <c r="B719" s="74"/>
      <c r="D719" s="75"/>
      <c r="F719" s="165"/>
      <c r="N719" s="75"/>
      <c r="Q719" s="76"/>
      <c r="S719" s="75"/>
      <c r="T719" s="1238"/>
      <c r="BC719" s="75"/>
      <c r="BH719" s="165"/>
      <c r="BO719" s="75"/>
      <c r="BP719" s="77"/>
      <c r="BQ719" s="78"/>
      <c r="BR719" s="77"/>
      <c r="BW719" s="78"/>
      <c r="BX719" s="78"/>
    </row>
    <row r="720" customHeight="1" spans="1:76">
      <c r="A720" s="286"/>
      <c r="B720" s="74"/>
      <c r="D720" s="75"/>
      <c r="F720" s="165"/>
      <c r="N720" s="75"/>
      <c r="Q720" s="76"/>
      <c r="S720" s="75"/>
      <c r="T720" s="1238"/>
      <c r="BC720" s="75"/>
      <c r="BH720" s="165"/>
      <c r="BO720" s="75"/>
      <c r="BP720" s="77"/>
      <c r="BQ720" s="78"/>
      <c r="BR720" s="77"/>
      <c r="BW720" s="78"/>
      <c r="BX720" s="78"/>
    </row>
    <row r="721" customHeight="1" spans="1:76">
      <c r="A721" s="286"/>
      <c r="B721" s="74"/>
      <c r="D721" s="75"/>
      <c r="F721" s="165"/>
      <c r="N721" s="75"/>
      <c r="Q721" s="76"/>
      <c r="S721" s="75"/>
      <c r="T721" s="1238"/>
      <c r="BC721" s="75"/>
      <c r="BH721" s="165"/>
      <c r="BO721" s="75"/>
      <c r="BP721" s="77"/>
      <c r="BQ721" s="78"/>
      <c r="BR721" s="77"/>
      <c r="BW721" s="78"/>
      <c r="BX721" s="78"/>
    </row>
    <row r="722" customHeight="1" spans="1:76">
      <c r="A722" s="286"/>
      <c r="B722" s="74"/>
      <c r="D722" s="75"/>
      <c r="F722" s="165"/>
      <c r="N722" s="75"/>
      <c r="Q722" s="76"/>
      <c r="S722" s="75"/>
      <c r="T722" s="1238"/>
      <c r="BC722" s="75"/>
      <c r="BH722" s="165"/>
      <c r="BO722" s="75"/>
      <c r="BP722" s="77"/>
      <c r="BQ722" s="78"/>
      <c r="BR722" s="77"/>
      <c r="BW722" s="78"/>
      <c r="BX722" s="78"/>
    </row>
    <row r="723" customHeight="1" spans="1:76">
      <c r="A723" s="286"/>
      <c r="B723" s="74"/>
      <c r="D723" s="75"/>
      <c r="F723" s="165"/>
      <c r="N723" s="75"/>
      <c r="Q723" s="76"/>
      <c r="S723" s="75"/>
      <c r="T723" s="1238"/>
      <c r="BC723" s="75"/>
      <c r="BH723" s="165"/>
      <c r="BO723" s="75"/>
      <c r="BP723" s="77"/>
      <c r="BQ723" s="78"/>
      <c r="BR723" s="77"/>
      <c r="BW723" s="78"/>
      <c r="BX723" s="78"/>
    </row>
    <row r="724" customHeight="1" spans="1:76">
      <c r="A724" s="286"/>
      <c r="B724" s="74"/>
      <c r="D724" s="75"/>
      <c r="F724" s="165"/>
      <c r="N724" s="75"/>
      <c r="Q724" s="76"/>
      <c r="S724" s="75"/>
      <c r="T724" s="1238"/>
      <c r="BC724" s="75"/>
      <c r="BH724" s="165"/>
      <c r="BO724" s="75"/>
      <c r="BP724" s="77"/>
      <c r="BQ724" s="78"/>
      <c r="BR724" s="77"/>
      <c r="BW724" s="78"/>
      <c r="BX724" s="78"/>
    </row>
    <row r="725" customHeight="1" spans="1:76">
      <c r="A725" s="286"/>
      <c r="B725" s="74"/>
      <c r="D725" s="75"/>
      <c r="F725" s="165"/>
      <c r="N725" s="75"/>
      <c r="Q725" s="76"/>
      <c r="S725" s="75"/>
      <c r="T725" s="1238"/>
      <c r="BC725" s="75"/>
      <c r="BH725" s="165"/>
      <c r="BO725" s="75"/>
      <c r="BP725" s="77"/>
      <c r="BQ725" s="78"/>
      <c r="BR725" s="77"/>
      <c r="BW725" s="78"/>
      <c r="BX725" s="78"/>
    </row>
    <row r="726" customHeight="1" spans="1:76">
      <c r="A726" s="286"/>
      <c r="B726" s="74"/>
      <c r="D726" s="75"/>
      <c r="F726" s="165"/>
      <c r="N726" s="75"/>
      <c r="Q726" s="76"/>
      <c r="S726" s="75"/>
      <c r="T726" s="1238"/>
      <c r="BC726" s="75"/>
      <c r="BH726" s="165"/>
      <c r="BO726" s="75"/>
      <c r="BP726" s="77"/>
      <c r="BQ726" s="78"/>
      <c r="BR726" s="77"/>
      <c r="BW726" s="78"/>
      <c r="BX726" s="78"/>
    </row>
    <row r="727" customHeight="1" spans="1:76">
      <c r="A727" s="286"/>
      <c r="B727" s="74"/>
      <c r="D727" s="75"/>
      <c r="F727" s="165"/>
      <c r="N727" s="75"/>
      <c r="Q727" s="76"/>
      <c r="S727" s="75"/>
      <c r="T727" s="1238"/>
      <c r="BC727" s="75"/>
      <c r="BH727" s="165"/>
      <c r="BO727" s="75"/>
      <c r="BP727" s="77"/>
      <c r="BQ727" s="78"/>
      <c r="BR727" s="77"/>
      <c r="BW727" s="78"/>
      <c r="BX727" s="78"/>
    </row>
    <row r="728" customHeight="1" spans="1:76">
      <c r="A728" s="286"/>
      <c r="B728" s="74"/>
      <c r="D728" s="75"/>
      <c r="F728" s="165"/>
      <c r="N728" s="75"/>
      <c r="Q728" s="76"/>
      <c r="S728" s="75"/>
      <c r="T728" s="1238"/>
      <c r="BC728" s="75"/>
      <c r="BH728" s="165"/>
      <c r="BO728" s="75"/>
      <c r="BP728" s="77"/>
      <c r="BQ728" s="78"/>
      <c r="BR728" s="77"/>
      <c r="BW728" s="78"/>
      <c r="BX728" s="78"/>
    </row>
    <row r="729" customHeight="1" spans="1:76">
      <c r="A729" s="286"/>
      <c r="B729" s="74"/>
      <c r="D729" s="75"/>
      <c r="F729" s="165"/>
      <c r="N729" s="75"/>
      <c r="Q729" s="76"/>
      <c r="S729" s="75"/>
      <c r="T729" s="1238"/>
      <c r="BC729" s="75"/>
      <c r="BH729" s="165"/>
      <c r="BO729" s="75"/>
      <c r="BP729" s="77"/>
      <c r="BQ729" s="78"/>
      <c r="BR729" s="77"/>
      <c r="BW729" s="78"/>
      <c r="BX729" s="78"/>
    </row>
    <row r="730" customHeight="1" spans="1:76">
      <c r="A730" s="286"/>
      <c r="B730" s="74"/>
      <c r="D730" s="75"/>
      <c r="F730" s="165"/>
      <c r="N730" s="75"/>
      <c r="Q730" s="76"/>
      <c r="S730" s="75"/>
      <c r="T730" s="1238"/>
      <c r="BC730" s="75"/>
      <c r="BH730" s="165"/>
      <c r="BO730" s="75"/>
      <c r="BP730" s="77"/>
      <c r="BQ730" s="78"/>
      <c r="BR730" s="77"/>
      <c r="BW730" s="78"/>
      <c r="BX730" s="78"/>
    </row>
    <row r="731" customHeight="1" spans="1:76">
      <c r="A731" s="286"/>
      <c r="B731" s="74"/>
      <c r="D731" s="75"/>
      <c r="F731" s="165"/>
      <c r="N731" s="75"/>
      <c r="Q731" s="76"/>
      <c r="S731" s="75"/>
      <c r="T731" s="1238"/>
      <c r="BC731" s="75"/>
      <c r="BH731" s="165"/>
      <c r="BO731" s="75"/>
      <c r="BP731" s="77"/>
      <c r="BQ731" s="78"/>
      <c r="BR731" s="77"/>
      <c r="BW731" s="78"/>
      <c r="BX731" s="78"/>
    </row>
    <row r="732" customHeight="1" spans="1:76">
      <c r="A732" s="286"/>
      <c r="B732" s="74"/>
      <c r="D732" s="75"/>
      <c r="F732" s="165"/>
      <c r="N732" s="75"/>
      <c r="Q732" s="76"/>
      <c r="S732" s="75"/>
      <c r="T732" s="1238"/>
      <c r="BC732" s="75"/>
      <c r="BH732" s="165"/>
      <c r="BO732" s="75"/>
      <c r="BP732" s="77"/>
      <c r="BQ732" s="78"/>
      <c r="BR732" s="77"/>
      <c r="BW732" s="78"/>
      <c r="BX732" s="78"/>
    </row>
    <row r="733" customHeight="1" spans="1:76">
      <c r="A733" s="286"/>
      <c r="B733" s="74"/>
      <c r="D733" s="75"/>
      <c r="F733" s="165"/>
      <c r="N733" s="75"/>
      <c r="Q733" s="76"/>
      <c r="S733" s="75"/>
      <c r="T733" s="1238"/>
      <c r="BC733" s="75"/>
      <c r="BH733" s="165"/>
      <c r="BO733" s="75"/>
      <c r="BP733" s="77"/>
      <c r="BQ733" s="78"/>
      <c r="BR733" s="77"/>
      <c r="BW733" s="78"/>
      <c r="BX733" s="78"/>
    </row>
    <row r="734" customHeight="1" spans="1:76">
      <c r="A734" s="286"/>
      <c r="B734" s="74"/>
      <c r="D734" s="75"/>
      <c r="F734" s="165"/>
      <c r="N734" s="75"/>
      <c r="Q734" s="76"/>
      <c r="S734" s="75"/>
      <c r="T734" s="1238"/>
      <c r="BC734" s="75"/>
      <c r="BH734" s="165"/>
      <c r="BO734" s="75"/>
      <c r="BP734" s="77"/>
      <c r="BQ734" s="78"/>
      <c r="BR734" s="77"/>
      <c r="BW734" s="78"/>
      <c r="BX734" s="78"/>
    </row>
    <row r="735" customHeight="1" spans="1:76">
      <c r="A735" s="286"/>
      <c r="B735" s="74"/>
      <c r="D735" s="75"/>
      <c r="F735" s="165"/>
      <c r="N735" s="75"/>
      <c r="Q735" s="76"/>
      <c r="S735" s="75"/>
      <c r="T735" s="1238"/>
      <c r="BC735" s="75"/>
      <c r="BH735" s="165"/>
      <c r="BO735" s="75"/>
      <c r="BP735" s="77"/>
      <c r="BQ735" s="78"/>
      <c r="BR735" s="77"/>
      <c r="BW735" s="78"/>
      <c r="BX735" s="78"/>
    </row>
  </sheetData>
  <sheetProtection autoFilter="0"/>
  <autoFilter xmlns:etc="http://www.wps.cn/officeDocument/2017/etCustomData" ref="A7:CP540" etc:filterBottomFollowUsedRange="0">
    <extLst/>
  </autoFilter>
  <mergeCells count="30">
    <mergeCell ref="A2:AA2"/>
    <mergeCell ref="A3:AA3"/>
    <mergeCell ref="F6:I6"/>
    <mergeCell ref="J6:M6"/>
    <mergeCell ref="N6:P6"/>
    <mergeCell ref="R6:U6"/>
    <mergeCell ref="V6:X6"/>
    <mergeCell ref="BU8:BW8"/>
    <mergeCell ref="B398:C398"/>
    <mergeCell ref="B399:C399"/>
    <mergeCell ref="B400:C400"/>
    <mergeCell ref="A6:A7"/>
    <mergeCell ref="B6:B7"/>
    <mergeCell ref="C6:C7"/>
    <mergeCell ref="D6:D7"/>
    <mergeCell ref="Q6:Q7"/>
    <mergeCell ref="Y6:Y7"/>
    <mergeCell ref="Z6:Z7"/>
    <mergeCell ref="AA6:AA7"/>
    <mergeCell ref="AB6:AB7"/>
    <mergeCell ref="BF6:BF7"/>
    <mergeCell ref="BG6:BG7"/>
    <mergeCell ref="BH6:BH7"/>
    <mergeCell ref="BI6:BI7"/>
    <mergeCell ref="BJ6:BJ7"/>
    <mergeCell ref="BK6:BK7"/>
    <mergeCell ref="BL6:BL7"/>
    <mergeCell ref="BM6:BM7"/>
    <mergeCell ref="BN6:BN7"/>
    <mergeCell ref="BO6:BO7"/>
  </mergeCells>
  <conditionalFormatting sqref="BI397:BL397">
    <cfRule type="expression" dxfId="5" priority="65569" stopIfTrue="1">
      <formula>AND($C397&lt;&gt;"",BI397="")</formula>
    </cfRule>
  </conditionalFormatting>
  <conditionalFormatting sqref="BF8:BG396 BG397:BH397">
    <cfRule type="containsText" dxfId="6" priority="1" stopIfTrue="1" operator="between" text="出错">
      <formula>NOT(ISERROR(SEARCH("出错",BF8)))</formula>
    </cfRule>
  </conditionalFormatting>
  <conditionalFormatting sqref="BH8:BK396">
    <cfRule type="expression" dxfId="5" priority="5" stopIfTrue="1">
      <formula>AND($B8&lt;&gt;"",BH8="")</formula>
    </cfRule>
  </conditionalFormatting>
  <conditionalFormatting sqref="BL8:BL396 BM397">
    <cfRule type="expression" dxfId="5" priority="4" stopIfTrue="1">
      <formula>AND(BK8="无",BL8="")</formula>
    </cfRule>
  </conditionalFormatting>
  <dataValidations count="5">
    <dataValidation type="list" allowBlank="1" showInputMessage="1" showErrorMessage="1" sqref="G397 F8:F396">
      <formula1>OFFSET(参数表!$H$2:$H$50,,,COUNTA(参数表!$H$2:$H$50))</formula1>
    </dataValidation>
    <dataValidation type="list" allowBlank="1" showInputMessage="1" showErrorMessage="1" sqref="BB397 BA8:BA396 BB403:BB404">
      <formula1>"是,否"</formula1>
    </dataValidation>
    <dataValidation type="list" allowBlank="1" showInputMessage="1" showErrorMessage="1" sqref="BD397 BC8:BC396">
      <formula1>"  ,√"</formula1>
    </dataValidation>
    <dataValidation type="list" allowBlank="1" showInputMessage="1" showErrorMessage="1" sqref="BI397:BL397">
      <formula1>BI$403:BI$404</formula1>
    </dataValidation>
    <dataValidation type="list" allowBlank="1" showInputMessage="1" showErrorMessage="1" sqref="BH8:BK396">
      <formula1>BI$403:BI$404</formula1>
    </dataValidation>
  </dataValidations>
  <hyperlinks>
    <hyperlink ref="A1" location="索引目录!E20" display="返回索引页"/>
    <hyperlink ref="B1" location="存货汇总!B15" display="返回"/>
    <hyperlink ref="CG300" r:id="rId3" display="https://cn.trustexporter.com/cp-daijie911/o13806252.htm"/>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BW39"/>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4" width="9.3" style="75" customWidth="1"/>
    <col min="5" max="5" width="4.6" style="165" customWidth="1"/>
    <col min="6" max="7" width="4.6" style="75" customWidth="1" outlineLevel="1"/>
    <col min="8" max="9" width="6.1" style="75" customWidth="1" outlineLevel="1"/>
    <col min="10" max="10" width="9.6" style="75" customWidth="1" outlineLevel="1"/>
    <col min="11" max="11" width="9.6" style="227" customWidth="1" outlineLevel="1"/>
    <col min="12" max="12" width="12.6" style="227" customWidth="1" outlineLevel="1"/>
    <col min="13" max="13" width="9.7" style="227" customWidth="1" outlineLevel="1"/>
    <col min="14" max="14" width="9.6" style="1216" customWidth="1" outlineLevel="1"/>
    <col min="15" max="16" width="12.6" style="1216" customWidth="1" outlineLevel="1"/>
    <col min="17" max="18" width="9.6" style="227" customWidth="1"/>
    <col min="19" max="19" width="12.6" style="227" customWidth="1"/>
    <col min="20" max="20" width="8.3" style="227" customWidth="1"/>
    <col min="21" max="21" width="9.6" style="75" customWidth="1"/>
    <col min="22" max="22" width="9.6" style="227" customWidth="1"/>
    <col min="23" max="23" width="12.6" style="227" customWidth="1"/>
    <col min="24" max="24" width="6.6" style="227" customWidth="1"/>
    <col min="25" max="25" width="5.2" style="227" customWidth="1"/>
    <col min="26" max="26" width="6.6" style="75" customWidth="1"/>
    <col min="27" max="52" width="9" style="75" hidden="1" customWidth="1" outlineLevel="1"/>
    <col min="53" max="53" width="14.7" style="75" customWidth="1" collapsed="1"/>
    <col min="54" max="54" width="6.7" style="75" customWidth="1"/>
    <col min="55" max="56" width="5.1" style="165" customWidth="1"/>
    <col min="57" max="57" width="8.7" style="165" customWidth="1"/>
    <col min="58" max="59" width="9.6" style="165" customWidth="1"/>
    <col min="60" max="62" width="5" style="165" customWidth="1"/>
    <col min="63" max="63" width="5.1" style="165" customWidth="1"/>
    <col min="64" max="64" width="6.7" style="165" customWidth="1"/>
    <col min="65" max="65" width="10.3" style="75" customWidth="1"/>
    <col min="66" max="66" width="8.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204"/>
      <c r="D1" s="82"/>
      <c r="E1" s="82"/>
      <c r="F1" s="82"/>
      <c r="G1" s="82"/>
      <c r="H1" s="82"/>
      <c r="I1" s="82"/>
      <c r="J1" s="82"/>
      <c r="K1" s="82"/>
      <c r="L1" s="82"/>
      <c r="M1" s="82"/>
      <c r="N1" s="205"/>
      <c r="O1" s="205"/>
      <c r="P1" s="205"/>
      <c r="Q1" s="82"/>
      <c r="R1" s="82"/>
      <c r="S1" s="82"/>
      <c r="T1" s="82"/>
      <c r="U1" s="82"/>
      <c r="V1" s="82"/>
      <c r="W1" s="82"/>
      <c r="X1" s="82"/>
      <c r="Y1" s="82"/>
      <c r="Z1" s="82"/>
      <c r="BA1" s="84" t="str">
        <f>参数表!BA1</f>
        <v>注意：补充特殊事项、作价等均从BA列开始填写</v>
      </c>
      <c r="BB1" s="85"/>
      <c r="BC1" s="82"/>
      <c r="BD1" s="82"/>
      <c r="BE1" s="82"/>
      <c r="BF1" s="82"/>
      <c r="BG1" s="82"/>
      <c r="BH1" s="82"/>
      <c r="BI1" s="82"/>
      <c r="BJ1" s="82"/>
      <c r="BK1" s="82"/>
      <c r="BL1" s="82"/>
      <c r="BO1" s="87"/>
      <c r="BP1" s="88"/>
      <c r="BQ1" s="87"/>
      <c r="BR1" s="88"/>
      <c r="BS1" s="88"/>
      <c r="BT1" s="88"/>
      <c r="BU1" s="88"/>
      <c r="BV1" s="88"/>
      <c r="BW1" s="87"/>
    </row>
    <row r="2" s="71" customFormat="1" ht="30" customHeight="1" spans="1:75">
      <c r="A2" s="89" t="s">
        <v>2639</v>
      </c>
      <c r="B2" s="170"/>
      <c r="C2" s="170"/>
      <c r="D2" s="170"/>
      <c r="E2" s="170"/>
      <c r="F2" s="170"/>
      <c r="G2" s="170"/>
      <c r="H2" s="170"/>
      <c r="I2" s="170"/>
      <c r="J2" s="170"/>
      <c r="K2" s="170"/>
      <c r="L2" s="170"/>
      <c r="M2" s="170"/>
      <c r="N2" s="170"/>
      <c r="O2" s="170"/>
      <c r="P2" s="170"/>
      <c r="Q2" s="170"/>
      <c r="R2" s="170"/>
      <c r="S2" s="170"/>
      <c r="T2" s="170"/>
      <c r="U2" s="170"/>
      <c r="V2" s="170"/>
      <c r="W2" s="170"/>
      <c r="X2" s="170"/>
      <c r="Y2" s="170"/>
      <c r="Z2" s="170"/>
      <c r="BA2" s="90" t="str">
        <f>参数表!BA2</f>
        <v>评估基准日：</v>
      </c>
      <c r="BB2" s="91" t="str">
        <f>参数表!BB2</f>
        <v>2025年7月31日</v>
      </c>
      <c r="BC2" s="171"/>
      <c r="BD2" s="171"/>
      <c r="BE2" s="171"/>
      <c r="BF2" s="171"/>
      <c r="BG2" s="171"/>
      <c r="BH2" s="171"/>
      <c r="BI2" s="171"/>
      <c r="BJ2" s="171"/>
      <c r="BK2" s="171"/>
      <c r="BL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4"/>
      <c r="L3" s="94"/>
      <c r="M3" s="94"/>
      <c r="N3" s="94"/>
      <c r="O3" s="94"/>
      <c r="P3" s="94"/>
      <c r="Q3" s="94"/>
      <c r="R3" s="94"/>
      <c r="S3" s="95"/>
      <c r="T3" s="95"/>
      <c r="U3" s="95"/>
      <c r="V3" s="95"/>
      <c r="W3" s="95"/>
      <c r="X3" s="95"/>
      <c r="Y3" s="95"/>
      <c r="Z3" s="95"/>
      <c r="BA3" s="90" t="str">
        <f>参数表!BA3</f>
        <v>是否显示评估值：</v>
      </c>
      <c r="BB3" s="90" t="str">
        <f>参数表!BB3</f>
        <v>是</v>
      </c>
      <c r="BO3" s="92"/>
      <c r="BP3" s="93"/>
      <c r="BQ3" s="92"/>
      <c r="BR3" s="93"/>
      <c r="BS3" s="93"/>
      <c r="BT3" s="93"/>
      <c r="BU3" s="93"/>
      <c r="BV3" s="93"/>
      <c r="BW3" s="92"/>
    </row>
    <row r="4" ht="15" customHeight="1" spans="1:75">
      <c r="A4" s="96"/>
      <c r="B4" s="94"/>
      <c r="C4" s="94"/>
      <c r="D4" s="94"/>
      <c r="E4" s="94"/>
      <c r="F4" s="94"/>
      <c r="G4" s="94"/>
      <c r="H4" s="94"/>
      <c r="I4" s="94"/>
      <c r="J4" s="94"/>
      <c r="K4" s="94"/>
      <c r="L4" s="94"/>
      <c r="M4" s="94"/>
      <c r="N4" s="97"/>
      <c r="O4" s="97"/>
      <c r="P4" s="97"/>
      <c r="Q4" s="94"/>
      <c r="R4" s="94"/>
      <c r="S4" s="98"/>
      <c r="T4" s="98"/>
      <c r="U4" s="95"/>
      <c r="V4" s="95"/>
      <c r="W4" s="95"/>
      <c r="X4" s="95"/>
      <c r="Y4" s="95"/>
      <c r="Z4" s="98" t="str">
        <f>"表"&amp;$BA4</f>
        <v>表3-10-4</v>
      </c>
      <c r="BA4" s="95" t="str">
        <f>存货总!A10</f>
        <v>3-10-4</v>
      </c>
      <c r="BB4" s="100">
        <f>MAX(COUNTA(A8:A27),COUNTA(B8:B27),COUNTA(L8:L27),COUNTA(S8:S27))</f>
        <v>20</v>
      </c>
      <c r="BC4" s="101">
        <f>ROW(A7)+1</f>
        <v>8</v>
      </c>
      <c r="BD4" s="77"/>
      <c r="BE4" s="77"/>
      <c r="BQ4" s="78"/>
    </row>
    <row r="5" ht="15" customHeight="1" spans="1:75">
      <c r="A5" s="102" t="str">
        <f>参数表!F3</f>
        <v>产权持有单位:中煤第五建设有限公司</v>
      </c>
      <c r="B5" s="103"/>
      <c r="C5" s="103"/>
      <c r="D5" s="103"/>
      <c r="E5" s="95"/>
      <c r="F5" s="103"/>
      <c r="G5" s="103"/>
      <c r="H5" s="103"/>
      <c r="I5" s="103"/>
      <c r="J5" s="103"/>
      <c r="K5" s="1217"/>
      <c r="L5" s="1217"/>
      <c r="M5" s="1217"/>
      <c r="N5" s="1218"/>
      <c r="O5" s="1218"/>
      <c r="P5" s="1218"/>
      <c r="Q5" s="1217"/>
      <c r="R5" s="1217"/>
      <c r="S5" s="1217"/>
      <c r="T5" s="1217"/>
      <c r="U5" s="103"/>
      <c r="V5" s="1217"/>
      <c r="W5" s="1217"/>
      <c r="X5" s="1217"/>
      <c r="Y5" s="1217"/>
      <c r="Z5" s="98" t="s">
        <v>236</v>
      </c>
      <c r="BA5" s="103"/>
      <c r="BB5" s="105" t="str">
        <f ca="1">判断表!C33</f>
        <v>中煤第五建设有限公司第三工程处拟处置实物资产项目\[0000-3基础法明细表.xlsx]委托加工</v>
      </c>
      <c r="BC5" s="106">
        <f>IFERROR(SUMIF(BC8:BC27,"√",S8:S27)/S28,0)</f>
        <v>0</v>
      </c>
      <c r="BD5" s="107"/>
      <c r="BE5" s="107"/>
      <c r="BF5" s="284">
        <f>在库周转!BF5</f>
        <v>35557.52</v>
      </c>
      <c r="BG5" s="284">
        <f>在库周转!BG5</f>
        <v>35557.52</v>
      </c>
      <c r="BQ5" s="78"/>
    </row>
    <row r="6" s="72" customFormat="1" ht="15" customHeight="1" spans="1:75">
      <c r="A6" s="112" t="s">
        <v>305</v>
      </c>
      <c r="B6" s="113" t="s">
        <v>2174</v>
      </c>
      <c r="C6" s="113" t="s">
        <v>2175</v>
      </c>
      <c r="D6" s="118" t="s">
        <v>2640</v>
      </c>
      <c r="E6" s="118" t="s">
        <v>2176</v>
      </c>
      <c r="F6" s="511" t="s">
        <v>1964</v>
      </c>
      <c r="G6" s="512"/>
      <c r="H6" s="512"/>
      <c r="I6" s="513"/>
      <c r="J6" s="514" t="s">
        <v>1549</v>
      </c>
      <c r="K6" s="189"/>
      <c r="L6" s="189"/>
      <c r="M6" s="190"/>
      <c r="N6" s="515" t="s">
        <v>1634</v>
      </c>
      <c r="O6" s="516"/>
      <c r="P6" s="517"/>
      <c r="Q6" s="514" t="s">
        <v>1523</v>
      </c>
      <c r="R6" s="189"/>
      <c r="S6" s="189"/>
      <c r="T6" s="190"/>
      <c r="U6" s="113" t="s">
        <v>1550</v>
      </c>
      <c r="V6" s="113"/>
      <c r="W6" s="113"/>
      <c r="X6" s="113" t="s">
        <v>1525</v>
      </c>
      <c r="Y6" s="1220" t="s">
        <v>1551</v>
      </c>
      <c r="Z6" s="113" t="s">
        <v>308</v>
      </c>
      <c r="BA6" s="191"/>
      <c r="BB6" s="100"/>
      <c r="BC6" s="100"/>
      <c r="BD6" s="100"/>
      <c r="BE6" s="100"/>
      <c r="BF6" s="192" t="s">
        <v>1639</v>
      </c>
      <c r="BG6" s="192" t="s">
        <v>1640</v>
      </c>
      <c r="BH6" s="113" t="s">
        <v>1748</v>
      </c>
      <c r="BI6" s="113" t="s">
        <v>1749</v>
      </c>
      <c r="BJ6" s="118" t="s">
        <v>1750</v>
      </c>
      <c r="BK6" s="118" t="s">
        <v>1686</v>
      </c>
      <c r="BL6" s="193" t="s">
        <v>1687</v>
      </c>
      <c r="BM6" s="118" t="s">
        <v>2063</v>
      </c>
      <c r="BN6" s="113" t="s">
        <v>1644</v>
      </c>
      <c r="BO6" s="111"/>
      <c r="BP6" s="78"/>
      <c r="BQ6" s="78"/>
      <c r="BR6" s="78"/>
      <c r="BS6" s="78"/>
      <c r="BT6" s="78"/>
      <c r="BU6" s="78"/>
      <c r="BV6" s="194"/>
      <c r="BW6" s="111"/>
    </row>
    <row r="7" s="72" customFormat="1" ht="15" customHeight="1" spans="1:75">
      <c r="A7" s="195"/>
      <c r="B7" s="149"/>
      <c r="C7" s="149"/>
      <c r="D7" s="208"/>
      <c r="E7" s="149"/>
      <c r="F7" s="519" t="s">
        <v>1968</v>
      </c>
      <c r="G7" s="519" t="s">
        <v>1969</v>
      </c>
      <c r="H7" s="519" t="s">
        <v>1970</v>
      </c>
      <c r="I7" s="519" t="s">
        <v>2177</v>
      </c>
      <c r="J7" s="149" t="s">
        <v>1637</v>
      </c>
      <c r="K7" s="1219" t="s">
        <v>2178</v>
      </c>
      <c r="L7" s="1219" t="s">
        <v>271</v>
      </c>
      <c r="M7" s="1219" t="s">
        <v>2179</v>
      </c>
      <c r="N7" s="1205" t="s">
        <v>2180</v>
      </c>
      <c r="O7" s="1205" t="s">
        <v>2181</v>
      </c>
      <c r="P7" s="1205" t="s">
        <v>2182</v>
      </c>
      <c r="Q7" s="113" t="s">
        <v>1637</v>
      </c>
      <c r="R7" s="113" t="s">
        <v>2178</v>
      </c>
      <c r="S7" s="113" t="s">
        <v>271</v>
      </c>
      <c r="T7" s="113" t="s">
        <v>2179</v>
      </c>
      <c r="U7" s="113" t="s">
        <v>2183</v>
      </c>
      <c r="V7" s="113" t="s">
        <v>2184</v>
      </c>
      <c r="W7" s="113" t="s">
        <v>271</v>
      </c>
      <c r="X7" s="113"/>
      <c r="Y7" s="1223"/>
      <c r="Z7" s="113"/>
      <c r="BA7" s="100" t="s">
        <v>1545</v>
      </c>
      <c r="BB7" s="100" t="s">
        <v>1635</v>
      </c>
      <c r="BC7" s="100" t="s">
        <v>1636</v>
      </c>
      <c r="BD7" s="100" t="s">
        <v>1637</v>
      </c>
      <c r="BE7" s="100" t="s">
        <v>1638</v>
      </c>
      <c r="BF7" s="197"/>
      <c r="BG7" s="197"/>
      <c r="BH7" s="113"/>
      <c r="BI7" s="113"/>
      <c r="BJ7" s="118"/>
      <c r="BK7" s="118"/>
      <c r="BL7" s="198"/>
      <c r="BM7" s="118"/>
      <c r="BN7" s="113"/>
      <c r="BO7" s="119"/>
      <c r="BP7" s="120" t="s">
        <v>1645</v>
      </c>
      <c r="BQ7" s="121" t="s">
        <v>1646</v>
      </c>
      <c r="BR7" s="121" t="s">
        <v>1647</v>
      </c>
      <c r="BS7" s="121" t="s">
        <v>1648</v>
      </c>
      <c r="BT7" s="121" t="s">
        <v>1647</v>
      </c>
      <c r="BU7" s="121" t="s">
        <v>1647</v>
      </c>
      <c r="BV7" s="121" t="s">
        <v>1649</v>
      </c>
      <c r="BW7" s="122" t="s">
        <v>1650</v>
      </c>
    </row>
    <row r="8" ht="15" customHeight="1" spans="1:75">
      <c r="A8" s="123" t="str">
        <f>IF(B8="","",COUNT(A$7:A7)+1)</f>
        <v/>
      </c>
      <c r="B8" s="982"/>
      <c r="C8" s="982"/>
      <c r="D8" s="126"/>
      <c r="E8" s="775"/>
      <c r="F8" s="127"/>
      <c r="G8" s="127" t="str">
        <f>IFERROR(VLOOKUP(F8,参数表!$H$2:$I$50,2,FALSE),"")</f>
        <v/>
      </c>
      <c r="H8" s="128" t="str">
        <f>IFERROR(IF(OR(F8="人民币",F8=""),"",S8/G8),"")</f>
        <v/>
      </c>
      <c r="I8" s="128" t="str">
        <f>IFERROR(IF(OR(F8="人民币",F8=""),"",T8/G8),"")</f>
        <v/>
      </c>
      <c r="J8" s="353"/>
      <c r="K8" s="129" t="str">
        <f>IF(J8=0,"",L8/J8)</f>
        <v/>
      </c>
      <c r="L8" s="129"/>
      <c r="M8" s="129"/>
      <c r="N8" s="130"/>
      <c r="O8" s="130"/>
      <c r="P8" s="130"/>
      <c r="Q8" s="353" t="str">
        <f>IF(B8="","",J8+N8)</f>
        <v/>
      </c>
      <c r="R8" s="129" t="str">
        <f>IFERROR(S8/Q8,"")</f>
        <v/>
      </c>
      <c r="S8" s="1226" t="str">
        <f>IF(B8="","",L8+O8)</f>
        <v/>
      </c>
      <c r="T8" s="1226" t="str">
        <f>IF(B8="","",M8+P8)</f>
        <v/>
      </c>
      <c r="U8" s="353" t="str">
        <f t="shared" ref="U8:U27" si="0">IF(B8="","",IF($BB$3="是",Q8,""))</f>
        <v/>
      </c>
      <c r="V8" s="129" t="str">
        <f>IFERROR(W8/U8,"")</f>
        <v/>
      </c>
      <c r="W8" s="129" t="str">
        <f t="shared" ref="W8:W27" si="1">IF(B8="","",IF($BB$3="是",S8-T8,""))</f>
        <v/>
      </c>
      <c r="X8" s="129" t="str">
        <f t="shared" ref="X8:X30" si="2">IFERROR(W8-(S8-T8),"")</f>
        <v/>
      </c>
      <c r="Y8" s="129" t="str">
        <f t="shared" ref="Y8:Y30" si="3">IFERROR(X8/(S8-T8)*100,"")</f>
        <v/>
      </c>
      <c r="Z8" s="131"/>
      <c r="BA8" s="78"/>
      <c r="BB8" s="132" t="s">
        <v>2641</v>
      </c>
      <c r="BC8" s="133"/>
      <c r="BD8" s="132" t="str">
        <f>IF(OR(B8="",BC8=""),"",COUNTIF(BC$8:BC8,"√"))</f>
        <v/>
      </c>
      <c r="BE8" s="134" t="str">
        <f t="shared" ref="BE8:BE27" si="4">IF(BC8="","",BB8&amp;"︱"&amp;B8&amp;"︱"&amp;TEXT(L8,"#,##0.00"))</f>
        <v/>
      </c>
      <c r="BF8" s="135" t="str">
        <f>IF($B8="","",IF(BF$5=0,"OK","出错"))</f>
        <v/>
      </c>
      <c r="BG8" s="135" t="str">
        <f>IF($B8="","",IF(BG$5=0,"OK","出错"))</f>
        <v/>
      </c>
      <c r="BH8" s="136"/>
      <c r="BI8" s="136"/>
      <c r="BJ8" s="136"/>
      <c r="BK8" s="136"/>
      <c r="BL8" s="136"/>
      <c r="BM8" s="137"/>
      <c r="BN8" s="137"/>
      <c r="BP8" s="134" t="str">
        <f>IF(COUNTIF(BP$7:BP7,B8)&gt;0,"",B8)&amp;""</f>
        <v/>
      </c>
      <c r="BQ8" s="138">
        <f>SUMIF(B$8:B$27,BP8,S$8:S$27)</f>
        <v>0</v>
      </c>
      <c r="BR8" s="132">
        <f t="shared" ref="BR8" si="5">RANK(BQ8,BQ$8:BQ$27)</f>
        <v>1</v>
      </c>
      <c r="BS8" s="138">
        <f>SUMIF(B$8:B$27,BP8,W$8:W$27)</f>
        <v>0</v>
      </c>
      <c r="BT8" s="132">
        <f>RANK(BS8,BS$8:BS$27)</f>
        <v>1</v>
      </c>
      <c r="BU8" s="138">
        <f>SUM(BQ8:BQ27)</f>
        <v>0</v>
      </c>
      <c r="BV8" s="138"/>
      <c r="BW8" s="138"/>
    </row>
    <row r="9" ht="15" customHeight="1" spans="1:75">
      <c r="A9" s="123" t="str">
        <f>IF(B9="","",COUNT(A$7:A8)+1)</f>
        <v/>
      </c>
      <c r="B9" s="139"/>
      <c r="C9" s="139"/>
      <c r="D9" s="141"/>
      <c r="E9" s="141"/>
      <c r="F9" s="142"/>
      <c r="G9" s="127" t="str">
        <f>IFERROR(VLOOKUP(F9,参数表!$H$2:$I$50,2,FALSE),"")</f>
        <v/>
      </c>
      <c r="H9" s="128" t="str">
        <f>IFERROR(IF(OR(F9="人民币",F9=""),"",S9/G9),"")</f>
        <v/>
      </c>
      <c r="I9" s="128" t="str">
        <f>IFERROR(IF(OR(F9="人民币",F9=""),"",T9/G9),"")</f>
        <v/>
      </c>
      <c r="J9" s="980"/>
      <c r="K9" s="143" t="str">
        <f t="shared" ref="K9:K28" si="6">IF(J9=0,"",L9/J9)</f>
        <v/>
      </c>
      <c r="L9" s="143"/>
      <c r="M9" s="143"/>
      <c r="N9" s="144"/>
      <c r="O9" s="144"/>
      <c r="P9" s="144"/>
      <c r="Q9" s="353" t="str">
        <f t="shared" ref="Q9:Q27" si="7">IF(B9="","",J9+N9)</f>
        <v/>
      </c>
      <c r="R9" s="129" t="str">
        <f t="shared" ref="R9:R27" si="8">IFERROR(S9/Q9,"")</f>
        <v/>
      </c>
      <c r="S9" s="1226" t="str">
        <f t="shared" ref="S9:S27" si="9">IF(B9="","",L9+O9)</f>
        <v/>
      </c>
      <c r="T9" s="1226" t="str">
        <f t="shared" ref="T9:T27" si="10">IF(B9="","",M9+P9)</f>
        <v/>
      </c>
      <c r="U9" s="353" t="str">
        <f t="shared" si="0"/>
        <v/>
      </c>
      <c r="V9" s="129" t="str">
        <f t="shared" ref="V9:V27" si="11">IFERROR(W9/U9,"")</f>
        <v/>
      </c>
      <c r="W9" s="129" t="str">
        <f t="shared" si="1"/>
        <v/>
      </c>
      <c r="X9" s="129" t="str">
        <f t="shared" si="2"/>
        <v/>
      </c>
      <c r="Y9" s="129" t="str">
        <f t="shared" si="3"/>
        <v/>
      </c>
      <c r="Z9" s="145"/>
      <c r="BA9" s="78"/>
      <c r="BB9" s="132" t="s">
        <v>2642</v>
      </c>
      <c r="BC9" s="133"/>
      <c r="BD9" s="132" t="str">
        <f>IF(OR(B9="",BC9=""),"",COUNTIF(BC$8:BC9,"√"))</f>
        <v/>
      </c>
      <c r="BE9" s="134" t="str">
        <f t="shared" si="4"/>
        <v/>
      </c>
      <c r="BF9" s="135" t="str">
        <f t="shared" ref="BF9:BG27" si="12">IF($B9="","",IF(BF$5=0,"OK","出错"))</f>
        <v/>
      </c>
      <c r="BG9" s="135" t="str">
        <f t="shared" si="12"/>
        <v/>
      </c>
      <c r="BH9" s="136"/>
      <c r="BI9" s="136"/>
      <c r="BJ9" s="136"/>
      <c r="BK9" s="136"/>
      <c r="BL9" s="136"/>
      <c r="BM9" s="137"/>
      <c r="BN9" s="137"/>
      <c r="BP9" s="134" t="str">
        <f>IF(COUNTIF(BP$7:BP8,B9)&gt;0,"",B9)&amp;""</f>
        <v/>
      </c>
      <c r="BQ9" s="138">
        <f t="shared" ref="BQ9:BQ27" si="13">SUMIF(B$8:B$27,BP9,S$8:S$27)</f>
        <v>0</v>
      </c>
      <c r="BR9" s="132">
        <f t="shared" ref="BR9:BR27" si="14">RANK(BQ9,BQ$8:BQ$27)</f>
        <v>1</v>
      </c>
      <c r="BS9" s="138">
        <f t="shared" ref="BS9:BS27" si="15">SUMIF(B$8:B$27,BP9,W$8:W$27)</f>
        <v>0</v>
      </c>
      <c r="BT9" s="132">
        <f t="shared" ref="BT9:BT27" si="16">RANK(BS9,BS$8:BS$27)</f>
        <v>1</v>
      </c>
      <c r="BU9" s="138">
        <f>SUM(BS8:BS27)</f>
        <v>0</v>
      </c>
      <c r="BV9" s="138"/>
      <c r="BW9" s="138"/>
    </row>
    <row r="10" ht="15" customHeight="1" spans="1:75">
      <c r="A10" s="123" t="str">
        <f>IF(B10="","",COUNT(A$7:A9)+1)</f>
        <v/>
      </c>
      <c r="B10" s="139"/>
      <c r="C10" s="139"/>
      <c r="D10" s="141"/>
      <c r="E10" s="141"/>
      <c r="F10" s="142"/>
      <c r="G10" s="127" t="str">
        <f>IFERROR(VLOOKUP(F10,参数表!$H$2:$I$50,2,FALSE),"")</f>
        <v/>
      </c>
      <c r="H10" s="128" t="str">
        <f t="shared" ref="H10:H27" si="17">IFERROR(IF(OR(F10="人民币",F10=""),"",S10/G10),"")</f>
        <v/>
      </c>
      <c r="I10" s="128" t="str">
        <f t="shared" ref="I10:I27" si="18">IFERROR(IF(OR(F10="人民币",F10=""),"",T10/G10),"")</f>
        <v/>
      </c>
      <c r="J10" s="980"/>
      <c r="K10" s="143" t="str">
        <f t="shared" si="6"/>
        <v/>
      </c>
      <c r="L10" s="143"/>
      <c r="M10" s="143"/>
      <c r="N10" s="144"/>
      <c r="O10" s="144"/>
      <c r="P10" s="144"/>
      <c r="Q10" s="353" t="str">
        <f t="shared" si="7"/>
        <v/>
      </c>
      <c r="R10" s="129" t="str">
        <f t="shared" si="8"/>
        <v/>
      </c>
      <c r="S10" s="1226" t="str">
        <f t="shared" si="9"/>
        <v/>
      </c>
      <c r="T10" s="1226" t="str">
        <f t="shared" si="10"/>
        <v/>
      </c>
      <c r="U10" s="353" t="str">
        <f t="shared" si="0"/>
        <v/>
      </c>
      <c r="V10" s="129" t="str">
        <f t="shared" si="11"/>
        <v/>
      </c>
      <c r="W10" s="129" t="str">
        <f t="shared" si="1"/>
        <v/>
      </c>
      <c r="X10" s="129" t="str">
        <f t="shared" si="2"/>
        <v/>
      </c>
      <c r="Y10" s="129" t="str">
        <f t="shared" si="3"/>
        <v/>
      </c>
      <c r="Z10" s="145"/>
      <c r="BA10" s="78"/>
      <c r="BB10" s="132" t="s">
        <v>2643</v>
      </c>
      <c r="BC10" s="133"/>
      <c r="BD10" s="132" t="str">
        <f>IF(OR(B10="",BC10=""),"",COUNTIF(BC$8:BC10,"√"))</f>
        <v/>
      </c>
      <c r="BE10" s="134" t="str">
        <f t="shared" si="4"/>
        <v/>
      </c>
      <c r="BF10" s="135" t="str">
        <f t="shared" si="12"/>
        <v/>
      </c>
      <c r="BG10" s="135" t="str">
        <f t="shared" si="12"/>
        <v/>
      </c>
      <c r="BH10" s="136"/>
      <c r="BI10" s="136"/>
      <c r="BJ10" s="136"/>
      <c r="BK10" s="136"/>
      <c r="BL10" s="136"/>
      <c r="BM10" s="137"/>
      <c r="BN10" s="137"/>
      <c r="BP10" s="134" t="str">
        <f>IF(COUNTIF(BP$7:BP9,B10)&gt;0,"",B10)&amp;""</f>
        <v/>
      </c>
      <c r="BQ10" s="138">
        <f t="shared" si="13"/>
        <v>0</v>
      </c>
      <c r="BR10" s="132">
        <f t="shared" si="14"/>
        <v>1</v>
      </c>
      <c r="BS10" s="138">
        <f t="shared" si="15"/>
        <v>0</v>
      </c>
      <c r="BT10" s="132">
        <f t="shared" si="16"/>
        <v>1</v>
      </c>
      <c r="BU10" s="132">
        <v>1</v>
      </c>
      <c r="BV10" s="134" t="str">
        <f>IFERROR(INDEX(BP$8:BP$27,MATCH(BU10,IF(BU$8=0,BT$8:BT$27,BR$8:BR$27),0))&amp;"","")</f>
        <v/>
      </c>
      <c r="BW10" s="146" t="str">
        <f>IF(BV11="","",IF(BV12="","和","、"))</f>
        <v/>
      </c>
    </row>
    <row r="11" ht="15" customHeight="1" spans="1:75">
      <c r="A11" s="123" t="str">
        <f>IF(B11="","",COUNT(A$7:A10)+1)</f>
        <v/>
      </c>
      <c r="B11" s="139"/>
      <c r="C11" s="139"/>
      <c r="D11" s="141"/>
      <c r="E11" s="141"/>
      <c r="F11" s="142"/>
      <c r="G11" s="127" t="str">
        <f>IFERROR(VLOOKUP(F11,参数表!$H$2:$I$50,2,FALSE),"")</f>
        <v/>
      </c>
      <c r="H11" s="128" t="str">
        <f t="shared" si="17"/>
        <v/>
      </c>
      <c r="I11" s="128" t="str">
        <f t="shared" si="18"/>
        <v/>
      </c>
      <c r="J11" s="980"/>
      <c r="K11" s="143" t="str">
        <f t="shared" si="6"/>
        <v/>
      </c>
      <c r="L11" s="143"/>
      <c r="M11" s="143"/>
      <c r="N11" s="144"/>
      <c r="O11" s="144"/>
      <c r="P11" s="144"/>
      <c r="Q11" s="353" t="str">
        <f t="shared" si="7"/>
        <v/>
      </c>
      <c r="R11" s="129" t="str">
        <f t="shared" si="8"/>
        <v/>
      </c>
      <c r="S11" s="1226" t="str">
        <f t="shared" si="9"/>
        <v/>
      </c>
      <c r="T11" s="1226" t="str">
        <f t="shared" si="10"/>
        <v/>
      </c>
      <c r="U11" s="353" t="str">
        <f t="shared" si="0"/>
        <v/>
      </c>
      <c r="V11" s="129" t="str">
        <f t="shared" si="11"/>
        <v/>
      </c>
      <c r="W11" s="129" t="str">
        <f t="shared" si="1"/>
        <v/>
      </c>
      <c r="X11" s="129" t="str">
        <f t="shared" si="2"/>
        <v/>
      </c>
      <c r="Y11" s="129" t="str">
        <f t="shared" si="3"/>
        <v/>
      </c>
      <c r="Z11" s="145"/>
      <c r="BA11" s="78"/>
      <c r="BB11" s="132" t="s">
        <v>2644</v>
      </c>
      <c r="BC11" s="133"/>
      <c r="BD11" s="132" t="str">
        <f>IF(OR(B11="",BC11=""),"",COUNTIF(BC$8:BC11,"√"))</f>
        <v/>
      </c>
      <c r="BE11" s="134" t="str">
        <f t="shared" si="4"/>
        <v/>
      </c>
      <c r="BF11" s="135" t="str">
        <f t="shared" si="12"/>
        <v/>
      </c>
      <c r="BG11" s="135" t="str">
        <f t="shared" si="12"/>
        <v/>
      </c>
      <c r="BH11" s="136"/>
      <c r="BI11" s="136"/>
      <c r="BJ11" s="136"/>
      <c r="BK11" s="136"/>
      <c r="BL11" s="136"/>
      <c r="BM11" s="137"/>
      <c r="BN11" s="137"/>
      <c r="BP11" s="134" t="str">
        <f>IF(COUNTIF(BP$7:BP10,B11)&gt;0,"",B11)&amp;""</f>
        <v/>
      </c>
      <c r="BQ11" s="138">
        <f t="shared" si="13"/>
        <v>0</v>
      </c>
      <c r="BR11" s="132">
        <f t="shared" si="14"/>
        <v>1</v>
      </c>
      <c r="BS11" s="138">
        <f t="shared" si="15"/>
        <v>0</v>
      </c>
      <c r="BT11" s="132">
        <f t="shared" si="16"/>
        <v>1</v>
      </c>
      <c r="BU11" s="132">
        <v>2</v>
      </c>
      <c r="BV11" s="134" t="str">
        <f t="shared" ref="BV11:BV14" si="19">IFERROR(INDEX(BP$8:BP$27,MATCH(BU11,IF(BU$8=0,BT$8:BT$27,BR$8:BR$27),0))&amp;"","")</f>
        <v/>
      </c>
      <c r="BW11" s="146" t="str">
        <f t="shared" ref="BW11:BW12" si="20">IF(BV12="","",IF(BV13="","和","、"))</f>
        <v/>
      </c>
    </row>
    <row r="12" ht="15" customHeight="1" spans="1:75">
      <c r="A12" s="123" t="str">
        <f>IF(B12="","",COUNT(A$7:A11)+1)</f>
        <v/>
      </c>
      <c r="B12" s="139"/>
      <c r="C12" s="139"/>
      <c r="D12" s="141"/>
      <c r="E12" s="141"/>
      <c r="F12" s="142"/>
      <c r="G12" s="127" t="str">
        <f>IFERROR(VLOOKUP(F12,参数表!$H$2:$I$50,2,FALSE),"")</f>
        <v/>
      </c>
      <c r="H12" s="128" t="str">
        <f t="shared" si="17"/>
        <v/>
      </c>
      <c r="I12" s="128" t="str">
        <f t="shared" si="18"/>
        <v/>
      </c>
      <c r="J12" s="980"/>
      <c r="K12" s="143" t="str">
        <f t="shared" si="6"/>
        <v/>
      </c>
      <c r="L12" s="143"/>
      <c r="M12" s="143"/>
      <c r="N12" s="144"/>
      <c r="O12" s="144"/>
      <c r="P12" s="144"/>
      <c r="Q12" s="353" t="str">
        <f t="shared" si="7"/>
        <v/>
      </c>
      <c r="R12" s="129" t="str">
        <f t="shared" si="8"/>
        <v/>
      </c>
      <c r="S12" s="1226" t="str">
        <f t="shared" si="9"/>
        <v/>
      </c>
      <c r="T12" s="1226" t="str">
        <f t="shared" si="10"/>
        <v/>
      </c>
      <c r="U12" s="353" t="str">
        <f t="shared" si="0"/>
        <v/>
      </c>
      <c r="V12" s="129" t="str">
        <f t="shared" si="11"/>
        <v/>
      </c>
      <c r="W12" s="129" t="str">
        <f t="shared" si="1"/>
        <v/>
      </c>
      <c r="X12" s="129" t="str">
        <f t="shared" si="2"/>
        <v/>
      </c>
      <c r="Y12" s="129" t="str">
        <f t="shared" si="3"/>
        <v/>
      </c>
      <c r="Z12" s="145"/>
      <c r="BA12" s="78"/>
      <c r="BB12" s="132" t="s">
        <v>2645</v>
      </c>
      <c r="BC12" s="133"/>
      <c r="BD12" s="132" t="str">
        <f>IF(OR(B12="",BC12=""),"",COUNTIF(BC$8:BC12,"√"))</f>
        <v/>
      </c>
      <c r="BE12" s="134" t="str">
        <f t="shared" si="4"/>
        <v/>
      </c>
      <c r="BF12" s="135" t="str">
        <f t="shared" si="12"/>
        <v/>
      </c>
      <c r="BG12" s="135" t="str">
        <f t="shared" si="12"/>
        <v/>
      </c>
      <c r="BH12" s="136"/>
      <c r="BI12" s="136"/>
      <c r="BJ12" s="136"/>
      <c r="BK12" s="136"/>
      <c r="BL12" s="136"/>
      <c r="BM12" s="137"/>
      <c r="BN12" s="137"/>
      <c r="BP12" s="134" t="str">
        <f>IF(COUNTIF(BP$7:BP11,B12)&gt;0,"",B12)&amp;""</f>
        <v/>
      </c>
      <c r="BQ12" s="138">
        <f t="shared" si="13"/>
        <v>0</v>
      </c>
      <c r="BR12" s="132">
        <f t="shared" si="14"/>
        <v>1</v>
      </c>
      <c r="BS12" s="138">
        <f t="shared" si="15"/>
        <v>0</v>
      </c>
      <c r="BT12" s="132">
        <f t="shared" si="16"/>
        <v>1</v>
      </c>
      <c r="BU12" s="132">
        <v>3</v>
      </c>
      <c r="BV12" s="134" t="str">
        <f t="shared" si="19"/>
        <v/>
      </c>
      <c r="BW12" s="146" t="str">
        <f t="shared" si="20"/>
        <v/>
      </c>
    </row>
    <row r="13" ht="15" customHeight="1" spans="1:75">
      <c r="A13" s="123" t="str">
        <f>IF(B13="","",COUNT(A$7:A12)+1)</f>
        <v/>
      </c>
      <c r="B13" s="139"/>
      <c r="C13" s="139"/>
      <c r="D13" s="141"/>
      <c r="E13" s="141"/>
      <c r="F13" s="142"/>
      <c r="G13" s="127" t="str">
        <f>IFERROR(VLOOKUP(F13,参数表!$H$2:$I$50,2,FALSE),"")</f>
        <v/>
      </c>
      <c r="H13" s="128" t="str">
        <f t="shared" si="17"/>
        <v/>
      </c>
      <c r="I13" s="128" t="str">
        <f t="shared" si="18"/>
        <v/>
      </c>
      <c r="J13" s="980"/>
      <c r="K13" s="143" t="str">
        <f t="shared" si="6"/>
        <v/>
      </c>
      <c r="L13" s="143"/>
      <c r="M13" s="143"/>
      <c r="N13" s="144"/>
      <c r="O13" s="144"/>
      <c r="P13" s="144"/>
      <c r="Q13" s="353" t="str">
        <f t="shared" si="7"/>
        <v/>
      </c>
      <c r="R13" s="129" t="str">
        <f t="shared" si="8"/>
        <v/>
      </c>
      <c r="S13" s="1226" t="str">
        <f t="shared" si="9"/>
        <v/>
      </c>
      <c r="T13" s="1226" t="str">
        <f t="shared" si="10"/>
        <v/>
      </c>
      <c r="U13" s="353" t="str">
        <f t="shared" si="0"/>
        <v/>
      </c>
      <c r="V13" s="129" t="str">
        <f t="shared" si="11"/>
        <v/>
      </c>
      <c r="W13" s="129" t="str">
        <f t="shared" si="1"/>
        <v/>
      </c>
      <c r="X13" s="129" t="str">
        <f t="shared" si="2"/>
        <v/>
      </c>
      <c r="Y13" s="129" t="str">
        <f t="shared" si="3"/>
        <v/>
      </c>
      <c r="Z13" s="145"/>
      <c r="BA13" s="78"/>
      <c r="BB13" s="132" t="s">
        <v>2646</v>
      </c>
      <c r="BC13" s="133"/>
      <c r="BD13" s="132" t="str">
        <f>IF(OR(B13="",BC13=""),"",COUNTIF(BC$8:BC13,"√"))</f>
        <v/>
      </c>
      <c r="BE13" s="134" t="str">
        <f t="shared" si="4"/>
        <v/>
      </c>
      <c r="BF13" s="135" t="str">
        <f t="shared" si="12"/>
        <v/>
      </c>
      <c r="BG13" s="135" t="str">
        <f t="shared" si="12"/>
        <v/>
      </c>
      <c r="BH13" s="136"/>
      <c r="BI13" s="136"/>
      <c r="BJ13" s="136"/>
      <c r="BK13" s="136"/>
      <c r="BL13" s="136"/>
      <c r="BM13" s="137"/>
      <c r="BN13" s="137"/>
      <c r="BP13" s="134" t="str">
        <f>IF(COUNTIF(BP$7:BP12,B13)&gt;0,"",B13)&amp;""</f>
        <v/>
      </c>
      <c r="BQ13" s="138">
        <f t="shared" si="13"/>
        <v>0</v>
      </c>
      <c r="BR13" s="132">
        <f t="shared" si="14"/>
        <v>1</v>
      </c>
      <c r="BS13" s="138">
        <f t="shared" si="15"/>
        <v>0</v>
      </c>
      <c r="BT13" s="132">
        <f t="shared" si="16"/>
        <v>1</v>
      </c>
      <c r="BU13" s="132">
        <v>4</v>
      </c>
      <c r="BV13" s="134" t="str">
        <f t="shared" si="19"/>
        <v/>
      </c>
      <c r="BW13" s="146" t="str">
        <f>IF(BV14="","","和")</f>
        <v/>
      </c>
    </row>
    <row r="14" ht="15" customHeight="1" spans="1:75">
      <c r="A14" s="123" t="str">
        <f>IF(B14="","",COUNT(A$7:A13)+1)</f>
        <v/>
      </c>
      <c r="B14" s="139"/>
      <c r="C14" s="139"/>
      <c r="D14" s="141"/>
      <c r="E14" s="141"/>
      <c r="F14" s="142"/>
      <c r="G14" s="127" t="str">
        <f>IFERROR(VLOOKUP(F14,参数表!$H$2:$I$50,2,FALSE),"")</f>
        <v/>
      </c>
      <c r="H14" s="128" t="str">
        <f t="shared" si="17"/>
        <v/>
      </c>
      <c r="I14" s="128" t="str">
        <f t="shared" si="18"/>
        <v/>
      </c>
      <c r="J14" s="980"/>
      <c r="K14" s="143" t="str">
        <f t="shared" si="6"/>
        <v/>
      </c>
      <c r="L14" s="143"/>
      <c r="M14" s="143"/>
      <c r="N14" s="144"/>
      <c r="O14" s="144"/>
      <c r="P14" s="144"/>
      <c r="Q14" s="353" t="str">
        <f t="shared" si="7"/>
        <v/>
      </c>
      <c r="R14" s="129" t="str">
        <f t="shared" si="8"/>
        <v/>
      </c>
      <c r="S14" s="1226" t="str">
        <f t="shared" si="9"/>
        <v/>
      </c>
      <c r="T14" s="1226" t="str">
        <f t="shared" si="10"/>
        <v/>
      </c>
      <c r="U14" s="353" t="str">
        <f t="shared" si="0"/>
        <v/>
      </c>
      <c r="V14" s="129" t="str">
        <f t="shared" si="11"/>
        <v/>
      </c>
      <c r="W14" s="129" t="str">
        <f t="shared" si="1"/>
        <v/>
      </c>
      <c r="X14" s="129" t="str">
        <f t="shared" si="2"/>
        <v/>
      </c>
      <c r="Y14" s="129" t="str">
        <f t="shared" si="3"/>
        <v/>
      </c>
      <c r="Z14" s="145"/>
      <c r="BA14" s="78"/>
      <c r="BB14" s="132" t="s">
        <v>2647</v>
      </c>
      <c r="BC14" s="133"/>
      <c r="BD14" s="132" t="str">
        <f>IF(OR(B14="",BC14=""),"",COUNTIF(BC$8:BC14,"√"))</f>
        <v/>
      </c>
      <c r="BE14" s="134" t="str">
        <f t="shared" si="4"/>
        <v/>
      </c>
      <c r="BF14" s="135" t="str">
        <f t="shared" si="12"/>
        <v/>
      </c>
      <c r="BG14" s="135" t="str">
        <f t="shared" si="12"/>
        <v/>
      </c>
      <c r="BH14" s="136"/>
      <c r="BI14" s="136"/>
      <c r="BJ14" s="136"/>
      <c r="BK14" s="136"/>
      <c r="BL14" s="136"/>
      <c r="BM14" s="137"/>
      <c r="BN14" s="137"/>
      <c r="BP14" s="134" t="str">
        <f>IF(COUNTIF(BP$7:BP13,B14)&gt;0,"",B14)&amp;""</f>
        <v/>
      </c>
      <c r="BQ14" s="138">
        <f t="shared" si="13"/>
        <v>0</v>
      </c>
      <c r="BR14" s="132">
        <f t="shared" si="14"/>
        <v>1</v>
      </c>
      <c r="BS14" s="138">
        <f t="shared" si="15"/>
        <v>0</v>
      </c>
      <c r="BT14" s="132">
        <f t="shared" si="16"/>
        <v>1</v>
      </c>
      <c r="BU14" s="132">
        <v>5</v>
      </c>
      <c r="BV14" s="134" t="str">
        <f t="shared" si="19"/>
        <v/>
      </c>
      <c r="BW14" s="146"/>
    </row>
    <row r="15" ht="15" customHeight="1" spans="1:75">
      <c r="A15" s="123" t="str">
        <f>IF(B15="","",COUNT(A$7:A14)+1)</f>
        <v/>
      </c>
      <c r="B15" s="139"/>
      <c r="C15" s="139"/>
      <c r="D15" s="141"/>
      <c r="E15" s="141"/>
      <c r="F15" s="142"/>
      <c r="G15" s="127" t="str">
        <f>IFERROR(VLOOKUP(F15,参数表!$H$2:$I$50,2,FALSE),"")</f>
        <v/>
      </c>
      <c r="H15" s="128" t="str">
        <f t="shared" si="17"/>
        <v/>
      </c>
      <c r="I15" s="128" t="str">
        <f t="shared" si="18"/>
        <v/>
      </c>
      <c r="J15" s="980"/>
      <c r="K15" s="143" t="str">
        <f t="shared" si="6"/>
        <v/>
      </c>
      <c r="L15" s="143"/>
      <c r="M15" s="143"/>
      <c r="N15" s="144"/>
      <c r="O15" s="144"/>
      <c r="P15" s="144"/>
      <c r="Q15" s="353" t="str">
        <f t="shared" si="7"/>
        <v/>
      </c>
      <c r="R15" s="129" t="str">
        <f t="shared" si="8"/>
        <v/>
      </c>
      <c r="S15" s="1226" t="str">
        <f t="shared" si="9"/>
        <v/>
      </c>
      <c r="T15" s="1226" t="str">
        <f t="shared" si="10"/>
        <v/>
      </c>
      <c r="U15" s="353" t="str">
        <f t="shared" si="0"/>
        <v/>
      </c>
      <c r="V15" s="129" t="str">
        <f t="shared" si="11"/>
        <v/>
      </c>
      <c r="W15" s="129" t="str">
        <f t="shared" si="1"/>
        <v/>
      </c>
      <c r="X15" s="129" t="str">
        <f t="shared" si="2"/>
        <v/>
      </c>
      <c r="Y15" s="129" t="str">
        <f t="shared" si="3"/>
        <v/>
      </c>
      <c r="Z15" s="145"/>
      <c r="BA15" s="78"/>
      <c r="BB15" s="132" t="s">
        <v>2648</v>
      </c>
      <c r="BC15" s="133"/>
      <c r="BD15" s="132" t="str">
        <f>IF(OR(B15="",BC15=""),"",COUNTIF(BC$8:BC15,"√"))</f>
        <v/>
      </c>
      <c r="BE15" s="134" t="str">
        <f t="shared" si="4"/>
        <v/>
      </c>
      <c r="BF15" s="135" t="str">
        <f t="shared" si="12"/>
        <v/>
      </c>
      <c r="BG15" s="135" t="str">
        <f t="shared" si="12"/>
        <v/>
      </c>
      <c r="BH15" s="136"/>
      <c r="BI15" s="136"/>
      <c r="BJ15" s="136"/>
      <c r="BK15" s="136"/>
      <c r="BL15" s="136"/>
      <c r="BM15" s="137"/>
      <c r="BN15" s="137"/>
      <c r="BP15" s="134" t="str">
        <f>IF(COUNTIF(BP$7:BP14,B15)&gt;0,"",B15)&amp;""</f>
        <v/>
      </c>
      <c r="BQ15" s="138">
        <f t="shared" si="13"/>
        <v>0</v>
      </c>
      <c r="BR15" s="132">
        <f t="shared" si="14"/>
        <v>1</v>
      </c>
      <c r="BS15" s="138">
        <f t="shared" si="15"/>
        <v>0</v>
      </c>
      <c r="BT15" s="132">
        <f t="shared" si="16"/>
        <v>1</v>
      </c>
      <c r="BU15" s="147" t="s">
        <v>1659</v>
      </c>
      <c r="BV15" s="132" t="str">
        <f>CONCATENATE(BV10,BW10,BV11,BW11,BV12,BW12,BV13,BW13,BV14)</f>
        <v/>
      </c>
      <c r="BW15" s="132"/>
    </row>
    <row r="16" ht="15" customHeight="1" spans="1:75">
      <c r="A16" s="123" t="str">
        <f>IF(B16="","",COUNT(A$7:A15)+1)</f>
        <v/>
      </c>
      <c r="B16" s="139"/>
      <c r="C16" s="139"/>
      <c r="D16" s="141"/>
      <c r="E16" s="141"/>
      <c r="F16" s="142"/>
      <c r="G16" s="127" t="str">
        <f>IFERROR(VLOOKUP(F16,参数表!$H$2:$I$50,2,FALSE),"")</f>
        <v/>
      </c>
      <c r="H16" s="128" t="str">
        <f t="shared" si="17"/>
        <v/>
      </c>
      <c r="I16" s="128" t="str">
        <f t="shared" si="18"/>
        <v/>
      </c>
      <c r="J16" s="980"/>
      <c r="K16" s="143" t="str">
        <f t="shared" si="6"/>
        <v/>
      </c>
      <c r="L16" s="143"/>
      <c r="M16" s="143"/>
      <c r="N16" s="144"/>
      <c r="O16" s="144"/>
      <c r="P16" s="144"/>
      <c r="Q16" s="353" t="str">
        <f t="shared" si="7"/>
        <v/>
      </c>
      <c r="R16" s="129" t="str">
        <f t="shared" si="8"/>
        <v/>
      </c>
      <c r="S16" s="1226" t="str">
        <f t="shared" si="9"/>
        <v/>
      </c>
      <c r="T16" s="1226" t="str">
        <f t="shared" si="10"/>
        <v/>
      </c>
      <c r="U16" s="353" t="str">
        <f t="shared" si="0"/>
        <v/>
      </c>
      <c r="V16" s="129" t="str">
        <f t="shared" si="11"/>
        <v/>
      </c>
      <c r="W16" s="129" t="str">
        <f t="shared" si="1"/>
        <v/>
      </c>
      <c r="X16" s="129" t="str">
        <f t="shared" si="2"/>
        <v/>
      </c>
      <c r="Y16" s="129" t="str">
        <f t="shared" si="3"/>
        <v/>
      </c>
      <c r="Z16" s="145"/>
      <c r="BA16" s="78"/>
      <c r="BB16" s="132" t="s">
        <v>2649</v>
      </c>
      <c r="BC16" s="133"/>
      <c r="BD16" s="132" t="str">
        <f>IF(OR(B16="",BC16=""),"",COUNTIF(BC$8:BC16,"√"))</f>
        <v/>
      </c>
      <c r="BE16" s="134" t="str">
        <f t="shared" si="4"/>
        <v/>
      </c>
      <c r="BF16" s="135" t="str">
        <f t="shared" si="12"/>
        <v/>
      </c>
      <c r="BG16" s="135" t="str">
        <f t="shared" si="12"/>
        <v/>
      </c>
      <c r="BH16" s="136"/>
      <c r="BI16" s="136"/>
      <c r="BJ16" s="136"/>
      <c r="BK16" s="136"/>
      <c r="BL16" s="136"/>
      <c r="BM16" s="137"/>
      <c r="BN16" s="137"/>
      <c r="BP16" s="134" t="str">
        <f>IF(COUNTIF(BP$7:BP15,B16)&gt;0,"",B16)&amp;""</f>
        <v/>
      </c>
      <c r="BQ16" s="138">
        <f t="shared" si="13"/>
        <v>0</v>
      </c>
      <c r="BR16" s="132">
        <f t="shared" si="14"/>
        <v>1</v>
      </c>
      <c r="BS16" s="138">
        <f t="shared" si="15"/>
        <v>0</v>
      </c>
      <c r="BT16" s="132">
        <f t="shared" si="16"/>
        <v>1</v>
      </c>
      <c r="BU16" s="133"/>
      <c r="BV16" s="133"/>
    </row>
    <row r="17" ht="15" customHeight="1" spans="1:75">
      <c r="A17" s="123" t="str">
        <f>IF(B17="","",COUNT(A$7:A16)+1)</f>
        <v/>
      </c>
      <c r="B17" s="139"/>
      <c r="C17" s="139"/>
      <c r="D17" s="141"/>
      <c r="E17" s="141"/>
      <c r="F17" s="142"/>
      <c r="G17" s="127" t="str">
        <f>IFERROR(VLOOKUP(F17,参数表!$H$2:$I$50,2,FALSE),"")</f>
        <v/>
      </c>
      <c r="H17" s="128" t="str">
        <f t="shared" si="17"/>
        <v/>
      </c>
      <c r="I17" s="128" t="str">
        <f t="shared" si="18"/>
        <v/>
      </c>
      <c r="J17" s="980"/>
      <c r="K17" s="143" t="str">
        <f t="shared" si="6"/>
        <v/>
      </c>
      <c r="L17" s="143"/>
      <c r="M17" s="143"/>
      <c r="N17" s="144"/>
      <c r="O17" s="144"/>
      <c r="P17" s="144"/>
      <c r="Q17" s="353" t="str">
        <f t="shared" si="7"/>
        <v/>
      </c>
      <c r="R17" s="129" t="str">
        <f t="shared" si="8"/>
        <v/>
      </c>
      <c r="S17" s="1226" t="str">
        <f t="shared" si="9"/>
        <v/>
      </c>
      <c r="T17" s="1226" t="str">
        <f t="shared" si="10"/>
        <v/>
      </c>
      <c r="U17" s="353" t="str">
        <f t="shared" si="0"/>
        <v/>
      </c>
      <c r="V17" s="129" t="str">
        <f t="shared" si="11"/>
        <v/>
      </c>
      <c r="W17" s="129" t="str">
        <f t="shared" si="1"/>
        <v/>
      </c>
      <c r="X17" s="129" t="str">
        <f t="shared" si="2"/>
        <v/>
      </c>
      <c r="Y17" s="129" t="str">
        <f t="shared" si="3"/>
        <v/>
      </c>
      <c r="Z17" s="145"/>
      <c r="BA17" s="78"/>
      <c r="BB17" s="132" t="s">
        <v>2650</v>
      </c>
      <c r="BC17" s="133"/>
      <c r="BD17" s="132" t="str">
        <f>IF(OR(B17="",BC17=""),"",COUNTIF(BC$8:BC17,"√"))</f>
        <v/>
      </c>
      <c r="BE17" s="134" t="str">
        <f t="shared" si="4"/>
        <v/>
      </c>
      <c r="BF17" s="135" t="str">
        <f t="shared" si="12"/>
        <v/>
      </c>
      <c r="BG17" s="135" t="str">
        <f t="shared" si="12"/>
        <v/>
      </c>
      <c r="BH17" s="136"/>
      <c r="BI17" s="136"/>
      <c r="BJ17" s="136"/>
      <c r="BK17" s="136"/>
      <c r="BL17" s="136"/>
      <c r="BM17" s="137"/>
      <c r="BN17" s="137"/>
      <c r="BP17" s="134" t="str">
        <f>IF(COUNTIF(BP$7:BP16,B17)&gt;0,"",B17)&amp;""</f>
        <v/>
      </c>
      <c r="BQ17" s="138">
        <f t="shared" si="13"/>
        <v>0</v>
      </c>
      <c r="BR17" s="132">
        <f t="shared" si="14"/>
        <v>1</v>
      </c>
      <c r="BS17" s="138">
        <f t="shared" si="15"/>
        <v>0</v>
      </c>
      <c r="BT17" s="132">
        <f t="shared" si="16"/>
        <v>1</v>
      </c>
      <c r="BU17" s="133"/>
      <c r="BV17" s="148"/>
    </row>
    <row r="18" ht="15" customHeight="1" spans="1:75">
      <c r="A18" s="123" t="str">
        <f>IF(B18="","",COUNT(A$7:A17)+1)</f>
        <v/>
      </c>
      <c r="B18" s="139"/>
      <c r="C18" s="139"/>
      <c r="D18" s="141"/>
      <c r="E18" s="141"/>
      <c r="F18" s="142"/>
      <c r="G18" s="127" t="str">
        <f>IFERROR(VLOOKUP(F18,参数表!$H$2:$I$50,2,FALSE),"")</f>
        <v/>
      </c>
      <c r="H18" s="128" t="str">
        <f t="shared" si="17"/>
        <v/>
      </c>
      <c r="I18" s="128" t="str">
        <f t="shared" si="18"/>
        <v/>
      </c>
      <c r="J18" s="980"/>
      <c r="K18" s="143" t="str">
        <f t="shared" si="6"/>
        <v/>
      </c>
      <c r="L18" s="143"/>
      <c r="M18" s="143"/>
      <c r="N18" s="144"/>
      <c r="O18" s="144"/>
      <c r="P18" s="144"/>
      <c r="Q18" s="353" t="str">
        <f t="shared" si="7"/>
        <v/>
      </c>
      <c r="R18" s="129" t="str">
        <f t="shared" si="8"/>
        <v/>
      </c>
      <c r="S18" s="1226" t="str">
        <f t="shared" si="9"/>
        <v/>
      </c>
      <c r="T18" s="1226" t="str">
        <f t="shared" si="10"/>
        <v/>
      </c>
      <c r="U18" s="353" t="str">
        <f t="shared" si="0"/>
        <v/>
      </c>
      <c r="V18" s="129" t="str">
        <f t="shared" si="11"/>
        <v/>
      </c>
      <c r="W18" s="129" t="str">
        <f t="shared" si="1"/>
        <v/>
      </c>
      <c r="X18" s="129" t="str">
        <f t="shared" si="2"/>
        <v/>
      </c>
      <c r="Y18" s="129" t="str">
        <f t="shared" si="3"/>
        <v/>
      </c>
      <c r="Z18" s="145"/>
      <c r="BA18" s="78"/>
      <c r="BB18" s="132" t="s">
        <v>2651</v>
      </c>
      <c r="BC18" s="133"/>
      <c r="BD18" s="132" t="str">
        <f>IF(OR(B18="",BC18=""),"",COUNTIF(BC$8:BC18,"√"))</f>
        <v/>
      </c>
      <c r="BE18" s="134" t="str">
        <f t="shared" si="4"/>
        <v/>
      </c>
      <c r="BF18" s="135" t="str">
        <f t="shared" si="12"/>
        <v/>
      </c>
      <c r="BG18" s="135" t="str">
        <f t="shared" si="12"/>
        <v/>
      </c>
      <c r="BH18" s="136"/>
      <c r="BI18" s="136"/>
      <c r="BJ18" s="136"/>
      <c r="BK18" s="136"/>
      <c r="BL18" s="136"/>
      <c r="BM18" s="137"/>
      <c r="BN18" s="137"/>
      <c r="BP18" s="134" t="str">
        <f>IF(COUNTIF(BP$7:BP17,B18)&gt;0,"",B18)&amp;""</f>
        <v/>
      </c>
      <c r="BQ18" s="138">
        <f t="shared" si="13"/>
        <v>0</v>
      </c>
      <c r="BR18" s="132">
        <f t="shared" si="14"/>
        <v>1</v>
      </c>
      <c r="BS18" s="138">
        <f t="shared" si="15"/>
        <v>0</v>
      </c>
      <c r="BT18" s="132">
        <f t="shared" si="16"/>
        <v>1</v>
      </c>
      <c r="BU18" s="133"/>
      <c r="BV18" s="133"/>
    </row>
    <row r="19" ht="15" customHeight="1" spans="1:75">
      <c r="A19" s="123" t="str">
        <f>IF(B19="","",COUNT(A$7:A18)+1)</f>
        <v/>
      </c>
      <c r="B19" s="139"/>
      <c r="C19" s="139"/>
      <c r="D19" s="141"/>
      <c r="E19" s="141"/>
      <c r="F19" s="142"/>
      <c r="G19" s="127" t="str">
        <f>IFERROR(VLOOKUP(F19,参数表!$H$2:$I$50,2,FALSE),"")</f>
        <v/>
      </c>
      <c r="H19" s="128" t="str">
        <f t="shared" si="17"/>
        <v/>
      </c>
      <c r="I19" s="128" t="str">
        <f t="shared" si="18"/>
        <v/>
      </c>
      <c r="J19" s="980"/>
      <c r="K19" s="143" t="str">
        <f t="shared" si="6"/>
        <v/>
      </c>
      <c r="L19" s="143"/>
      <c r="M19" s="143"/>
      <c r="N19" s="144"/>
      <c r="O19" s="144"/>
      <c r="P19" s="144"/>
      <c r="Q19" s="353" t="str">
        <f t="shared" si="7"/>
        <v/>
      </c>
      <c r="R19" s="129" t="str">
        <f t="shared" si="8"/>
        <v/>
      </c>
      <c r="S19" s="1226" t="str">
        <f t="shared" si="9"/>
        <v/>
      </c>
      <c r="T19" s="1226" t="str">
        <f t="shared" si="10"/>
        <v/>
      </c>
      <c r="U19" s="353" t="str">
        <f t="shared" si="0"/>
        <v/>
      </c>
      <c r="V19" s="129" t="str">
        <f t="shared" si="11"/>
        <v/>
      </c>
      <c r="W19" s="129" t="str">
        <f t="shared" si="1"/>
        <v/>
      </c>
      <c r="X19" s="129" t="str">
        <f t="shared" si="2"/>
        <v/>
      </c>
      <c r="Y19" s="129" t="str">
        <f t="shared" si="3"/>
        <v/>
      </c>
      <c r="Z19" s="145"/>
      <c r="BA19" s="78"/>
      <c r="BB19" s="132" t="s">
        <v>2652</v>
      </c>
      <c r="BC19" s="133"/>
      <c r="BD19" s="132" t="str">
        <f>IF(OR(B19="",BC19=""),"",COUNTIF(BC$8:BC19,"√"))</f>
        <v/>
      </c>
      <c r="BE19" s="134" t="str">
        <f t="shared" si="4"/>
        <v/>
      </c>
      <c r="BF19" s="135" t="str">
        <f t="shared" si="12"/>
        <v/>
      </c>
      <c r="BG19" s="135" t="str">
        <f t="shared" si="12"/>
        <v/>
      </c>
      <c r="BH19" s="136"/>
      <c r="BI19" s="136"/>
      <c r="BJ19" s="136"/>
      <c r="BK19" s="136"/>
      <c r="BL19" s="136"/>
      <c r="BM19" s="137"/>
      <c r="BN19" s="137"/>
      <c r="BP19" s="134" t="str">
        <f>IF(COUNTIF(BP$7:BP18,B19)&gt;0,"",B19)&amp;""</f>
        <v/>
      </c>
      <c r="BQ19" s="138">
        <f t="shared" si="13"/>
        <v>0</v>
      </c>
      <c r="BR19" s="132">
        <f t="shared" si="14"/>
        <v>1</v>
      </c>
      <c r="BS19" s="138">
        <f t="shared" si="15"/>
        <v>0</v>
      </c>
      <c r="BT19" s="132">
        <f t="shared" si="16"/>
        <v>1</v>
      </c>
      <c r="BU19" s="133"/>
      <c r="BV19" s="133"/>
    </row>
    <row r="20" ht="15" customHeight="1" spans="1:75">
      <c r="A20" s="123" t="str">
        <f>IF(B20="","",COUNT(A$7:A19)+1)</f>
        <v/>
      </c>
      <c r="B20" s="139"/>
      <c r="C20" s="139"/>
      <c r="D20" s="141"/>
      <c r="E20" s="141"/>
      <c r="F20" s="142"/>
      <c r="G20" s="127" t="str">
        <f>IFERROR(VLOOKUP(F20,参数表!$H$2:$I$50,2,FALSE),"")</f>
        <v/>
      </c>
      <c r="H20" s="128" t="str">
        <f t="shared" si="17"/>
        <v/>
      </c>
      <c r="I20" s="128" t="str">
        <f t="shared" si="18"/>
        <v/>
      </c>
      <c r="J20" s="980"/>
      <c r="K20" s="143" t="str">
        <f t="shared" si="6"/>
        <v/>
      </c>
      <c r="L20" s="143"/>
      <c r="M20" s="143"/>
      <c r="N20" s="144"/>
      <c r="O20" s="144"/>
      <c r="P20" s="144"/>
      <c r="Q20" s="353" t="str">
        <f t="shared" si="7"/>
        <v/>
      </c>
      <c r="R20" s="129" t="str">
        <f t="shared" si="8"/>
        <v/>
      </c>
      <c r="S20" s="1226" t="str">
        <f t="shared" si="9"/>
        <v/>
      </c>
      <c r="T20" s="1226" t="str">
        <f t="shared" si="10"/>
        <v/>
      </c>
      <c r="U20" s="353" t="str">
        <f t="shared" si="0"/>
        <v/>
      </c>
      <c r="V20" s="129" t="str">
        <f t="shared" si="11"/>
        <v/>
      </c>
      <c r="W20" s="129" t="str">
        <f t="shared" si="1"/>
        <v/>
      </c>
      <c r="X20" s="129" t="str">
        <f t="shared" si="2"/>
        <v/>
      </c>
      <c r="Y20" s="129" t="str">
        <f t="shared" si="3"/>
        <v/>
      </c>
      <c r="Z20" s="145"/>
      <c r="BA20" s="78"/>
      <c r="BB20" s="132" t="s">
        <v>2653</v>
      </c>
      <c r="BC20" s="133"/>
      <c r="BD20" s="132" t="str">
        <f>IF(OR(B20="",BC20=""),"",COUNTIF(BC$8:BC20,"√"))</f>
        <v/>
      </c>
      <c r="BE20" s="134" t="str">
        <f t="shared" si="4"/>
        <v/>
      </c>
      <c r="BF20" s="135" t="str">
        <f t="shared" si="12"/>
        <v/>
      </c>
      <c r="BG20" s="135" t="str">
        <f t="shared" si="12"/>
        <v/>
      </c>
      <c r="BH20" s="136"/>
      <c r="BI20" s="136"/>
      <c r="BJ20" s="136"/>
      <c r="BK20" s="136"/>
      <c r="BL20" s="136"/>
      <c r="BM20" s="137"/>
      <c r="BN20" s="137"/>
      <c r="BP20" s="134" t="str">
        <f>IF(COUNTIF(BP$7:BP19,B20)&gt;0,"",B20)&amp;""</f>
        <v/>
      </c>
      <c r="BQ20" s="138">
        <f t="shared" si="13"/>
        <v>0</v>
      </c>
      <c r="BR20" s="132">
        <f t="shared" si="14"/>
        <v>1</v>
      </c>
      <c r="BS20" s="138">
        <f t="shared" si="15"/>
        <v>0</v>
      </c>
      <c r="BT20" s="132">
        <f t="shared" si="16"/>
        <v>1</v>
      </c>
      <c r="BU20" s="133"/>
      <c r="BV20" s="133"/>
    </row>
    <row r="21" ht="15" customHeight="1" spans="1:75">
      <c r="A21" s="123" t="str">
        <f>IF(B21="","",COUNT(A$7:A20)+1)</f>
        <v/>
      </c>
      <c r="B21" s="139"/>
      <c r="C21" s="139"/>
      <c r="D21" s="141"/>
      <c r="E21" s="141"/>
      <c r="F21" s="142"/>
      <c r="G21" s="127" t="str">
        <f>IFERROR(VLOOKUP(F21,参数表!$H$2:$I$50,2,FALSE),"")</f>
        <v/>
      </c>
      <c r="H21" s="128" t="str">
        <f t="shared" si="17"/>
        <v/>
      </c>
      <c r="I21" s="128" t="str">
        <f t="shared" si="18"/>
        <v/>
      </c>
      <c r="J21" s="980"/>
      <c r="K21" s="143" t="str">
        <f t="shared" si="6"/>
        <v/>
      </c>
      <c r="L21" s="143"/>
      <c r="M21" s="143"/>
      <c r="N21" s="144"/>
      <c r="O21" s="144"/>
      <c r="P21" s="144"/>
      <c r="Q21" s="353" t="str">
        <f t="shared" si="7"/>
        <v/>
      </c>
      <c r="R21" s="129" t="str">
        <f t="shared" si="8"/>
        <v/>
      </c>
      <c r="S21" s="1226" t="str">
        <f t="shared" si="9"/>
        <v/>
      </c>
      <c r="T21" s="1226" t="str">
        <f t="shared" si="10"/>
        <v/>
      </c>
      <c r="U21" s="353" t="str">
        <f t="shared" si="0"/>
        <v/>
      </c>
      <c r="V21" s="129" t="str">
        <f t="shared" si="11"/>
        <v/>
      </c>
      <c r="W21" s="129" t="str">
        <f t="shared" si="1"/>
        <v/>
      </c>
      <c r="X21" s="129" t="str">
        <f t="shared" si="2"/>
        <v/>
      </c>
      <c r="Y21" s="129" t="str">
        <f t="shared" si="3"/>
        <v/>
      </c>
      <c r="Z21" s="145"/>
      <c r="BA21" s="78"/>
      <c r="BB21" s="132" t="s">
        <v>2654</v>
      </c>
      <c r="BC21" s="133"/>
      <c r="BD21" s="132" t="str">
        <f>IF(OR(B21="",BC21=""),"",COUNTIF(BC$8:BC21,"√"))</f>
        <v/>
      </c>
      <c r="BE21" s="134" t="str">
        <f t="shared" si="4"/>
        <v/>
      </c>
      <c r="BF21" s="135" t="str">
        <f t="shared" si="12"/>
        <v/>
      </c>
      <c r="BG21" s="135" t="str">
        <f t="shared" si="12"/>
        <v/>
      </c>
      <c r="BH21" s="136"/>
      <c r="BI21" s="136"/>
      <c r="BJ21" s="136"/>
      <c r="BK21" s="136"/>
      <c r="BL21" s="136"/>
      <c r="BM21" s="137"/>
      <c r="BN21" s="137"/>
      <c r="BP21" s="134" t="str">
        <f>IF(COUNTIF(BP$7:BP20,B21)&gt;0,"",B21)&amp;""</f>
        <v/>
      </c>
      <c r="BQ21" s="138">
        <f t="shared" si="13"/>
        <v>0</v>
      </c>
      <c r="BR21" s="132">
        <f t="shared" si="14"/>
        <v>1</v>
      </c>
      <c r="BS21" s="138">
        <f t="shared" si="15"/>
        <v>0</v>
      </c>
      <c r="BT21" s="132">
        <f t="shared" si="16"/>
        <v>1</v>
      </c>
      <c r="BU21" s="133"/>
      <c r="BV21" s="133"/>
    </row>
    <row r="22" ht="15" customHeight="1" spans="1:75">
      <c r="A22" s="123" t="str">
        <f>IF(B22="","",COUNT(A$7:A21)+1)</f>
        <v/>
      </c>
      <c r="B22" s="139"/>
      <c r="C22" s="139"/>
      <c r="D22" s="141"/>
      <c r="E22" s="141"/>
      <c r="F22" s="142"/>
      <c r="G22" s="127" t="str">
        <f>IFERROR(VLOOKUP(F22,参数表!$H$2:$I$50,2,FALSE),"")</f>
        <v/>
      </c>
      <c r="H22" s="128" t="str">
        <f t="shared" si="17"/>
        <v/>
      </c>
      <c r="I22" s="128" t="str">
        <f t="shared" si="18"/>
        <v/>
      </c>
      <c r="J22" s="980"/>
      <c r="K22" s="143" t="str">
        <f t="shared" si="6"/>
        <v/>
      </c>
      <c r="L22" s="143"/>
      <c r="M22" s="143"/>
      <c r="N22" s="144"/>
      <c r="O22" s="144"/>
      <c r="P22" s="144"/>
      <c r="Q22" s="353" t="str">
        <f t="shared" si="7"/>
        <v/>
      </c>
      <c r="R22" s="129" t="str">
        <f t="shared" si="8"/>
        <v/>
      </c>
      <c r="S22" s="1226" t="str">
        <f t="shared" si="9"/>
        <v/>
      </c>
      <c r="T22" s="1226" t="str">
        <f t="shared" si="10"/>
        <v/>
      </c>
      <c r="U22" s="353" t="str">
        <f t="shared" si="0"/>
        <v/>
      </c>
      <c r="V22" s="129" t="str">
        <f t="shared" si="11"/>
        <v/>
      </c>
      <c r="W22" s="129" t="str">
        <f t="shared" si="1"/>
        <v/>
      </c>
      <c r="X22" s="129" t="str">
        <f t="shared" si="2"/>
        <v/>
      </c>
      <c r="Y22" s="129" t="str">
        <f t="shared" si="3"/>
        <v/>
      </c>
      <c r="Z22" s="145"/>
      <c r="BA22" s="78"/>
      <c r="BB22" s="132" t="s">
        <v>2655</v>
      </c>
      <c r="BC22" s="133"/>
      <c r="BD22" s="132" t="str">
        <f>IF(OR(B22="",BC22=""),"",COUNTIF(BC$8:BC22,"√"))</f>
        <v/>
      </c>
      <c r="BE22" s="134" t="str">
        <f t="shared" si="4"/>
        <v/>
      </c>
      <c r="BF22" s="135" t="str">
        <f t="shared" si="12"/>
        <v/>
      </c>
      <c r="BG22" s="135" t="str">
        <f t="shared" si="12"/>
        <v/>
      </c>
      <c r="BH22" s="136"/>
      <c r="BI22" s="136"/>
      <c r="BJ22" s="136"/>
      <c r="BK22" s="136"/>
      <c r="BL22" s="136"/>
      <c r="BM22" s="137"/>
      <c r="BN22" s="137"/>
      <c r="BP22" s="134" t="str">
        <f>IF(COUNTIF(BP$7:BP21,B22)&gt;0,"",B22)&amp;""</f>
        <v/>
      </c>
      <c r="BQ22" s="138">
        <f t="shared" si="13"/>
        <v>0</v>
      </c>
      <c r="BR22" s="132">
        <f t="shared" si="14"/>
        <v>1</v>
      </c>
      <c r="BS22" s="138">
        <f t="shared" si="15"/>
        <v>0</v>
      </c>
      <c r="BT22" s="132">
        <f t="shared" si="16"/>
        <v>1</v>
      </c>
      <c r="BU22" s="133"/>
      <c r="BV22" s="133"/>
    </row>
    <row r="23" ht="15" customHeight="1" spans="1:75">
      <c r="A23" s="123" t="str">
        <f>IF(B23="","",COUNT(A$7:A22)+1)</f>
        <v/>
      </c>
      <c r="B23" s="139"/>
      <c r="C23" s="139"/>
      <c r="D23" s="141"/>
      <c r="E23" s="141"/>
      <c r="F23" s="142"/>
      <c r="G23" s="127" t="str">
        <f>IFERROR(VLOOKUP(F23,参数表!$H$2:$I$50,2,FALSE),"")</f>
        <v/>
      </c>
      <c r="H23" s="128" t="str">
        <f t="shared" si="17"/>
        <v/>
      </c>
      <c r="I23" s="128" t="str">
        <f t="shared" si="18"/>
        <v/>
      </c>
      <c r="J23" s="980"/>
      <c r="K23" s="143" t="str">
        <f t="shared" si="6"/>
        <v/>
      </c>
      <c r="L23" s="143"/>
      <c r="M23" s="143"/>
      <c r="N23" s="144"/>
      <c r="O23" s="144"/>
      <c r="P23" s="144"/>
      <c r="Q23" s="353" t="str">
        <f t="shared" si="7"/>
        <v/>
      </c>
      <c r="R23" s="129" t="str">
        <f t="shared" si="8"/>
        <v/>
      </c>
      <c r="S23" s="1226" t="str">
        <f t="shared" si="9"/>
        <v/>
      </c>
      <c r="T23" s="1226" t="str">
        <f t="shared" si="10"/>
        <v/>
      </c>
      <c r="U23" s="353" t="str">
        <f t="shared" si="0"/>
        <v/>
      </c>
      <c r="V23" s="129" t="str">
        <f t="shared" si="11"/>
        <v/>
      </c>
      <c r="W23" s="129" t="str">
        <f t="shared" si="1"/>
        <v/>
      </c>
      <c r="X23" s="129" t="str">
        <f t="shared" si="2"/>
        <v/>
      </c>
      <c r="Y23" s="129" t="str">
        <f t="shared" si="3"/>
        <v/>
      </c>
      <c r="Z23" s="145"/>
      <c r="BA23" s="78"/>
      <c r="BB23" s="132" t="s">
        <v>2656</v>
      </c>
      <c r="BC23" s="133"/>
      <c r="BD23" s="132" t="str">
        <f>IF(OR(B23="",BC23=""),"",COUNTIF(BC$8:BC23,"√"))</f>
        <v/>
      </c>
      <c r="BE23" s="134" t="str">
        <f t="shared" si="4"/>
        <v/>
      </c>
      <c r="BF23" s="135" t="str">
        <f t="shared" si="12"/>
        <v/>
      </c>
      <c r="BG23" s="135" t="str">
        <f t="shared" si="12"/>
        <v/>
      </c>
      <c r="BH23" s="136"/>
      <c r="BI23" s="136"/>
      <c r="BJ23" s="136"/>
      <c r="BK23" s="136"/>
      <c r="BL23" s="136"/>
      <c r="BM23" s="137"/>
      <c r="BN23" s="137"/>
      <c r="BP23" s="134" t="str">
        <f>IF(COUNTIF(BP$7:BP22,B23)&gt;0,"",B23)&amp;""</f>
        <v/>
      </c>
      <c r="BQ23" s="138">
        <f t="shared" si="13"/>
        <v>0</v>
      </c>
      <c r="BR23" s="132">
        <f t="shared" si="14"/>
        <v>1</v>
      </c>
      <c r="BS23" s="138">
        <f t="shared" si="15"/>
        <v>0</v>
      </c>
      <c r="BT23" s="132">
        <f t="shared" si="16"/>
        <v>1</v>
      </c>
      <c r="BU23" s="133"/>
      <c r="BV23" s="133"/>
    </row>
    <row r="24" ht="15" customHeight="1" spans="1:75">
      <c r="A24" s="123" t="str">
        <f>IF(B24="","",COUNT(A$7:A23)+1)</f>
        <v/>
      </c>
      <c r="B24" s="139"/>
      <c r="C24" s="139"/>
      <c r="D24" s="141"/>
      <c r="E24" s="141"/>
      <c r="F24" s="142"/>
      <c r="G24" s="127" t="str">
        <f>IFERROR(VLOOKUP(F24,参数表!$H$2:$I$50,2,FALSE),"")</f>
        <v/>
      </c>
      <c r="H24" s="128" t="str">
        <f t="shared" si="17"/>
        <v/>
      </c>
      <c r="I24" s="128" t="str">
        <f t="shared" si="18"/>
        <v/>
      </c>
      <c r="J24" s="980"/>
      <c r="K24" s="143" t="str">
        <f t="shared" si="6"/>
        <v/>
      </c>
      <c r="L24" s="143"/>
      <c r="M24" s="143"/>
      <c r="N24" s="144"/>
      <c r="O24" s="144"/>
      <c r="P24" s="144"/>
      <c r="Q24" s="353" t="str">
        <f t="shared" si="7"/>
        <v/>
      </c>
      <c r="R24" s="129" t="str">
        <f t="shared" si="8"/>
        <v/>
      </c>
      <c r="S24" s="1226" t="str">
        <f t="shared" si="9"/>
        <v/>
      </c>
      <c r="T24" s="1226" t="str">
        <f t="shared" si="10"/>
        <v/>
      </c>
      <c r="U24" s="353" t="str">
        <f t="shared" si="0"/>
        <v/>
      </c>
      <c r="V24" s="129" t="str">
        <f t="shared" si="11"/>
        <v/>
      </c>
      <c r="W24" s="129" t="str">
        <f t="shared" si="1"/>
        <v/>
      </c>
      <c r="X24" s="129" t="str">
        <f t="shared" si="2"/>
        <v/>
      </c>
      <c r="Y24" s="129" t="str">
        <f t="shared" si="3"/>
        <v/>
      </c>
      <c r="Z24" s="145"/>
      <c r="BA24" s="78"/>
      <c r="BB24" s="132" t="s">
        <v>2657</v>
      </c>
      <c r="BC24" s="133"/>
      <c r="BD24" s="132" t="str">
        <f>IF(OR(B24="",BC24=""),"",COUNTIF(BC$8:BC24,"√"))</f>
        <v/>
      </c>
      <c r="BE24" s="134" t="str">
        <f t="shared" si="4"/>
        <v/>
      </c>
      <c r="BF24" s="135" t="str">
        <f t="shared" si="12"/>
        <v/>
      </c>
      <c r="BG24" s="135" t="str">
        <f t="shared" si="12"/>
        <v/>
      </c>
      <c r="BH24" s="136"/>
      <c r="BI24" s="136"/>
      <c r="BJ24" s="136"/>
      <c r="BK24" s="136"/>
      <c r="BL24" s="136"/>
      <c r="BM24" s="137"/>
      <c r="BN24" s="137"/>
      <c r="BP24" s="134" t="str">
        <f>IF(COUNTIF(BP$7:BP23,B24)&gt;0,"",B24)&amp;""</f>
        <v/>
      </c>
      <c r="BQ24" s="138">
        <f t="shared" si="13"/>
        <v>0</v>
      </c>
      <c r="BR24" s="132">
        <f t="shared" si="14"/>
        <v>1</v>
      </c>
      <c r="BS24" s="138">
        <f t="shared" si="15"/>
        <v>0</v>
      </c>
      <c r="BT24" s="132">
        <f t="shared" si="16"/>
        <v>1</v>
      </c>
      <c r="BU24" s="133"/>
      <c r="BV24" s="133"/>
    </row>
    <row r="25" ht="15" customHeight="1" spans="1:75">
      <c r="A25" s="123" t="str">
        <f>IF(B25="","",COUNT(A$7:A24)+1)</f>
        <v/>
      </c>
      <c r="B25" s="139"/>
      <c r="C25" s="139"/>
      <c r="D25" s="141"/>
      <c r="E25" s="141"/>
      <c r="F25" s="142"/>
      <c r="G25" s="127" t="str">
        <f>IFERROR(VLOOKUP(F25,参数表!$H$2:$I$50,2,FALSE),"")</f>
        <v/>
      </c>
      <c r="H25" s="128" t="str">
        <f t="shared" si="17"/>
        <v/>
      </c>
      <c r="I25" s="128" t="str">
        <f t="shared" si="18"/>
        <v/>
      </c>
      <c r="J25" s="980"/>
      <c r="K25" s="143" t="str">
        <f t="shared" si="6"/>
        <v/>
      </c>
      <c r="L25" s="143"/>
      <c r="M25" s="143"/>
      <c r="N25" s="144"/>
      <c r="O25" s="144"/>
      <c r="P25" s="144"/>
      <c r="Q25" s="353" t="str">
        <f t="shared" si="7"/>
        <v/>
      </c>
      <c r="R25" s="129" t="str">
        <f t="shared" si="8"/>
        <v/>
      </c>
      <c r="S25" s="1226" t="str">
        <f t="shared" si="9"/>
        <v/>
      </c>
      <c r="T25" s="1226" t="str">
        <f t="shared" si="10"/>
        <v/>
      </c>
      <c r="U25" s="353" t="str">
        <f t="shared" si="0"/>
        <v/>
      </c>
      <c r="V25" s="129" t="str">
        <f t="shared" si="11"/>
        <v/>
      </c>
      <c r="W25" s="129" t="str">
        <f t="shared" si="1"/>
        <v/>
      </c>
      <c r="X25" s="129" t="str">
        <f t="shared" si="2"/>
        <v/>
      </c>
      <c r="Y25" s="129" t="str">
        <f t="shared" si="3"/>
        <v/>
      </c>
      <c r="Z25" s="145"/>
      <c r="BA25" s="78"/>
      <c r="BB25" s="132" t="s">
        <v>2658</v>
      </c>
      <c r="BC25" s="133"/>
      <c r="BD25" s="132" t="str">
        <f>IF(OR(B25="",BC25=""),"",COUNTIF(BC$8:BC25,"√"))</f>
        <v/>
      </c>
      <c r="BE25" s="134" t="str">
        <f t="shared" si="4"/>
        <v/>
      </c>
      <c r="BF25" s="135" t="str">
        <f t="shared" si="12"/>
        <v/>
      </c>
      <c r="BG25" s="135" t="str">
        <f t="shared" si="12"/>
        <v/>
      </c>
      <c r="BH25" s="136"/>
      <c r="BI25" s="136"/>
      <c r="BJ25" s="136"/>
      <c r="BK25" s="136"/>
      <c r="BL25" s="136"/>
      <c r="BM25" s="137"/>
      <c r="BN25" s="137"/>
      <c r="BP25" s="134" t="str">
        <f>IF(COUNTIF(BP$7:BP24,B25)&gt;0,"",B25)&amp;""</f>
        <v/>
      </c>
      <c r="BQ25" s="138">
        <f t="shared" si="13"/>
        <v>0</v>
      </c>
      <c r="BR25" s="132">
        <f t="shared" si="14"/>
        <v>1</v>
      </c>
      <c r="BS25" s="138">
        <f t="shared" si="15"/>
        <v>0</v>
      </c>
      <c r="BT25" s="132">
        <f t="shared" si="16"/>
        <v>1</v>
      </c>
      <c r="BU25" s="133"/>
      <c r="BV25" s="133"/>
    </row>
    <row r="26" ht="15" customHeight="1" spans="1:75">
      <c r="A26" s="123" t="str">
        <f>IF(B26="","",COUNT(A$7:A25)+1)</f>
        <v/>
      </c>
      <c r="B26" s="139"/>
      <c r="C26" s="139"/>
      <c r="D26" s="141"/>
      <c r="E26" s="141"/>
      <c r="F26" s="142"/>
      <c r="G26" s="127" t="str">
        <f>IFERROR(VLOOKUP(F26,参数表!$H$2:$I$50,2,FALSE),"")</f>
        <v/>
      </c>
      <c r="H26" s="128" t="str">
        <f t="shared" si="17"/>
        <v/>
      </c>
      <c r="I26" s="128" t="str">
        <f t="shared" si="18"/>
        <v/>
      </c>
      <c r="J26" s="980"/>
      <c r="K26" s="143" t="str">
        <f t="shared" si="6"/>
        <v/>
      </c>
      <c r="L26" s="143"/>
      <c r="M26" s="143"/>
      <c r="N26" s="144"/>
      <c r="O26" s="144"/>
      <c r="P26" s="144"/>
      <c r="Q26" s="353" t="str">
        <f t="shared" si="7"/>
        <v/>
      </c>
      <c r="R26" s="129" t="str">
        <f t="shared" si="8"/>
        <v/>
      </c>
      <c r="S26" s="1226" t="str">
        <f t="shared" si="9"/>
        <v/>
      </c>
      <c r="T26" s="1226" t="str">
        <f t="shared" si="10"/>
        <v/>
      </c>
      <c r="U26" s="353" t="str">
        <f t="shared" si="0"/>
        <v/>
      </c>
      <c r="V26" s="129" t="str">
        <f t="shared" si="11"/>
        <v/>
      </c>
      <c r="W26" s="129" t="str">
        <f t="shared" si="1"/>
        <v/>
      </c>
      <c r="X26" s="129" t="str">
        <f t="shared" si="2"/>
        <v/>
      </c>
      <c r="Y26" s="129" t="str">
        <f t="shared" si="3"/>
        <v/>
      </c>
      <c r="Z26" s="145"/>
      <c r="BA26" s="78"/>
      <c r="BB26" s="132" t="s">
        <v>2659</v>
      </c>
      <c r="BC26" s="133"/>
      <c r="BD26" s="132" t="str">
        <f>IF(OR(B26="",BC26=""),"",COUNTIF(BC$8:BC26,"√"))</f>
        <v/>
      </c>
      <c r="BE26" s="134" t="str">
        <f t="shared" si="4"/>
        <v/>
      </c>
      <c r="BF26" s="135" t="str">
        <f t="shared" si="12"/>
        <v/>
      </c>
      <c r="BG26" s="135" t="str">
        <f t="shared" si="12"/>
        <v/>
      </c>
      <c r="BH26" s="136"/>
      <c r="BI26" s="136"/>
      <c r="BJ26" s="136"/>
      <c r="BK26" s="136"/>
      <c r="BL26" s="136"/>
      <c r="BM26" s="137"/>
      <c r="BN26" s="137"/>
      <c r="BP26" s="134" t="str">
        <f>IF(COUNTIF(BP$7:BP25,B26)&gt;0,"",B26)&amp;""</f>
        <v/>
      </c>
      <c r="BQ26" s="138">
        <f t="shared" si="13"/>
        <v>0</v>
      </c>
      <c r="BR26" s="132">
        <f t="shared" si="14"/>
        <v>1</v>
      </c>
      <c r="BS26" s="138">
        <f t="shared" si="15"/>
        <v>0</v>
      </c>
      <c r="BT26" s="132">
        <f t="shared" si="16"/>
        <v>1</v>
      </c>
      <c r="BU26" s="133"/>
      <c r="BV26" s="133"/>
    </row>
    <row r="27" ht="15" customHeight="1" spans="1:75">
      <c r="A27" s="123" t="str">
        <f>IF(B27="","",COUNT(A$7:A26)+1)</f>
        <v/>
      </c>
      <c r="B27" s="124"/>
      <c r="C27" s="124"/>
      <c r="D27" s="126"/>
      <c r="E27" s="126"/>
      <c r="F27" s="127"/>
      <c r="G27" s="127" t="str">
        <f>IFERROR(VLOOKUP(F27,参数表!$H$2:$I$50,2,FALSE),"")</f>
        <v/>
      </c>
      <c r="H27" s="128" t="str">
        <f t="shared" si="17"/>
        <v/>
      </c>
      <c r="I27" s="128" t="str">
        <f t="shared" si="18"/>
        <v/>
      </c>
      <c r="J27" s="353"/>
      <c r="K27" s="129" t="str">
        <f t="shared" si="6"/>
        <v/>
      </c>
      <c r="L27" s="129"/>
      <c r="M27" s="129"/>
      <c r="N27" s="130"/>
      <c r="O27" s="130"/>
      <c r="P27" s="130"/>
      <c r="Q27" s="353" t="str">
        <f t="shared" si="7"/>
        <v/>
      </c>
      <c r="R27" s="129" t="str">
        <f t="shared" si="8"/>
        <v/>
      </c>
      <c r="S27" s="1226" t="str">
        <f t="shared" si="9"/>
        <v/>
      </c>
      <c r="T27" s="1226" t="str">
        <f t="shared" si="10"/>
        <v/>
      </c>
      <c r="U27" s="353" t="str">
        <f t="shared" si="0"/>
        <v/>
      </c>
      <c r="V27" s="129" t="str">
        <f t="shared" si="11"/>
        <v/>
      </c>
      <c r="W27" s="129" t="str">
        <f t="shared" si="1"/>
        <v/>
      </c>
      <c r="X27" s="129" t="str">
        <f t="shared" si="2"/>
        <v/>
      </c>
      <c r="Y27" s="129" t="str">
        <f t="shared" si="3"/>
        <v/>
      </c>
      <c r="Z27" s="131"/>
      <c r="BA27" s="78"/>
      <c r="BB27" s="132" t="s">
        <v>2660</v>
      </c>
      <c r="BC27" s="133"/>
      <c r="BD27" s="132" t="str">
        <f>IF(OR(B27="",BC27=""),"",COUNTIF(BC$8:BC27,"√"))</f>
        <v/>
      </c>
      <c r="BE27" s="134" t="str">
        <f t="shared" si="4"/>
        <v/>
      </c>
      <c r="BF27" s="135" t="str">
        <f t="shared" si="12"/>
        <v/>
      </c>
      <c r="BG27" s="135" t="str">
        <f t="shared" si="12"/>
        <v/>
      </c>
      <c r="BH27" s="136"/>
      <c r="BI27" s="136"/>
      <c r="BJ27" s="136"/>
      <c r="BK27" s="136"/>
      <c r="BL27" s="136"/>
      <c r="BM27" s="137"/>
      <c r="BN27" s="137"/>
      <c r="BP27" s="134" t="str">
        <f>IF(COUNTIF(BP$7:BP26,B27)&gt;0,"",B27)&amp;""</f>
        <v/>
      </c>
      <c r="BQ27" s="138">
        <f t="shared" si="13"/>
        <v>0</v>
      </c>
      <c r="BR27" s="132">
        <f t="shared" si="14"/>
        <v>1</v>
      </c>
      <c r="BS27" s="138">
        <f t="shared" si="15"/>
        <v>0</v>
      </c>
      <c r="BT27" s="132">
        <f t="shared" si="16"/>
        <v>1</v>
      </c>
      <c r="BU27" s="133"/>
      <c r="BV27" s="133"/>
    </row>
    <row r="28" ht="15" customHeight="1" spans="1:75">
      <c r="A28" s="221" t="s">
        <v>1954</v>
      </c>
      <c r="B28" s="221"/>
      <c r="C28" s="124"/>
      <c r="D28" s="126"/>
      <c r="E28" s="126"/>
      <c r="F28" s="131"/>
      <c r="G28" s="131"/>
      <c r="H28" s="131"/>
      <c r="I28" s="131"/>
      <c r="J28" s="353"/>
      <c r="K28" s="129" t="str">
        <f t="shared" si="6"/>
        <v/>
      </c>
      <c r="L28" s="152">
        <f>SUM(L8:L27)</f>
        <v>0</v>
      </c>
      <c r="M28" s="152">
        <f>SUM(M8:M27)</f>
        <v>0</v>
      </c>
      <c r="N28" s="153"/>
      <c r="O28" s="153"/>
      <c r="P28" s="153"/>
      <c r="Q28" s="353"/>
      <c r="R28" s="129" t="str">
        <f>IF(Q28=0,"",S28/Q28)</f>
        <v/>
      </c>
      <c r="S28" s="152">
        <f>SUM(S8:S27)</f>
        <v>0</v>
      </c>
      <c r="T28" s="152">
        <f>SUM(T8:T27)</f>
        <v>0</v>
      </c>
      <c r="U28" s="353"/>
      <c r="V28" s="129"/>
      <c r="W28" s="152">
        <f>SUM(W8:W27)</f>
        <v>0</v>
      </c>
      <c r="X28" s="152">
        <f t="shared" si="2"/>
        <v>0</v>
      </c>
      <c r="Y28" s="152" t="str">
        <f t="shared" si="3"/>
        <v/>
      </c>
      <c r="Z28" s="131"/>
      <c r="BC28" s="75"/>
      <c r="BD28" s="75"/>
      <c r="BE28" s="75"/>
      <c r="BF28" s="75"/>
      <c r="BG28" s="75"/>
      <c r="BO28" s="111"/>
      <c r="BP28" s="119"/>
      <c r="BR28" s="77"/>
      <c r="BS28" s="77"/>
      <c r="BT28" s="119"/>
      <c r="BU28" s="119"/>
      <c r="BV28" s="119"/>
      <c r="BW28" s="111"/>
    </row>
    <row r="29" ht="15" customHeight="1" spans="1:75">
      <c r="A29" s="982" t="s">
        <v>2205</v>
      </c>
      <c r="B29" s="982"/>
      <c r="C29" s="124"/>
      <c r="D29" s="126"/>
      <c r="E29" s="126"/>
      <c r="F29" s="131"/>
      <c r="G29" s="131"/>
      <c r="H29" s="131"/>
      <c r="I29" s="131"/>
      <c r="J29" s="129"/>
      <c r="K29" s="1226"/>
      <c r="L29" s="129">
        <f>M28</f>
        <v>0</v>
      </c>
      <c r="M29" s="129"/>
      <c r="N29" s="130"/>
      <c r="O29" s="130"/>
      <c r="P29" s="130"/>
      <c r="Q29" s="1226"/>
      <c r="R29" s="1226"/>
      <c r="S29" s="129">
        <f>T28</f>
        <v>0</v>
      </c>
      <c r="T29" s="129"/>
      <c r="U29" s="129"/>
      <c r="V29" s="129"/>
      <c r="W29" s="129"/>
      <c r="X29" s="129">
        <f t="shared" si="2"/>
        <v>0</v>
      </c>
      <c r="Y29" s="129" t="str">
        <f t="shared" si="3"/>
        <v/>
      </c>
      <c r="Z29" s="131"/>
      <c r="BC29" s="75"/>
      <c r="BD29" s="75"/>
      <c r="BE29" s="75"/>
      <c r="BF29" s="75"/>
      <c r="BG29" s="75"/>
    </row>
    <row r="30" s="73" customFormat="1" ht="15" customHeight="1" spans="1:75">
      <c r="A30" s="221" t="s">
        <v>1957</v>
      </c>
      <c r="B30" s="221"/>
      <c r="C30" s="149"/>
      <c r="D30" s="149"/>
      <c r="E30" s="149"/>
      <c r="F30" s="151"/>
      <c r="G30" s="151"/>
      <c r="H30" s="151"/>
      <c r="I30" s="151"/>
      <c r="J30" s="152"/>
      <c r="K30" s="152"/>
      <c r="L30" s="152">
        <f>L28-L29</f>
        <v>0</v>
      </c>
      <c r="M30" s="152"/>
      <c r="N30" s="153"/>
      <c r="O30" s="153"/>
      <c r="P30" s="153"/>
      <c r="Q30" s="152"/>
      <c r="R30" s="152"/>
      <c r="S30" s="152">
        <f>S28-S29</f>
        <v>0</v>
      </c>
      <c r="T30" s="152"/>
      <c r="U30" s="152"/>
      <c r="V30" s="152"/>
      <c r="W30" s="152">
        <f>W28-W29</f>
        <v>0</v>
      </c>
      <c r="X30" s="152">
        <f t="shared" si="2"/>
        <v>0</v>
      </c>
      <c r="Y30" s="152" t="str">
        <f t="shared" si="3"/>
        <v/>
      </c>
      <c r="Z30" s="151"/>
      <c r="BH30" s="72"/>
      <c r="BI30" s="72"/>
      <c r="BJ30" s="72"/>
      <c r="BK30" s="72"/>
      <c r="BL30" s="72"/>
      <c r="BO30" s="77"/>
      <c r="BP30" s="78"/>
      <c r="BQ30" s="77"/>
      <c r="BR30" s="78"/>
      <c r="BS30" s="78"/>
      <c r="BT30" s="78"/>
      <c r="BU30" s="78"/>
      <c r="BV30" s="78"/>
      <c r="BW30" s="77"/>
    </row>
    <row r="31" customHeight="1" spans="1:75">
      <c r="A31" s="102" t="str">
        <f>参数表!F$6</f>
        <v>产权持有单位填表人：贾广东</v>
      </c>
      <c r="B31" s="154"/>
      <c r="C31" s="154"/>
      <c r="D31" s="154"/>
      <c r="E31" s="286"/>
      <c r="F31" s="154"/>
      <c r="G31" s="154"/>
      <c r="H31" s="154"/>
      <c r="I31" s="154"/>
      <c r="J31" s="154"/>
      <c r="K31" s="1217"/>
      <c r="L31" s="1217"/>
      <c r="M31" s="1217"/>
      <c r="N31" s="1218"/>
      <c r="O31" s="1218"/>
      <c r="P31" s="1218"/>
      <c r="Q31" s="1217"/>
      <c r="R31" s="1217"/>
      <c r="S31" s="1217"/>
      <c r="T31" s="1217"/>
      <c r="U31" s="103"/>
      <c r="V31" s="1217"/>
      <c r="W31" s="103" t="str">
        <f>"评估人员："&amp;封面!$G$20</f>
        <v>评估人员：栗祥宁</v>
      </c>
      <c r="X31" s="1217"/>
      <c r="Y31" s="1217"/>
      <c r="Z31" s="103"/>
      <c r="BC31" s="75"/>
      <c r="BD31" s="75"/>
      <c r="BE31" s="75"/>
      <c r="BF31" s="75"/>
      <c r="BG31" s="75"/>
    </row>
    <row r="32" customHeight="1" spans="1:75">
      <c r="A32" s="102" t="str">
        <f>参数表!F$7</f>
        <v>填表日期：2025年9月20日</v>
      </c>
      <c r="B32" s="154"/>
      <c r="C32" s="154"/>
      <c r="D32" s="154"/>
      <c r="E32" s="286"/>
      <c r="F32" s="154"/>
      <c r="G32" s="154"/>
      <c r="H32" s="154"/>
      <c r="I32" s="154"/>
      <c r="J32" s="154"/>
      <c r="K32" s="1217"/>
      <c r="L32" s="1217"/>
      <c r="M32" s="1217"/>
      <c r="N32" s="1218"/>
      <c r="O32" s="1218"/>
      <c r="P32" s="1218"/>
      <c r="Q32" s="1217"/>
      <c r="R32" s="1217"/>
      <c r="S32" s="1217"/>
      <c r="T32" s="1217"/>
      <c r="U32" s="103"/>
      <c r="V32" s="1217"/>
      <c r="W32" s="1217"/>
      <c r="X32" s="1217"/>
      <c r="Y32" s="1217"/>
      <c r="Z32" s="103"/>
      <c r="BC32" s="75"/>
      <c r="BD32" s="75"/>
      <c r="BE32" s="75"/>
      <c r="BF32" s="75"/>
      <c r="BG32" s="75"/>
    </row>
    <row r="33" hidden="1" customHeight="1" outlineLevel="1" spans="1:64">
      <c r="A33" s="157"/>
      <c r="B33" s="154" t="s">
        <v>1673</v>
      </c>
      <c r="C33" s="158"/>
      <c r="D33" s="158"/>
      <c r="E33" s="228"/>
      <c r="F33" s="158"/>
      <c r="G33" s="158"/>
      <c r="H33" s="158"/>
      <c r="I33" s="158"/>
      <c r="J33" s="158"/>
      <c r="L33" s="159">
        <f>SUMIF($BA8:$BA27,$BA33,L8:L27)</f>
        <v>0</v>
      </c>
      <c r="M33" s="159">
        <f>SUMIF($BA8:$BA27,$BA33,M8:M27)</f>
        <v>0</v>
      </c>
      <c r="N33" s="202"/>
      <c r="O33" s="202"/>
      <c r="P33" s="202"/>
      <c r="Q33" s="176"/>
      <c r="R33" s="176"/>
      <c r="S33" s="159">
        <f>SUMIF($BA8:$BA27,$BA33,S8:S27)</f>
        <v>0</v>
      </c>
      <c r="T33" s="159">
        <f>SUMIF($BA8:$BA27,$BA33,T8:T27)</f>
        <v>0</v>
      </c>
      <c r="U33" s="176"/>
      <c r="V33" s="176"/>
      <c r="W33" s="159">
        <f>SUMIF($BA8:$BA27,$BA33,W8:W27)</f>
        <v>0</v>
      </c>
      <c r="BA33" s="161" t="s">
        <v>1674</v>
      </c>
      <c r="BC33" s="75"/>
      <c r="BD33" s="75"/>
      <c r="BE33" s="75"/>
      <c r="BF33" s="75"/>
      <c r="BG33" s="75"/>
      <c r="BH33" s="95" t="s">
        <v>1675</v>
      </c>
      <c r="BI33" s="95" t="s">
        <v>1675</v>
      </c>
      <c r="BJ33" s="95" t="s">
        <v>1675</v>
      </c>
      <c r="BK33" s="95" t="s">
        <v>1674</v>
      </c>
      <c r="BL33" s="95" t="s">
        <v>1674</v>
      </c>
    </row>
    <row r="34" hidden="1" customHeight="1" outlineLevel="1" spans="1:64">
      <c r="A34" s="157"/>
      <c r="B34" s="154" t="s">
        <v>1676</v>
      </c>
      <c r="C34" s="158"/>
      <c r="D34" s="158"/>
      <c r="E34" s="228"/>
      <c r="F34" s="158"/>
      <c r="G34" s="158"/>
      <c r="H34" s="158"/>
      <c r="I34" s="158"/>
      <c r="J34" s="158"/>
      <c r="L34" s="159">
        <f>L28-L33</f>
        <v>0</v>
      </c>
      <c r="M34" s="159">
        <f>M28-M33</f>
        <v>0</v>
      </c>
      <c r="N34" s="202"/>
      <c r="O34" s="202"/>
      <c r="P34" s="202"/>
      <c r="Q34" s="176"/>
      <c r="R34" s="176"/>
      <c r="S34" s="159">
        <f>S28-S33</f>
        <v>0</v>
      </c>
      <c r="T34" s="159">
        <f>T28-T33</f>
        <v>0</v>
      </c>
      <c r="U34" s="176"/>
      <c r="V34" s="176"/>
      <c r="W34" s="159">
        <f>W28-W33</f>
        <v>0</v>
      </c>
      <c r="BA34" s="161" t="s">
        <v>1677</v>
      </c>
      <c r="BC34" s="75"/>
      <c r="BD34" s="75"/>
      <c r="BE34" s="75"/>
      <c r="BF34" s="75"/>
      <c r="BG34" s="75"/>
      <c r="BH34" s="95" t="s">
        <v>1678</v>
      </c>
      <c r="BI34" s="95" t="s">
        <v>1678</v>
      </c>
      <c r="BJ34" s="95" t="s">
        <v>1678</v>
      </c>
      <c r="BK34" s="95" t="s">
        <v>1677</v>
      </c>
      <c r="BL34" s="95" t="s">
        <v>1677</v>
      </c>
    </row>
    <row r="35" customHeight="1" collapsed="1" spans="1:64">
      <c r="A35" s="157"/>
      <c r="B35" s="158"/>
      <c r="C35" s="158"/>
      <c r="D35" s="158"/>
      <c r="E35" s="228"/>
      <c r="F35" s="158"/>
      <c r="G35" s="158"/>
      <c r="H35" s="158"/>
      <c r="I35" s="158"/>
      <c r="J35" s="158"/>
      <c r="BC35" s="75"/>
      <c r="BD35" s="75"/>
      <c r="BE35" s="75"/>
      <c r="BF35" s="75"/>
      <c r="BG35" s="75"/>
    </row>
    <row r="36" customHeight="1" spans="1:64">
      <c r="A36" s="157"/>
      <c r="B36" s="158"/>
      <c r="C36" s="158"/>
      <c r="D36" s="158"/>
      <c r="E36" s="228"/>
      <c r="F36" s="158"/>
      <c r="G36" s="158"/>
      <c r="H36" s="158"/>
      <c r="I36" s="158"/>
      <c r="J36" s="158"/>
    </row>
    <row r="37" customHeight="1" spans="1:64">
      <c r="A37" s="157"/>
      <c r="B37" s="158"/>
      <c r="C37" s="158"/>
      <c r="D37" s="158"/>
      <c r="E37" s="228"/>
      <c r="F37" s="158"/>
      <c r="G37" s="158"/>
      <c r="H37" s="158"/>
      <c r="I37" s="158"/>
      <c r="J37" s="158"/>
    </row>
    <row r="38" customHeight="1" spans="1:64">
      <c r="A38" s="157"/>
      <c r="B38" s="158"/>
      <c r="C38" s="158"/>
      <c r="D38" s="158"/>
      <c r="E38" s="228"/>
      <c r="F38" s="158"/>
      <c r="G38" s="158"/>
      <c r="H38" s="158"/>
      <c r="I38" s="158"/>
      <c r="J38" s="158"/>
    </row>
    <row r="39" customHeight="1" spans="1:64">
      <c r="A39" s="157"/>
      <c r="B39" s="158"/>
      <c r="C39" s="158"/>
      <c r="D39" s="158"/>
      <c r="E39" s="228"/>
      <c r="F39" s="158"/>
      <c r="G39" s="158"/>
      <c r="H39" s="158"/>
      <c r="I39" s="158"/>
      <c r="J39" s="158"/>
    </row>
  </sheetData>
  <sheetProtection autoFilter="0"/>
  <mergeCells count="30">
    <mergeCell ref="A2:Z2"/>
    <mergeCell ref="A3:Z3"/>
    <mergeCell ref="F6:I6"/>
    <mergeCell ref="J6:M6"/>
    <mergeCell ref="N6:P6"/>
    <mergeCell ref="Q6:T6"/>
    <mergeCell ref="U6:W6"/>
    <mergeCell ref="BU8:BW8"/>
    <mergeCell ref="BU9:BW9"/>
    <mergeCell ref="BV15:BW15"/>
    <mergeCell ref="A28:B28"/>
    <mergeCell ref="A29:B29"/>
    <mergeCell ref="A30:B30"/>
    <mergeCell ref="A6:A7"/>
    <mergeCell ref="B6:B7"/>
    <mergeCell ref="C6:C7"/>
    <mergeCell ref="D6:D7"/>
    <mergeCell ref="E6:E7"/>
    <mergeCell ref="X6:X7"/>
    <mergeCell ref="Y6:Y7"/>
    <mergeCell ref="Z6:Z7"/>
    <mergeCell ref="BF6:BF7"/>
    <mergeCell ref="BG6:BG7"/>
    <mergeCell ref="BH6:BH7"/>
    <mergeCell ref="BI6:BI7"/>
    <mergeCell ref="BJ6:BJ7"/>
    <mergeCell ref="BK6:BK7"/>
    <mergeCell ref="BL6:BL7"/>
    <mergeCell ref="BM6:BM7"/>
    <mergeCell ref="BN6:BN7"/>
  </mergeCells>
  <conditionalFormatting sqref="BM8:BM27">
    <cfRule type="expression" dxfId="5" priority="4" stopIfTrue="1">
      <formula>AND(BK8="无",BM8="")</formula>
    </cfRule>
  </conditionalFormatting>
  <conditionalFormatting sqref="BF8:BG27">
    <cfRule type="containsText" dxfId="6" priority="1" stopIfTrue="1" operator="between" text="出错">
      <formula>NOT(ISERROR(SEARCH("出错",BF8)))</formula>
    </cfRule>
  </conditionalFormatting>
  <conditionalFormatting sqref="BH8:BL27">
    <cfRule type="expression" dxfId="5" priority="5" stopIfTrue="1">
      <formula>AND($B8&lt;&gt;"",BH8="")</formula>
    </cfRule>
  </conditionalFormatting>
  <dataValidations count="4">
    <dataValidation type="list" allowBlank="1" showInputMessage="1" showErrorMessage="1" sqref="F8:F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H8:BL27">
      <formula1>BH$33:BH$34</formula1>
    </dataValidation>
  </dataValidations>
  <hyperlinks>
    <hyperlink ref="A1" location="索引目录!E21" display="返回索引页"/>
    <hyperlink ref="B1" location="存货汇总!B18"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CJ40"/>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3" width="7.7" style="75" customWidth="1"/>
    <col min="4" max="4" width="8.6" style="75" hidden="1" customWidth="1" outlineLevel="1"/>
    <col min="5" max="5" width="4.6" style="165" customWidth="1" collapsed="1"/>
    <col min="6" max="6" width="8.6" style="75" customWidth="1"/>
    <col min="7" max="7" width="4.6" style="165" customWidth="1"/>
    <col min="8" max="9" width="4.6" style="75" customWidth="1" outlineLevel="1"/>
    <col min="10" max="11" width="6.1" style="75" customWidth="1" outlineLevel="1"/>
    <col min="12" max="13" width="9.6" style="75" customWidth="1" outlineLevel="1"/>
    <col min="14" max="14" width="12.6" style="75" customWidth="1" outlineLevel="1"/>
    <col min="15" max="15" width="9.7" style="75" customWidth="1" outlineLevel="1"/>
    <col min="16" max="16" width="9.6" style="76" customWidth="1" outlineLevel="1"/>
    <col min="17" max="18" width="12.6" style="76" customWidth="1" outlineLevel="1"/>
    <col min="19" max="20" width="9.6" style="75" customWidth="1"/>
    <col min="21" max="21" width="12.6" style="1238" customWidth="1"/>
    <col min="22" max="22" width="9.2" style="1238" customWidth="1"/>
    <col min="23" max="24" width="9.6" style="75" customWidth="1"/>
    <col min="25" max="25" width="12.6" style="75" customWidth="1"/>
    <col min="26" max="27" width="6.6" style="75" customWidth="1"/>
    <col min="28" max="28" width="5.2" style="75" customWidth="1"/>
    <col min="29" max="29" width="8.2" style="75" customWidth="1"/>
    <col min="30" max="52" width="9" style="75" hidden="1" customWidth="1" outlineLevel="1"/>
    <col min="53" max="53" width="14.7" style="75" customWidth="1" collapsed="1"/>
    <col min="54" max="54" width="6.7" style="75" customWidth="1"/>
    <col min="55" max="56" width="5.1" style="75" customWidth="1"/>
    <col min="57" max="57" width="8.7" style="75" customWidth="1"/>
    <col min="58" max="59" width="9.6" style="75" customWidth="1"/>
    <col min="60" max="63" width="4.7" style="75" customWidth="1"/>
    <col min="64" max="64" width="10.3" style="938" customWidth="1"/>
    <col min="65" max="65" width="8.7" style="75" customWidth="1"/>
    <col min="66" max="66" width="8.7" style="165" customWidth="1"/>
    <col min="67" max="67" width="14.3" style="75" customWidth="1"/>
    <col min="68" max="68" width="10.7" style="75" customWidth="1"/>
    <col min="69" max="72" width="10.7" style="165" customWidth="1"/>
    <col min="73" max="79" width="10.7" style="75" customWidth="1"/>
    <col min="80" max="80" width="1.6" style="77" customWidth="1"/>
    <col min="81" max="81" width="10.6" style="78" customWidth="1"/>
    <col min="82" max="82" width="10.6" style="77" customWidth="1"/>
    <col min="83" max="83" width="4.6" style="78" customWidth="1"/>
    <col min="84" max="84" width="10.6" style="78" customWidth="1"/>
    <col min="85" max="86" width="4.6" style="78" customWidth="1"/>
    <col min="87" max="87" width="10.6" style="78" customWidth="1"/>
    <col min="88" max="88" width="5" style="77" customWidth="1"/>
    <col min="89" max="16384" width="9" style="75"/>
  </cols>
  <sheetData>
    <row r="1" s="86" customFormat="1" ht="13.8" spans="1:88">
      <c r="A1" s="203" t="s">
        <v>1591</v>
      </c>
      <c r="B1" s="204" t="s">
        <v>1592</v>
      </c>
      <c r="C1" s="204"/>
      <c r="D1" s="204"/>
      <c r="E1" s="82"/>
      <c r="F1" s="82"/>
      <c r="G1" s="82"/>
      <c r="H1" s="82"/>
      <c r="I1" s="82"/>
      <c r="J1" s="82"/>
      <c r="K1" s="82"/>
      <c r="L1" s="82"/>
      <c r="M1" s="82"/>
      <c r="N1" s="82"/>
      <c r="O1" s="82"/>
      <c r="P1" s="205"/>
      <c r="Q1" s="205"/>
      <c r="R1" s="205"/>
      <c r="S1" s="82"/>
      <c r="T1" s="82"/>
      <c r="U1" s="82"/>
      <c r="V1" s="82"/>
      <c r="W1" s="82"/>
      <c r="X1" s="82"/>
      <c r="Y1" s="82"/>
      <c r="Z1" s="82"/>
      <c r="AA1" s="82"/>
      <c r="AB1" s="82"/>
      <c r="BA1" s="84" t="str">
        <f>参数表!BA1</f>
        <v>注意：补充特殊事项、作价等均从BA列开始填写</v>
      </c>
      <c r="BB1" s="85"/>
      <c r="BL1" s="940"/>
      <c r="BN1" s="82"/>
      <c r="BQ1" s="82"/>
      <c r="BR1" s="82"/>
      <c r="BS1" s="82"/>
      <c r="BT1" s="82"/>
      <c r="CB1" s="87"/>
      <c r="CC1" s="88"/>
      <c r="CD1" s="87"/>
      <c r="CE1" s="88"/>
      <c r="CF1" s="88"/>
      <c r="CG1" s="88"/>
      <c r="CH1" s="88"/>
      <c r="CI1" s="88"/>
      <c r="CJ1" s="87"/>
    </row>
    <row r="2" s="71" customFormat="1" ht="30" customHeight="1" spans="1:88">
      <c r="A2" s="89" t="s">
        <v>2661</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90" t="str">
        <f>参数表!BA2</f>
        <v>评估基准日：</v>
      </c>
      <c r="BB2" s="91" t="str">
        <f>参数表!BB2</f>
        <v>2025年7月31日</v>
      </c>
      <c r="BL2" s="941"/>
      <c r="BN2" s="171"/>
      <c r="BQ2" s="171"/>
      <c r="BR2" s="171"/>
      <c r="BS2" s="171"/>
      <c r="BT2" s="171"/>
      <c r="CB2" s="92"/>
      <c r="CC2" s="93"/>
      <c r="CD2" s="92"/>
      <c r="CE2" s="93"/>
      <c r="CF2" s="93"/>
      <c r="CG2" s="93"/>
      <c r="CH2" s="93"/>
      <c r="CI2" s="93"/>
      <c r="CJ2" s="92"/>
    </row>
    <row r="3" ht="15" customHeight="1" spans="1:88">
      <c r="A3" s="94" t="str">
        <f>参数表!F5</f>
        <v>评估基准日：2025年7月31日</v>
      </c>
      <c r="B3" s="94"/>
      <c r="C3" s="94"/>
      <c r="D3" s="94"/>
      <c r="E3" s="94"/>
      <c r="F3" s="94"/>
      <c r="G3" s="94"/>
      <c r="H3" s="94"/>
      <c r="I3" s="94"/>
      <c r="J3" s="94"/>
      <c r="K3" s="94"/>
      <c r="L3" s="94"/>
      <c r="M3" s="94"/>
      <c r="N3" s="94"/>
      <c r="O3" s="94"/>
      <c r="P3" s="94"/>
      <c r="Q3" s="94"/>
      <c r="R3" s="94"/>
      <c r="S3" s="94"/>
      <c r="T3" s="94"/>
      <c r="U3" s="95"/>
      <c r="V3" s="95"/>
      <c r="W3" s="95"/>
      <c r="X3" s="95"/>
      <c r="Y3" s="95"/>
      <c r="Z3" s="95"/>
      <c r="AA3" s="95"/>
      <c r="AB3" s="95"/>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90" t="str">
        <f>参数表!BA3</f>
        <v>是否显示评估值：</v>
      </c>
      <c r="BB3" s="90" t="str">
        <f>参数表!BB3</f>
        <v>是</v>
      </c>
      <c r="CB3" s="92"/>
      <c r="CC3" s="93"/>
      <c r="CD3" s="92"/>
      <c r="CE3" s="93"/>
      <c r="CF3" s="93"/>
      <c r="CG3" s="93"/>
      <c r="CH3" s="93"/>
      <c r="CI3" s="93"/>
      <c r="CJ3" s="92"/>
    </row>
    <row r="4" ht="15" customHeight="1" spans="1:88">
      <c r="A4" s="96"/>
      <c r="B4" s="94"/>
      <c r="C4" s="94"/>
      <c r="D4" s="94"/>
      <c r="E4" s="94"/>
      <c r="F4" s="94"/>
      <c r="G4" s="94"/>
      <c r="H4" s="94"/>
      <c r="I4" s="94"/>
      <c r="J4" s="94"/>
      <c r="K4" s="94"/>
      <c r="L4" s="94"/>
      <c r="M4" s="94"/>
      <c r="N4" s="94"/>
      <c r="O4" s="94"/>
      <c r="P4" s="97"/>
      <c r="Q4" s="97"/>
      <c r="R4" s="97"/>
      <c r="S4" s="94"/>
      <c r="T4" s="94"/>
      <c r="U4" s="98"/>
      <c r="V4" s="98"/>
      <c r="W4" s="95"/>
      <c r="X4" s="95"/>
      <c r="Y4" s="95"/>
      <c r="Z4" s="95"/>
      <c r="AA4" s="95"/>
      <c r="AB4" s="98" t="str">
        <f>"表"&amp;BA4</f>
        <v>表3-10-5</v>
      </c>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95" t="str">
        <f>存货总!A11</f>
        <v>3-10-5</v>
      </c>
      <c r="BB4" s="100">
        <f>MAX(COUNTA(A8:A27),COUNTA(B8:B27),COUNTA(N8:N27),COUNTA(U8:U27))</f>
        <v>20</v>
      </c>
      <c r="BC4" s="101">
        <f>ROW(A7)+1</f>
        <v>8</v>
      </c>
      <c r="BD4" s="77"/>
      <c r="BE4" s="77"/>
      <c r="CD4" s="78"/>
    </row>
    <row r="5" ht="15" customHeight="1" spans="1:88">
      <c r="A5" s="102" t="str">
        <f>参数表!F3</f>
        <v>产权持有单位:中煤第五建设有限公司</v>
      </c>
      <c r="B5" s="103"/>
      <c r="C5" s="103"/>
      <c r="D5" s="103"/>
      <c r="E5" s="95"/>
      <c r="F5" s="103"/>
      <c r="G5" s="95"/>
      <c r="H5" s="103"/>
      <c r="I5" s="103"/>
      <c r="J5" s="103"/>
      <c r="K5" s="103"/>
      <c r="L5" s="103"/>
      <c r="M5" s="103"/>
      <c r="N5" s="103"/>
      <c r="O5" s="103"/>
      <c r="P5" s="104"/>
      <c r="Q5" s="104"/>
      <c r="R5" s="104"/>
      <c r="S5" s="103"/>
      <c r="T5" s="103"/>
      <c r="U5" s="1239"/>
      <c r="V5" s="1239"/>
      <c r="W5" s="103"/>
      <c r="X5" s="103"/>
      <c r="Y5" s="103"/>
      <c r="Z5" s="103"/>
      <c r="AA5" s="103"/>
      <c r="AB5" s="98" t="s">
        <v>236</v>
      </c>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5" t="str">
        <f ca="1">判断表!C34</f>
        <v>中煤第五建设有限公司第三工程处拟处置实物资产项目\[0000-3基础法明细表.xlsx]产成品（商品）</v>
      </c>
      <c r="BC5" s="106">
        <f>IFERROR(SUMIF(BC8:BC27,"√",U8:U27)/U28,0)</f>
        <v>0</v>
      </c>
      <c r="BD5" s="107"/>
      <c r="BE5" s="107"/>
      <c r="BF5" s="284">
        <f>委托加工!BF5</f>
        <v>35557.52</v>
      </c>
      <c r="BG5" s="284">
        <f>委托加工!BG5</f>
        <v>35557.52</v>
      </c>
      <c r="BH5" s="165"/>
      <c r="BI5" s="165"/>
      <c r="BJ5" s="165"/>
      <c r="BK5" s="165"/>
      <c r="BL5" s="75"/>
      <c r="BO5" s="103" t="s">
        <v>2662</v>
      </c>
      <c r="BP5" s="1240">
        <v>3</v>
      </c>
      <c r="BQ5" s="103" t="s">
        <v>2663</v>
      </c>
      <c r="BR5" s="75"/>
      <c r="BS5" s="75"/>
      <c r="BT5" s="75"/>
      <c r="BY5" s="938"/>
      <c r="CD5" s="78"/>
    </row>
    <row r="6" s="72" customFormat="1" ht="15" customHeight="1" spans="1:88">
      <c r="A6" s="112" t="s">
        <v>305</v>
      </c>
      <c r="B6" s="113" t="s">
        <v>2664</v>
      </c>
      <c r="C6" s="113" t="s">
        <v>2175</v>
      </c>
      <c r="D6" s="193" t="s">
        <v>2665</v>
      </c>
      <c r="E6" s="118" t="s">
        <v>2176</v>
      </c>
      <c r="F6" s="193" t="s">
        <v>2666</v>
      </c>
      <c r="G6" s="118" t="s">
        <v>2207</v>
      </c>
      <c r="H6" s="511" t="s">
        <v>1964</v>
      </c>
      <c r="I6" s="512"/>
      <c r="J6" s="512"/>
      <c r="K6" s="513"/>
      <c r="L6" s="514" t="s">
        <v>1549</v>
      </c>
      <c r="M6" s="189"/>
      <c r="N6" s="189"/>
      <c r="O6" s="190"/>
      <c r="P6" s="515" t="s">
        <v>1634</v>
      </c>
      <c r="Q6" s="516"/>
      <c r="R6" s="517"/>
      <c r="S6" s="514" t="s">
        <v>1523</v>
      </c>
      <c r="T6" s="189"/>
      <c r="U6" s="189"/>
      <c r="V6" s="190"/>
      <c r="W6" s="113" t="s">
        <v>1550</v>
      </c>
      <c r="X6" s="113"/>
      <c r="Y6" s="113"/>
      <c r="Z6" s="113" t="s">
        <v>1525</v>
      </c>
      <c r="AA6" s="118" t="s">
        <v>1551</v>
      </c>
      <c r="AB6" s="113" t="s">
        <v>308</v>
      </c>
      <c r="AC6" s="113" t="s">
        <v>2208</v>
      </c>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00"/>
      <c r="BC6" s="100"/>
      <c r="BD6" s="100"/>
      <c r="BE6" s="100"/>
      <c r="BF6" s="192" t="s">
        <v>1639</v>
      </c>
      <c r="BG6" s="192" t="s">
        <v>1640</v>
      </c>
      <c r="BH6" s="113" t="s">
        <v>1748</v>
      </c>
      <c r="BI6" s="113" t="s">
        <v>1749</v>
      </c>
      <c r="BJ6" s="118" t="s">
        <v>1750</v>
      </c>
      <c r="BK6" s="118" t="s">
        <v>1641</v>
      </c>
      <c r="BL6" s="118" t="s">
        <v>2209</v>
      </c>
      <c r="BM6" s="113" t="s">
        <v>1644</v>
      </c>
      <c r="BN6" s="191"/>
      <c r="BO6" s="191"/>
      <c r="BP6" s="191"/>
      <c r="BQ6" s="1203">
        <f>利润表及费率!K8</f>
        <v>0</v>
      </c>
      <c r="BR6" s="1203">
        <f>利润表及费率!K10</f>
        <v>0</v>
      </c>
      <c r="BS6" s="1203">
        <f>利润表及费率!K11</f>
        <v>0</v>
      </c>
      <c r="BT6" s="1203">
        <f>利润表及费率!K12</f>
        <v>0</v>
      </c>
      <c r="BU6" s="1203">
        <f>利润表及费率!K13</f>
        <v>0</v>
      </c>
      <c r="BV6" s="1221">
        <f>SUM(BV8:BV27)</f>
        <v>0</v>
      </c>
      <c r="BW6" s="1203">
        <f>利润表及费率!O5</f>
        <v>0.25</v>
      </c>
      <c r="BX6" s="75"/>
      <c r="BY6" s="75"/>
      <c r="BZ6" s="75"/>
      <c r="CA6" s="75"/>
      <c r="CB6" s="111"/>
      <c r="CC6" s="78"/>
      <c r="CD6" s="78"/>
      <c r="CE6" s="78"/>
      <c r="CF6" s="78"/>
      <c r="CG6" s="78"/>
      <c r="CH6" s="78"/>
      <c r="CI6" s="194"/>
      <c r="CJ6" s="111"/>
    </row>
    <row r="7" s="72" customFormat="1" ht="15" customHeight="1" spans="1:88">
      <c r="A7" s="195"/>
      <c r="B7" s="149"/>
      <c r="C7" s="149"/>
      <c r="D7" s="198"/>
      <c r="E7" s="149"/>
      <c r="F7" s="198"/>
      <c r="G7" s="149" t="s">
        <v>2211</v>
      </c>
      <c r="H7" s="519" t="s">
        <v>1968</v>
      </c>
      <c r="I7" s="519" t="s">
        <v>1969</v>
      </c>
      <c r="J7" s="519" t="s">
        <v>1970</v>
      </c>
      <c r="K7" s="519" t="s">
        <v>2177</v>
      </c>
      <c r="L7" s="149" t="s">
        <v>1637</v>
      </c>
      <c r="M7" s="149" t="s">
        <v>2178</v>
      </c>
      <c r="N7" s="1222" t="s">
        <v>271</v>
      </c>
      <c r="O7" s="1222" t="s">
        <v>2179</v>
      </c>
      <c r="P7" s="1205" t="s">
        <v>2180</v>
      </c>
      <c r="Q7" s="1205" t="s">
        <v>2181</v>
      </c>
      <c r="R7" s="1205" t="s">
        <v>2182</v>
      </c>
      <c r="S7" s="113" t="s">
        <v>1637</v>
      </c>
      <c r="T7" s="113" t="s">
        <v>2178</v>
      </c>
      <c r="U7" s="113" t="s">
        <v>271</v>
      </c>
      <c r="V7" s="113" t="s">
        <v>2179</v>
      </c>
      <c r="W7" s="1241" t="s">
        <v>2183</v>
      </c>
      <c r="X7" s="118" t="s">
        <v>2184</v>
      </c>
      <c r="Y7" s="113" t="s">
        <v>271</v>
      </c>
      <c r="Z7" s="113"/>
      <c r="AA7" s="118"/>
      <c r="AB7" s="113"/>
      <c r="AC7" s="113"/>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00" t="s">
        <v>1545</v>
      </c>
      <c r="BB7" s="100" t="s">
        <v>1635</v>
      </c>
      <c r="BC7" s="100" t="s">
        <v>1636</v>
      </c>
      <c r="BD7" s="100" t="s">
        <v>1637</v>
      </c>
      <c r="BE7" s="100" t="s">
        <v>1638</v>
      </c>
      <c r="BF7" s="197"/>
      <c r="BG7" s="197"/>
      <c r="BH7" s="113"/>
      <c r="BI7" s="113"/>
      <c r="BJ7" s="118"/>
      <c r="BK7" s="118"/>
      <c r="BL7" s="118"/>
      <c r="BM7" s="113"/>
      <c r="BN7" s="191" t="s">
        <v>2667</v>
      </c>
      <c r="BO7" s="191" t="s">
        <v>2666</v>
      </c>
      <c r="BP7" s="191" t="s">
        <v>2668</v>
      </c>
      <c r="BQ7" s="191" t="s">
        <v>2669</v>
      </c>
      <c r="BR7" s="191" t="s">
        <v>2670</v>
      </c>
      <c r="BS7" s="191" t="s">
        <v>2671</v>
      </c>
      <c r="BT7" s="191" t="s">
        <v>2672</v>
      </c>
      <c r="BU7" s="191" t="s">
        <v>2673</v>
      </c>
      <c r="BV7" s="191" t="s">
        <v>2674</v>
      </c>
      <c r="BW7" s="191" t="s">
        <v>2675</v>
      </c>
      <c r="BX7" s="191" t="s">
        <v>2676</v>
      </c>
      <c r="BY7" s="1230" t="s">
        <v>2677</v>
      </c>
      <c r="BZ7" s="191" t="s">
        <v>2678</v>
      </c>
      <c r="CA7" s="191" t="s">
        <v>1524</v>
      </c>
      <c r="CB7" s="119"/>
      <c r="CC7" s="120" t="s">
        <v>1645</v>
      </c>
      <c r="CD7" s="121" t="s">
        <v>1646</v>
      </c>
      <c r="CE7" s="121" t="s">
        <v>1647</v>
      </c>
      <c r="CF7" s="121" t="s">
        <v>1648</v>
      </c>
      <c r="CG7" s="121" t="s">
        <v>1647</v>
      </c>
      <c r="CH7" s="121" t="s">
        <v>1647</v>
      </c>
      <c r="CI7" s="121" t="s">
        <v>1649</v>
      </c>
      <c r="CJ7" s="122" t="s">
        <v>1650</v>
      </c>
    </row>
    <row r="8" s="1228" customFormat="1" ht="15" customHeight="1" spans="1:88">
      <c r="A8" s="123" t="str">
        <f>IF(B8="","",COUNT(A$7:A7)+1)</f>
        <v/>
      </c>
      <c r="B8" s="982"/>
      <c r="C8" s="982"/>
      <c r="D8" s="1242" t="str">
        <f>B8&amp;C8</f>
        <v/>
      </c>
      <c r="E8" s="775"/>
      <c r="F8" s="129"/>
      <c r="G8" s="775"/>
      <c r="H8" s="127"/>
      <c r="I8" s="127" t="str">
        <f>IFERROR(VLOOKUP(H8,参数表!$H$2:$I$50,2,FALSE),"")</f>
        <v/>
      </c>
      <c r="J8" s="128" t="str">
        <f>IFERROR(IF(OR(H8="人民币",H8=""),"",U8/I8),"")</f>
        <v/>
      </c>
      <c r="K8" s="128" t="str">
        <f>IFERROR(IF(OR(H8="人民币",H8=""),"",V8/I8),"")</f>
        <v/>
      </c>
      <c r="L8" s="353"/>
      <c r="M8" s="129" t="str">
        <f>IF(L8=0,"",N8/L8)</f>
        <v/>
      </c>
      <c r="N8" s="129"/>
      <c r="O8" s="129"/>
      <c r="P8" s="130"/>
      <c r="Q8" s="130"/>
      <c r="R8" s="130"/>
      <c r="S8" s="353" t="str">
        <f>IF(B8="","",L8+P8)</f>
        <v/>
      </c>
      <c r="T8" s="129" t="str">
        <f>IFERROR(U8/S8,"")</f>
        <v/>
      </c>
      <c r="U8" s="1226" t="str">
        <f>IF(B8="","",N8+Q8)</f>
        <v/>
      </c>
      <c r="V8" s="1226" t="str">
        <f>IF(B8="","",O8+R8)</f>
        <v/>
      </c>
      <c r="W8" s="353" t="str">
        <f t="shared" ref="W8:W27" si="0">IF(B8="","",IF($BB$3="是",S8,""))</f>
        <v/>
      </c>
      <c r="X8" s="353" t="str">
        <f>IFERROR(Y8/W8,"")</f>
        <v/>
      </c>
      <c r="Y8" s="353" t="str">
        <f t="shared" ref="Y8:Y27" si="1">IF(B8="","",IF(BB$3="是",IF(BN8="市场法",CA8,U8),""))</f>
        <v/>
      </c>
      <c r="Z8" s="129" t="str">
        <f>IFERROR(Y8-(U8-V8),"")</f>
        <v/>
      </c>
      <c r="AA8" s="129" t="str">
        <f>IFERROR(Z8/(U8-V8)*100,"")</f>
        <v/>
      </c>
      <c r="AB8" s="131"/>
      <c r="AC8" s="131"/>
      <c r="AD8" s="1243"/>
      <c r="BA8" s="78"/>
      <c r="BB8" s="132" t="s">
        <v>2679</v>
      </c>
      <c r="BC8" s="133"/>
      <c r="BD8" s="132" t="str">
        <f>IF(OR(B8="",BC8=""),"",COUNTIF(BC$8:BC8,"√"))</f>
        <v/>
      </c>
      <c r="BE8" s="134" t="str">
        <f t="shared" ref="BE8:BE27" si="2">IF(BC8="","",BB8&amp;"︱"&amp;B8&amp;"︱"&amp;TEXT(N8,"#,##0.00"))</f>
        <v/>
      </c>
      <c r="BF8" s="135" t="str">
        <f>IF($B8="","",IF(BF$5=0,"OK","出错"))</f>
        <v/>
      </c>
      <c r="BG8" s="135" t="str">
        <f>IF($B8="","",IF(BG$5=0,"OK","出错"))</f>
        <v/>
      </c>
      <c r="BH8" s="136"/>
      <c r="BI8" s="136"/>
      <c r="BJ8" s="136"/>
      <c r="BK8" s="136"/>
      <c r="BL8" s="137"/>
      <c r="BM8" s="137"/>
      <c r="BN8" s="165" t="s">
        <v>2680</v>
      </c>
      <c r="BO8" s="187">
        <f t="shared" ref="BO8:BO27" si="3">F8</f>
        <v>0</v>
      </c>
      <c r="BP8" s="187">
        <f t="shared" ref="BP8:BP27" si="4">IFERROR(W8*BO8,0)</f>
        <v>0</v>
      </c>
      <c r="BQ8" s="187">
        <f t="shared" ref="BQ8:BQ27" si="5">$BP8*BQ$6</f>
        <v>0</v>
      </c>
      <c r="BR8" s="187">
        <f t="shared" ref="BR8:BU18" si="6">$BP8*BR$6</f>
        <v>0</v>
      </c>
      <c r="BS8" s="187">
        <f t="shared" si="6"/>
        <v>0</v>
      </c>
      <c r="BT8" s="187">
        <f t="shared" si="6"/>
        <v>0</v>
      </c>
      <c r="BU8" s="187">
        <f t="shared" si="6"/>
        <v>0</v>
      </c>
      <c r="BV8" s="187">
        <f t="shared" ref="BV8:BV27" si="7">BP8-SUM(U8,BQ8:BU8)</f>
        <v>0</v>
      </c>
      <c r="BW8" s="187">
        <f>IF(BV$6&gt;0,BV8*BW$6,0)</f>
        <v>0</v>
      </c>
      <c r="BX8" s="187">
        <f>BV8-BW8</f>
        <v>0</v>
      </c>
      <c r="BY8" s="508"/>
      <c r="BZ8" s="187">
        <f>MAX(0,BX8)*BY8</f>
        <v>0</v>
      </c>
      <c r="CA8" s="187">
        <f>ROUND(BP8-BQ8-BR8-BW8-BZ8,2)</f>
        <v>0</v>
      </c>
      <c r="CB8" s="77"/>
      <c r="CC8" s="134" t="str">
        <f>IF(COUNTIF(CC$7:CC7,B8)&gt;0,"",B8)&amp;""</f>
        <v/>
      </c>
      <c r="CD8" s="138">
        <f>SUMIF(B$8:B$27,CC8,U$8:U$27)</f>
        <v>0</v>
      </c>
      <c r="CE8" s="132">
        <f t="shared" ref="CE8" si="8">RANK(CD8,CD$8:CD$27)</f>
        <v>1</v>
      </c>
      <c r="CF8" s="138">
        <f>SUMIF(B$8:B$27,CC8,Y$8:Y$27)</f>
        <v>0</v>
      </c>
      <c r="CG8" s="132">
        <f>RANK(CF8,CF$8:CF$27)</f>
        <v>1</v>
      </c>
      <c r="CH8" s="138">
        <f>SUM(CD8:CD27)</f>
        <v>0</v>
      </c>
      <c r="CI8" s="138"/>
      <c r="CJ8" s="138"/>
    </row>
    <row r="9" ht="15" customHeight="1" spans="1:88">
      <c r="A9" s="123" t="str">
        <f>IF(B9="","",COUNT(A$7:A8)+1)</f>
        <v/>
      </c>
      <c r="B9" s="139"/>
      <c r="C9" s="139"/>
      <c r="D9" s="1242" t="str">
        <f t="shared" ref="D9:D27" si="9">B9&amp;C9</f>
        <v/>
      </c>
      <c r="E9" s="141"/>
      <c r="F9" s="143"/>
      <c r="G9" s="141"/>
      <c r="H9" s="142"/>
      <c r="I9" s="127" t="str">
        <f>IFERROR(VLOOKUP(H9,参数表!$H$2:$I$50,2,FALSE),"")</f>
        <v/>
      </c>
      <c r="J9" s="128" t="str">
        <f>IFERROR(IF(OR(H9="人民币",H9=""),"",U9/I9),"")</f>
        <v/>
      </c>
      <c r="K9" s="128" t="str">
        <f>IFERROR(IF(OR(H9="人民币",H9=""),"",V9/I9),"")</f>
        <v/>
      </c>
      <c r="L9" s="980"/>
      <c r="M9" s="143" t="str">
        <f t="shared" ref="M9:M27" si="10">IF(L9=0,"",N9/L9)</f>
        <v/>
      </c>
      <c r="N9" s="143"/>
      <c r="O9" s="143"/>
      <c r="P9" s="144"/>
      <c r="Q9" s="144"/>
      <c r="R9" s="144"/>
      <c r="S9" s="353" t="str">
        <f t="shared" ref="S9:S27" si="11">IF(B9="","",L9+P9)</f>
        <v/>
      </c>
      <c r="T9" s="129" t="str">
        <f t="shared" ref="T9:T27" si="12">IFERROR(U9/S9,"")</f>
        <v/>
      </c>
      <c r="U9" s="1226" t="str">
        <f t="shared" ref="U9:U27" si="13">IF(B9="","",N9+Q9)</f>
        <v/>
      </c>
      <c r="V9" s="1226" t="str">
        <f t="shared" ref="V9:V27" si="14">IF(B9="","",O9+R9)</f>
        <v/>
      </c>
      <c r="W9" s="353" t="str">
        <f t="shared" si="0"/>
        <v/>
      </c>
      <c r="X9" s="353" t="str">
        <f t="shared" ref="X9:X27" si="15">IFERROR(Y9/W9,"")</f>
        <v/>
      </c>
      <c r="Y9" s="353" t="str">
        <f t="shared" si="1"/>
        <v/>
      </c>
      <c r="Z9" s="129" t="str">
        <f t="shared" ref="Z9:Z30" si="16">IFERROR(Y9-(U9-V9),"")</f>
        <v/>
      </c>
      <c r="AA9" s="129" t="str">
        <f t="shared" ref="AA9:AA30" si="17">IFERROR(Z9/(U9-V9)*100,"")</f>
        <v/>
      </c>
      <c r="AB9" s="145"/>
      <c r="AC9" s="137"/>
      <c r="AD9" s="1243" t="str">
        <f t="shared" ref="AD9:AD27" si="18">B9&amp;C9</f>
        <v/>
      </c>
      <c r="BA9" s="78"/>
      <c r="BB9" s="132" t="s">
        <v>2681</v>
      </c>
      <c r="BC9" s="133"/>
      <c r="BD9" s="132" t="str">
        <f>IF(OR(B9="",BC9=""),"",COUNTIF(BC$8:BC9,"√"))</f>
        <v/>
      </c>
      <c r="BE9" s="134" t="str">
        <f t="shared" si="2"/>
        <v/>
      </c>
      <c r="BF9" s="135" t="str">
        <f t="shared" ref="BF9:BG27" si="19">IF($B9="","",IF(BF$5=0,"OK","出错"))</f>
        <v/>
      </c>
      <c r="BG9" s="135" t="str">
        <f t="shared" si="19"/>
        <v/>
      </c>
      <c r="BH9" s="136"/>
      <c r="BI9" s="136"/>
      <c r="BJ9" s="136"/>
      <c r="BK9" s="136"/>
      <c r="BL9" s="137"/>
      <c r="BM9" s="137"/>
      <c r="BN9" s="165" t="s">
        <v>2680</v>
      </c>
      <c r="BO9" s="187">
        <f t="shared" si="3"/>
        <v>0</v>
      </c>
      <c r="BP9" s="187">
        <f t="shared" si="4"/>
        <v>0</v>
      </c>
      <c r="BQ9" s="187">
        <f t="shared" si="5"/>
        <v>0</v>
      </c>
      <c r="BR9" s="187">
        <f t="shared" si="6"/>
        <v>0</v>
      </c>
      <c r="BS9" s="187">
        <f t="shared" si="6"/>
        <v>0</v>
      </c>
      <c r="BT9" s="187">
        <f t="shared" si="6"/>
        <v>0</v>
      </c>
      <c r="BU9" s="187">
        <f t="shared" si="6"/>
        <v>0</v>
      </c>
      <c r="BV9" s="187">
        <f t="shared" si="7"/>
        <v>0</v>
      </c>
      <c r="BW9" s="187">
        <f t="shared" ref="BW9:BW27" si="20">IF(BV$6&gt;0,BV9*BW$6,0)</f>
        <v>0</v>
      </c>
      <c r="BX9" s="187">
        <f t="shared" ref="BX9:BX27" si="21">BV9-BW9</f>
        <v>0</v>
      </c>
      <c r="BY9" s="508"/>
      <c r="BZ9" s="187">
        <f t="shared" ref="BZ9:BZ27" si="22">MAX(0,BX9)*BY9</f>
        <v>0</v>
      </c>
      <c r="CA9" s="187">
        <f t="shared" ref="CA9:CA27" si="23">ROUND(BP9-BQ9-BR9-BW9-BZ9,2)</f>
        <v>0</v>
      </c>
      <c r="CC9" s="134" t="str">
        <f>IF(COUNTIF(CC$7:CC8,B9)&gt;0,"",B9)&amp;""</f>
        <v/>
      </c>
      <c r="CD9" s="138">
        <f t="shared" ref="CD9:CD27" si="24">SUMIF(B$8:B$27,CC9,U$8:U$27)</f>
        <v>0</v>
      </c>
      <c r="CE9" s="132">
        <f t="shared" ref="CE9:CE27" si="25">RANK(CD9,CD$8:CD$27)</f>
        <v>1</v>
      </c>
      <c r="CF9" s="138">
        <f t="shared" ref="CF9:CF27" si="26">SUMIF(B$8:B$27,CC9,Y$8:Y$27)</f>
        <v>0</v>
      </c>
      <c r="CG9" s="132">
        <f t="shared" ref="CG9:CG27" si="27">RANK(CF9,CF$8:CF$27)</f>
        <v>1</v>
      </c>
      <c r="CH9" s="138">
        <f>SUM(CF8:CF27)</f>
        <v>0</v>
      </c>
      <c r="CI9" s="138"/>
      <c r="CJ9" s="138"/>
    </row>
    <row r="10" ht="15" customHeight="1" spans="1:88">
      <c r="A10" s="123" t="str">
        <f>IF(B10="","",COUNT(A$7:A9)+1)</f>
        <v/>
      </c>
      <c r="B10" s="139"/>
      <c r="C10" s="139"/>
      <c r="D10" s="1242" t="str">
        <f t="shared" si="9"/>
        <v/>
      </c>
      <c r="E10" s="141"/>
      <c r="F10" s="143"/>
      <c r="G10" s="141"/>
      <c r="H10" s="142"/>
      <c r="I10" s="127" t="str">
        <f>IFERROR(VLOOKUP(H10,参数表!$H$2:$I$50,2,FALSE),"")</f>
        <v/>
      </c>
      <c r="J10" s="128" t="str">
        <f t="shared" ref="J10:J27" si="28">IFERROR(IF(OR(H10="人民币",H10=""),"",U10/I10),"")</f>
        <v/>
      </c>
      <c r="K10" s="128" t="str">
        <f t="shared" ref="K10:K27" si="29">IFERROR(IF(OR(H10="人民币",H10=""),"",V10/I10),"")</f>
        <v/>
      </c>
      <c r="L10" s="980"/>
      <c r="M10" s="143" t="str">
        <f t="shared" si="10"/>
        <v/>
      </c>
      <c r="N10" s="143"/>
      <c r="O10" s="143"/>
      <c r="P10" s="144"/>
      <c r="Q10" s="144"/>
      <c r="R10" s="144"/>
      <c r="S10" s="353" t="str">
        <f t="shared" si="11"/>
        <v/>
      </c>
      <c r="T10" s="129" t="str">
        <f t="shared" si="12"/>
        <v/>
      </c>
      <c r="U10" s="1226" t="str">
        <f t="shared" si="13"/>
        <v/>
      </c>
      <c r="V10" s="1226" t="str">
        <f t="shared" si="14"/>
        <v/>
      </c>
      <c r="W10" s="353" t="str">
        <f t="shared" si="0"/>
        <v/>
      </c>
      <c r="X10" s="353" t="str">
        <f t="shared" si="15"/>
        <v/>
      </c>
      <c r="Y10" s="353" t="str">
        <f t="shared" si="1"/>
        <v/>
      </c>
      <c r="Z10" s="129" t="str">
        <f t="shared" si="16"/>
        <v/>
      </c>
      <c r="AA10" s="129" t="str">
        <f t="shared" si="17"/>
        <v/>
      </c>
      <c r="AB10" s="145"/>
      <c r="AC10" s="137"/>
      <c r="AD10" s="1243" t="str">
        <f t="shared" si="18"/>
        <v/>
      </c>
      <c r="BA10" s="78"/>
      <c r="BB10" s="132" t="s">
        <v>2682</v>
      </c>
      <c r="BC10" s="133"/>
      <c r="BD10" s="132" t="str">
        <f>IF(OR(B10="",BC10=""),"",COUNTIF(BC$8:BC10,"√"))</f>
        <v/>
      </c>
      <c r="BE10" s="134" t="str">
        <f t="shared" si="2"/>
        <v/>
      </c>
      <c r="BF10" s="135" t="str">
        <f t="shared" si="19"/>
        <v/>
      </c>
      <c r="BG10" s="135" t="str">
        <f t="shared" si="19"/>
        <v/>
      </c>
      <c r="BH10" s="136"/>
      <c r="BI10" s="136"/>
      <c r="BJ10" s="136"/>
      <c r="BK10" s="136"/>
      <c r="BL10" s="137"/>
      <c r="BM10" s="137"/>
      <c r="BN10" s="165" t="s">
        <v>2680</v>
      </c>
      <c r="BO10" s="187">
        <f t="shared" si="3"/>
        <v>0</v>
      </c>
      <c r="BP10" s="187">
        <f t="shared" si="4"/>
        <v>0</v>
      </c>
      <c r="BQ10" s="187">
        <f t="shared" si="5"/>
        <v>0</v>
      </c>
      <c r="BR10" s="187">
        <f t="shared" si="6"/>
        <v>0</v>
      </c>
      <c r="BS10" s="187">
        <f t="shared" si="6"/>
        <v>0</v>
      </c>
      <c r="BT10" s="187">
        <f t="shared" si="6"/>
        <v>0</v>
      </c>
      <c r="BU10" s="187">
        <f t="shared" si="6"/>
        <v>0</v>
      </c>
      <c r="BV10" s="187">
        <f t="shared" si="7"/>
        <v>0</v>
      </c>
      <c r="BW10" s="187">
        <f t="shared" si="20"/>
        <v>0</v>
      </c>
      <c r="BX10" s="187">
        <f t="shared" si="21"/>
        <v>0</v>
      </c>
      <c r="BY10" s="508"/>
      <c r="BZ10" s="187">
        <f t="shared" si="22"/>
        <v>0</v>
      </c>
      <c r="CA10" s="187">
        <f t="shared" si="23"/>
        <v>0</v>
      </c>
      <c r="CC10" s="134" t="str">
        <f>IF(COUNTIF(CC$7:CC9,B10)&gt;0,"",B10)&amp;""</f>
        <v/>
      </c>
      <c r="CD10" s="138">
        <f t="shared" si="24"/>
        <v>0</v>
      </c>
      <c r="CE10" s="132">
        <f t="shared" si="25"/>
        <v>1</v>
      </c>
      <c r="CF10" s="138">
        <f t="shared" si="26"/>
        <v>0</v>
      </c>
      <c r="CG10" s="132">
        <f t="shared" si="27"/>
        <v>1</v>
      </c>
      <c r="CH10" s="132">
        <v>1</v>
      </c>
      <c r="CI10" s="134" t="str">
        <f>IFERROR(INDEX(CC$8:CC$27,MATCH(CH10,IF(CH$8=0,CG$8:CG$27,CE$8:CE$27),0))&amp;"","")</f>
        <v/>
      </c>
      <c r="CJ10" s="146" t="str">
        <f>IF(CI11="","",IF(CI12="","和","、"))</f>
        <v/>
      </c>
    </row>
    <row r="11" ht="15" customHeight="1" spans="1:88">
      <c r="A11" s="123" t="str">
        <f>IF(B11="","",COUNT(A$7:A10)+1)</f>
        <v/>
      </c>
      <c r="B11" s="139"/>
      <c r="C11" s="139"/>
      <c r="D11" s="1242" t="str">
        <f t="shared" si="9"/>
        <v/>
      </c>
      <c r="E11" s="141"/>
      <c r="F11" s="143"/>
      <c r="G11" s="141"/>
      <c r="H11" s="142"/>
      <c r="I11" s="127" t="str">
        <f>IFERROR(VLOOKUP(H11,参数表!$H$2:$I$50,2,FALSE),"")</f>
        <v/>
      </c>
      <c r="J11" s="128" t="str">
        <f t="shared" si="28"/>
        <v/>
      </c>
      <c r="K11" s="128" t="str">
        <f t="shared" si="29"/>
        <v/>
      </c>
      <c r="L11" s="980"/>
      <c r="M11" s="143" t="str">
        <f t="shared" si="10"/>
        <v/>
      </c>
      <c r="N11" s="143"/>
      <c r="O11" s="143"/>
      <c r="P11" s="144"/>
      <c r="Q11" s="144"/>
      <c r="R11" s="144"/>
      <c r="S11" s="353" t="str">
        <f t="shared" si="11"/>
        <v/>
      </c>
      <c r="T11" s="129" t="str">
        <f t="shared" si="12"/>
        <v/>
      </c>
      <c r="U11" s="1226" t="str">
        <f t="shared" si="13"/>
        <v/>
      </c>
      <c r="V11" s="1226" t="str">
        <f t="shared" si="14"/>
        <v/>
      </c>
      <c r="W11" s="353" t="str">
        <f t="shared" si="0"/>
        <v/>
      </c>
      <c r="X11" s="353" t="str">
        <f t="shared" si="15"/>
        <v/>
      </c>
      <c r="Y11" s="353" t="str">
        <f t="shared" si="1"/>
        <v/>
      </c>
      <c r="Z11" s="129" t="str">
        <f t="shared" si="16"/>
        <v/>
      </c>
      <c r="AA11" s="129" t="str">
        <f t="shared" si="17"/>
        <v/>
      </c>
      <c r="AB11" s="145"/>
      <c r="AC11" s="137"/>
      <c r="AD11" s="1243" t="str">
        <f t="shared" si="18"/>
        <v/>
      </c>
      <c r="BA11" s="78"/>
      <c r="BB11" s="132" t="s">
        <v>2683</v>
      </c>
      <c r="BC11" s="133"/>
      <c r="BD11" s="132" t="str">
        <f>IF(OR(B11="",BC11=""),"",COUNTIF(BC$8:BC11,"√"))</f>
        <v/>
      </c>
      <c r="BE11" s="134" t="str">
        <f t="shared" si="2"/>
        <v/>
      </c>
      <c r="BF11" s="135" t="str">
        <f t="shared" si="19"/>
        <v/>
      </c>
      <c r="BG11" s="135" t="str">
        <f t="shared" si="19"/>
        <v/>
      </c>
      <c r="BH11" s="136"/>
      <c r="BI11" s="136"/>
      <c r="BJ11" s="136"/>
      <c r="BK11" s="136"/>
      <c r="BL11" s="137"/>
      <c r="BM11" s="137"/>
      <c r="BN11" s="165" t="s">
        <v>2680</v>
      </c>
      <c r="BO11" s="187">
        <f t="shared" si="3"/>
        <v>0</v>
      </c>
      <c r="BP11" s="187">
        <f t="shared" si="4"/>
        <v>0</v>
      </c>
      <c r="BQ11" s="187">
        <f t="shared" si="5"/>
        <v>0</v>
      </c>
      <c r="BR11" s="187">
        <f t="shared" si="6"/>
        <v>0</v>
      </c>
      <c r="BS11" s="187">
        <f t="shared" si="6"/>
        <v>0</v>
      </c>
      <c r="BT11" s="187">
        <f t="shared" si="6"/>
        <v>0</v>
      </c>
      <c r="BU11" s="187">
        <f t="shared" si="6"/>
        <v>0</v>
      </c>
      <c r="BV11" s="187">
        <f t="shared" si="7"/>
        <v>0</v>
      </c>
      <c r="BW11" s="187">
        <f t="shared" si="20"/>
        <v>0</v>
      </c>
      <c r="BX11" s="187">
        <f t="shared" si="21"/>
        <v>0</v>
      </c>
      <c r="BY11" s="508"/>
      <c r="BZ11" s="187">
        <f t="shared" si="22"/>
        <v>0</v>
      </c>
      <c r="CA11" s="187">
        <f t="shared" si="23"/>
        <v>0</v>
      </c>
      <c r="CC11" s="134" t="str">
        <f>IF(COUNTIF(CC$7:CC10,B11)&gt;0,"",B11)&amp;""</f>
        <v/>
      </c>
      <c r="CD11" s="138">
        <f t="shared" si="24"/>
        <v>0</v>
      </c>
      <c r="CE11" s="132">
        <f t="shared" si="25"/>
        <v>1</v>
      </c>
      <c r="CF11" s="138">
        <f t="shared" si="26"/>
        <v>0</v>
      </c>
      <c r="CG11" s="132">
        <f t="shared" si="27"/>
        <v>1</v>
      </c>
      <c r="CH11" s="132">
        <v>2</v>
      </c>
      <c r="CI11" s="134" t="str">
        <f t="shared" ref="CI11:CI14" si="30">IFERROR(INDEX(CC$8:CC$27,MATCH(CH11,IF(CH$8=0,CG$8:CG$27,CE$8:CE$27),0))&amp;"","")</f>
        <v/>
      </c>
      <c r="CJ11" s="146" t="str">
        <f t="shared" ref="CJ11:CJ12" si="31">IF(CI12="","",IF(CI13="","和","、"))</f>
        <v/>
      </c>
    </row>
    <row r="12" ht="15" customHeight="1" spans="1:88">
      <c r="A12" s="123" t="str">
        <f>IF(B12="","",COUNT(A$7:A11)+1)</f>
        <v/>
      </c>
      <c r="B12" s="139"/>
      <c r="C12" s="139"/>
      <c r="D12" s="1242" t="str">
        <f t="shared" si="9"/>
        <v/>
      </c>
      <c r="E12" s="141"/>
      <c r="F12" s="143"/>
      <c r="G12" s="141"/>
      <c r="H12" s="142"/>
      <c r="I12" s="127" t="str">
        <f>IFERROR(VLOOKUP(H12,参数表!$H$2:$I$50,2,FALSE),"")</f>
        <v/>
      </c>
      <c r="J12" s="128" t="str">
        <f t="shared" si="28"/>
        <v/>
      </c>
      <c r="K12" s="128" t="str">
        <f t="shared" si="29"/>
        <v/>
      </c>
      <c r="L12" s="980"/>
      <c r="M12" s="143" t="str">
        <f t="shared" si="10"/>
        <v/>
      </c>
      <c r="N12" s="143"/>
      <c r="O12" s="143"/>
      <c r="P12" s="144"/>
      <c r="Q12" s="144"/>
      <c r="R12" s="144"/>
      <c r="S12" s="353" t="str">
        <f t="shared" si="11"/>
        <v/>
      </c>
      <c r="T12" s="129" t="str">
        <f t="shared" si="12"/>
        <v/>
      </c>
      <c r="U12" s="1226" t="str">
        <f t="shared" si="13"/>
        <v/>
      </c>
      <c r="V12" s="1226" t="str">
        <f t="shared" si="14"/>
        <v/>
      </c>
      <c r="W12" s="353" t="str">
        <f t="shared" si="0"/>
        <v/>
      </c>
      <c r="X12" s="353" t="str">
        <f t="shared" si="15"/>
        <v/>
      </c>
      <c r="Y12" s="353" t="str">
        <f t="shared" si="1"/>
        <v/>
      </c>
      <c r="Z12" s="129" t="str">
        <f t="shared" si="16"/>
        <v/>
      </c>
      <c r="AA12" s="129" t="str">
        <f t="shared" si="17"/>
        <v/>
      </c>
      <c r="AB12" s="145"/>
      <c r="AC12" s="137"/>
      <c r="AD12" s="1243" t="str">
        <f t="shared" si="18"/>
        <v/>
      </c>
      <c r="BA12" s="78"/>
      <c r="BB12" s="132" t="s">
        <v>2684</v>
      </c>
      <c r="BC12" s="133"/>
      <c r="BD12" s="132" t="str">
        <f>IF(OR(B12="",BC12=""),"",COUNTIF(BC$8:BC12,"√"))</f>
        <v/>
      </c>
      <c r="BE12" s="134" t="str">
        <f t="shared" si="2"/>
        <v/>
      </c>
      <c r="BF12" s="135" t="str">
        <f t="shared" si="19"/>
        <v/>
      </c>
      <c r="BG12" s="135" t="str">
        <f t="shared" si="19"/>
        <v/>
      </c>
      <c r="BH12" s="136"/>
      <c r="BI12" s="136"/>
      <c r="BJ12" s="136"/>
      <c r="BK12" s="136"/>
      <c r="BL12" s="137"/>
      <c r="BM12" s="137"/>
      <c r="BN12" s="165" t="s">
        <v>2680</v>
      </c>
      <c r="BO12" s="187">
        <f t="shared" si="3"/>
        <v>0</v>
      </c>
      <c r="BP12" s="187">
        <f t="shared" si="4"/>
        <v>0</v>
      </c>
      <c r="BQ12" s="187">
        <f t="shared" si="5"/>
        <v>0</v>
      </c>
      <c r="BR12" s="187">
        <f t="shared" si="6"/>
        <v>0</v>
      </c>
      <c r="BS12" s="187">
        <f t="shared" si="6"/>
        <v>0</v>
      </c>
      <c r="BT12" s="187">
        <f t="shared" si="6"/>
        <v>0</v>
      </c>
      <c r="BU12" s="187">
        <f t="shared" si="6"/>
        <v>0</v>
      </c>
      <c r="BV12" s="187">
        <f t="shared" si="7"/>
        <v>0</v>
      </c>
      <c r="BW12" s="187">
        <f t="shared" si="20"/>
        <v>0</v>
      </c>
      <c r="BX12" s="187">
        <f t="shared" si="21"/>
        <v>0</v>
      </c>
      <c r="BY12" s="508"/>
      <c r="BZ12" s="187">
        <f t="shared" si="22"/>
        <v>0</v>
      </c>
      <c r="CA12" s="187">
        <f t="shared" si="23"/>
        <v>0</v>
      </c>
      <c r="CC12" s="134" t="str">
        <f>IF(COUNTIF(CC$7:CC11,B12)&gt;0,"",B12)&amp;""</f>
        <v/>
      </c>
      <c r="CD12" s="138">
        <f t="shared" si="24"/>
        <v>0</v>
      </c>
      <c r="CE12" s="132">
        <f t="shared" si="25"/>
        <v>1</v>
      </c>
      <c r="CF12" s="138">
        <f t="shared" si="26"/>
        <v>0</v>
      </c>
      <c r="CG12" s="132">
        <f t="shared" si="27"/>
        <v>1</v>
      </c>
      <c r="CH12" s="132">
        <v>3</v>
      </c>
      <c r="CI12" s="134" t="str">
        <f t="shared" si="30"/>
        <v/>
      </c>
      <c r="CJ12" s="146" t="str">
        <f t="shared" si="31"/>
        <v/>
      </c>
    </row>
    <row r="13" ht="15" customHeight="1" spans="1:88">
      <c r="A13" s="123" t="str">
        <f>IF(B13="","",COUNT(A$7:A12)+1)</f>
        <v/>
      </c>
      <c r="B13" s="139"/>
      <c r="C13" s="139"/>
      <c r="D13" s="1242" t="str">
        <f t="shared" si="9"/>
        <v/>
      </c>
      <c r="E13" s="141"/>
      <c r="F13" s="143"/>
      <c r="G13" s="141"/>
      <c r="H13" s="142"/>
      <c r="I13" s="127" t="str">
        <f>IFERROR(VLOOKUP(H13,参数表!$H$2:$I$50,2,FALSE),"")</f>
        <v/>
      </c>
      <c r="J13" s="128" t="str">
        <f t="shared" si="28"/>
        <v/>
      </c>
      <c r="K13" s="128" t="str">
        <f t="shared" si="29"/>
        <v/>
      </c>
      <c r="L13" s="980"/>
      <c r="M13" s="143" t="str">
        <f t="shared" si="10"/>
        <v/>
      </c>
      <c r="N13" s="143"/>
      <c r="O13" s="143"/>
      <c r="P13" s="144"/>
      <c r="Q13" s="144"/>
      <c r="R13" s="144"/>
      <c r="S13" s="353" t="str">
        <f t="shared" si="11"/>
        <v/>
      </c>
      <c r="T13" s="129" t="str">
        <f t="shared" si="12"/>
        <v/>
      </c>
      <c r="U13" s="1226" t="str">
        <f t="shared" si="13"/>
        <v/>
      </c>
      <c r="V13" s="1226" t="str">
        <f t="shared" si="14"/>
        <v/>
      </c>
      <c r="W13" s="353" t="str">
        <f t="shared" si="0"/>
        <v/>
      </c>
      <c r="X13" s="353" t="str">
        <f t="shared" si="15"/>
        <v/>
      </c>
      <c r="Y13" s="353" t="str">
        <f t="shared" si="1"/>
        <v/>
      </c>
      <c r="Z13" s="129" t="str">
        <f t="shared" si="16"/>
        <v/>
      </c>
      <c r="AA13" s="129" t="str">
        <f t="shared" si="17"/>
        <v/>
      </c>
      <c r="AB13" s="145"/>
      <c r="AC13" s="137"/>
      <c r="AD13" s="1243" t="str">
        <f t="shared" si="18"/>
        <v/>
      </c>
      <c r="BA13" s="78"/>
      <c r="BB13" s="132" t="s">
        <v>2685</v>
      </c>
      <c r="BC13" s="133"/>
      <c r="BD13" s="132" t="str">
        <f>IF(OR(B13="",BC13=""),"",COUNTIF(BC$8:BC13,"√"))</f>
        <v/>
      </c>
      <c r="BE13" s="134" t="str">
        <f t="shared" si="2"/>
        <v/>
      </c>
      <c r="BF13" s="135" t="str">
        <f t="shared" si="19"/>
        <v/>
      </c>
      <c r="BG13" s="135" t="str">
        <f t="shared" si="19"/>
        <v/>
      </c>
      <c r="BH13" s="136"/>
      <c r="BI13" s="136"/>
      <c r="BJ13" s="136"/>
      <c r="BK13" s="136"/>
      <c r="BL13" s="137"/>
      <c r="BM13" s="137"/>
      <c r="BN13" s="165" t="s">
        <v>2680</v>
      </c>
      <c r="BO13" s="187">
        <f t="shared" si="3"/>
        <v>0</v>
      </c>
      <c r="BP13" s="187">
        <f t="shared" si="4"/>
        <v>0</v>
      </c>
      <c r="BQ13" s="187">
        <f t="shared" si="5"/>
        <v>0</v>
      </c>
      <c r="BR13" s="187">
        <f t="shared" si="6"/>
        <v>0</v>
      </c>
      <c r="BS13" s="187">
        <f t="shared" si="6"/>
        <v>0</v>
      </c>
      <c r="BT13" s="187">
        <f t="shared" si="6"/>
        <v>0</v>
      </c>
      <c r="BU13" s="187">
        <f t="shared" si="6"/>
        <v>0</v>
      </c>
      <c r="BV13" s="187">
        <f t="shared" si="7"/>
        <v>0</v>
      </c>
      <c r="BW13" s="187">
        <f t="shared" si="20"/>
        <v>0</v>
      </c>
      <c r="BX13" s="187">
        <f t="shared" si="21"/>
        <v>0</v>
      </c>
      <c r="BY13" s="508"/>
      <c r="BZ13" s="187">
        <f t="shared" si="22"/>
        <v>0</v>
      </c>
      <c r="CA13" s="187">
        <f t="shared" si="23"/>
        <v>0</v>
      </c>
      <c r="CC13" s="134" t="str">
        <f>IF(COUNTIF(CC$7:CC12,B13)&gt;0,"",B13)&amp;""</f>
        <v/>
      </c>
      <c r="CD13" s="138">
        <f t="shared" si="24"/>
        <v>0</v>
      </c>
      <c r="CE13" s="132">
        <f t="shared" si="25"/>
        <v>1</v>
      </c>
      <c r="CF13" s="138">
        <f t="shared" si="26"/>
        <v>0</v>
      </c>
      <c r="CG13" s="132">
        <f t="shared" si="27"/>
        <v>1</v>
      </c>
      <c r="CH13" s="132">
        <v>4</v>
      </c>
      <c r="CI13" s="134" t="str">
        <f t="shared" si="30"/>
        <v/>
      </c>
      <c r="CJ13" s="146" t="str">
        <f>IF(CI14="","","和")</f>
        <v/>
      </c>
    </row>
    <row r="14" ht="15" customHeight="1" spans="1:88">
      <c r="A14" s="123" t="str">
        <f>IF(B14="","",COUNT(A$7:A13)+1)</f>
        <v/>
      </c>
      <c r="B14" s="139"/>
      <c r="C14" s="139"/>
      <c r="D14" s="1242" t="str">
        <f t="shared" si="9"/>
        <v/>
      </c>
      <c r="E14" s="141"/>
      <c r="F14" s="143"/>
      <c r="G14" s="141"/>
      <c r="H14" s="142"/>
      <c r="I14" s="127" t="str">
        <f>IFERROR(VLOOKUP(H14,参数表!$H$2:$I$50,2,FALSE),"")</f>
        <v/>
      </c>
      <c r="J14" s="128" t="str">
        <f t="shared" si="28"/>
        <v/>
      </c>
      <c r="K14" s="128" t="str">
        <f t="shared" si="29"/>
        <v/>
      </c>
      <c r="L14" s="980"/>
      <c r="M14" s="143" t="str">
        <f t="shared" si="10"/>
        <v/>
      </c>
      <c r="N14" s="143"/>
      <c r="O14" s="143"/>
      <c r="P14" s="144"/>
      <c r="Q14" s="144"/>
      <c r="R14" s="144"/>
      <c r="S14" s="353" t="str">
        <f t="shared" si="11"/>
        <v/>
      </c>
      <c r="T14" s="129" t="str">
        <f t="shared" si="12"/>
        <v/>
      </c>
      <c r="U14" s="1226" t="str">
        <f t="shared" si="13"/>
        <v/>
      </c>
      <c r="V14" s="1226" t="str">
        <f t="shared" si="14"/>
        <v/>
      </c>
      <c r="W14" s="353" t="str">
        <f t="shared" si="0"/>
        <v/>
      </c>
      <c r="X14" s="353" t="str">
        <f t="shared" si="15"/>
        <v/>
      </c>
      <c r="Y14" s="353" t="str">
        <f t="shared" si="1"/>
        <v/>
      </c>
      <c r="Z14" s="129" t="str">
        <f t="shared" si="16"/>
        <v/>
      </c>
      <c r="AA14" s="129" t="str">
        <f t="shared" si="17"/>
        <v/>
      </c>
      <c r="AB14" s="145"/>
      <c r="AC14" s="137"/>
      <c r="AD14" s="1243" t="str">
        <f t="shared" si="18"/>
        <v/>
      </c>
      <c r="BA14" s="78"/>
      <c r="BB14" s="132" t="s">
        <v>2686</v>
      </c>
      <c r="BC14" s="133"/>
      <c r="BD14" s="132" t="str">
        <f>IF(OR(B14="",BC14=""),"",COUNTIF(BC$8:BC14,"√"))</f>
        <v/>
      </c>
      <c r="BE14" s="134" t="str">
        <f t="shared" si="2"/>
        <v/>
      </c>
      <c r="BF14" s="135" t="str">
        <f t="shared" si="19"/>
        <v/>
      </c>
      <c r="BG14" s="135" t="str">
        <f t="shared" si="19"/>
        <v/>
      </c>
      <c r="BH14" s="136"/>
      <c r="BI14" s="136"/>
      <c r="BJ14" s="136"/>
      <c r="BK14" s="136"/>
      <c r="BL14" s="137"/>
      <c r="BM14" s="137"/>
      <c r="BN14" s="165" t="s">
        <v>2680</v>
      </c>
      <c r="BO14" s="187">
        <f t="shared" si="3"/>
        <v>0</v>
      </c>
      <c r="BP14" s="187">
        <f t="shared" si="4"/>
        <v>0</v>
      </c>
      <c r="BQ14" s="187">
        <f t="shared" si="5"/>
        <v>0</v>
      </c>
      <c r="BR14" s="187">
        <f t="shared" si="6"/>
        <v>0</v>
      </c>
      <c r="BS14" s="187">
        <f t="shared" si="6"/>
        <v>0</v>
      </c>
      <c r="BT14" s="187">
        <f t="shared" si="6"/>
        <v>0</v>
      </c>
      <c r="BU14" s="187">
        <f t="shared" si="6"/>
        <v>0</v>
      </c>
      <c r="BV14" s="187">
        <f t="shared" si="7"/>
        <v>0</v>
      </c>
      <c r="BW14" s="187">
        <f t="shared" si="20"/>
        <v>0</v>
      </c>
      <c r="BX14" s="187">
        <f t="shared" si="21"/>
        <v>0</v>
      </c>
      <c r="BY14" s="508"/>
      <c r="BZ14" s="187">
        <f t="shared" si="22"/>
        <v>0</v>
      </c>
      <c r="CA14" s="187">
        <f t="shared" si="23"/>
        <v>0</v>
      </c>
      <c r="CC14" s="134" t="str">
        <f>IF(COUNTIF(CC$7:CC13,B14)&gt;0,"",B14)&amp;""</f>
        <v/>
      </c>
      <c r="CD14" s="138">
        <f t="shared" si="24"/>
        <v>0</v>
      </c>
      <c r="CE14" s="132">
        <f t="shared" si="25"/>
        <v>1</v>
      </c>
      <c r="CF14" s="138">
        <f t="shared" si="26"/>
        <v>0</v>
      </c>
      <c r="CG14" s="132">
        <f t="shared" si="27"/>
        <v>1</v>
      </c>
      <c r="CH14" s="132">
        <v>5</v>
      </c>
      <c r="CI14" s="134" t="str">
        <f t="shared" si="30"/>
        <v/>
      </c>
      <c r="CJ14" s="146"/>
    </row>
    <row r="15" ht="15" customHeight="1" spans="1:88">
      <c r="A15" s="123" t="str">
        <f>IF(B15="","",COUNT(A$7:A14)+1)</f>
        <v/>
      </c>
      <c r="B15" s="139"/>
      <c r="C15" s="139"/>
      <c r="D15" s="1242" t="str">
        <f t="shared" si="9"/>
        <v/>
      </c>
      <c r="E15" s="141"/>
      <c r="F15" s="143"/>
      <c r="G15" s="141"/>
      <c r="H15" s="142"/>
      <c r="I15" s="127" t="str">
        <f>IFERROR(VLOOKUP(H15,参数表!$H$2:$I$50,2,FALSE),"")</f>
        <v/>
      </c>
      <c r="J15" s="128" t="str">
        <f t="shared" si="28"/>
        <v/>
      </c>
      <c r="K15" s="128" t="str">
        <f t="shared" si="29"/>
        <v/>
      </c>
      <c r="L15" s="980"/>
      <c r="M15" s="143" t="str">
        <f t="shared" si="10"/>
        <v/>
      </c>
      <c r="N15" s="143"/>
      <c r="O15" s="143"/>
      <c r="P15" s="144"/>
      <c r="Q15" s="144"/>
      <c r="R15" s="144"/>
      <c r="S15" s="353" t="str">
        <f t="shared" si="11"/>
        <v/>
      </c>
      <c r="T15" s="129" t="str">
        <f t="shared" si="12"/>
        <v/>
      </c>
      <c r="U15" s="1226" t="str">
        <f t="shared" si="13"/>
        <v/>
      </c>
      <c r="V15" s="1226" t="str">
        <f t="shared" si="14"/>
        <v/>
      </c>
      <c r="W15" s="353" t="str">
        <f t="shared" si="0"/>
        <v/>
      </c>
      <c r="X15" s="353" t="str">
        <f t="shared" si="15"/>
        <v/>
      </c>
      <c r="Y15" s="353" t="str">
        <f t="shared" si="1"/>
        <v/>
      </c>
      <c r="Z15" s="129" t="str">
        <f t="shared" si="16"/>
        <v/>
      </c>
      <c r="AA15" s="129" t="str">
        <f t="shared" si="17"/>
        <v/>
      </c>
      <c r="AB15" s="145"/>
      <c r="AC15" s="137"/>
      <c r="AD15" s="1243" t="str">
        <f t="shared" si="18"/>
        <v/>
      </c>
      <c r="BA15" s="78"/>
      <c r="BB15" s="132" t="s">
        <v>2687</v>
      </c>
      <c r="BC15" s="133"/>
      <c r="BD15" s="132" t="str">
        <f>IF(OR(B15="",BC15=""),"",COUNTIF(BC$8:BC15,"√"))</f>
        <v/>
      </c>
      <c r="BE15" s="134" t="str">
        <f t="shared" si="2"/>
        <v/>
      </c>
      <c r="BF15" s="135" t="str">
        <f t="shared" si="19"/>
        <v/>
      </c>
      <c r="BG15" s="135" t="str">
        <f t="shared" si="19"/>
        <v/>
      </c>
      <c r="BH15" s="136"/>
      <c r="BI15" s="136"/>
      <c r="BJ15" s="136"/>
      <c r="BK15" s="136"/>
      <c r="BL15" s="137"/>
      <c r="BM15" s="137"/>
      <c r="BN15" s="165" t="s">
        <v>2680</v>
      </c>
      <c r="BO15" s="187">
        <f t="shared" si="3"/>
        <v>0</v>
      </c>
      <c r="BP15" s="187">
        <f t="shared" si="4"/>
        <v>0</v>
      </c>
      <c r="BQ15" s="187">
        <f t="shared" si="5"/>
        <v>0</v>
      </c>
      <c r="BR15" s="187">
        <f t="shared" si="6"/>
        <v>0</v>
      </c>
      <c r="BS15" s="187">
        <f t="shared" si="6"/>
        <v>0</v>
      </c>
      <c r="BT15" s="187">
        <f t="shared" si="6"/>
        <v>0</v>
      </c>
      <c r="BU15" s="187">
        <f t="shared" si="6"/>
        <v>0</v>
      </c>
      <c r="BV15" s="187">
        <f t="shared" si="7"/>
        <v>0</v>
      </c>
      <c r="BW15" s="187">
        <f t="shared" si="20"/>
        <v>0</v>
      </c>
      <c r="BX15" s="187">
        <f t="shared" si="21"/>
        <v>0</v>
      </c>
      <c r="BY15" s="508"/>
      <c r="BZ15" s="187">
        <f t="shared" si="22"/>
        <v>0</v>
      </c>
      <c r="CA15" s="187">
        <f t="shared" si="23"/>
        <v>0</v>
      </c>
      <c r="CC15" s="134" t="str">
        <f>IF(COUNTIF(CC$7:CC14,B15)&gt;0,"",B15)&amp;""</f>
        <v/>
      </c>
      <c r="CD15" s="138">
        <f t="shared" si="24"/>
        <v>0</v>
      </c>
      <c r="CE15" s="132">
        <f t="shared" si="25"/>
        <v>1</v>
      </c>
      <c r="CF15" s="138">
        <f t="shared" si="26"/>
        <v>0</v>
      </c>
      <c r="CG15" s="132">
        <f t="shared" si="27"/>
        <v>1</v>
      </c>
      <c r="CH15" s="147" t="s">
        <v>1659</v>
      </c>
      <c r="CI15" s="132" t="str">
        <f>CONCATENATE(CI10,CJ10,CI11,CJ11,CI12,CJ12,CI13,CJ13,CI14)</f>
        <v/>
      </c>
      <c r="CJ15" s="132"/>
    </row>
    <row r="16" ht="15" customHeight="1" spans="1:88">
      <c r="A16" s="123" t="str">
        <f>IF(B16="","",COUNT(A$7:A15)+1)</f>
        <v/>
      </c>
      <c r="B16" s="139"/>
      <c r="C16" s="139"/>
      <c r="D16" s="1242" t="str">
        <f t="shared" si="9"/>
        <v/>
      </c>
      <c r="E16" s="141"/>
      <c r="F16" s="143"/>
      <c r="G16" s="141"/>
      <c r="H16" s="142"/>
      <c r="I16" s="127" t="str">
        <f>IFERROR(VLOOKUP(H16,参数表!$H$2:$I$50,2,FALSE),"")</f>
        <v/>
      </c>
      <c r="J16" s="128" t="str">
        <f t="shared" si="28"/>
        <v/>
      </c>
      <c r="K16" s="128" t="str">
        <f t="shared" si="29"/>
        <v/>
      </c>
      <c r="L16" s="980"/>
      <c r="M16" s="143" t="str">
        <f t="shared" si="10"/>
        <v/>
      </c>
      <c r="N16" s="143"/>
      <c r="O16" s="143"/>
      <c r="P16" s="144"/>
      <c r="Q16" s="144"/>
      <c r="R16" s="144"/>
      <c r="S16" s="353" t="str">
        <f t="shared" si="11"/>
        <v/>
      </c>
      <c r="T16" s="129" t="str">
        <f t="shared" si="12"/>
        <v/>
      </c>
      <c r="U16" s="1226" t="str">
        <f t="shared" si="13"/>
        <v/>
      </c>
      <c r="V16" s="1226" t="str">
        <f t="shared" si="14"/>
        <v/>
      </c>
      <c r="W16" s="353" t="str">
        <f t="shared" si="0"/>
        <v/>
      </c>
      <c r="X16" s="353" t="str">
        <f t="shared" si="15"/>
        <v/>
      </c>
      <c r="Y16" s="353" t="str">
        <f t="shared" si="1"/>
        <v/>
      </c>
      <c r="Z16" s="129" t="str">
        <f t="shared" si="16"/>
        <v/>
      </c>
      <c r="AA16" s="129" t="str">
        <f t="shared" si="17"/>
        <v/>
      </c>
      <c r="AB16" s="145"/>
      <c r="AC16" s="137"/>
      <c r="AD16" s="1243" t="str">
        <f t="shared" si="18"/>
        <v/>
      </c>
      <c r="BA16" s="78"/>
      <c r="BB16" s="132" t="s">
        <v>2688</v>
      </c>
      <c r="BC16" s="133"/>
      <c r="BD16" s="132" t="str">
        <f>IF(OR(B16="",BC16=""),"",COUNTIF(BC$8:BC16,"√"))</f>
        <v/>
      </c>
      <c r="BE16" s="134" t="str">
        <f t="shared" si="2"/>
        <v/>
      </c>
      <c r="BF16" s="135" t="str">
        <f t="shared" si="19"/>
        <v/>
      </c>
      <c r="BG16" s="135" t="str">
        <f t="shared" si="19"/>
        <v/>
      </c>
      <c r="BH16" s="136"/>
      <c r="BI16" s="136"/>
      <c r="BJ16" s="136"/>
      <c r="BK16" s="136"/>
      <c r="BL16" s="137"/>
      <c r="BM16" s="137"/>
      <c r="BN16" s="165" t="s">
        <v>2680</v>
      </c>
      <c r="BO16" s="187">
        <f t="shared" si="3"/>
        <v>0</v>
      </c>
      <c r="BP16" s="187">
        <f t="shared" si="4"/>
        <v>0</v>
      </c>
      <c r="BQ16" s="187">
        <f t="shared" si="5"/>
        <v>0</v>
      </c>
      <c r="BR16" s="187">
        <f t="shared" si="6"/>
        <v>0</v>
      </c>
      <c r="BS16" s="187">
        <f t="shared" si="6"/>
        <v>0</v>
      </c>
      <c r="BT16" s="187">
        <f t="shared" si="6"/>
        <v>0</v>
      </c>
      <c r="BU16" s="187">
        <f t="shared" si="6"/>
        <v>0</v>
      </c>
      <c r="BV16" s="187">
        <f t="shared" si="7"/>
        <v>0</v>
      </c>
      <c r="BW16" s="187">
        <f t="shared" si="20"/>
        <v>0</v>
      </c>
      <c r="BX16" s="187">
        <f t="shared" si="21"/>
        <v>0</v>
      </c>
      <c r="BY16" s="508"/>
      <c r="BZ16" s="187">
        <f t="shared" si="22"/>
        <v>0</v>
      </c>
      <c r="CA16" s="187">
        <f t="shared" si="23"/>
        <v>0</v>
      </c>
      <c r="CC16" s="134" t="str">
        <f>IF(COUNTIF(CC$7:CC15,B16)&gt;0,"",B16)&amp;""</f>
        <v/>
      </c>
      <c r="CD16" s="138">
        <f t="shared" si="24"/>
        <v>0</v>
      </c>
      <c r="CE16" s="132">
        <f t="shared" si="25"/>
        <v>1</v>
      </c>
      <c r="CF16" s="138">
        <f t="shared" si="26"/>
        <v>0</v>
      </c>
      <c r="CG16" s="132">
        <f t="shared" si="27"/>
        <v>1</v>
      </c>
      <c r="CH16" s="133"/>
      <c r="CI16" s="133"/>
    </row>
    <row r="17" ht="15" customHeight="1" spans="1:88">
      <c r="A17" s="123" t="str">
        <f>IF(B17="","",COUNT(A$7:A16)+1)</f>
        <v/>
      </c>
      <c r="B17" s="139"/>
      <c r="C17" s="139"/>
      <c r="D17" s="1242" t="str">
        <f t="shared" si="9"/>
        <v/>
      </c>
      <c r="E17" s="141"/>
      <c r="F17" s="143"/>
      <c r="G17" s="141"/>
      <c r="H17" s="142"/>
      <c r="I17" s="127" t="str">
        <f>IFERROR(VLOOKUP(H17,参数表!$H$2:$I$50,2,FALSE),"")</f>
        <v/>
      </c>
      <c r="J17" s="128" t="str">
        <f t="shared" si="28"/>
        <v/>
      </c>
      <c r="K17" s="128" t="str">
        <f t="shared" si="29"/>
        <v/>
      </c>
      <c r="L17" s="980"/>
      <c r="M17" s="143" t="str">
        <f t="shared" si="10"/>
        <v/>
      </c>
      <c r="N17" s="143"/>
      <c r="O17" s="143"/>
      <c r="P17" s="144"/>
      <c r="Q17" s="144"/>
      <c r="R17" s="144"/>
      <c r="S17" s="353" t="str">
        <f t="shared" si="11"/>
        <v/>
      </c>
      <c r="T17" s="129" t="str">
        <f t="shared" si="12"/>
        <v/>
      </c>
      <c r="U17" s="1226" t="str">
        <f t="shared" si="13"/>
        <v/>
      </c>
      <c r="V17" s="1226" t="str">
        <f t="shared" si="14"/>
        <v/>
      </c>
      <c r="W17" s="353" t="str">
        <f t="shared" si="0"/>
        <v/>
      </c>
      <c r="X17" s="353" t="str">
        <f t="shared" si="15"/>
        <v/>
      </c>
      <c r="Y17" s="353" t="str">
        <f t="shared" si="1"/>
        <v/>
      </c>
      <c r="Z17" s="129" t="str">
        <f t="shared" si="16"/>
        <v/>
      </c>
      <c r="AA17" s="129" t="str">
        <f t="shared" si="17"/>
        <v/>
      </c>
      <c r="AB17" s="145"/>
      <c r="AC17" s="137"/>
      <c r="AD17" s="1243" t="str">
        <f t="shared" si="18"/>
        <v/>
      </c>
      <c r="BA17" s="78"/>
      <c r="BB17" s="132" t="s">
        <v>2689</v>
      </c>
      <c r="BC17" s="133"/>
      <c r="BD17" s="132" t="str">
        <f>IF(OR(B17="",BC17=""),"",COUNTIF(BC$8:BC17,"√"))</f>
        <v/>
      </c>
      <c r="BE17" s="134" t="str">
        <f t="shared" si="2"/>
        <v/>
      </c>
      <c r="BF17" s="135" t="str">
        <f t="shared" si="19"/>
        <v/>
      </c>
      <c r="BG17" s="135" t="str">
        <f t="shared" si="19"/>
        <v/>
      </c>
      <c r="BH17" s="136"/>
      <c r="BI17" s="136"/>
      <c r="BJ17" s="136"/>
      <c r="BK17" s="136"/>
      <c r="BL17" s="137"/>
      <c r="BM17" s="137"/>
      <c r="BN17" s="165" t="s">
        <v>2680</v>
      </c>
      <c r="BO17" s="187">
        <f t="shared" si="3"/>
        <v>0</v>
      </c>
      <c r="BP17" s="187">
        <f t="shared" si="4"/>
        <v>0</v>
      </c>
      <c r="BQ17" s="187">
        <f t="shared" si="5"/>
        <v>0</v>
      </c>
      <c r="BR17" s="187">
        <f t="shared" si="6"/>
        <v>0</v>
      </c>
      <c r="BS17" s="187">
        <f t="shared" si="6"/>
        <v>0</v>
      </c>
      <c r="BT17" s="187">
        <f t="shared" si="6"/>
        <v>0</v>
      </c>
      <c r="BU17" s="187">
        <f t="shared" si="6"/>
        <v>0</v>
      </c>
      <c r="BV17" s="187">
        <f t="shared" si="7"/>
        <v>0</v>
      </c>
      <c r="BW17" s="187">
        <f t="shared" si="20"/>
        <v>0</v>
      </c>
      <c r="BX17" s="187">
        <f t="shared" si="21"/>
        <v>0</v>
      </c>
      <c r="BY17" s="508"/>
      <c r="BZ17" s="187">
        <f t="shared" si="22"/>
        <v>0</v>
      </c>
      <c r="CA17" s="187">
        <f t="shared" si="23"/>
        <v>0</v>
      </c>
      <c r="CC17" s="134" t="str">
        <f>IF(COUNTIF(CC$7:CC16,B17)&gt;0,"",B17)&amp;""</f>
        <v/>
      </c>
      <c r="CD17" s="138">
        <f t="shared" si="24"/>
        <v>0</v>
      </c>
      <c r="CE17" s="132">
        <f t="shared" si="25"/>
        <v>1</v>
      </c>
      <c r="CF17" s="138">
        <f t="shared" si="26"/>
        <v>0</v>
      </c>
      <c r="CG17" s="132">
        <f t="shared" si="27"/>
        <v>1</v>
      </c>
      <c r="CH17" s="133"/>
      <c r="CI17" s="148"/>
    </row>
    <row r="18" ht="15" customHeight="1" spans="1:88">
      <c r="A18" s="123" t="str">
        <f>IF(B18="","",COUNT(A$7:A17)+1)</f>
        <v/>
      </c>
      <c r="B18" s="139"/>
      <c r="C18" s="139"/>
      <c r="D18" s="1242" t="str">
        <f t="shared" si="9"/>
        <v/>
      </c>
      <c r="E18" s="141"/>
      <c r="F18" s="143"/>
      <c r="G18" s="141"/>
      <c r="H18" s="142"/>
      <c r="I18" s="127" t="str">
        <f>IFERROR(VLOOKUP(H18,参数表!$H$2:$I$50,2,FALSE),"")</f>
        <v/>
      </c>
      <c r="J18" s="128" t="str">
        <f t="shared" si="28"/>
        <v/>
      </c>
      <c r="K18" s="128" t="str">
        <f t="shared" si="29"/>
        <v/>
      </c>
      <c r="L18" s="980"/>
      <c r="M18" s="143" t="str">
        <f t="shared" si="10"/>
        <v/>
      </c>
      <c r="N18" s="143"/>
      <c r="O18" s="143"/>
      <c r="P18" s="144"/>
      <c r="Q18" s="144"/>
      <c r="R18" s="144"/>
      <c r="S18" s="353" t="str">
        <f t="shared" si="11"/>
        <v/>
      </c>
      <c r="T18" s="129" t="str">
        <f t="shared" si="12"/>
        <v/>
      </c>
      <c r="U18" s="1226" t="str">
        <f t="shared" si="13"/>
        <v/>
      </c>
      <c r="V18" s="1226" t="str">
        <f t="shared" si="14"/>
        <v/>
      </c>
      <c r="W18" s="353" t="str">
        <f t="shared" si="0"/>
        <v/>
      </c>
      <c r="X18" s="353" t="str">
        <f t="shared" si="15"/>
        <v/>
      </c>
      <c r="Y18" s="353" t="str">
        <f t="shared" si="1"/>
        <v/>
      </c>
      <c r="Z18" s="129" t="str">
        <f t="shared" si="16"/>
        <v/>
      </c>
      <c r="AA18" s="129" t="str">
        <f t="shared" si="17"/>
        <v/>
      </c>
      <c r="AB18" s="145"/>
      <c r="AC18" s="137"/>
      <c r="AD18" s="1243" t="str">
        <f t="shared" si="18"/>
        <v/>
      </c>
      <c r="BA18" s="78"/>
      <c r="BB18" s="132" t="s">
        <v>2690</v>
      </c>
      <c r="BC18" s="133"/>
      <c r="BD18" s="132" t="str">
        <f>IF(OR(B18="",BC18=""),"",COUNTIF(BC$8:BC18,"√"))</f>
        <v/>
      </c>
      <c r="BE18" s="134" t="str">
        <f t="shared" si="2"/>
        <v/>
      </c>
      <c r="BF18" s="135" t="str">
        <f t="shared" si="19"/>
        <v/>
      </c>
      <c r="BG18" s="135" t="str">
        <f t="shared" si="19"/>
        <v/>
      </c>
      <c r="BH18" s="136"/>
      <c r="BI18" s="136"/>
      <c r="BJ18" s="136"/>
      <c r="BK18" s="136"/>
      <c r="BL18" s="137"/>
      <c r="BM18" s="137"/>
      <c r="BN18" s="165" t="s">
        <v>2680</v>
      </c>
      <c r="BO18" s="187">
        <f t="shared" si="3"/>
        <v>0</v>
      </c>
      <c r="BP18" s="187">
        <f t="shared" si="4"/>
        <v>0</v>
      </c>
      <c r="BQ18" s="187">
        <f t="shared" si="5"/>
        <v>0</v>
      </c>
      <c r="BR18" s="187">
        <f t="shared" si="6"/>
        <v>0</v>
      </c>
      <c r="BS18" s="187">
        <f t="shared" si="6"/>
        <v>0</v>
      </c>
      <c r="BT18" s="187">
        <f t="shared" si="6"/>
        <v>0</v>
      </c>
      <c r="BU18" s="187">
        <f t="shared" si="6"/>
        <v>0</v>
      </c>
      <c r="BV18" s="187">
        <f t="shared" si="7"/>
        <v>0</v>
      </c>
      <c r="BW18" s="187">
        <f t="shared" si="20"/>
        <v>0</v>
      </c>
      <c r="BX18" s="187">
        <f t="shared" si="21"/>
        <v>0</v>
      </c>
      <c r="BY18" s="508"/>
      <c r="BZ18" s="187">
        <f t="shared" si="22"/>
        <v>0</v>
      </c>
      <c r="CA18" s="187">
        <f t="shared" si="23"/>
        <v>0</v>
      </c>
      <c r="CC18" s="134" t="str">
        <f>IF(COUNTIF(CC$7:CC17,B18)&gt;0,"",B18)&amp;""</f>
        <v/>
      </c>
      <c r="CD18" s="138">
        <f t="shared" si="24"/>
        <v>0</v>
      </c>
      <c r="CE18" s="132">
        <f t="shared" si="25"/>
        <v>1</v>
      </c>
      <c r="CF18" s="138">
        <f t="shared" si="26"/>
        <v>0</v>
      </c>
      <c r="CG18" s="132">
        <f t="shared" si="27"/>
        <v>1</v>
      </c>
      <c r="CH18" s="133"/>
      <c r="CI18" s="133"/>
    </row>
    <row r="19" ht="15" customHeight="1" spans="1:88">
      <c r="A19" s="123" t="str">
        <f>IF(B19="","",COUNT(A$7:A18)+1)</f>
        <v/>
      </c>
      <c r="B19" s="139"/>
      <c r="C19" s="139"/>
      <c r="D19" s="1242" t="str">
        <f t="shared" si="9"/>
        <v/>
      </c>
      <c r="E19" s="141"/>
      <c r="F19" s="143"/>
      <c r="G19" s="141"/>
      <c r="H19" s="142"/>
      <c r="I19" s="127" t="str">
        <f>IFERROR(VLOOKUP(H19,参数表!$H$2:$I$50,2,FALSE),"")</f>
        <v/>
      </c>
      <c r="J19" s="128" t="str">
        <f t="shared" si="28"/>
        <v/>
      </c>
      <c r="K19" s="128" t="str">
        <f t="shared" si="29"/>
        <v/>
      </c>
      <c r="L19" s="980"/>
      <c r="M19" s="143" t="str">
        <f t="shared" si="10"/>
        <v/>
      </c>
      <c r="N19" s="143"/>
      <c r="O19" s="143"/>
      <c r="P19" s="144"/>
      <c r="Q19" s="144"/>
      <c r="R19" s="144"/>
      <c r="S19" s="353" t="str">
        <f t="shared" si="11"/>
        <v/>
      </c>
      <c r="T19" s="129" t="str">
        <f t="shared" si="12"/>
        <v/>
      </c>
      <c r="U19" s="1226" t="str">
        <f t="shared" si="13"/>
        <v/>
      </c>
      <c r="V19" s="1226" t="str">
        <f t="shared" si="14"/>
        <v/>
      </c>
      <c r="W19" s="353" t="str">
        <f t="shared" si="0"/>
        <v/>
      </c>
      <c r="X19" s="353" t="str">
        <f t="shared" si="15"/>
        <v/>
      </c>
      <c r="Y19" s="353" t="str">
        <f t="shared" si="1"/>
        <v/>
      </c>
      <c r="Z19" s="129" t="str">
        <f t="shared" si="16"/>
        <v/>
      </c>
      <c r="AA19" s="129" t="str">
        <f t="shared" si="17"/>
        <v/>
      </c>
      <c r="AB19" s="145"/>
      <c r="AC19" s="137"/>
      <c r="AD19" s="1243" t="str">
        <f t="shared" si="18"/>
        <v/>
      </c>
      <c r="BA19" s="78"/>
      <c r="BB19" s="132" t="s">
        <v>2691</v>
      </c>
      <c r="BC19" s="133"/>
      <c r="BD19" s="132" t="str">
        <f>IF(OR(B19="",BC19=""),"",COUNTIF(BC$8:BC19,"√"))</f>
        <v/>
      </c>
      <c r="BE19" s="134" t="str">
        <f t="shared" si="2"/>
        <v/>
      </c>
      <c r="BF19" s="135" t="str">
        <f t="shared" si="19"/>
        <v/>
      </c>
      <c r="BG19" s="135" t="str">
        <f t="shared" si="19"/>
        <v/>
      </c>
      <c r="BH19" s="136"/>
      <c r="BI19" s="136"/>
      <c r="BJ19" s="136"/>
      <c r="BK19" s="136"/>
      <c r="BL19" s="137"/>
      <c r="BM19" s="137"/>
      <c r="BN19" s="165" t="s">
        <v>2680</v>
      </c>
      <c r="BO19" s="187">
        <f t="shared" si="3"/>
        <v>0</v>
      </c>
      <c r="BP19" s="187">
        <f t="shared" si="4"/>
        <v>0</v>
      </c>
      <c r="BQ19" s="187">
        <f t="shared" si="5"/>
        <v>0</v>
      </c>
      <c r="BR19" s="187">
        <f t="shared" ref="BR19:BU27" si="32">$BP19*BR$6</f>
        <v>0</v>
      </c>
      <c r="BS19" s="187">
        <f t="shared" si="32"/>
        <v>0</v>
      </c>
      <c r="BT19" s="187">
        <f t="shared" si="32"/>
        <v>0</v>
      </c>
      <c r="BU19" s="187">
        <f t="shared" si="32"/>
        <v>0</v>
      </c>
      <c r="BV19" s="187">
        <f t="shared" si="7"/>
        <v>0</v>
      </c>
      <c r="BW19" s="187">
        <f t="shared" si="20"/>
        <v>0</v>
      </c>
      <c r="BX19" s="187">
        <f t="shared" si="21"/>
        <v>0</v>
      </c>
      <c r="BY19" s="508"/>
      <c r="BZ19" s="187">
        <f t="shared" si="22"/>
        <v>0</v>
      </c>
      <c r="CA19" s="187">
        <f t="shared" si="23"/>
        <v>0</v>
      </c>
      <c r="CC19" s="134" t="str">
        <f>IF(COUNTIF(CC$7:CC18,B19)&gt;0,"",B19)&amp;""</f>
        <v/>
      </c>
      <c r="CD19" s="138">
        <f t="shared" si="24"/>
        <v>0</v>
      </c>
      <c r="CE19" s="132">
        <f t="shared" si="25"/>
        <v>1</v>
      </c>
      <c r="CF19" s="138">
        <f t="shared" si="26"/>
        <v>0</v>
      </c>
      <c r="CG19" s="132">
        <f t="shared" si="27"/>
        <v>1</v>
      </c>
      <c r="CH19" s="133"/>
      <c r="CI19" s="133"/>
    </row>
    <row r="20" ht="15" customHeight="1" spans="1:88">
      <c r="A20" s="123" t="str">
        <f>IF(B20="","",COUNT(A$7:A19)+1)</f>
        <v/>
      </c>
      <c r="B20" s="139"/>
      <c r="C20" s="139"/>
      <c r="D20" s="1242" t="str">
        <f t="shared" si="9"/>
        <v/>
      </c>
      <c r="E20" s="141"/>
      <c r="F20" s="143"/>
      <c r="G20" s="141"/>
      <c r="H20" s="142"/>
      <c r="I20" s="127" t="str">
        <f>IFERROR(VLOOKUP(H20,参数表!$H$2:$I$50,2,FALSE),"")</f>
        <v/>
      </c>
      <c r="J20" s="128" t="str">
        <f t="shared" si="28"/>
        <v/>
      </c>
      <c r="K20" s="128" t="str">
        <f t="shared" si="29"/>
        <v/>
      </c>
      <c r="L20" s="980"/>
      <c r="M20" s="143" t="str">
        <f t="shared" si="10"/>
        <v/>
      </c>
      <c r="N20" s="143"/>
      <c r="O20" s="143"/>
      <c r="P20" s="144"/>
      <c r="Q20" s="144"/>
      <c r="R20" s="144"/>
      <c r="S20" s="353" t="str">
        <f t="shared" si="11"/>
        <v/>
      </c>
      <c r="T20" s="129" t="str">
        <f t="shared" si="12"/>
        <v/>
      </c>
      <c r="U20" s="1226" t="str">
        <f t="shared" si="13"/>
        <v/>
      </c>
      <c r="V20" s="1226" t="str">
        <f t="shared" si="14"/>
        <v/>
      </c>
      <c r="W20" s="353" t="str">
        <f t="shared" si="0"/>
        <v/>
      </c>
      <c r="X20" s="353" t="str">
        <f t="shared" si="15"/>
        <v/>
      </c>
      <c r="Y20" s="353" t="str">
        <f t="shared" si="1"/>
        <v/>
      </c>
      <c r="Z20" s="129" t="str">
        <f t="shared" si="16"/>
        <v/>
      </c>
      <c r="AA20" s="129" t="str">
        <f t="shared" si="17"/>
        <v/>
      </c>
      <c r="AB20" s="145"/>
      <c r="AC20" s="137"/>
      <c r="AD20" s="1243" t="str">
        <f t="shared" si="18"/>
        <v/>
      </c>
      <c r="BA20" s="78"/>
      <c r="BB20" s="132" t="s">
        <v>2692</v>
      </c>
      <c r="BC20" s="133"/>
      <c r="BD20" s="132" t="str">
        <f>IF(OR(B20="",BC20=""),"",COUNTIF(BC$8:BC20,"√"))</f>
        <v/>
      </c>
      <c r="BE20" s="134" t="str">
        <f t="shared" si="2"/>
        <v/>
      </c>
      <c r="BF20" s="135" t="str">
        <f t="shared" si="19"/>
        <v/>
      </c>
      <c r="BG20" s="135" t="str">
        <f t="shared" si="19"/>
        <v/>
      </c>
      <c r="BH20" s="136"/>
      <c r="BI20" s="136"/>
      <c r="BJ20" s="136"/>
      <c r="BK20" s="136"/>
      <c r="BL20" s="137"/>
      <c r="BM20" s="137"/>
      <c r="BN20" s="165" t="s">
        <v>2680</v>
      </c>
      <c r="BO20" s="187">
        <f t="shared" si="3"/>
        <v>0</v>
      </c>
      <c r="BP20" s="187">
        <f t="shared" si="4"/>
        <v>0</v>
      </c>
      <c r="BQ20" s="187">
        <f t="shared" si="5"/>
        <v>0</v>
      </c>
      <c r="BR20" s="187">
        <f t="shared" si="32"/>
        <v>0</v>
      </c>
      <c r="BS20" s="187">
        <f t="shared" si="32"/>
        <v>0</v>
      </c>
      <c r="BT20" s="187">
        <f t="shared" si="32"/>
        <v>0</v>
      </c>
      <c r="BU20" s="187">
        <f t="shared" si="32"/>
        <v>0</v>
      </c>
      <c r="BV20" s="187">
        <f t="shared" si="7"/>
        <v>0</v>
      </c>
      <c r="BW20" s="187">
        <f t="shared" si="20"/>
        <v>0</v>
      </c>
      <c r="BX20" s="187">
        <f t="shared" si="21"/>
        <v>0</v>
      </c>
      <c r="BY20" s="508"/>
      <c r="BZ20" s="187">
        <f t="shared" si="22"/>
        <v>0</v>
      </c>
      <c r="CA20" s="187">
        <f t="shared" si="23"/>
        <v>0</v>
      </c>
      <c r="CC20" s="134" t="str">
        <f>IF(COUNTIF(CC$7:CC19,B20)&gt;0,"",B20)&amp;""</f>
        <v/>
      </c>
      <c r="CD20" s="138">
        <f t="shared" si="24"/>
        <v>0</v>
      </c>
      <c r="CE20" s="132">
        <f t="shared" si="25"/>
        <v>1</v>
      </c>
      <c r="CF20" s="138">
        <f t="shared" si="26"/>
        <v>0</v>
      </c>
      <c r="CG20" s="132">
        <f t="shared" si="27"/>
        <v>1</v>
      </c>
      <c r="CH20" s="133"/>
      <c r="CI20" s="133"/>
    </row>
    <row r="21" ht="15" customHeight="1" spans="1:88">
      <c r="A21" s="123" t="str">
        <f>IF(B21="","",COUNT(A$7:A20)+1)</f>
        <v/>
      </c>
      <c r="B21" s="139"/>
      <c r="C21" s="139"/>
      <c r="D21" s="1242" t="str">
        <f t="shared" si="9"/>
        <v/>
      </c>
      <c r="E21" s="141"/>
      <c r="F21" s="143"/>
      <c r="G21" s="141"/>
      <c r="H21" s="142"/>
      <c r="I21" s="127" t="str">
        <f>IFERROR(VLOOKUP(H21,参数表!$H$2:$I$50,2,FALSE),"")</f>
        <v/>
      </c>
      <c r="J21" s="128" t="str">
        <f t="shared" si="28"/>
        <v/>
      </c>
      <c r="K21" s="128" t="str">
        <f t="shared" si="29"/>
        <v/>
      </c>
      <c r="L21" s="980"/>
      <c r="M21" s="143" t="str">
        <f t="shared" si="10"/>
        <v/>
      </c>
      <c r="N21" s="143"/>
      <c r="O21" s="143"/>
      <c r="P21" s="144"/>
      <c r="Q21" s="144"/>
      <c r="R21" s="144"/>
      <c r="S21" s="353" t="str">
        <f t="shared" si="11"/>
        <v/>
      </c>
      <c r="T21" s="129" t="str">
        <f t="shared" si="12"/>
        <v/>
      </c>
      <c r="U21" s="1226" t="str">
        <f t="shared" si="13"/>
        <v/>
      </c>
      <c r="V21" s="1226" t="str">
        <f t="shared" si="14"/>
        <v/>
      </c>
      <c r="W21" s="353" t="str">
        <f t="shared" si="0"/>
        <v/>
      </c>
      <c r="X21" s="353" t="str">
        <f t="shared" si="15"/>
        <v/>
      </c>
      <c r="Y21" s="353" t="str">
        <f t="shared" si="1"/>
        <v/>
      </c>
      <c r="Z21" s="129" t="str">
        <f t="shared" si="16"/>
        <v/>
      </c>
      <c r="AA21" s="129" t="str">
        <f t="shared" si="17"/>
        <v/>
      </c>
      <c r="AB21" s="145"/>
      <c r="AC21" s="137"/>
      <c r="AD21" s="1243" t="str">
        <f t="shared" si="18"/>
        <v/>
      </c>
      <c r="BA21" s="78"/>
      <c r="BB21" s="132" t="s">
        <v>2693</v>
      </c>
      <c r="BC21" s="133"/>
      <c r="BD21" s="132" t="str">
        <f>IF(OR(B21="",BC21=""),"",COUNTIF(BC$8:BC21,"√"))</f>
        <v/>
      </c>
      <c r="BE21" s="134" t="str">
        <f t="shared" si="2"/>
        <v/>
      </c>
      <c r="BF21" s="135" t="str">
        <f t="shared" si="19"/>
        <v/>
      </c>
      <c r="BG21" s="135" t="str">
        <f t="shared" si="19"/>
        <v/>
      </c>
      <c r="BH21" s="136"/>
      <c r="BI21" s="136"/>
      <c r="BJ21" s="136"/>
      <c r="BK21" s="136"/>
      <c r="BL21" s="137"/>
      <c r="BM21" s="137"/>
      <c r="BN21" s="165" t="s">
        <v>2680</v>
      </c>
      <c r="BO21" s="187">
        <f t="shared" si="3"/>
        <v>0</v>
      </c>
      <c r="BP21" s="187">
        <f t="shared" si="4"/>
        <v>0</v>
      </c>
      <c r="BQ21" s="187">
        <f t="shared" si="5"/>
        <v>0</v>
      </c>
      <c r="BR21" s="187">
        <f t="shared" si="32"/>
        <v>0</v>
      </c>
      <c r="BS21" s="187">
        <f t="shared" si="32"/>
        <v>0</v>
      </c>
      <c r="BT21" s="187">
        <f t="shared" si="32"/>
        <v>0</v>
      </c>
      <c r="BU21" s="187">
        <f t="shared" si="32"/>
        <v>0</v>
      </c>
      <c r="BV21" s="187">
        <f t="shared" si="7"/>
        <v>0</v>
      </c>
      <c r="BW21" s="187">
        <f t="shared" si="20"/>
        <v>0</v>
      </c>
      <c r="BX21" s="187">
        <f t="shared" si="21"/>
        <v>0</v>
      </c>
      <c r="BY21" s="508"/>
      <c r="BZ21" s="187">
        <f t="shared" si="22"/>
        <v>0</v>
      </c>
      <c r="CA21" s="187">
        <f t="shared" si="23"/>
        <v>0</v>
      </c>
      <c r="CC21" s="134" t="str">
        <f>IF(COUNTIF(CC$7:CC20,B21)&gt;0,"",B21)&amp;""</f>
        <v/>
      </c>
      <c r="CD21" s="138">
        <f t="shared" si="24"/>
        <v>0</v>
      </c>
      <c r="CE21" s="132">
        <f t="shared" si="25"/>
        <v>1</v>
      </c>
      <c r="CF21" s="138">
        <f t="shared" si="26"/>
        <v>0</v>
      </c>
      <c r="CG21" s="132">
        <f t="shared" si="27"/>
        <v>1</v>
      </c>
      <c r="CH21" s="133"/>
      <c r="CI21" s="133"/>
    </row>
    <row r="22" ht="15" customHeight="1" spans="1:88">
      <c r="A22" s="123" t="str">
        <f>IF(B22="","",COUNT(A$7:A21)+1)</f>
        <v/>
      </c>
      <c r="B22" s="139"/>
      <c r="C22" s="139"/>
      <c r="D22" s="1242" t="str">
        <f t="shared" si="9"/>
        <v/>
      </c>
      <c r="E22" s="141"/>
      <c r="F22" s="143"/>
      <c r="G22" s="141"/>
      <c r="H22" s="142"/>
      <c r="I22" s="127" t="str">
        <f>IFERROR(VLOOKUP(H22,参数表!$H$2:$I$50,2,FALSE),"")</f>
        <v/>
      </c>
      <c r="J22" s="128" t="str">
        <f t="shared" si="28"/>
        <v/>
      </c>
      <c r="K22" s="128" t="str">
        <f t="shared" si="29"/>
        <v/>
      </c>
      <c r="L22" s="980"/>
      <c r="M22" s="143" t="str">
        <f t="shared" si="10"/>
        <v/>
      </c>
      <c r="N22" s="143"/>
      <c r="O22" s="143"/>
      <c r="P22" s="144"/>
      <c r="Q22" s="144"/>
      <c r="R22" s="144"/>
      <c r="S22" s="353" t="str">
        <f t="shared" si="11"/>
        <v/>
      </c>
      <c r="T22" s="129" t="str">
        <f t="shared" si="12"/>
        <v/>
      </c>
      <c r="U22" s="1226" t="str">
        <f t="shared" si="13"/>
        <v/>
      </c>
      <c r="V22" s="1226" t="str">
        <f t="shared" si="14"/>
        <v/>
      </c>
      <c r="W22" s="353" t="str">
        <f t="shared" si="0"/>
        <v/>
      </c>
      <c r="X22" s="353" t="str">
        <f t="shared" si="15"/>
        <v/>
      </c>
      <c r="Y22" s="353" t="str">
        <f t="shared" si="1"/>
        <v/>
      </c>
      <c r="Z22" s="129" t="str">
        <f t="shared" si="16"/>
        <v/>
      </c>
      <c r="AA22" s="129" t="str">
        <f t="shared" si="17"/>
        <v/>
      </c>
      <c r="AB22" s="145"/>
      <c r="AC22" s="137"/>
      <c r="AD22" s="1243" t="str">
        <f t="shared" si="18"/>
        <v/>
      </c>
      <c r="BA22" s="78"/>
      <c r="BB22" s="132" t="s">
        <v>2694</v>
      </c>
      <c r="BC22" s="133"/>
      <c r="BD22" s="132" t="str">
        <f>IF(OR(B22="",BC22=""),"",COUNTIF(BC$8:BC22,"√"))</f>
        <v/>
      </c>
      <c r="BE22" s="134" t="str">
        <f t="shared" si="2"/>
        <v/>
      </c>
      <c r="BF22" s="135" t="str">
        <f t="shared" si="19"/>
        <v/>
      </c>
      <c r="BG22" s="135" t="str">
        <f t="shared" si="19"/>
        <v/>
      </c>
      <c r="BH22" s="136"/>
      <c r="BI22" s="136"/>
      <c r="BJ22" s="136"/>
      <c r="BK22" s="136"/>
      <c r="BL22" s="137"/>
      <c r="BM22" s="137"/>
      <c r="BN22" s="165" t="s">
        <v>2680</v>
      </c>
      <c r="BO22" s="187">
        <f t="shared" si="3"/>
        <v>0</v>
      </c>
      <c r="BP22" s="187">
        <f t="shared" si="4"/>
        <v>0</v>
      </c>
      <c r="BQ22" s="187">
        <f t="shared" si="5"/>
        <v>0</v>
      </c>
      <c r="BR22" s="187">
        <f t="shared" si="32"/>
        <v>0</v>
      </c>
      <c r="BS22" s="187">
        <f t="shared" si="32"/>
        <v>0</v>
      </c>
      <c r="BT22" s="187">
        <f t="shared" si="32"/>
        <v>0</v>
      </c>
      <c r="BU22" s="187">
        <f t="shared" si="32"/>
        <v>0</v>
      </c>
      <c r="BV22" s="187">
        <f t="shared" si="7"/>
        <v>0</v>
      </c>
      <c r="BW22" s="187">
        <f t="shared" si="20"/>
        <v>0</v>
      </c>
      <c r="BX22" s="187">
        <f t="shared" si="21"/>
        <v>0</v>
      </c>
      <c r="BY22" s="508"/>
      <c r="BZ22" s="187">
        <f t="shared" si="22"/>
        <v>0</v>
      </c>
      <c r="CA22" s="187">
        <f t="shared" si="23"/>
        <v>0</v>
      </c>
      <c r="CC22" s="134" t="str">
        <f>IF(COUNTIF(CC$7:CC21,B22)&gt;0,"",B22)&amp;""</f>
        <v/>
      </c>
      <c r="CD22" s="138">
        <f t="shared" si="24"/>
        <v>0</v>
      </c>
      <c r="CE22" s="132">
        <f t="shared" si="25"/>
        <v>1</v>
      </c>
      <c r="CF22" s="138">
        <f t="shared" si="26"/>
        <v>0</v>
      </c>
      <c r="CG22" s="132">
        <f t="shared" si="27"/>
        <v>1</v>
      </c>
      <c r="CH22" s="133"/>
      <c r="CI22" s="133"/>
    </row>
    <row r="23" ht="15" customHeight="1" spans="1:88">
      <c r="A23" s="123" t="str">
        <f>IF(B23="","",COUNT(A$7:A22)+1)</f>
        <v/>
      </c>
      <c r="B23" s="139"/>
      <c r="C23" s="139"/>
      <c r="D23" s="1242" t="str">
        <f t="shared" si="9"/>
        <v/>
      </c>
      <c r="E23" s="141"/>
      <c r="F23" s="143"/>
      <c r="G23" s="141"/>
      <c r="H23" s="142"/>
      <c r="I23" s="127" t="str">
        <f>IFERROR(VLOOKUP(H23,参数表!$H$2:$I$50,2,FALSE),"")</f>
        <v/>
      </c>
      <c r="J23" s="128" t="str">
        <f t="shared" si="28"/>
        <v/>
      </c>
      <c r="K23" s="128" t="str">
        <f t="shared" si="29"/>
        <v/>
      </c>
      <c r="L23" s="980"/>
      <c r="M23" s="143" t="str">
        <f t="shared" si="10"/>
        <v/>
      </c>
      <c r="N23" s="143"/>
      <c r="O23" s="143"/>
      <c r="P23" s="144"/>
      <c r="Q23" s="144"/>
      <c r="R23" s="144"/>
      <c r="S23" s="353" t="str">
        <f t="shared" si="11"/>
        <v/>
      </c>
      <c r="T23" s="129" t="str">
        <f t="shared" si="12"/>
        <v/>
      </c>
      <c r="U23" s="1226" t="str">
        <f t="shared" si="13"/>
        <v/>
      </c>
      <c r="V23" s="1226" t="str">
        <f t="shared" si="14"/>
        <v/>
      </c>
      <c r="W23" s="353" t="str">
        <f t="shared" si="0"/>
        <v/>
      </c>
      <c r="X23" s="353" t="str">
        <f t="shared" si="15"/>
        <v/>
      </c>
      <c r="Y23" s="353" t="str">
        <f t="shared" si="1"/>
        <v/>
      </c>
      <c r="Z23" s="129" t="str">
        <f t="shared" si="16"/>
        <v/>
      </c>
      <c r="AA23" s="129" t="str">
        <f t="shared" si="17"/>
        <v/>
      </c>
      <c r="AB23" s="145"/>
      <c r="AC23" s="137"/>
      <c r="AD23" s="1243" t="str">
        <f t="shared" si="18"/>
        <v/>
      </c>
      <c r="BA23" s="78"/>
      <c r="BB23" s="132" t="s">
        <v>2695</v>
      </c>
      <c r="BC23" s="133"/>
      <c r="BD23" s="132" t="str">
        <f>IF(OR(B23="",BC23=""),"",COUNTIF(BC$8:BC23,"√"))</f>
        <v/>
      </c>
      <c r="BE23" s="134" t="str">
        <f t="shared" si="2"/>
        <v/>
      </c>
      <c r="BF23" s="135" t="str">
        <f t="shared" si="19"/>
        <v/>
      </c>
      <c r="BG23" s="135" t="str">
        <f t="shared" si="19"/>
        <v/>
      </c>
      <c r="BH23" s="136"/>
      <c r="BI23" s="136"/>
      <c r="BJ23" s="136"/>
      <c r="BK23" s="136"/>
      <c r="BL23" s="137"/>
      <c r="BM23" s="137"/>
      <c r="BN23" s="165" t="s">
        <v>2680</v>
      </c>
      <c r="BO23" s="187">
        <f t="shared" si="3"/>
        <v>0</v>
      </c>
      <c r="BP23" s="187">
        <f t="shared" si="4"/>
        <v>0</v>
      </c>
      <c r="BQ23" s="187">
        <f t="shared" si="5"/>
        <v>0</v>
      </c>
      <c r="BR23" s="187">
        <f t="shared" si="32"/>
        <v>0</v>
      </c>
      <c r="BS23" s="187">
        <f t="shared" si="32"/>
        <v>0</v>
      </c>
      <c r="BT23" s="187">
        <f t="shared" si="32"/>
        <v>0</v>
      </c>
      <c r="BU23" s="187">
        <f t="shared" si="32"/>
        <v>0</v>
      </c>
      <c r="BV23" s="187">
        <f t="shared" si="7"/>
        <v>0</v>
      </c>
      <c r="BW23" s="187">
        <f t="shared" si="20"/>
        <v>0</v>
      </c>
      <c r="BX23" s="187">
        <f t="shared" si="21"/>
        <v>0</v>
      </c>
      <c r="BY23" s="508"/>
      <c r="BZ23" s="187">
        <f t="shared" si="22"/>
        <v>0</v>
      </c>
      <c r="CA23" s="187">
        <f t="shared" si="23"/>
        <v>0</v>
      </c>
      <c r="CC23" s="134" t="str">
        <f>IF(COUNTIF(CC$7:CC22,B23)&gt;0,"",B23)&amp;""</f>
        <v/>
      </c>
      <c r="CD23" s="138">
        <f t="shared" si="24"/>
        <v>0</v>
      </c>
      <c r="CE23" s="132">
        <f t="shared" si="25"/>
        <v>1</v>
      </c>
      <c r="CF23" s="138">
        <f t="shared" si="26"/>
        <v>0</v>
      </c>
      <c r="CG23" s="132">
        <f t="shared" si="27"/>
        <v>1</v>
      </c>
      <c r="CH23" s="133"/>
      <c r="CI23" s="133"/>
    </row>
    <row r="24" ht="15" customHeight="1" spans="1:88">
      <c r="A24" s="123" t="str">
        <f>IF(B24="","",COUNT(A$7:A23)+1)</f>
        <v/>
      </c>
      <c r="B24" s="139"/>
      <c r="C24" s="139"/>
      <c r="D24" s="1242" t="str">
        <f t="shared" si="9"/>
        <v/>
      </c>
      <c r="E24" s="141"/>
      <c r="F24" s="143"/>
      <c r="G24" s="141"/>
      <c r="H24" s="142"/>
      <c r="I24" s="127" t="str">
        <f>IFERROR(VLOOKUP(H24,参数表!$H$2:$I$50,2,FALSE),"")</f>
        <v/>
      </c>
      <c r="J24" s="128" t="str">
        <f t="shared" si="28"/>
        <v/>
      </c>
      <c r="K24" s="128" t="str">
        <f t="shared" si="29"/>
        <v/>
      </c>
      <c r="L24" s="980"/>
      <c r="M24" s="143" t="str">
        <f t="shared" si="10"/>
        <v/>
      </c>
      <c r="N24" s="143"/>
      <c r="O24" s="143"/>
      <c r="P24" s="144"/>
      <c r="Q24" s="144"/>
      <c r="R24" s="144"/>
      <c r="S24" s="353" t="str">
        <f t="shared" si="11"/>
        <v/>
      </c>
      <c r="T24" s="129" t="str">
        <f t="shared" si="12"/>
        <v/>
      </c>
      <c r="U24" s="1226" t="str">
        <f t="shared" si="13"/>
        <v/>
      </c>
      <c r="V24" s="1226" t="str">
        <f t="shared" si="14"/>
        <v/>
      </c>
      <c r="W24" s="353" t="str">
        <f t="shared" si="0"/>
        <v/>
      </c>
      <c r="X24" s="353" t="str">
        <f t="shared" si="15"/>
        <v/>
      </c>
      <c r="Y24" s="353" t="str">
        <f t="shared" si="1"/>
        <v/>
      </c>
      <c r="Z24" s="129" t="str">
        <f t="shared" si="16"/>
        <v/>
      </c>
      <c r="AA24" s="129" t="str">
        <f t="shared" si="17"/>
        <v/>
      </c>
      <c r="AB24" s="145"/>
      <c r="AC24" s="137"/>
      <c r="AD24" s="1243" t="str">
        <f t="shared" si="18"/>
        <v/>
      </c>
      <c r="BA24" s="78"/>
      <c r="BB24" s="132" t="s">
        <v>2696</v>
      </c>
      <c r="BC24" s="133"/>
      <c r="BD24" s="132" t="str">
        <f>IF(OR(B24="",BC24=""),"",COUNTIF(BC$8:BC24,"√"))</f>
        <v/>
      </c>
      <c r="BE24" s="134" t="str">
        <f t="shared" si="2"/>
        <v/>
      </c>
      <c r="BF24" s="135" t="str">
        <f t="shared" si="19"/>
        <v/>
      </c>
      <c r="BG24" s="135" t="str">
        <f t="shared" si="19"/>
        <v/>
      </c>
      <c r="BH24" s="136"/>
      <c r="BI24" s="136"/>
      <c r="BJ24" s="136"/>
      <c r="BK24" s="136"/>
      <c r="BL24" s="137"/>
      <c r="BM24" s="137"/>
      <c r="BN24" s="165" t="s">
        <v>2680</v>
      </c>
      <c r="BO24" s="187">
        <f t="shared" si="3"/>
        <v>0</v>
      </c>
      <c r="BP24" s="187">
        <f t="shared" si="4"/>
        <v>0</v>
      </c>
      <c r="BQ24" s="187">
        <f t="shared" si="5"/>
        <v>0</v>
      </c>
      <c r="BR24" s="187">
        <f t="shared" si="32"/>
        <v>0</v>
      </c>
      <c r="BS24" s="187">
        <f t="shared" si="32"/>
        <v>0</v>
      </c>
      <c r="BT24" s="187">
        <f t="shared" si="32"/>
        <v>0</v>
      </c>
      <c r="BU24" s="187">
        <f t="shared" si="32"/>
        <v>0</v>
      </c>
      <c r="BV24" s="187">
        <f t="shared" si="7"/>
        <v>0</v>
      </c>
      <c r="BW24" s="187">
        <f t="shared" si="20"/>
        <v>0</v>
      </c>
      <c r="BX24" s="187">
        <f t="shared" si="21"/>
        <v>0</v>
      </c>
      <c r="BY24" s="508"/>
      <c r="BZ24" s="187">
        <f t="shared" si="22"/>
        <v>0</v>
      </c>
      <c r="CA24" s="187">
        <f t="shared" si="23"/>
        <v>0</v>
      </c>
      <c r="CC24" s="134" t="str">
        <f>IF(COUNTIF(CC$7:CC23,B24)&gt;0,"",B24)&amp;""</f>
        <v/>
      </c>
      <c r="CD24" s="138">
        <f t="shared" si="24"/>
        <v>0</v>
      </c>
      <c r="CE24" s="132">
        <f t="shared" si="25"/>
        <v>1</v>
      </c>
      <c r="CF24" s="138">
        <f t="shared" si="26"/>
        <v>0</v>
      </c>
      <c r="CG24" s="132">
        <f t="shared" si="27"/>
        <v>1</v>
      </c>
      <c r="CH24" s="133"/>
      <c r="CI24" s="133"/>
    </row>
    <row r="25" ht="15" customHeight="1" spans="1:88">
      <c r="A25" s="123" t="str">
        <f>IF(B25="","",COUNT(A$7:A24)+1)</f>
        <v/>
      </c>
      <c r="B25" s="139"/>
      <c r="C25" s="139"/>
      <c r="D25" s="1242" t="str">
        <f t="shared" si="9"/>
        <v/>
      </c>
      <c r="E25" s="141"/>
      <c r="F25" s="143"/>
      <c r="G25" s="141"/>
      <c r="H25" s="142"/>
      <c r="I25" s="127" t="str">
        <f>IFERROR(VLOOKUP(H25,参数表!$H$2:$I$50,2,FALSE),"")</f>
        <v/>
      </c>
      <c r="J25" s="128" t="str">
        <f t="shared" si="28"/>
        <v/>
      </c>
      <c r="K25" s="128" t="str">
        <f t="shared" si="29"/>
        <v/>
      </c>
      <c r="L25" s="980"/>
      <c r="M25" s="143" t="str">
        <f t="shared" si="10"/>
        <v/>
      </c>
      <c r="N25" s="143"/>
      <c r="O25" s="143"/>
      <c r="P25" s="144"/>
      <c r="Q25" s="144"/>
      <c r="R25" s="144"/>
      <c r="S25" s="353" t="str">
        <f t="shared" si="11"/>
        <v/>
      </c>
      <c r="T25" s="129" t="str">
        <f t="shared" si="12"/>
        <v/>
      </c>
      <c r="U25" s="1226" t="str">
        <f t="shared" si="13"/>
        <v/>
      </c>
      <c r="V25" s="1226" t="str">
        <f t="shared" si="14"/>
        <v/>
      </c>
      <c r="W25" s="353" t="str">
        <f t="shared" si="0"/>
        <v/>
      </c>
      <c r="X25" s="353" t="str">
        <f t="shared" si="15"/>
        <v/>
      </c>
      <c r="Y25" s="353" t="str">
        <f t="shared" si="1"/>
        <v/>
      </c>
      <c r="Z25" s="129" t="str">
        <f t="shared" si="16"/>
        <v/>
      </c>
      <c r="AA25" s="129" t="str">
        <f t="shared" si="17"/>
        <v/>
      </c>
      <c r="AB25" s="145"/>
      <c r="AC25" s="137"/>
      <c r="AD25" s="1243" t="str">
        <f t="shared" si="18"/>
        <v/>
      </c>
      <c r="BA25" s="78"/>
      <c r="BB25" s="132" t="s">
        <v>2697</v>
      </c>
      <c r="BC25" s="133"/>
      <c r="BD25" s="132" t="str">
        <f>IF(OR(B25="",BC25=""),"",COUNTIF(BC$8:BC25,"√"))</f>
        <v/>
      </c>
      <c r="BE25" s="134" t="str">
        <f t="shared" si="2"/>
        <v/>
      </c>
      <c r="BF25" s="135" t="str">
        <f t="shared" si="19"/>
        <v/>
      </c>
      <c r="BG25" s="135" t="str">
        <f t="shared" si="19"/>
        <v/>
      </c>
      <c r="BH25" s="136"/>
      <c r="BI25" s="136"/>
      <c r="BJ25" s="136"/>
      <c r="BK25" s="136"/>
      <c r="BL25" s="137"/>
      <c r="BM25" s="137"/>
      <c r="BN25" s="165" t="s">
        <v>2680</v>
      </c>
      <c r="BO25" s="187">
        <f t="shared" si="3"/>
        <v>0</v>
      </c>
      <c r="BP25" s="187">
        <f t="shared" si="4"/>
        <v>0</v>
      </c>
      <c r="BQ25" s="187">
        <f t="shared" si="5"/>
        <v>0</v>
      </c>
      <c r="BR25" s="187">
        <f t="shared" si="32"/>
        <v>0</v>
      </c>
      <c r="BS25" s="187">
        <f t="shared" si="32"/>
        <v>0</v>
      </c>
      <c r="BT25" s="187">
        <f t="shared" si="32"/>
        <v>0</v>
      </c>
      <c r="BU25" s="187">
        <f t="shared" si="32"/>
        <v>0</v>
      </c>
      <c r="BV25" s="187">
        <f t="shared" si="7"/>
        <v>0</v>
      </c>
      <c r="BW25" s="187">
        <f t="shared" si="20"/>
        <v>0</v>
      </c>
      <c r="BX25" s="187">
        <f t="shared" si="21"/>
        <v>0</v>
      </c>
      <c r="BY25" s="508"/>
      <c r="BZ25" s="187">
        <f t="shared" si="22"/>
        <v>0</v>
      </c>
      <c r="CA25" s="187">
        <f t="shared" si="23"/>
        <v>0</v>
      </c>
      <c r="CC25" s="134" t="str">
        <f>IF(COUNTIF(CC$7:CC24,B25)&gt;0,"",B25)&amp;""</f>
        <v/>
      </c>
      <c r="CD25" s="138">
        <f t="shared" si="24"/>
        <v>0</v>
      </c>
      <c r="CE25" s="132">
        <f t="shared" si="25"/>
        <v>1</v>
      </c>
      <c r="CF25" s="138">
        <f t="shared" si="26"/>
        <v>0</v>
      </c>
      <c r="CG25" s="132">
        <f t="shared" si="27"/>
        <v>1</v>
      </c>
      <c r="CH25" s="133"/>
      <c r="CI25" s="133"/>
    </row>
    <row r="26" ht="15" customHeight="1" spans="1:88">
      <c r="A26" s="123" t="str">
        <f>IF(B26="","",COUNT(A$7:A25)+1)</f>
        <v/>
      </c>
      <c r="B26" s="139"/>
      <c r="C26" s="139"/>
      <c r="D26" s="1242" t="str">
        <f t="shared" si="9"/>
        <v/>
      </c>
      <c r="E26" s="141"/>
      <c r="F26" s="143"/>
      <c r="G26" s="141"/>
      <c r="H26" s="142"/>
      <c r="I26" s="127" t="str">
        <f>IFERROR(VLOOKUP(H26,参数表!$H$2:$I$50,2,FALSE),"")</f>
        <v/>
      </c>
      <c r="J26" s="128" t="str">
        <f t="shared" si="28"/>
        <v/>
      </c>
      <c r="K26" s="128" t="str">
        <f t="shared" si="29"/>
        <v/>
      </c>
      <c r="L26" s="980"/>
      <c r="M26" s="143" t="str">
        <f t="shared" si="10"/>
        <v/>
      </c>
      <c r="N26" s="143"/>
      <c r="O26" s="143"/>
      <c r="P26" s="144"/>
      <c r="Q26" s="144"/>
      <c r="R26" s="144"/>
      <c r="S26" s="353" t="str">
        <f t="shared" si="11"/>
        <v/>
      </c>
      <c r="T26" s="129" t="str">
        <f t="shared" si="12"/>
        <v/>
      </c>
      <c r="U26" s="1226" t="str">
        <f t="shared" si="13"/>
        <v/>
      </c>
      <c r="V26" s="1226" t="str">
        <f t="shared" si="14"/>
        <v/>
      </c>
      <c r="W26" s="353" t="str">
        <f t="shared" si="0"/>
        <v/>
      </c>
      <c r="X26" s="353" t="str">
        <f t="shared" si="15"/>
        <v/>
      </c>
      <c r="Y26" s="353" t="str">
        <f t="shared" si="1"/>
        <v/>
      </c>
      <c r="Z26" s="129" t="str">
        <f t="shared" si="16"/>
        <v/>
      </c>
      <c r="AA26" s="129" t="str">
        <f t="shared" si="17"/>
        <v/>
      </c>
      <c r="AB26" s="145"/>
      <c r="AC26" s="137"/>
      <c r="AD26" s="1243" t="str">
        <f t="shared" si="18"/>
        <v/>
      </c>
      <c r="BA26" s="78"/>
      <c r="BB26" s="132" t="s">
        <v>2698</v>
      </c>
      <c r="BC26" s="133"/>
      <c r="BD26" s="132" t="str">
        <f>IF(OR(B26="",BC26=""),"",COUNTIF(BC$8:BC26,"√"))</f>
        <v/>
      </c>
      <c r="BE26" s="134" t="str">
        <f t="shared" si="2"/>
        <v/>
      </c>
      <c r="BF26" s="135" t="str">
        <f t="shared" si="19"/>
        <v/>
      </c>
      <c r="BG26" s="135" t="str">
        <f t="shared" si="19"/>
        <v/>
      </c>
      <c r="BH26" s="136"/>
      <c r="BI26" s="136"/>
      <c r="BJ26" s="136"/>
      <c r="BK26" s="136"/>
      <c r="BL26" s="137"/>
      <c r="BM26" s="137"/>
      <c r="BN26" s="165" t="s">
        <v>2680</v>
      </c>
      <c r="BO26" s="187">
        <f t="shared" si="3"/>
        <v>0</v>
      </c>
      <c r="BP26" s="187">
        <f t="shared" si="4"/>
        <v>0</v>
      </c>
      <c r="BQ26" s="187">
        <f t="shared" si="5"/>
        <v>0</v>
      </c>
      <c r="BR26" s="187">
        <f t="shared" si="32"/>
        <v>0</v>
      </c>
      <c r="BS26" s="187">
        <f t="shared" si="32"/>
        <v>0</v>
      </c>
      <c r="BT26" s="187">
        <f t="shared" si="32"/>
        <v>0</v>
      </c>
      <c r="BU26" s="187">
        <f t="shared" si="32"/>
        <v>0</v>
      </c>
      <c r="BV26" s="187">
        <f t="shared" si="7"/>
        <v>0</v>
      </c>
      <c r="BW26" s="187">
        <f t="shared" si="20"/>
        <v>0</v>
      </c>
      <c r="BX26" s="187">
        <f t="shared" si="21"/>
        <v>0</v>
      </c>
      <c r="BY26" s="508"/>
      <c r="BZ26" s="187">
        <f t="shared" si="22"/>
        <v>0</v>
      </c>
      <c r="CA26" s="187">
        <f t="shared" si="23"/>
        <v>0</v>
      </c>
      <c r="CC26" s="134" t="str">
        <f>IF(COUNTIF(CC$7:CC25,B26)&gt;0,"",B26)&amp;""</f>
        <v/>
      </c>
      <c r="CD26" s="138">
        <f t="shared" si="24"/>
        <v>0</v>
      </c>
      <c r="CE26" s="132">
        <f t="shared" si="25"/>
        <v>1</v>
      </c>
      <c r="CF26" s="138">
        <f t="shared" si="26"/>
        <v>0</v>
      </c>
      <c r="CG26" s="132">
        <f t="shared" si="27"/>
        <v>1</v>
      </c>
      <c r="CH26" s="133"/>
      <c r="CI26" s="133"/>
    </row>
    <row r="27" ht="15" customHeight="1" spans="1:88">
      <c r="A27" s="123" t="str">
        <f>IF(B27="","",COUNT(A$7:A26)+1)</f>
        <v/>
      </c>
      <c r="B27" s="124"/>
      <c r="C27" s="124"/>
      <c r="D27" s="1242" t="str">
        <f t="shared" si="9"/>
        <v/>
      </c>
      <c r="E27" s="126"/>
      <c r="F27" s="129"/>
      <c r="G27" s="126"/>
      <c r="H27" s="127"/>
      <c r="I27" s="127" t="str">
        <f>IFERROR(VLOOKUP(H27,参数表!$H$2:$I$50,2,FALSE),"")</f>
        <v/>
      </c>
      <c r="J27" s="128" t="str">
        <f t="shared" si="28"/>
        <v/>
      </c>
      <c r="K27" s="128" t="str">
        <f t="shared" si="29"/>
        <v/>
      </c>
      <c r="L27" s="353"/>
      <c r="M27" s="129" t="str">
        <f t="shared" si="10"/>
        <v/>
      </c>
      <c r="N27" s="129"/>
      <c r="O27" s="129"/>
      <c r="P27" s="130"/>
      <c r="Q27" s="130"/>
      <c r="R27" s="130"/>
      <c r="S27" s="353" t="str">
        <f t="shared" si="11"/>
        <v/>
      </c>
      <c r="T27" s="129" t="str">
        <f t="shared" si="12"/>
        <v/>
      </c>
      <c r="U27" s="1226" t="str">
        <f t="shared" si="13"/>
        <v/>
      </c>
      <c r="V27" s="1226" t="str">
        <f t="shared" si="14"/>
        <v/>
      </c>
      <c r="W27" s="353" t="str">
        <f t="shared" si="0"/>
        <v/>
      </c>
      <c r="X27" s="353" t="str">
        <f t="shared" si="15"/>
        <v/>
      </c>
      <c r="Y27" s="353" t="str">
        <f t="shared" si="1"/>
        <v/>
      </c>
      <c r="Z27" s="129" t="str">
        <f t="shared" si="16"/>
        <v/>
      </c>
      <c r="AA27" s="129" t="str">
        <f t="shared" si="17"/>
        <v/>
      </c>
      <c r="AB27" s="131"/>
      <c r="AC27" s="131"/>
      <c r="AD27" s="1243" t="str">
        <f t="shared" si="18"/>
        <v/>
      </c>
      <c r="BA27" s="78"/>
      <c r="BB27" s="132" t="s">
        <v>2699</v>
      </c>
      <c r="BC27" s="133"/>
      <c r="BD27" s="132" t="str">
        <f>IF(OR(B27="",BC27=""),"",COUNTIF(BC$8:BC27,"√"))</f>
        <v/>
      </c>
      <c r="BE27" s="134" t="str">
        <f t="shared" si="2"/>
        <v/>
      </c>
      <c r="BF27" s="135" t="str">
        <f t="shared" si="19"/>
        <v/>
      </c>
      <c r="BG27" s="135" t="str">
        <f t="shared" si="19"/>
        <v/>
      </c>
      <c r="BH27" s="136"/>
      <c r="BI27" s="136"/>
      <c r="BJ27" s="136"/>
      <c r="BK27" s="136"/>
      <c r="BL27" s="137"/>
      <c r="BM27" s="137"/>
      <c r="BN27" s="165" t="s">
        <v>2680</v>
      </c>
      <c r="BO27" s="187">
        <f t="shared" si="3"/>
        <v>0</v>
      </c>
      <c r="BP27" s="187">
        <f t="shared" si="4"/>
        <v>0</v>
      </c>
      <c r="BQ27" s="187">
        <f t="shared" si="5"/>
        <v>0</v>
      </c>
      <c r="BR27" s="187">
        <f t="shared" si="32"/>
        <v>0</v>
      </c>
      <c r="BS27" s="187">
        <f t="shared" si="32"/>
        <v>0</v>
      </c>
      <c r="BT27" s="187">
        <f t="shared" si="32"/>
        <v>0</v>
      </c>
      <c r="BU27" s="187">
        <f t="shared" si="32"/>
        <v>0</v>
      </c>
      <c r="BV27" s="187">
        <f t="shared" si="7"/>
        <v>0</v>
      </c>
      <c r="BW27" s="187">
        <f t="shared" si="20"/>
        <v>0</v>
      </c>
      <c r="BX27" s="187">
        <f t="shared" si="21"/>
        <v>0</v>
      </c>
      <c r="BY27" s="508"/>
      <c r="BZ27" s="187">
        <f t="shared" si="22"/>
        <v>0</v>
      </c>
      <c r="CA27" s="187">
        <f t="shared" si="23"/>
        <v>0</v>
      </c>
      <c r="CC27" s="134" t="str">
        <f>IF(COUNTIF(CC$7:CC26,B27)&gt;0,"",B27)&amp;""</f>
        <v/>
      </c>
      <c r="CD27" s="138">
        <f t="shared" si="24"/>
        <v>0</v>
      </c>
      <c r="CE27" s="132">
        <f t="shared" si="25"/>
        <v>1</v>
      </c>
      <c r="CF27" s="138">
        <f t="shared" si="26"/>
        <v>0</v>
      </c>
      <c r="CG27" s="132">
        <f t="shared" si="27"/>
        <v>1</v>
      </c>
      <c r="CH27" s="133"/>
      <c r="CI27" s="133"/>
    </row>
    <row r="28" ht="15" customHeight="1" spans="1:88">
      <c r="A28" s="221" t="s">
        <v>1954</v>
      </c>
      <c r="B28" s="221"/>
      <c r="C28" s="221"/>
      <c r="D28" s="221"/>
      <c r="E28" s="149"/>
      <c r="F28" s="151"/>
      <c r="G28" s="149"/>
      <c r="H28" s="151"/>
      <c r="I28" s="151"/>
      <c r="J28" s="151"/>
      <c r="K28" s="151"/>
      <c r="L28" s="353"/>
      <c r="M28" s="152"/>
      <c r="N28" s="152">
        <f>SUM(N8:N27)</f>
        <v>0</v>
      </c>
      <c r="O28" s="152">
        <f>SUM(O8:O27)</f>
        <v>0</v>
      </c>
      <c r="P28" s="153"/>
      <c r="Q28" s="153"/>
      <c r="R28" s="153"/>
      <c r="S28" s="916"/>
      <c r="T28" s="152" t="str">
        <f>IF(S28=0,"",U28/S28)</f>
        <v/>
      </c>
      <c r="U28" s="152">
        <f>SUM(U8:U27)</f>
        <v>0</v>
      </c>
      <c r="V28" s="152">
        <f>SUM(V8:V27)</f>
        <v>0</v>
      </c>
      <c r="W28" s="152"/>
      <c r="X28" s="152"/>
      <c r="Y28" s="152">
        <f>SUM(Y8:Y27)</f>
        <v>0</v>
      </c>
      <c r="Z28" s="152">
        <f t="shared" si="16"/>
        <v>0</v>
      </c>
      <c r="AA28" s="152" t="str">
        <f t="shared" si="17"/>
        <v/>
      </c>
      <c r="AB28" s="131"/>
      <c r="AC28" s="131"/>
      <c r="BH28" s="165"/>
      <c r="BI28" s="165"/>
      <c r="BJ28" s="165"/>
      <c r="BK28" s="165"/>
      <c r="BL28" s="75"/>
      <c r="BQ28" s="75"/>
      <c r="BR28" s="75"/>
      <c r="BS28" s="75"/>
      <c r="BT28" s="75"/>
      <c r="BY28" s="938"/>
      <c r="CB28" s="111"/>
      <c r="CC28" s="119"/>
      <c r="CE28" s="77"/>
      <c r="CF28" s="77"/>
      <c r="CG28" s="119"/>
      <c r="CH28" s="119"/>
      <c r="CI28" s="119"/>
      <c r="CJ28" s="111"/>
    </row>
    <row r="29" ht="15" customHeight="1" spans="1:88">
      <c r="A29" s="982" t="s">
        <v>2205</v>
      </c>
      <c r="B29" s="982"/>
      <c r="C29" s="124"/>
      <c r="D29" s="124"/>
      <c r="E29" s="126"/>
      <c r="F29" s="131"/>
      <c r="G29" s="126"/>
      <c r="H29" s="131"/>
      <c r="I29" s="131"/>
      <c r="J29" s="131"/>
      <c r="K29" s="131"/>
      <c r="L29" s="129"/>
      <c r="M29" s="1226"/>
      <c r="N29" s="129">
        <f>O28</f>
        <v>0</v>
      </c>
      <c r="O29" s="129"/>
      <c r="P29" s="130"/>
      <c r="Q29" s="130"/>
      <c r="R29" s="130"/>
      <c r="S29" s="1226"/>
      <c r="T29" s="1226"/>
      <c r="U29" s="129">
        <f>V28</f>
        <v>0</v>
      </c>
      <c r="V29" s="129"/>
      <c r="W29" s="129"/>
      <c r="X29" s="129"/>
      <c r="Y29" s="129"/>
      <c r="Z29" s="129">
        <f t="shared" si="16"/>
        <v>0</v>
      </c>
      <c r="AA29" s="129" t="str">
        <f t="shared" si="17"/>
        <v/>
      </c>
      <c r="AB29" s="131"/>
      <c r="AC29" s="131"/>
      <c r="BH29" s="165"/>
      <c r="BI29" s="165"/>
      <c r="BJ29" s="165"/>
      <c r="BK29" s="165"/>
      <c r="BL29" s="75"/>
      <c r="BQ29" s="75"/>
      <c r="BR29" s="75"/>
      <c r="BS29" s="75"/>
      <c r="BT29" s="75"/>
      <c r="BY29" s="938"/>
    </row>
    <row r="30" s="73" customFormat="1" ht="15" customHeight="1" spans="1:88">
      <c r="A30" s="221" t="s">
        <v>1957</v>
      </c>
      <c r="B30" s="221"/>
      <c r="C30" s="149"/>
      <c r="D30" s="149"/>
      <c r="E30" s="149"/>
      <c r="F30" s="151"/>
      <c r="G30" s="149"/>
      <c r="H30" s="151"/>
      <c r="I30" s="151"/>
      <c r="J30" s="151"/>
      <c r="K30" s="151"/>
      <c r="L30" s="152"/>
      <c r="M30" s="152"/>
      <c r="N30" s="152">
        <f>N28-N29</f>
        <v>0</v>
      </c>
      <c r="O30" s="152"/>
      <c r="P30" s="153"/>
      <c r="Q30" s="153"/>
      <c r="R30" s="153"/>
      <c r="S30" s="152"/>
      <c r="T30" s="152"/>
      <c r="U30" s="152">
        <f>U28-U29</f>
        <v>0</v>
      </c>
      <c r="V30" s="152"/>
      <c r="W30" s="152"/>
      <c r="X30" s="152"/>
      <c r="Y30" s="152">
        <f>Y28-Y29</f>
        <v>0</v>
      </c>
      <c r="Z30" s="152">
        <f t="shared" si="16"/>
        <v>0</v>
      </c>
      <c r="AA30" s="152" t="str">
        <f t="shared" si="17"/>
        <v/>
      </c>
      <c r="AB30" s="151"/>
      <c r="AC30" s="151"/>
      <c r="BH30" s="72"/>
      <c r="BI30" s="72"/>
      <c r="BJ30" s="72"/>
      <c r="BK30" s="72"/>
      <c r="BN30" s="72"/>
      <c r="BY30" s="946"/>
      <c r="CB30" s="77"/>
      <c r="CC30" s="78"/>
      <c r="CD30" s="77"/>
      <c r="CE30" s="78"/>
      <c r="CF30" s="78"/>
      <c r="CG30" s="78"/>
      <c r="CH30" s="78"/>
      <c r="CI30" s="78"/>
      <c r="CJ30" s="77"/>
    </row>
    <row r="31" s="73" customFormat="1" ht="15" customHeight="1" spans="1:88">
      <c r="A31" s="102" t="str">
        <f>参数表!F$6</f>
        <v>产权持有单位填表人：贾广东</v>
      </c>
      <c r="B31" s="518"/>
      <c r="C31" s="185"/>
      <c r="D31" s="185"/>
      <c r="E31" s="185"/>
      <c r="F31" s="986"/>
      <c r="G31" s="185"/>
      <c r="H31" s="986"/>
      <c r="I31" s="986"/>
      <c r="J31" s="986"/>
      <c r="K31" s="986"/>
      <c r="L31" s="1244"/>
      <c r="M31" s="990"/>
      <c r="N31" s="990"/>
      <c r="O31" s="990"/>
      <c r="P31" s="1245"/>
      <c r="Q31" s="1245"/>
      <c r="R31" s="1245"/>
      <c r="S31" s="1246"/>
      <c r="T31" s="990"/>
      <c r="U31" s="990"/>
      <c r="V31" s="990"/>
      <c r="W31" s="1246"/>
      <c r="X31" s="1246"/>
      <c r="Y31" s="103" t="str">
        <f>"评估人员："&amp;封面!$G$20</f>
        <v>评估人员：栗祥宁</v>
      </c>
      <c r="Z31" s="990"/>
      <c r="AA31" s="990"/>
      <c r="AB31" s="991"/>
      <c r="BH31" s="72"/>
      <c r="BI31" s="72"/>
      <c r="BJ31" s="72"/>
      <c r="BK31" s="72"/>
      <c r="BN31" s="72"/>
      <c r="BY31" s="946"/>
      <c r="CB31" s="77"/>
      <c r="CC31" s="78"/>
      <c r="CD31" s="77"/>
      <c r="CE31" s="78"/>
      <c r="CF31" s="78"/>
      <c r="CG31" s="78"/>
      <c r="CH31" s="78"/>
      <c r="CI31" s="78"/>
      <c r="CJ31" s="77"/>
    </row>
    <row r="32" s="73" customFormat="1" ht="15" customHeight="1" spans="1:88">
      <c r="A32" s="102" t="str">
        <f>参数表!F$7</f>
        <v>填表日期：2025年9月20日</v>
      </c>
      <c r="B32" s="518"/>
      <c r="C32" s="185"/>
      <c r="D32" s="185"/>
      <c r="E32" s="185"/>
      <c r="F32" s="986"/>
      <c r="G32" s="185"/>
      <c r="H32" s="986"/>
      <c r="I32" s="986"/>
      <c r="J32" s="986"/>
      <c r="K32" s="986"/>
      <c r="L32" s="1244"/>
      <c r="M32" s="990"/>
      <c r="N32" s="990"/>
      <c r="O32" s="990"/>
      <c r="P32" s="1245"/>
      <c r="Q32" s="1245"/>
      <c r="R32" s="1245"/>
      <c r="S32" s="1246"/>
      <c r="T32" s="990"/>
      <c r="U32" s="990"/>
      <c r="V32" s="990"/>
      <c r="W32" s="1246"/>
      <c r="X32" s="1246"/>
      <c r="Y32" s="990"/>
      <c r="Z32" s="990"/>
      <c r="AA32" s="990"/>
      <c r="AB32" s="991"/>
      <c r="BH32" s="72"/>
      <c r="BI32" s="72"/>
      <c r="BJ32" s="72"/>
      <c r="BK32" s="72"/>
      <c r="BN32" s="72"/>
      <c r="BY32" s="946"/>
      <c r="CB32" s="77"/>
      <c r="CC32" s="78"/>
      <c r="CD32" s="77"/>
      <c r="CE32" s="78"/>
      <c r="CF32" s="78"/>
      <c r="CG32" s="78"/>
      <c r="CH32" s="78"/>
      <c r="CI32" s="78"/>
      <c r="CJ32" s="77"/>
    </row>
    <row r="33" customHeight="1" spans="1:88">
      <c r="A33" s="696"/>
      <c r="B33" s="942" t="s">
        <v>2700</v>
      </c>
      <c r="C33" s="75" t="s">
        <v>2701</v>
      </c>
      <c r="E33" s="228"/>
      <c r="F33" s="158"/>
      <c r="G33" s="228"/>
      <c r="H33" s="158"/>
      <c r="I33" s="158"/>
      <c r="J33" s="158"/>
      <c r="K33" s="158"/>
      <c r="L33" s="158"/>
      <c r="S33" s="1238"/>
      <c r="T33" s="1238"/>
      <c r="BH33" s="165"/>
      <c r="BI33" s="165"/>
      <c r="BJ33" s="165"/>
      <c r="BK33" s="165"/>
      <c r="BL33" s="75"/>
      <c r="BQ33" s="75"/>
      <c r="BR33" s="75"/>
      <c r="BS33" s="75"/>
      <c r="BT33" s="75"/>
      <c r="BY33" s="938"/>
    </row>
    <row r="34" s="165" customFormat="1" hidden="1" customHeight="1" outlineLevel="1" spans="1:88">
      <c r="A34" s="1237">
        <f t="shared" ref="A34:AJ34" si="33">COLUMN(A8)</f>
        <v>1</v>
      </c>
      <c r="B34" s="286">
        <f t="shared" si="33"/>
        <v>2</v>
      </c>
      <c r="C34" s="286">
        <f t="shared" si="33"/>
        <v>3</v>
      </c>
      <c r="D34" s="286">
        <f t="shared" si="33"/>
        <v>4</v>
      </c>
      <c r="E34" s="286">
        <f t="shared" si="33"/>
        <v>5</v>
      </c>
      <c r="F34" s="286">
        <f t="shared" si="33"/>
        <v>6</v>
      </c>
      <c r="G34" s="286">
        <f t="shared" si="33"/>
        <v>7</v>
      </c>
      <c r="H34" s="286"/>
      <c r="I34" s="286"/>
      <c r="J34" s="286"/>
      <c r="K34" s="286"/>
      <c r="L34" s="286">
        <f t="shared" si="33"/>
        <v>12</v>
      </c>
      <c r="M34" s="286">
        <f t="shared" si="33"/>
        <v>13</v>
      </c>
      <c r="N34" s="286">
        <f t="shared" si="33"/>
        <v>14</v>
      </c>
      <c r="O34" s="286">
        <f t="shared" si="33"/>
        <v>15</v>
      </c>
      <c r="P34" s="286">
        <f t="shared" si="33"/>
        <v>16</v>
      </c>
      <c r="Q34" s="286">
        <f t="shared" si="33"/>
        <v>17</v>
      </c>
      <c r="R34" s="286">
        <f t="shared" si="33"/>
        <v>18</v>
      </c>
      <c r="S34" s="286">
        <f t="shared" si="33"/>
        <v>19</v>
      </c>
      <c r="T34" s="286">
        <f t="shared" si="33"/>
        <v>20</v>
      </c>
      <c r="U34" s="286">
        <f t="shared" si="33"/>
        <v>21</v>
      </c>
      <c r="V34" s="286">
        <f t="shared" si="33"/>
        <v>22</v>
      </c>
      <c r="W34" s="286">
        <f t="shared" si="33"/>
        <v>23</v>
      </c>
      <c r="X34" s="286">
        <f t="shared" si="33"/>
        <v>24</v>
      </c>
      <c r="Y34" s="286">
        <f t="shared" si="33"/>
        <v>25</v>
      </c>
      <c r="Z34" s="286">
        <f t="shared" si="33"/>
        <v>26</v>
      </c>
      <c r="AA34" s="286">
        <f t="shared" si="33"/>
        <v>27</v>
      </c>
      <c r="AB34" s="286">
        <f t="shared" si="33"/>
        <v>28</v>
      </c>
      <c r="AC34" s="286">
        <f t="shared" si="33"/>
        <v>29</v>
      </c>
      <c r="AD34" s="286">
        <f t="shared" si="33"/>
        <v>30</v>
      </c>
      <c r="AE34" s="286">
        <f t="shared" si="33"/>
        <v>31</v>
      </c>
      <c r="AF34" s="286">
        <f t="shared" si="33"/>
        <v>32</v>
      </c>
      <c r="AG34" s="286">
        <f t="shared" si="33"/>
        <v>33</v>
      </c>
      <c r="AH34" s="286">
        <f t="shared" si="33"/>
        <v>34</v>
      </c>
      <c r="AI34" s="286">
        <f t="shared" si="33"/>
        <v>35</v>
      </c>
      <c r="AJ34" s="286">
        <f t="shared" si="33"/>
        <v>36</v>
      </c>
      <c r="AK34" s="286">
        <f t="shared" ref="AK34:BF34" si="34">COLUMN(AK8)</f>
        <v>37</v>
      </c>
      <c r="AL34" s="286">
        <f t="shared" si="34"/>
        <v>38</v>
      </c>
      <c r="AM34" s="286">
        <f t="shared" si="34"/>
        <v>39</v>
      </c>
      <c r="AN34" s="286">
        <f t="shared" si="34"/>
        <v>40</v>
      </c>
      <c r="AO34" s="286">
        <f t="shared" si="34"/>
        <v>41</v>
      </c>
      <c r="AP34" s="286">
        <f t="shared" si="34"/>
        <v>42</v>
      </c>
      <c r="AQ34" s="286">
        <f t="shared" si="34"/>
        <v>43</v>
      </c>
      <c r="AR34" s="286">
        <f t="shared" si="34"/>
        <v>44</v>
      </c>
      <c r="AS34" s="286">
        <f t="shared" si="34"/>
        <v>45</v>
      </c>
      <c r="AT34" s="286">
        <f t="shared" si="34"/>
        <v>46</v>
      </c>
      <c r="AU34" s="286">
        <f t="shared" si="34"/>
        <v>47</v>
      </c>
      <c r="AV34" s="286">
        <f t="shared" si="34"/>
        <v>48</v>
      </c>
      <c r="AW34" s="286">
        <f t="shared" si="34"/>
        <v>49</v>
      </c>
      <c r="AX34" s="286">
        <f t="shared" si="34"/>
        <v>50</v>
      </c>
      <c r="AY34" s="286">
        <f t="shared" si="34"/>
        <v>51</v>
      </c>
      <c r="AZ34" s="286">
        <f t="shared" si="34"/>
        <v>52</v>
      </c>
      <c r="BA34" s="286">
        <f t="shared" si="34"/>
        <v>53</v>
      </c>
      <c r="BB34" s="286">
        <f t="shared" si="34"/>
        <v>54</v>
      </c>
      <c r="BC34" s="286">
        <f t="shared" si="34"/>
        <v>55</v>
      </c>
      <c r="BD34" s="286">
        <f t="shared" si="34"/>
        <v>56</v>
      </c>
      <c r="BE34" s="286">
        <f t="shared" si="34"/>
        <v>57</v>
      </c>
      <c r="BF34" s="286">
        <f t="shared" si="34"/>
        <v>58</v>
      </c>
      <c r="BG34" s="286"/>
      <c r="BH34" s="286">
        <f t="shared" ref="BH34:BM34" si="35">COLUMN(BH8)</f>
        <v>60</v>
      </c>
      <c r="BI34" s="286">
        <f t="shared" si="35"/>
        <v>61</v>
      </c>
      <c r="BJ34" s="286">
        <f t="shared" si="35"/>
        <v>62</v>
      </c>
      <c r="BK34" s="286">
        <f t="shared" si="35"/>
        <v>63</v>
      </c>
      <c r="BL34" s="286">
        <f t="shared" si="35"/>
        <v>64</v>
      </c>
      <c r="BM34" s="286">
        <f t="shared" si="35"/>
        <v>65</v>
      </c>
      <c r="BN34" s="286"/>
      <c r="BO34" s="286">
        <f t="shared" ref="BO34:CA34" si="36">COLUMN(BO8)</f>
        <v>67</v>
      </c>
      <c r="BP34" s="286">
        <f t="shared" si="36"/>
        <v>68</v>
      </c>
      <c r="BQ34" s="286">
        <f t="shared" si="36"/>
        <v>69</v>
      </c>
      <c r="BR34" s="286">
        <f t="shared" si="36"/>
        <v>70</v>
      </c>
      <c r="BS34" s="286">
        <f t="shared" si="36"/>
        <v>71</v>
      </c>
      <c r="BT34" s="286">
        <f t="shared" si="36"/>
        <v>72</v>
      </c>
      <c r="BU34" s="286">
        <f t="shared" si="36"/>
        <v>73</v>
      </c>
      <c r="BV34" s="286">
        <f t="shared" si="36"/>
        <v>74</v>
      </c>
      <c r="BW34" s="286">
        <f t="shared" si="36"/>
        <v>75</v>
      </c>
      <c r="BX34" s="286">
        <f t="shared" si="36"/>
        <v>76</v>
      </c>
      <c r="BY34" s="286">
        <f t="shared" si="36"/>
        <v>77</v>
      </c>
      <c r="BZ34" s="286">
        <f t="shared" si="36"/>
        <v>78</v>
      </c>
      <c r="CA34" s="286">
        <f t="shared" si="36"/>
        <v>79</v>
      </c>
      <c r="CB34" s="77"/>
      <c r="CC34" s="78"/>
      <c r="CD34" s="77"/>
      <c r="CE34" s="78"/>
      <c r="CF34" s="78"/>
      <c r="CG34" s="78"/>
      <c r="CH34" s="78"/>
      <c r="CI34" s="78"/>
      <c r="CJ34" s="77"/>
    </row>
    <row r="35" hidden="1" customHeight="1" outlineLevel="1" spans="1:88">
      <c r="A35" s="157"/>
      <c r="B35" s="154" t="s">
        <v>1673</v>
      </c>
      <c r="C35" s="158"/>
      <c r="D35" s="158"/>
      <c r="E35" s="228"/>
      <c r="F35" s="158"/>
      <c r="G35" s="228"/>
      <c r="H35" s="158"/>
      <c r="I35" s="158"/>
      <c r="J35" s="158"/>
      <c r="K35" s="158"/>
      <c r="L35" s="158"/>
      <c r="N35" s="159">
        <f>SUMIF($BA8:$BA27,$BA35,N8:N27)</f>
        <v>0</v>
      </c>
      <c r="O35" s="159">
        <f>SUMIF($BA8:$BA27,$BA35,O8:O27)</f>
        <v>0</v>
      </c>
      <c r="P35" s="202"/>
      <c r="Q35" s="202"/>
      <c r="R35" s="202"/>
      <c r="S35" s="176"/>
      <c r="T35" s="176"/>
      <c r="U35" s="159">
        <f>SUMIF($BA8:$BA27,$BA35,U8:U27)</f>
        <v>0</v>
      </c>
      <c r="V35" s="159">
        <f>SUMIF($BA8:$BA27,$BA35,V8:V27)</f>
        <v>0</v>
      </c>
      <c r="W35" s="176"/>
      <c r="X35" s="176"/>
      <c r="Y35" s="159">
        <f>SUMIF($BA8:$BA27,$BA35,Y8:Y27)</f>
        <v>0</v>
      </c>
      <c r="BA35" s="161" t="s">
        <v>1674</v>
      </c>
      <c r="BH35" s="95" t="s">
        <v>1675</v>
      </c>
      <c r="BI35" s="95" t="s">
        <v>1675</v>
      </c>
      <c r="BJ35" s="95" t="s">
        <v>1675</v>
      </c>
      <c r="BK35" s="95" t="s">
        <v>1675</v>
      </c>
      <c r="BL35" s="75"/>
      <c r="BY35" s="746">
        <v>0</v>
      </c>
    </row>
    <row r="36" hidden="1" customHeight="1" outlineLevel="1" spans="1:88">
      <c r="A36" s="157"/>
      <c r="B36" s="154" t="s">
        <v>1676</v>
      </c>
      <c r="C36" s="158"/>
      <c r="D36" s="158"/>
      <c r="E36" s="228"/>
      <c r="F36" s="158"/>
      <c r="G36" s="228"/>
      <c r="H36" s="158"/>
      <c r="I36" s="158"/>
      <c r="J36" s="158"/>
      <c r="K36" s="158"/>
      <c r="L36" s="158"/>
      <c r="N36" s="159">
        <f>N28-N35</f>
        <v>0</v>
      </c>
      <c r="O36" s="159">
        <f>O28-O35</f>
        <v>0</v>
      </c>
      <c r="P36" s="202"/>
      <c r="Q36" s="202"/>
      <c r="R36" s="202"/>
      <c r="S36" s="176"/>
      <c r="T36" s="176"/>
      <c r="U36" s="159">
        <f>U28-U35</f>
        <v>0</v>
      </c>
      <c r="V36" s="159">
        <f>V28-V35</f>
        <v>0</v>
      </c>
      <c r="W36" s="176"/>
      <c r="X36" s="176"/>
      <c r="Y36" s="159">
        <f>Y28-Y35</f>
        <v>0</v>
      </c>
      <c r="BA36" s="161" t="s">
        <v>1677</v>
      </c>
      <c r="BH36" s="95" t="s">
        <v>1678</v>
      </c>
      <c r="BI36" s="95" t="s">
        <v>1678</v>
      </c>
      <c r="BJ36" s="95" t="s">
        <v>1678</v>
      </c>
      <c r="BK36" s="95" t="s">
        <v>1678</v>
      </c>
      <c r="BL36" s="75"/>
      <c r="BY36" s="746">
        <v>0.5</v>
      </c>
    </row>
    <row r="37" hidden="1" customHeight="1" outlineLevel="1" spans="1:88">
      <c r="A37" s="157"/>
      <c r="B37" s="158"/>
      <c r="C37" s="158"/>
      <c r="D37" s="158"/>
      <c r="E37" s="228"/>
      <c r="F37" s="158"/>
      <c r="G37" s="228"/>
      <c r="H37" s="158"/>
      <c r="I37" s="158"/>
      <c r="J37" s="158"/>
      <c r="K37" s="158"/>
      <c r="L37" s="158"/>
      <c r="N37" s="176"/>
      <c r="O37" s="176"/>
      <c r="P37" s="202"/>
      <c r="Q37" s="202"/>
      <c r="R37" s="202"/>
      <c r="S37" s="176"/>
      <c r="T37" s="176"/>
      <c r="U37" s="1247"/>
      <c r="V37" s="1247"/>
      <c r="W37" s="176"/>
      <c r="X37" s="176"/>
      <c r="Y37" s="176"/>
      <c r="BY37" s="746">
        <v>1</v>
      </c>
    </row>
    <row r="38" customHeight="1" collapsed="1" spans="1:88">
      <c r="A38" s="157"/>
      <c r="B38" s="158"/>
      <c r="C38" s="158"/>
      <c r="D38" s="158"/>
      <c r="E38" s="228"/>
      <c r="F38" s="158"/>
      <c r="G38" s="228"/>
      <c r="H38" s="158"/>
      <c r="I38" s="158"/>
      <c r="J38" s="158"/>
      <c r="K38" s="158"/>
      <c r="L38" s="158"/>
    </row>
    <row r="39" customHeight="1" spans="1:88">
      <c r="A39" s="157"/>
      <c r="B39" s="158"/>
      <c r="C39" s="158"/>
      <c r="D39" s="158"/>
      <c r="E39" s="228"/>
      <c r="F39" s="158"/>
      <c r="G39" s="228"/>
      <c r="H39" s="158"/>
      <c r="I39" s="158"/>
      <c r="J39" s="158"/>
      <c r="K39" s="158"/>
      <c r="L39" s="158"/>
    </row>
    <row r="40" customHeight="1" spans="1:88">
      <c r="A40" s="157"/>
      <c r="B40" s="158"/>
      <c r="C40" s="158"/>
      <c r="D40" s="158"/>
      <c r="E40" s="228"/>
      <c r="F40" s="158"/>
      <c r="G40" s="228"/>
      <c r="H40" s="158"/>
      <c r="I40" s="158"/>
      <c r="J40" s="158"/>
      <c r="K40" s="158"/>
      <c r="L40" s="158"/>
    </row>
  </sheetData>
  <sheetProtection autoFilter="0"/>
  <mergeCells count="31">
    <mergeCell ref="A2:AB2"/>
    <mergeCell ref="A3:AB3"/>
    <mergeCell ref="H6:K6"/>
    <mergeCell ref="L6:O6"/>
    <mergeCell ref="P6:R6"/>
    <mergeCell ref="S6:V6"/>
    <mergeCell ref="W6:Y6"/>
    <mergeCell ref="CH8:CJ8"/>
    <mergeCell ref="CH9:CJ9"/>
    <mergeCell ref="CI15:CJ15"/>
    <mergeCell ref="A28:B28"/>
    <mergeCell ref="A29:B29"/>
    <mergeCell ref="A30:B30"/>
    <mergeCell ref="A6:A7"/>
    <mergeCell ref="B6:B7"/>
    <mergeCell ref="C6:C7"/>
    <mergeCell ref="D6:D7"/>
    <mergeCell ref="E6:E7"/>
    <mergeCell ref="F6:F7"/>
    <mergeCell ref="Z6:Z7"/>
    <mergeCell ref="AA6:AA7"/>
    <mergeCell ref="AB6:AB7"/>
    <mergeCell ref="AC6:AC7"/>
    <mergeCell ref="BF6:BF7"/>
    <mergeCell ref="BG6:BG7"/>
    <mergeCell ref="BH6:BH7"/>
    <mergeCell ref="BI6:BI7"/>
    <mergeCell ref="BJ6:BJ7"/>
    <mergeCell ref="BK6:BK7"/>
    <mergeCell ref="BL6:BL7"/>
    <mergeCell ref="BM6:BM7"/>
  </mergeCells>
  <conditionalFormatting sqref="BL8:BL27">
    <cfRule type="expression" dxfId="5" priority="4" stopIfTrue="1">
      <formula>AND(BK8="无",BL8="")</formula>
    </cfRule>
  </conditionalFormatting>
  <conditionalFormatting sqref="BF8:BG27">
    <cfRule type="containsText" dxfId="6" priority="1" stopIfTrue="1" operator="between" text="出错">
      <formula>NOT(ISERROR(SEARCH("出错",BF8)))</formula>
    </cfRule>
  </conditionalFormatting>
  <conditionalFormatting sqref="BH8:BK27">
    <cfRule type="expression" dxfId="5" priority="5" stopIfTrue="1">
      <formula>AND($B8&lt;&gt;"",BH8="")</formula>
    </cfRule>
  </conditionalFormatting>
  <dataValidations count="7">
    <dataValidation type="list" allowBlank="1" showInputMessage="1" showErrorMessage="1" sqref="BP5">
      <formula1>"1,2,3"</formula1>
    </dataValidation>
    <dataValidation type="list" allowBlank="1" showInputMessage="1" showErrorMessage="1" sqref="H8:H27">
      <formula1>OFFSET(参数表!$H$2:$H$50,,,COUNTA(参数表!$H$2:$H$50))</formula1>
    </dataValidation>
    <dataValidation type="list" allowBlank="1" showInputMessage="1" showErrorMessage="1" sqref="BA8:BA27 BA35:BA36">
      <formula1>"是,否"</formula1>
    </dataValidation>
    <dataValidation type="list" allowBlank="1" showInputMessage="1" showErrorMessage="1" sqref="BC8:BC27">
      <formula1>"  ,√"</formula1>
    </dataValidation>
    <dataValidation type="list" allowBlank="1" showInputMessage="1" showErrorMessage="1" sqref="BN8:BN27">
      <formula1>"成本法,收益法,市场法"</formula1>
    </dataValidation>
    <dataValidation type="list" allowBlank="1" showInputMessage="1" showErrorMessage="1" sqref="BY8:BY27">
      <formula1>BY$35:BY$37</formula1>
    </dataValidation>
    <dataValidation type="list" allowBlank="1" showInputMessage="1" showErrorMessage="1" sqref="BH8:BK27">
      <formula1>BH$35:BH$36</formula1>
    </dataValidation>
  </dataValidations>
  <hyperlinks>
    <hyperlink ref="A1" location="索引目录!E22" display="返回索引页"/>
    <hyperlink ref="B1" location="存货汇总!B21"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CJ39"/>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3" width="7.7" style="75" customWidth="1"/>
    <col min="4" max="4" width="4.6" style="165" customWidth="1"/>
    <col min="5" max="6" width="4.6" style="75" customWidth="1"/>
    <col min="7" max="7" width="8.6" style="75" customWidth="1"/>
    <col min="8" max="9" width="4.6" style="75" customWidth="1" outlineLevel="1"/>
    <col min="10" max="11" width="6.1" style="75" customWidth="1" outlineLevel="1"/>
    <col min="12" max="12" width="9.6" style="75" customWidth="1" outlineLevel="1"/>
    <col min="13" max="13" width="9.6" style="227" customWidth="1" outlineLevel="1"/>
    <col min="14" max="14" width="12.6" style="227" customWidth="1" outlineLevel="1"/>
    <col min="15" max="15" width="9.7" style="227" customWidth="1" outlineLevel="1"/>
    <col min="16" max="16" width="9.6" style="1216" customWidth="1" outlineLevel="1"/>
    <col min="17" max="18" width="12.6" style="1216" customWidth="1" outlineLevel="1"/>
    <col min="19" max="20" width="8.7" style="227" customWidth="1"/>
    <col min="21" max="21" width="11.7" style="227" customWidth="1"/>
    <col min="22" max="22" width="8.6" style="227" customWidth="1"/>
    <col min="23" max="23" width="8.7" style="75" customWidth="1"/>
    <col min="24" max="24" width="8.7" style="227" customWidth="1"/>
    <col min="25" max="25" width="11.7" style="227" customWidth="1"/>
    <col min="26" max="27" width="6.6" style="227" customWidth="1"/>
    <col min="28" max="28" width="5.8" style="75" customWidth="1"/>
    <col min="29" max="52" width="9" style="75" hidden="1" customWidth="1" outlineLevel="1"/>
    <col min="53" max="53" width="14.7" style="75" customWidth="1" collapsed="1"/>
    <col min="54" max="54" width="6.7" style="75" customWidth="1"/>
    <col min="55" max="56" width="5.1" style="75" customWidth="1"/>
    <col min="57" max="57" width="8.7" style="75" customWidth="1"/>
    <col min="58" max="59" width="9.6" style="75" customWidth="1"/>
    <col min="60" max="63" width="4.7" style="75" customWidth="1"/>
    <col min="64" max="64" width="10.3" style="75" customWidth="1"/>
    <col min="65" max="65" width="8.7" style="75" customWidth="1"/>
    <col min="66" max="66" width="8.6" style="165" customWidth="1"/>
    <col min="67" max="67" width="14.3" style="165" customWidth="1"/>
    <col min="68" max="68" width="10.7" style="165" customWidth="1"/>
    <col min="69" max="79" width="10.7" style="75" customWidth="1"/>
    <col min="80" max="80" width="1.6" style="77" customWidth="1"/>
    <col min="81" max="81" width="10.6" style="78" customWidth="1"/>
    <col min="82" max="82" width="10.6" style="77" customWidth="1"/>
    <col min="83" max="83" width="4.6" style="78" customWidth="1"/>
    <col min="84" max="84" width="10.6" style="78" customWidth="1"/>
    <col min="85" max="86" width="4.6" style="78" customWidth="1"/>
    <col min="87" max="87" width="10.6" style="78" customWidth="1"/>
    <col min="88" max="88" width="5" style="77" customWidth="1"/>
    <col min="89" max="16384" width="9" style="75"/>
  </cols>
  <sheetData>
    <row r="1" s="86" customFormat="1" ht="13.8" spans="1:88">
      <c r="A1" s="203" t="s">
        <v>1591</v>
      </c>
      <c r="B1" s="204" t="s">
        <v>1592</v>
      </c>
      <c r="C1" s="204"/>
      <c r="D1" s="82"/>
      <c r="E1" s="82"/>
      <c r="F1" s="82"/>
      <c r="G1" s="82"/>
      <c r="H1" s="82"/>
      <c r="I1" s="82"/>
      <c r="J1" s="82"/>
      <c r="K1" s="82"/>
      <c r="L1" s="82"/>
      <c r="M1" s="82"/>
      <c r="N1" s="82"/>
      <c r="O1" s="82"/>
      <c r="P1" s="205"/>
      <c r="Q1" s="205"/>
      <c r="R1" s="205"/>
      <c r="S1" s="82"/>
      <c r="T1" s="82"/>
      <c r="U1" s="82"/>
      <c r="V1" s="82"/>
      <c r="W1" s="82"/>
      <c r="X1" s="82"/>
      <c r="Y1" s="82"/>
      <c r="Z1" s="82"/>
      <c r="AA1" s="82"/>
      <c r="AB1" s="82"/>
      <c r="BA1" s="84" t="str">
        <f>参数表!BA1</f>
        <v>注意：补充特殊事项、作价等均从BA列开始填写</v>
      </c>
      <c r="BB1" s="85"/>
      <c r="BN1" s="82"/>
      <c r="BO1" s="82"/>
      <c r="BP1" s="82"/>
      <c r="CB1" s="87"/>
      <c r="CC1" s="88"/>
      <c r="CD1" s="87"/>
      <c r="CE1" s="88"/>
      <c r="CF1" s="88"/>
      <c r="CG1" s="88"/>
      <c r="CH1" s="88"/>
      <c r="CI1" s="88"/>
      <c r="CJ1" s="87"/>
    </row>
    <row r="2" s="71" customFormat="1" ht="30" customHeight="1" spans="1:88">
      <c r="A2" s="89" t="s">
        <v>2702</v>
      </c>
      <c r="B2" s="89"/>
      <c r="C2" s="89"/>
      <c r="D2" s="89"/>
      <c r="E2" s="89"/>
      <c r="F2" s="89"/>
      <c r="G2" s="89"/>
      <c r="H2" s="89"/>
      <c r="I2" s="89"/>
      <c r="J2" s="89"/>
      <c r="K2" s="89"/>
      <c r="L2" s="89"/>
      <c r="M2" s="89"/>
      <c r="N2" s="89"/>
      <c r="O2" s="89"/>
      <c r="P2" s="89"/>
      <c r="Q2" s="89"/>
      <c r="R2" s="89"/>
      <c r="S2" s="89"/>
      <c r="T2" s="89"/>
      <c r="U2" s="89"/>
      <c r="V2" s="89"/>
      <c r="W2" s="89"/>
      <c r="X2" s="89"/>
      <c r="Y2" s="89"/>
      <c r="Z2" s="89"/>
      <c r="AA2" s="89"/>
      <c r="AB2" s="89"/>
      <c r="BA2" s="90" t="str">
        <f>参数表!BA2</f>
        <v>评估基准日：</v>
      </c>
      <c r="BB2" s="91" t="str">
        <f>参数表!BB2</f>
        <v>2025年7月31日</v>
      </c>
      <c r="BN2" s="171"/>
      <c r="BO2" s="171"/>
      <c r="BP2" s="171"/>
      <c r="CB2" s="92"/>
      <c r="CC2" s="93"/>
      <c r="CD2" s="92"/>
      <c r="CE2" s="93"/>
      <c r="CF2" s="93"/>
      <c r="CG2" s="93"/>
      <c r="CH2" s="93"/>
      <c r="CI2" s="93"/>
      <c r="CJ2" s="92"/>
    </row>
    <row r="3" ht="15" customHeight="1" spans="1:88">
      <c r="A3" s="94" t="str">
        <f>参数表!F5</f>
        <v>评估基准日：2025年7月31日</v>
      </c>
      <c r="B3" s="94"/>
      <c r="C3" s="94"/>
      <c r="D3" s="94"/>
      <c r="E3" s="94"/>
      <c r="F3" s="94"/>
      <c r="G3" s="94"/>
      <c r="H3" s="94"/>
      <c r="I3" s="94"/>
      <c r="J3" s="94"/>
      <c r="K3" s="94"/>
      <c r="L3" s="94"/>
      <c r="M3" s="94"/>
      <c r="N3" s="94"/>
      <c r="O3" s="94"/>
      <c r="P3" s="94"/>
      <c r="Q3" s="94"/>
      <c r="R3" s="94"/>
      <c r="S3" s="94"/>
      <c r="T3" s="94"/>
      <c r="U3" s="94"/>
      <c r="V3" s="94"/>
      <c r="W3" s="95"/>
      <c r="X3" s="95"/>
      <c r="Y3" s="95"/>
      <c r="Z3" s="95"/>
      <c r="AA3" s="95"/>
      <c r="AB3" s="95"/>
      <c r="BA3" s="90" t="str">
        <f>参数表!BA3</f>
        <v>是否显示评估值：</v>
      </c>
      <c r="BB3" s="90" t="str">
        <f>参数表!BB3</f>
        <v>是</v>
      </c>
      <c r="CB3" s="92"/>
      <c r="CC3" s="93"/>
      <c r="CD3" s="92"/>
      <c r="CE3" s="93"/>
      <c r="CF3" s="93"/>
      <c r="CG3" s="93"/>
      <c r="CH3" s="93"/>
      <c r="CI3" s="93"/>
      <c r="CJ3" s="92"/>
    </row>
    <row r="4" ht="15" customHeight="1" spans="1:88">
      <c r="A4" s="96"/>
      <c r="B4" s="94"/>
      <c r="C4" s="94"/>
      <c r="D4" s="94"/>
      <c r="E4" s="94"/>
      <c r="F4" s="94"/>
      <c r="G4" s="94"/>
      <c r="H4" s="94"/>
      <c r="I4" s="94"/>
      <c r="J4" s="94"/>
      <c r="K4" s="94"/>
      <c r="L4" s="94"/>
      <c r="M4" s="94"/>
      <c r="N4" s="94"/>
      <c r="O4" s="94"/>
      <c r="P4" s="97"/>
      <c r="Q4" s="97"/>
      <c r="R4" s="97"/>
      <c r="S4" s="94"/>
      <c r="T4" s="94"/>
      <c r="U4" s="94"/>
      <c r="V4" s="94"/>
      <c r="W4" s="98"/>
      <c r="X4" s="95"/>
      <c r="Y4" s="95"/>
      <c r="Z4" s="95"/>
      <c r="AA4" s="95"/>
      <c r="AB4" s="98" t="str">
        <f>"表"&amp;$BA4</f>
        <v>表3-10-6</v>
      </c>
      <c r="BA4" s="95" t="str">
        <f>存货总!A12</f>
        <v>3-10-6</v>
      </c>
      <c r="BB4" s="100">
        <f>MAX(COUNTA(A8:A27),COUNTA(B8:B27),COUNTA(N8:N27),COUNTA(U8:U27))</f>
        <v>20</v>
      </c>
      <c r="BC4" s="101">
        <f>ROW(A7)+1</f>
        <v>8</v>
      </c>
      <c r="BD4" s="77"/>
      <c r="BE4" s="77"/>
      <c r="CD4" s="78"/>
    </row>
    <row r="5" ht="15" customHeight="1" spans="1:88">
      <c r="A5" s="102" t="str">
        <f>参数表!F3</f>
        <v>产权持有单位:中煤第五建设有限公司</v>
      </c>
      <c r="B5" s="103"/>
      <c r="C5" s="103"/>
      <c r="D5" s="95"/>
      <c r="E5" s="103"/>
      <c r="F5" s="103"/>
      <c r="G5" s="103"/>
      <c r="H5" s="103"/>
      <c r="I5" s="103"/>
      <c r="J5" s="103"/>
      <c r="K5" s="103"/>
      <c r="L5" s="103"/>
      <c r="M5" s="1217"/>
      <c r="N5" s="1217"/>
      <c r="O5" s="1217"/>
      <c r="P5" s="1218"/>
      <c r="Q5" s="1218"/>
      <c r="R5" s="1218"/>
      <c r="S5" s="1217"/>
      <c r="T5" s="1217"/>
      <c r="U5" s="1217"/>
      <c r="V5" s="1217"/>
      <c r="W5" s="103"/>
      <c r="X5" s="1217"/>
      <c r="Y5" s="1217"/>
      <c r="Z5" s="1217"/>
      <c r="AA5" s="1217"/>
      <c r="AB5" s="98" t="s">
        <v>236</v>
      </c>
      <c r="BA5" s="103"/>
      <c r="BB5" s="105" t="str">
        <f ca="1">判断表!C35</f>
        <v>中煤第五建设有限公司第三工程处拟处置实物资产项目\[0000-3基础法明细表.xlsx]在产品（半成品）</v>
      </c>
      <c r="BC5" s="1229">
        <f>IFERROR(SUMIF(BC8:BC27,"√",U8:U27)/U28,0)</f>
        <v>0</v>
      </c>
      <c r="BD5" s="107"/>
      <c r="BE5" s="107"/>
      <c r="BF5" s="284">
        <f>'产成品（商品）'!BF5</f>
        <v>35557.52</v>
      </c>
      <c r="BG5" s="284">
        <f>'产成品（商品）'!BG5</f>
        <v>35557.52</v>
      </c>
      <c r="CD5" s="78"/>
    </row>
    <row r="6" s="72" customFormat="1" ht="15" customHeight="1" spans="1:88">
      <c r="A6" s="112" t="s">
        <v>305</v>
      </c>
      <c r="B6" s="113" t="s">
        <v>2174</v>
      </c>
      <c r="C6" s="113" t="s">
        <v>2175</v>
      </c>
      <c r="D6" s="118" t="s">
        <v>2176</v>
      </c>
      <c r="E6" s="1220" t="s">
        <v>2703</v>
      </c>
      <c r="F6" s="1220" t="s">
        <v>2704</v>
      </c>
      <c r="G6" s="1220" t="s">
        <v>2666</v>
      </c>
      <c r="H6" s="511" t="s">
        <v>1964</v>
      </c>
      <c r="I6" s="512"/>
      <c r="J6" s="512"/>
      <c r="K6" s="513"/>
      <c r="L6" s="514" t="s">
        <v>1549</v>
      </c>
      <c r="M6" s="189"/>
      <c r="N6" s="189"/>
      <c r="O6" s="190"/>
      <c r="P6" s="515" t="s">
        <v>1634</v>
      </c>
      <c r="Q6" s="516"/>
      <c r="R6" s="517"/>
      <c r="S6" s="514" t="s">
        <v>1523</v>
      </c>
      <c r="T6" s="189"/>
      <c r="U6" s="189"/>
      <c r="V6" s="190"/>
      <c r="W6" s="113" t="s">
        <v>1550</v>
      </c>
      <c r="X6" s="113"/>
      <c r="Y6" s="113"/>
      <c r="Z6" s="113" t="s">
        <v>1525</v>
      </c>
      <c r="AA6" s="193" t="s">
        <v>1551</v>
      </c>
      <c r="AB6" s="113" t="s">
        <v>308</v>
      </c>
      <c r="BA6" s="191"/>
      <c r="BB6" s="100"/>
      <c r="BC6" s="100"/>
      <c r="BD6" s="100"/>
      <c r="BE6" s="100"/>
      <c r="BF6" s="192" t="s">
        <v>1639</v>
      </c>
      <c r="BG6" s="192" t="s">
        <v>1640</v>
      </c>
      <c r="BH6" s="113" t="s">
        <v>1748</v>
      </c>
      <c r="BI6" s="113" t="s">
        <v>1749</v>
      </c>
      <c r="BJ6" s="118" t="s">
        <v>1750</v>
      </c>
      <c r="BK6" s="118" t="s">
        <v>1641</v>
      </c>
      <c r="BL6" s="118" t="s">
        <v>2209</v>
      </c>
      <c r="BM6" s="113" t="s">
        <v>1644</v>
      </c>
      <c r="BN6" s="191"/>
      <c r="BO6" s="191"/>
      <c r="BP6" s="191"/>
      <c r="BQ6" s="1203">
        <f>'产成品（商品）'!BQ6</f>
        <v>0</v>
      </c>
      <c r="BR6" s="1203">
        <f>'产成品（商品）'!BR6</f>
        <v>0</v>
      </c>
      <c r="BS6" s="1203">
        <f>'产成品（商品）'!BS6</f>
        <v>0</v>
      </c>
      <c r="BT6" s="1203">
        <f>'产成品（商品）'!BT6</f>
        <v>0</v>
      </c>
      <c r="BU6" s="1203">
        <f>'产成品（商品）'!BU6</f>
        <v>0</v>
      </c>
      <c r="BV6" s="1221">
        <f>SUM(BV8:BV27)</f>
        <v>0</v>
      </c>
      <c r="BW6" s="1203">
        <f>'产成品（商品）'!BW6</f>
        <v>0.25</v>
      </c>
      <c r="BX6" s="1221"/>
      <c r="BY6" s="191"/>
      <c r="BZ6" s="191"/>
      <c r="CA6" s="191"/>
      <c r="CB6" s="111"/>
      <c r="CC6" s="78"/>
      <c r="CD6" s="78"/>
      <c r="CE6" s="78"/>
      <c r="CF6" s="78"/>
      <c r="CG6" s="78"/>
      <c r="CH6" s="78"/>
      <c r="CI6" s="78"/>
      <c r="CJ6" s="111"/>
    </row>
    <row r="7" s="72" customFormat="1" ht="15" customHeight="1" spans="1:88">
      <c r="A7" s="195"/>
      <c r="B7" s="149"/>
      <c r="C7" s="149"/>
      <c r="D7" s="149"/>
      <c r="E7" s="1223"/>
      <c r="F7" s="1223"/>
      <c r="G7" s="1223"/>
      <c r="H7" s="519" t="s">
        <v>1968</v>
      </c>
      <c r="I7" s="519" t="s">
        <v>1969</v>
      </c>
      <c r="J7" s="519" t="s">
        <v>1970</v>
      </c>
      <c r="K7" s="519" t="s">
        <v>2177</v>
      </c>
      <c r="L7" s="149" t="s">
        <v>1637</v>
      </c>
      <c r="M7" s="149" t="s">
        <v>2178</v>
      </c>
      <c r="N7" s="1222" t="s">
        <v>271</v>
      </c>
      <c r="O7" s="1222" t="s">
        <v>2179</v>
      </c>
      <c r="P7" s="1205" t="s">
        <v>2180</v>
      </c>
      <c r="Q7" s="1205" t="s">
        <v>2181</v>
      </c>
      <c r="R7" s="1205" t="s">
        <v>2182</v>
      </c>
      <c r="S7" s="113" t="s">
        <v>1637</v>
      </c>
      <c r="T7" s="113" t="s">
        <v>2178</v>
      </c>
      <c r="U7" s="113" t="s">
        <v>271</v>
      </c>
      <c r="V7" s="113" t="s">
        <v>2179</v>
      </c>
      <c r="W7" s="113" t="s">
        <v>2183</v>
      </c>
      <c r="X7" s="113" t="s">
        <v>2184</v>
      </c>
      <c r="Y7" s="113" t="s">
        <v>271</v>
      </c>
      <c r="Z7" s="113"/>
      <c r="AA7" s="198"/>
      <c r="AB7" s="113"/>
      <c r="BA7" s="100" t="s">
        <v>1545</v>
      </c>
      <c r="BB7" s="100" t="s">
        <v>1635</v>
      </c>
      <c r="BC7" s="100" t="s">
        <v>1636</v>
      </c>
      <c r="BD7" s="100" t="s">
        <v>1637</v>
      </c>
      <c r="BE7" s="100" t="s">
        <v>1638</v>
      </c>
      <c r="BF7" s="197"/>
      <c r="BG7" s="197"/>
      <c r="BH7" s="113"/>
      <c r="BI7" s="113"/>
      <c r="BJ7" s="118"/>
      <c r="BK7" s="118"/>
      <c r="BL7" s="118"/>
      <c r="BM7" s="113"/>
      <c r="BN7" s="191" t="s">
        <v>2667</v>
      </c>
      <c r="BO7" s="191" t="s">
        <v>2666</v>
      </c>
      <c r="BP7" s="191" t="s">
        <v>2668</v>
      </c>
      <c r="BQ7" s="191" t="s">
        <v>2669</v>
      </c>
      <c r="BR7" s="191" t="s">
        <v>2670</v>
      </c>
      <c r="BS7" s="191" t="s">
        <v>2671</v>
      </c>
      <c r="BT7" s="191" t="str">
        <f>'产成品（商品）'!BT7</f>
        <v>研发费用</v>
      </c>
      <c r="BU7" s="191" t="str">
        <f>'产成品（商品）'!BU7</f>
        <v>财务费用</v>
      </c>
      <c r="BV7" s="191" t="s">
        <v>2674</v>
      </c>
      <c r="BW7" s="191" t="s">
        <v>2675</v>
      </c>
      <c r="BX7" s="191" t="s">
        <v>2676</v>
      </c>
      <c r="BY7" s="1230" t="s">
        <v>2677</v>
      </c>
      <c r="BZ7" s="191" t="s">
        <v>2678</v>
      </c>
      <c r="CA7" s="191" t="s">
        <v>1524</v>
      </c>
      <c r="CB7" s="119"/>
      <c r="CC7" s="120" t="s">
        <v>1645</v>
      </c>
      <c r="CD7" s="121" t="s">
        <v>1646</v>
      </c>
      <c r="CE7" s="121" t="s">
        <v>1647</v>
      </c>
      <c r="CF7" s="121" t="s">
        <v>1648</v>
      </c>
      <c r="CG7" s="121" t="s">
        <v>1647</v>
      </c>
      <c r="CH7" s="121" t="s">
        <v>1647</v>
      </c>
      <c r="CI7" s="121" t="s">
        <v>1649</v>
      </c>
      <c r="CJ7" s="122" t="s">
        <v>1650</v>
      </c>
    </row>
    <row r="8" s="1228" customFormat="1" ht="15" customHeight="1" spans="1:88">
      <c r="A8" s="123" t="str">
        <f>IF(B8="","",COUNT(A$7:A7)+1)</f>
        <v/>
      </c>
      <c r="B8" s="982"/>
      <c r="C8" s="982"/>
      <c r="D8" s="775" t="str">
        <f>IFERROR(VLOOKUP(B8&amp;C8,'产成品（商品）'!D$8:F$27,2,FALSE)&amp;"","")</f>
        <v/>
      </c>
      <c r="E8" s="1231"/>
      <c r="F8" s="1232" t="str">
        <f>IFERROR(E8*S8/100,"")</f>
        <v/>
      </c>
      <c r="G8" s="1224" t="str">
        <f>IFERROR(VLOOKUP(B8&amp;C8,'产成品（商品）'!D$8:F$27,3,FALSE)&amp;"","")</f>
        <v/>
      </c>
      <c r="H8" s="127"/>
      <c r="I8" s="127" t="str">
        <f>IFERROR(VLOOKUP(H8,参数表!$H$2:$I$50,2,FALSE),"")</f>
        <v/>
      </c>
      <c r="J8" s="128" t="str">
        <f>IFERROR(IF(OR(H8="人民币",H8=""),"",U8/I8),"")</f>
        <v/>
      </c>
      <c r="K8" s="128" t="str">
        <f>IFERROR(IF(OR(H8="人民币",H8=""),"",V8/I8),"")</f>
        <v/>
      </c>
      <c r="L8" s="353"/>
      <c r="M8" s="129"/>
      <c r="N8" s="129"/>
      <c r="O8" s="129"/>
      <c r="P8" s="130"/>
      <c r="Q8" s="130"/>
      <c r="R8" s="130"/>
      <c r="S8" s="353" t="str">
        <f>IF(B8="","",L8+P8)</f>
        <v/>
      </c>
      <c r="T8" s="129" t="str">
        <f>IFERROR(U8/S8,"")</f>
        <v/>
      </c>
      <c r="U8" s="1226" t="str">
        <f>IF(B8="","",N8+Q8)</f>
        <v/>
      </c>
      <c r="V8" s="1226" t="str">
        <f>IF(B8="","",O8+R8)</f>
        <v/>
      </c>
      <c r="W8" s="353" t="str">
        <f t="shared" ref="W8:W27" si="0">IF(B8="","",IF($BB$3="是",S8,""))</f>
        <v/>
      </c>
      <c r="X8" s="129" t="str">
        <f>IFERROR(Y8/W8,"")</f>
        <v/>
      </c>
      <c r="Y8" s="129" t="str">
        <f t="shared" ref="Y8:Y27" si="1">IF(B8="","",IF($BB$3="是",IF(BN8="成本法",U8,CA8),""))</f>
        <v/>
      </c>
      <c r="Z8" s="129" t="str">
        <f>IFERROR(Y8-(U8-V8),"")</f>
        <v/>
      </c>
      <c r="AA8" s="129" t="str">
        <f>IFERROR(Z8/(U8-V8)*100,"")</f>
        <v/>
      </c>
      <c r="AB8" s="131"/>
      <c r="BA8" s="78"/>
      <c r="BB8" s="132" t="s">
        <v>2705</v>
      </c>
      <c r="BD8" s="132" t="str">
        <f>IF(OR(B8="",BC8=""),"",COUNTIF(BC$8:BC8,"√"))</f>
        <v/>
      </c>
      <c r="BE8" s="134" t="str">
        <f t="shared" ref="BE8:BE27" si="2">IF(BC8="","",BB8&amp;"︱"&amp;B8&amp;"︱"&amp;TEXT(N8,"#,##0.00"))</f>
        <v/>
      </c>
      <c r="BF8" s="135" t="str">
        <f>IF($B8="","",IF(BF$5=0,"OK","出错"))</f>
        <v/>
      </c>
      <c r="BG8" s="135" t="str">
        <f>IF($B8="","",IF(BG$5=0,"OK","出错"))</f>
        <v/>
      </c>
      <c r="BH8" s="136"/>
      <c r="BI8" s="136"/>
      <c r="BJ8" s="136"/>
      <c r="BK8" s="136"/>
      <c r="BL8" s="137"/>
      <c r="BM8" s="137"/>
      <c r="BN8" s="1228" t="s">
        <v>2706</v>
      </c>
      <c r="BO8" s="187" t="str">
        <f t="shared" ref="BO8:BO27" si="3">G8</f>
        <v/>
      </c>
      <c r="BP8" s="187">
        <f t="shared" ref="BP8:BP27" si="4">IFERROR(F8*BO8,0)</f>
        <v>0</v>
      </c>
      <c r="BQ8" s="187">
        <f t="shared" ref="BQ8:BQ27" si="5">$BP8*BQ$6</f>
        <v>0</v>
      </c>
      <c r="BR8" s="187">
        <f t="shared" ref="BR8:BU18" si="6">$BP8*BR$6</f>
        <v>0</v>
      </c>
      <c r="BS8" s="187">
        <f t="shared" si="6"/>
        <v>0</v>
      </c>
      <c r="BT8" s="187">
        <f t="shared" si="6"/>
        <v>0</v>
      </c>
      <c r="BU8" s="187">
        <f t="shared" si="6"/>
        <v>0</v>
      </c>
      <c r="BV8" s="187">
        <f t="shared" ref="BV8:BV27" si="7">BP8-SUM(U8,BQ8:BU8)</f>
        <v>0</v>
      </c>
      <c r="BW8" s="187">
        <f>IF(BV$6&gt;0,BV8*BW$6,0)</f>
        <v>0</v>
      </c>
      <c r="BX8" s="187">
        <f>BV8-BW8</f>
        <v>0</v>
      </c>
      <c r="BY8" s="508"/>
      <c r="BZ8" s="187">
        <f>MAX(0,BX8)*BY8</f>
        <v>0</v>
      </c>
      <c r="CA8" s="187">
        <f t="shared" ref="CA8:CA27" si="8">IFERROR(ROUND(BO8*F8-BQ8-BR8-BW8-BZ8,2),0)</f>
        <v>0</v>
      </c>
      <c r="CB8" s="77"/>
      <c r="CC8" s="134" t="str">
        <f>IF(COUNTIF(CC$7:CC7,B8)&gt;0,"",B8)&amp;""</f>
        <v/>
      </c>
      <c r="CD8" s="138">
        <f>SUMIF(B$8:B$27,CC8,U$8:U$27)</f>
        <v>0</v>
      </c>
      <c r="CE8" s="132">
        <f t="shared" ref="CE8" si="9">RANK(CD8,CD$8:CD$27)</f>
        <v>1</v>
      </c>
      <c r="CF8" s="138">
        <f>SUMIF(B$8:B$27,CC8,Y$8:Y$27)</f>
        <v>0</v>
      </c>
      <c r="CG8" s="132">
        <f>RANK(CF8,CF$8:CF$27)</f>
        <v>1</v>
      </c>
      <c r="CH8" s="138">
        <f>SUM(CD8:CD27)</f>
        <v>0</v>
      </c>
      <c r="CI8" s="138"/>
      <c r="CJ8" s="138"/>
    </row>
    <row r="9" ht="15" customHeight="1" spans="1:88">
      <c r="A9" s="123" t="str">
        <f>IF(B9="","",COUNT(A$7:A8)+1)</f>
        <v/>
      </c>
      <c r="B9" s="139"/>
      <c r="C9" s="139"/>
      <c r="D9" s="126" t="str">
        <f>IFERROR(VLOOKUP(B9&amp;C9,'产成品（商品）'!D$8:F$27,2,FALSE)&amp;"","")</f>
        <v/>
      </c>
      <c r="E9" s="1233"/>
      <c r="F9" s="1232" t="str">
        <f t="shared" ref="F9:F27" si="10">IFERROR(E9*S9/100,"")</f>
        <v/>
      </c>
      <c r="G9" s="1224" t="str">
        <f>IFERROR(VLOOKUP(B9&amp;C9,'产成品（商品）'!D$8:F$27,3,FALSE)&amp;"","")</f>
        <v/>
      </c>
      <c r="H9" s="142"/>
      <c r="I9" s="127" t="str">
        <f>IFERROR(VLOOKUP(H9,参数表!$H$2:$I$50,2,FALSE),"")</f>
        <v/>
      </c>
      <c r="J9" s="128" t="str">
        <f>IFERROR(IF(OR(H9="人民币",H9=""),"",U9/I9),"")</f>
        <v/>
      </c>
      <c r="K9" s="128" t="str">
        <f>IFERROR(IF(OR(H9="人民币",H9=""),"",V9/I9),"")</f>
        <v/>
      </c>
      <c r="L9" s="980"/>
      <c r="M9" s="143" t="str">
        <f t="shared" ref="M9:M27" si="11">IF(L9=0,"",N9/L9)</f>
        <v/>
      </c>
      <c r="N9" s="143"/>
      <c r="O9" s="143"/>
      <c r="P9" s="144"/>
      <c r="Q9" s="144"/>
      <c r="R9" s="144"/>
      <c r="S9" s="353" t="str">
        <f t="shared" ref="S9:S27" si="12">IF(B9="","",L9+P9)</f>
        <v/>
      </c>
      <c r="T9" s="129" t="str">
        <f t="shared" ref="T9:T27" si="13">IFERROR(U9/S9,"")</f>
        <v/>
      </c>
      <c r="U9" s="1226" t="str">
        <f t="shared" ref="U9:U27" si="14">IF(B9="","",N9+Q9)</f>
        <v/>
      </c>
      <c r="V9" s="1226" t="str">
        <f t="shared" ref="V9:V27" si="15">IF(B9="","",O9+R9)</f>
        <v/>
      </c>
      <c r="W9" s="353" t="str">
        <f t="shared" si="0"/>
        <v/>
      </c>
      <c r="X9" s="129" t="str">
        <f t="shared" ref="X9:X27" si="16">IFERROR(Y9/W9,"")</f>
        <v/>
      </c>
      <c r="Y9" s="129" t="str">
        <f t="shared" si="1"/>
        <v/>
      </c>
      <c r="Z9" s="129" t="str">
        <f t="shared" ref="Z9:Z30" si="17">IFERROR(Y9-(U9-V9),"")</f>
        <v/>
      </c>
      <c r="AA9" s="129" t="str">
        <f t="shared" ref="AA9:AA30" si="18">IFERROR(Z9/(U9-V9)*100,"")</f>
        <v/>
      </c>
      <c r="AB9" s="145"/>
      <c r="BA9" s="78"/>
      <c r="BB9" s="132" t="s">
        <v>2707</v>
      </c>
      <c r="BD9" s="132" t="str">
        <f>IF(OR(B9="",BC9=""),"",COUNTIF(BC$8:BC9,"√"))</f>
        <v/>
      </c>
      <c r="BE9" s="134" t="str">
        <f t="shared" si="2"/>
        <v/>
      </c>
      <c r="BF9" s="135" t="str">
        <f t="shared" ref="BF9:BG27" si="19">IF($B9="","",IF(BF$5=0,"OK","出错"))</f>
        <v/>
      </c>
      <c r="BG9" s="135" t="str">
        <f t="shared" si="19"/>
        <v/>
      </c>
      <c r="BH9" s="136"/>
      <c r="BI9" s="136"/>
      <c r="BJ9" s="136"/>
      <c r="BK9" s="136"/>
      <c r="BL9" s="137"/>
      <c r="BM9" s="137"/>
      <c r="BN9" s="1228" t="s">
        <v>2706</v>
      </c>
      <c r="BO9" s="187" t="str">
        <f t="shared" si="3"/>
        <v/>
      </c>
      <c r="BP9" s="187">
        <f t="shared" si="4"/>
        <v>0</v>
      </c>
      <c r="BQ9" s="187">
        <f t="shared" si="5"/>
        <v>0</v>
      </c>
      <c r="BR9" s="187">
        <f t="shared" si="6"/>
        <v>0</v>
      </c>
      <c r="BS9" s="187">
        <f t="shared" si="6"/>
        <v>0</v>
      </c>
      <c r="BT9" s="187">
        <f t="shared" si="6"/>
        <v>0</v>
      </c>
      <c r="BU9" s="187">
        <f t="shared" si="6"/>
        <v>0</v>
      </c>
      <c r="BV9" s="187">
        <f t="shared" si="7"/>
        <v>0</v>
      </c>
      <c r="BW9" s="187">
        <f t="shared" ref="BW9:BW27" si="20">IF(BV$6&gt;0,BV9*BW$6,0)</f>
        <v>0</v>
      </c>
      <c r="BX9" s="187">
        <f t="shared" ref="BX9:BX27" si="21">BV9-BW9</f>
        <v>0</v>
      </c>
      <c r="BY9" s="508"/>
      <c r="BZ9" s="187">
        <f t="shared" ref="BZ9:BZ27" si="22">MAX(0,BX9)*BY9</f>
        <v>0</v>
      </c>
      <c r="CA9" s="187">
        <f t="shared" si="8"/>
        <v>0</v>
      </c>
      <c r="CC9" s="134" t="str">
        <f>IF(COUNTIF(CC$7:CC8,B9)&gt;0,"",B9)&amp;""</f>
        <v/>
      </c>
      <c r="CD9" s="138">
        <f t="shared" ref="CD9:CD27" si="23">SUMIF(B$8:B$27,CC9,U$8:U$27)</f>
        <v>0</v>
      </c>
      <c r="CE9" s="132">
        <f t="shared" ref="CE9:CE27" si="24">RANK(CD9,CD$8:CD$27)</f>
        <v>1</v>
      </c>
      <c r="CF9" s="138">
        <f t="shared" ref="CF9:CF27" si="25">SUMIF(B$8:B$27,CC9,Y$8:Y$27)</f>
        <v>0</v>
      </c>
      <c r="CG9" s="132">
        <f t="shared" ref="CG9:CG27" si="26">RANK(CF9,CF$8:CF$27)</f>
        <v>1</v>
      </c>
      <c r="CH9" s="138">
        <f>SUM(CF8:CF27)</f>
        <v>0</v>
      </c>
      <c r="CI9" s="138"/>
      <c r="CJ9" s="138"/>
    </row>
    <row r="10" ht="15" customHeight="1" spans="1:88">
      <c r="A10" s="123" t="str">
        <f>IF(B10="","",COUNT(A$7:A9)+1)</f>
        <v/>
      </c>
      <c r="B10" s="139"/>
      <c r="C10" s="139"/>
      <c r="D10" s="126" t="str">
        <f>IFERROR(VLOOKUP(B10&amp;C10,'产成品（商品）'!D$8:F$27,2,FALSE)&amp;"","")</f>
        <v/>
      </c>
      <c r="E10" s="1233"/>
      <c r="F10" s="1232" t="str">
        <f t="shared" si="10"/>
        <v/>
      </c>
      <c r="G10" s="1224" t="str">
        <f>IFERROR(VLOOKUP(B10&amp;C10,'产成品（商品）'!D$8:F$27,3,FALSE)&amp;"","")</f>
        <v/>
      </c>
      <c r="H10" s="142"/>
      <c r="I10" s="127" t="str">
        <f>IFERROR(VLOOKUP(H10,参数表!$H$2:$I$50,2,FALSE),"")</f>
        <v/>
      </c>
      <c r="J10" s="128" t="str">
        <f t="shared" ref="J10:J27" si="27">IFERROR(IF(OR(H10="人民币",H10=""),"",U10/I10),"")</f>
        <v/>
      </c>
      <c r="K10" s="128" t="str">
        <f t="shared" ref="K10:K27" si="28">IFERROR(IF(OR(H10="人民币",H10=""),"",V10/I10),"")</f>
        <v/>
      </c>
      <c r="L10" s="980"/>
      <c r="M10" s="143" t="str">
        <f t="shared" si="11"/>
        <v/>
      </c>
      <c r="N10" s="143"/>
      <c r="O10" s="143"/>
      <c r="P10" s="144"/>
      <c r="Q10" s="144"/>
      <c r="R10" s="144"/>
      <c r="S10" s="353" t="str">
        <f t="shared" si="12"/>
        <v/>
      </c>
      <c r="T10" s="129" t="str">
        <f t="shared" si="13"/>
        <v/>
      </c>
      <c r="U10" s="1226" t="str">
        <f t="shared" si="14"/>
        <v/>
      </c>
      <c r="V10" s="1226" t="str">
        <f t="shared" si="15"/>
        <v/>
      </c>
      <c r="W10" s="353" t="str">
        <f t="shared" si="0"/>
        <v/>
      </c>
      <c r="X10" s="129" t="str">
        <f t="shared" si="16"/>
        <v/>
      </c>
      <c r="Y10" s="129" t="str">
        <f t="shared" si="1"/>
        <v/>
      </c>
      <c r="Z10" s="129" t="str">
        <f t="shared" si="17"/>
        <v/>
      </c>
      <c r="AA10" s="129" t="str">
        <f t="shared" si="18"/>
        <v/>
      </c>
      <c r="AB10" s="145"/>
      <c r="BA10" s="78"/>
      <c r="BB10" s="132" t="s">
        <v>2708</v>
      </c>
      <c r="BD10" s="132" t="str">
        <f>IF(OR(B10="",BC10=""),"",COUNTIF(BC$8:BC10,"√"))</f>
        <v/>
      </c>
      <c r="BE10" s="134" t="str">
        <f t="shared" si="2"/>
        <v/>
      </c>
      <c r="BF10" s="135" t="str">
        <f t="shared" si="19"/>
        <v/>
      </c>
      <c r="BG10" s="135" t="str">
        <f t="shared" si="19"/>
        <v/>
      </c>
      <c r="BH10" s="136"/>
      <c r="BI10" s="136"/>
      <c r="BJ10" s="136"/>
      <c r="BK10" s="136"/>
      <c r="BL10" s="137"/>
      <c r="BM10" s="137"/>
      <c r="BN10" s="1228" t="s">
        <v>2706</v>
      </c>
      <c r="BO10" s="187" t="str">
        <f t="shared" si="3"/>
        <v/>
      </c>
      <c r="BP10" s="187">
        <f t="shared" si="4"/>
        <v>0</v>
      </c>
      <c r="BQ10" s="187">
        <f t="shared" si="5"/>
        <v>0</v>
      </c>
      <c r="BR10" s="187">
        <f t="shared" si="6"/>
        <v>0</v>
      </c>
      <c r="BS10" s="187">
        <f t="shared" si="6"/>
        <v>0</v>
      </c>
      <c r="BT10" s="187">
        <f t="shared" si="6"/>
        <v>0</v>
      </c>
      <c r="BU10" s="187">
        <f t="shared" si="6"/>
        <v>0</v>
      </c>
      <c r="BV10" s="187">
        <f t="shared" si="7"/>
        <v>0</v>
      </c>
      <c r="BW10" s="187">
        <f t="shared" si="20"/>
        <v>0</v>
      </c>
      <c r="BX10" s="187">
        <f t="shared" si="21"/>
        <v>0</v>
      </c>
      <c r="BY10" s="508"/>
      <c r="BZ10" s="187">
        <f t="shared" si="22"/>
        <v>0</v>
      </c>
      <c r="CA10" s="187">
        <f t="shared" si="8"/>
        <v>0</v>
      </c>
      <c r="CC10" s="134" t="str">
        <f>IF(COUNTIF(CC$7:CC9,B10)&gt;0,"",B10)&amp;""</f>
        <v/>
      </c>
      <c r="CD10" s="138">
        <f t="shared" si="23"/>
        <v>0</v>
      </c>
      <c r="CE10" s="132">
        <f t="shared" si="24"/>
        <v>1</v>
      </c>
      <c r="CF10" s="138">
        <f t="shared" si="25"/>
        <v>0</v>
      </c>
      <c r="CG10" s="132">
        <f t="shared" si="26"/>
        <v>1</v>
      </c>
      <c r="CH10" s="132">
        <v>1</v>
      </c>
      <c r="CI10" s="134" t="str">
        <f>IFERROR(INDEX(CC$8:CC$27,MATCH(CH10,IF(CH$8=0,CG$8:CG$27,CE$8:CE$27),0))&amp;"","")</f>
        <v/>
      </c>
      <c r="CJ10" s="146" t="str">
        <f>IF(CI11="","",IF(CI12="","和","、"))</f>
        <v/>
      </c>
    </row>
    <row r="11" ht="15" customHeight="1" spans="1:88">
      <c r="A11" s="123" t="str">
        <f>IF(B11="","",COUNT(A$7:A10)+1)</f>
        <v/>
      </c>
      <c r="B11" s="139"/>
      <c r="C11" s="139"/>
      <c r="D11" s="126" t="str">
        <f>IFERROR(VLOOKUP(B11&amp;C11,'产成品（商品）'!D$8:F$27,2,FALSE)&amp;"","")</f>
        <v/>
      </c>
      <c r="E11" s="1233"/>
      <c r="F11" s="1232" t="str">
        <f t="shared" si="10"/>
        <v/>
      </c>
      <c r="G11" s="1224" t="str">
        <f>IFERROR(VLOOKUP(B11&amp;C11,'产成品（商品）'!D$8:F$27,3,FALSE)&amp;"","")</f>
        <v/>
      </c>
      <c r="H11" s="142"/>
      <c r="I11" s="127" t="str">
        <f>IFERROR(VLOOKUP(H11,参数表!$H$2:$I$50,2,FALSE),"")</f>
        <v/>
      </c>
      <c r="J11" s="128" t="str">
        <f t="shared" si="27"/>
        <v/>
      </c>
      <c r="K11" s="128" t="str">
        <f t="shared" si="28"/>
        <v/>
      </c>
      <c r="L11" s="980"/>
      <c r="M11" s="143" t="str">
        <f t="shared" si="11"/>
        <v/>
      </c>
      <c r="N11" s="143"/>
      <c r="O11" s="143"/>
      <c r="P11" s="144"/>
      <c r="Q11" s="144"/>
      <c r="R11" s="144"/>
      <c r="S11" s="353" t="str">
        <f t="shared" si="12"/>
        <v/>
      </c>
      <c r="T11" s="129" t="str">
        <f t="shared" si="13"/>
        <v/>
      </c>
      <c r="U11" s="1226" t="str">
        <f t="shared" si="14"/>
        <v/>
      </c>
      <c r="V11" s="1226" t="str">
        <f t="shared" si="15"/>
        <v/>
      </c>
      <c r="W11" s="353" t="str">
        <f t="shared" si="0"/>
        <v/>
      </c>
      <c r="X11" s="129" t="str">
        <f t="shared" si="16"/>
        <v/>
      </c>
      <c r="Y11" s="129" t="str">
        <f t="shared" si="1"/>
        <v/>
      </c>
      <c r="Z11" s="129" t="str">
        <f t="shared" si="17"/>
        <v/>
      </c>
      <c r="AA11" s="129" t="str">
        <f t="shared" si="18"/>
        <v/>
      </c>
      <c r="AB11" s="145"/>
      <c r="BA11" s="78"/>
      <c r="BB11" s="132" t="s">
        <v>2709</v>
      </c>
      <c r="BD11" s="132" t="str">
        <f>IF(OR(B11="",BC11=""),"",COUNTIF(BC$8:BC11,"√"))</f>
        <v/>
      </c>
      <c r="BE11" s="134" t="str">
        <f t="shared" si="2"/>
        <v/>
      </c>
      <c r="BF11" s="135" t="str">
        <f t="shared" si="19"/>
        <v/>
      </c>
      <c r="BG11" s="135" t="str">
        <f t="shared" si="19"/>
        <v/>
      </c>
      <c r="BH11" s="136"/>
      <c r="BI11" s="136"/>
      <c r="BJ11" s="136"/>
      <c r="BK11" s="136"/>
      <c r="BL11" s="137"/>
      <c r="BM11" s="137"/>
      <c r="BN11" s="1228" t="s">
        <v>2706</v>
      </c>
      <c r="BO11" s="187" t="str">
        <f t="shared" si="3"/>
        <v/>
      </c>
      <c r="BP11" s="187">
        <f t="shared" si="4"/>
        <v>0</v>
      </c>
      <c r="BQ11" s="187">
        <f t="shared" si="5"/>
        <v>0</v>
      </c>
      <c r="BR11" s="187">
        <f t="shared" si="6"/>
        <v>0</v>
      </c>
      <c r="BS11" s="187">
        <f t="shared" si="6"/>
        <v>0</v>
      </c>
      <c r="BT11" s="187">
        <f t="shared" si="6"/>
        <v>0</v>
      </c>
      <c r="BU11" s="187">
        <f t="shared" si="6"/>
        <v>0</v>
      </c>
      <c r="BV11" s="187">
        <f t="shared" si="7"/>
        <v>0</v>
      </c>
      <c r="BW11" s="187">
        <f t="shared" si="20"/>
        <v>0</v>
      </c>
      <c r="BX11" s="187">
        <f t="shared" si="21"/>
        <v>0</v>
      </c>
      <c r="BY11" s="508"/>
      <c r="BZ11" s="187">
        <f t="shared" si="22"/>
        <v>0</v>
      </c>
      <c r="CA11" s="187">
        <f t="shared" si="8"/>
        <v>0</v>
      </c>
      <c r="CC11" s="134" t="str">
        <f>IF(COUNTIF(CC$7:CC10,B11)&gt;0,"",B11)&amp;""</f>
        <v/>
      </c>
      <c r="CD11" s="138">
        <f t="shared" si="23"/>
        <v>0</v>
      </c>
      <c r="CE11" s="132">
        <f t="shared" si="24"/>
        <v>1</v>
      </c>
      <c r="CF11" s="138">
        <f t="shared" si="25"/>
        <v>0</v>
      </c>
      <c r="CG11" s="132">
        <f t="shared" si="26"/>
        <v>1</v>
      </c>
      <c r="CH11" s="132">
        <v>2</v>
      </c>
      <c r="CI11" s="134" t="str">
        <f t="shared" ref="CI11:CI14" si="29">IFERROR(INDEX(CC$8:CC$27,MATCH(CH11,IF(CH$8=0,CG$8:CG$27,CE$8:CE$27),0))&amp;"","")</f>
        <v/>
      </c>
      <c r="CJ11" s="146" t="str">
        <f t="shared" ref="CJ11:CJ12" si="30">IF(CI12="","",IF(CI13="","和","、"))</f>
        <v/>
      </c>
    </row>
    <row r="12" ht="15" customHeight="1" spans="1:88">
      <c r="A12" s="123" t="str">
        <f>IF(B12="","",COUNT(A$7:A11)+1)</f>
        <v/>
      </c>
      <c r="B12" s="139"/>
      <c r="C12" s="139"/>
      <c r="D12" s="126" t="str">
        <f>IFERROR(VLOOKUP(B12&amp;C12,'产成品（商品）'!D$8:F$27,2,FALSE)&amp;"","")</f>
        <v/>
      </c>
      <c r="E12" s="1233"/>
      <c r="F12" s="1232" t="str">
        <f t="shared" si="10"/>
        <v/>
      </c>
      <c r="G12" s="1224" t="str">
        <f>IFERROR(VLOOKUP(B12&amp;C12,'产成品（商品）'!D$8:F$27,3,FALSE)&amp;"","")</f>
        <v/>
      </c>
      <c r="H12" s="142"/>
      <c r="I12" s="127" t="str">
        <f>IFERROR(VLOOKUP(H12,参数表!$H$2:$I$50,2,FALSE),"")</f>
        <v/>
      </c>
      <c r="J12" s="128" t="str">
        <f t="shared" si="27"/>
        <v/>
      </c>
      <c r="K12" s="128" t="str">
        <f t="shared" si="28"/>
        <v/>
      </c>
      <c r="L12" s="980"/>
      <c r="M12" s="143" t="str">
        <f t="shared" si="11"/>
        <v/>
      </c>
      <c r="N12" s="143"/>
      <c r="O12" s="143"/>
      <c r="P12" s="144"/>
      <c r="Q12" s="144"/>
      <c r="R12" s="144"/>
      <c r="S12" s="353" t="str">
        <f t="shared" si="12"/>
        <v/>
      </c>
      <c r="T12" s="129" t="str">
        <f t="shared" si="13"/>
        <v/>
      </c>
      <c r="U12" s="1226" t="str">
        <f t="shared" si="14"/>
        <v/>
      </c>
      <c r="V12" s="1226" t="str">
        <f t="shared" si="15"/>
        <v/>
      </c>
      <c r="W12" s="353" t="str">
        <f t="shared" si="0"/>
        <v/>
      </c>
      <c r="X12" s="129" t="str">
        <f t="shared" si="16"/>
        <v/>
      </c>
      <c r="Y12" s="129" t="str">
        <f t="shared" si="1"/>
        <v/>
      </c>
      <c r="Z12" s="129" t="str">
        <f t="shared" si="17"/>
        <v/>
      </c>
      <c r="AA12" s="129" t="str">
        <f t="shared" si="18"/>
        <v/>
      </c>
      <c r="AB12" s="145"/>
      <c r="BA12" s="78"/>
      <c r="BB12" s="132" t="s">
        <v>2710</v>
      </c>
      <c r="BD12" s="132" t="str">
        <f>IF(OR(B12="",BC12=""),"",COUNTIF(BC$8:BC12,"√"))</f>
        <v/>
      </c>
      <c r="BE12" s="134" t="str">
        <f t="shared" si="2"/>
        <v/>
      </c>
      <c r="BF12" s="135" t="str">
        <f t="shared" si="19"/>
        <v/>
      </c>
      <c r="BG12" s="135" t="str">
        <f t="shared" si="19"/>
        <v/>
      </c>
      <c r="BH12" s="136"/>
      <c r="BI12" s="136"/>
      <c r="BJ12" s="136"/>
      <c r="BK12" s="136"/>
      <c r="BL12" s="137"/>
      <c r="BM12" s="137"/>
      <c r="BN12" s="1228" t="s">
        <v>2706</v>
      </c>
      <c r="BO12" s="187" t="str">
        <f t="shared" si="3"/>
        <v/>
      </c>
      <c r="BP12" s="187">
        <f t="shared" si="4"/>
        <v>0</v>
      </c>
      <c r="BQ12" s="187">
        <f t="shared" si="5"/>
        <v>0</v>
      </c>
      <c r="BR12" s="187">
        <f t="shared" si="6"/>
        <v>0</v>
      </c>
      <c r="BS12" s="187">
        <f t="shared" si="6"/>
        <v>0</v>
      </c>
      <c r="BT12" s="187">
        <f t="shared" si="6"/>
        <v>0</v>
      </c>
      <c r="BU12" s="187">
        <f t="shared" si="6"/>
        <v>0</v>
      </c>
      <c r="BV12" s="187">
        <f t="shared" si="7"/>
        <v>0</v>
      </c>
      <c r="BW12" s="187">
        <f t="shared" si="20"/>
        <v>0</v>
      </c>
      <c r="BX12" s="187">
        <f t="shared" si="21"/>
        <v>0</v>
      </c>
      <c r="BY12" s="508"/>
      <c r="BZ12" s="187">
        <f t="shared" si="22"/>
        <v>0</v>
      </c>
      <c r="CA12" s="187">
        <f t="shared" si="8"/>
        <v>0</v>
      </c>
      <c r="CC12" s="134" t="str">
        <f>IF(COUNTIF(CC$7:CC11,B12)&gt;0,"",B12)&amp;""</f>
        <v/>
      </c>
      <c r="CD12" s="138">
        <f t="shared" si="23"/>
        <v>0</v>
      </c>
      <c r="CE12" s="132">
        <f t="shared" si="24"/>
        <v>1</v>
      </c>
      <c r="CF12" s="138">
        <f t="shared" si="25"/>
        <v>0</v>
      </c>
      <c r="CG12" s="132">
        <f t="shared" si="26"/>
        <v>1</v>
      </c>
      <c r="CH12" s="132">
        <v>3</v>
      </c>
      <c r="CI12" s="134" t="str">
        <f t="shared" si="29"/>
        <v/>
      </c>
      <c r="CJ12" s="146" t="str">
        <f t="shared" si="30"/>
        <v/>
      </c>
    </row>
    <row r="13" ht="15" customHeight="1" spans="1:88">
      <c r="A13" s="123" t="str">
        <f>IF(B13="","",COUNT(A$7:A12)+1)</f>
        <v/>
      </c>
      <c r="B13" s="139"/>
      <c r="C13" s="139"/>
      <c r="D13" s="126" t="str">
        <f>IFERROR(VLOOKUP(B13&amp;C13,'产成品（商品）'!D$8:F$27,2,FALSE)&amp;"","")</f>
        <v/>
      </c>
      <c r="E13" s="1233"/>
      <c r="F13" s="1232" t="str">
        <f t="shared" si="10"/>
        <v/>
      </c>
      <c r="G13" s="1224" t="str">
        <f>IFERROR(VLOOKUP(B13&amp;C13,'产成品（商品）'!D$8:F$27,3,FALSE)&amp;"","")</f>
        <v/>
      </c>
      <c r="H13" s="142"/>
      <c r="I13" s="127" t="str">
        <f>IFERROR(VLOOKUP(H13,参数表!$H$2:$I$50,2,FALSE),"")</f>
        <v/>
      </c>
      <c r="J13" s="128" t="str">
        <f t="shared" si="27"/>
        <v/>
      </c>
      <c r="K13" s="128" t="str">
        <f t="shared" si="28"/>
        <v/>
      </c>
      <c r="L13" s="980"/>
      <c r="M13" s="143" t="str">
        <f t="shared" si="11"/>
        <v/>
      </c>
      <c r="N13" s="143"/>
      <c r="O13" s="143"/>
      <c r="P13" s="144"/>
      <c r="Q13" s="144"/>
      <c r="R13" s="144"/>
      <c r="S13" s="353" t="str">
        <f t="shared" si="12"/>
        <v/>
      </c>
      <c r="T13" s="129" t="str">
        <f t="shared" si="13"/>
        <v/>
      </c>
      <c r="U13" s="1226" t="str">
        <f t="shared" si="14"/>
        <v/>
      </c>
      <c r="V13" s="1226" t="str">
        <f t="shared" si="15"/>
        <v/>
      </c>
      <c r="W13" s="353" t="str">
        <f t="shared" si="0"/>
        <v/>
      </c>
      <c r="X13" s="129" t="str">
        <f t="shared" si="16"/>
        <v/>
      </c>
      <c r="Y13" s="129" t="str">
        <f t="shared" si="1"/>
        <v/>
      </c>
      <c r="Z13" s="129" t="str">
        <f t="shared" si="17"/>
        <v/>
      </c>
      <c r="AA13" s="129" t="str">
        <f t="shared" si="18"/>
        <v/>
      </c>
      <c r="AB13" s="145"/>
      <c r="BA13" s="78"/>
      <c r="BB13" s="132" t="s">
        <v>2711</v>
      </c>
      <c r="BD13" s="132" t="str">
        <f>IF(OR(B13="",BC13=""),"",COUNTIF(BC$8:BC13,"√"))</f>
        <v/>
      </c>
      <c r="BE13" s="134" t="str">
        <f t="shared" si="2"/>
        <v/>
      </c>
      <c r="BF13" s="135" t="str">
        <f t="shared" si="19"/>
        <v/>
      </c>
      <c r="BG13" s="135" t="str">
        <f t="shared" si="19"/>
        <v/>
      </c>
      <c r="BH13" s="136"/>
      <c r="BI13" s="136"/>
      <c r="BJ13" s="136"/>
      <c r="BK13" s="136"/>
      <c r="BL13" s="137"/>
      <c r="BM13" s="137"/>
      <c r="BN13" s="1228" t="s">
        <v>2706</v>
      </c>
      <c r="BO13" s="187" t="str">
        <f t="shared" si="3"/>
        <v/>
      </c>
      <c r="BP13" s="187">
        <f t="shared" si="4"/>
        <v>0</v>
      </c>
      <c r="BQ13" s="187">
        <f t="shared" si="5"/>
        <v>0</v>
      </c>
      <c r="BR13" s="187">
        <f t="shared" si="6"/>
        <v>0</v>
      </c>
      <c r="BS13" s="187">
        <f t="shared" si="6"/>
        <v>0</v>
      </c>
      <c r="BT13" s="187">
        <f t="shared" si="6"/>
        <v>0</v>
      </c>
      <c r="BU13" s="187">
        <f t="shared" si="6"/>
        <v>0</v>
      </c>
      <c r="BV13" s="187">
        <f t="shared" si="7"/>
        <v>0</v>
      </c>
      <c r="BW13" s="187">
        <f t="shared" si="20"/>
        <v>0</v>
      </c>
      <c r="BX13" s="187">
        <f t="shared" si="21"/>
        <v>0</v>
      </c>
      <c r="BY13" s="508"/>
      <c r="BZ13" s="187">
        <f t="shared" si="22"/>
        <v>0</v>
      </c>
      <c r="CA13" s="187">
        <f t="shared" si="8"/>
        <v>0</v>
      </c>
      <c r="CC13" s="134" t="str">
        <f>IF(COUNTIF(CC$7:CC12,B13)&gt;0,"",B13)&amp;""</f>
        <v/>
      </c>
      <c r="CD13" s="138">
        <f t="shared" si="23"/>
        <v>0</v>
      </c>
      <c r="CE13" s="132">
        <f t="shared" si="24"/>
        <v>1</v>
      </c>
      <c r="CF13" s="138">
        <f t="shared" si="25"/>
        <v>0</v>
      </c>
      <c r="CG13" s="132">
        <f t="shared" si="26"/>
        <v>1</v>
      </c>
      <c r="CH13" s="132">
        <v>4</v>
      </c>
      <c r="CI13" s="134" t="str">
        <f t="shared" si="29"/>
        <v/>
      </c>
      <c r="CJ13" s="146" t="str">
        <f>IF(CI14="","","和")</f>
        <v/>
      </c>
    </row>
    <row r="14" ht="15" customHeight="1" spans="1:88">
      <c r="A14" s="123" t="str">
        <f>IF(B14="","",COUNT(A$7:A13)+1)</f>
        <v/>
      </c>
      <c r="B14" s="139"/>
      <c r="C14" s="139"/>
      <c r="D14" s="126" t="str">
        <f>IFERROR(VLOOKUP(B14&amp;C14,'产成品（商品）'!D$8:F$27,2,FALSE)&amp;"","")</f>
        <v/>
      </c>
      <c r="E14" s="1233"/>
      <c r="F14" s="1232" t="str">
        <f t="shared" si="10"/>
        <v/>
      </c>
      <c r="G14" s="1224" t="str">
        <f>IFERROR(VLOOKUP(B14&amp;C14,'产成品（商品）'!D$8:F$27,3,FALSE)&amp;"","")</f>
        <v/>
      </c>
      <c r="H14" s="142"/>
      <c r="I14" s="127" t="str">
        <f>IFERROR(VLOOKUP(H14,参数表!$H$2:$I$50,2,FALSE),"")</f>
        <v/>
      </c>
      <c r="J14" s="128" t="str">
        <f t="shared" si="27"/>
        <v/>
      </c>
      <c r="K14" s="128" t="str">
        <f t="shared" si="28"/>
        <v/>
      </c>
      <c r="L14" s="980"/>
      <c r="M14" s="143" t="str">
        <f t="shared" si="11"/>
        <v/>
      </c>
      <c r="N14" s="143"/>
      <c r="O14" s="143"/>
      <c r="P14" s="144"/>
      <c r="Q14" s="144"/>
      <c r="R14" s="144"/>
      <c r="S14" s="353" t="str">
        <f t="shared" si="12"/>
        <v/>
      </c>
      <c r="T14" s="129" t="str">
        <f t="shared" si="13"/>
        <v/>
      </c>
      <c r="U14" s="1226" t="str">
        <f t="shared" si="14"/>
        <v/>
      </c>
      <c r="V14" s="1226" t="str">
        <f t="shared" si="15"/>
        <v/>
      </c>
      <c r="W14" s="353" t="str">
        <f t="shared" si="0"/>
        <v/>
      </c>
      <c r="X14" s="129" t="str">
        <f t="shared" si="16"/>
        <v/>
      </c>
      <c r="Y14" s="129" t="str">
        <f t="shared" si="1"/>
        <v/>
      </c>
      <c r="Z14" s="129" t="str">
        <f t="shared" si="17"/>
        <v/>
      </c>
      <c r="AA14" s="129" t="str">
        <f t="shared" si="18"/>
        <v/>
      </c>
      <c r="AB14" s="145"/>
      <c r="BA14" s="78"/>
      <c r="BB14" s="132" t="s">
        <v>2712</v>
      </c>
      <c r="BD14" s="132" t="str">
        <f>IF(OR(B14="",BC14=""),"",COUNTIF(BC$8:BC14,"√"))</f>
        <v/>
      </c>
      <c r="BE14" s="134" t="str">
        <f t="shared" si="2"/>
        <v/>
      </c>
      <c r="BF14" s="135" t="str">
        <f t="shared" si="19"/>
        <v/>
      </c>
      <c r="BG14" s="135" t="str">
        <f t="shared" si="19"/>
        <v/>
      </c>
      <c r="BH14" s="136"/>
      <c r="BI14" s="136"/>
      <c r="BJ14" s="136"/>
      <c r="BK14" s="136"/>
      <c r="BL14" s="137"/>
      <c r="BM14" s="137"/>
      <c r="BN14" s="1228" t="s">
        <v>2706</v>
      </c>
      <c r="BO14" s="187" t="str">
        <f t="shared" si="3"/>
        <v/>
      </c>
      <c r="BP14" s="187">
        <f t="shared" si="4"/>
        <v>0</v>
      </c>
      <c r="BQ14" s="187">
        <f t="shared" si="5"/>
        <v>0</v>
      </c>
      <c r="BR14" s="187">
        <f t="shared" si="6"/>
        <v>0</v>
      </c>
      <c r="BS14" s="187">
        <f t="shared" si="6"/>
        <v>0</v>
      </c>
      <c r="BT14" s="187">
        <f t="shared" si="6"/>
        <v>0</v>
      </c>
      <c r="BU14" s="187">
        <f t="shared" si="6"/>
        <v>0</v>
      </c>
      <c r="BV14" s="187">
        <f t="shared" si="7"/>
        <v>0</v>
      </c>
      <c r="BW14" s="187">
        <f t="shared" si="20"/>
        <v>0</v>
      </c>
      <c r="BX14" s="187">
        <f t="shared" si="21"/>
        <v>0</v>
      </c>
      <c r="BY14" s="508"/>
      <c r="BZ14" s="187">
        <f t="shared" si="22"/>
        <v>0</v>
      </c>
      <c r="CA14" s="187">
        <f t="shared" si="8"/>
        <v>0</v>
      </c>
      <c r="CC14" s="134" t="str">
        <f>IF(COUNTIF(CC$7:CC13,B14)&gt;0,"",B14)&amp;""</f>
        <v/>
      </c>
      <c r="CD14" s="138">
        <f t="shared" si="23"/>
        <v>0</v>
      </c>
      <c r="CE14" s="132">
        <f t="shared" si="24"/>
        <v>1</v>
      </c>
      <c r="CF14" s="138">
        <f t="shared" si="25"/>
        <v>0</v>
      </c>
      <c r="CG14" s="132">
        <f t="shared" si="26"/>
        <v>1</v>
      </c>
      <c r="CH14" s="132">
        <v>5</v>
      </c>
      <c r="CI14" s="134" t="str">
        <f t="shared" si="29"/>
        <v/>
      </c>
      <c r="CJ14" s="146"/>
    </row>
    <row r="15" ht="15" customHeight="1" spans="1:88">
      <c r="A15" s="123" t="str">
        <f>IF(B15="","",COUNT(A$7:A14)+1)</f>
        <v/>
      </c>
      <c r="B15" s="139"/>
      <c r="C15" s="139"/>
      <c r="D15" s="126" t="str">
        <f>IFERROR(VLOOKUP(B15&amp;C15,'产成品（商品）'!D$8:F$27,2,FALSE)&amp;"","")</f>
        <v/>
      </c>
      <c r="E15" s="1233"/>
      <c r="F15" s="1232" t="str">
        <f t="shared" si="10"/>
        <v/>
      </c>
      <c r="G15" s="1224" t="str">
        <f>IFERROR(VLOOKUP(B15&amp;C15,'产成品（商品）'!D$8:F$27,3,FALSE)&amp;"","")</f>
        <v/>
      </c>
      <c r="H15" s="142"/>
      <c r="I15" s="127" t="str">
        <f>IFERROR(VLOOKUP(H15,参数表!$H$2:$I$50,2,FALSE),"")</f>
        <v/>
      </c>
      <c r="J15" s="128" t="str">
        <f t="shared" si="27"/>
        <v/>
      </c>
      <c r="K15" s="128" t="str">
        <f t="shared" si="28"/>
        <v/>
      </c>
      <c r="L15" s="980"/>
      <c r="M15" s="143" t="str">
        <f t="shared" si="11"/>
        <v/>
      </c>
      <c r="N15" s="143"/>
      <c r="O15" s="143"/>
      <c r="P15" s="144"/>
      <c r="Q15" s="144"/>
      <c r="R15" s="144"/>
      <c r="S15" s="353" t="str">
        <f t="shared" si="12"/>
        <v/>
      </c>
      <c r="T15" s="129" t="str">
        <f t="shared" si="13"/>
        <v/>
      </c>
      <c r="U15" s="1226" t="str">
        <f t="shared" si="14"/>
        <v/>
      </c>
      <c r="V15" s="1226" t="str">
        <f t="shared" si="15"/>
        <v/>
      </c>
      <c r="W15" s="353" t="str">
        <f t="shared" si="0"/>
        <v/>
      </c>
      <c r="X15" s="129" t="str">
        <f t="shared" si="16"/>
        <v/>
      </c>
      <c r="Y15" s="129" t="str">
        <f t="shared" si="1"/>
        <v/>
      </c>
      <c r="Z15" s="129" t="str">
        <f t="shared" si="17"/>
        <v/>
      </c>
      <c r="AA15" s="129" t="str">
        <f t="shared" si="18"/>
        <v/>
      </c>
      <c r="AB15" s="145"/>
      <c r="BA15" s="78"/>
      <c r="BB15" s="132" t="s">
        <v>2713</v>
      </c>
      <c r="BD15" s="132" t="str">
        <f>IF(OR(B15="",BC15=""),"",COUNTIF(BC$8:BC15,"√"))</f>
        <v/>
      </c>
      <c r="BE15" s="134" t="str">
        <f t="shared" si="2"/>
        <v/>
      </c>
      <c r="BF15" s="135" t="str">
        <f t="shared" si="19"/>
        <v/>
      </c>
      <c r="BG15" s="135" t="str">
        <f t="shared" si="19"/>
        <v/>
      </c>
      <c r="BH15" s="136"/>
      <c r="BI15" s="136"/>
      <c r="BJ15" s="136"/>
      <c r="BK15" s="136"/>
      <c r="BL15" s="137"/>
      <c r="BM15" s="137"/>
      <c r="BN15" s="1228" t="s">
        <v>2706</v>
      </c>
      <c r="BO15" s="187" t="str">
        <f t="shared" si="3"/>
        <v/>
      </c>
      <c r="BP15" s="187">
        <f t="shared" si="4"/>
        <v>0</v>
      </c>
      <c r="BQ15" s="187">
        <f t="shared" si="5"/>
        <v>0</v>
      </c>
      <c r="BR15" s="187">
        <f t="shared" si="6"/>
        <v>0</v>
      </c>
      <c r="BS15" s="187">
        <f t="shared" si="6"/>
        <v>0</v>
      </c>
      <c r="BT15" s="187">
        <f t="shared" si="6"/>
        <v>0</v>
      </c>
      <c r="BU15" s="187">
        <f t="shared" si="6"/>
        <v>0</v>
      </c>
      <c r="BV15" s="187">
        <f t="shared" si="7"/>
        <v>0</v>
      </c>
      <c r="BW15" s="187">
        <f t="shared" si="20"/>
        <v>0</v>
      </c>
      <c r="BX15" s="187">
        <f t="shared" si="21"/>
        <v>0</v>
      </c>
      <c r="BY15" s="508"/>
      <c r="BZ15" s="187">
        <f t="shared" si="22"/>
        <v>0</v>
      </c>
      <c r="CA15" s="187">
        <f t="shared" si="8"/>
        <v>0</v>
      </c>
      <c r="CC15" s="134" t="str">
        <f>IF(COUNTIF(CC$7:CC14,B15)&gt;0,"",B15)&amp;""</f>
        <v/>
      </c>
      <c r="CD15" s="138">
        <f t="shared" si="23"/>
        <v>0</v>
      </c>
      <c r="CE15" s="132">
        <f t="shared" si="24"/>
        <v>1</v>
      </c>
      <c r="CF15" s="138">
        <f t="shared" si="25"/>
        <v>0</v>
      </c>
      <c r="CG15" s="132">
        <f t="shared" si="26"/>
        <v>1</v>
      </c>
      <c r="CH15" s="147" t="s">
        <v>1659</v>
      </c>
      <c r="CI15" s="132" t="str">
        <f>CONCATENATE(CI10,CJ10,CI11,CJ11,CI12,CJ12,CI13,CJ13,CI14)</f>
        <v/>
      </c>
      <c r="CJ15" s="132"/>
    </row>
    <row r="16" ht="15" customHeight="1" spans="1:88">
      <c r="A16" s="123" t="str">
        <f>IF(B16="","",COUNT(A$7:A15)+1)</f>
        <v/>
      </c>
      <c r="B16" s="139"/>
      <c r="C16" s="139"/>
      <c r="D16" s="126" t="str">
        <f>IFERROR(VLOOKUP(B16&amp;C16,'产成品（商品）'!D$8:F$27,2,FALSE)&amp;"","")</f>
        <v/>
      </c>
      <c r="E16" s="1233"/>
      <c r="F16" s="1232" t="str">
        <f t="shared" si="10"/>
        <v/>
      </c>
      <c r="G16" s="1224" t="str">
        <f>IFERROR(VLOOKUP(B16&amp;C16,'产成品（商品）'!D$8:F$27,3,FALSE)&amp;"","")</f>
        <v/>
      </c>
      <c r="H16" s="142"/>
      <c r="I16" s="127" t="str">
        <f>IFERROR(VLOOKUP(H16,参数表!$H$2:$I$50,2,FALSE),"")</f>
        <v/>
      </c>
      <c r="J16" s="128" t="str">
        <f t="shared" si="27"/>
        <v/>
      </c>
      <c r="K16" s="128" t="str">
        <f t="shared" si="28"/>
        <v/>
      </c>
      <c r="L16" s="980"/>
      <c r="M16" s="143" t="str">
        <f t="shared" si="11"/>
        <v/>
      </c>
      <c r="N16" s="143"/>
      <c r="O16" s="143"/>
      <c r="P16" s="144"/>
      <c r="Q16" s="144"/>
      <c r="R16" s="144"/>
      <c r="S16" s="353" t="str">
        <f t="shared" si="12"/>
        <v/>
      </c>
      <c r="T16" s="129" t="str">
        <f t="shared" si="13"/>
        <v/>
      </c>
      <c r="U16" s="1226" t="str">
        <f t="shared" si="14"/>
        <v/>
      </c>
      <c r="V16" s="1226" t="str">
        <f t="shared" si="15"/>
        <v/>
      </c>
      <c r="W16" s="353" t="str">
        <f t="shared" si="0"/>
        <v/>
      </c>
      <c r="X16" s="129" t="str">
        <f t="shared" si="16"/>
        <v/>
      </c>
      <c r="Y16" s="129" t="str">
        <f t="shared" si="1"/>
        <v/>
      </c>
      <c r="Z16" s="129" t="str">
        <f t="shared" si="17"/>
        <v/>
      </c>
      <c r="AA16" s="129" t="str">
        <f t="shared" si="18"/>
        <v/>
      </c>
      <c r="AB16" s="145"/>
      <c r="BA16" s="78"/>
      <c r="BB16" s="132" t="s">
        <v>2714</v>
      </c>
      <c r="BD16" s="132" t="str">
        <f>IF(OR(B16="",BC16=""),"",COUNTIF(BC$8:BC16,"√"))</f>
        <v/>
      </c>
      <c r="BE16" s="134" t="str">
        <f t="shared" si="2"/>
        <v/>
      </c>
      <c r="BF16" s="135" t="str">
        <f t="shared" si="19"/>
        <v/>
      </c>
      <c r="BG16" s="135" t="str">
        <f t="shared" si="19"/>
        <v/>
      </c>
      <c r="BH16" s="136"/>
      <c r="BI16" s="136"/>
      <c r="BJ16" s="136"/>
      <c r="BK16" s="136"/>
      <c r="BL16" s="137"/>
      <c r="BM16" s="137"/>
      <c r="BN16" s="1228" t="s">
        <v>2706</v>
      </c>
      <c r="BO16" s="187" t="str">
        <f t="shared" si="3"/>
        <v/>
      </c>
      <c r="BP16" s="187">
        <f t="shared" si="4"/>
        <v>0</v>
      </c>
      <c r="BQ16" s="187">
        <f t="shared" si="5"/>
        <v>0</v>
      </c>
      <c r="BR16" s="187">
        <f t="shared" si="6"/>
        <v>0</v>
      </c>
      <c r="BS16" s="187">
        <f t="shared" si="6"/>
        <v>0</v>
      </c>
      <c r="BT16" s="187">
        <f t="shared" si="6"/>
        <v>0</v>
      </c>
      <c r="BU16" s="187">
        <f t="shared" si="6"/>
        <v>0</v>
      </c>
      <c r="BV16" s="187">
        <f t="shared" si="7"/>
        <v>0</v>
      </c>
      <c r="BW16" s="187">
        <f t="shared" si="20"/>
        <v>0</v>
      </c>
      <c r="BX16" s="187">
        <f t="shared" si="21"/>
        <v>0</v>
      </c>
      <c r="BY16" s="508"/>
      <c r="BZ16" s="187">
        <f t="shared" si="22"/>
        <v>0</v>
      </c>
      <c r="CA16" s="187">
        <f t="shared" si="8"/>
        <v>0</v>
      </c>
      <c r="CC16" s="134" t="str">
        <f>IF(COUNTIF(CC$7:CC15,B16)&gt;0,"",B16)&amp;""</f>
        <v/>
      </c>
      <c r="CD16" s="138">
        <f t="shared" si="23"/>
        <v>0</v>
      </c>
      <c r="CE16" s="132">
        <f t="shared" si="24"/>
        <v>1</v>
      </c>
      <c r="CF16" s="138">
        <f t="shared" si="25"/>
        <v>0</v>
      </c>
      <c r="CG16" s="132">
        <f t="shared" si="26"/>
        <v>1</v>
      </c>
      <c r="CH16" s="133"/>
      <c r="CI16" s="133"/>
    </row>
    <row r="17" ht="15" customHeight="1" spans="1:88">
      <c r="A17" s="123" t="str">
        <f>IF(B17="","",COUNT(A$7:A16)+1)</f>
        <v/>
      </c>
      <c r="B17" s="139"/>
      <c r="C17" s="139"/>
      <c r="D17" s="126" t="str">
        <f>IFERROR(VLOOKUP(B17&amp;C17,'产成品（商品）'!D$8:F$27,2,FALSE)&amp;"","")</f>
        <v/>
      </c>
      <c r="E17" s="1233"/>
      <c r="F17" s="1232" t="str">
        <f t="shared" si="10"/>
        <v/>
      </c>
      <c r="G17" s="1224" t="str">
        <f>IFERROR(VLOOKUP(B17&amp;C17,'产成品（商品）'!D$8:F$27,3,FALSE)&amp;"","")</f>
        <v/>
      </c>
      <c r="H17" s="142"/>
      <c r="I17" s="127" t="str">
        <f>IFERROR(VLOOKUP(H17,参数表!$H$2:$I$50,2,FALSE),"")</f>
        <v/>
      </c>
      <c r="J17" s="128" t="str">
        <f t="shared" si="27"/>
        <v/>
      </c>
      <c r="K17" s="128" t="str">
        <f t="shared" si="28"/>
        <v/>
      </c>
      <c r="L17" s="980"/>
      <c r="M17" s="143" t="str">
        <f t="shared" si="11"/>
        <v/>
      </c>
      <c r="N17" s="143"/>
      <c r="O17" s="143"/>
      <c r="P17" s="144"/>
      <c r="Q17" s="144"/>
      <c r="R17" s="144"/>
      <c r="S17" s="353" t="str">
        <f t="shared" si="12"/>
        <v/>
      </c>
      <c r="T17" s="129" t="str">
        <f t="shared" si="13"/>
        <v/>
      </c>
      <c r="U17" s="1226" t="str">
        <f t="shared" si="14"/>
        <v/>
      </c>
      <c r="V17" s="1226" t="str">
        <f t="shared" si="15"/>
        <v/>
      </c>
      <c r="W17" s="353" t="str">
        <f t="shared" si="0"/>
        <v/>
      </c>
      <c r="X17" s="129" t="str">
        <f t="shared" si="16"/>
        <v/>
      </c>
      <c r="Y17" s="129" t="str">
        <f t="shared" si="1"/>
        <v/>
      </c>
      <c r="Z17" s="129" t="str">
        <f t="shared" si="17"/>
        <v/>
      </c>
      <c r="AA17" s="129" t="str">
        <f t="shared" si="18"/>
        <v/>
      </c>
      <c r="AB17" s="145"/>
      <c r="BA17" s="78"/>
      <c r="BB17" s="132" t="s">
        <v>2715</v>
      </c>
      <c r="BD17" s="132" t="str">
        <f>IF(OR(B17="",BC17=""),"",COUNTIF(BC$8:BC17,"√"))</f>
        <v/>
      </c>
      <c r="BE17" s="134" t="str">
        <f t="shared" si="2"/>
        <v/>
      </c>
      <c r="BF17" s="135" t="str">
        <f t="shared" si="19"/>
        <v/>
      </c>
      <c r="BG17" s="135" t="str">
        <f t="shared" si="19"/>
        <v/>
      </c>
      <c r="BH17" s="136"/>
      <c r="BI17" s="136"/>
      <c r="BJ17" s="136"/>
      <c r="BK17" s="136"/>
      <c r="BL17" s="137"/>
      <c r="BM17" s="137"/>
      <c r="BN17" s="1228" t="s">
        <v>2706</v>
      </c>
      <c r="BO17" s="187" t="str">
        <f t="shared" si="3"/>
        <v/>
      </c>
      <c r="BP17" s="187">
        <f t="shared" si="4"/>
        <v>0</v>
      </c>
      <c r="BQ17" s="187">
        <f t="shared" si="5"/>
        <v>0</v>
      </c>
      <c r="BR17" s="187">
        <f t="shared" si="6"/>
        <v>0</v>
      </c>
      <c r="BS17" s="187">
        <f t="shared" si="6"/>
        <v>0</v>
      </c>
      <c r="BT17" s="187">
        <f t="shared" si="6"/>
        <v>0</v>
      </c>
      <c r="BU17" s="187">
        <f t="shared" si="6"/>
        <v>0</v>
      </c>
      <c r="BV17" s="187">
        <f t="shared" si="7"/>
        <v>0</v>
      </c>
      <c r="BW17" s="187">
        <f t="shared" si="20"/>
        <v>0</v>
      </c>
      <c r="BX17" s="187">
        <f t="shared" si="21"/>
        <v>0</v>
      </c>
      <c r="BY17" s="508"/>
      <c r="BZ17" s="187">
        <f t="shared" si="22"/>
        <v>0</v>
      </c>
      <c r="CA17" s="187">
        <f t="shared" si="8"/>
        <v>0</v>
      </c>
      <c r="CC17" s="134" t="str">
        <f>IF(COUNTIF(CC$7:CC16,B17)&gt;0,"",B17)&amp;""</f>
        <v/>
      </c>
      <c r="CD17" s="138">
        <f t="shared" si="23"/>
        <v>0</v>
      </c>
      <c r="CE17" s="132">
        <f t="shared" si="24"/>
        <v>1</v>
      </c>
      <c r="CF17" s="138">
        <f t="shared" si="25"/>
        <v>0</v>
      </c>
      <c r="CG17" s="132">
        <f t="shared" si="26"/>
        <v>1</v>
      </c>
      <c r="CH17" s="133"/>
      <c r="CI17" s="148"/>
    </row>
    <row r="18" ht="15" customHeight="1" spans="1:88">
      <c r="A18" s="123" t="str">
        <f>IF(B18="","",COUNT(A$7:A17)+1)</f>
        <v/>
      </c>
      <c r="B18" s="139"/>
      <c r="C18" s="139"/>
      <c r="D18" s="126" t="str">
        <f>IFERROR(VLOOKUP(B18&amp;C18,'产成品（商品）'!D$8:F$27,2,FALSE)&amp;"","")</f>
        <v/>
      </c>
      <c r="E18" s="1233"/>
      <c r="F18" s="1232" t="str">
        <f t="shared" si="10"/>
        <v/>
      </c>
      <c r="G18" s="1224" t="str">
        <f>IFERROR(VLOOKUP(B18&amp;C18,'产成品（商品）'!D$8:F$27,3,FALSE)&amp;"","")</f>
        <v/>
      </c>
      <c r="H18" s="142"/>
      <c r="I18" s="127" t="str">
        <f>IFERROR(VLOOKUP(H18,参数表!$H$2:$I$50,2,FALSE),"")</f>
        <v/>
      </c>
      <c r="J18" s="128" t="str">
        <f t="shared" si="27"/>
        <v/>
      </c>
      <c r="K18" s="128" t="str">
        <f t="shared" si="28"/>
        <v/>
      </c>
      <c r="L18" s="980"/>
      <c r="M18" s="143" t="str">
        <f t="shared" si="11"/>
        <v/>
      </c>
      <c r="N18" s="143"/>
      <c r="O18" s="143"/>
      <c r="P18" s="144"/>
      <c r="Q18" s="144"/>
      <c r="R18" s="144"/>
      <c r="S18" s="353" t="str">
        <f t="shared" si="12"/>
        <v/>
      </c>
      <c r="T18" s="129" t="str">
        <f t="shared" si="13"/>
        <v/>
      </c>
      <c r="U18" s="1226" t="str">
        <f t="shared" si="14"/>
        <v/>
      </c>
      <c r="V18" s="1226" t="str">
        <f t="shared" si="15"/>
        <v/>
      </c>
      <c r="W18" s="353" t="str">
        <f t="shared" si="0"/>
        <v/>
      </c>
      <c r="X18" s="129" t="str">
        <f t="shared" si="16"/>
        <v/>
      </c>
      <c r="Y18" s="129" t="str">
        <f t="shared" si="1"/>
        <v/>
      </c>
      <c r="Z18" s="129" t="str">
        <f t="shared" si="17"/>
        <v/>
      </c>
      <c r="AA18" s="129" t="str">
        <f t="shared" si="18"/>
        <v/>
      </c>
      <c r="AB18" s="145"/>
      <c r="BA18" s="78"/>
      <c r="BB18" s="132" t="s">
        <v>2716</v>
      </c>
      <c r="BD18" s="132" t="str">
        <f>IF(OR(B18="",BC18=""),"",COUNTIF(BC$8:BC18,"√"))</f>
        <v/>
      </c>
      <c r="BE18" s="134" t="str">
        <f t="shared" si="2"/>
        <v/>
      </c>
      <c r="BF18" s="135" t="str">
        <f t="shared" si="19"/>
        <v/>
      </c>
      <c r="BG18" s="135" t="str">
        <f t="shared" si="19"/>
        <v/>
      </c>
      <c r="BH18" s="136"/>
      <c r="BI18" s="136"/>
      <c r="BJ18" s="136"/>
      <c r="BK18" s="136"/>
      <c r="BL18" s="137"/>
      <c r="BM18" s="137"/>
      <c r="BN18" s="1228" t="s">
        <v>2706</v>
      </c>
      <c r="BO18" s="187" t="str">
        <f t="shared" si="3"/>
        <v/>
      </c>
      <c r="BP18" s="187">
        <f t="shared" si="4"/>
        <v>0</v>
      </c>
      <c r="BQ18" s="187">
        <f t="shared" si="5"/>
        <v>0</v>
      </c>
      <c r="BR18" s="187">
        <f t="shared" si="6"/>
        <v>0</v>
      </c>
      <c r="BS18" s="187">
        <f t="shared" si="6"/>
        <v>0</v>
      </c>
      <c r="BT18" s="187">
        <f t="shared" si="6"/>
        <v>0</v>
      </c>
      <c r="BU18" s="187">
        <f t="shared" si="6"/>
        <v>0</v>
      </c>
      <c r="BV18" s="187">
        <f t="shared" si="7"/>
        <v>0</v>
      </c>
      <c r="BW18" s="187">
        <f t="shared" si="20"/>
        <v>0</v>
      </c>
      <c r="BX18" s="187">
        <f t="shared" si="21"/>
        <v>0</v>
      </c>
      <c r="BY18" s="508"/>
      <c r="BZ18" s="187">
        <f t="shared" si="22"/>
        <v>0</v>
      </c>
      <c r="CA18" s="187">
        <f t="shared" si="8"/>
        <v>0</v>
      </c>
      <c r="CC18" s="134" t="str">
        <f>IF(COUNTIF(CC$7:CC17,B18)&gt;0,"",B18)&amp;""</f>
        <v/>
      </c>
      <c r="CD18" s="138">
        <f t="shared" si="23"/>
        <v>0</v>
      </c>
      <c r="CE18" s="132">
        <f t="shared" si="24"/>
        <v>1</v>
      </c>
      <c r="CF18" s="138">
        <f t="shared" si="25"/>
        <v>0</v>
      </c>
      <c r="CG18" s="132">
        <f t="shared" si="26"/>
        <v>1</v>
      </c>
      <c r="CH18" s="133"/>
      <c r="CI18" s="133"/>
    </row>
    <row r="19" ht="15" customHeight="1" spans="1:88">
      <c r="A19" s="123" t="str">
        <f>IF(B19="","",COUNT(A$7:A18)+1)</f>
        <v/>
      </c>
      <c r="B19" s="139"/>
      <c r="C19" s="139"/>
      <c r="D19" s="126" t="str">
        <f>IFERROR(VLOOKUP(B19&amp;C19,'产成品（商品）'!D$8:F$27,2,FALSE)&amp;"","")</f>
        <v/>
      </c>
      <c r="E19" s="1233"/>
      <c r="F19" s="1232" t="str">
        <f t="shared" si="10"/>
        <v/>
      </c>
      <c r="G19" s="1224" t="str">
        <f>IFERROR(VLOOKUP(B19&amp;C19,'产成品（商品）'!D$8:F$27,3,FALSE)&amp;"","")</f>
        <v/>
      </c>
      <c r="H19" s="142"/>
      <c r="I19" s="127" t="str">
        <f>IFERROR(VLOOKUP(H19,参数表!$H$2:$I$50,2,FALSE),"")</f>
        <v/>
      </c>
      <c r="J19" s="128" t="str">
        <f t="shared" si="27"/>
        <v/>
      </c>
      <c r="K19" s="128" t="str">
        <f t="shared" si="28"/>
        <v/>
      </c>
      <c r="L19" s="980"/>
      <c r="M19" s="143" t="str">
        <f t="shared" si="11"/>
        <v/>
      </c>
      <c r="N19" s="143"/>
      <c r="O19" s="143"/>
      <c r="P19" s="144"/>
      <c r="Q19" s="144"/>
      <c r="R19" s="144"/>
      <c r="S19" s="353" t="str">
        <f t="shared" si="12"/>
        <v/>
      </c>
      <c r="T19" s="129" t="str">
        <f t="shared" si="13"/>
        <v/>
      </c>
      <c r="U19" s="1226" t="str">
        <f t="shared" si="14"/>
        <v/>
      </c>
      <c r="V19" s="1226" t="str">
        <f t="shared" si="15"/>
        <v/>
      </c>
      <c r="W19" s="353" t="str">
        <f t="shared" si="0"/>
        <v/>
      </c>
      <c r="X19" s="129" t="str">
        <f t="shared" si="16"/>
        <v/>
      </c>
      <c r="Y19" s="129" t="str">
        <f t="shared" si="1"/>
        <v/>
      </c>
      <c r="Z19" s="129" t="str">
        <f t="shared" si="17"/>
        <v/>
      </c>
      <c r="AA19" s="129" t="str">
        <f t="shared" si="18"/>
        <v/>
      </c>
      <c r="AB19" s="145"/>
      <c r="BA19" s="78"/>
      <c r="BB19" s="132" t="s">
        <v>2717</v>
      </c>
      <c r="BD19" s="132" t="str">
        <f>IF(OR(B19="",BC19=""),"",COUNTIF(BC$8:BC19,"√"))</f>
        <v/>
      </c>
      <c r="BE19" s="134" t="str">
        <f t="shared" si="2"/>
        <v/>
      </c>
      <c r="BF19" s="135" t="str">
        <f t="shared" si="19"/>
        <v/>
      </c>
      <c r="BG19" s="135" t="str">
        <f t="shared" si="19"/>
        <v/>
      </c>
      <c r="BH19" s="136"/>
      <c r="BI19" s="136"/>
      <c r="BJ19" s="136"/>
      <c r="BK19" s="136"/>
      <c r="BL19" s="137"/>
      <c r="BM19" s="137"/>
      <c r="BN19" s="1228" t="s">
        <v>2706</v>
      </c>
      <c r="BO19" s="187" t="str">
        <f t="shared" si="3"/>
        <v/>
      </c>
      <c r="BP19" s="187">
        <f t="shared" si="4"/>
        <v>0</v>
      </c>
      <c r="BQ19" s="187">
        <f t="shared" si="5"/>
        <v>0</v>
      </c>
      <c r="BR19" s="187">
        <f t="shared" ref="BR19:BU27" si="31">$BP19*BR$6</f>
        <v>0</v>
      </c>
      <c r="BS19" s="187">
        <f t="shared" si="31"/>
        <v>0</v>
      </c>
      <c r="BT19" s="187">
        <f t="shared" si="31"/>
        <v>0</v>
      </c>
      <c r="BU19" s="187">
        <f t="shared" si="31"/>
        <v>0</v>
      </c>
      <c r="BV19" s="187">
        <f t="shared" si="7"/>
        <v>0</v>
      </c>
      <c r="BW19" s="187">
        <f t="shared" si="20"/>
        <v>0</v>
      </c>
      <c r="BX19" s="187">
        <f t="shared" si="21"/>
        <v>0</v>
      </c>
      <c r="BY19" s="508"/>
      <c r="BZ19" s="187">
        <f t="shared" si="22"/>
        <v>0</v>
      </c>
      <c r="CA19" s="187">
        <f t="shared" si="8"/>
        <v>0</v>
      </c>
      <c r="CC19" s="134" t="str">
        <f>IF(COUNTIF(CC$7:CC18,B19)&gt;0,"",B19)&amp;""</f>
        <v/>
      </c>
      <c r="CD19" s="138">
        <f t="shared" si="23"/>
        <v>0</v>
      </c>
      <c r="CE19" s="132">
        <f t="shared" si="24"/>
        <v>1</v>
      </c>
      <c r="CF19" s="138">
        <f t="shared" si="25"/>
        <v>0</v>
      </c>
      <c r="CG19" s="132">
        <f t="shared" si="26"/>
        <v>1</v>
      </c>
      <c r="CH19" s="133"/>
      <c r="CI19" s="133"/>
    </row>
    <row r="20" ht="15" customHeight="1" spans="1:88">
      <c r="A20" s="123" t="str">
        <f>IF(B20="","",COUNT(A$7:A19)+1)</f>
        <v/>
      </c>
      <c r="B20" s="139"/>
      <c r="C20" s="139"/>
      <c r="D20" s="126" t="str">
        <f>IFERROR(VLOOKUP(B20&amp;C20,'产成品（商品）'!D$8:F$27,2,FALSE)&amp;"","")</f>
        <v/>
      </c>
      <c r="E20" s="1233"/>
      <c r="F20" s="1232" t="str">
        <f t="shared" si="10"/>
        <v/>
      </c>
      <c r="G20" s="1224" t="str">
        <f>IFERROR(VLOOKUP(B20&amp;C20,'产成品（商品）'!D$8:F$27,3,FALSE)&amp;"","")</f>
        <v/>
      </c>
      <c r="H20" s="142"/>
      <c r="I20" s="127" t="str">
        <f>IFERROR(VLOOKUP(H20,参数表!$H$2:$I$50,2,FALSE),"")</f>
        <v/>
      </c>
      <c r="J20" s="128" t="str">
        <f t="shared" si="27"/>
        <v/>
      </c>
      <c r="K20" s="128" t="str">
        <f t="shared" si="28"/>
        <v/>
      </c>
      <c r="L20" s="980"/>
      <c r="M20" s="143" t="str">
        <f t="shared" si="11"/>
        <v/>
      </c>
      <c r="N20" s="143"/>
      <c r="O20" s="143"/>
      <c r="P20" s="144"/>
      <c r="Q20" s="144"/>
      <c r="R20" s="144"/>
      <c r="S20" s="353" t="str">
        <f t="shared" si="12"/>
        <v/>
      </c>
      <c r="T20" s="129" t="str">
        <f t="shared" si="13"/>
        <v/>
      </c>
      <c r="U20" s="1226" t="str">
        <f t="shared" si="14"/>
        <v/>
      </c>
      <c r="V20" s="1226" t="str">
        <f t="shared" si="15"/>
        <v/>
      </c>
      <c r="W20" s="353" t="str">
        <f t="shared" si="0"/>
        <v/>
      </c>
      <c r="X20" s="129" t="str">
        <f t="shared" si="16"/>
        <v/>
      </c>
      <c r="Y20" s="129" t="str">
        <f t="shared" si="1"/>
        <v/>
      </c>
      <c r="Z20" s="129" t="str">
        <f t="shared" si="17"/>
        <v/>
      </c>
      <c r="AA20" s="129" t="str">
        <f t="shared" si="18"/>
        <v/>
      </c>
      <c r="AB20" s="145"/>
      <c r="BA20" s="78"/>
      <c r="BB20" s="132" t="s">
        <v>2718</v>
      </c>
      <c r="BD20" s="132" t="str">
        <f>IF(OR(B20="",BC20=""),"",COUNTIF(BC$8:BC20,"√"))</f>
        <v/>
      </c>
      <c r="BE20" s="134" t="str">
        <f t="shared" si="2"/>
        <v/>
      </c>
      <c r="BF20" s="135" t="str">
        <f t="shared" si="19"/>
        <v/>
      </c>
      <c r="BG20" s="135" t="str">
        <f t="shared" si="19"/>
        <v/>
      </c>
      <c r="BH20" s="136"/>
      <c r="BI20" s="136"/>
      <c r="BJ20" s="136"/>
      <c r="BK20" s="136"/>
      <c r="BL20" s="137"/>
      <c r="BM20" s="137"/>
      <c r="BN20" s="1228" t="s">
        <v>2706</v>
      </c>
      <c r="BO20" s="187" t="str">
        <f t="shared" si="3"/>
        <v/>
      </c>
      <c r="BP20" s="187">
        <f t="shared" si="4"/>
        <v>0</v>
      </c>
      <c r="BQ20" s="187">
        <f t="shared" si="5"/>
        <v>0</v>
      </c>
      <c r="BR20" s="187">
        <f t="shared" si="31"/>
        <v>0</v>
      </c>
      <c r="BS20" s="187">
        <f t="shared" si="31"/>
        <v>0</v>
      </c>
      <c r="BT20" s="187">
        <f t="shared" si="31"/>
        <v>0</v>
      </c>
      <c r="BU20" s="187">
        <f t="shared" si="31"/>
        <v>0</v>
      </c>
      <c r="BV20" s="187">
        <f t="shared" si="7"/>
        <v>0</v>
      </c>
      <c r="BW20" s="187">
        <f t="shared" si="20"/>
        <v>0</v>
      </c>
      <c r="BX20" s="187">
        <f t="shared" si="21"/>
        <v>0</v>
      </c>
      <c r="BY20" s="508"/>
      <c r="BZ20" s="187">
        <f t="shared" si="22"/>
        <v>0</v>
      </c>
      <c r="CA20" s="187">
        <f t="shared" si="8"/>
        <v>0</v>
      </c>
      <c r="CC20" s="134" t="str">
        <f>IF(COUNTIF(CC$7:CC19,B20)&gt;0,"",B20)&amp;""</f>
        <v/>
      </c>
      <c r="CD20" s="138">
        <f t="shared" si="23"/>
        <v>0</v>
      </c>
      <c r="CE20" s="132">
        <f t="shared" si="24"/>
        <v>1</v>
      </c>
      <c r="CF20" s="138">
        <f t="shared" si="25"/>
        <v>0</v>
      </c>
      <c r="CG20" s="132">
        <f t="shared" si="26"/>
        <v>1</v>
      </c>
      <c r="CH20" s="133"/>
      <c r="CI20" s="133"/>
    </row>
    <row r="21" ht="15" customHeight="1" spans="1:88">
      <c r="A21" s="123" t="str">
        <f>IF(B21="","",COUNT(A$7:A20)+1)</f>
        <v/>
      </c>
      <c r="B21" s="139"/>
      <c r="C21" s="139"/>
      <c r="D21" s="126" t="str">
        <f>IFERROR(VLOOKUP(B21&amp;C21,'产成品（商品）'!D$8:F$27,2,FALSE)&amp;"","")</f>
        <v/>
      </c>
      <c r="E21" s="1233"/>
      <c r="F21" s="1232" t="str">
        <f t="shared" si="10"/>
        <v/>
      </c>
      <c r="G21" s="1224" t="str">
        <f>IFERROR(VLOOKUP(B21&amp;C21,'产成品（商品）'!D$8:F$27,3,FALSE)&amp;"","")</f>
        <v/>
      </c>
      <c r="H21" s="142"/>
      <c r="I21" s="127" t="str">
        <f>IFERROR(VLOOKUP(H21,参数表!$H$2:$I$50,2,FALSE),"")</f>
        <v/>
      </c>
      <c r="J21" s="128" t="str">
        <f t="shared" si="27"/>
        <v/>
      </c>
      <c r="K21" s="128" t="str">
        <f t="shared" si="28"/>
        <v/>
      </c>
      <c r="L21" s="980"/>
      <c r="M21" s="143" t="str">
        <f t="shared" si="11"/>
        <v/>
      </c>
      <c r="N21" s="143"/>
      <c r="O21" s="143"/>
      <c r="P21" s="144"/>
      <c r="Q21" s="144"/>
      <c r="R21" s="144"/>
      <c r="S21" s="353" t="str">
        <f t="shared" si="12"/>
        <v/>
      </c>
      <c r="T21" s="129" t="str">
        <f t="shared" si="13"/>
        <v/>
      </c>
      <c r="U21" s="1226" t="str">
        <f t="shared" si="14"/>
        <v/>
      </c>
      <c r="V21" s="1226" t="str">
        <f t="shared" si="15"/>
        <v/>
      </c>
      <c r="W21" s="353" t="str">
        <f t="shared" si="0"/>
        <v/>
      </c>
      <c r="X21" s="129" t="str">
        <f t="shared" si="16"/>
        <v/>
      </c>
      <c r="Y21" s="129" t="str">
        <f t="shared" si="1"/>
        <v/>
      </c>
      <c r="Z21" s="129" t="str">
        <f t="shared" si="17"/>
        <v/>
      </c>
      <c r="AA21" s="129" t="str">
        <f t="shared" si="18"/>
        <v/>
      </c>
      <c r="AB21" s="145"/>
      <c r="BA21" s="78"/>
      <c r="BB21" s="132" t="s">
        <v>2719</v>
      </c>
      <c r="BD21" s="132" t="str">
        <f>IF(OR(B21="",BC21=""),"",COUNTIF(BC$8:BC21,"√"))</f>
        <v/>
      </c>
      <c r="BE21" s="134" t="str">
        <f t="shared" si="2"/>
        <v/>
      </c>
      <c r="BF21" s="135" t="str">
        <f t="shared" si="19"/>
        <v/>
      </c>
      <c r="BG21" s="135" t="str">
        <f t="shared" si="19"/>
        <v/>
      </c>
      <c r="BH21" s="136"/>
      <c r="BI21" s="136"/>
      <c r="BJ21" s="136"/>
      <c r="BK21" s="136"/>
      <c r="BL21" s="137"/>
      <c r="BM21" s="137"/>
      <c r="BN21" s="1228" t="s">
        <v>2706</v>
      </c>
      <c r="BO21" s="187" t="str">
        <f t="shared" si="3"/>
        <v/>
      </c>
      <c r="BP21" s="187">
        <f t="shared" si="4"/>
        <v>0</v>
      </c>
      <c r="BQ21" s="187">
        <f t="shared" si="5"/>
        <v>0</v>
      </c>
      <c r="BR21" s="187">
        <f t="shared" si="31"/>
        <v>0</v>
      </c>
      <c r="BS21" s="187">
        <f t="shared" si="31"/>
        <v>0</v>
      </c>
      <c r="BT21" s="187">
        <f t="shared" si="31"/>
        <v>0</v>
      </c>
      <c r="BU21" s="187">
        <f t="shared" si="31"/>
        <v>0</v>
      </c>
      <c r="BV21" s="187">
        <f t="shared" si="7"/>
        <v>0</v>
      </c>
      <c r="BW21" s="187">
        <f t="shared" si="20"/>
        <v>0</v>
      </c>
      <c r="BX21" s="187">
        <f t="shared" si="21"/>
        <v>0</v>
      </c>
      <c r="BY21" s="508"/>
      <c r="BZ21" s="187">
        <f t="shared" si="22"/>
        <v>0</v>
      </c>
      <c r="CA21" s="187">
        <f t="shared" si="8"/>
        <v>0</v>
      </c>
      <c r="CC21" s="134" t="str">
        <f>IF(COUNTIF(CC$7:CC20,B21)&gt;0,"",B21)&amp;""</f>
        <v/>
      </c>
      <c r="CD21" s="138">
        <f t="shared" si="23"/>
        <v>0</v>
      </c>
      <c r="CE21" s="132">
        <f t="shared" si="24"/>
        <v>1</v>
      </c>
      <c r="CF21" s="138">
        <f t="shared" si="25"/>
        <v>0</v>
      </c>
      <c r="CG21" s="132">
        <f t="shared" si="26"/>
        <v>1</v>
      </c>
      <c r="CH21" s="133"/>
      <c r="CI21" s="133"/>
    </row>
    <row r="22" ht="15" customHeight="1" spans="1:88">
      <c r="A22" s="123" t="str">
        <f>IF(B22="","",COUNT(A$7:A21)+1)</f>
        <v/>
      </c>
      <c r="B22" s="139"/>
      <c r="C22" s="139"/>
      <c r="D22" s="126" t="str">
        <f>IFERROR(VLOOKUP(B22&amp;C22,'产成品（商品）'!D$8:F$27,2,FALSE)&amp;"","")</f>
        <v/>
      </c>
      <c r="E22" s="1233"/>
      <c r="F22" s="1232" t="str">
        <f t="shared" si="10"/>
        <v/>
      </c>
      <c r="G22" s="1224" t="str">
        <f>IFERROR(VLOOKUP(B22&amp;C22,'产成品（商品）'!D$8:F$27,3,FALSE)&amp;"","")</f>
        <v/>
      </c>
      <c r="H22" s="142"/>
      <c r="I22" s="127" t="str">
        <f>IFERROR(VLOOKUP(H22,参数表!$H$2:$I$50,2,FALSE),"")</f>
        <v/>
      </c>
      <c r="J22" s="128" t="str">
        <f t="shared" si="27"/>
        <v/>
      </c>
      <c r="K22" s="128" t="str">
        <f t="shared" si="28"/>
        <v/>
      </c>
      <c r="L22" s="980"/>
      <c r="M22" s="143" t="str">
        <f t="shared" si="11"/>
        <v/>
      </c>
      <c r="N22" s="143"/>
      <c r="O22" s="143"/>
      <c r="P22" s="144"/>
      <c r="Q22" s="144"/>
      <c r="R22" s="144"/>
      <c r="S22" s="353" t="str">
        <f t="shared" si="12"/>
        <v/>
      </c>
      <c r="T22" s="129" t="str">
        <f t="shared" si="13"/>
        <v/>
      </c>
      <c r="U22" s="1226" t="str">
        <f t="shared" si="14"/>
        <v/>
      </c>
      <c r="V22" s="1226" t="str">
        <f t="shared" si="15"/>
        <v/>
      </c>
      <c r="W22" s="353" t="str">
        <f t="shared" si="0"/>
        <v/>
      </c>
      <c r="X22" s="129" t="str">
        <f t="shared" si="16"/>
        <v/>
      </c>
      <c r="Y22" s="129" t="str">
        <f t="shared" si="1"/>
        <v/>
      </c>
      <c r="Z22" s="129" t="str">
        <f t="shared" si="17"/>
        <v/>
      </c>
      <c r="AA22" s="129" t="str">
        <f t="shared" si="18"/>
        <v/>
      </c>
      <c r="AB22" s="145"/>
      <c r="BA22" s="78"/>
      <c r="BB22" s="132" t="s">
        <v>2720</v>
      </c>
      <c r="BD22" s="132" t="str">
        <f>IF(OR(B22="",BC22=""),"",COUNTIF(BC$8:BC22,"√"))</f>
        <v/>
      </c>
      <c r="BE22" s="134" t="str">
        <f t="shared" si="2"/>
        <v/>
      </c>
      <c r="BF22" s="135" t="str">
        <f t="shared" si="19"/>
        <v/>
      </c>
      <c r="BG22" s="135" t="str">
        <f t="shared" si="19"/>
        <v/>
      </c>
      <c r="BH22" s="136"/>
      <c r="BI22" s="136"/>
      <c r="BJ22" s="136"/>
      <c r="BK22" s="136"/>
      <c r="BL22" s="137"/>
      <c r="BM22" s="137"/>
      <c r="BN22" s="1228" t="s">
        <v>2706</v>
      </c>
      <c r="BO22" s="187" t="str">
        <f t="shared" si="3"/>
        <v/>
      </c>
      <c r="BP22" s="187">
        <f t="shared" si="4"/>
        <v>0</v>
      </c>
      <c r="BQ22" s="187">
        <f t="shared" si="5"/>
        <v>0</v>
      </c>
      <c r="BR22" s="187">
        <f t="shared" si="31"/>
        <v>0</v>
      </c>
      <c r="BS22" s="187">
        <f t="shared" si="31"/>
        <v>0</v>
      </c>
      <c r="BT22" s="187">
        <f t="shared" si="31"/>
        <v>0</v>
      </c>
      <c r="BU22" s="187">
        <f t="shared" si="31"/>
        <v>0</v>
      </c>
      <c r="BV22" s="187">
        <f t="shared" si="7"/>
        <v>0</v>
      </c>
      <c r="BW22" s="187">
        <f t="shared" si="20"/>
        <v>0</v>
      </c>
      <c r="BX22" s="187">
        <f t="shared" si="21"/>
        <v>0</v>
      </c>
      <c r="BY22" s="508"/>
      <c r="BZ22" s="187">
        <f t="shared" si="22"/>
        <v>0</v>
      </c>
      <c r="CA22" s="187">
        <f t="shared" si="8"/>
        <v>0</v>
      </c>
      <c r="CC22" s="134" t="str">
        <f>IF(COUNTIF(CC$7:CC21,B22)&gt;0,"",B22)&amp;""</f>
        <v/>
      </c>
      <c r="CD22" s="138">
        <f t="shared" si="23"/>
        <v>0</v>
      </c>
      <c r="CE22" s="132">
        <f t="shared" si="24"/>
        <v>1</v>
      </c>
      <c r="CF22" s="138">
        <f t="shared" si="25"/>
        <v>0</v>
      </c>
      <c r="CG22" s="132">
        <f t="shared" si="26"/>
        <v>1</v>
      </c>
      <c r="CH22" s="133"/>
      <c r="CI22" s="133"/>
    </row>
    <row r="23" ht="15" customHeight="1" spans="1:88">
      <c r="A23" s="123" t="str">
        <f>IF(B23="","",COUNT(A$7:A22)+1)</f>
        <v/>
      </c>
      <c r="B23" s="139"/>
      <c r="C23" s="139"/>
      <c r="D23" s="126" t="str">
        <f>IFERROR(VLOOKUP(B23&amp;C23,'产成品（商品）'!D$8:F$27,2,FALSE)&amp;"","")</f>
        <v/>
      </c>
      <c r="E23" s="1233"/>
      <c r="F23" s="1232" t="str">
        <f t="shared" si="10"/>
        <v/>
      </c>
      <c r="G23" s="1224" t="str">
        <f>IFERROR(VLOOKUP(B23&amp;C23,'产成品（商品）'!D$8:F$27,3,FALSE)&amp;"","")</f>
        <v/>
      </c>
      <c r="H23" s="142"/>
      <c r="I23" s="127" t="str">
        <f>IFERROR(VLOOKUP(H23,参数表!$H$2:$I$50,2,FALSE),"")</f>
        <v/>
      </c>
      <c r="J23" s="128" t="str">
        <f t="shared" si="27"/>
        <v/>
      </c>
      <c r="K23" s="128" t="str">
        <f t="shared" si="28"/>
        <v/>
      </c>
      <c r="L23" s="980"/>
      <c r="M23" s="143" t="str">
        <f t="shared" si="11"/>
        <v/>
      </c>
      <c r="N23" s="143"/>
      <c r="O23" s="143"/>
      <c r="P23" s="144"/>
      <c r="Q23" s="144"/>
      <c r="R23" s="144"/>
      <c r="S23" s="353" t="str">
        <f t="shared" si="12"/>
        <v/>
      </c>
      <c r="T23" s="129" t="str">
        <f t="shared" si="13"/>
        <v/>
      </c>
      <c r="U23" s="1226" t="str">
        <f t="shared" si="14"/>
        <v/>
      </c>
      <c r="V23" s="1226" t="str">
        <f t="shared" si="15"/>
        <v/>
      </c>
      <c r="W23" s="353" t="str">
        <f t="shared" si="0"/>
        <v/>
      </c>
      <c r="X23" s="129" t="str">
        <f t="shared" si="16"/>
        <v/>
      </c>
      <c r="Y23" s="129" t="str">
        <f t="shared" si="1"/>
        <v/>
      </c>
      <c r="Z23" s="129" t="str">
        <f t="shared" si="17"/>
        <v/>
      </c>
      <c r="AA23" s="129" t="str">
        <f t="shared" si="18"/>
        <v/>
      </c>
      <c r="AB23" s="145"/>
      <c r="BA23" s="78"/>
      <c r="BB23" s="132" t="s">
        <v>2721</v>
      </c>
      <c r="BD23" s="132" t="str">
        <f>IF(OR(B23="",BC23=""),"",COUNTIF(BC$8:BC23,"√"))</f>
        <v/>
      </c>
      <c r="BE23" s="134" t="str">
        <f t="shared" si="2"/>
        <v/>
      </c>
      <c r="BF23" s="135" t="str">
        <f t="shared" si="19"/>
        <v/>
      </c>
      <c r="BG23" s="135" t="str">
        <f t="shared" si="19"/>
        <v/>
      </c>
      <c r="BH23" s="136"/>
      <c r="BI23" s="136"/>
      <c r="BJ23" s="136"/>
      <c r="BK23" s="136"/>
      <c r="BL23" s="137"/>
      <c r="BM23" s="137"/>
      <c r="BN23" s="1228" t="s">
        <v>2706</v>
      </c>
      <c r="BO23" s="187" t="str">
        <f t="shared" si="3"/>
        <v/>
      </c>
      <c r="BP23" s="187">
        <f t="shared" si="4"/>
        <v>0</v>
      </c>
      <c r="BQ23" s="187">
        <f t="shared" si="5"/>
        <v>0</v>
      </c>
      <c r="BR23" s="187">
        <f t="shared" si="31"/>
        <v>0</v>
      </c>
      <c r="BS23" s="187">
        <f t="shared" si="31"/>
        <v>0</v>
      </c>
      <c r="BT23" s="187">
        <f t="shared" si="31"/>
        <v>0</v>
      </c>
      <c r="BU23" s="187">
        <f t="shared" si="31"/>
        <v>0</v>
      </c>
      <c r="BV23" s="187">
        <f t="shared" si="7"/>
        <v>0</v>
      </c>
      <c r="BW23" s="187">
        <f t="shared" si="20"/>
        <v>0</v>
      </c>
      <c r="BX23" s="187">
        <f t="shared" si="21"/>
        <v>0</v>
      </c>
      <c r="BY23" s="508"/>
      <c r="BZ23" s="187">
        <f t="shared" si="22"/>
        <v>0</v>
      </c>
      <c r="CA23" s="187">
        <f t="shared" si="8"/>
        <v>0</v>
      </c>
      <c r="CC23" s="134" t="str">
        <f>IF(COUNTIF(CC$7:CC22,B23)&gt;0,"",B23)&amp;""</f>
        <v/>
      </c>
      <c r="CD23" s="138">
        <f t="shared" si="23"/>
        <v>0</v>
      </c>
      <c r="CE23" s="132">
        <f t="shared" si="24"/>
        <v>1</v>
      </c>
      <c r="CF23" s="138">
        <f t="shared" si="25"/>
        <v>0</v>
      </c>
      <c r="CG23" s="132">
        <f t="shared" si="26"/>
        <v>1</v>
      </c>
      <c r="CH23" s="133"/>
      <c r="CI23" s="133"/>
    </row>
    <row r="24" ht="15" customHeight="1" spans="1:88">
      <c r="A24" s="123" t="str">
        <f>IF(B24="","",COUNT(A$7:A23)+1)</f>
        <v/>
      </c>
      <c r="B24" s="139"/>
      <c r="C24" s="139"/>
      <c r="D24" s="126" t="str">
        <f>IFERROR(VLOOKUP(B24&amp;C24,'产成品（商品）'!D$8:F$27,2,FALSE)&amp;"","")</f>
        <v/>
      </c>
      <c r="E24" s="1233"/>
      <c r="F24" s="1232" t="str">
        <f t="shared" si="10"/>
        <v/>
      </c>
      <c r="G24" s="1224" t="str">
        <f>IFERROR(VLOOKUP(B24&amp;C24,'产成品（商品）'!D$8:F$27,3,FALSE)&amp;"","")</f>
        <v/>
      </c>
      <c r="H24" s="142"/>
      <c r="I24" s="127" t="str">
        <f>IFERROR(VLOOKUP(H24,参数表!$H$2:$I$50,2,FALSE),"")</f>
        <v/>
      </c>
      <c r="J24" s="128" t="str">
        <f t="shared" si="27"/>
        <v/>
      </c>
      <c r="K24" s="128" t="str">
        <f t="shared" si="28"/>
        <v/>
      </c>
      <c r="L24" s="980"/>
      <c r="M24" s="143" t="str">
        <f t="shared" si="11"/>
        <v/>
      </c>
      <c r="N24" s="143"/>
      <c r="O24" s="143"/>
      <c r="P24" s="144"/>
      <c r="Q24" s="144"/>
      <c r="R24" s="144"/>
      <c r="S24" s="353" t="str">
        <f t="shared" si="12"/>
        <v/>
      </c>
      <c r="T24" s="129" t="str">
        <f t="shared" si="13"/>
        <v/>
      </c>
      <c r="U24" s="1226" t="str">
        <f t="shared" si="14"/>
        <v/>
      </c>
      <c r="V24" s="1226" t="str">
        <f t="shared" si="15"/>
        <v/>
      </c>
      <c r="W24" s="353" t="str">
        <f t="shared" si="0"/>
        <v/>
      </c>
      <c r="X24" s="129" t="str">
        <f t="shared" si="16"/>
        <v/>
      </c>
      <c r="Y24" s="129" t="str">
        <f t="shared" si="1"/>
        <v/>
      </c>
      <c r="Z24" s="129" t="str">
        <f t="shared" si="17"/>
        <v/>
      </c>
      <c r="AA24" s="129" t="str">
        <f t="shared" si="18"/>
        <v/>
      </c>
      <c r="AB24" s="145"/>
      <c r="BA24" s="78"/>
      <c r="BB24" s="132" t="s">
        <v>2722</v>
      </c>
      <c r="BD24" s="132" t="str">
        <f>IF(OR(B24="",BC24=""),"",COUNTIF(BC$8:BC24,"√"))</f>
        <v/>
      </c>
      <c r="BE24" s="134" t="str">
        <f t="shared" si="2"/>
        <v/>
      </c>
      <c r="BF24" s="135" t="str">
        <f t="shared" si="19"/>
        <v/>
      </c>
      <c r="BG24" s="135" t="str">
        <f t="shared" si="19"/>
        <v/>
      </c>
      <c r="BH24" s="136"/>
      <c r="BI24" s="136"/>
      <c r="BJ24" s="136"/>
      <c r="BK24" s="136"/>
      <c r="BL24" s="137"/>
      <c r="BM24" s="137"/>
      <c r="BN24" s="1228" t="s">
        <v>2706</v>
      </c>
      <c r="BO24" s="187" t="str">
        <f t="shared" si="3"/>
        <v/>
      </c>
      <c r="BP24" s="187">
        <f t="shared" si="4"/>
        <v>0</v>
      </c>
      <c r="BQ24" s="187">
        <f t="shared" si="5"/>
        <v>0</v>
      </c>
      <c r="BR24" s="187">
        <f t="shared" si="31"/>
        <v>0</v>
      </c>
      <c r="BS24" s="187">
        <f t="shared" si="31"/>
        <v>0</v>
      </c>
      <c r="BT24" s="187">
        <f t="shared" si="31"/>
        <v>0</v>
      </c>
      <c r="BU24" s="187">
        <f t="shared" si="31"/>
        <v>0</v>
      </c>
      <c r="BV24" s="187">
        <f t="shared" si="7"/>
        <v>0</v>
      </c>
      <c r="BW24" s="187">
        <f t="shared" si="20"/>
        <v>0</v>
      </c>
      <c r="BX24" s="187">
        <f t="shared" si="21"/>
        <v>0</v>
      </c>
      <c r="BY24" s="508"/>
      <c r="BZ24" s="187">
        <f t="shared" si="22"/>
        <v>0</v>
      </c>
      <c r="CA24" s="187">
        <f t="shared" si="8"/>
        <v>0</v>
      </c>
      <c r="CC24" s="134" t="str">
        <f>IF(COUNTIF(CC$7:CC23,B24)&gt;0,"",B24)&amp;""</f>
        <v/>
      </c>
      <c r="CD24" s="138">
        <f t="shared" si="23"/>
        <v>0</v>
      </c>
      <c r="CE24" s="132">
        <f t="shared" si="24"/>
        <v>1</v>
      </c>
      <c r="CF24" s="138">
        <f t="shared" si="25"/>
        <v>0</v>
      </c>
      <c r="CG24" s="132">
        <f t="shared" si="26"/>
        <v>1</v>
      </c>
      <c r="CH24" s="133"/>
      <c r="CI24" s="133"/>
    </row>
    <row r="25" ht="15" customHeight="1" spans="1:88">
      <c r="A25" s="123" t="str">
        <f>IF(B25="","",COUNT(A$7:A24)+1)</f>
        <v/>
      </c>
      <c r="B25" s="139"/>
      <c r="C25" s="139"/>
      <c r="D25" s="126" t="str">
        <f>IFERROR(VLOOKUP(B25&amp;C25,'产成品（商品）'!D$8:F$27,2,FALSE)&amp;"","")</f>
        <v/>
      </c>
      <c r="E25" s="1233"/>
      <c r="F25" s="1232" t="str">
        <f t="shared" si="10"/>
        <v/>
      </c>
      <c r="G25" s="1224" t="str">
        <f>IFERROR(VLOOKUP(B25&amp;C25,'产成品（商品）'!D$8:F$27,3,FALSE)&amp;"","")</f>
        <v/>
      </c>
      <c r="H25" s="142"/>
      <c r="I25" s="127" t="str">
        <f>IFERROR(VLOOKUP(H25,参数表!$H$2:$I$50,2,FALSE),"")</f>
        <v/>
      </c>
      <c r="J25" s="128" t="str">
        <f t="shared" si="27"/>
        <v/>
      </c>
      <c r="K25" s="128" t="str">
        <f t="shared" si="28"/>
        <v/>
      </c>
      <c r="L25" s="980"/>
      <c r="M25" s="143" t="str">
        <f t="shared" si="11"/>
        <v/>
      </c>
      <c r="N25" s="143"/>
      <c r="O25" s="143"/>
      <c r="P25" s="144"/>
      <c r="Q25" s="144"/>
      <c r="R25" s="144"/>
      <c r="S25" s="353" t="str">
        <f t="shared" si="12"/>
        <v/>
      </c>
      <c r="T25" s="129" t="str">
        <f t="shared" si="13"/>
        <v/>
      </c>
      <c r="U25" s="1226" t="str">
        <f t="shared" si="14"/>
        <v/>
      </c>
      <c r="V25" s="1226" t="str">
        <f t="shared" si="15"/>
        <v/>
      </c>
      <c r="W25" s="353" t="str">
        <f t="shared" si="0"/>
        <v/>
      </c>
      <c r="X25" s="129" t="str">
        <f t="shared" si="16"/>
        <v/>
      </c>
      <c r="Y25" s="129" t="str">
        <f t="shared" si="1"/>
        <v/>
      </c>
      <c r="Z25" s="129" t="str">
        <f t="shared" si="17"/>
        <v/>
      </c>
      <c r="AA25" s="129" t="str">
        <f t="shared" si="18"/>
        <v/>
      </c>
      <c r="AB25" s="145"/>
      <c r="BA25" s="78"/>
      <c r="BB25" s="132" t="s">
        <v>2723</v>
      </c>
      <c r="BD25" s="132" t="str">
        <f>IF(OR(B25="",BC25=""),"",COUNTIF(BC$8:BC25,"√"))</f>
        <v/>
      </c>
      <c r="BE25" s="134" t="str">
        <f t="shared" si="2"/>
        <v/>
      </c>
      <c r="BF25" s="135" t="str">
        <f t="shared" si="19"/>
        <v/>
      </c>
      <c r="BG25" s="135" t="str">
        <f t="shared" si="19"/>
        <v/>
      </c>
      <c r="BH25" s="136"/>
      <c r="BI25" s="136"/>
      <c r="BJ25" s="136"/>
      <c r="BK25" s="136"/>
      <c r="BL25" s="137"/>
      <c r="BM25" s="137"/>
      <c r="BN25" s="1228" t="s">
        <v>2706</v>
      </c>
      <c r="BO25" s="187" t="str">
        <f t="shared" si="3"/>
        <v/>
      </c>
      <c r="BP25" s="187">
        <f t="shared" si="4"/>
        <v>0</v>
      </c>
      <c r="BQ25" s="187">
        <f t="shared" si="5"/>
        <v>0</v>
      </c>
      <c r="BR25" s="187">
        <f t="shared" si="31"/>
        <v>0</v>
      </c>
      <c r="BS25" s="187">
        <f t="shared" si="31"/>
        <v>0</v>
      </c>
      <c r="BT25" s="187">
        <f t="shared" si="31"/>
        <v>0</v>
      </c>
      <c r="BU25" s="187">
        <f t="shared" si="31"/>
        <v>0</v>
      </c>
      <c r="BV25" s="187">
        <f t="shared" si="7"/>
        <v>0</v>
      </c>
      <c r="BW25" s="187">
        <f t="shared" si="20"/>
        <v>0</v>
      </c>
      <c r="BX25" s="187">
        <f t="shared" si="21"/>
        <v>0</v>
      </c>
      <c r="BY25" s="508"/>
      <c r="BZ25" s="187">
        <f t="shared" si="22"/>
        <v>0</v>
      </c>
      <c r="CA25" s="187">
        <f t="shared" si="8"/>
        <v>0</v>
      </c>
      <c r="CC25" s="134" t="str">
        <f>IF(COUNTIF(CC$7:CC24,B25)&gt;0,"",B25)&amp;""</f>
        <v/>
      </c>
      <c r="CD25" s="138">
        <f t="shared" si="23"/>
        <v>0</v>
      </c>
      <c r="CE25" s="132">
        <f t="shared" si="24"/>
        <v>1</v>
      </c>
      <c r="CF25" s="138">
        <f t="shared" si="25"/>
        <v>0</v>
      </c>
      <c r="CG25" s="132">
        <f t="shared" si="26"/>
        <v>1</v>
      </c>
      <c r="CH25" s="133"/>
      <c r="CI25" s="133"/>
    </row>
    <row r="26" ht="15" customHeight="1" spans="1:88">
      <c r="A26" s="123" t="str">
        <f>IF(B26="","",COUNT(A$7:A25)+1)</f>
        <v/>
      </c>
      <c r="B26" s="139"/>
      <c r="C26" s="139"/>
      <c r="D26" s="126" t="str">
        <f>IFERROR(VLOOKUP(B26&amp;C26,'产成品（商品）'!D$8:F$27,2,FALSE)&amp;"","")</f>
        <v/>
      </c>
      <c r="E26" s="1233"/>
      <c r="F26" s="1232" t="str">
        <f t="shared" si="10"/>
        <v/>
      </c>
      <c r="G26" s="1224" t="str">
        <f>IFERROR(VLOOKUP(B26&amp;C26,'产成品（商品）'!D$8:F$27,3,FALSE)&amp;"","")</f>
        <v/>
      </c>
      <c r="H26" s="142"/>
      <c r="I26" s="127" t="str">
        <f>IFERROR(VLOOKUP(H26,参数表!$H$2:$I$50,2,FALSE),"")</f>
        <v/>
      </c>
      <c r="J26" s="128" t="str">
        <f t="shared" si="27"/>
        <v/>
      </c>
      <c r="K26" s="128" t="str">
        <f t="shared" si="28"/>
        <v/>
      </c>
      <c r="L26" s="980"/>
      <c r="M26" s="143" t="str">
        <f t="shared" si="11"/>
        <v/>
      </c>
      <c r="N26" s="143"/>
      <c r="O26" s="143"/>
      <c r="P26" s="144"/>
      <c r="Q26" s="144"/>
      <c r="R26" s="144"/>
      <c r="S26" s="353" t="str">
        <f t="shared" si="12"/>
        <v/>
      </c>
      <c r="T26" s="129" t="str">
        <f t="shared" si="13"/>
        <v/>
      </c>
      <c r="U26" s="1226" t="str">
        <f t="shared" si="14"/>
        <v/>
      </c>
      <c r="V26" s="1226" t="str">
        <f t="shared" si="15"/>
        <v/>
      </c>
      <c r="W26" s="353" t="str">
        <f t="shared" si="0"/>
        <v/>
      </c>
      <c r="X26" s="129" t="str">
        <f t="shared" si="16"/>
        <v/>
      </c>
      <c r="Y26" s="129" t="str">
        <f t="shared" si="1"/>
        <v/>
      </c>
      <c r="Z26" s="129" t="str">
        <f t="shared" si="17"/>
        <v/>
      </c>
      <c r="AA26" s="129" t="str">
        <f t="shared" si="18"/>
        <v/>
      </c>
      <c r="AB26" s="145"/>
      <c r="BA26" s="78"/>
      <c r="BB26" s="132" t="s">
        <v>2724</v>
      </c>
      <c r="BD26" s="132" t="str">
        <f>IF(OR(B26="",BC26=""),"",COUNTIF(BC$8:BC26,"√"))</f>
        <v/>
      </c>
      <c r="BE26" s="134" t="str">
        <f t="shared" si="2"/>
        <v/>
      </c>
      <c r="BF26" s="135" t="str">
        <f t="shared" si="19"/>
        <v/>
      </c>
      <c r="BG26" s="135" t="str">
        <f t="shared" si="19"/>
        <v/>
      </c>
      <c r="BH26" s="136"/>
      <c r="BI26" s="136"/>
      <c r="BJ26" s="136"/>
      <c r="BK26" s="136"/>
      <c r="BL26" s="137"/>
      <c r="BM26" s="137"/>
      <c r="BN26" s="1228" t="s">
        <v>2706</v>
      </c>
      <c r="BO26" s="187" t="str">
        <f t="shared" si="3"/>
        <v/>
      </c>
      <c r="BP26" s="187">
        <f t="shared" si="4"/>
        <v>0</v>
      </c>
      <c r="BQ26" s="187">
        <f t="shared" si="5"/>
        <v>0</v>
      </c>
      <c r="BR26" s="187">
        <f t="shared" si="31"/>
        <v>0</v>
      </c>
      <c r="BS26" s="187">
        <f t="shared" si="31"/>
        <v>0</v>
      </c>
      <c r="BT26" s="187">
        <f t="shared" si="31"/>
        <v>0</v>
      </c>
      <c r="BU26" s="187">
        <f t="shared" si="31"/>
        <v>0</v>
      </c>
      <c r="BV26" s="187">
        <f t="shared" si="7"/>
        <v>0</v>
      </c>
      <c r="BW26" s="187">
        <f t="shared" si="20"/>
        <v>0</v>
      </c>
      <c r="BX26" s="187">
        <f t="shared" si="21"/>
        <v>0</v>
      </c>
      <c r="BY26" s="508"/>
      <c r="BZ26" s="187">
        <f t="shared" si="22"/>
        <v>0</v>
      </c>
      <c r="CA26" s="187">
        <f t="shared" si="8"/>
        <v>0</v>
      </c>
      <c r="CC26" s="134" t="str">
        <f>IF(COUNTIF(CC$7:CC25,B26)&gt;0,"",B26)&amp;""</f>
        <v/>
      </c>
      <c r="CD26" s="138">
        <f t="shared" si="23"/>
        <v>0</v>
      </c>
      <c r="CE26" s="132">
        <f t="shared" si="24"/>
        <v>1</v>
      </c>
      <c r="CF26" s="138">
        <f t="shared" si="25"/>
        <v>0</v>
      </c>
      <c r="CG26" s="132">
        <f t="shared" si="26"/>
        <v>1</v>
      </c>
      <c r="CH26" s="133"/>
      <c r="CI26" s="133"/>
    </row>
    <row r="27" ht="15" customHeight="1" spans="1:88">
      <c r="A27" s="123" t="str">
        <f>IF(B27="","",COUNT(A$7:A26)+1)</f>
        <v/>
      </c>
      <c r="B27" s="124"/>
      <c r="C27" s="124"/>
      <c r="D27" s="126"/>
      <c r="E27" s="1231"/>
      <c r="F27" s="1232" t="str">
        <f t="shared" si="10"/>
        <v/>
      </c>
      <c r="G27" s="1224" t="str">
        <f>IFERROR(VLOOKUP(B27&amp;C27,'产成品（商品）'!D$8:F$27,3,FALSE)&amp;"","")</f>
        <v/>
      </c>
      <c r="H27" s="127"/>
      <c r="I27" s="127" t="str">
        <f>IFERROR(VLOOKUP(H27,参数表!$H$2:$I$50,2,FALSE),"")</f>
        <v/>
      </c>
      <c r="J27" s="128" t="str">
        <f t="shared" si="27"/>
        <v/>
      </c>
      <c r="K27" s="128" t="str">
        <f t="shared" si="28"/>
        <v/>
      </c>
      <c r="L27" s="353"/>
      <c r="M27" s="129" t="str">
        <f t="shared" si="11"/>
        <v/>
      </c>
      <c r="N27" s="129"/>
      <c r="O27" s="129"/>
      <c r="P27" s="130"/>
      <c r="Q27" s="130"/>
      <c r="R27" s="130"/>
      <c r="S27" s="353" t="str">
        <f t="shared" si="12"/>
        <v/>
      </c>
      <c r="T27" s="129" t="str">
        <f t="shared" si="13"/>
        <v/>
      </c>
      <c r="U27" s="1226" t="str">
        <f t="shared" si="14"/>
        <v/>
      </c>
      <c r="V27" s="1226" t="str">
        <f t="shared" si="15"/>
        <v/>
      </c>
      <c r="W27" s="353" t="str">
        <f t="shared" si="0"/>
        <v/>
      </c>
      <c r="X27" s="129" t="str">
        <f t="shared" si="16"/>
        <v/>
      </c>
      <c r="Y27" s="129" t="str">
        <f t="shared" si="1"/>
        <v/>
      </c>
      <c r="Z27" s="129" t="str">
        <f t="shared" si="17"/>
        <v/>
      </c>
      <c r="AA27" s="129" t="str">
        <f t="shared" si="18"/>
        <v/>
      </c>
      <c r="AB27" s="131"/>
      <c r="BA27" s="78"/>
      <c r="BB27" s="132" t="s">
        <v>2725</v>
      </c>
      <c r="BD27" s="132" t="str">
        <f>IF(OR(B27="",BC27=""),"",COUNTIF(BC$8:BC27,"√"))</f>
        <v/>
      </c>
      <c r="BE27" s="134" t="str">
        <f t="shared" si="2"/>
        <v/>
      </c>
      <c r="BF27" s="135" t="str">
        <f t="shared" si="19"/>
        <v/>
      </c>
      <c r="BG27" s="135" t="str">
        <f t="shared" si="19"/>
        <v/>
      </c>
      <c r="BH27" s="136"/>
      <c r="BI27" s="136"/>
      <c r="BJ27" s="136"/>
      <c r="BK27" s="136"/>
      <c r="BL27" s="137"/>
      <c r="BM27" s="137"/>
      <c r="BN27" s="1228" t="s">
        <v>2706</v>
      </c>
      <c r="BO27" s="187" t="str">
        <f t="shared" si="3"/>
        <v/>
      </c>
      <c r="BP27" s="187">
        <f t="shared" si="4"/>
        <v>0</v>
      </c>
      <c r="BQ27" s="187">
        <f t="shared" si="5"/>
        <v>0</v>
      </c>
      <c r="BR27" s="187">
        <f t="shared" si="31"/>
        <v>0</v>
      </c>
      <c r="BS27" s="187">
        <f t="shared" si="31"/>
        <v>0</v>
      </c>
      <c r="BT27" s="187">
        <f t="shared" si="31"/>
        <v>0</v>
      </c>
      <c r="BU27" s="187">
        <f t="shared" si="31"/>
        <v>0</v>
      </c>
      <c r="BV27" s="187">
        <f t="shared" si="7"/>
        <v>0</v>
      </c>
      <c r="BW27" s="187">
        <f t="shared" si="20"/>
        <v>0</v>
      </c>
      <c r="BX27" s="187">
        <f t="shared" si="21"/>
        <v>0</v>
      </c>
      <c r="BY27" s="508"/>
      <c r="BZ27" s="187">
        <f t="shared" si="22"/>
        <v>0</v>
      </c>
      <c r="CA27" s="187">
        <f t="shared" si="8"/>
        <v>0</v>
      </c>
      <c r="CC27" s="134" t="str">
        <f>IF(COUNTIF(CC$7:CC26,B27)&gt;0,"",B27)&amp;""</f>
        <v/>
      </c>
      <c r="CD27" s="138">
        <f t="shared" si="23"/>
        <v>0</v>
      </c>
      <c r="CE27" s="132">
        <f t="shared" si="24"/>
        <v>1</v>
      </c>
      <c r="CF27" s="138">
        <f t="shared" si="25"/>
        <v>0</v>
      </c>
      <c r="CG27" s="132">
        <f t="shared" si="26"/>
        <v>1</v>
      </c>
      <c r="CH27" s="133"/>
      <c r="CI27" s="133"/>
    </row>
    <row r="28" ht="15" customHeight="1" spans="1:88">
      <c r="A28" s="221" t="s">
        <v>1954</v>
      </c>
      <c r="B28" s="221"/>
      <c r="C28" s="221"/>
      <c r="D28" s="149"/>
      <c r="E28" s="1234"/>
      <c r="F28" s="1235"/>
      <c r="G28" s="1236"/>
      <c r="H28" s="1236"/>
      <c r="I28" s="1236"/>
      <c r="J28" s="1236"/>
      <c r="K28" s="1236"/>
      <c r="L28" s="353"/>
      <c r="M28" s="152"/>
      <c r="N28" s="152">
        <f>SUM(N8:N27)</f>
        <v>0</v>
      </c>
      <c r="O28" s="152">
        <f>SUM(O8:O27)</f>
        <v>0</v>
      </c>
      <c r="P28" s="153"/>
      <c r="Q28" s="153"/>
      <c r="R28" s="153"/>
      <c r="S28" s="353"/>
      <c r="T28" s="152"/>
      <c r="U28" s="152">
        <f>SUM(U8:U27)</f>
        <v>0</v>
      </c>
      <c r="V28" s="152">
        <f>SUM(V8:V27)</f>
        <v>0</v>
      </c>
      <c r="W28" s="353"/>
      <c r="X28" s="152"/>
      <c r="Y28" s="152">
        <f>SUM(Y8:Y27)</f>
        <v>0</v>
      </c>
      <c r="Z28" s="152">
        <f t="shared" si="17"/>
        <v>0</v>
      </c>
      <c r="AA28" s="152" t="str">
        <f t="shared" si="18"/>
        <v/>
      </c>
      <c r="AB28" s="131"/>
      <c r="BF28" s="165"/>
      <c r="BG28" s="165"/>
      <c r="BH28" s="165"/>
      <c r="BI28" s="165"/>
      <c r="BJ28" s="165"/>
      <c r="BK28" s="165"/>
      <c r="BN28" s="75"/>
      <c r="BO28" s="75"/>
      <c r="BP28" s="75"/>
      <c r="CB28" s="111"/>
      <c r="CC28" s="119"/>
      <c r="CE28" s="77"/>
      <c r="CF28" s="77"/>
      <c r="CG28" s="119"/>
      <c r="CH28" s="119"/>
      <c r="CI28" s="119"/>
      <c r="CJ28" s="111"/>
    </row>
    <row r="29" ht="15" customHeight="1" spans="1:88">
      <c r="A29" s="982" t="s">
        <v>2205</v>
      </c>
      <c r="B29" s="982"/>
      <c r="C29" s="124"/>
      <c r="D29" s="126"/>
      <c r="E29" s="1231"/>
      <c r="F29" s="281"/>
      <c r="G29" s="1224"/>
      <c r="H29" s="1224"/>
      <c r="I29" s="1224"/>
      <c r="J29" s="1224"/>
      <c r="K29" s="1224"/>
      <c r="L29" s="129"/>
      <c r="M29" s="1226"/>
      <c r="N29" s="129">
        <f>O28</f>
        <v>0</v>
      </c>
      <c r="O29" s="129"/>
      <c r="P29" s="130"/>
      <c r="Q29" s="130"/>
      <c r="R29" s="130"/>
      <c r="S29" s="1226"/>
      <c r="T29" s="1226"/>
      <c r="U29" s="129">
        <f>V28</f>
        <v>0</v>
      </c>
      <c r="V29" s="129"/>
      <c r="W29" s="129"/>
      <c r="X29" s="129"/>
      <c r="Y29" s="129"/>
      <c r="Z29" s="129">
        <f t="shared" si="17"/>
        <v>0</v>
      </c>
      <c r="AA29" s="129" t="str">
        <f t="shared" si="18"/>
        <v/>
      </c>
      <c r="AB29" s="131"/>
      <c r="BF29" s="165"/>
      <c r="BG29" s="165"/>
      <c r="BH29" s="165"/>
      <c r="BI29" s="165"/>
      <c r="BJ29" s="165"/>
      <c r="BK29" s="165"/>
      <c r="BN29" s="75"/>
      <c r="BO29" s="75"/>
      <c r="BP29" s="75"/>
    </row>
    <row r="30" s="73" customFormat="1" ht="15" customHeight="1" spans="1:88">
      <c r="A30" s="221" t="s">
        <v>1957</v>
      </c>
      <c r="B30" s="221"/>
      <c r="C30" s="149"/>
      <c r="D30" s="149"/>
      <c r="E30" s="1231"/>
      <c r="F30" s="281"/>
      <c r="G30" s="1224"/>
      <c r="H30" s="1224"/>
      <c r="I30" s="1224"/>
      <c r="J30" s="1224"/>
      <c r="K30" s="1224"/>
      <c r="L30" s="152"/>
      <c r="M30" s="152"/>
      <c r="N30" s="152">
        <f>N28-N29</f>
        <v>0</v>
      </c>
      <c r="O30" s="152"/>
      <c r="P30" s="153"/>
      <c r="Q30" s="153"/>
      <c r="R30" s="153"/>
      <c r="S30" s="152"/>
      <c r="T30" s="152"/>
      <c r="U30" s="152">
        <f>U28-U29</f>
        <v>0</v>
      </c>
      <c r="V30" s="152"/>
      <c r="W30" s="152"/>
      <c r="X30" s="152"/>
      <c r="Y30" s="152">
        <f>Y28-Y29</f>
        <v>0</v>
      </c>
      <c r="Z30" s="152">
        <f t="shared" si="17"/>
        <v>0</v>
      </c>
      <c r="AA30" s="152" t="str">
        <f t="shared" si="18"/>
        <v/>
      </c>
      <c r="AB30" s="151"/>
      <c r="BF30" s="72"/>
      <c r="BG30" s="72"/>
      <c r="BH30" s="72"/>
      <c r="BI30" s="72"/>
      <c r="BJ30" s="72"/>
      <c r="BK30" s="72"/>
      <c r="CB30" s="77"/>
      <c r="CC30" s="78"/>
      <c r="CD30" s="77"/>
      <c r="CE30" s="78"/>
      <c r="CF30" s="78"/>
      <c r="CG30" s="78"/>
      <c r="CH30" s="78"/>
      <c r="CI30" s="78"/>
      <c r="CJ30" s="77"/>
    </row>
    <row r="31" customHeight="1" spans="1:88">
      <c r="A31" s="102" t="str">
        <f>参数表!F$6</f>
        <v>产权持有单位填表人：贾广东</v>
      </c>
      <c r="B31" s="154"/>
      <c r="C31" s="154"/>
      <c r="D31" s="286"/>
      <c r="E31" s="154"/>
      <c r="F31" s="154"/>
      <c r="G31" s="154"/>
      <c r="H31" s="154"/>
      <c r="I31" s="154"/>
      <c r="J31" s="154"/>
      <c r="K31" s="154"/>
      <c r="L31" s="103"/>
      <c r="M31" s="1217"/>
      <c r="N31" s="1217"/>
      <c r="O31" s="1217"/>
      <c r="P31" s="1218"/>
      <c r="Q31" s="1218"/>
      <c r="R31" s="1218"/>
      <c r="S31" s="1217"/>
      <c r="T31" s="1217"/>
      <c r="U31" s="1217"/>
      <c r="V31" s="1217"/>
      <c r="W31" s="103"/>
      <c r="X31" s="1217"/>
      <c r="Y31" s="103" t="str">
        <f>"评估人员："&amp;封面!$G$20</f>
        <v>评估人员：栗祥宁</v>
      </c>
      <c r="Z31" s="1217"/>
      <c r="AA31" s="1217"/>
      <c r="AB31" s="103"/>
      <c r="BF31" s="165"/>
      <c r="BG31" s="165"/>
      <c r="BH31" s="165"/>
      <c r="BI31" s="165"/>
      <c r="BJ31" s="165"/>
      <c r="BK31" s="165"/>
      <c r="BN31" s="75"/>
      <c r="BO31" s="75"/>
      <c r="BP31" s="75"/>
    </row>
    <row r="32" customHeight="1" spans="1:88">
      <c r="A32" s="102" t="str">
        <f>参数表!F$7</f>
        <v>填表日期：2025年9月20日</v>
      </c>
      <c r="B32" s="154"/>
      <c r="C32" s="154"/>
      <c r="D32" s="286"/>
      <c r="E32" s="154"/>
      <c r="F32" s="154"/>
      <c r="G32" s="154"/>
      <c r="H32" s="154"/>
      <c r="I32" s="154"/>
      <c r="J32" s="154"/>
      <c r="K32" s="154"/>
      <c r="L32" s="103"/>
      <c r="M32" s="1217"/>
      <c r="N32" s="1217"/>
      <c r="O32" s="1217"/>
      <c r="P32" s="1218"/>
      <c r="Q32" s="1218"/>
      <c r="R32" s="1218"/>
      <c r="S32" s="1217"/>
      <c r="T32" s="1217"/>
      <c r="U32" s="1217"/>
      <c r="V32" s="1217"/>
      <c r="W32" s="103"/>
      <c r="X32" s="1217"/>
      <c r="Y32" s="1217"/>
      <c r="Z32" s="1217"/>
      <c r="AA32" s="1217"/>
      <c r="AB32" s="103"/>
      <c r="BF32" s="165"/>
      <c r="BG32" s="165"/>
      <c r="BH32" s="165"/>
      <c r="BI32" s="165"/>
      <c r="BJ32" s="165"/>
      <c r="BK32" s="165"/>
      <c r="BN32" s="75"/>
      <c r="BO32" s="75"/>
      <c r="BP32" s="75"/>
    </row>
    <row r="33" hidden="1" customHeight="1" outlineLevel="1" spans="1:79">
      <c r="A33" s="1237">
        <f t="shared" ref="A33:AJ33" si="32">COLUMN(A8)</f>
        <v>1</v>
      </c>
      <c r="B33" s="286">
        <f t="shared" si="32"/>
        <v>2</v>
      </c>
      <c r="C33" s="286">
        <f t="shared" si="32"/>
        <v>3</v>
      </c>
      <c r="D33" s="286">
        <f t="shared" si="32"/>
        <v>4</v>
      </c>
      <c r="E33" s="286">
        <f t="shared" si="32"/>
        <v>5</v>
      </c>
      <c r="F33" s="286">
        <f t="shared" si="32"/>
        <v>6</v>
      </c>
      <c r="G33" s="286">
        <f t="shared" si="32"/>
        <v>7</v>
      </c>
      <c r="H33" s="286"/>
      <c r="I33" s="286"/>
      <c r="J33" s="286"/>
      <c r="K33" s="286"/>
      <c r="L33" s="286">
        <f t="shared" si="32"/>
        <v>12</v>
      </c>
      <c r="M33" s="286">
        <f t="shared" si="32"/>
        <v>13</v>
      </c>
      <c r="N33" s="286">
        <f t="shared" si="32"/>
        <v>14</v>
      </c>
      <c r="O33" s="286">
        <f t="shared" si="32"/>
        <v>15</v>
      </c>
      <c r="P33" s="286">
        <f t="shared" si="32"/>
        <v>16</v>
      </c>
      <c r="Q33" s="286">
        <f t="shared" si="32"/>
        <v>17</v>
      </c>
      <c r="R33" s="286">
        <f t="shared" si="32"/>
        <v>18</v>
      </c>
      <c r="S33" s="286">
        <f t="shared" si="32"/>
        <v>19</v>
      </c>
      <c r="T33" s="286">
        <f t="shared" si="32"/>
        <v>20</v>
      </c>
      <c r="U33" s="286">
        <f t="shared" si="32"/>
        <v>21</v>
      </c>
      <c r="V33" s="286">
        <f t="shared" si="32"/>
        <v>22</v>
      </c>
      <c r="W33" s="286">
        <f t="shared" si="32"/>
        <v>23</v>
      </c>
      <c r="X33" s="286">
        <f t="shared" si="32"/>
        <v>24</v>
      </c>
      <c r="Y33" s="286">
        <f t="shared" si="32"/>
        <v>25</v>
      </c>
      <c r="Z33" s="286">
        <f t="shared" si="32"/>
        <v>26</v>
      </c>
      <c r="AA33" s="286">
        <f t="shared" si="32"/>
        <v>27</v>
      </c>
      <c r="AB33" s="286">
        <f t="shared" si="32"/>
        <v>28</v>
      </c>
      <c r="AC33" s="286">
        <f t="shared" si="32"/>
        <v>29</v>
      </c>
      <c r="AD33" s="286">
        <f t="shared" si="32"/>
        <v>30</v>
      </c>
      <c r="AE33" s="286">
        <f t="shared" si="32"/>
        <v>31</v>
      </c>
      <c r="AF33" s="286">
        <f t="shared" si="32"/>
        <v>32</v>
      </c>
      <c r="AG33" s="286">
        <f t="shared" si="32"/>
        <v>33</v>
      </c>
      <c r="AH33" s="286">
        <f t="shared" si="32"/>
        <v>34</v>
      </c>
      <c r="AI33" s="286">
        <f t="shared" si="32"/>
        <v>35</v>
      </c>
      <c r="AJ33" s="286">
        <f t="shared" si="32"/>
        <v>36</v>
      </c>
      <c r="AK33" s="286">
        <f t="shared" ref="AK33:BF33" si="33">COLUMN(AK8)</f>
        <v>37</v>
      </c>
      <c r="AL33" s="286">
        <f t="shared" si="33"/>
        <v>38</v>
      </c>
      <c r="AM33" s="286">
        <f t="shared" si="33"/>
        <v>39</v>
      </c>
      <c r="AN33" s="286">
        <f t="shared" si="33"/>
        <v>40</v>
      </c>
      <c r="AO33" s="286">
        <f t="shared" si="33"/>
        <v>41</v>
      </c>
      <c r="AP33" s="286">
        <f t="shared" si="33"/>
        <v>42</v>
      </c>
      <c r="AQ33" s="286">
        <f t="shared" si="33"/>
        <v>43</v>
      </c>
      <c r="AR33" s="286">
        <f t="shared" si="33"/>
        <v>44</v>
      </c>
      <c r="AS33" s="286">
        <f t="shared" si="33"/>
        <v>45</v>
      </c>
      <c r="AT33" s="286">
        <f t="shared" si="33"/>
        <v>46</v>
      </c>
      <c r="AU33" s="286">
        <f t="shared" si="33"/>
        <v>47</v>
      </c>
      <c r="AV33" s="286">
        <f t="shared" si="33"/>
        <v>48</v>
      </c>
      <c r="AW33" s="286">
        <f t="shared" si="33"/>
        <v>49</v>
      </c>
      <c r="AX33" s="286">
        <f t="shared" si="33"/>
        <v>50</v>
      </c>
      <c r="AY33" s="286">
        <f t="shared" si="33"/>
        <v>51</v>
      </c>
      <c r="AZ33" s="286">
        <f t="shared" si="33"/>
        <v>52</v>
      </c>
      <c r="BA33" s="286">
        <f t="shared" si="33"/>
        <v>53</v>
      </c>
      <c r="BB33" s="286">
        <f t="shared" si="33"/>
        <v>54</v>
      </c>
      <c r="BC33" s="286">
        <f t="shared" si="33"/>
        <v>55</v>
      </c>
      <c r="BD33" s="286">
        <f t="shared" si="33"/>
        <v>56</v>
      </c>
      <c r="BE33" s="286">
        <f t="shared" si="33"/>
        <v>57</v>
      </c>
      <c r="BF33" s="286">
        <f t="shared" si="33"/>
        <v>58</v>
      </c>
      <c r="BG33" s="286"/>
      <c r="BH33" s="286">
        <f t="shared" ref="BH33:CA33" si="34">COLUMN(BH8)</f>
        <v>60</v>
      </c>
      <c r="BI33" s="286">
        <f t="shared" si="34"/>
        <v>61</v>
      </c>
      <c r="BJ33" s="286">
        <f t="shared" si="34"/>
        <v>62</v>
      </c>
      <c r="BK33" s="286">
        <f t="shared" si="34"/>
        <v>63</v>
      </c>
      <c r="BL33" s="286">
        <f t="shared" si="34"/>
        <v>64</v>
      </c>
      <c r="BM33" s="286">
        <f t="shared" si="34"/>
        <v>65</v>
      </c>
      <c r="BN33" s="286">
        <f t="shared" si="34"/>
        <v>66</v>
      </c>
      <c r="BO33" s="286">
        <f t="shared" si="34"/>
        <v>67</v>
      </c>
      <c r="BP33" s="286">
        <f t="shared" si="34"/>
        <v>68</v>
      </c>
      <c r="BQ33" s="286">
        <f t="shared" si="34"/>
        <v>69</v>
      </c>
      <c r="BR33" s="286">
        <f t="shared" si="34"/>
        <v>70</v>
      </c>
      <c r="BS33" s="286">
        <f t="shared" si="34"/>
        <v>71</v>
      </c>
      <c r="BT33" s="286">
        <f t="shared" si="34"/>
        <v>72</v>
      </c>
      <c r="BU33" s="286">
        <f t="shared" si="34"/>
        <v>73</v>
      </c>
      <c r="BV33" s="286">
        <f t="shared" si="34"/>
        <v>74</v>
      </c>
      <c r="BW33" s="286">
        <f t="shared" si="34"/>
        <v>75</v>
      </c>
      <c r="BX33" s="286">
        <f t="shared" si="34"/>
        <v>76</v>
      </c>
      <c r="BY33" s="286">
        <f t="shared" si="34"/>
        <v>77</v>
      </c>
      <c r="BZ33" s="286">
        <f t="shared" si="34"/>
        <v>78</v>
      </c>
      <c r="CA33" s="286">
        <f t="shared" si="34"/>
        <v>79</v>
      </c>
    </row>
    <row r="34" hidden="1" customHeight="1" outlineLevel="1" spans="1:79">
      <c r="A34" s="157"/>
      <c r="B34" s="154" t="s">
        <v>1673</v>
      </c>
      <c r="C34" s="158"/>
      <c r="D34" s="228"/>
      <c r="E34" s="158"/>
      <c r="F34" s="158"/>
      <c r="G34" s="158"/>
      <c r="H34" s="158"/>
      <c r="I34" s="158"/>
      <c r="J34" s="158"/>
      <c r="K34" s="158"/>
      <c r="N34" s="159">
        <f>SUMIF($BA8:$BA27,$BA34,N8:N27)</f>
        <v>0</v>
      </c>
      <c r="O34" s="159">
        <f>SUMIF($BA8:$BA27,$BA34,O8:O27)</f>
        <v>0</v>
      </c>
      <c r="P34" s="202"/>
      <c r="Q34" s="202"/>
      <c r="R34" s="202"/>
      <c r="S34" s="176"/>
      <c r="T34" s="176"/>
      <c r="U34" s="159">
        <f>SUMIF($BA8:$BA27,$BA34,U8:U27)</f>
        <v>0</v>
      </c>
      <c r="V34" s="159">
        <f>SUMIF($BA8:$BA27,$BA34,V8:V27)</f>
        <v>0</v>
      </c>
      <c r="W34" s="176"/>
      <c r="X34" s="176"/>
      <c r="Y34" s="159">
        <f>SUMIF($BA8:$BA27,$BA34,Y8:Y27)</f>
        <v>0</v>
      </c>
      <c r="BA34" s="161" t="s">
        <v>1674</v>
      </c>
      <c r="BF34" s="165"/>
      <c r="BG34" s="165"/>
      <c r="BH34" s="95" t="s">
        <v>1675</v>
      </c>
      <c r="BI34" s="95" t="s">
        <v>1675</v>
      </c>
      <c r="BJ34" s="95" t="s">
        <v>1675</v>
      </c>
      <c r="BK34" s="95" t="s">
        <v>1675</v>
      </c>
      <c r="BN34" s="75"/>
      <c r="BO34" s="75"/>
      <c r="BP34" s="75"/>
      <c r="BY34" s="746">
        <v>0</v>
      </c>
    </row>
    <row r="35" hidden="1" customHeight="1" outlineLevel="1" spans="1:79">
      <c r="A35" s="157"/>
      <c r="B35" s="154" t="s">
        <v>1676</v>
      </c>
      <c r="C35" s="158"/>
      <c r="D35" s="228"/>
      <c r="E35" s="158"/>
      <c r="F35" s="158"/>
      <c r="G35" s="158"/>
      <c r="H35" s="158"/>
      <c r="I35" s="158"/>
      <c r="J35" s="158"/>
      <c r="K35" s="158"/>
      <c r="N35" s="159">
        <f>N28-N34</f>
        <v>0</v>
      </c>
      <c r="O35" s="159">
        <f>O28-O34</f>
        <v>0</v>
      </c>
      <c r="P35" s="202"/>
      <c r="Q35" s="202"/>
      <c r="R35" s="202"/>
      <c r="S35" s="176"/>
      <c r="T35" s="176"/>
      <c r="U35" s="159">
        <f>U28-U34</f>
        <v>0</v>
      </c>
      <c r="V35" s="159">
        <f>V28-V34</f>
        <v>0</v>
      </c>
      <c r="W35" s="176"/>
      <c r="X35" s="176"/>
      <c r="Y35" s="159">
        <f>Y28-Y34</f>
        <v>0</v>
      </c>
      <c r="BA35" s="161" t="s">
        <v>1677</v>
      </c>
      <c r="BF35" s="165"/>
      <c r="BG35" s="165"/>
      <c r="BH35" s="95" t="s">
        <v>1678</v>
      </c>
      <c r="BI35" s="95" t="s">
        <v>1678</v>
      </c>
      <c r="BJ35" s="95" t="s">
        <v>1678</v>
      </c>
      <c r="BK35" s="95" t="s">
        <v>1678</v>
      </c>
      <c r="BN35" s="75"/>
      <c r="BO35" s="75"/>
      <c r="BP35" s="75"/>
      <c r="BY35" s="746">
        <v>0.5</v>
      </c>
    </row>
    <row r="36" hidden="1" customHeight="1" outlineLevel="1" collapsed="1" spans="1:79">
      <c r="A36" s="157"/>
      <c r="B36" s="158"/>
      <c r="C36" s="158"/>
      <c r="D36" s="228"/>
      <c r="E36" s="158"/>
      <c r="F36" s="158"/>
      <c r="G36" s="158"/>
      <c r="H36" s="158"/>
      <c r="I36" s="158"/>
      <c r="J36" s="158"/>
      <c r="K36" s="158"/>
      <c r="BY36" s="746">
        <v>1</v>
      </c>
    </row>
    <row r="37" customHeight="1" collapsed="1" spans="1:79">
      <c r="A37" s="157"/>
      <c r="B37" s="158"/>
      <c r="C37" s="158"/>
      <c r="D37" s="228"/>
      <c r="E37" s="158"/>
      <c r="F37" s="158"/>
      <c r="G37" s="158"/>
      <c r="H37" s="158"/>
      <c r="I37" s="158"/>
      <c r="J37" s="158"/>
      <c r="K37" s="158"/>
    </row>
    <row r="38" customHeight="1" spans="1:79">
      <c r="A38" s="157"/>
      <c r="B38" s="158"/>
      <c r="C38" s="158"/>
      <c r="D38" s="228"/>
      <c r="E38" s="158"/>
      <c r="F38" s="158"/>
      <c r="G38" s="158"/>
      <c r="H38" s="158"/>
      <c r="I38" s="158"/>
      <c r="J38" s="158"/>
      <c r="K38" s="158"/>
    </row>
    <row r="39" customHeight="1" spans="1:79">
      <c r="A39" s="157"/>
      <c r="B39" s="158"/>
      <c r="C39" s="158"/>
      <c r="D39" s="228"/>
      <c r="E39" s="158"/>
      <c r="F39" s="158"/>
      <c r="G39" s="158"/>
      <c r="H39" s="158"/>
      <c r="I39" s="158"/>
      <c r="J39" s="158"/>
      <c r="K39" s="158"/>
    </row>
  </sheetData>
  <sheetProtection autoFilter="0"/>
  <mergeCells count="31">
    <mergeCell ref="A2:AB2"/>
    <mergeCell ref="A3:AB3"/>
    <mergeCell ref="H6:K6"/>
    <mergeCell ref="L6:O6"/>
    <mergeCell ref="P6:R6"/>
    <mergeCell ref="S6:V6"/>
    <mergeCell ref="W6:Y6"/>
    <mergeCell ref="CH8:CJ8"/>
    <mergeCell ref="CH9:CJ9"/>
    <mergeCell ref="CI15:CJ15"/>
    <mergeCell ref="A28:B28"/>
    <mergeCell ref="A29:B29"/>
    <mergeCell ref="A30:B30"/>
    <mergeCell ref="A6:A7"/>
    <mergeCell ref="B6:B7"/>
    <mergeCell ref="C6:C7"/>
    <mergeCell ref="D6:D7"/>
    <mergeCell ref="E6:E7"/>
    <mergeCell ref="F6:F7"/>
    <mergeCell ref="G6:G7"/>
    <mergeCell ref="Z6:Z7"/>
    <mergeCell ref="AA6:AA7"/>
    <mergeCell ref="AB6:AB7"/>
    <mergeCell ref="BF6:BF7"/>
    <mergeCell ref="BG6:BG7"/>
    <mergeCell ref="BH6:BH7"/>
    <mergeCell ref="BI6:BI7"/>
    <mergeCell ref="BJ6:BJ7"/>
    <mergeCell ref="BK6:BK7"/>
    <mergeCell ref="BL6:BL7"/>
    <mergeCell ref="BM6:BM7"/>
  </mergeCells>
  <conditionalFormatting sqref="BL8:BL27">
    <cfRule type="expression" dxfId="5" priority="4" stopIfTrue="1">
      <formula>AND(BK8="无",BL8="")</formula>
    </cfRule>
  </conditionalFormatting>
  <conditionalFormatting sqref="BF8:BG27">
    <cfRule type="containsText" dxfId="6" priority="1" stopIfTrue="1" operator="between" text="出错">
      <formula>NOT(ISERROR(SEARCH("出错",BF8)))</formula>
    </cfRule>
  </conditionalFormatting>
  <conditionalFormatting sqref="BH8:BK27">
    <cfRule type="expression" dxfId="5" priority="5" stopIfTrue="1">
      <formula>AND($B8&lt;&gt;"",BH8="")</formula>
    </cfRule>
  </conditionalFormatting>
  <dataValidations count="5">
    <dataValidation type="list" allowBlank="1" showInputMessage="1" showErrorMessage="1" sqref="H8:H27">
      <formula1>OFFSET(参数表!$H$2:$H$50,,,COUNTA(参数表!$H$2:$H$50))</formula1>
    </dataValidation>
    <dataValidation type="list" allowBlank="1" showInputMessage="1" showErrorMessage="1" sqref="BA8:BA27 BA34:BA35">
      <formula1>"是,否"</formula1>
    </dataValidation>
    <dataValidation type="list" allowBlank="1" showInputMessage="1" showErrorMessage="1" sqref="BN8:BN27">
      <formula1>"成本法,约当法"</formula1>
    </dataValidation>
    <dataValidation type="list" allowBlank="1" showInputMessage="1" showErrorMessage="1" sqref="BY8:BY27">
      <formula1>BY$34:BY$36</formula1>
    </dataValidation>
    <dataValidation type="list" allowBlank="1" showInputMessage="1" showErrorMessage="1" sqref="BH8:BK27">
      <formula1>BH$34:BH$35</formula1>
    </dataValidation>
  </dataValidations>
  <hyperlinks>
    <hyperlink ref="A1" location="索引目录!E23" display="返回索引页"/>
    <hyperlink ref="B1" location="存货汇总!B24"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CH39"/>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4" width="9.7" style="75" customWidth="1"/>
    <col min="5" max="5" width="8.7" style="75" customWidth="1"/>
    <col min="6" max="6" width="4.6" style="165" customWidth="1"/>
    <col min="7" max="8" width="4.6" style="75" customWidth="1" outlineLevel="1"/>
    <col min="9" max="10" width="6.1" style="75" customWidth="1" outlineLevel="1"/>
    <col min="11" max="11" width="7.6" style="75" customWidth="1" outlineLevel="1"/>
    <col min="12" max="12" width="7.6" style="227" customWidth="1" outlineLevel="1"/>
    <col min="13" max="13" width="10.6" style="227" customWidth="1" outlineLevel="1"/>
    <col min="14" max="14" width="8.7" style="227" customWidth="1" outlineLevel="1"/>
    <col min="15" max="15" width="8.6" style="1216" customWidth="1" outlineLevel="1"/>
    <col min="16" max="17" width="12.6" style="1216" customWidth="1" outlineLevel="1"/>
    <col min="18" max="19" width="7.7" style="227" customWidth="1"/>
    <col min="20" max="20" width="10.6" style="227" customWidth="1"/>
    <col min="21" max="21" width="7.7" style="227" customWidth="1"/>
    <col min="22" max="22" width="7.7" style="75" customWidth="1"/>
    <col min="23" max="23" width="7.7" style="227" customWidth="1"/>
    <col min="24" max="24" width="10.6" style="227" customWidth="1"/>
    <col min="25" max="26" width="6.6" style="227" customWidth="1"/>
    <col min="27" max="27" width="6.6" style="75" customWidth="1"/>
    <col min="28" max="52" width="9" style="75" hidden="1" customWidth="1" outlineLevel="1"/>
    <col min="53" max="53" width="14.7" style="75" customWidth="1" collapsed="1"/>
    <col min="54" max="54" width="6.7" style="75" customWidth="1"/>
    <col min="55" max="56" width="5.1" style="75" customWidth="1"/>
    <col min="57" max="57" width="8.7" style="75" customWidth="1"/>
    <col min="58" max="59" width="9.6" style="75" customWidth="1"/>
    <col min="60" max="63" width="4.7" style="165" customWidth="1"/>
    <col min="64" max="64" width="6.7" style="165" customWidth="1"/>
    <col min="65" max="65" width="10.3" style="75" customWidth="1"/>
    <col min="66" max="66" width="8.7" style="165" customWidth="1"/>
    <col min="67" max="67" width="14.3" style="165" customWidth="1"/>
    <col min="68" max="68" width="10.7" style="165" customWidth="1"/>
    <col min="69" max="77" width="10.7" style="75" customWidth="1"/>
    <col min="78" max="78" width="1.6" style="77" customWidth="1"/>
    <col min="79" max="79" width="10.6" style="78" customWidth="1"/>
    <col min="80" max="80" width="10.6" style="77" customWidth="1"/>
    <col min="81" max="81" width="4.6" style="78" customWidth="1"/>
    <col min="82" max="82" width="10.6" style="78" customWidth="1"/>
    <col min="83" max="84" width="4.6" style="78" customWidth="1"/>
    <col min="85" max="85" width="10.6" style="78" customWidth="1"/>
    <col min="86" max="86" width="5" style="77" customWidth="1"/>
    <col min="87" max="16384" width="9" style="75"/>
  </cols>
  <sheetData>
    <row r="1" s="86" customFormat="1" ht="13.8" spans="1:86">
      <c r="A1" s="203" t="s">
        <v>1591</v>
      </c>
      <c r="B1" s="204" t="s">
        <v>1592</v>
      </c>
      <c r="C1" s="204"/>
      <c r="D1" s="82"/>
      <c r="E1" s="82"/>
      <c r="F1" s="82"/>
      <c r="G1" s="82"/>
      <c r="H1" s="82"/>
      <c r="I1" s="82"/>
      <c r="J1" s="82"/>
      <c r="K1" s="82"/>
      <c r="L1" s="82"/>
      <c r="M1" s="82"/>
      <c r="N1" s="82"/>
      <c r="O1" s="205"/>
      <c r="P1" s="205"/>
      <c r="Q1" s="205"/>
      <c r="R1" s="82"/>
      <c r="S1" s="82"/>
      <c r="T1" s="82"/>
      <c r="U1" s="82"/>
      <c r="V1" s="82"/>
      <c r="W1" s="82"/>
      <c r="X1" s="82"/>
      <c r="Y1" s="82"/>
      <c r="Z1" s="82"/>
      <c r="AA1" s="82"/>
      <c r="BA1" s="84" t="str">
        <f>参数表!BA1</f>
        <v>注意：补充特殊事项、作价等均从BA列开始填写</v>
      </c>
      <c r="BB1" s="85"/>
      <c r="BH1" s="82"/>
      <c r="BI1" s="82"/>
      <c r="BJ1" s="82"/>
      <c r="BK1" s="82"/>
      <c r="BL1" s="82"/>
      <c r="BN1" s="82"/>
      <c r="BO1" s="82"/>
      <c r="BP1" s="82"/>
      <c r="BZ1" s="87"/>
      <c r="CA1" s="88"/>
      <c r="CB1" s="87"/>
      <c r="CC1" s="88"/>
      <c r="CD1" s="88"/>
      <c r="CE1" s="88"/>
      <c r="CF1" s="88"/>
      <c r="CG1" s="88"/>
      <c r="CH1" s="87"/>
    </row>
    <row r="2" s="71" customFormat="1" ht="30" customHeight="1" spans="1:86">
      <c r="A2" s="89" t="s">
        <v>2726</v>
      </c>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BA2" s="90" t="str">
        <f>参数表!BA2</f>
        <v>评估基准日：</v>
      </c>
      <c r="BB2" s="91" t="str">
        <f>参数表!BB2</f>
        <v>2025年7月31日</v>
      </c>
      <c r="BH2" s="171"/>
      <c r="BI2" s="171"/>
      <c r="BJ2" s="171"/>
      <c r="BK2" s="171"/>
      <c r="BL2" s="171"/>
      <c r="BN2" s="171"/>
      <c r="BO2" s="171"/>
      <c r="BP2" s="171"/>
      <c r="BZ2" s="92"/>
      <c r="CA2" s="93"/>
      <c r="CB2" s="92"/>
      <c r="CC2" s="93"/>
      <c r="CD2" s="93"/>
      <c r="CE2" s="93"/>
      <c r="CF2" s="93"/>
      <c r="CG2" s="93"/>
      <c r="CH2" s="92"/>
    </row>
    <row r="3" ht="15" customHeight="1" spans="1:86">
      <c r="A3" s="94" t="str">
        <f>参数表!F5</f>
        <v>评估基准日：2025年7月31日</v>
      </c>
      <c r="B3" s="94"/>
      <c r="C3" s="94"/>
      <c r="D3" s="94"/>
      <c r="E3" s="94"/>
      <c r="F3" s="94"/>
      <c r="G3" s="94"/>
      <c r="H3" s="94"/>
      <c r="I3" s="94"/>
      <c r="J3" s="94"/>
      <c r="K3" s="94"/>
      <c r="L3" s="94"/>
      <c r="M3" s="94"/>
      <c r="N3" s="94"/>
      <c r="O3" s="94"/>
      <c r="P3" s="94"/>
      <c r="Q3" s="94"/>
      <c r="R3" s="94"/>
      <c r="S3" s="94"/>
      <c r="T3" s="95"/>
      <c r="U3" s="95"/>
      <c r="V3" s="95"/>
      <c r="W3" s="95"/>
      <c r="X3" s="95"/>
      <c r="Y3" s="95"/>
      <c r="Z3" s="95"/>
      <c r="AA3" s="95"/>
      <c r="BA3" s="90" t="str">
        <f>参数表!BA3</f>
        <v>是否显示评估值：</v>
      </c>
      <c r="BB3" s="90" t="str">
        <f>参数表!BB3</f>
        <v>是</v>
      </c>
      <c r="BZ3" s="92"/>
      <c r="CA3" s="93"/>
      <c r="CB3" s="92"/>
      <c r="CC3" s="93"/>
      <c r="CD3" s="93"/>
      <c r="CE3" s="93"/>
      <c r="CF3" s="93"/>
      <c r="CG3" s="93"/>
      <c r="CH3" s="92"/>
    </row>
    <row r="4" ht="15" customHeight="1" spans="1:86">
      <c r="A4" s="96"/>
      <c r="B4" s="94"/>
      <c r="C4" s="94"/>
      <c r="D4" s="94"/>
      <c r="E4" s="94"/>
      <c r="F4" s="94"/>
      <c r="G4" s="94"/>
      <c r="H4" s="94"/>
      <c r="I4" s="94"/>
      <c r="J4" s="94"/>
      <c r="K4" s="94"/>
      <c r="L4" s="94"/>
      <c r="M4" s="94"/>
      <c r="N4" s="94"/>
      <c r="O4" s="97"/>
      <c r="P4" s="97"/>
      <c r="Q4" s="97"/>
      <c r="R4" s="94"/>
      <c r="S4" s="94"/>
      <c r="T4" s="98"/>
      <c r="U4" s="98"/>
      <c r="V4" s="95"/>
      <c r="W4" s="95"/>
      <c r="X4" s="95"/>
      <c r="Y4" s="95"/>
      <c r="Z4" s="95"/>
      <c r="AA4" s="98" t="str">
        <f>"表"&amp;$BA4</f>
        <v>表3-10-7</v>
      </c>
      <c r="BA4" s="95" t="str">
        <f>存货总!A13</f>
        <v>3-10-7</v>
      </c>
      <c r="BB4" s="100">
        <f>MAX(COUNTA(A8:A27),COUNTA(B8:B27),COUNTA(M8:M27),COUNTA(T8:T27))</f>
        <v>20</v>
      </c>
      <c r="BC4" s="101">
        <f>ROW(A7)+1</f>
        <v>8</v>
      </c>
      <c r="BD4" s="77"/>
      <c r="BE4" s="77"/>
      <c r="CB4" s="78"/>
    </row>
    <row r="5" ht="15" customHeight="1" spans="1:86">
      <c r="A5" s="102" t="str">
        <f>参数表!F3</f>
        <v>产权持有单位:中煤第五建设有限公司</v>
      </c>
      <c r="B5" s="103"/>
      <c r="C5" s="103"/>
      <c r="D5" s="103"/>
      <c r="E5" s="103"/>
      <c r="F5" s="95"/>
      <c r="G5" s="103"/>
      <c r="H5" s="103"/>
      <c r="I5" s="103"/>
      <c r="J5" s="103"/>
      <c r="K5" s="103"/>
      <c r="L5" s="1217"/>
      <c r="M5" s="1217"/>
      <c r="N5" s="1217"/>
      <c r="O5" s="1218"/>
      <c r="P5" s="1218"/>
      <c r="Q5" s="1218"/>
      <c r="R5" s="1217"/>
      <c r="S5" s="1217"/>
      <c r="T5" s="1217"/>
      <c r="U5" s="1217"/>
      <c r="V5" s="103"/>
      <c r="W5" s="1217"/>
      <c r="X5" s="1217"/>
      <c r="Y5" s="1217"/>
      <c r="Z5" s="1217"/>
      <c r="AA5" s="98" t="s">
        <v>236</v>
      </c>
      <c r="BA5" s="103"/>
      <c r="BB5" s="105" t="str">
        <f ca="1">判断表!C36</f>
        <v>中煤第五建设有限公司第三工程处拟处置实物资产项目\[0000-3基础法明细表.xlsx]发出商品</v>
      </c>
      <c r="BC5" s="106">
        <f>IFERROR(SUMIF(BC8:BC27,"√",T8:T27)/T28,0)</f>
        <v>0</v>
      </c>
      <c r="BD5" s="107"/>
      <c r="BE5" s="107"/>
      <c r="BF5" s="284">
        <f>'在产品（半成品）'!BF5</f>
        <v>35557.52</v>
      </c>
      <c r="BG5" s="284">
        <f>'在产品（半成品）'!BG5</f>
        <v>35557.52</v>
      </c>
      <c r="BN5" s="75"/>
      <c r="BO5" s="103"/>
      <c r="BP5" s="103"/>
      <c r="CB5" s="78"/>
    </row>
    <row r="6" s="72" customFormat="1" ht="15" customHeight="1" spans="1:86">
      <c r="A6" s="112" t="s">
        <v>305</v>
      </c>
      <c r="B6" s="113" t="s">
        <v>2727</v>
      </c>
      <c r="C6" s="113" t="s">
        <v>2175</v>
      </c>
      <c r="D6" s="193" t="s">
        <v>2728</v>
      </c>
      <c r="E6" s="193" t="s">
        <v>2666</v>
      </c>
      <c r="F6" s="118" t="s">
        <v>2176</v>
      </c>
      <c r="G6" s="511" t="s">
        <v>1964</v>
      </c>
      <c r="H6" s="512"/>
      <c r="I6" s="512"/>
      <c r="J6" s="513"/>
      <c r="K6" s="514" t="s">
        <v>1549</v>
      </c>
      <c r="L6" s="189"/>
      <c r="M6" s="189"/>
      <c r="N6" s="190"/>
      <c r="O6" s="515" t="s">
        <v>1634</v>
      </c>
      <c r="P6" s="516"/>
      <c r="Q6" s="517"/>
      <c r="R6" s="514" t="s">
        <v>1523</v>
      </c>
      <c r="S6" s="189"/>
      <c r="T6" s="189"/>
      <c r="U6" s="190"/>
      <c r="V6" s="1219" t="s">
        <v>1550</v>
      </c>
      <c r="W6" s="1219"/>
      <c r="X6" s="1219"/>
      <c r="Y6" s="113" t="s">
        <v>1525</v>
      </c>
      <c r="Z6" s="1220" t="s">
        <v>1551</v>
      </c>
      <c r="AA6" s="113" t="s">
        <v>308</v>
      </c>
      <c r="BA6" s="191"/>
      <c r="BB6" s="100"/>
      <c r="BC6" s="100"/>
      <c r="BD6" s="100"/>
      <c r="BE6" s="100"/>
      <c r="BF6" s="192" t="s">
        <v>1639</v>
      </c>
      <c r="BG6" s="192" t="s">
        <v>1640</v>
      </c>
      <c r="BH6" s="113" t="s">
        <v>1748</v>
      </c>
      <c r="BI6" s="113" t="s">
        <v>1749</v>
      </c>
      <c r="BJ6" s="118" t="s">
        <v>1750</v>
      </c>
      <c r="BK6" s="118" t="s">
        <v>1686</v>
      </c>
      <c r="BL6" s="193" t="s">
        <v>1687</v>
      </c>
      <c r="BM6" s="118" t="s">
        <v>2063</v>
      </c>
      <c r="BN6" s="113" t="s">
        <v>1644</v>
      </c>
      <c r="BO6" s="224"/>
      <c r="BP6" s="191"/>
      <c r="BQ6" s="1203">
        <f>'产成品（商品）'!BQ6</f>
        <v>0</v>
      </c>
      <c r="BR6" s="1203">
        <f>'产成品（商品）'!BR6</f>
        <v>0</v>
      </c>
      <c r="BS6" s="1203">
        <f>'产成品（商品）'!BS6</f>
        <v>0</v>
      </c>
      <c r="BT6" s="1203">
        <f>'产成品（商品）'!BT6</f>
        <v>0</v>
      </c>
      <c r="BU6" s="1203">
        <f>'产成品（商品）'!BU6</f>
        <v>0</v>
      </c>
      <c r="BV6" s="1221">
        <f>SUM(BV8:BV27)</f>
        <v>0</v>
      </c>
      <c r="BW6" s="1203">
        <f>'产成品（商品）'!BW6</f>
        <v>0.25</v>
      </c>
      <c r="BX6" s="191"/>
      <c r="BY6" s="191"/>
      <c r="BZ6" s="111"/>
      <c r="CA6" s="78"/>
      <c r="CB6" s="78"/>
      <c r="CC6" s="78"/>
      <c r="CD6" s="78"/>
      <c r="CE6" s="78"/>
      <c r="CF6" s="78"/>
      <c r="CG6" s="78"/>
      <c r="CH6" s="111"/>
    </row>
    <row r="7" s="72" customFormat="1" ht="15" customHeight="1" spans="1:86">
      <c r="A7" s="195"/>
      <c r="B7" s="149"/>
      <c r="C7" s="149"/>
      <c r="D7" s="695"/>
      <c r="E7" s="198"/>
      <c r="F7" s="149"/>
      <c r="G7" s="519" t="s">
        <v>1968</v>
      </c>
      <c r="H7" s="519" t="s">
        <v>1969</v>
      </c>
      <c r="I7" s="519" t="s">
        <v>1970</v>
      </c>
      <c r="J7" s="519" t="s">
        <v>2177</v>
      </c>
      <c r="K7" s="149" t="s">
        <v>1637</v>
      </c>
      <c r="L7" s="149" t="s">
        <v>2178</v>
      </c>
      <c r="M7" s="1222" t="s">
        <v>271</v>
      </c>
      <c r="N7" s="1222" t="s">
        <v>2179</v>
      </c>
      <c r="O7" s="1205" t="s">
        <v>2180</v>
      </c>
      <c r="P7" s="1205" t="s">
        <v>2181</v>
      </c>
      <c r="Q7" s="1205" t="s">
        <v>2182</v>
      </c>
      <c r="R7" s="113" t="s">
        <v>1637</v>
      </c>
      <c r="S7" s="113" t="s">
        <v>2178</v>
      </c>
      <c r="T7" s="113" t="s">
        <v>271</v>
      </c>
      <c r="U7" s="113" t="s">
        <v>2179</v>
      </c>
      <c r="V7" s="1219" t="s">
        <v>2183</v>
      </c>
      <c r="W7" s="1219" t="s">
        <v>2184</v>
      </c>
      <c r="X7" s="1219" t="s">
        <v>271</v>
      </c>
      <c r="Y7" s="113"/>
      <c r="Z7" s="1223"/>
      <c r="AA7" s="113"/>
      <c r="BA7" s="100" t="s">
        <v>1545</v>
      </c>
      <c r="BB7" s="100" t="s">
        <v>1635</v>
      </c>
      <c r="BC7" s="100" t="s">
        <v>1636</v>
      </c>
      <c r="BD7" s="100" t="s">
        <v>1637</v>
      </c>
      <c r="BE7" s="100" t="s">
        <v>1638</v>
      </c>
      <c r="BF7" s="197"/>
      <c r="BG7" s="197"/>
      <c r="BH7" s="113"/>
      <c r="BI7" s="113"/>
      <c r="BJ7" s="118"/>
      <c r="BK7" s="118"/>
      <c r="BL7" s="198"/>
      <c r="BM7" s="118"/>
      <c r="BN7" s="113"/>
      <c r="BO7" s="191" t="s">
        <v>2666</v>
      </c>
      <c r="BP7" s="191" t="s">
        <v>2668</v>
      </c>
      <c r="BQ7" s="191" t="s">
        <v>2669</v>
      </c>
      <c r="BR7" s="191" t="s">
        <v>2670</v>
      </c>
      <c r="BS7" s="191" t="s">
        <v>2671</v>
      </c>
      <c r="BT7" s="191" t="str">
        <f>'产成品（商品）'!BT7</f>
        <v>研发费用</v>
      </c>
      <c r="BU7" s="191" t="s">
        <v>2673</v>
      </c>
      <c r="BV7" s="191" t="s">
        <v>2674</v>
      </c>
      <c r="BW7" s="191" t="s">
        <v>2675</v>
      </c>
      <c r="BX7" s="191" t="s">
        <v>2676</v>
      </c>
      <c r="BY7" s="191" t="s">
        <v>1524</v>
      </c>
      <c r="BZ7" s="119"/>
      <c r="CA7" s="120" t="s">
        <v>1645</v>
      </c>
      <c r="CB7" s="121" t="s">
        <v>1646</v>
      </c>
      <c r="CC7" s="121" t="s">
        <v>1647</v>
      </c>
      <c r="CD7" s="121" t="s">
        <v>1648</v>
      </c>
      <c r="CE7" s="121" t="s">
        <v>1647</v>
      </c>
      <c r="CF7" s="121" t="s">
        <v>1647</v>
      </c>
      <c r="CG7" s="121" t="s">
        <v>1649</v>
      </c>
      <c r="CH7" s="122" t="s">
        <v>1650</v>
      </c>
    </row>
    <row r="8" ht="15" customHeight="1" spans="1:86">
      <c r="A8" s="123" t="str">
        <f>IF(B8="","",COUNT(A$7:A7)+1)</f>
        <v/>
      </c>
      <c r="B8" s="982"/>
      <c r="C8" s="982"/>
      <c r="D8" s="126"/>
      <c r="E8" s="1224" t="str">
        <f>IFERROR(VLOOKUP(B8&amp;C8,'产成品（商品）'!D$8:F$27,3,FALSE)&amp;"","")</f>
        <v/>
      </c>
      <c r="F8" s="1225" t="str">
        <f>IFERROR(VLOOKUP(B8&amp;C8,'产成品（商品）'!D$8:F$27,2,FALSE)&amp;"","")</f>
        <v/>
      </c>
      <c r="G8" s="127"/>
      <c r="H8" s="127" t="str">
        <f>IFERROR(VLOOKUP(G8,参数表!$H$2:$I$50,2,FALSE),"")</f>
        <v/>
      </c>
      <c r="I8" s="128" t="str">
        <f>IFERROR(IF(OR(G8="人民币",G8=""),"",T8/H8),"")</f>
        <v/>
      </c>
      <c r="J8" s="128" t="str">
        <f>IFERROR(IF(OR(G8="人民币",G8=""),"",U8/H8),"")</f>
        <v/>
      </c>
      <c r="K8" s="353"/>
      <c r="L8" s="129" t="str">
        <f t="shared" ref="L8:L28" si="0">IF(K8=0,"",M8/K8)</f>
        <v/>
      </c>
      <c r="M8" s="129"/>
      <c r="N8" s="129"/>
      <c r="O8" s="130"/>
      <c r="P8" s="130"/>
      <c r="Q8" s="130"/>
      <c r="R8" s="353" t="str">
        <f>IF(B8="","",K8+O8)</f>
        <v/>
      </c>
      <c r="S8" s="129" t="str">
        <f>IFERROR(T8/R8,"")</f>
        <v/>
      </c>
      <c r="T8" s="1226" t="str">
        <f>IF(B8="","",M8+P8)</f>
        <v/>
      </c>
      <c r="U8" s="1226" t="str">
        <f>IF(B8="","",N8+Q8)</f>
        <v/>
      </c>
      <c r="V8" s="353" t="str">
        <f t="shared" ref="V8:V27" si="1">IF(B8="","",IF($BB$3="是",R8,""))</f>
        <v/>
      </c>
      <c r="W8" s="353" t="str">
        <f>IFERROR(X8/V8,"")</f>
        <v/>
      </c>
      <c r="X8" s="353" t="str">
        <f t="shared" ref="X8:X27" si="2">IF(B8="","",IF(BB$3="是",BY8,""))</f>
        <v/>
      </c>
      <c r="Y8" s="129" t="str">
        <f>IFERROR(X8-(T8-U8),"")</f>
        <v/>
      </c>
      <c r="Z8" s="129" t="str">
        <f>IFERROR(Y8/(T8-U8)*100,"")</f>
        <v/>
      </c>
      <c r="AA8" s="131"/>
      <c r="BA8" s="78"/>
      <c r="BB8" s="132" t="s">
        <v>2729</v>
      </c>
      <c r="BC8" s="133"/>
      <c r="BD8" s="132" t="str">
        <f>IF(OR(B8="",BC8=""),"",COUNTIF(BC$8:BC8,"√"))</f>
        <v/>
      </c>
      <c r="BE8" s="134" t="str">
        <f t="shared" ref="BE8:BE27" si="3">IF(BC8="","",BB8&amp;"︱"&amp;B8&amp;"︱"&amp;TEXT(M8,"#,##0.00"))</f>
        <v/>
      </c>
      <c r="BF8" s="135" t="str">
        <f>IF($B8="","",IF(BF$5=0,"OK","出错"))</f>
        <v/>
      </c>
      <c r="BG8" s="135" t="str">
        <f>IF($B8="","",IF(BG$5=0,"OK","出错"))</f>
        <v/>
      </c>
      <c r="BH8" s="136"/>
      <c r="BI8" s="136"/>
      <c r="BJ8" s="136"/>
      <c r="BK8" s="136"/>
      <c r="BL8" s="136"/>
      <c r="BM8" s="137"/>
      <c r="BN8" s="137"/>
      <c r="BO8" s="1227" t="str">
        <f t="shared" ref="BO8:BO27" si="4">E8</f>
        <v/>
      </c>
      <c r="BP8" s="187">
        <f t="shared" ref="BP8:BP27" si="5">IFERROR(V8*BO8,0)</f>
        <v>0</v>
      </c>
      <c r="BQ8" s="187">
        <f t="shared" ref="BQ8:BQ27" si="6">$BP8*BQ$6</f>
        <v>0</v>
      </c>
      <c r="BR8" s="187">
        <f t="shared" ref="BR8:BU27" si="7">$BP8*BR$6</f>
        <v>0</v>
      </c>
      <c r="BS8" s="187">
        <f t="shared" si="7"/>
        <v>0</v>
      </c>
      <c r="BT8" s="187">
        <f t="shared" si="7"/>
        <v>0</v>
      </c>
      <c r="BU8" s="187">
        <f t="shared" si="7"/>
        <v>0</v>
      </c>
      <c r="BV8" s="187">
        <f t="shared" ref="BV8:BV27" si="8">BP8-SUM(T8,BQ8:BU8)</f>
        <v>0</v>
      </c>
      <c r="BW8" s="187">
        <f>IF(BV$6&gt;0,BV8*BW$6,0)</f>
        <v>0</v>
      </c>
      <c r="BX8" s="187">
        <f>BV8-BW8</f>
        <v>0</v>
      </c>
      <c r="BY8" s="187">
        <f t="shared" ref="BY8:BY27" si="9">IFERROR(BO8*V8-BQ8-BW8,0)</f>
        <v>0</v>
      </c>
      <c r="CA8" s="134" t="str">
        <f>IF(COUNTIF(CA$7:CA7,B8)&gt;0,"",B8)&amp;""</f>
        <v/>
      </c>
      <c r="CB8" s="138">
        <f>SUMIF(B$8:B$27,CA8,T$8:T$27)</f>
        <v>0</v>
      </c>
      <c r="CC8" s="132">
        <f t="shared" ref="CC8" si="10">RANK(CB8,CB$8:CB$27)</f>
        <v>1</v>
      </c>
      <c r="CD8" s="138">
        <f>SUMIF(B$8:B$27,CA8,X$8:X$27)</f>
        <v>0</v>
      </c>
      <c r="CE8" s="132">
        <f>RANK(CD8,CD$8:CD$27)</f>
        <v>1</v>
      </c>
      <c r="CF8" s="138">
        <f>SUM(CB8:CB27)</f>
        <v>0</v>
      </c>
      <c r="CG8" s="138"/>
      <c r="CH8" s="138"/>
    </row>
    <row r="9" ht="15" customHeight="1" spans="1:86">
      <c r="A9" s="123" t="str">
        <f>IF(B9="","",COUNT(A$7:A8)+1)</f>
        <v/>
      </c>
      <c r="B9" s="139"/>
      <c r="C9" s="139"/>
      <c r="D9" s="141"/>
      <c r="E9" s="1224" t="str">
        <f>IFERROR(VLOOKUP(B9&amp;C9,'产成品（商品）'!D$8:F$27,3,FALSE)&amp;"","")</f>
        <v/>
      </c>
      <c r="F9" s="214" t="str">
        <f>IFERROR(VLOOKUP(B9&amp;C9,'产成品（商品）'!D$8:F$27,2,FALSE)&amp;"","")</f>
        <v/>
      </c>
      <c r="G9" s="142"/>
      <c r="H9" s="127" t="str">
        <f>IFERROR(VLOOKUP(G9,参数表!$H$2:$I$50,2,FALSE),"")</f>
        <v/>
      </c>
      <c r="I9" s="128" t="str">
        <f>IFERROR(IF(OR(G9="人民币",G9=""),"",T9/H9),"")</f>
        <v/>
      </c>
      <c r="J9" s="128" t="str">
        <f>IFERROR(IF(OR(G9="人民币",G9=""),"",U9/H9),"")</f>
        <v/>
      </c>
      <c r="K9" s="980"/>
      <c r="L9" s="143" t="str">
        <f t="shared" si="0"/>
        <v/>
      </c>
      <c r="M9" s="143"/>
      <c r="N9" s="143"/>
      <c r="O9" s="144"/>
      <c r="P9" s="144"/>
      <c r="Q9" s="144"/>
      <c r="R9" s="353" t="str">
        <f t="shared" ref="R9:R27" si="11">IF(B9="","",K9+O9)</f>
        <v/>
      </c>
      <c r="S9" s="129" t="str">
        <f t="shared" ref="S9:S27" si="12">IFERROR(T9/R9,"")</f>
        <v/>
      </c>
      <c r="T9" s="1226" t="str">
        <f t="shared" ref="T9:T27" si="13">IF(B9="","",M9+P9)</f>
        <v/>
      </c>
      <c r="U9" s="1226" t="str">
        <f t="shared" ref="U9:U27" si="14">IF(B9="","",N9+Q9)</f>
        <v/>
      </c>
      <c r="V9" s="353" t="str">
        <f t="shared" si="1"/>
        <v/>
      </c>
      <c r="W9" s="353" t="str">
        <f t="shared" ref="W9:W27" si="15">IFERROR(X9/V9,"")</f>
        <v/>
      </c>
      <c r="X9" s="353" t="str">
        <f t="shared" si="2"/>
        <v/>
      </c>
      <c r="Y9" s="129" t="str">
        <f t="shared" ref="Y9:Y30" si="16">IFERROR(X9-(T9-U9),"")</f>
        <v/>
      </c>
      <c r="Z9" s="129" t="str">
        <f t="shared" ref="Z9:Z30" si="17">IFERROR(Y9/(T9-U9)*100,"")</f>
        <v/>
      </c>
      <c r="AA9" s="145"/>
      <c r="BA9" s="78"/>
      <c r="BB9" s="132" t="s">
        <v>2730</v>
      </c>
      <c r="BC9" s="133"/>
      <c r="BD9" s="132" t="str">
        <f>IF(OR(B9="",BC9=""),"",COUNTIF(BC$8:BC9,"√"))</f>
        <v/>
      </c>
      <c r="BE9" s="134" t="str">
        <f t="shared" si="3"/>
        <v/>
      </c>
      <c r="BF9" s="135" t="str">
        <f t="shared" ref="BF9:BG27" si="18">IF($B9="","",IF(BF$5=0,"OK","出错"))</f>
        <v/>
      </c>
      <c r="BG9" s="135" t="str">
        <f t="shared" si="18"/>
        <v/>
      </c>
      <c r="BH9" s="136"/>
      <c r="BI9" s="136"/>
      <c r="BJ9" s="136"/>
      <c r="BK9" s="136"/>
      <c r="BL9" s="136"/>
      <c r="BM9" s="137"/>
      <c r="BN9" s="137"/>
      <c r="BO9" s="187" t="str">
        <f t="shared" si="4"/>
        <v/>
      </c>
      <c r="BP9" s="187">
        <f t="shared" si="5"/>
        <v>0</v>
      </c>
      <c r="BQ9" s="187">
        <f t="shared" si="6"/>
        <v>0</v>
      </c>
      <c r="BR9" s="187">
        <f t="shared" si="7"/>
        <v>0</v>
      </c>
      <c r="BS9" s="187">
        <f t="shared" si="7"/>
        <v>0</v>
      </c>
      <c r="BT9" s="187">
        <f t="shared" si="7"/>
        <v>0</v>
      </c>
      <c r="BU9" s="187">
        <f t="shared" si="7"/>
        <v>0</v>
      </c>
      <c r="BV9" s="187">
        <f t="shared" si="8"/>
        <v>0</v>
      </c>
      <c r="BW9" s="187">
        <f t="shared" ref="BW9:BW27" si="19">IF(BV$6&gt;0,BV9*BW$6,0)</f>
        <v>0</v>
      </c>
      <c r="BX9" s="187">
        <f t="shared" ref="BX9:BX27" si="20">BV9-BW9</f>
        <v>0</v>
      </c>
      <c r="BY9" s="187">
        <f t="shared" si="9"/>
        <v>0</v>
      </c>
      <c r="CA9" s="134" t="str">
        <f>IF(COUNTIF(CA$7:CA8,B9)&gt;0,"",B9)&amp;""</f>
        <v/>
      </c>
      <c r="CB9" s="138">
        <f t="shared" ref="CB9:CB27" si="21">SUMIF(B$8:B$27,CA9,T$8:T$27)</f>
        <v>0</v>
      </c>
      <c r="CC9" s="132">
        <f t="shared" ref="CC9:CC27" si="22">RANK(CB9,CB$8:CB$27)</f>
        <v>1</v>
      </c>
      <c r="CD9" s="138">
        <f t="shared" ref="CD9:CD27" si="23">SUMIF(B$8:B$27,CA9,X$8:X$27)</f>
        <v>0</v>
      </c>
      <c r="CE9" s="132">
        <f t="shared" ref="CE9:CE27" si="24">RANK(CD9,CD$8:CD$27)</f>
        <v>1</v>
      </c>
      <c r="CF9" s="138">
        <f>SUM(CD8:CD27)</f>
        <v>0</v>
      </c>
      <c r="CG9" s="138"/>
      <c r="CH9" s="138"/>
    </row>
    <row r="10" ht="15" customHeight="1" spans="1:86">
      <c r="A10" s="123" t="str">
        <f>IF(B10="","",COUNT(A$7:A9)+1)</f>
        <v/>
      </c>
      <c r="B10" s="139"/>
      <c r="C10" s="139"/>
      <c r="D10" s="141"/>
      <c r="E10" s="1224" t="str">
        <f>IFERROR(VLOOKUP(B10&amp;C10,'产成品（商品）'!D$8:F$27,3,FALSE)&amp;"","")</f>
        <v/>
      </c>
      <c r="F10" s="214" t="str">
        <f>IFERROR(VLOOKUP(B10&amp;C10,'产成品（商品）'!D$8:F$27,2,FALSE)&amp;"","")</f>
        <v/>
      </c>
      <c r="G10" s="142"/>
      <c r="H10" s="127" t="str">
        <f>IFERROR(VLOOKUP(G10,参数表!$H$2:$I$50,2,FALSE),"")</f>
        <v/>
      </c>
      <c r="I10" s="128" t="str">
        <f t="shared" ref="I10:I27" si="25">IFERROR(IF(OR(G10="人民币",G10=""),"",T10/H10),"")</f>
        <v/>
      </c>
      <c r="J10" s="128" t="str">
        <f t="shared" ref="J10:J27" si="26">IFERROR(IF(OR(G10="人民币",G10=""),"",U10/H10),"")</f>
        <v/>
      </c>
      <c r="K10" s="980"/>
      <c r="L10" s="143" t="str">
        <f t="shared" si="0"/>
        <v/>
      </c>
      <c r="M10" s="143"/>
      <c r="N10" s="143"/>
      <c r="O10" s="144"/>
      <c r="P10" s="144"/>
      <c r="Q10" s="144"/>
      <c r="R10" s="353" t="str">
        <f t="shared" si="11"/>
        <v/>
      </c>
      <c r="S10" s="129" t="str">
        <f t="shared" si="12"/>
        <v/>
      </c>
      <c r="T10" s="1226" t="str">
        <f t="shared" si="13"/>
        <v/>
      </c>
      <c r="U10" s="1226" t="str">
        <f t="shared" si="14"/>
        <v/>
      </c>
      <c r="V10" s="353" t="str">
        <f t="shared" si="1"/>
        <v/>
      </c>
      <c r="W10" s="353" t="str">
        <f t="shared" si="15"/>
        <v/>
      </c>
      <c r="X10" s="353" t="str">
        <f t="shared" si="2"/>
        <v/>
      </c>
      <c r="Y10" s="129" t="str">
        <f t="shared" si="16"/>
        <v/>
      </c>
      <c r="Z10" s="129" t="str">
        <f t="shared" si="17"/>
        <v/>
      </c>
      <c r="AA10" s="145"/>
      <c r="BA10" s="78"/>
      <c r="BB10" s="132" t="s">
        <v>2731</v>
      </c>
      <c r="BC10" s="133"/>
      <c r="BD10" s="132" t="str">
        <f>IF(OR(B10="",BC10=""),"",COUNTIF(BC$8:BC10,"√"))</f>
        <v/>
      </c>
      <c r="BE10" s="134" t="str">
        <f t="shared" si="3"/>
        <v/>
      </c>
      <c r="BF10" s="135" t="str">
        <f t="shared" si="18"/>
        <v/>
      </c>
      <c r="BG10" s="135" t="str">
        <f t="shared" si="18"/>
        <v/>
      </c>
      <c r="BH10" s="136"/>
      <c r="BI10" s="136"/>
      <c r="BJ10" s="136"/>
      <c r="BK10" s="136"/>
      <c r="BL10" s="136"/>
      <c r="BM10" s="137"/>
      <c r="BN10" s="137"/>
      <c r="BO10" s="187" t="str">
        <f t="shared" si="4"/>
        <v/>
      </c>
      <c r="BP10" s="187">
        <f t="shared" si="5"/>
        <v>0</v>
      </c>
      <c r="BQ10" s="187">
        <f t="shared" si="6"/>
        <v>0</v>
      </c>
      <c r="BR10" s="187">
        <f t="shared" si="7"/>
        <v>0</v>
      </c>
      <c r="BS10" s="187">
        <f t="shared" si="7"/>
        <v>0</v>
      </c>
      <c r="BT10" s="187">
        <f t="shared" si="7"/>
        <v>0</v>
      </c>
      <c r="BU10" s="187">
        <f t="shared" si="7"/>
        <v>0</v>
      </c>
      <c r="BV10" s="187">
        <f t="shared" si="8"/>
        <v>0</v>
      </c>
      <c r="BW10" s="187">
        <f t="shared" si="19"/>
        <v>0</v>
      </c>
      <c r="BX10" s="187">
        <f t="shared" si="20"/>
        <v>0</v>
      </c>
      <c r="BY10" s="187">
        <f t="shared" si="9"/>
        <v>0</v>
      </c>
      <c r="CA10" s="134" t="str">
        <f>IF(COUNTIF(CA$7:CA9,B10)&gt;0,"",B10)&amp;""</f>
        <v/>
      </c>
      <c r="CB10" s="138">
        <f t="shared" si="21"/>
        <v>0</v>
      </c>
      <c r="CC10" s="132">
        <f t="shared" si="22"/>
        <v>1</v>
      </c>
      <c r="CD10" s="138">
        <f t="shared" si="23"/>
        <v>0</v>
      </c>
      <c r="CE10" s="132">
        <f t="shared" si="24"/>
        <v>1</v>
      </c>
      <c r="CF10" s="132">
        <v>1</v>
      </c>
      <c r="CG10" s="134" t="str">
        <f>IFERROR(INDEX(CA$8:CA$27,MATCH(CF10,IF(CF$8=0,CE$8:CE$27,CC$8:CC$27),0))&amp;"","")</f>
        <v/>
      </c>
      <c r="CH10" s="146" t="str">
        <f>IF(CG11="","",IF(CG12="","和","、"))</f>
        <v/>
      </c>
    </row>
    <row r="11" ht="15" customHeight="1" spans="1:86">
      <c r="A11" s="123" t="str">
        <f>IF(B11="","",COUNT(A$7:A10)+1)</f>
        <v/>
      </c>
      <c r="B11" s="139"/>
      <c r="C11" s="139"/>
      <c r="D11" s="141"/>
      <c r="E11" s="1224" t="str">
        <f>IFERROR(VLOOKUP(B11&amp;C11,'产成品（商品）'!D$8:F$27,3,FALSE)&amp;"","")</f>
        <v/>
      </c>
      <c r="F11" s="214" t="str">
        <f>IFERROR(VLOOKUP(B11&amp;C11,'产成品（商品）'!D$8:F$27,2,FALSE)&amp;"","")</f>
        <v/>
      </c>
      <c r="G11" s="142"/>
      <c r="H11" s="127" t="str">
        <f>IFERROR(VLOOKUP(G11,参数表!$H$2:$I$50,2,FALSE),"")</f>
        <v/>
      </c>
      <c r="I11" s="128" t="str">
        <f t="shared" si="25"/>
        <v/>
      </c>
      <c r="J11" s="128" t="str">
        <f t="shared" si="26"/>
        <v/>
      </c>
      <c r="K11" s="980"/>
      <c r="L11" s="143" t="str">
        <f t="shared" si="0"/>
        <v/>
      </c>
      <c r="M11" s="143"/>
      <c r="N11" s="143"/>
      <c r="O11" s="144"/>
      <c r="P11" s="144"/>
      <c r="Q11" s="144"/>
      <c r="R11" s="353" t="str">
        <f t="shared" si="11"/>
        <v/>
      </c>
      <c r="S11" s="129" t="str">
        <f t="shared" si="12"/>
        <v/>
      </c>
      <c r="T11" s="1226" t="str">
        <f t="shared" si="13"/>
        <v/>
      </c>
      <c r="U11" s="1226" t="str">
        <f t="shared" si="14"/>
        <v/>
      </c>
      <c r="V11" s="353" t="str">
        <f t="shared" si="1"/>
        <v/>
      </c>
      <c r="W11" s="353" t="str">
        <f t="shared" si="15"/>
        <v/>
      </c>
      <c r="X11" s="353" t="str">
        <f t="shared" si="2"/>
        <v/>
      </c>
      <c r="Y11" s="129" t="str">
        <f t="shared" si="16"/>
        <v/>
      </c>
      <c r="Z11" s="129" t="str">
        <f t="shared" si="17"/>
        <v/>
      </c>
      <c r="AA11" s="145"/>
      <c r="BA11" s="78"/>
      <c r="BB11" s="132" t="s">
        <v>2732</v>
      </c>
      <c r="BC11" s="133"/>
      <c r="BD11" s="132" t="str">
        <f>IF(OR(B11="",BC11=""),"",COUNTIF(BC$8:BC11,"√"))</f>
        <v/>
      </c>
      <c r="BE11" s="134" t="str">
        <f t="shared" si="3"/>
        <v/>
      </c>
      <c r="BF11" s="135" t="str">
        <f t="shared" si="18"/>
        <v/>
      </c>
      <c r="BG11" s="135" t="str">
        <f t="shared" si="18"/>
        <v/>
      </c>
      <c r="BH11" s="136"/>
      <c r="BI11" s="136"/>
      <c r="BJ11" s="136"/>
      <c r="BK11" s="136"/>
      <c r="BL11" s="136"/>
      <c r="BM11" s="137"/>
      <c r="BN11" s="137"/>
      <c r="BO11" s="187" t="str">
        <f t="shared" si="4"/>
        <v/>
      </c>
      <c r="BP11" s="187">
        <f t="shared" si="5"/>
        <v>0</v>
      </c>
      <c r="BQ11" s="187">
        <f t="shared" si="6"/>
        <v>0</v>
      </c>
      <c r="BR11" s="187">
        <f t="shared" si="7"/>
        <v>0</v>
      </c>
      <c r="BS11" s="187">
        <f t="shared" si="7"/>
        <v>0</v>
      </c>
      <c r="BT11" s="187">
        <f t="shared" si="7"/>
        <v>0</v>
      </c>
      <c r="BU11" s="187">
        <f t="shared" si="7"/>
        <v>0</v>
      </c>
      <c r="BV11" s="187">
        <f t="shared" si="8"/>
        <v>0</v>
      </c>
      <c r="BW11" s="187">
        <f t="shared" si="19"/>
        <v>0</v>
      </c>
      <c r="BX11" s="187">
        <f t="shared" si="20"/>
        <v>0</v>
      </c>
      <c r="BY11" s="187">
        <f t="shared" si="9"/>
        <v>0</v>
      </c>
      <c r="CA11" s="134" t="str">
        <f>IF(COUNTIF(CA$7:CA10,B11)&gt;0,"",B11)&amp;""</f>
        <v/>
      </c>
      <c r="CB11" s="138">
        <f t="shared" si="21"/>
        <v>0</v>
      </c>
      <c r="CC11" s="132">
        <f t="shared" si="22"/>
        <v>1</v>
      </c>
      <c r="CD11" s="138">
        <f t="shared" si="23"/>
        <v>0</v>
      </c>
      <c r="CE11" s="132">
        <f t="shared" si="24"/>
        <v>1</v>
      </c>
      <c r="CF11" s="132">
        <v>2</v>
      </c>
      <c r="CG11" s="134" t="str">
        <f t="shared" ref="CG11:CG14" si="27">IFERROR(INDEX(CA$8:CA$27,MATCH(CF11,IF(CF$8=0,CE$8:CE$27,CC$8:CC$27),0))&amp;"","")</f>
        <v/>
      </c>
      <c r="CH11" s="146" t="str">
        <f t="shared" ref="CH11:CH12" si="28">IF(CG12="","",IF(CG13="","和","、"))</f>
        <v/>
      </c>
    </row>
    <row r="12" ht="15" customHeight="1" spans="1:86">
      <c r="A12" s="123" t="str">
        <f>IF(B12="","",COUNT(A$7:A11)+1)</f>
        <v/>
      </c>
      <c r="B12" s="139"/>
      <c r="C12" s="139"/>
      <c r="D12" s="141"/>
      <c r="E12" s="1224" t="str">
        <f>IFERROR(VLOOKUP(B12&amp;C12,'产成品（商品）'!D$8:F$27,3,FALSE)&amp;"","")</f>
        <v/>
      </c>
      <c r="F12" s="214" t="str">
        <f>IFERROR(VLOOKUP(B12&amp;C12,'产成品（商品）'!D$8:F$27,2,FALSE)&amp;"","")</f>
        <v/>
      </c>
      <c r="G12" s="142"/>
      <c r="H12" s="127" t="str">
        <f>IFERROR(VLOOKUP(G12,参数表!$H$2:$I$50,2,FALSE),"")</f>
        <v/>
      </c>
      <c r="I12" s="128" t="str">
        <f t="shared" si="25"/>
        <v/>
      </c>
      <c r="J12" s="128" t="str">
        <f t="shared" si="26"/>
        <v/>
      </c>
      <c r="K12" s="980"/>
      <c r="L12" s="143" t="str">
        <f t="shared" si="0"/>
        <v/>
      </c>
      <c r="M12" s="143"/>
      <c r="N12" s="143"/>
      <c r="O12" s="144"/>
      <c r="P12" s="144"/>
      <c r="Q12" s="144"/>
      <c r="R12" s="353" t="str">
        <f t="shared" si="11"/>
        <v/>
      </c>
      <c r="S12" s="129" t="str">
        <f t="shared" si="12"/>
        <v/>
      </c>
      <c r="T12" s="1226" t="str">
        <f t="shared" si="13"/>
        <v/>
      </c>
      <c r="U12" s="1226" t="str">
        <f t="shared" si="14"/>
        <v/>
      </c>
      <c r="V12" s="353" t="str">
        <f t="shared" si="1"/>
        <v/>
      </c>
      <c r="W12" s="353" t="str">
        <f t="shared" si="15"/>
        <v/>
      </c>
      <c r="X12" s="353" t="str">
        <f t="shared" si="2"/>
        <v/>
      </c>
      <c r="Y12" s="129" t="str">
        <f t="shared" si="16"/>
        <v/>
      </c>
      <c r="Z12" s="129" t="str">
        <f t="shared" si="17"/>
        <v/>
      </c>
      <c r="AA12" s="145"/>
      <c r="BA12" s="78"/>
      <c r="BB12" s="132" t="s">
        <v>2733</v>
      </c>
      <c r="BC12" s="133"/>
      <c r="BD12" s="132" t="str">
        <f>IF(OR(B12="",BC12=""),"",COUNTIF(BC$8:BC12,"√"))</f>
        <v/>
      </c>
      <c r="BE12" s="134" t="str">
        <f t="shared" si="3"/>
        <v/>
      </c>
      <c r="BF12" s="135" t="str">
        <f t="shared" si="18"/>
        <v/>
      </c>
      <c r="BG12" s="135" t="str">
        <f t="shared" si="18"/>
        <v/>
      </c>
      <c r="BH12" s="136"/>
      <c r="BI12" s="136"/>
      <c r="BJ12" s="136"/>
      <c r="BK12" s="136"/>
      <c r="BL12" s="136"/>
      <c r="BM12" s="137"/>
      <c r="BN12" s="137"/>
      <c r="BO12" s="187" t="str">
        <f t="shared" si="4"/>
        <v/>
      </c>
      <c r="BP12" s="187">
        <f t="shared" si="5"/>
        <v>0</v>
      </c>
      <c r="BQ12" s="187">
        <f t="shared" si="6"/>
        <v>0</v>
      </c>
      <c r="BR12" s="187">
        <f t="shared" si="7"/>
        <v>0</v>
      </c>
      <c r="BS12" s="187">
        <f t="shared" si="7"/>
        <v>0</v>
      </c>
      <c r="BT12" s="187">
        <f t="shared" si="7"/>
        <v>0</v>
      </c>
      <c r="BU12" s="187">
        <f t="shared" si="7"/>
        <v>0</v>
      </c>
      <c r="BV12" s="187">
        <f t="shared" si="8"/>
        <v>0</v>
      </c>
      <c r="BW12" s="187">
        <f t="shared" si="19"/>
        <v>0</v>
      </c>
      <c r="BX12" s="187">
        <f t="shared" si="20"/>
        <v>0</v>
      </c>
      <c r="BY12" s="187">
        <f t="shared" si="9"/>
        <v>0</v>
      </c>
      <c r="CA12" s="134" t="str">
        <f>IF(COUNTIF(CA$7:CA11,B12)&gt;0,"",B12)&amp;""</f>
        <v/>
      </c>
      <c r="CB12" s="138">
        <f t="shared" si="21"/>
        <v>0</v>
      </c>
      <c r="CC12" s="132">
        <f t="shared" si="22"/>
        <v>1</v>
      </c>
      <c r="CD12" s="138">
        <f t="shared" si="23"/>
        <v>0</v>
      </c>
      <c r="CE12" s="132">
        <f t="shared" si="24"/>
        <v>1</v>
      </c>
      <c r="CF12" s="132">
        <v>3</v>
      </c>
      <c r="CG12" s="134" t="str">
        <f t="shared" si="27"/>
        <v/>
      </c>
      <c r="CH12" s="146" t="str">
        <f t="shared" si="28"/>
        <v/>
      </c>
    </row>
    <row r="13" ht="15" customHeight="1" spans="1:86">
      <c r="A13" s="123" t="str">
        <f>IF(B13="","",COUNT(A$7:A12)+1)</f>
        <v/>
      </c>
      <c r="B13" s="139"/>
      <c r="C13" s="139"/>
      <c r="D13" s="141"/>
      <c r="E13" s="1224" t="str">
        <f>IFERROR(VLOOKUP(B13&amp;C13,'产成品（商品）'!D$8:F$27,3,FALSE)&amp;"","")</f>
        <v/>
      </c>
      <c r="F13" s="214" t="str">
        <f>IFERROR(VLOOKUP(B13&amp;C13,'产成品（商品）'!D$8:F$27,2,FALSE)&amp;"","")</f>
        <v/>
      </c>
      <c r="G13" s="142"/>
      <c r="H13" s="127" t="str">
        <f>IFERROR(VLOOKUP(G13,参数表!$H$2:$I$50,2,FALSE),"")</f>
        <v/>
      </c>
      <c r="I13" s="128" t="str">
        <f t="shared" si="25"/>
        <v/>
      </c>
      <c r="J13" s="128" t="str">
        <f t="shared" si="26"/>
        <v/>
      </c>
      <c r="K13" s="980"/>
      <c r="L13" s="143" t="str">
        <f t="shared" si="0"/>
        <v/>
      </c>
      <c r="M13" s="143"/>
      <c r="N13" s="143"/>
      <c r="O13" s="144"/>
      <c r="P13" s="144"/>
      <c r="Q13" s="144"/>
      <c r="R13" s="353" t="str">
        <f t="shared" si="11"/>
        <v/>
      </c>
      <c r="S13" s="129" t="str">
        <f t="shared" si="12"/>
        <v/>
      </c>
      <c r="T13" s="1226" t="str">
        <f t="shared" si="13"/>
        <v/>
      </c>
      <c r="U13" s="1226" t="str">
        <f t="shared" si="14"/>
        <v/>
      </c>
      <c r="V13" s="353" t="str">
        <f t="shared" si="1"/>
        <v/>
      </c>
      <c r="W13" s="353" t="str">
        <f t="shared" si="15"/>
        <v/>
      </c>
      <c r="X13" s="353" t="str">
        <f t="shared" si="2"/>
        <v/>
      </c>
      <c r="Y13" s="129" t="str">
        <f t="shared" si="16"/>
        <v/>
      </c>
      <c r="Z13" s="129" t="str">
        <f t="shared" si="17"/>
        <v/>
      </c>
      <c r="AA13" s="145"/>
      <c r="BA13" s="78"/>
      <c r="BB13" s="132" t="s">
        <v>2734</v>
      </c>
      <c r="BC13" s="133"/>
      <c r="BD13" s="132" t="str">
        <f>IF(OR(B13="",BC13=""),"",COUNTIF(BC$8:BC13,"√"))</f>
        <v/>
      </c>
      <c r="BE13" s="134" t="str">
        <f t="shared" si="3"/>
        <v/>
      </c>
      <c r="BF13" s="135" t="str">
        <f t="shared" si="18"/>
        <v/>
      </c>
      <c r="BG13" s="135" t="str">
        <f t="shared" si="18"/>
        <v/>
      </c>
      <c r="BH13" s="136"/>
      <c r="BI13" s="136"/>
      <c r="BJ13" s="136"/>
      <c r="BK13" s="136"/>
      <c r="BL13" s="136"/>
      <c r="BM13" s="137"/>
      <c r="BN13" s="137"/>
      <c r="BO13" s="187" t="str">
        <f t="shared" si="4"/>
        <v/>
      </c>
      <c r="BP13" s="187">
        <f t="shared" si="5"/>
        <v>0</v>
      </c>
      <c r="BQ13" s="187">
        <f t="shared" si="6"/>
        <v>0</v>
      </c>
      <c r="BR13" s="187">
        <f t="shared" si="7"/>
        <v>0</v>
      </c>
      <c r="BS13" s="187">
        <f t="shared" si="7"/>
        <v>0</v>
      </c>
      <c r="BT13" s="187">
        <f t="shared" si="7"/>
        <v>0</v>
      </c>
      <c r="BU13" s="187">
        <f t="shared" si="7"/>
        <v>0</v>
      </c>
      <c r="BV13" s="187">
        <f t="shared" si="8"/>
        <v>0</v>
      </c>
      <c r="BW13" s="187">
        <f t="shared" si="19"/>
        <v>0</v>
      </c>
      <c r="BX13" s="187">
        <f t="shared" si="20"/>
        <v>0</v>
      </c>
      <c r="BY13" s="187">
        <f t="shared" si="9"/>
        <v>0</v>
      </c>
      <c r="CA13" s="134" t="str">
        <f>IF(COUNTIF(CA$7:CA12,B13)&gt;0,"",B13)&amp;""</f>
        <v/>
      </c>
      <c r="CB13" s="138">
        <f t="shared" si="21"/>
        <v>0</v>
      </c>
      <c r="CC13" s="132">
        <f t="shared" si="22"/>
        <v>1</v>
      </c>
      <c r="CD13" s="138">
        <f t="shared" si="23"/>
        <v>0</v>
      </c>
      <c r="CE13" s="132">
        <f t="shared" si="24"/>
        <v>1</v>
      </c>
      <c r="CF13" s="132">
        <v>4</v>
      </c>
      <c r="CG13" s="134" t="str">
        <f t="shared" si="27"/>
        <v/>
      </c>
      <c r="CH13" s="146" t="str">
        <f>IF(CG14="","","和")</f>
        <v/>
      </c>
    </row>
    <row r="14" ht="15" customHeight="1" spans="1:86">
      <c r="A14" s="123" t="str">
        <f>IF(B14="","",COUNT(A$7:A13)+1)</f>
        <v/>
      </c>
      <c r="B14" s="139"/>
      <c r="C14" s="139"/>
      <c r="D14" s="141"/>
      <c r="E14" s="1224" t="str">
        <f>IFERROR(VLOOKUP(B14&amp;C14,'产成品（商品）'!D$8:F$27,3,FALSE)&amp;"","")</f>
        <v/>
      </c>
      <c r="F14" s="214" t="str">
        <f>IFERROR(VLOOKUP(B14&amp;C14,'产成品（商品）'!D$8:F$27,2,FALSE)&amp;"","")</f>
        <v/>
      </c>
      <c r="G14" s="142"/>
      <c r="H14" s="127" t="str">
        <f>IFERROR(VLOOKUP(G14,参数表!$H$2:$I$50,2,FALSE),"")</f>
        <v/>
      </c>
      <c r="I14" s="128" t="str">
        <f t="shared" si="25"/>
        <v/>
      </c>
      <c r="J14" s="128" t="str">
        <f t="shared" si="26"/>
        <v/>
      </c>
      <c r="K14" s="980"/>
      <c r="L14" s="143" t="str">
        <f t="shared" si="0"/>
        <v/>
      </c>
      <c r="M14" s="143"/>
      <c r="N14" s="143"/>
      <c r="O14" s="144"/>
      <c r="P14" s="144"/>
      <c r="Q14" s="144"/>
      <c r="R14" s="353" t="str">
        <f t="shared" si="11"/>
        <v/>
      </c>
      <c r="S14" s="129" t="str">
        <f t="shared" si="12"/>
        <v/>
      </c>
      <c r="T14" s="1226" t="str">
        <f t="shared" si="13"/>
        <v/>
      </c>
      <c r="U14" s="1226" t="str">
        <f t="shared" si="14"/>
        <v/>
      </c>
      <c r="V14" s="353" t="str">
        <f t="shared" si="1"/>
        <v/>
      </c>
      <c r="W14" s="353" t="str">
        <f t="shared" si="15"/>
        <v/>
      </c>
      <c r="X14" s="353" t="str">
        <f t="shared" si="2"/>
        <v/>
      </c>
      <c r="Y14" s="129" t="str">
        <f t="shared" si="16"/>
        <v/>
      </c>
      <c r="Z14" s="129" t="str">
        <f t="shared" si="17"/>
        <v/>
      </c>
      <c r="AA14" s="145"/>
      <c r="BA14" s="78"/>
      <c r="BB14" s="132" t="s">
        <v>2735</v>
      </c>
      <c r="BC14" s="133"/>
      <c r="BD14" s="132" t="str">
        <f>IF(OR(B14="",BC14=""),"",COUNTIF(BC$8:BC14,"√"))</f>
        <v/>
      </c>
      <c r="BE14" s="134" t="str">
        <f t="shared" si="3"/>
        <v/>
      </c>
      <c r="BF14" s="135" t="str">
        <f t="shared" si="18"/>
        <v/>
      </c>
      <c r="BG14" s="135" t="str">
        <f t="shared" si="18"/>
        <v/>
      </c>
      <c r="BH14" s="136"/>
      <c r="BI14" s="136"/>
      <c r="BJ14" s="136"/>
      <c r="BK14" s="136"/>
      <c r="BL14" s="136"/>
      <c r="BM14" s="137"/>
      <c r="BN14" s="137"/>
      <c r="BO14" s="187" t="str">
        <f t="shared" si="4"/>
        <v/>
      </c>
      <c r="BP14" s="187">
        <f t="shared" si="5"/>
        <v>0</v>
      </c>
      <c r="BQ14" s="187">
        <f t="shared" si="6"/>
        <v>0</v>
      </c>
      <c r="BR14" s="187">
        <f t="shared" si="7"/>
        <v>0</v>
      </c>
      <c r="BS14" s="187">
        <f t="shared" si="7"/>
        <v>0</v>
      </c>
      <c r="BT14" s="187">
        <f t="shared" si="7"/>
        <v>0</v>
      </c>
      <c r="BU14" s="187">
        <f t="shared" si="7"/>
        <v>0</v>
      </c>
      <c r="BV14" s="187">
        <f t="shared" si="8"/>
        <v>0</v>
      </c>
      <c r="BW14" s="187">
        <f t="shared" si="19"/>
        <v>0</v>
      </c>
      <c r="BX14" s="187">
        <f t="shared" si="20"/>
        <v>0</v>
      </c>
      <c r="BY14" s="187">
        <f t="shared" si="9"/>
        <v>0</v>
      </c>
      <c r="CA14" s="134" t="str">
        <f>IF(COUNTIF(CA$7:CA13,B14)&gt;0,"",B14)&amp;""</f>
        <v/>
      </c>
      <c r="CB14" s="138">
        <f t="shared" si="21"/>
        <v>0</v>
      </c>
      <c r="CC14" s="132">
        <f t="shared" si="22"/>
        <v>1</v>
      </c>
      <c r="CD14" s="138">
        <f t="shared" si="23"/>
        <v>0</v>
      </c>
      <c r="CE14" s="132">
        <f t="shared" si="24"/>
        <v>1</v>
      </c>
      <c r="CF14" s="132">
        <v>5</v>
      </c>
      <c r="CG14" s="134" t="str">
        <f t="shared" si="27"/>
        <v/>
      </c>
      <c r="CH14" s="146"/>
    </row>
    <row r="15" ht="15" customHeight="1" spans="1:86">
      <c r="A15" s="123" t="str">
        <f>IF(B15="","",COUNT(A$7:A14)+1)</f>
        <v/>
      </c>
      <c r="B15" s="139"/>
      <c r="C15" s="139"/>
      <c r="D15" s="141"/>
      <c r="E15" s="1224" t="str">
        <f>IFERROR(VLOOKUP(B15&amp;C15,'产成品（商品）'!D$8:F$27,3,FALSE)&amp;"","")</f>
        <v/>
      </c>
      <c r="F15" s="214" t="str">
        <f>IFERROR(VLOOKUP(B15&amp;C15,'产成品（商品）'!D$8:F$27,2,FALSE)&amp;"","")</f>
        <v/>
      </c>
      <c r="G15" s="142"/>
      <c r="H15" s="127" t="str">
        <f>IFERROR(VLOOKUP(G15,参数表!$H$2:$I$50,2,FALSE),"")</f>
        <v/>
      </c>
      <c r="I15" s="128" t="str">
        <f t="shared" si="25"/>
        <v/>
      </c>
      <c r="J15" s="128" t="str">
        <f t="shared" si="26"/>
        <v/>
      </c>
      <c r="K15" s="980"/>
      <c r="L15" s="143" t="str">
        <f t="shared" si="0"/>
        <v/>
      </c>
      <c r="M15" s="143"/>
      <c r="N15" s="143"/>
      <c r="O15" s="144"/>
      <c r="P15" s="144"/>
      <c r="Q15" s="144"/>
      <c r="R15" s="353" t="str">
        <f t="shared" si="11"/>
        <v/>
      </c>
      <c r="S15" s="129" t="str">
        <f t="shared" si="12"/>
        <v/>
      </c>
      <c r="T15" s="1226" t="str">
        <f t="shared" si="13"/>
        <v/>
      </c>
      <c r="U15" s="1226" t="str">
        <f t="shared" si="14"/>
        <v/>
      </c>
      <c r="V15" s="353" t="str">
        <f t="shared" si="1"/>
        <v/>
      </c>
      <c r="W15" s="353" t="str">
        <f t="shared" si="15"/>
        <v/>
      </c>
      <c r="X15" s="353" t="str">
        <f t="shared" si="2"/>
        <v/>
      </c>
      <c r="Y15" s="129" t="str">
        <f t="shared" si="16"/>
        <v/>
      </c>
      <c r="Z15" s="129" t="str">
        <f t="shared" si="17"/>
        <v/>
      </c>
      <c r="AA15" s="145"/>
      <c r="BA15" s="78"/>
      <c r="BB15" s="132" t="s">
        <v>2736</v>
      </c>
      <c r="BC15" s="133"/>
      <c r="BD15" s="132" t="str">
        <f>IF(OR(B15="",BC15=""),"",COUNTIF(BC$8:BC15,"√"))</f>
        <v/>
      </c>
      <c r="BE15" s="134" t="str">
        <f t="shared" si="3"/>
        <v/>
      </c>
      <c r="BF15" s="135" t="str">
        <f t="shared" si="18"/>
        <v/>
      </c>
      <c r="BG15" s="135" t="str">
        <f t="shared" si="18"/>
        <v/>
      </c>
      <c r="BH15" s="136"/>
      <c r="BI15" s="136"/>
      <c r="BJ15" s="136"/>
      <c r="BK15" s="136"/>
      <c r="BL15" s="136"/>
      <c r="BM15" s="137"/>
      <c r="BN15" s="137"/>
      <c r="BO15" s="187" t="str">
        <f t="shared" si="4"/>
        <v/>
      </c>
      <c r="BP15" s="187">
        <f t="shared" si="5"/>
        <v>0</v>
      </c>
      <c r="BQ15" s="187">
        <f t="shared" si="6"/>
        <v>0</v>
      </c>
      <c r="BR15" s="187">
        <f t="shared" si="7"/>
        <v>0</v>
      </c>
      <c r="BS15" s="187">
        <f t="shared" si="7"/>
        <v>0</v>
      </c>
      <c r="BT15" s="187">
        <f t="shared" si="7"/>
        <v>0</v>
      </c>
      <c r="BU15" s="187">
        <f t="shared" si="7"/>
        <v>0</v>
      </c>
      <c r="BV15" s="187">
        <f t="shared" si="8"/>
        <v>0</v>
      </c>
      <c r="BW15" s="187">
        <f t="shared" si="19"/>
        <v>0</v>
      </c>
      <c r="BX15" s="187">
        <f t="shared" si="20"/>
        <v>0</v>
      </c>
      <c r="BY15" s="187">
        <f t="shared" si="9"/>
        <v>0</v>
      </c>
      <c r="CA15" s="134" t="str">
        <f>IF(COUNTIF(CA$7:CA14,B15)&gt;0,"",B15)&amp;""</f>
        <v/>
      </c>
      <c r="CB15" s="138">
        <f t="shared" si="21"/>
        <v>0</v>
      </c>
      <c r="CC15" s="132">
        <f t="shared" si="22"/>
        <v>1</v>
      </c>
      <c r="CD15" s="138">
        <f t="shared" si="23"/>
        <v>0</v>
      </c>
      <c r="CE15" s="132">
        <f t="shared" si="24"/>
        <v>1</v>
      </c>
      <c r="CF15" s="147" t="s">
        <v>1659</v>
      </c>
      <c r="CG15" s="132" t="str">
        <f>CONCATENATE(CG10,CH10,CG11,CH11,CG12,CH12,CG13,CH13,CG14)</f>
        <v/>
      </c>
      <c r="CH15" s="132"/>
    </row>
    <row r="16" ht="15" customHeight="1" spans="1:86">
      <c r="A16" s="123" t="str">
        <f>IF(B16="","",COUNT(A$7:A15)+1)</f>
        <v/>
      </c>
      <c r="B16" s="139"/>
      <c r="C16" s="139"/>
      <c r="D16" s="141"/>
      <c r="E16" s="1224" t="str">
        <f>IFERROR(VLOOKUP(B16&amp;C16,'产成品（商品）'!D$8:F$27,3,FALSE)&amp;"","")</f>
        <v/>
      </c>
      <c r="F16" s="214" t="str">
        <f>IFERROR(VLOOKUP(B16&amp;C16,'产成品（商品）'!D$8:F$27,2,FALSE)&amp;"","")</f>
        <v/>
      </c>
      <c r="G16" s="142"/>
      <c r="H16" s="127" t="str">
        <f>IFERROR(VLOOKUP(G16,参数表!$H$2:$I$50,2,FALSE),"")</f>
        <v/>
      </c>
      <c r="I16" s="128" t="str">
        <f t="shared" si="25"/>
        <v/>
      </c>
      <c r="J16" s="128" t="str">
        <f t="shared" si="26"/>
        <v/>
      </c>
      <c r="K16" s="980"/>
      <c r="L16" s="143" t="str">
        <f t="shared" si="0"/>
        <v/>
      </c>
      <c r="M16" s="143"/>
      <c r="N16" s="143"/>
      <c r="O16" s="144"/>
      <c r="P16" s="144"/>
      <c r="Q16" s="144"/>
      <c r="R16" s="353" t="str">
        <f t="shared" si="11"/>
        <v/>
      </c>
      <c r="S16" s="129" t="str">
        <f t="shared" si="12"/>
        <v/>
      </c>
      <c r="T16" s="1226" t="str">
        <f t="shared" si="13"/>
        <v/>
      </c>
      <c r="U16" s="1226" t="str">
        <f t="shared" si="14"/>
        <v/>
      </c>
      <c r="V16" s="353" t="str">
        <f t="shared" si="1"/>
        <v/>
      </c>
      <c r="W16" s="353" t="str">
        <f t="shared" si="15"/>
        <v/>
      </c>
      <c r="X16" s="353" t="str">
        <f t="shared" si="2"/>
        <v/>
      </c>
      <c r="Y16" s="129" t="str">
        <f t="shared" si="16"/>
        <v/>
      </c>
      <c r="Z16" s="129" t="str">
        <f t="shared" si="17"/>
        <v/>
      </c>
      <c r="AA16" s="145"/>
      <c r="BA16" s="78"/>
      <c r="BB16" s="132" t="s">
        <v>2737</v>
      </c>
      <c r="BC16" s="133"/>
      <c r="BD16" s="132" t="str">
        <f>IF(OR(B16="",BC16=""),"",COUNTIF(BC$8:BC16,"√"))</f>
        <v/>
      </c>
      <c r="BE16" s="134" t="str">
        <f t="shared" si="3"/>
        <v/>
      </c>
      <c r="BF16" s="135" t="str">
        <f t="shared" si="18"/>
        <v/>
      </c>
      <c r="BG16" s="135" t="str">
        <f t="shared" si="18"/>
        <v/>
      </c>
      <c r="BH16" s="136"/>
      <c r="BI16" s="136"/>
      <c r="BJ16" s="136"/>
      <c r="BK16" s="136"/>
      <c r="BL16" s="136"/>
      <c r="BM16" s="137"/>
      <c r="BN16" s="137"/>
      <c r="BO16" s="187" t="str">
        <f t="shared" si="4"/>
        <v/>
      </c>
      <c r="BP16" s="187">
        <f t="shared" si="5"/>
        <v>0</v>
      </c>
      <c r="BQ16" s="187">
        <f t="shared" si="6"/>
        <v>0</v>
      </c>
      <c r="BR16" s="187">
        <f t="shared" si="7"/>
        <v>0</v>
      </c>
      <c r="BS16" s="187">
        <f t="shared" si="7"/>
        <v>0</v>
      </c>
      <c r="BT16" s="187">
        <f t="shared" si="7"/>
        <v>0</v>
      </c>
      <c r="BU16" s="187">
        <f t="shared" si="7"/>
        <v>0</v>
      </c>
      <c r="BV16" s="187">
        <f t="shared" si="8"/>
        <v>0</v>
      </c>
      <c r="BW16" s="187">
        <f t="shared" si="19"/>
        <v>0</v>
      </c>
      <c r="BX16" s="187">
        <f t="shared" si="20"/>
        <v>0</v>
      </c>
      <c r="BY16" s="187">
        <f t="shared" si="9"/>
        <v>0</v>
      </c>
      <c r="CA16" s="134" t="str">
        <f>IF(COUNTIF(CA$7:CA15,B16)&gt;0,"",B16)&amp;""</f>
        <v/>
      </c>
      <c r="CB16" s="138">
        <f t="shared" si="21"/>
        <v>0</v>
      </c>
      <c r="CC16" s="132">
        <f t="shared" si="22"/>
        <v>1</v>
      </c>
      <c r="CD16" s="138">
        <f t="shared" si="23"/>
        <v>0</v>
      </c>
      <c r="CE16" s="132">
        <f t="shared" si="24"/>
        <v>1</v>
      </c>
      <c r="CF16" s="133"/>
      <c r="CG16" s="133"/>
    </row>
    <row r="17" ht="15" customHeight="1" spans="1:86">
      <c r="A17" s="123" t="str">
        <f>IF(B17="","",COUNT(A$7:A16)+1)</f>
        <v/>
      </c>
      <c r="B17" s="139"/>
      <c r="C17" s="139"/>
      <c r="D17" s="141"/>
      <c r="E17" s="1224" t="str">
        <f>IFERROR(VLOOKUP(B17&amp;C17,'产成品（商品）'!D$8:F$27,3,FALSE)&amp;"","")</f>
        <v/>
      </c>
      <c r="F17" s="214" t="str">
        <f>IFERROR(VLOOKUP(B17&amp;C17,'产成品（商品）'!D$8:F$27,2,FALSE)&amp;"","")</f>
        <v/>
      </c>
      <c r="G17" s="142"/>
      <c r="H17" s="127" t="str">
        <f>IFERROR(VLOOKUP(G17,参数表!$H$2:$I$50,2,FALSE),"")</f>
        <v/>
      </c>
      <c r="I17" s="128" t="str">
        <f t="shared" si="25"/>
        <v/>
      </c>
      <c r="J17" s="128" t="str">
        <f t="shared" si="26"/>
        <v/>
      </c>
      <c r="K17" s="980"/>
      <c r="L17" s="143" t="str">
        <f t="shared" si="0"/>
        <v/>
      </c>
      <c r="M17" s="143"/>
      <c r="N17" s="143"/>
      <c r="O17" s="144"/>
      <c r="P17" s="144"/>
      <c r="Q17" s="144"/>
      <c r="R17" s="353" t="str">
        <f t="shared" si="11"/>
        <v/>
      </c>
      <c r="S17" s="129" t="str">
        <f t="shared" si="12"/>
        <v/>
      </c>
      <c r="T17" s="1226" t="str">
        <f t="shared" si="13"/>
        <v/>
      </c>
      <c r="U17" s="1226" t="str">
        <f t="shared" si="14"/>
        <v/>
      </c>
      <c r="V17" s="353" t="str">
        <f t="shared" si="1"/>
        <v/>
      </c>
      <c r="W17" s="353" t="str">
        <f t="shared" si="15"/>
        <v/>
      </c>
      <c r="X17" s="353" t="str">
        <f t="shared" si="2"/>
        <v/>
      </c>
      <c r="Y17" s="129" t="str">
        <f t="shared" si="16"/>
        <v/>
      </c>
      <c r="Z17" s="129" t="str">
        <f t="shared" si="17"/>
        <v/>
      </c>
      <c r="AA17" s="145"/>
      <c r="BA17" s="78"/>
      <c r="BB17" s="132" t="s">
        <v>2738</v>
      </c>
      <c r="BC17" s="133"/>
      <c r="BD17" s="132" t="str">
        <f>IF(OR(B17="",BC17=""),"",COUNTIF(BC$8:BC17,"√"))</f>
        <v/>
      </c>
      <c r="BE17" s="134" t="str">
        <f t="shared" si="3"/>
        <v/>
      </c>
      <c r="BF17" s="135" t="str">
        <f t="shared" si="18"/>
        <v/>
      </c>
      <c r="BG17" s="135" t="str">
        <f t="shared" si="18"/>
        <v/>
      </c>
      <c r="BH17" s="136"/>
      <c r="BI17" s="136"/>
      <c r="BJ17" s="136"/>
      <c r="BK17" s="136"/>
      <c r="BL17" s="136"/>
      <c r="BM17" s="137"/>
      <c r="BN17" s="137"/>
      <c r="BO17" s="187" t="str">
        <f t="shared" si="4"/>
        <v/>
      </c>
      <c r="BP17" s="187">
        <f t="shared" si="5"/>
        <v>0</v>
      </c>
      <c r="BQ17" s="187">
        <f t="shared" si="6"/>
        <v>0</v>
      </c>
      <c r="BR17" s="187">
        <f t="shared" si="7"/>
        <v>0</v>
      </c>
      <c r="BS17" s="187">
        <f t="shared" si="7"/>
        <v>0</v>
      </c>
      <c r="BT17" s="187">
        <f t="shared" si="7"/>
        <v>0</v>
      </c>
      <c r="BU17" s="187">
        <f t="shared" si="7"/>
        <v>0</v>
      </c>
      <c r="BV17" s="187">
        <f t="shared" si="8"/>
        <v>0</v>
      </c>
      <c r="BW17" s="187">
        <f t="shared" si="19"/>
        <v>0</v>
      </c>
      <c r="BX17" s="187">
        <f t="shared" si="20"/>
        <v>0</v>
      </c>
      <c r="BY17" s="187">
        <f t="shared" si="9"/>
        <v>0</v>
      </c>
      <c r="CA17" s="134" t="str">
        <f>IF(COUNTIF(CA$7:CA16,B17)&gt;0,"",B17)&amp;""</f>
        <v/>
      </c>
      <c r="CB17" s="138">
        <f t="shared" si="21"/>
        <v>0</v>
      </c>
      <c r="CC17" s="132">
        <f t="shared" si="22"/>
        <v>1</v>
      </c>
      <c r="CD17" s="138">
        <f t="shared" si="23"/>
        <v>0</v>
      </c>
      <c r="CE17" s="132">
        <f t="shared" si="24"/>
        <v>1</v>
      </c>
      <c r="CF17" s="133"/>
      <c r="CG17" s="148"/>
    </row>
    <row r="18" ht="15" customHeight="1" spans="1:86">
      <c r="A18" s="123" t="str">
        <f>IF(B18="","",COUNT(A$7:A17)+1)</f>
        <v/>
      </c>
      <c r="B18" s="139"/>
      <c r="C18" s="139"/>
      <c r="D18" s="141"/>
      <c r="E18" s="1224" t="str">
        <f>IFERROR(VLOOKUP(B18&amp;C18,'产成品（商品）'!D$8:F$27,3,FALSE)&amp;"","")</f>
        <v/>
      </c>
      <c r="F18" s="214" t="str">
        <f>IFERROR(VLOOKUP(B18&amp;C18,'产成品（商品）'!D$8:F$27,2,FALSE)&amp;"","")</f>
        <v/>
      </c>
      <c r="G18" s="142"/>
      <c r="H18" s="127" t="str">
        <f>IFERROR(VLOOKUP(G18,参数表!$H$2:$I$50,2,FALSE),"")</f>
        <v/>
      </c>
      <c r="I18" s="128" t="str">
        <f t="shared" si="25"/>
        <v/>
      </c>
      <c r="J18" s="128" t="str">
        <f t="shared" si="26"/>
        <v/>
      </c>
      <c r="K18" s="980"/>
      <c r="L18" s="143" t="str">
        <f t="shared" si="0"/>
        <v/>
      </c>
      <c r="M18" s="143"/>
      <c r="N18" s="143"/>
      <c r="O18" s="144"/>
      <c r="P18" s="144"/>
      <c r="Q18" s="144"/>
      <c r="R18" s="353" t="str">
        <f t="shared" si="11"/>
        <v/>
      </c>
      <c r="S18" s="129" t="str">
        <f t="shared" si="12"/>
        <v/>
      </c>
      <c r="T18" s="1226" t="str">
        <f t="shared" si="13"/>
        <v/>
      </c>
      <c r="U18" s="1226" t="str">
        <f t="shared" si="14"/>
        <v/>
      </c>
      <c r="V18" s="353" t="str">
        <f t="shared" si="1"/>
        <v/>
      </c>
      <c r="W18" s="353" t="str">
        <f t="shared" si="15"/>
        <v/>
      </c>
      <c r="X18" s="353" t="str">
        <f t="shared" si="2"/>
        <v/>
      </c>
      <c r="Y18" s="129" t="str">
        <f t="shared" si="16"/>
        <v/>
      </c>
      <c r="Z18" s="129" t="str">
        <f t="shared" si="17"/>
        <v/>
      </c>
      <c r="AA18" s="145"/>
      <c r="BA18" s="78"/>
      <c r="BB18" s="132" t="s">
        <v>2739</v>
      </c>
      <c r="BC18" s="133"/>
      <c r="BD18" s="132" t="str">
        <f>IF(OR(B18="",BC18=""),"",COUNTIF(BC$8:BC18,"√"))</f>
        <v/>
      </c>
      <c r="BE18" s="134" t="str">
        <f t="shared" si="3"/>
        <v/>
      </c>
      <c r="BF18" s="135" t="str">
        <f t="shared" si="18"/>
        <v/>
      </c>
      <c r="BG18" s="135" t="str">
        <f t="shared" si="18"/>
        <v/>
      </c>
      <c r="BH18" s="136"/>
      <c r="BI18" s="136"/>
      <c r="BJ18" s="136"/>
      <c r="BK18" s="136"/>
      <c r="BL18" s="136"/>
      <c r="BM18" s="137"/>
      <c r="BN18" s="137"/>
      <c r="BO18" s="187" t="str">
        <f t="shared" si="4"/>
        <v/>
      </c>
      <c r="BP18" s="187">
        <f t="shared" si="5"/>
        <v>0</v>
      </c>
      <c r="BQ18" s="187">
        <f t="shared" si="6"/>
        <v>0</v>
      </c>
      <c r="BR18" s="187">
        <f t="shared" si="7"/>
        <v>0</v>
      </c>
      <c r="BS18" s="187">
        <f t="shared" si="7"/>
        <v>0</v>
      </c>
      <c r="BT18" s="187">
        <f t="shared" si="7"/>
        <v>0</v>
      </c>
      <c r="BU18" s="187">
        <f t="shared" si="7"/>
        <v>0</v>
      </c>
      <c r="BV18" s="187">
        <f t="shared" si="8"/>
        <v>0</v>
      </c>
      <c r="BW18" s="187">
        <f t="shared" si="19"/>
        <v>0</v>
      </c>
      <c r="BX18" s="187">
        <f t="shared" si="20"/>
        <v>0</v>
      </c>
      <c r="BY18" s="187">
        <f t="shared" si="9"/>
        <v>0</v>
      </c>
      <c r="CA18" s="134" t="str">
        <f>IF(COUNTIF(CA$7:CA17,B18)&gt;0,"",B18)&amp;""</f>
        <v/>
      </c>
      <c r="CB18" s="138">
        <f t="shared" si="21"/>
        <v>0</v>
      </c>
      <c r="CC18" s="132">
        <f t="shared" si="22"/>
        <v>1</v>
      </c>
      <c r="CD18" s="138">
        <f t="shared" si="23"/>
        <v>0</v>
      </c>
      <c r="CE18" s="132">
        <f t="shared" si="24"/>
        <v>1</v>
      </c>
      <c r="CF18" s="133"/>
      <c r="CG18" s="133"/>
    </row>
    <row r="19" ht="15" customHeight="1" spans="1:86">
      <c r="A19" s="123" t="str">
        <f>IF(B19="","",COUNT(A$7:A18)+1)</f>
        <v/>
      </c>
      <c r="B19" s="139"/>
      <c r="C19" s="139"/>
      <c r="D19" s="141"/>
      <c r="E19" s="1224" t="str">
        <f>IFERROR(VLOOKUP(B19&amp;C19,'产成品（商品）'!D$8:F$27,3,FALSE)&amp;"","")</f>
        <v/>
      </c>
      <c r="F19" s="214" t="str">
        <f>IFERROR(VLOOKUP(B19&amp;C19,'产成品（商品）'!D$8:F$27,2,FALSE)&amp;"","")</f>
        <v/>
      </c>
      <c r="G19" s="142"/>
      <c r="H19" s="127" t="str">
        <f>IFERROR(VLOOKUP(G19,参数表!$H$2:$I$50,2,FALSE),"")</f>
        <v/>
      </c>
      <c r="I19" s="128" t="str">
        <f t="shared" si="25"/>
        <v/>
      </c>
      <c r="J19" s="128" t="str">
        <f t="shared" si="26"/>
        <v/>
      </c>
      <c r="K19" s="980"/>
      <c r="L19" s="143" t="str">
        <f t="shared" si="0"/>
        <v/>
      </c>
      <c r="M19" s="143"/>
      <c r="N19" s="143"/>
      <c r="O19" s="144"/>
      <c r="P19" s="144"/>
      <c r="Q19" s="144"/>
      <c r="R19" s="353" t="str">
        <f t="shared" si="11"/>
        <v/>
      </c>
      <c r="S19" s="129" t="str">
        <f t="shared" si="12"/>
        <v/>
      </c>
      <c r="T19" s="1226" t="str">
        <f t="shared" si="13"/>
        <v/>
      </c>
      <c r="U19" s="1226" t="str">
        <f t="shared" si="14"/>
        <v/>
      </c>
      <c r="V19" s="353" t="str">
        <f t="shared" si="1"/>
        <v/>
      </c>
      <c r="W19" s="353" t="str">
        <f t="shared" si="15"/>
        <v/>
      </c>
      <c r="X19" s="353" t="str">
        <f t="shared" si="2"/>
        <v/>
      </c>
      <c r="Y19" s="129" t="str">
        <f t="shared" si="16"/>
        <v/>
      </c>
      <c r="Z19" s="129" t="str">
        <f t="shared" si="17"/>
        <v/>
      </c>
      <c r="AA19" s="145"/>
      <c r="BA19" s="78"/>
      <c r="BB19" s="132" t="s">
        <v>2740</v>
      </c>
      <c r="BC19" s="133"/>
      <c r="BD19" s="132" t="str">
        <f>IF(OR(B19="",BC19=""),"",COUNTIF(BC$8:BC19,"√"))</f>
        <v/>
      </c>
      <c r="BE19" s="134" t="str">
        <f t="shared" si="3"/>
        <v/>
      </c>
      <c r="BF19" s="135" t="str">
        <f t="shared" si="18"/>
        <v/>
      </c>
      <c r="BG19" s="135" t="str">
        <f t="shared" si="18"/>
        <v/>
      </c>
      <c r="BH19" s="136"/>
      <c r="BI19" s="136"/>
      <c r="BJ19" s="136"/>
      <c r="BK19" s="136"/>
      <c r="BL19" s="136"/>
      <c r="BM19" s="137"/>
      <c r="BN19" s="137"/>
      <c r="BO19" s="187" t="str">
        <f t="shared" si="4"/>
        <v/>
      </c>
      <c r="BP19" s="187">
        <f t="shared" si="5"/>
        <v>0</v>
      </c>
      <c r="BQ19" s="187">
        <f t="shared" si="6"/>
        <v>0</v>
      </c>
      <c r="BR19" s="187">
        <f t="shared" si="7"/>
        <v>0</v>
      </c>
      <c r="BS19" s="187">
        <f t="shared" si="7"/>
        <v>0</v>
      </c>
      <c r="BT19" s="187">
        <f t="shared" si="7"/>
        <v>0</v>
      </c>
      <c r="BU19" s="187">
        <f t="shared" si="7"/>
        <v>0</v>
      </c>
      <c r="BV19" s="187">
        <f t="shared" si="8"/>
        <v>0</v>
      </c>
      <c r="BW19" s="187">
        <f t="shared" si="19"/>
        <v>0</v>
      </c>
      <c r="BX19" s="187">
        <f t="shared" si="20"/>
        <v>0</v>
      </c>
      <c r="BY19" s="187">
        <f t="shared" si="9"/>
        <v>0</v>
      </c>
      <c r="CA19" s="134" t="str">
        <f>IF(COUNTIF(CA$7:CA18,B19)&gt;0,"",B19)&amp;""</f>
        <v/>
      </c>
      <c r="CB19" s="138">
        <f t="shared" si="21"/>
        <v>0</v>
      </c>
      <c r="CC19" s="132">
        <f t="shared" si="22"/>
        <v>1</v>
      </c>
      <c r="CD19" s="138">
        <f t="shared" si="23"/>
        <v>0</v>
      </c>
      <c r="CE19" s="132">
        <f t="shared" si="24"/>
        <v>1</v>
      </c>
      <c r="CF19" s="133"/>
      <c r="CG19" s="133"/>
    </row>
    <row r="20" ht="15" customHeight="1" spans="1:86">
      <c r="A20" s="123" t="str">
        <f>IF(B20="","",COUNT(A$7:A19)+1)</f>
        <v/>
      </c>
      <c r="B20" s="139"/>
      <c r="C20" s="139"/>
      <c r="D20" s="141"/>
      <c r="E20" s="1224" t="str">
        <f>IFERROR(VLOOKUP(B20&amp;C20,'产成品（商品）'!D$8:F$27,3,FALSE)&amp;"","")</f>
        <v/>
      </c>
      <c r="F20" s="214" t="str">
        <f>IFERROR(VLOOKUP(B20&amp;C20,'产成品（商品）'!D$8:F$27,2,FALSE)&amp;"","")</f>
        <v/>
      </c>
      <c r="G20" s="142"/>
      <c r="H20" s="127" t="str">
        <f>IFERROR(VLOOKUP(G20,参数表!$H$2:$I$50,2,FALSE),"")</f>
        <v/>
      </c>
      <c r="I20" s="128" t="str">
        <f t="shared" si="25"/>
        <v/>
      </c>
      <c r="J20" s="128" t="str">
        <f t="shared" si="26"/>
        <v/>
      </c>
      <c r="K20" s="980"/>
      <c r="L20" s="143" t="str">
        <f t="shared" si="0"/>
        <v/>
      </c>
      <c r="M20" s="143"/>
      <c r="N20" s="143"/>
      <c r="O20" s="144"/>
      <c r="P20" s="144"/>
      <c r="Q20" s="144"/>
      <c r="R20" s="353" t="str">
        <f t="shared" si="11"/>
        <v/>
      </c>
      <c r="S20" s="129" t="str">
        <f t="shared" si="12"/>
        <v/>
      </c>
      <c r="T20" s="1226" t="str">
        <f t="shared" si="13"/>
        <v/>
      </c>
      <c r="U20" s="1226" t="str">
        <f t="shared" si="14"/>
        <v/>
      </c>
      <c r="V20" s="353" t="str">
        <f t="shared" si="1"/>
        <v/>
      </c>
      <c r="W20" s="353" t="str">
        <f t="shared" si="15"/>
        <v/>
      </c>
      <c r="X20" s="353" t="str">
        <f t="shared" si="2"/>
        <v/>
      </c>
      <c r="Y20" s="129" t="str">
        <f t="shared" si="16"/>
        <v/>
      </c>
      <c r="Z20" s="129" t="str">
        <f t="shared" si="17"/>
        <v/>
      </c>
      <c r="AA20" s="145"/>
      <c r="BA20" s="78"/>
      <c r="BB20" s="132" t="s">
        <v>2741</v>
      </c>
      <c r="BC20" s="133"/>
      <c r="BD20" s="132" t="str">
        <f>IF(OR(B20="",BC20=""),"",COUNTIF(BC$8:BC20,"√"))</f>
        <v/>
      </c>
      <c r="BE20" s="134" t="str">
        <f t="shared" si="3"/>
        <v/>
      </c>
      <c r="BF20" s="135" t="str">
        <f t="shared" si="18"/>
        <v/>
      </c>
      <c r="BG20" s="135" t="str">
        <f t="shared" si="18"/>
        <v/>
      </c>
      <c r="BH20" s="136"/>
      <c r="BI20" s="136"/>
      <c r="BJ20" s="136"/>
      <c r="BK20" s="136"/>
      <c r="BL20" s="136"/>
      <c r="BM20" s="137"/>
      <c r="BN20" s="137"/>
      <c r="BO20" s="187" t="str">
        <f t="shared" si="4"/>
        <v/>
      </c>
      <c r="BP20" s="187">
        <f t="shared" si="5"/>
        <v>0</v>
      </c>
      <c r="BQ20" s="187">
        <f t="shared" si="6"/>
        <v>0</v>
      </c>
      <c r="BR20" s="187">
        <f t="shared" si="7"/>
        <v>0</v>
      </c>
      <c r="BS20" s="187">
        <f t="shared" si="7"/>
        <v>0</v>
      </c>
      <c r="BT20" s="187">
        <f t="shared" si="7"/>
        <v>0</v>
      </c>
      <c r="BU20" s="187">
        <f t="shared" si="7"/>
        <v>0</v>
      </c>
      <c r="BV20" s="187">
        <f t="shared" si="8"/>
        <v>0</v>
      </c>
      <c r="BW20" s="187">
        <f t="shared" si="19"/>
        <v>0</v>
      </c>
      <c r="BX20" s="187">
        <f t="shared" si="20"/>
        <v>0</v>
      </c>
      <c r="BY20" s="187">
        <f t="shared" si="9"/>
        <v>0</v>
      </c>
      <c r="CA20" s="134" t="str">
        <f>IF(COUNTIF(CA$7:CA19,B20)&gt;0,"",B20)&amp;""</f>
        <v/>
      </c>
      <c r="CB20" s="138">
        <f t="shared" si="21"/>
        <v>0</v>
      </c>
      <c r="CC20" s="132">
        <f t="shared" si="22"/>
        <v>1</v>
      </c>
      <c r="CD20" s="138">
        <f t="shared" si="23"/>
        <v>0</v>
      </c>
      <c r="CE20" s="132">
        <f t="shared" si="24"/>
        <v>1</v>
      </c>
      <c r="CF20" s="133"/>
      <c r="CG20" s="133"/>
    </row>
    <row r="21" ht="15" customHeight="1" spans="1:86">
      <c r="A21" s="123" t="str">
        <f>IF(B21="","",COUNT(A$7:A20)+1)</f>
        <v/>
      </c>
      <c r="B21" s="139"/>
      <c r="C21" s="139"/>
      <c r="D21" s="141"/>
      <c r="E21" s="1224" t="str">
        <f>IFERROR(VLOOKUP(B21&amp;C21,'产成品（商品）'!D$8:F$27,3,FALSE)&amp;"","")</f>
        <v/>
      </c>
      <c r="F21" s="214" t="str">
        <f>IFERROR(VLOOKUP(B21&amp;C21,'产成品（商品）'!D$8:F$27,2,FALSE)&amp;"","")</f>
        <v/>
      </c>
      <c r="G21" s="142"/>
      <c r="H21" s="127" t="str">
        <f>IFERROR(VLOOKUP(G21,参数表!$H$2:$I$50,2,FALSE),"")</f>
        <v/>
      </c>
      <c r="I21" s="128" t="str">
        <f t="shared" si="25"/>
        <v/>
      </c>
      <c r="J21" s="128" t="str">
        <f t="shared" si="26"/>
        <v/>
      </c>
      <c r="K21" s="980"/>
      <c r="L21" s="143" t="str">
        <f t="shared" si="0"/>
        <v/>
      </c>
      <c r="M21" s="143"/>
      <c r="N21" s="143"/>
      <c r="O21" s="144"/>
      <c r="P21" s="144"/>
      <c r="Q21" s="144"/>
      <c r="R21" s="353" t="str">
        <f t="shared" si="11"/>
        <v/>
      </c>
      <c r="S21" s="129" t="str">
        <f t="shared" si="12"/>
        <v/>
      </c>
      <c r="T21" s="1226" t="str">
        <f t="shared" si="13"/>
        <v/>
      </c>
      <c r="U21" s="1226" t="str">
        <f t="shared" si="14"/>
        <v/>
      </c>
      <c r="V21" s="353" t="str">
        <f t="shared" si="1"/>
        <v/>
      </c>
      <c r="W21" s="353" t="str">
        <f t="shared" si="15"/>
        <v/>
      </c>
      <c r="X21" s="353" t="str">
        <f t="shared" si="2"/>
        <v/>
      </c>
      <c r="Y21" s="129" t="str">
        <f t="shared" si="16"/>
        <v/>
      </c>
      <c r="Z21" s="129" t="str">
        <f t="shared" si="17"/>
        <v/>
      </c>
      <c r="AA21" s="145"/>
      <c r="BA21" s="78"/>
      <c r="BB21" s="132" t="s">
        <v>2742</v>
      </c>
      <c r="BC21" s="133"/>
      <c r="BD21" s="132" t="str">
        <f>IF(OR(B21="",BC21=""),"",COUNTIF(BC$8:BC21,"√"))</f>
        <v/>
      </c>
      <c r="BE21" s="134" t="str">
        <f t="shared" si="3"/>
        <v/>
      </c>
      <c r="BF21" s="135" t="str">
        <f t="shared" si="18"/>
        <v/>
      </c>
      <c r="BG21" s="135" t="str">
        <f t="shared" si="18"/>
        <v/>
      </c>
      <c r="BH21" s="136"/>
      <c r="BI21" s="136"/>
      <c r="BJ21" s="136"/>
      <c r="BK21" s="136"/>
      <c r="BL21" s="136"/>
      <c r="BM21" s="137"/>
      <c r="BN21" s="137"/>
      <c r="BO21" s="187" t="str">
        <f t="shared" si="4"/>
        <v/>
      </c>
      <c r="BP21" s="187">
        <f t="shared" si="5"/>
        <v>0</v>
      </c>
      <c r="BQ21" s="187">
        <f t="shared" si="6"/>
        <v>0</v>
      </c>
      <c r="BR21" s="187">
        <f t="shared" si="7"/>
        <v>0</v>
      </c>
      <c r="BS21" s="187">
        <f t="shared" si="7"/>
        <v>0</v>
      </c>
      <c r="BT21" s="187">
        <f t="shared" si="7"/>
        <v>0</v>
      </c>
      <c r="BU21" s="187">
        <f t="shared" si="7"/>
        <v>0</v>
      </c>
      <c r="BV21" s="187">
        <f t="shared" si="8"/>
        <v>0</v>
      </c>
      <c r="BW21" s="187">
        <f t="shared" si="19"/>
        <v>0</v>
      </c>
      <c r="BX21" s="187">
        <f t="shared" si="20"/>
        <v>0</v>
      </c>
      <c r="BY21" s="187">
        <f t="shared" si="9"/>
        <v>0</v>
      </c>
      <c r="CA21" s="134" t="str">
        <f>IF(COUNTIF(CA$7:CA20,B21)&gt;0,"",B21)&amp;""</f>
        <v/>
      </c>
      <c r="CB21" s="138">
        <f t="shared" si="21"/>
        <v>0</v>
      </c>
      <c r="CC21" s="132">
        <f t="shared" si="22"/>
        <v>1</v>
      </c>
      <c r="CD21" s="138">
        <f t="shared" si="23"/>
        <v>0</v>
      </c>
      <c r="CE21" s="132">
        <f t="shared" si="24"/>
        <v>1</v>
      </c>
      <c r="CF21" s="133"/>
      <c r="CG21" s="133"/>
    </row>
    <row r="22" ht="15" customHeight="1" spans="1:86">
      <c r="A22" s="123" t="str">
        <f>IF(B22="","",COUNT(A$7:A21)+1)</f>
        <v/>
      </c>
      <c r="B22" s="139"/>
      <c r="C22" s="139"/>
      <c r="D22" s="141"/>
      <c r="E22" s="1224" t="str">
        <f>IFERROR(VLOOKUP(B22&amp;C22,'产成品（商品）'!D$8:F$27,3,FALSE)&amp;"","")</f>
        <v/>
      </c>
      <c r="F22" s="214" t="str">
        <f>IFERROR(VLOOKUP(B22&amp;C22,'产成品（商品）'!D$8:F$27,2,FALSE)&amp;"","")</f>
        <v/>
      </c>
      <c r="G22" s="142"/>
      <c r="H22" s="127" t="str">
        <f>IFERROR(VLOOKUP(G22,参数表!$H$2:$I$50,2,FALSE),"")</f>
        <v/>
      </c>
      <c r="I22" s="128" t="str">
        <f t="shared" si="25"/>
        <v/>
      </c>
      <c r="J22" s="128" t="str">
        <f t="shared" si="26"/>
        <v/>
      </c>
      <c r="K22" s="980"/>
      <c r="L22" s="143" t="str">
        <f t="shared" si="0"/>
        <v/>
      </c>
      <c r="M22" s="143"/>
      <c r="N22" s="143"/>
      <c r="O22" s="144"/>
      <c r="P22" s="144"/>
      <c r="Q22" s="144"/>
      <c r="R22" s="353" t="str">
        <f t="shared" si="11"/>
        <v/>
      </c>
      <c r="S22" s="129" t="str">
        <f t="shared" si="12"/>
        <v/>
      </c>
      <c r="T22" s="1226" t="str">
        <f t="shared" si="13"/>
        <v/>
      </c>
      <c r="U22" s="1226" t="str">
        <f t="shared" si="14"/>
        <v/>
      </c>
      <c r="V22" s="353" t="str">
        <f t="shared" si="1"/>
        <v/>
      </c>
      <c r="W22" s="353" t="str">
        <f t="shared" si="15"/>
        <v/>
      </c>
      <c r="X22" s="353" t="str">
        <f t="shared" si="2"/>
        <v/>
      </c>
      <c r="Y22" s="129" t="str">
        <f t="shared" si="16"/>
        <v/>
      </c>
      <c r="Z22" s="129" t="str">
        <f t="shared" si="17"/>
        <v/>
      </c>
      <c r="AA22" s="145"/>
      <c r="BA22" s="78"/>
      <c r="BB22" s="132" t="s">
        <v>2743</v>
      </c>
      <c r="BC22" s="133"/>
      <c r="BD22" s="132" t="str">
        <f>IF(OR(B22="",BC22=""),"",COUNTIF(BC$8:BC22,"√"))</f>
        <v/>
      </c>
      <c r="BE22" s="134" t="str">
        <f t="shared" si="3"/>
        <v/>
      </c>
      <c r="BF22" s="135" t="str">
        <f t="shared" si="18"/>
        <v/>
      </c>
      <c r="BG22" s="135" t="str">
        <f t="shared" si="18"/>
        <v/>
      </c>
      <c r="BH22" s="136"/>
      <c r="BI22" s="136"/>
      <c r="BJ22" s="136"/>
      <c r="BK22" s="136"/>
      <c r="BL22" s="136"/>
      <c r="BM22" s="137"/>
      <c r="BN22" s="137"/>
      <c r="BO22" s="187" t="str">
        <f t="shared" si="4"/>
        <v/>
      </c>
      <c r="BP22" s="187">
        <f t="shared" si="5"/>
        <v>0</v>
      </c>
      <c r="BQ22" s="187">
        <f t="shared" si="6"/>
        <v>0</v>
      </c>
      <c r="BR22" s="187">
        <f t="shared" si="7"/>
        <v>0</v>
      </c>
      <c r="BS22" s="187">
        <f t="shared" si="7"/>
        <v>0</v>
      </c>
      <c r="BT22" s="187">
        <f t="shared" si="7"/>
        <v>0</v>
      </c>
      <c r="BU22" s="187">
        <f t="shared" si="7"/>
        <v>0</v>
      </c>
      <c r="BV22" s="187">
        <f t="shared" si="8"/>
        <v>0</v>
      </c>
      <c r="BW22" s="187">
        <f t="shared" si="19"/>
        <v>0</v>
      </c>
      <c r="BX22" s="187">
        <f t="shared" si="20"/>
        <v>0</v>
      </c>
      <c r="BY22" s="187">
        <f t="shared" si="9"/>
        <v>0</v>
      </c>
      <c r="CA22" s="134" t="str">
        <f>IF(COUNTIF(CA$7:CA21,B22)&gt;0,"",B22)&amp;""</f>
        <v/>
      </c>
      <c r="CB22" s="138">
        <f t="shared" si="21"/>
        <v>0</v>
      </c>
      <c r="CC22" s="132">
        <f t="shared" si="22"/>
        <v>1</v>
      </c>
      <c r="CD22" s="138">
        <f t="shared" si="23"/>
        <v>0</v>
      </c>
      <c r="CE22" s="132">
        <f t="shared" si="24"/>
        <v>1</v>
      </c>
      <c r="CF22" s="133"/>
      <c r="CG22" s="133"/>
    </row>
    <row r="23" ht="15" customHeight="1" spans="1:86">
      <c r="A23" s="123" t="str">
        <f>IF(B23="","",COUNT(A$7:A22)+1)</f>
        <v/>
      </c>
      <c r="B23" s="139"/>
      <c r="C23" s="139"/>
      <c r="D23" s="141"/>
      <c r="E23" s="1224" t="str">
        <f>IFERROR(VLOOKUP(B23&amp;C23,'产成品（商品）'!D$8:F$27,3,FALSE)&amp;"","")</f>
        <v/>
      </c>
      <c r="F23" s="214" t="str">
        <f>IFERROR(VLOOKUP(B23&amp;C23,'产成品（商品）'!D$8:F$27,2,FALSE)&amp;"","")</f>
        <v/>
      </c>
      <c r="G23" s="142"/>
      <c r="H23" s="127" t="str">
        <f>IFERROR(VLOOKUP(G23,参数表!$H$2:$I$50,2,FALSE),"")</f>
        <v/>
      </c>
      <c r="I23" s="128" t="str">
        <f t="shared" si="25"/>
        <v/>
      </c>
      <c r="J23" s="128" t="str">
        <f t="shared" si="26"/>
        <v/>
      </c>
      <c r="K23" s="980"/>
      <c r="L23" s="143" t="str">
        <f t="shared" si="0"/>
        <v/>
      </c>
      <c r="M23" s="143"/>
      <c r="N23" s="143"/>
      <c r="O23" s="144"/>
      <c r="P23" s="144"/>
      <c r="Q23" s="144"/>
      <c r="R23" s="353" t="str">
        <f t="shared" si="11"/>
        <v/>
      </c>
      <c r="S23" s="129" t="str">
        <f t="shared" si="12"/>
        <v/>
      </c>
      <c r="T23" s="1226" t="str">
        <f t="shared" si="13"/>
        <v/>
      </c>
      <c r="U23" s="1226" t="str">
        <f t="shared" si="14"/>
        <v/>
      </c>
      <c r="V23" s="353" t="str">
        <f t="shared" si="1"/>
        <v/>
      </c>
      <c r="W23" s="353" t="str">
        <f t="shared" si="15"/>
        <v/>
      </c>
      <c r="X23" s="353" t="str">
        <f t="shared" si="2"/>
        <v/>
      </c>
      <c r="Y23" s="129" t="str">
        <f t="shared" si="16"/>
        <v/>
      </c>
      <c r="Z23" s="129" t="str">
        <f t="shared" si="17"/>
        <v/>
      </c>
      <c r="AA23" s="145"/>
      <c r="BA23" s="78"/>
      <c r="BB23" s="132" t="s">
        <v>2744</v>
      </c>
      <c r="BC23" s="133"/>
      <c r="BD23" s="132" t="str">
        <f>IF(OR(B23="",BC23=""),"",COUNTIF(BC$8:BC23,"√"))</f>
        <v/>
      </c>
      <c r="BE23" s="134" t="str">
        <f t="shared" si="3"/>
        <v/>
      </c>
      <c r="BF23" s="135" t="str">
        <f t="shared" si="18"/>
        <v/>
      </c>
      <c r="BG23" s="135" t="str">
        <f t="shared" si="18"/>
        <v/>
      </c>
      <c r="BH23" s="136"/>
      <c r="BI23" s="136"/>
      <c r="BJ23" s="136"/>
      <c r="BK23" s="136"/>
      <c r="BL23" s="136"/>
      <c r="BM23" s="137"/>
      <c r="BN23" s="137"/>
      <c r="BO23" s="187" t="str">
        <f t="shared" si="4"/>
        <v/>
      </c>
      <c r="BP23" s="187">
        <f t="shared" si="5"/>
        <v>0</v>
      </c>
      <c r="BQ23" s="187">
        <f t="shared" si="6"/>
        <v>0</v>
      </c>
      <c r="BR23" s="187">
        <f t="shared" si="7"/>
        <v>0</v>
      </c>
      <c r="BS23" s="187">
        <f t="shared" si="7"/>
        <v>0</v>
      </c>
      <c r="BT23" s="187">
        <f t="shared" si="7"/>
        <v>0</v>
      </c>
      <c r="BU23" s="187">
        <f t="shared" si="7"/>
        <v>0</v>
      </c>
      <c r="BV23" s="187">
        <f t="shared" si="8"/>
        <v>0</v>
      </c>
      <c r="BW23" s="187">
        <f t="shared" si="19"/>
        <v>0</v>
      </c>
      <c r="BX23" s="187">
        <f t="shared" si="20"/>
        <v>0</v>
      </c>
      <c r="BY23" s="187">
        <f t="shared" si="9"/>
        <v>0</v>
      </c>
      <c r="CA23" s="134" t="str">
        <f>IF(COUNTIF(CA$7:CA22,B23)&gt;0,"",B23)&amp;""</f>
        <v/>
      </c>
      <c r="CB23" s="138">
        <f t="shared" si="21"/>
        <v>0</v>
      </c>
      <c r="CC23" s="132">
        <f t="shared" si="22"/>
        <v>1</v>
      </c>
      <c r="CD23" s="138">
        <f t="shared" si="23"/>
        <v>0</v>
      </c>
      <c r="CE23" s="132">
        <f t="shared" si="24"/>
        <v>1</v>
      </c>
      <c r="CF23" s="133"/>
      <c r="CG23" s="133"/>
    </row>
    <row r="24" ht="15" customHeight="1" spans="1:86">
      <c r="A24" s="123" t="str">
        <f>IF(B24="","",COUNT(A$7:A23)+1)</f>
        <v/>
      </c>
      <c r="B24" s="139"/>
      <c r="C24" s="139"/>
      <c r="D24" s="141"/>
      <c r="E24" s="1224" t="str">
        <f>IFERROR(VLOOKUP(B24&amp;C24,'产成品（商品）'!D$8:F$27,3,FALSE)&amp;"","")</f>
        <v/>
      </c>
      <c r="F24" s="214" t="str">
        <f>IFERROR(VLOOKUP(B24&amp;C24,'产成品（商品）'!D$8:F$27,2,FALSE)&amp;"","")</f>
        <v/>
      </c>
      <c r="G24" s="142"/>
      <c r="H24" s="127" t="str">
        <f>IFERROR(VLOOKUP(G24,参数表!$H$2:$I$50,2,FALSE),"")</f>
        <v/>
      </c>
      <c r="I24" s="128" t="str">
        <f t="shared" si="25"/>
        <v/>
      </c>
      <c r="J24" s="128" t="str">
        <f t="shared" si="26"/>
        <v/>
      </c>
      <c r="K24" s="980"/>
      <c r="L24" s="143" t="str">
        <f t="shared" si="0"/>
        <v/>
      </c>
      <c r="M24" s="143"/>
      <c r="N24" s="143"/>
      <c r="O24" s="144"/>
      <c r="P24" s="144"/>
      <c r="Q24" s="144"/>
      <c r="R24" s="353" t="str">
        <f t="shared" si="11"/>
        <v/>
      </c>
      <c r="S24" s="129" t="str">
        <f t="shared" si="12"/>
        <v/>
      </c>
      <c r="T24" s="1226" t="str">
        <f t="shared" si="13"/>
        <v/>
      </c>
      <c r="U24" s="1226" t="str">
        <f t="shared" si="14"/>
        <v/>
      </c>
      <c r="V24" s="353" t="str">
        <f t="shared" si="1"/>
        <v/>
      </c>
      <c r="W24" s="353" t="str">
        <f t="shared" si="15"/>
        <v/>
      </c>
      <c r="X24" s="353" t="str">
        <f t="shared" si="2"/>
        <v/>
      </c>
      <c r="Y24" s="129" t="str">
        <f t="shared" si="16"/>
        <v/>
      </c>
      <c r="Z24" s="129" t="str">
        <f t="shared" si="17"/>
        <v/>
      </c>
      <c r="AA24" s="145"/>
      <c r="BA24" s="78"/>
      <c r="BB24" s="132" t="s">
        <v>2745</v>
      </c>
      <c r="BC24" s="133"/>
      <c r="BD24" s="132" t="str">
        <f>IF(OR(B24="",BC24=""),"",COUNTIF(BC$8:BC24,"√"))</f>
        <v/>
      </c>
      <c r="BE24" s="134" t="str">
        <f t="shared" si="3"/>
        <v/>
      </c>
      <c r="BF24" s="135" t="str">
        <f t="shared" si="18"/>
        <v/>
      </c>
      <c r="BG24" s="135" t="str">
        <f t="shared" si="18"/>
        <v/>
      </c>
      <c r="BH24" s="136"/>
      <c r="BI24" s="136"/>
      <c r="BJ24" s="136"/>
      <c r="BK24" s="136"/>
      <c r="BL24" s="136"/>
      <c r="BM24" s="137"/>
      <c r="BN24" s="137"/>
      <c r="BO24" s="187" t="str">
        <f t="shared" si="4"/>
        <v/>
      </c>
      <c r="BP24" s="187">
        <f t="shared" si="5"/>
        <v>0</v>
      </c>
      <c r="BQ24" s="187">
        <f t="shared" si="6"/>
        <v>0</v>
      </c>
      <c r="BR24" s="187">
        <f t="shared" si="7"/>
        <v>0</v>
      </c>
      <c r="BS24" s="187">
        <f t="shared" si="7"/>
        <v>0</v>
      </c>
      <c r="BT24" s="187">
        <f t="shared" si="7"/>
        <v>0</v>
      </c>
      <c r="BU24" s="187">
        <f t="shared" si="7"/>
        <v>0</v>
      </c>
      <c r="BV24" s="187">
        <f t="shared" si="8"/>
        <v>0</v>
      </c>
      <c r="BW24" s="187">
        <f t="shared" si="19"/>
        <v>0</v>
      </c>
      <c r="BX24" s="187">
        <f t="shared" si="20"/>
        <v>0</v>
      </c>
      <c r="BY24" s="187">
        <f t="shared" si="9"/>
        <v>0</v>
      </c>
      <c r="CA24" s="134" t="str">
        <f>IF(COUNTIF(CA$7:CA23,B24)&gt;0,"",B24)&amp;""</f>
        <v/>
      </c>
      <c r="CB24" s="138">
        <f t="shared" si="21"/>
        <v>0</v>
      </c>
      <c r="CC24" s="132">
        <f t="shared" si="22"/>
        <v>1</v>
      </c>
      <c r="CD24" s="138">
        <f t="shared" si="23"/>
        <v>0</v>
      </c>
      <c r="CE24" s="132">
        <f t="shared" si="24"/>
        <v>1</v>
      </c>
      <c r="CF24" s="133"/>
      <c r="CG24" s="133"/>
    </row>
    <row r="25" ht="15" customHeight="1" spans="1:86">
      <c r="A25" s="123" t="str">
        <f>IF(B25="","",COUNT(A$7:A24)+1)</f>
        <v/>
      </c>
      <c r="B25" s="139"/>
      <c r="C25" s="139"/>
      <c r="D25" s="141"/>
      <c r="E25" s="1224" t="str">
        <f>IFERROR(VLOOKUP(B25&amp;C25,'产成品（商品）'!D$8:F$27,3,FALSE)&amp;"","")</f>
        <v/>
      </c>
      <c r="F25" s="214" t="str">
        <f>IFERROR(VLOOKUP(B25&amp;C25,'产成品（商品）'!D$8:F$27,2,FALSE)&amp;"","")</f>
        <v/>
      </c>
      <c r="G25" s="142"/>
      <c r="H25" s="127" t="str">
        <f>IFERROR(VLOOKUP(G25,参数表!$H$2:$I$50,2,FALSE),"")</f>
        <v/>
      </c>
      <c r="I25" s="128" t="str">
        <f t="shared" si="25"/>
        <v/>
      </c>
      <c r="J25" s="128" t="str">
        <f t="shared" si="26"/>
        <v/>
      </c>
      <c r="K25" s="980"/>
      <c r="L25" s="143" t="str">
        <f t="shared" si="0"/>
        <v/>
      </c>
      <c r="M25" s="143"/>
      <c r="N25" s="143"/>
      <c r="O25" s="144"/>
      <c r="P25" s="144"/>
      <c r="Q25" s="144"/>
      <c r="R25" s="353" t="str">
        <f t="shared" si="11"/>
        <v/>
      </c>
      <c r="S25" s="129" t="str">
        <f t="shared" si="12"/>
        <v/>
      </c>
      <c r="T25" s="1226" t="str">
        <f t="shared" si="13"/>
        <v/>
      </c>
      <c r="U25" s="1226" t="str">
        <f t="shared" si="14"/>
        <v/>
      </c>
      <c r="V25" s="353" t="str">
        <f t="shared" si="1"/>
        <v/>
      </c>
      <c r="W25" s="353" t="str">
        <f t="shared" si="15"/>
        <v/>
      </c>
      <c r="X25" s="353" t="str">
        <f t="shared" si="2"/>
        <v/>
      </c>
      <c r="Y25" s="129" t="str">
        <f t="shared" si="16"/>
        <v/>
      </c>
      <c r="Z25" s="129" t="str">
        <f t="shared" si="17"/>
        <v/>
      </c>
      <c r="AA25" s="145"/>
      <c r="BA25" s="78"/>
      <c r="BB25" s="132" t="s">
        <v>2746</v>
      </c>
      <c r="BC25" s="133"/>
      <c r="BD25" s="132" t="str">
        <f>IF(OR(B25="",BC25=""),"",COUNTIF(BC$8:BC25,"√"))</f>
        <v/>
      </c>
      <c r="BE25" s="134" t="str">
        <f t="shared" si="3"/>
        <v/>
      </c>
      <c r="BF25" s="135" t="str">
        <f t="shared" si="18"/>
        <v/>
      </c>
      <c r="BG25" s="135" t="str">
        <f t="shared" si="18"/>
        <v/>
      </c>
      <c r="BH25" s="136"/>
      <c r="BI25" s="136"/>
      <c r="BJ25" s="136"/>
      <c r="BK25" s="136"/>
      <c r="BL25" s="136"/>
      <c r="BM25" s="137"/>
      <c r="BN25" s="137"/>
      <c r="BO25" s="187" t="str">
        <f t="shared" si="4"/>
        <v/>
      </c>
      <c r="BP25" s="187">
        <f t="shared" si="5"/>
        <v>0</v>
      </c>
      <c r="BQ25" s="187">
        <f t="shared" si="6"/>
        <v>0</v>
      </c>
      <c r="BR25" s="187">
        <f t="shared" si="7"/>
        <v>0</v>
      </c>
      <c r="BS25" s="187">
        <f t="shared" si="7"/>
        <v>0</v>
      </c>
      <c r="BT25" s="187">
        <f t="shared" si="7"/>
        <v>0</v>
      </c>
      <c r="BU25" s="187">
        <f t="shared" si="7"/>
        <v>0</v>
      </c>
      <c r="BV25" s="187">
        <f t="shared" si="8"/>
        <v>0</v>
      </c>
      <c r="BW25" s="187">
        <f t="shared" si="19"/>
        <v>0</v>
      </c>
      <c r="BX25" s="187">
        <f t="shared" si="20"/>
        <v>0</v>
      </c>
      <c r="BY25" s="187">
        <f t="shared" si="9"/>
        <v>0</v>
      </c>
      <c r="CA25" s="134" t="str">
        <f>IF(COUNTIF(CA$7:CA24,B25)&gt;0,"",B25)&amp;""</f>
        <v/>
      </c>
      <c r="CB25" s="138">
        <f t="shared" si="21"/>
        <v>0</v>
      </c>
      <c r="CC25" s="132">
        <f t="shared" si="22"/>
        <v>1</v>
      </c>
      <c r="CD25" s="138">
        <f t="shared" si="23"/>
        <v>0</v>
      </c>
      <c r="CE25" s="132">
        <f t="shared" si="24"/>
        <v>1</v>
      </c>
      <c r="CF25" s="133"/>
      <c r="CG25" s="133"/>
    </row>
    <row r="26" ht="15" customHeight="1" spans="1:86">
      <c r="A26" s="123" t="str">
        <f>IF(B26="","",COUNT(A$7:A25)+1)</f>
        <v/>
      </c>
      <c r="B26" s="139"/>
      <c r="C26" s="139"/>
      <c r="D26" s="141"/>
      <c r="E26" s="1224" t="str">
        <f>IFERROR(VLOOKUP(B26&amp;C26,'产成品（商品）'!D$8:F$27,3,FALSE)&amp;"","")</f>
        <v/>
      </c>
      <c r="F26" s="214" t="str">
        <f>IFERROR(VLOOKUP(B26&amp;C26,'产成品（商品）'!D$8:F$27,2,FALSE)&amp;"","")</f>
        <v/>
      </c>
      <c r="G26" s="142"/>
      <c r="H26" s="127" t="str">
        <f>IFERROR(VLOOKUP(G26,参数表!$H$2:$I$50,2,FALSE),"")</f>
        <v/>
      </c>
      <c r="I26" s="128" t="str">
        <f t="shared" si="25"/>
        <v/>
      </c>
      <c r="J26" s="128" t="str">
        <f t="shared" si="26"/>
        <v/>
      </c>
      <c r="K26" s="980"/>
      <c r="L26" s="143" t="str">
        <f t="shared" si="0"/>
        <v/>
      </c>
      <c r="M26" s="143"/>
      <c r="N26" s="143"/>
      <c r="O26" s="144"/>
      <c r="P26" s="144"/>
      <c r="Q26" s="144"/>
      <c r="R26" s="353" t="str">
        <f t="shared" si="11"/>
        <v/>
      </c>
      <c r="S26" s="129" t="str">
        <f t="shared" si="12"/>
        <v/>
      </c>
      <c r="T26" s="1226" t="str">
        <f t="shared" si="13"/>
        <v/>
      </c>
      <c r="U26" s="1226" t="str">
        <f t="shared" si="14"/>
        <v/>
      </c>
      <c r="V26" s="353" t="str">
        <f t="shared" si="1"/>
        <v/>
      </c>
      <c r="W26" s="353" t="str">
        <f t="shared" si="15"/>
        <v/>
      </c>
      <c r="X26" s="353" t="str">
        <f t="shared" si="2"/>
        <v/>
      </c>
      <c r="Y26" s="129" t="str">
        <f t="shared" si="16"/>
        <v/>
      </c>
      <c r="Z26" s="129" t="str">
        <f t="shared" si="17"/>
        <v/>
      </c>
      <c r="AA26" s="145"/>
      <c r="BA26" s="78"/>
      <c r="BB26" s="132" t="s">
        <v>2747</v>
      </c>
      <c r="BC26" s="133"/>
      <c r="BD26" s="132" t="str">
        <f>IF(OR(B26="",BC26=""),"",COUNTIF(BC$8:BC26,"√"))</f>
        <v/>
      </c>
      <c r="BE26" s="134" t="str">
        <f t="shared" si="3"/>
        <v/>
      </c>
      <c r="BF26" s="135" t="str">
        <f t="shared" si="18"/>
        <v/>
      </c>
      <c r="BG26" s="135" t="str">
        <f t="shared" si="18"/>
        <v/>
      </c>
      <c r="BH26" s="136"/>
      <c r="BI26" s="136"/>
      <c r="BJ26" s="136"/>
      <c r="BK26" s="136"/>
      <c r="BL26" s="136"/>
      <c r="BM26" s="137"/>
      <c r="BN26" s="137"/>
      <c r="BO26" s="187" t="str">
        <f t="shared" si="4"/>
        <v/>
      </c>
      <c r="BP26" s="187">
        <f t="shared" si="5"/>
        <v>0</v>
      </c>
      <c r="BQ26" s="187">
        <f t="shared" si="6"/>
        <v>0</v>
      </c>
      <c r="BR26" s="187">
        <f t="shared" si="7"/>
        <v>0</v>
      </c>
      <c r="BS26" s="187">
        <f t="shared" si="7"/>
        <v>0</v>
      </c>
      <c r="BT26" s="187">
        <f t="shared" si="7"/>
        <v>0</v>
      </c>
      <c r="BU26" s="187">
        <f t="shared" si="7"/>
        <v>0</v>
      </c>
      <c r="BV26" s="187">
        <f t="shared" si="8"/>
        <v>0</v>
      </c>
      <c r="BW26" s="187">
        <f t="shared" si="19"/>
        <v>0</v>
      </c>
      <c r="BX26" s="187">
        <f t="shared" si="20"/>
        <v>0</v>
      </c>
      <c r="BY26" s="187">
        <f t="shared" si="9"/>
        <v>0</v>
      </c>
      <c r="CA26" s="134" t="str">
        <f>IF(COUNTIF(CA$7:CA25,B26)&gt;0,"",B26)&amp;""</f>
        <v/>
      </c>
      <c r="CB26" s="138">
        <f t="shared" si="21"/>
        <v>0</v>
      </c>
      <c r="CC26" s="132">
        <f t="shared" si="22"/>
        <v>1</v>
      </c>
      <c r="CD26" s="138">
        <f t="shared" si="23"/>
        <v>0</v>
      </c>
      <c r="CE26" s="132">
        <f t="shared" si="24"/>
        <v>1</v>
      </c>
      <c r="CF26" s="133"/>
      <c r="CG26" s="133"/>
    </row>
    <row r="27" ht="15" customHeight="1" spans="1:86">
      <c r="A27" s="123" t="str">
        <f>IF(B27="","",COUNT(A$7:A26)+1)</f>
        <v/>
      </c>
      <c r="B27" s="124"/>
      <c r="C27" s="124"/>
      <c r="D27" s="126"/>
      <c r="E27" s="1224" t="str">
        <f>IFERROR(VLOOKUP(B27&amp;C27,'产成品（商品）'!D$8:F$27,3,FALSE)&amp;"","")</f>
        <v/>
      </c>
      <c r="F27" s="214" t="str">
        <f>IFERROR(VLOOKUP(B27&amp;C27,'产成品（商品）'!D$8:F$27,2,FALSE)&amp;"","")</f>
        <v/>
      </c>
      <c r="G27" s="127"/>
      <c r="H27" s="127" t="str">
        <f>IFERROR(VLOOKUP(G27,参数表!$H$2:$I$50,2,FALSE),"")</f>
        <v/>
      </c>
      <c r="I27" s="128" t="str">
        <f t="shared" si="25"/>
        <v/>
      </c>
      <c r="J27" s="128" t="str">
        <f t="shared" si="26"/>
        <v/>
      </c>
      <c r="K27" s="353"/>
      <c r="L27" s="129" t="str">
        <f t="shared" si="0"/>
        <v/>
      </c>
      <c r="M27" s="129"/>
      <c r="N27" s="129"/>
      <c r="O27" s="130"/>
      <c r="P27" s="130"/>
      <c r="Q27" s="130"/>
      <c r="R27" s="353" t="str">
        <f t="shared" si="11"/>
        <v/>
      </c>
      <c r="S27" s="129" t="str">
        <f t="shared" si="12"/>
        <v/>
      </c>
      <c r="T27" s="1226" t="str">
        <f t="shared" si="13"/>
        <v/>
      </c>
      <c r="U27" s="1226" t="str">
        <f t="shared" si="14"/>
        <v/>
      </c>
      <c r="V27" s="353" t="str">
        <f t="shared" si="1"/>
        <v/>
      </c>
      <c r="W27" s="353" t="str">
        <f t="shared" si="15"/>
        <v/>
      </c>
      <c r="X27" s="353" t="str">
        <f t="shared" si="2"/>
        <v/>
      </c>
      <c r="Y27" s="129" t="str">
        <f t="shared" si="16"/>
        <v/>
      </c>
      <c r="Z27" s="129" t="str">
        <f t="shared" si="17"/>
        <v/>
      </c>
      <c r="AA27" s="131"/>
      <c r="BA27" s="78"/>
      <c r="BB27" s="132" t="s">
        <v>2748</v>
      </c>
      <c r="BC27" s="133"/>
      <c r="BD27" s="132" t="str">
        <f>IF(OR(B27="",BC27=""),"",COUNTIF(BC$8:BC27,"√"))</f>
        <v/>
      </c>
      <c r="BE27" s="134" t="str">
        <f t="shared" si="3"/>
        <v/>
      </c>
      <c r="BF27" s="135" t="str">
        <f t="shared" si="18"/>
        <v/>
      </c>
      <c r="BG27" s="135" t="str">
        <f t="shared" si="18"/>
        <v/>
      </c>
      <c r="BH27" s="136"/>
      <c r="BI27" s="136"/>
      <c r="BJ27" s="136"/>
      <c r="BK27" s="136"/>
      <c r="BL27" s="136"/>
      <c r="BM27" s="137"/>
      <c r="BN27" s="137"/>
      <c r="BO27" s="1227" t="str">
        <f t="shared" si="4"/>
        <v/>
      </c>
      <c r="BP27" s="187">
        <f t="shared" si="5"/>
        <v>0</v>
      </c>
      <c r="BQ27" s="187">
        <f t="shared" si="6"/>
        <v>0</v>
      </c>
      <c r="BR27" s="187">
        <f t="shared" si="7"/>
        <v>0</v>
      </c>
      <c r="BS27" s="187">
        <f t="shared" si="7"/>
        <v>0</v>
      </c>
      <c r="BT27" s="187">
        <f t="shared" si="7"/>
        <v>0</v>
      </c>
      <c r="BU27" s="187">
        <f t="shared" si="7"/>
        <v>0</v>
      </c>
      <c r="BV27" s="187">
        <f t="shared" si="8"/>
        <v>0</v>
      </c>
      <c r="BW27" s="187">
        <f t="shared" si="19"/>
        <v>0</v>
      </c>
      <c r="BX27" s="187">
        <f t="shared" si="20"/>
        <v>0</v>
      </c>
      <c r="BY27" s="187">
        <f t="shared" si="9"/>
        <v>0</v>
      </c>
      <c r="CA27" s="134" t="str">
        <f>IF(COUNTIF(CA$7:CA26,B27)&gt;0,"",B27)&amp;""</f>
        <v/>
      </c>
      <c r="CB27" s="138">
        <f t="shared" si="21"/>
        <v>0</v>
      </c>
      <c r="CC27" s="132">
        <f t="shared" si="22"/>
        <v>1</v>
      </c>
      <c r="CD27" s="138">
        <f t="shared" si="23"/>
        <v>0</v>
      </c>
      <c r="CE27" s="132">
        <f t="shared" si="24"/>
        <v>1</v>
      </c>
      <c r="CF27" s="133"/>
      <c r="CG27" s="133"/>
    </row>
    <row r="28" ht="15" customHeight="1" spans="1:86">
      <c r="A28" s="221" t="s">
        <v>1954</v>
      </c>
      <c r="B28" s="221"/>
      <c r="C28" s="221"/>
      <c r="D28" s="149"/>
      <c r="E28" s="222"/>
      <c r="F28" s="222"/>
      <c r="G28" s="180"/>
      <c r="H28" s="180"/>
      <c r="I28" s="180"/>
      <c r="J28" s="180"/>
      <c r="K28" s="152"/>
      <c r="L28" s="152" t="str">
        <f t="shared" si="0"/>
        <v/>
      </c>
      <c r="M28" s="152">
        <f>SUM(M8:M27)</f>
        <v>0</v>
      </c>
      <c r="N28" s="152">
        <f>SUM(N8:N27)</f>
        <v>0</v>
      </c>
      <c r="O28" s="153"/>
      <c r="P28" s="153"/>
      <c r="Q28" s="153"/>
      <c r="R28" s="353"/>
      <c r="S28" s="152"/>
      <c r="T28" s="152">
        <f>SUM(T8:T27)</f>
        <v>0</v>
      </c>
      <c r="U28" s="152">
        <f>SUM(U8:U27)</f>
        <v>0</v>
      </c>
      <c r="V28" s="916"/>
      <c r="W28" s="152"/>
      <c r="X28" s="152">
        <f>SUM(X8:X27)</f>
        <v>0</v>
      </c>
      <c r="Y28" s="152">
        <f t="shared" si="16"/>
        <v>0</v>
      </c>
      <c r="Z28" s="152" t="str">
        <f t="shared" si="17"/>
        <v/>
      </c>
      <c r="AA28" s="131"/>
      <c r="BF28" s="165"/>
      <c r="BG28" s="165"/>
      <c r="BN28" s="75"/>
      <c r="BO28" s="75"/>
      <c r="BP28" s="75"/>
      <c r="BZ28" s="111"/>
      <c r="CA28" s="119"/>
      <c r="CC28" s="77"/>
      <c r="CD28" s="77"/>
      <c r="CE28" s="119"/>
      <c r="CF28" s="119"/>
      <c r="CG28" s="119"/>
      <c r="CH28" s="111"/>
    </row>
    <row r="29" ht="15" customHeight="1" spans="1:86">
      <c r="A29" s="982" t="s">
        <v>2205</v>
      </c>
      <c r="B29" s="982"/>
      <c r="C29" s="124"/>
      <c r="D29" s="126"/>
      <c r="E29" s="214"/>
      <c r="F29" s="214"/>
      <c r="G29" s="174"/>
      <c r="H29" s="174"/>
      <c r="I29" s="174"/>
      <c r="J29" s="174"/>
      <c r="K29" s="129"/>
      <c r="L29" s="1226"/>
      <c r="M29" s="129">
        <f>N28</f>
        <v>0</v>
      </c>
      <c r="N29" s="129"/>
      <c r="O29" s="130"/>
      <c r="P29" s="130"/>
      <c r="Q29" s="130"/>
      <c r="R29" s="353"/>
      <c r="S29" s="1226"/>
      <c r="T29" s="129">
        <f>U28</f>
        <v>0</v>
      </c>
      <c r="U29" s="129"/>
      <c r="V29" s="129"/>
      <c r="W29" s="129"/>
      <c r="X29" s="129"/>
      <c r="Y29" s="129">
        <f t="shared" si="16"/>
        <v>0</v>
      </c>
      <c r="Z29" s="129" t="str">
        <f t="shared" si="17"/>
        <v/>
      </c>
      <c r="AA29" s="131"/>
      <c r="BF29" s="165"/>
      <c r="BG29" s="165"/>
      <c r="BN29" s="75"/>
      <c r="BO29" s="75"/>
      <c r="BP29" s="75"/>
    </row>
    <row r="30" s="73" customFormat="1" ht="15" customHeight="1" spans="1:86">
      <c r="A30" s="221" t="s">
        <v>1957</v>
      </c>
      <c r="B30" s="221"/>
      <c r="C30" s="149"/>
      <c r="D30" s="149"/>
      <c r="E30" s="222"/>
      <c r="F30" s="222"/>
      <c r="G30" s="180"/>
      <c r="H30" s="180"/>
      <c r="I30" s="180"/>
      <c r="J30" s="180"/>
      <c r="K30" s="152"/>
      <c r="L30" s="152"/>
      <c r="M30" s="152">
        <f>M28-M29</f>
        <v>0</v>
      </c>
      <c r="N30" s="152"/>
      <c r="O30" s="153"/>
      <c r="P30" s="153"/>
      <c r="Q30" s="153"/>
      <c r="R30" s="353"/>
      <c r="S30" s="152"/>
      <c r="T30" s="152">
        <f>T28-T29</f>
        <v>0</v>
      </c>
      <c r="U30" s="152"/>
      <c r="V30" s="152"/>
      <c r="W30" s="152"/>
      <c r="X30" s="152">
        <f>X28-X29</f>
        <v>0</v>
      </c>
      <c r="Y30" s="152">
        <f t="shared" si="16"/>
        <v>0</v>
      </c>
      <c r="Z30" s="152" t="str">
        <f t="shared" si="17"/>
        <v/>
      </c>
      <c r="AA30" s="151"/>
      <c r="BF30" s="72"/>
      <c r="BG30" s="72"/>
      <c r="BH30" s="72"/>
      <c r="BI30" s="72"/>
      <c r="BJ30" s="72"/>
      <c r="BK30" s="72"/>
      <c r="BL30" s="72"/>
      <c r="BZ30" s="77"/>
      <c r="CA30" s="78"/>
      <c r="CB30" s="77"/>
      <c r="CC30" s="78"/>
      <c r="CD30" s="78"/>
      <c r="CE30" s="78"/>
      <c r="CF30" s="78"/>
      <c r="CG30" s="78"/>
      <c r="CH30" s="77"/>
    </row>
    <row r="31" customHeight="1" spans="1:86">
      <c r="A31" s="102" t="str">
        <f>参数表!F$6</f>
        <v>产权持有单位填表人：贾广东</v>
      </c>
      <c r="B31" s="154"/>
      <c r="C31" s="154"/>
      <c r="D31" s="154"/>
      <c r="E31" s="154"/>
      <c r="F31" s="286"/>
      <c r="G31" s="154"/>
      <c r="H31" s="154"/>
      <c r="I31" s="154"/>
      <c r="J31" s="154"/>
      <c r="K31" s="154"/>
      <c r="L31" s="1217"/>
      <c r="M31" s="1217"/>
      <c r="N31" s="1217"/>
      <c r="O31" s="1218"/>
      <c r="P31" s="1218"/>
      <c r="Q31" s="1218"/>
      <c r="R31" s="1217"/>
      <c r="S31" s="1217"/>
      <c r="T31" s="1217"/>
      <c r="U31" s="1217"/>
      <c r="V31" s="103"/>
      <c r="W31" s="1217"/>
      <c r="X31" s="103" t="str">
        <f>"评估人员："&amp;封面!$G$20</f>
        <v>评估人员：栗祥宁</v>
      </c>
      <c r="Y31" s="1217"/>
      <c r="Z31" s="1217"/>
      <c r="AA31" s="103"/>
      <c r="BF31" s="165"/>
      <c r="BG31" s="165"/>
      <c r="BN31" s="75"/>
      <c r="BO31" s="75"/>
      <c r="BP31" s="75"/>
    </row>
    <row r="32" customHeight="1" spans="1:86">
      <c r="A32" s="102" t="str">
        <f>参数表!F$7</f>
        <v>填表日期：2025年9月20日</v>
      </c>
      <c r="B32" s="154"/>
      <c r="C32" s="154"/>
      <c r="D32" s="154"/>
      <c r="E32" s="154"/>
      <c r="F32" s="286"/>
      <c r="G32" s="154"/>
      <c r="H32" s="154"/>
      <c r="I32" s="154"/>
      <c r="J32" s="154"/>
      <c r="K32" s="154"/>
      <c r="L32" s="1217"/>
      <c r="M32" s="1217"/>
      <c r="N32" s="1217"/>
      <c r="O32" s="1218"/>
      <c r="P32" s="1218"/>
      <c r="Q32" s="1218"/>
      <c r="R32" s="1217"/>
      <c r="S32" s="1217"/>
      <c r="T32" s="1217"/>
      <c r="U32" s="1217"/>
      <c r="V32" s="103"/>
      <c r="W32" s="1217"/>
      <c r="X32" s="1217"/>
      <c r="Y32" s="1217"/>
      <c r="Z32" s="1217"/>
      <c r="AA32" s="103"/>
      <c r="BF32" s="165"/>
      <c r="BG32" s="165"/>
      <c r="BN32" s="75"/>
      <c r="BO32" s="75"/>
      <c r="BP32" s="75"/>
    </row>
    <row r="33" hidden="1" customHeight="1" outlineLevel="1" spans="1:68">
      <c r="A33" s="157"/>
      <c r="B33" s="154" t="s">
        <v>1673</v>
      </c>
      <c r="C33" s="158"/>
      <c r="D33" s="158"/>
      <c r="E33" s="158"/>
      <c r="F33" s="228"/>
      <c r="G33" s="158"/>
      <c r="H33" s="158"/>
      <c r="I33" s="158"/>
      <c r="J33" s="158"/>
      <c r="K33" s="158"/>
      <c r="M33" s="159">
        <f>SUMIF($BA8:$BA27,$BA33,M8:M27)</f>
        <v>0</v>
      </c>
      <c r="N33" s="159">
        <f>SUMIF($BA8:$BA27,$BA33,N8:N27)</f>
        <v>0</v>
      </c>
      <c r="O33" s="202"/>
      <c r="P33" s="202"/>
      <c r="Q33" s="202"/>
      <c r="R33" s="176"/>
      <c r="S33" s="176"/>
      <c r="T33" s="159">
        <f t="shared" ref="T33:U33" si="29">SUMIF($BA8:$BA27,$BA33,T8:T27)</f>
        <v>0</v>
      </c>
      <c r="U33" s="159">
        <f t="shared" si="29"/>
        <v>0</v>
      </c>
      <c r="V33" s="176"/>
      <c r="W33" s="176"/>
      <c r="X33" s="159">
        <f>SUMIF($BA8:$BA27,$BA33,X8:X27)</f>
        <v>0</v>
      </c>
      <c r="BA33" s="161" t="s">
        <v>1674</v>
      </c>
      <c r="BH33" s="95" t="s">
        <v>1675</v>
      </c>
      <c r="BI33" s="95" t="s">
        <v>1675</v>
      </c>
      <c r="BJ33" s="95" t="s">
        <v>1675</v>
      </c>
      <c r="BK33" s="95" t="s">
        <v>1674</v>
      </c>
      <c r="BL33" s="95" t="s">
        <v>1674</v>
      </c>
      <c r="BN33" s="75"/>
      <c r="BO33" s="75"/>
      <c r="BP33" s="75"/>
    </row>
    <row r="34" hidden="1" customHeight="1" outlineLevel="1" spans="1:68">
      <c r="A34" s="157"/>
      <c r="B34" s="154" t="s">
        <v>1676</v>
      </c>
      <c r="C34" s="158"/>
      <c r="D34" s="158"/>
      <c r="E34" s="158"/>
      <c r="F34" s="228"/>
      <c r="G34" s="158"/>
      <c r="H34" s="158"/>
      <c r="I34" s="158"/>
      <c r="J34" s="158"/>
      <c r="K34" s="158"/>
      <c r="M34" s="159">
        <f>M28-M33</f>
        <v>0</v>
      </c>
      <c r="N34" s="159">
        <f>N28-N33</f>
        <v>0</v>
      </c>
      <c r="O34" s="202"/>
      <c r="P34" s="202"/>
      <c r="Q34" s="202"/>
      <c r="R34" s="176"/>
      <c r="S34" s="176"/>
      <c r="T34" s="159">
        <f>T28-T33</f>
        <v>0</v>
      </c>
      <c r="U34" s="159">
        <f>U28-U33</f>
        <v>0</v>
      </c>
      <c r="V34" s="176"/>
      <c r="W34" s="176"/>
      <c r="X34" s="159">
        <f>X28-X33</f>
        <v>0</v>
      </c>
      <c r="BA34" s="161" t="s">
        <v>1677</v>
      </c>
      <c r="BH34" s="95" t="s">
        <v>1678</v>
      </c>
      <c r="BI34" s="95" t="s">
        <v>1678</v>
      </c>
      <c r="BJ34" s="95" t="s">
        <v>1678</v>
      </c>
      <c r="BK34" s="95" t="s">
        <v>1677</v>
      </c>
      <c r="BL34" s="95" t="s">
        <v>1677</v>
      </c>
      <c r="BN34" s="75"/>
      <c r="BO34" s="75"/>
      <c r="BP34" s="75"/>
    </row>
    <row r="35" customHeight="1" collapsed="1" spans="1:68">
      <c r="A35" s="157"/>
      <c r="B35" s="158"/>
      <c r="C35" s="158"/>
      <c r="D35" s="158"/>
      <c r="E35" s="158"/>
      <c r="F35" s="228"/>
      <c r="G35" s="158"/>
      <c r="H35" s="158"/>
      <c r="I35" s="158"/>
      <c r="J35" s="158"/>
      <c r="K35" s="158"/>
      <c r="BN35" s="75"/>
      <c r="BO35" s="75"/>
      <c r="BP35" s="75"/>
    </row>
    <row r="36" customHeight="1" spans="1:68">
      <c r="A36" s="157"/>
      <c r="B36" s="158"/>
      <c r="C36" s="158"/>
      <c r="D36" s="158"/>
      <c r="E36" s="158"/>
      <c r="F36" s="228"/>
      <c r="G36" s="158"/>
      <c r="H36" s="158"/>
      <c r="I36" s="158"/>
      <c r="J36" s="158"/>
      <c r="K36" s="158"/>
    </row>
    <row r="37" customHeight="1" spans="1:68">
      <c r="A37" s="157"/>
      <c r="B37" s="158"/>
      <c r="C37" s="158"/>
      <c r="D37" s="158"/>
      <c r="E37" s="158"/>
      <c r="F37" s="228"/>
      <c r="G37" s="158"/>
      <c r="H37" s="158"/>
      <c r="I37" s="158"/>
      <c r="J37" s="158"/>
      <c r="K37" s="158"/>
    </row>
    <row r="38" customHeight="1" spans="1:68">
      <c r="A38" s="157"/>
      <c r="B38" s="158"/>
      <c r="C38" s="158"/>
      <c r="D38" s="158"/>
      <c r="E38" s="158"/>
      <c r="F38" s="228"/>
      <c r="G38" s="158"/>
      <c r="H38" s="158"/>
      <c r="I38" s="158"/>
      <c r="J38" s="158"/>
      <c r="K38" s="158"/>
    </row>
    <row r="39" customHeight="1" spans="1:68">
      <c r="A39" s="157"/>
      <c r="B39" s="158"/>
      <c r="C39" s="158"/>
      <c r="D39" s="158"/>
      <c r="E39" s="158"/>
      <c r="F39" s="228"/>
      <c r="G39" s="158"/>
      <c r="H39" s="158"/>
      <c r="I39" s="158"/>
      <c r="J39" s="158"/>
      <c r="K39" s="158"/>
    </row>
  </sheetData>
  <sheetProtection autoFilter="0"/>
  <mergeCells count="31">
    <mergeCell ref="A2:AA2"/>
    <mergeCell ref="A3:AA3"/>
    <mergeCell ref="G6:J6"/>
    <mergeCell ref="K6:N6"/>
    <mergeCell ref="O6:Q6"/>
    <mergeCell ref="R6:U6"/>
    <mergeCell ref="V6:X6"/>
    <mergeCell ref="CF8:CH8"/>
    <mergeCell ref="CF9:CH9"/>
    <mergeCell ref="CG15:CH15"/>
    <mergeCell ref="A28:B28"/>
    <mergeCell ref="A29:B29"/>
    <mergeCell ref="A30:B30"/>
    <mergeCell ref="A6:A7"/>
    <mergeCell ref="B6:B7"/>
    <mergeCell ref="C6:C7"/>
    <mergeCell ref="D6:D7"/>
    <mergeCell ref="E6:E7"/>
    <mergeCell ref="F6:F7"/>
    <mergeCell ref="Y6:Y7"/>
    <mergeCell ref="Z6:Z7"/>
    <mergeCell ref="AA6:AA7"/>
    <mergeCell ref="BF6:BF7"/>
    <mergeCell ref="BG6:BG7"/>
    <mergeCell ref="BH6:BH7"/>
    <mergeCell ref="BI6:BI7"/>
    <mergeCell ref="BJ6:BJ7"/>
    <mergeCell ref="BK6:BK7"/>
    <mergeCell ref="BL6:BL7"/>
    <mergeCell ref="BM6:BM7"/>
    <mergeCell ref="BN6:BN7"/>
  </mergeCells>
  <conditionalFormatting sqref="BM8:BM27">
    <cfRule type="expression" dxfId="5" priority="4" stopIfTrue="1">
      <formula>AND(BK8="无",BM8="")</formula>
    </cfRule>
  </conditionalFormatting>
  <conditionalFormatting sqref="BF8:BG27">
    <cfRule type="containsText" dxfId="6" priority="1" stopIfTrue="1" operator="between" text="出错">
      <formula>NOT(ISERROR(SEARCH("出错",BF8)))</formula>
    </cfRule>
  </conditionalFormatting>
  <conditionalFormatting sqref="BH8:BL27">
    <cfRule type="expression" dxfId="5" priority="5" stopIfTrue="1">
      <formula>AND($B8&lt;&gt;"",BH8="")</formula>
    </cfRule>
  </conditionalFormatting>
  <dataValidations count="4">
    <dataValidation type="list" allowBlank="1" showInputMessage="1" showErrorMessage="1" sqref="G8:G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H8:BL27">
      <formula1>BH$33:BH$34</formula1>
    </dataValidation>
  </dataValidations>
  <hyperlinks>
    <hyperlink ref="A1" location="索引目录!E24" display="返回索引页"/>
    <hyperlink ref="B1" location="存货汇总!B27"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51"/>
  <dimension ref="A1:CM410"/>
  <sheetViews>
    <sheetView tabSelected="1" zoomScale="110" zoomScaleNormal="110" workbookViewId="0">
      <pane xSplit="2" ySplit="8" topLeftCell="C26" activePane="bottomRight" state="frozen"/>
      <selection/>
      <selection pane="topRight"/>
      <selection pane="bottomLeft"/>
      <selection pane="bottomRight" activeCell="W34" sqref="W34"/>
    </sheetView>
  </sheetViews>
  <sheetFormatPr defaultColWidth="9" defaultRowHeight="15.75" customHeight="1"/>
  <cols>
    <col min="1" max="1" width="4.6" style="74" customWidth="1"/>
    <col min="2" max="3" width="8.6" style="75" customWidth="1"/>
    <col min="4" max="4" width="6.6" style="1194" customWidth="1"/>
    <col min="5" max="5" width="8.7" style="75" customWidth="1"/>
    <col min="6" max="6" width="4.6" style="165" customWidth="1"/>
    <col min="7" max="8" width="4.6" style="75" hidden="1" customWidth="1" outlineLevel="1"/>
    <col min="9" max="10" width="6.1" style="75" hidden="1" customWidth="1" outlineLevel="1"/>
    <col min="11" max="11" width="8.7" style="75" hidden="1" customWidth="1" outlineLevel="1"/>
    <col min="12" max="12" width="12.6" style="75" hidden="1" customWidth="1" outlineLevel="1"/>
    <col min="13" max="13" width="8.7" style="75" hidden="1" customWidth="1" outlineLevel="1"/>
    <col min="14" max="14" width="8.6" style="76" hidden="1" customWidth="1" outlineLevel="1"/>
    <col min="15" max="16" width="12.6" style="76" hidden="1" customWidth="1" outlineLevel="1"/>
    <col min="17" max="17" width="8.6" style="75" customWidth="1" collapsed="1"/>
    <col min="18" max="18" width="11.7" style="75" customWidth="1"/>
    <col min="19" max="19" width="7.3" style="75" customWidth="1"/>
    <col min="20" max="20" width="8.6" style="75" customWidth="1"/>
    <col min="21" max="21" width="11.7" style="75" customWidth="1"/>
    <col min="22" max="22" width="5.7" style="75" customWidth="1"/>
    <col min="23" max="23" width="11.7" style="75" customWidth="1"/>
    <col min="24" max="26" width="6.6" style="75" customWidth="1"/>
    <col min="27" max="52" width="9" style="75" hidden="1" customWidth="1" outlineLevel="1"/>
    <col min="53" max="53" width="9" style="75" customWidth="1" outlineLevel="1"/>
    <col min="54" max="54" width="14.7" style="75" customWidth="1"/>
    <col min="55" max="55" width="6.7" style="75" customWidth="1"/>
    <col min="56" max="57" width="5.1" style="75" customWidth="1"/>
    <col min="58" max="58" width="8.7" style="75" customWidth="1"/>
    <col min="59" max="60" width="9.6" style="549" customWidth="1"/>
    <col min="61" max="61" width="4.7" style="75" customWidth="1"/>
    <col min="62" max="64" width="4.7" style="165" customWidth="1"/>
    <col min="65" max="65" width="10.3" style="165" customWidth="1"/>
    <col min="66" max="66" width="8.7" style="165" customWidth="1"/>
    <col min="67" max="67" width="9" style="165" customWidth="1"/>
    <col min="68" max="68" width="10.4" style="165" customWidth="1"/>
    <col min="69" max="69" width="8.7" style="165" customWidth="1"/>
    <col min="70" max="70" width="12.3" style="75" customWidth="1"/>
    <col min="71" max="75" width="10.7" style="75" customWidth="1"/>
    <col min="76" max="77" width="14.3" style="75" customWidth="1"/>
    <col min="78" max="78" width="12.3" style="75" customWidth="1"/>
    <col min="79" max="81" width="10.7" style="75" customWidth="1"/>
    <col min="82" max="82" width="8.6" style="75" customWidth="1"/>
    <col min="83" max="83" width="1.6" style="77" hidden="1" customWidth="1"/>
    <col min="84" max="84" width="10.6" style="78" customWidth="1"/>
    <col min="85" max="85" width="10.6" style="77" customWidth="1"/>
    <col min="86" max="86" width="4.6" style="78" customWidth="1"/>
    <col min="87" max="87" width="10.6" style="78" customWidth="1"/>
    <col min="88" max="89" width="4.6" style="78" customWidth="1"/>
    <col min="90" max="90" width="10.6" style="78" customWidth="1"/>
    <col min="91" max="91" width="5" style="77" customWidth="1"/>
    <col min="92" max="16384" width="9" style="75"/>
  </cols>
  <sheetData>
    <row r="1" s="86" customFormat="1" ht="13.8" spans="1:91">
      <c r="A1" s="203" t="s">
        <v>1591</v>
      </c>
      <c r="B1" s="204" t="s">
        <v>1592</v>
      </c>
      <c r="C1" s="204"/>
      <c r="D1" s="1195"/>
      <c r="E1" s="1196"/>
      <c r="F1" s="82"/>
      <c r="G1" s="82"/>
      <c r="H1" s="82"/>
      <c r="I1" s="82"/>
      <c r="J1" s="82"/>
      <c r="K1" s="82"/>
      <c r="L1" s="82"/>
      <c r="M1" s="82"/>
      <c r="N1" s="205"/>
      <c r="O1" s="205"/>
      <c r="P1" s="205"/>
      <c r="Q1" s="82"/>
      <c r="R1" s="82"/>
      <c r="S1" s="82"/>
      <c r="T1" s="82"/>
      <c r="U1" s="82"/>
      <c r="V1" s="82"/>
      <c r="W1" s="82"/>
      <c r="X1" s="82"/>
      <c r="Y1" s="82"/>
      <c r="Z1" s="82"/>
      <c r="BB1" s="84" t="str">
        <f>参数表!$BA$1</f>
        <v>注意：补充特殊事项、作价等均从BA列开始填写</v>
      </c>
      <c r="BC1" s="85"/>
      <c r="BG1" s="556"/>
      <c r="BH1" s="556"/>
      <c r="BJ1" s="82"/>
      <c r="BK1" s="82"/>
      <c r="BL1" s="82"/>
      <c r="BM1" s="82"/>
      <c r="BN1" s="82"/>
      <c r="BO1" s="82"/>
      <c r="BP1" s="82"/>
      <c r="BQ1" s="82"/>
      <c r="CE1" s="87"/>
      <c r="CF1" s="88"/>
      <c r="CG1" s="87"/>
      <c r="CH1" s="88"/>
      <c r="CI1" s="88"/>
      <c r="CJ1" s="88"/>
      <c r="CK1" s="88"/>
      <c r="CL1" s="88"/>
      <c r="CM1" s="87"/>
    </row>
    <row r="2" s="71" customFormat="1" ht="30" customHeight="1" spans="1:91">
      <c r="A2" s="89" t="s">
        <v>2749</v>
      </c>
      <c r="B2" s="170"/>
      <c r="C2" s="170"/>
      <c r="D2" s="1197"/>
      <c r="E2" s="170"/>
      <c r="F2" s="170"/>
      <c r="G2" s="170"/>
      <c r="H2" s="170"/>
      <c r="I2" s="170"/>
      <c r="J2" s="170"/>
      <c r="K2" s="170"/>
      <c r="L2" s="170"/>
      <c r="M2" s="170"/>
      <c r="N2" s="170"/>
      <c r="O2" s="170"/>
      <c r="P2" s="170"/>
      <c r="Q2" s="170"/>
      <c r="R2" s="170"/>
      <c r="S2" s="170"/>
      <c r="T2" s="170"/>
      <c r="U2" s="170"/>
      <c r="V2" s="170"/>
      <c r="W2" s="170"/>
      <c r="X2" s="170"/>
      <c r="Y2" s="170"/>
      <c r="Z2" s="170"/>
      <c r="BB2" s="90" t="str">
        <f>参数表!$BA$2</f>
        <v>评估基准日：</v>
      </c>
      <c r="BC2" s="91" t="str">
        <f>参数表!$BB$2</f>
        <v>2025年7月31日</v>
      </c>
      <c r="BG2" s="558"/>
      <c r="BH2" s="558"/>
      <c r="BJ2" s="171"/>
      <c r="BK2" s="171"/>
      <c r="BL2" s="171"/>
      <c r="BM2" s="171"/>
      <c r="BN2" s="171"/>
      <c r="BO2" s="171"/>
      <c r="BP2" s="171"/>
      <c r="BQ2" s="171"/>
      <c r="CE2" s="92"/>
      <c r="CF2" s="93"/>
      <c r="CG2" s="92"/>
      <c r="CH2" s="93"/>
      <c r="CI2" s="93"/>
      <c r="CJ2" s="93"/>
      <c r="CK2" s="93"/>
      <c r="CL2" s="93"/>
      <c r="CM2" s="92"/>
    </row>
    <row r="3" ht="15" customHeight="1" spans="1:91">
      <c r="A3" s="94" t="str">
        <f>参数表!F5</f>
        <v>评估基准日：2025年7月31日</v>
      </c>
      <c r="B3" s="94"/>
      <c r="C3" s="94"/>
      <c r="D3" s="1198"/>
      <c r="E3" s="94"/>
      <c r="F3" s="94"/>
      <c r="G3" s="94"/>
      <c r="H3" s="94"/>
      <c r="I3" s="94"/>
      <c r="J3" s="94"/>
      <c r="K3" s="94"/>
      <c r="L3" s="94"/>
      <c r="M3" s="94"/>
      <c r="N3" s="94"/>
      <c r="O3" s="94"/>
      <c r="P3" s="94"/>
      <c r="Q3" s="94"/>
      <c r="R3" s="94"/>
      <c r="S3" s="94"/>
      <c r="T3" s="95"/>
      <c r="U3" s="95"/>
      <c r="V3" s="95"/>
      <c r="W3" s="95"/>
      <c r="X3" s="95"/>
      <c r="Y3" s="95"/>
      <c r="Z3" s="95"/>
      <c r="BB3" s="90" t="str">
        <f>参数表!$BA$3</f>
        <v>是否显示评估值：</v>
      </c>
      <c r="BC3" s="90" t="str">
        <f>参数表!$BB$3</f>
        <v>是</v>
      </c>
      <c r="CE3" s="92"/>
      <c r="CF3" s="93"/>
      <c r="CG3" s="92"/>
      <c r="CH3" s="93"/>
      <c r="CI3" s="93"/>
      <c r="CJ3" s="93"/>
      <c r="CK3" s="93"/>
      <c r="CL3" s="93"/>
      <c r="CM3" s="92"/>
    </row>
    <row r="4" ht="15" customHeight="1" spans="1:91">
      <c r="A4" s="96"/>
      <c r="B4" s="94"/>
      <c r="C4" s="94"/>
      <c r="D4" s="1198"/>
      <c r="E4" s="94"/>
      <c r="F4" s="94"/>
      <c r="G4" s="94"/>
      <c r="H4" s="94"/>
      <c r="I4" s="94"/>
      <c r="J4" s="94"/>
      <c r="K4" s="94"/>
      <c r="L4" s="94"/>
      <c r="M4" s="94"/>
      <c r="N4" s="97"/>
      <c r="O4" s="97"/>
      <c r="P4" s="97"/>
      <c r="Q4" s="94"/>
      <c r="R4" s="94"/>
      <c r="S4" s="94"/>
      <c r="T4" s="98"/>
      <c r="U4" s="95"/>
      <c r="V4" s="95"/>
      <c r="W4" s="95"/>
      <c r="X4" s="95"/>
      <c r="Y4" s="95"/>
      <c r="Z4" s="98" t="str">
        <f>"表"&amp;$BB4</f>
        <v>表3-10-8</v>
      </c>
      <c r="BB4" s="95" t="str">
        <f>存货总!A14</f>
        <v>3-10-8</v>
      </c>
      <c r="BC4" s="100">
        <f>MAX(COUNTA(A8:A400),COUNTA(B8:B400),COUNTA(L8:L400),COUNTA(R8:R400))</f>
        <v>392</v>
      </c>
      <c r="BD4" s="101">
        <f>ROW(A7)+1</f>
        <v>8</v>
      </c>
      <c r="BE4" s="77"/>
      <c r="BF4" s="77"/>
      <c r="CG4" s="78"/>
    </row>
    <row r="5" ht="15" customHeight="1" spans="1:91">
      <c r="A5" s="102" t="str">
        <f>参数表!F3</f>
        <v>产权持有单位:中煤第五建设有限公司</v>
      </c>
      <c r="B5" s="103"/>
      <c r="C5" s="103"/>
      <c r="D5" s="1199"/>
      <c r="E5" s="103"/>
      <c r="F5" s="95"/>
      <c r="G5" s="103"/>
      <c r="H5" s="103"/>
      <c r="I5" s="103"/>
      <c r="J5" s="103"/>
      <c r="K5" s="103"/>
      <c r="L5" s="103"/>
      <c r="M5" s="103"/>
      <c r="N5" s="104"/>
      <c r="O5" s="104"/>
      <c r="P5" s="104"/>
      <c r="Q5" s="103"/>
      <c r="R5" s="103"/>
      <c r="S5" s="103"/>
      <c r="T5" s="103"/>
      <c r="U5" s="103"/>
      <c r="V5" s="103"/>
      <c r="W5" s="103"/>
      <c r="X5" s="103"/>
      <c r="Y5" s="103"/>
      <c r="Z5" s="98" t="s">
        <v>236</v>
      </c>
      <c r="BB5" s="103"/>
      <c r="BC5" s="105" t="str">
        <f ca="1">判断表!C37</f>
        <v>中煤第五建设有限公司第三工程处拟处置实物资产项目\[0000-3基础法明细表.xlsx]在用周转</v>
      </c>
      <c r="BD5" s="106">
        <f>IFERROR(SUMIF(BD8:BD400,"√",R8:R400)/R401,0)</f>
        <v>0</v>
      </c>
      <c r="BE5" s="107"/>
      <c r="BF5" s="107"/>
      <c r="BG5" s="284">
        <f>发出商品!BF5</f>
        <v>35557.52</v>
      </c>
      <c r="BH5" s="284">
        <f>发出商品!BG5</f>
        <v>35557.52</v>
      </c>
      <c r="BI5" s="165"/>
      <c r="BM5" s="75"/>
      <c r="BN5" s="75"/>
      <c r="BO5" s="1194">
        <v>45869</v>
      </c>
      <c r="BP5" s="75"/>
      <c r="BQ5" s="75"/>
      <c r="BR5" s="103"/>
      <c r="BS5" s="103"/>
      <c r="BT5" s="103"/>
      <c r="BU5" s="103"/>
      <c r="BV5" s="103"/>
      <c r="CA5" s="549"/>
      <c r="CB5" s="549"/>
      <c r="CC5" s="549"/>
      <c r="CG5" s="78"/>
    </row>
    <row r="6" s="72" customFormat="1" ht="15" customHeight="1" spans="1:91">
      <c r="A6" s="112" t="s">
        <v>305</v>
      </c>
      <c r="B6" s="113" t="s">
        <v>2174</v>
      </c>
      <c r="C6" s="113" t="s">
        <v>2175</v>
      </c>
      <c r="D6" s="1200" t="s">
        <v>2750</v>
      </c>
      <c r="E6" s="118" t="s">
        <v>2751</v>
      </c>
      <c r="F6" s="118" t="s">
        <v>2176</v>
      </c>
      <c r="G6" s="511" t="s">
        <v>1964</v>
      </c>
      <c r="H6" s="512"/>
      <c r="I6" s="512"/>
      <c r="J6" s="513"/>
      <c r="K6" s="514" t="s">
        <v>1549</v>
      </c>
      <c r="L6" s="189"/>
      <c r="M6" s="190"/>
      <c r="N6" s="515" t="s">
        <v>1634</v>
      </c>
      <c r="O6" s="516"/>
      <c r="P6" s="517"/>
      <c r="Q6" s="514" t="s">
        <v>1523</v>
      </c>
      <c r="R6" s="189"/>
      <c r="S6" s="190"/>
      <c r="T6" s="113" t="s">
        <v>2183</v>
      </c>
      <c r="U6" s="113" t="s">
        <v>1550</v>
      </c>
      <c r="V6" s="113"/>
      <c r="W6" s="113"/>
      <c r="X6" s="113" t="s">
        <v>1525</v>
      </c>
      <c r="Y6" s="193" t="s">
        <v>1551</v>
      </c>
      <c r="Z6" s="113" t="s">
        <v>308</v>
      </c>
      <c r="BB6" s="191"/>
      <c r="BC6" s="100"/>
      <c r="BD6" s="100"/>
      <c r="BE6" s="100"/>
      <c r="BF6" s="100"/>
      <c r="BG6" s="192" t="s">
        <v>1639</v>
      </c>
      <c r="BH6" s="192" t="s">
        <v>1640</v>
      </c>
      <c r="BI6" s="113" t="s">
        <v>1748</v>
      </c>
      <c r="BJ6" s="113" t="s">
        <v>1749</v>
      </c>
      <c r="BK6" s="118" t="s">
        <v>1750</v>
      </c>
      <c r="BL6" s="118" t="s">
        <v>1641</v>
      </c>
      <c r="BM6" s="118" t="s">
        <v>2209</v>
      </c>
      <c r="BN6" s="113" t="s">
        <v>1644</v>
      </c>
      <c r="BO6" s="191">
        <f>LOOKUP(BO5,基础数据!A:D)</f>
        <v>3.55771976932645</v>
      </c>
      <c r="BP6" s="191"/>
      <c r="BQ6" s="191"/>
      <c r="BR6" s="191"/>
      <c r="BS6" s="743">
        <v>0.13</v>
      </c>
      <c r="BT6" s="743"/>
      <c r="BU6" s="743"/>
      <c r="BV6" s="743">
        <v>0.09</v>
      </c>
      <c r="BW6" s="191"/>
      <c r="BX6" s="191" t="str">
        <f>BC2</f>
        <v>2025年7月31日</v>
      </c>
      <c r="BY6" s="191"/>
      <c r="BZ6" s="191"/>
      <c r="CA6" s="1201">
        <v>0.4</v>
      </c>
      <c r="CB6" s="1201">
        <v>0.6</v>
      </c>
      <c r="CC6" s="1202"/>
      <c r="CD6" s="1203"/>
      <c r="CE6" s="111"/>
      <c r="CF6" s="78"/>
      <c r="CG6" s="78"/>
      <c r="CH6" s="78"/>
      <c r="CI6" s="78"/>
      <c r="CJ6" s="78"/>
      <c r="CK6" s="78"/>
      <c r="CL6" s="194"/>
      <c r="CM6" s="111"/>
    </row>
    <row r="7" s="72" customFormat="1" ht="15" customHeight="1" spans="1:91">
      <c r="A7" s="195"/>
      <c r="B7" s="149"/>
      <c r="C7" s="149"/>
      <c r="D7" s="1204"/>
      <c r="E7" s="149"/>
      <c r="F7" s="149"/>
      <c r="G7" s="519" t="s">
        <v>1968</v>
      </c>
      <c r="H7" s="519" t="s">
        <v>1969</v>
      </c>
      <c r="I7" s="519" t="s">
        <v>1970</v>
      </c>
      <c r="J7" s="519" t="s">
        <v>2177</v>
      </c>
      <c r="K7" s="113" t="s">
        <v>1637</v>
      </c>
      <c r="L7" s="113" t="s">
        <v>271</v>
      </c>
      <c r="M7" s="113" t="s">
        <v>2179</v>
      </c>
      <c r="N7" s="1205" t="s">
        <v>2180</v>
      </c>
      <c r="O7" s="1205" t="s">
        <v>2181</v>
      </c>
      <c r="P7" s="1205" t="s">
        <v>2182</v>
      </c>
      <c r="Q7" s="113" t="s">
        <v>1637</v>
      </c>
      <c r="R7" s="113" t="s">
        <v>271</v>
      </c>
      <c r="S7" s="113" t="s">
        <v>2179</v>
      </c>
      <c r="T7" s="113"/>
      <c r="U7" s="113" t="s">
        <v>2752</v>
      </c>
      <c r="V7" s="149" t="s">
        <v>2753</v>
      </c>
      <c r="W7" s="113" t="s">
        <v>271</v>
      </c>
      <c r="X7" s="113"/>
      <c r="Y7" s="198"/>
      <c r="Z7" s="113"/>
      <c r="BB7" s="100" t="s">
        <v>1545</v>
      </c>
      <c r="BC7" s="100" t="s">
        <v>1635</v>
      </c>
      <c r="BD7" s="100" t="s">
        <v>1636</v>
      </c>
      <c r="BE7" s="100" t="s">
        <v>1637</v>
      </c>
      <c r="BF7" s="100" t="s">
        <v>1638</v>
      </c>
      <c r="BG7" s="197"/>
      <c r="BH7" s="197"/>
      <c r="BI7" s="113"/>
      <c r="BJ7" s="113"/>
      <c r="BK7" s="118"/>
      <c r="BL7" s="118"/>
      <c r="BM7" s="118"/>
      <c r="BN7" s="113"/>
      <c r="BO7" s="184" t="s">
        <v>2754</v>
      </c>
      <c r="BP7" s="184" t="s">
        <v>2755</v>
      </c>
      <c r="BQ7" s="719" t="s">
        <v>2243</v>
      </c>
      <c r="BR7" s="185" t="s">
        <v>2756</v>
      </c>
      <c r="BS7" s="185" t="s">
        <v>2757</v>
      </c>
      <c r="BT7" s="783" t="s">
        <v>2758</v>
      </c>
      <c r="BU7" s="184" t="s">
        <v>2759</v>
      </c>
      <c r="BV7" s="727" t="s">
        <v>2760</v>
      </c>
      <c r="BW7" s="185" t="s">
        <v>2184</v>
      </c>
      <c r="BX7" s="185" t="s">
        <v>2761</v>
      </c>
      <c r="BY7" s="584" t="s">
        <v>2762</v>
      </c>
      <c r="BZ7" s="185" t="s">
        <v>2763</v>
      </c>
      <c r="CA7" s="585" t="s">
        <v>2764</v>
      </c>
      <c r="CB7" s="585" t="s">
        <v>2765</v>
      </c>
      <c r="CC7" s="585" t="s">
        <v>2766</v>
      </c>
      <c r="CD7" s="185" t="s">
        <v>2767</v>
      </c>
      <c r="CE7" s="119"/>
      <c r="CF7" s="120" t="s">
        <v>1645</v>
      </c>
      <c r="CG7" s="121" t="s">
        <v>1646</v>
      </c>
      <c r="CH7" s="121" t="s">
        <v>1647</v>
      </c>
      <c r="CI7" s="121" t="s">
        <v>1648</v>
      </c>
      <c r="CJ7" s="121" t="s">
        <v>1647</v>
      </c>
      <c r="CK7" s="121" t="s">
        <v>1647</v>
      </c>
      <c r="CL7" s="121" t="s">
        <v>1649</v>
      </c>
      <c r="CM7" s="122" t="s">
        <v>1650</v>
      </c>
    </row>
    <row r="8" ht="15" hidden="1" customHeight="1" spans="1:91">
      <c r="A8" s="123">
        <f>IF(B8="","",COUNT(A$7:A7)+1)</f>
        <v>1</v>
      </c>
      <c r="B8" s="772" t="s">
        <v>2768</v>
      </c>
      <c r="C8" s="124" t="s">
        <v>2769</v>
      </c>
      <c r="D8" s="1206">
        <v>44874</v>
      </c>
      <c r="E8" s="353">
        <v>67392</v>
      </c>
      <c r="F8" s="214" t="s">
        <v>2770</v>
      </c>
      <c r="G8" s="127"/>
      <c r="H8" s="127" t="str">
        <f>IFERROR(VLOOKUP(G8,参数表!$H$2:$I$50,2,FALSE),"")</f>
        <v/>
      </c>
      <c r="I8" s="128" t="str">
        <f>IFERROR(IF(OR(G8="人民币",G8=""),"",R8/H8),"")</f>
        <v/>
      </c>
      <c r="J8" s="128" t="str">
        <f>IFERROR(IF(OR(G8="人民币",G8=""),"",S8/H8),"")</f>
        <v/>
      </c>
      <c r="K8" s="353">
        <v>936</v>
      </c>
      <c r="L8" s="129"/>
      <c r="M8" s="129"/>
      <c r="N8" s="130"/>
      <c r="O8" s="130"/>
      <c r="P8" s="130"/>
      <c r="Q8" s="353">
        <f t="shared" ref="Q8:Q71" si="0">IF(B8="","",K8+N8)</f>
        <v>936</v>
      </c>
      <c r="R8" s="129">
        <f t="shared" ref="R8:R71" si="1">IF(B8="","",L8+O8)</f>
        <v>0</v>
      </c>
      <c r="S8" s="129">
        <f t="shared" ref="S8:S71" si="2">IF(B8="","",M8+P8)</f>
        <v>0</v>
      </c>
      <c r="T8" s="129">
        <f t="shared" ref="T8:T71" si="3">IF(B8="","",IF(BC$3="是",Q8,""))</f>
        <v>936</v>
      </c>
      <c r="U8" s="129">
        <f t="shared" ref="U8:U71" si="4">IF(B8="","",IF(BC$3="是",IFERROR(ROUND(BW8,0)*T8,""),""))</f>
        <v>59904</v>
      </c>
      <c r="V8" s="214">
        <f t="shared" ref="V8:V71" si="5">IF(B8="","",IF(BC$3="是",IF(B8="","",MAX(CA8,15%)*100),""))</f>
        <v>61</v>
      </c>
      <c r="W8" s="353">
        <f t="shared" ref="W8:W71" si="6">IFERROR(U8*V8/100,"")</f>
        <v>36541.44</v>
      </c>
      <c r="X8" s="129">
        <f t="shared" ref="X8:X71" si="7">IFERROR(W8-(R8-S8),"")</f>
        <v>36541.44</v>
      </c>
      <c r="Y8" s="129" t="str">
        <f t="shared" ref="Y8:Y71" si="8">IFERROR(X8/(R8-S8)*100,"")</f>
        <v/>
      </c>
      <c r="Z8" s="131"/>
      <c r="BA8" s="75" t="e">
        <f>(U8-R8)/R8</f>
        <v>#DIV/0!</v>
      </c>
      <c r="BB8" s="78"/>
      <c r="BC8" s="132" t="s">
        <v>2771</v>
      </c>
      <c r="BD8" s="133"/>
      <c r="BE8" s="132" t="str">
        <f>IF(OR(B8="",BD8=""),"",COUNTIF(BD$8:BD8,"√"))</f>
        <v/>
      </c>
      <c r="BF8" s="134" t="str">
        <f>IF(BD8="","",BC8&amp;"︱"&amp;B8&amp;"︱"&amp;TEXT(L8,"#,##0.00"))</f>
        <v/>
      </c>
      <c r="BG8" s="135" t="str">
        <f t="shared" ref="BG8:BH12" si="9">IF($B8="","",IF(BG$5=0,"OK","出错"))</f>
        <v>出错</v>
      </c>
      <c r="BH8" s="135" t="str">
        <f t="shared" si="9"/>
        <v>出错</v>
      </c>
      <c r="BI8" s="136"/>
      <c r="BJ8" s="136"/>
      <c r="BK8" s="136"/>
      <c r="BL8" s="136"/>
      <c r="BM8" s="137"/>
      <c r="BN8" s="137"/>
      <c r="BO8" s="75">
        <f>LOOKUP(D8,基础数据!A:D)</f>
        <v>3.83949417682846</v>
      </c>
      <c r="BP8" s="75">
        <f>BO$6/BO8</f>
        <v>0.926611580972688</v>
      </c>
      <c r="BQ8" s="75">
        <f t="shared" ref="BQ8:BQ71" si="10">ROUND(E8*BP8/Q8,0)</f>
        <v>67</v>
      </c>
      <c r="BR8" s="272">
        <v>72</v>
      </c>
      <c r="BS8" s="156">
        <f t="shared" ref="BS8:BS71" si="11">ROUND(BR8/(1+BS$6)*BS$6,2)</f>
        <v>8.28</v>
      </c>
      <c r="BT8" s="186">
        <v>0.01</v>
      </c>
      <c r="BU8" s="156">
        <f t="shared" ref="BU8:BU71" si="12">ROUND(BR8*BT8,2)</f>
        <v>0.72</v>
      </c>
      <c r="BV8" s="156">
        <f t="shared" ref="BV8:BV71" si="13">ROUND(BU8/(1+BV$6)*BV$6,2)</f>
        <v>0.06</v>
      </c>
      <c r="BW8" s="156">
        <f>ROUND(BR8+BU8-BS8-BV8,0)</f>
        <v>64</v>
      </c>
      <c r="BX8" s="156">
        <f t="shared" ref="BX8:BX71" si="14">(BX$6-D8)/365.25</f>
        <v>2.72416153319644</v>
      </c>
      <c r="BY8" s="1207" t="s">
        <v>2772</v>
      </c>
      <c r="BZ8" s="272">
        <v>7</v>
      </c>
      <c r="CA8" s="186">
        <f t="shared" ref="CA8:CA71" si="15">ROUND(IFERROR(1-(BX8/BZ8),0),2)</f>
        <v>0.61</v>
      </c>
      <c r="CB8" s="186">
        <f t="shared" ref="CB8:CB71" si="16">CA8</f>
        <v>0.61</v>
      </c>
      <c r="CC8" s="186">
        <f t="shared" ref="CC8:CC71" si="17">CA8*CA$6+CB8*CB$6</f>
        <v>0.61</v>
      </c>
      <c r="CD8" s="1208" t="s">
        <v>2773</v>
      </c>
      <c r="CF8" s="134" t="str">
        <f>IF(COUNTIF(CF$7:CF7,B8)&gt;0,"",B8)&amp;""</f>
        <v>主提升钢丝绳</v>
      </c>
      <c r="CG8" s="138">
        <f>SUMIF(B$8:B$400,CF8,R$8:R$400)</f>
        <v>0</v>
      </c>
      <c r="CH8" s="132">
        <f>RANK(CG8,CG$8:CG$400)</f>
        <v>1</v>
      </c>
      <c r="CI8" s="138">
        <f>SUMIF(B$8:B$400,CF8,W$8:W$400)</f>
        <v>36541.44</v>
      </c>
      <c r="CJ8" s="132">
        <f>RANK(CI8,CI$8:CI$400)</f>
        <v>1</v>
      </c>
      <c r="CK8" s="138">
        <f>SUM(CG8:CG400)</f>
        <v>0</v>
      </c>
      <c r="CL8" s="138"/>
      <c r="CM8" s="138"/>
    </row>
    <row r="9" ht="15" hidden="1" customHeight="1" spans="1:91">
      <c r="A9" s="123">
        <f>IF(B9="","",COUNT(A$7:A8)+1)</f>
        <v>2</v>
      </c>
      <c r="B9" s="139" t="s">
        <v>2774</v>
      </c>
      <c r="C9" s="139" t="s">
        <v>2775</v>
      </c>
      <c r="D9" s="1209">
        <v>44874</v>
      </c>
      <c r="E9" s="1210">
        <v>57096</v>
      </c>
      <c r="F9" s="219" t="s">
        <v>2770</v>
      </c>
      <c r="G9" s="142"/>
      <c r="H9" s="127" t="str">
        <f>IFERROR(VLOOKUP(G9,参数表!$H$2:$I$50,2,FALSE),"")</f>
        <v/>
      </c>
      <c r="I9" s="128" t="str">
        <f>IFERROR(IF(OR(G9="人民币",G9=""),"",R9/H9),"")</f>
        <v/>
      </c>
      <c r="J9" s="128" t="str">
        <f>IFERROR(IF(OR(G9="人民币",G9=""),"",S9/H9),"")</f>
        <v/>
      </c>
      <c r="K9" s="980">
        <v>936</v>
      </c>
      <c r="L9" s="143"/>
      <c r="M9" s="143"/>
      <c r="N9" s="144"/>
      <c r="O9" s="144"/>
      <c r="P9" s="144"/>
      <c r="Q9" s="353">
        <f t="shared" si="0"/>
        <v>936</v>
      </c>
      <c r="R9" s="129">
        <f t="shared" si="1"/>
        <v>0</v>
      </c>
      <c r="S9" s="129">
        <f t="shared" si="2"/>
        <v>0</v>
      </c>
      <c r="T9" s="129">
        <f t="shared" si="3"/>
        <v>936</v>
      </c>
      <c r="U9" s="129">
        <f t="shared" si="4"/>
        <v>53352</v>
      </c>
      <c r="V9" s="214">
        <f t="shared" si="5"/>
        <v>61</v>
      </c>
      <c r="W9" s="353">
        <f t="shared" si="6"/>
        <v>32544.72</v>
      </c>
      <c r="X9" s="129">
        <f t="shared" si="7"/>
        <v>32544.72</v>
      </c>
      <c r="Y9" s="129" t="str">
        <f t="shared" si="8"/>
        <v/>
      </c>
      <c r="Z9" s="145"/>
      <c r="BA9" s="75" t="e">
        <f t="shared" ref="BA9:BA72" si="18">(U9-R9)/R9</f>
        <v>#DIV/0!</v>
      </c>
      <c r="BB9" s="78"/>
      <c r="BC9" s="132" t="s">
        <v>2776</v>
      </c>
      <c r="BD9" s="133"/>
      <c r="BE9" s="132" t="str">
        <f>IF(OR(B9="",BD9=""),"",COUNTIF(BD$8:BD9,"√"))</f>
        <v/>
      </c>
      <c r="BF9" s="134" t="str">
        <f>IF(BD9="","",BC9&amp;"︱"&amp;B9&amp;"︱"&amp;TEXT(L9,"#,##0.00"))</f>
        <v/>
      </c>
      <c r="BG9" s="135" t="str">
        <f t="shared" si="9"/>
        <v>出错</v>
      </c>
      <c r="BH9" s="135" t="str">
        <f t="shared" si="9"/>
        <v>出错</v>
      </c>
      <c r="BI9" s="136"/>
      <c r="BJ9" s="136"/>
      <c r="BK9" s="136"/>
      <c r="BL9" s="136"/>
      <c r="BM9" s="137"/>
      <c r="BN9" s="137"/>
      <c r="BO9" s="75">
        <f>LOOKUP(D9,基础数据!A:D)</f>
        <v>3.83949417682846</v>
      </c>
      <c r="BP9" s="75">
        <f>BO$6/BO9</f>
        <v>0.926611580972688</v>
      </c>
      <c r="BQ9" s="75">
        <f t="shared" si="10"/>
        <v>57</v>
      </c>
      <c r="BR9" s="272">
        <v>64</v>
      </c>
      <c r="BS9" s="156">
        <f t="shared" si="11"/>
        <v>7.36</v>
      </c>
      <c r="BT9" s="186">
        <v>0.01</v>
      </c>
      <c r="BU9" s="156">
        <f t="shared" si="12"/>
        <v>0.64</v>
      </c>
      <c r="BV9" s="156">
        <f t="shared" si="13"/>
        <v>0.05</v>
      </c>
      <c r="BW9" s="156">
        <f t="shared" ref="BW9:BW72" si="19">ROUND(BR9+BU9-BS9-BV9,0)</f>
        <v>57</v>
      </c>
      <c r="BX9" s="156">
        <f t="shared" si="14"/>
        <v>2.72416153319644</v>
      </c>
      <c r="BY9" s="1207" t="s">
        <v>2772</v>
      </c>
      <c r="BZ9" s="272">
        <v>7</v>
      </c>
      <c r="CA9" s="186">
        <f t="shared" si="15"/>
        <v>0.61</v>
      </c>
      <c r="CB9" s="186">
        <f t="shared" si="16"/>
        <v>0.61</v>
      </c>
      <c r="CC9" s="186">
        <f t="shared" si="17"/>
        <v>0.61</v>
      </c>
      <c r="CD9" s="1208" t="s">
        <v>2773</v>
      </c>
      <c r="CF9" s="134" t="str">
        <f>IF(COUNTIF(CF$7:CF8,B9)&gt;0,"",B9)&amp;""</f>
        <v>副提升钢丝绳</v>
      </c>
      <c r="CG9" s="138">
        <f>SUMIF(B$8:B$400,CF9,R$8:R$400)</f>
        <v>0</v>
      </c>
      <c r="CH9" s="132">
        <f>RANK(CG9,CG$8:CG$400)</f>
        <v>1</v>
      </c>
      <c r="CI9" s="138">
        <f>SUMIF(B$8:B$400,CF9,W$8:W$400)</f>
        <v>32544.72</v>
      </c>
      <c r="CJ9" s="132">
        <f>RANK(CI9,CI$8:CI$400)</f>
        <v>2</v>
      </c>
      <c r="CK9" s="138">
        <f>SUM(CI8:CI400)</f>
        <v>166704.03</v>
      </c>
      <c r="CL9" s="138"/>
      <c r="CM9" s="138"/>
    </row>
    <row r="10" ht="15" hidden="1" customHeight="1" spans="1:91">
      <c r="A10" s="123">
        <f>IF(B10="","",COUNT(A$7:A9)+1)</f>
        <v>3</v>
      </c>
      <c r="B10" s="139" t="s">
        <v>2777</v>
      </c>
      <c r="C10" s="139" t="s">
        <v>2778</v>
      </c>
      <c r="D10" s="1209">
        <v>44874</v>
      </c>
      <c r="E10" s="1210">
        <v>48730</v>
      </c>
      <c r="F10" s="219" t="s">
        <v>2770</v>
      </c>
      <c r="G10" s="142"/>
      <c r="H10" s="127" t="str">
        <f>IFERROR(VLOOKUP(G10,参数表!$H$2:$I$50,2,FALSE),"")</f>
        <v/>
      </c>
      <c r="I10" s="128" t="str">
        <f>IFERROR(IF(OR(G10="人民币",G10=""),"",R10/H10),"")</f>
        <v/>
      </c>
      <c r="J10" s="128" t="str">
        <f>IFERROR(IF(OR(G10="人民币",G10=""),"",S10/H10),"")</f>
        <v/>
      </c>
      <c r="K10" s="980">
        <v>886</v>
      </c>
      <c r="L10" s="143"/>
      <c r="M10" s="143"/>
      <c r="N10" s="144"/>
      <c r="O10" s="144"/>
      <c r="P10" s="144"/>
      <c r="Q10" s="353">
        <f t="shared" si="0"/>
        <v>886</v>
      </c>
      <c r="R10" s="129">
        <f t="shared" si="1"/>
        <v>0</v>
      </c>
      <c r="S10" s="129">
        <f t="shared" si="2"/>
        <v>0</v>
      </c>
      <c r="T10" s="129">
        <f t="shared" si="3"/>
        <v>886</v>
      </c>
      <c r="U10" s="129">
        <f t="shared" si="4"/>
        <v>38984</v>
      </c>
      <c r="V10" s="214">
        <f t="shared" si="5"/>
        <v>61</v>
      </c>
      <c r="W10" s="353">
        <f t="shared" si="6"/>
        <v>23780.24</v>
      </c>
      <c r="X10" s="129">
        <f t="shared" si="7"/>
        <v>23780.24</v>
      </c>
      <c r="Y10" s="129" t="str">
        <f t="shared" si="8"/>
        <v/>
      </c>
      <c r="Z10" s="145"/>
      <c r="BA10" s="75" t="e">
        <f t="shared" si="18"/>
        <v>#DIV/0!</v>
      </c>
      <c r="BB10" s="78"/>
      <c r="BC10" s="132" t="s">
        <v>2779</v>
      </c>
      <c r="BD10" s="133"/>
      <c r="BE10" s="132" t="str">
        <f>IF(OR(B10="",BD10=""),"",COUNTIF(BD$8:BD10,"√"))</f>
        <v/>
      </c>
      <c r="BF10" s="134" t="str">
        <f>IF(BD10="","",BC10&amp;"︱"&amp;B10&amp;"︱"&amp;TEXT(L10,"#,##0.00"))</f>
        <v/>
      </c>
      <c r="BG10" s="135" t="str">
        <f t="shared" si="9"/>
        <v>出错</v>
      </c>
      <c r="BH10" s="135" t="str">
        <f t="shared" si="9"/>
        <v>出错</v>
      </c>
      <c r="BI10" s="136"/>
      <c r="BJ10" s="136"/>
      <c r="BK10" s="136"/>
      <c r="BL10" s="136"/>
      <c r="BM10" s="137"/>
      <c r="BN10" s="137"/>
      <c r="BO10" s="75">
        <f>LOOKUP(D10,基础数据!A:D)</f>
        <v>3.83949417682846</v>
      </c>
      <c r="BP10" s="75">
        <f t="shared" ref="BP10:BP73" si="20">BO$6/BO10</f>
        <v>0.926611580972688</v>
      </c>
      <c r="BQ10" s="75">
        <f t="shared" si="10"/>
        <v>51</v>
      </c>
      <c r="BR10" s="272">
        <v>49</v>
      </c>
      <c r="BS10" s="156">
        <f t="shared" si="11"/>
        <v>5.64</v>
      </c>
      <c r="BT10" s="186">
        <v>0.01</v>
      </c>
      <c r="BU10" s="156">
        <f t="shared" si="12"/>
        <v>0.49</v>
      </c>
      <c r="BV10" s="156">
        <f t="shared" si="13"/>
        <v>0.04</v>
      </c>
      <c r="BW10" s="156">
        <f t="shared" si="19"/>
        <v>44</v>
      </c>
      <c r="BX10" s="156">
        <f t="shared" si="14"/>
        <v>2.72416153319644</v>
      </c>
      <c r="BY10" s="1207" t="s">
        <v>2772</v>
      </c>
      <c r="BZ10" s="272">
        <v>7</v>
      </c>
      <c r="CA10" s="186">
        <f t="shared" si="15"/>
        <v>0.61</v>
      </c>
      <c r="CB10" s="186">
        <f t="shared" si="16"/>
        <v>0.61</v>
      </c>
      <c r="CC10" s="186">
        <f t="shared" si="17"/>
        <v>0.61</v>
      </c>
      <c r="CD10" s="1208" t="s">
        <v>2773</v>
      </c>
      <c r="CF10" s="134" t="str">
        <f>IF(COUNTIF(CF$7:CF9,B10)&gt;0,"",B10)&amp;""</f>
        <v>1#吊盘悬吊绳</v>
      </c>
      <c r="CG10" s="138">
        <f>SUMIF(B$8:B$400,CF10,R$8:R$400)</f>
        <v>0</v>
      </c>
      <c r="CH10" s="132">
        <f>RANK(CG10,CG$8:CG$400)</f>
        <v>1</v>
      </c>
      <c r="CI10" s="138">
        <f>SUMIF(B$8:B$400,CF10,W$8:W$400)</f>
        <v>23780.24</v>
      </c>
      <c r="CJ10" s="132">
        <f>RANK(CI10,CI$8:CI$400)</f>
        <v>4</v>
      </c>
      <c r="CK10" s="132">
        <v>1</v>
      </c>
      <c r="CL10" s="134" t="str">
        <f>IFERROR(INDEX(CF$8:CF$400,MATCH(CK10,IF(CK$8=0,CJ$8:CJ$400,CH$8:CH$400),0))&amp;"","")</f>
        <v>主提升钢丝绳</v>
      </c>
      <c r="CM10" s="146" t="str">
        <f>IF(CL11="","",IF(CL12="","和","、"))</f>
        <v>、</v>
      </c>
    </row>
    <row r="11" ht="15" hidden="1" customHeight="1" spans="1:91">
      <c r="A11" s="123">
        <f>IF(B11="","",COUNT(A$7:A10)+1)</f>
        <v>4</v>
      </c>
      <c r="B11" s="139" t="s">
        <v>2780</v>
      </c>
      <c r="C11" s="139" t="s">
        <v>2781</v>
      </c>
      <c r="D11" s="1209">
        <v>44874</v>
      </c>
      <c r="E11" s="1210">
        <v>48730</v>
      </c>
      <c r="F11" s="219" t="s">
        <v>2770</v>
      </c>
      <c r="G11" s="142"/>
      <c r="H11" s="127" t="str">
        <f>IFERROR(VLOOKUP(G11,参数表!$H$2:$I$50,2,FALSE),"")</f>
        <v/>
      </c>
      <c r="I11" s="128" t="str">
        <f>IFERROR(IF(OR(G11="人民币",G11=""),"",R11/H11),"")</f>
        <v/>
      </c>
      <c r="J11" s="128" t="str">
        <f>IFERROR(IF(OR(G11="人民币",G11=""),"",S11/H11),"")</f>
        <v/>
      </c>
      <c r="K11" s="980">
        <v>886</v>
      </c>
      <c r="L11" s="143"/>
      <c r="M11" s="143"/>
      <c r="N11" s="144"/>
      <c r="O11" s="144"/>
      <c r="P11" s="144"/>
      <c r="Q11" s="353">
        <f t="shared" si="0"/>
        <v>886</v>
      </c>
      <c r="R11" s="129">
        <f t="shared" si="1"/>
        <v>0</v>
      </c>
      <c r="S11" s="129">
        <f t="shared" si="2"/>
        <v>0</v>
      </c>
      <c r="T11" s="129">
        <f t="shared" si="3"/>
        <v>886</v>
      </c>
      <c r="U11" s="129">
        <f t="shared" si="4"/>
        <v>38984</v>
      </c>
      <c r="V11" s="214">
        <f t="shared" si="5"/>
        <v>61</v>
      </c>
      <c r="W11" s="353">
        <f t="shared" si="6"/>
        <v>23780.24</v>
      </c>
      <c r="X11" s="129">
        <f t="shared" si="7"/>
        <v>23780.24</v>
      </c>
      <c r="Y11" s="129" t="str">
        <f t="shared" si="8"/>
        <v/>
      </c>
      <c r="Z11" s="145"/>
      <c r="BA11" s="75" t="e">
        <f t="shared" si="18"/>
        <v>#DIV/0!</v>
      </c>
      <c r="BB11" s="78"/>
      <c r="BC11" s="132" t="s">
        <v>2782</v>
      </c>
      <c r="BD11" s="133"/>
      <c r="BE11" s="132" t="str">
        <f>IF(OR(B11="",BD11=""),"",COUNTIF(BD$8:BD11,"√"))</f>
        <v/>
      </c>
      <c r="BF11" s="134" t="str">
        <f>IF(BD11="","",BC11&amp;"︱"&amp;B11&amp;"︱"&amp;TEXT(L11,"#,##0.00"))</f>
        <v/>
      </c>
      <c r="BG11" s="135" t="str">
        <f t="shared" si="9"/>
        <v>出错</v>
      </c>
      <c r="BH11" s="135" t="str">
        <f t="shared" si="9"/>
        <v>出错</v>
      </c>
      <c r="BI11" s="136"/>
      <c r="BJ11" s="136"/>
      <c r="BK11" s="136"/>
      <c r="BL11" s="136"/>
      <c r="BM11" s="137"/>
      <c r="BN11" s="137"/>
      <c r="BO11" s="75">
        <f>LOOKUP(D11,基础数据!A:D)</f>
        <v>3.83949417682846</v>
      </c>
      <c r="BP11" s="75">
        <f t="shared" si="20"/>
        <v>0.926611580972688</v>
      </c>
      <c r="BQ11" s="75">
        <f t="shared" si="10"/>
        <v>51</v>
      </c>
      <c r="BR11" s="272">
        <v>49</v>
      </c>
      <c r="BS11" s="156">
        <f t="shared" si="11"/>
        <v>5.64</v>
      </c>
      <c r="BT11" s="186">
        <v>0.01</v>
      </c>
      <c r="BU11" s="156">
        <f t="shared" si="12"/>
        <v>0.49</v>
      </c>
      <c r="BV11" s="156">
        <f t="shared" si="13"/>
        <v>0.04</v>
      </c>
      <c r="BW11" s="156">
        <f t="shared" si="19"/>
        <v>44</v>
      </c>
      <c r="BX11" s="156">
        <f t="shared" si="14"/>
        <v>2.72416153319644</v>
      </c>
      <c r="BY11" s="1207" t="s">
        <v>2772</v>
      </c>
      <c r="BZ11" s="272">
        <v>7</v>
      </c>
      <c r="CA11" s="186">
        <f t="shared" si="15"/>
        <v>0.61</v>
      </c>
      <c r="CB11" s="186">
        <f t="shared" si="16"/>
        <v>0.61</v>
      </c>
      <c r="CC11" s="186">
        <f t="shared" si="17"/>
        <v>0.61</v>
      </c>
      <c r="CD11" s="1208" t="s">
        <v>2773</v>
      </c>
      <c r="CF11" s="134" t="str">
        <f>IF(COUNTIF(CF$7:CF10,B11)&gt;0,"",B11)&amp;""</f>
        <v>2#吊盘悬吊绳</v>
      </c>
      <c r="CG11" s="138">
        <f>SUMIF(B$8:B$400,CF11,R$8:R$400)</f>
        <v>0</v>
      </c>
      <c r="CH11" s="132">
        <f>RANK(CG11,CG$8:CG$400)</f>
        <v>1</v>
      </c>
      <c r="CI11" s="138">
        <f>SUMIF(B$8:B$400,CF11,W$8:W$400)</f>
        <v>23780.24</v>
      </c>
      <c r="CJ11" s="132">
        <f>RANK(CI11,CI$8:CI$400)</f>
        <v>4</v>
      </c>
      <c r="CK11" s="132">
        <v>2</v>
      </c>
      <c r="CL11" s="134" t="str">
        <f>IFERROR(INDEX(CF$8:CF$400,MATCH(CK11,IF(CK$8=0,CJ$8:CJ$400,CH$8:CH$400),0))&amp;"","")</f>
        <v>副提升钢丝绳</v>
      </c>
      <c r="CM11" s="146" t="str">
        <f>IF(CL12="","",IF(CL376="","和","、"))</f>
        <v>、</v>
      </c>
    </row>
    <row r="12" ht="15" hidden="1" customHeight="1" spans="1:91">
      <c r="A12" s="123">
        <f>IF(B12="","",COUNT(A$7:A11)+1)</f>
        <v>5</v>
      </c>
      <c r="B12" s="139" t="s">
        <v>2783</v>
      </c>
      <c r="C12" s="139" t="s">
        <v>2784</v>
      </c>
      <c r="D12" s="1209">
        <v>44874</v>
      </c>
      <c r="E12" s="1210">
        <v>48730</v>
      </c>
      <c r="F12" s="219" t="s">
        <v>2770</v>
      </c>
      <c r="G12" s="142"/>
      <c r="H12" s="127" t="str">
        <f>IFERROR(VLOOKUP(G12,参数表!$H$2:$I$50,2,FALSE),"")</f>
        <v/>
      </c>
      <c r="I12" s="128" t="str">
        <f>IFERROR(IF(OR(G12="人民币",G12=""),"",R12/H12),"")</f>
        <v/>
      </c>
      <c r="J12" s="128" t="str">
        <f>IFERROR(IF(OR(G12="人民币",G12=""),"",S12/H12),"")</f>
        <v/>
      </c>
      <c r="K12" s="980">
        <v>886</v>
      </c>
      <c r="L12" s="143"/>
      <c r="M12" s="143"/>
      <c r="N12" s="144"/>
      <c r="O12" s="144"/>
      <c r="P12" s="144"/>
      <c r="Q12" s="353">
        <f t="shared" si="0"/>
        <v>886</v>
      </c>
      <c r="R12" s="129">
        <f t="shared" si="1"/>
        <v>0</v>
      </c>
      <c r="S12" s="129">
        <f t="shared" si="2"/>
        <v>0</v>
      </c>
      <c r="T12" s="129">
        <f t="shared" si="3"/>
        <v>886</v>
      </c>
      <c r="U12" s="129">
        <f t="shared" si="4"/>
        <v>38984</v>
      </c>
      <c r="V12" s="214">
        <f t="shared" si="5"/>
        <v>61</v>
      </c>
      <c r="W12" s="353">
        <f t="shared" si="6"/>
        <v>23780.24</v>
      </c>
      <c r="X12" s="129">
        <f t="shared" si="7"/>
        <v>23780.24</v>
      </c>
      <c r="Y12" s="129" t="str">
        <f t="shared" si="8"/>
        <v/>
      </c>
      <c r="Z12" s="145"/>
      <c r="BA12" s="75" t="e">
        <f t="shared" si="18"/>
        <v>#DIV/0!</v>
      </c>
      <c r="BB12" s="78"/>
      <c r="BC12" s="132" t="s">
        <v>2785</v>
      </c>
      <c r="BD12" s="133"/>
      <c r="BE12" s="132" t="str">
        <f>IF(OR(B12="",BD12=""),"",COUNTIF(BD$8:BD12,"√"))</f>
        <v/>
      </c>
      <c r="BF12" s="134" t="str">
        <f>IF(BD12="","",BC12&amp;"︱"&amp;B12&amp;"︱"&amp;TEXT(L12,"#,##0.00"))</f>
        <v/>
      </c>
      <c r="BG12" s="135" t="str">
        <f t="shared" si="9"/>
        <v>出错</v>
      </c>
      <c r="BH12" s="135" t="str">
        <f t="shared" si="9"/>
        <v>出错</v>
      </c>
      <c r="BI12" s="136"/>
      <c r="BJ12" s="136"/>
      <c r="BK12" s="136"/>
      <c r="BL12" s="136"/>
      <c r="BM12" s="137"/>
      <c r="BN12" s="137"/>
      <c r="BO12" s="75">
        <f>LOOKUP(D12,基础数据!A:D)</f>
        <v>3.83949417682846</v>
      </c>
      <c r="BP12" s="75">
        <f t="shared" si="20"/>
        <v>0.926611580972688</v>
      </c>
      <c r="BQ12" s="75">
        <f t="shared" si="10"/>
        <v>51</v>
      </c>
      <c r="BR12" s="272">
        <v>49</v>
      </c>
      <c r="BS12" s="156">
        <f t="shared" si="11"/>
        <v>5.64</v>
      </c>
      <c r="BT12" s="186">
        <v>0.01</v>
      </c>
      <c r="BU12" s="156">
        <f t="shared" si="12"/>
        <v>0.49</v>
      </c>
      <c r="BV12" s="156">
        <f t="shared" si="13"/>
        <v>0.04</v>
      </c>
      <c r="BW12" s="156">
        <f t="shared" si="19"/>
        <v>44</v>
      </c>
      <c r="BX12" s="156">
        <f t="shared" si="14"/>
        <v>2.72416153319644</v>
      </c>
      <c r="BY12" s="1207" t="s">
        <v>2772</v>
      </c>
      <c r="BZ12" s="272">
        <v>7</v>
      </c>
      <c r="CA12" s="186">
        <f t="shared" si="15"/>
        <v>0.61</v>
      </c>
      <c r="CB12" s="186">
        <f t="shared" si="16"/>
        <v>0.61</v>
      </c>
      <c r="CC12" s="186">
        <f t="shared" si="17"/>
        <v>0.61</v>
      </c>
      <c r="CD12" s="1208" t="s">
        <v>2773</v>
      </c>
      <c r="CF12" s="134" t="str">
        <f>IF(COUNTIF(CF$7:CF11,B12)&gt;0,"",B12)&amp;""</f>
        <v>3#吊盘悬吊绳</v>
      </c>
      <c r="CG12" s="138">
        <f>SUMIF(B$8:B$400,CF12,R$8:R$400)</f>
        <v>0</v>
      </c>
      <c r="CH12" s="132">
        <f>RANK(CG12,CG$8:CG$400)</f>
        <v>1</v>
      </c>
      <c r="CI12" s="138">
        <f>SUMIF(B$8:B$400,CF12,W$8:W$400)</f>
        <v>23780.24</v>
      </c>
      <c r="CJ12" s="132">
        <f>RANK(CI12,CI$8:CI$400)</f>
        <v>4</v>
      </c>
      <c r="CK12" s="132">
        <v>3</v>
      </c>
      <c r="CL12" s="134" t="str">
        <f>IFERROR(INDEX(CF$8:CF$400,MATCH(CK12,IF(CK$8=0,CJ$8:CJ$400,CH$8:CH$400),0))&amp;"","")</f>
        <v>电缆</v>
      </c>
      <c r="CM12" s="146" t="str">
        <f>IF(CL376="","",IF(CL377="","和","、"))</f>
        <v>和</v>
      </c>
    </row>
    <row r="13" ht="15" hidden="1" customHeight="1" spans="1:91">
      <c r="A13" s="123">
        <f>IF(B13="","",COUNT(A$7:A12)+1)</f>
        <v>6</v>
      </c>
      <c r="B13" s="139" t="s">
        <v>2786</v>
      </c>
      <c r="C13" s="139" t="s">
        <v>2784</v>
      </c>
      <c r="D13" s="1209">
        <v>44874</v>
      </c>
      <c r="E13" s="1210">
        <v>48730</v>
      </c>
      <c r="F13" s="219" t="s">
        <v>2770</v>
      </c>
      <c r="G13" s="142"/>
      <c r="H13" s="127"/>
      <c r="I13" s="128"/>
      <c r="J13" s="128"/>
      <c r="K13" s="980">
        <v>886</v>
      </c>
      <c r="L13" s="143"/>
      <c r="M13" s="143"/>
      <c r="N13" s="144"/>
      <c r="O13" s="144"/>
      <c r="P13" s="144"/>
      <c r="Q13" s="353">
        <f t="shared" si="0"/>
        <v>886</v>
      </c>
      <c r="R13" s="129">
        <f t="shared" si="1"/>
        <v>0</v>
      </c>
      <c r="S13" s="129">
        <f t="shared" si="2"/>
        <v>0</v>
      </c>
      <c r="T13" s="129">
        <f t="shared" si="3"/>
        <v>886</v>
      </c>
      <c r="U13" s="129">
        <f t="shared" si="4"/>
        <v>38984</v>
      </c>
      <c r="V13" s="214">
        <f t="shared" si="5"/>
        <v>61</v>
      </c>
      <c r="W13" s="353">
        <f t="shared" si="6"/>
        <v>23780.24</v>
      </c>
      <c r="X13" s="129">
        <f t="shared" si="7"/>
        <v>23780.24</v>
      </c>
      <c r="Y13" s="129" t="str">
        <f t="shared" si="8"/>
        <v/>
      </c>
      <c r="Z13" s="145"/>
      <c r="BA13" s="75" t="e">
        <f t="shared" si="18"/>
        <v>#DIV/0!</v>
      </c>
      <c r="BB13" s="78"/>
      <c r="BC13" s="132"/>
      <c r="BD13" s="133"/>
      <c r="BE13" s="132"/>
      <c r="BF13" s="134"/>
      <c r="BG13" s="135"/>
      <c r="BH13" s="135"/>
      <c r="BI13" s="136"/>
      <c r="BJ13" s="136"/>
      <c r="BK13" s="136"/>
      <c r="BL13" s="136"/>
      <c r="BM13" s="137"/>
      <c r="BN13" s="137"/>
      <c r="BO13" s="75">
        <f>LOOKUP(D13,基础数据!A:D)</f>
        <v>3.83949417682846</v>
      </c>
      <c r="BP13" s="75">
        <f t="shared" si="20"/>
        <v>0.926611580972688</v>
      </c>
      <c r="BQ13" s="75">
        <f t="shared" si="10"/>
        <v>51</v>
      </c>
      <c r="BR13" s="272">
        <v>49</v>
      </c>
      <c r="BS13" s="156">
        <f t="shared" si="11"/>
        <v>5.64</v>
      </c>
      <c r="BT13" s="186">
        <v>0.01</v>
      </c>
      <c r="BU13" s="156">
        <f t="shared" si="12"/>
        <v>0.49</v>
      </c>
      <c r="BV13" s="156">
        <f t="shared" si="13"/>
        <v>0.04</v>
      </c>
      <c r="BW13" s="156">
        <f t="shared" si="19"/>
        <v>44</v>
      </c>
      <c r="BX13" s="156">
        <f t="shared" si="14"/>
        <v>2.72416153319644</v>
      </c>
      <c r="BY13" s="1207" t="s">
        <v>2772</v>
      </c>
      <c r="BZ13" s="272">
        <v>7</v>
      </c>
      <c r="CA13" s="186">
        <f t="shared" si="15"/>
        <v>0.61</v>
      </c>
      <c r="CB13" s="186">
        <f t="shared" si="16"/>
        <v>0.61</v>
      </c>
      <c r="CC13" s="186">
        <f t="shared" si="17"/>
        <v>0.61</v>
      </c>
      <c r="CD13" s="1208" t="s">
        <v>2773</v>
      </c>
      <c r="CF13" s="134" t="str">
        <f>IF(COUNTIF(CF$7:CF12,B13)&gt;0,"",B13)&amp;""</f>
        <v>4#吊盘悬吊绳</v>
      </c>
      <c r="CG13" s="138"/>
      <c r="CH13" s="132"/>
      <c r="CI13" s="138"/>
      <c r="CJ13" s="132"/>
      <c r="CK13" s="132"/>
      <c r="CL13" s="134"/>
      <c r="CM13" s="146"/>
    </row>
    <row r="14" ht="15" hidden="1" customHeight="1" spans="1:91">
      <c r="A14" s="123">
        <f>IF(B14="","",COUNT(A$7:A13)+1)</f>
        <v>7</v>
      </c>
      <c r="B14" s="139" t="s">
        <v>2787</v>
      </c>
      <c r="C14" s="139" t="s">
        <v>2778</v>
      </c>
      <c r="D14" s="1209">
        <v>44874</v>
      </c>
      <c r="E14" s="1210">
        <v>48730</v>
      </c>
      <c r="F14" s="219" t="s">
        <v>2770</v>
      </c>
      <c r="G14" s="142"/>
      <c r="H14" s="127"/>
      <c r="I14" s="128"/>
      <c r="J14" s="128"/>
      <c r="K14" s="980">
        <v>886</v>
      </c>
      <c r="L14" s="143"/>
      <c r="M14" s="143"/>
      <c r="N14" s="144"/>
      <c r="O14" s="144"/>
      <c r="P14" s="144"/>
      <c r="Q14" s="353">
        <f t="shared" si="0"/>
        <v>886</v>
      </c>
      <c r="R14" s="129">
        <f t="shared" si="1"/>
        <v>0</v>
      </c>
      <c r="S14" s="129">
        <f t="shared" si="2"/>
        <v>0</v>
      </c>
      <c r="T14" s="129">
        <f t="shared" si="3"/>
        <v>886</v>
      </c>
      <c r="U14" s="129">
        <f t="shared" si="4"/>
        <v>38984</v>
      </c>
      <c r="V14" s="214">
        <f t="shared" si="5"/>
        <v>61</v>
      </c>
      <c r="W14" s="353">
        <f t="shared" si="6"/>
        <v>23780.24</v>
      </c>
      <c r="X14" s="129">
        <f t="shared" si="7"/>
        <v>23780.24</v>
      </c>
      <c r="Y14" s="129" t="str">
        <f t="shared" si="8"/>
        <v/>
      </c>
      <c r="Z14" s="145"/>
      <c r="BA14" s="75" t="e">
        <f t="shared" si="18"/>
        <v>#DIV/0!</v>
      </c>
      <c r="BB14" s="78"/>
      <c r="BC14" s="132"/>
      <c r="BD14" s="133"/>
      <c r="BE14" s="132"/>
      <c r="BF14" s="134"/>
      <c r="BG14" s="135"/>
      <c r="BH14" s="135"/>
      <c r="BI14" s="136"/>
      <c r="BJ14" s="136"/>
      <c r="BK14" s="136"/>
      <c r="BL14" s="136"/>
      <c r="BM14" s="137"/>
      <c r="BN14" s="137"/>
      <c r="BO14" s="75">
        <f>LOOKUP(D14,基础数据!A:D)</f>
        <v>3.83949417682846</v>
      </c>
      <c r="BP14" s="75">
        <f t="shared" si="20"/>
        <v>0.926611580972688</v>
      </c>
      <c r="BQ14" s="75">
        <f t="shared" si="10"/>
        <v>51</v>
      </c>
      <c r="BR14" s="272">
        <v>49</v>
      </c>
      <c r="BS14" s="156">
        <f t="shared" si="11"/>
        <v>5.64</v>
      </c>
      <c r="BT14" s="186">
        <v>0.01</v>
      </c>
      <c r="BU14" s="156">
        <f t="shared" si="12"/>
        <v>0.49</v>
      </c>
      <c r="BV14" s="156">
        <f t="shared" si="13"/>
        <v>0.04</v>
      </c>
      <c r="BW14" s="156">
        <f t="shared" si="19"/>
        <v>44</v>
      </c>
      <c r="BX14" s="156">
        <f t="shared" si="14"/>
        <v>2.72416153319644</v>
      </c>
      <c r="BY14" s="1207" t="s">
        <v>2772</v>
      </c>
      <c r="BZ14" s="272">
        <v>7</v>
      </c>
      <c r="CA14" s="186">
        <f t="shared" si="15"/>
        <v>0.61</v>
      </c>
      <c r="CB14" s="186">
        <f t="shared" si="16"/>
        <v>0.61</v>
      </c>
      <c r="CC14" s="186">
        <f t="shared" si="17"/>
        <v>0.61</v>
      </c>
      <c r="CD14" s="1208" t="s">
        <v>2773</v>
      </c>
      <c r="CF14" s="134" t="str">
        <f>IF(COUNTIF(CF$7:CF13,B14)&gt;0,"",B14)&amp;""</f>
        <v>5#吊盘悬吊绳</v>
      </c>
      <c r="CG14" s="138"/>
      <c r="CH14" s="132"/>
      <c r="CI14" s="138"/>
      <c r="CJ14" s="132"/>
      <c r="CK14" s="132"/>
      <c r="CL14" s="134"/>
      <c r="CM14" s="146"/>
    </row>
    <row r="15" ht="15" hidden="1" customHeight="1" spans="1:91">
      <c r="A15" s="123">
        <f>IF(B15="","",COUNT(A$7:A14)+1)</f>
        <v>8</v>
      </c>
      <c r="B15" s="139" t="s">
        <v>2788</v>
      </c>
      <c r="C15" s="139" t="s">
        <v>2778</v>
      </c>
      <c r="D15" s="1209">
        <v>44874</v>
      </c>
      <c r="E15" s="1210">
        <v>48730</v>
      </c>
      <c r="F15" s="219" t="s">
        <v>2770</v>
      </c>
      <c r="G15" s="142"/>
      <c r="H15" s="127"/>
      <c r="I15" s="128"/>
      <c r="J15" s="128"/>
      <c r="K15" s="980">
        <v>886</v>
      </c>
      <c r="L15" s="143"/>
      <c r="M15" s="143"/>
      <c r="N15" s="144"/>
      <c r="O15" s="144"/>
      <c r="P15" s="144"/>
      <c r="Q15" s="353">
        <f t="shared" si="0"/>
        <v>886</v>
      </c>
      <c r="R15" s="129">
        <f t="shared" si="1"/>
        <v>0</v>
      </c>
      <c r="S15" s="129">
        <f t="shared" si="2"/>
        <v>0</v>
      </c>
      <c r="T15" s="129">
        <f t="shared" si="3"/>
        <v>886</v>
      </c>
      <c r="U15" s="129">
        <f t="shared" si="4"/>
        <v>38984</v>
      </c>
      <c r="V15" s="214">
        <f t="shared" si="5"/>
        <v>61</v>
      </c>
      <c r="W15" s="353">
        <f t="shared" si="6"/>
        <v>23780.24</v>
      </c>
      <c r="X15" s="129">
        <f t="shared" si="7"/>
        <v>23780.24</v>
      </c>
      <c r="Y15" s="129" t="str">
        <f t="shared" si="8"/>
        <v/>
      </c>
      <c r="Z15" s="145"/>
      <c r="BA15" s="75" t="e">
        <f t="shared" si="18"/>
        <v>#DIV/0!</v>
      </c>
      <c r="BB15" s="78"/>
      <c r="BC15" s="132"/>
      <c r="BD15" s="133"/>
      <c r="BE15" s="132"/>
      <c r="BF15" s="134"/>
      <c r="BG15" s="135"/>
      <c r="BH15" s="135"/>
      <c r="BI15" s="136"/>
      <c r="BJ15" s="136"/>
      <c r="BK15" s="136"/>
      <c r="BL15" s="136"/>
      <c r="BM15" s="137"/>
      <c r="BN15" s="137"/>
      <c r="BO15" s="75">
        <f>LOOKUP(D15,基础数据!A:D)</f>
        <v>3.83949417682846</v>
      </c>
      <c r="BP15" s="75">
        <f t="shared" si="20"/>
        <v>0.926611580972688</v>
      </c>
      <c r="BQ15" s="75">
        <f t="shared" si="10"/>
        <v>51</v>
      </c>
      <c r="BR15" s="272">
        <v>49</v>
      </c>
      <c r="BS15" s="156">
        <f t="shared" si="11"/>
        <v>5.64</v>
      </c>
      <c r="BT15" s="186">
        <v>0.01</v>
      </c>
      <c r="BU15" s="156">
        <f t="shared" si="12"/>
        <v>0.49</v>
      </c>
      <c r="BV15" s="156">
        <f t="shared" si="13"/>
        <v>0.04</v>
      </c>
      <c r="BW15" s="156">
        <f t="shared" si="19"/>
        <v>44</v>
      </c>
      <c r="BX15" s="156">
        <f t="shared" si="14"/>
        <v>2.72416153319644</v>
      </c>
      <c r="BY15" s="1207" t="s">
        <v>2772</v>
      </c>
      <c r="BZ15" s="272">
        <v>7</v>
      </c>
      <c r="CA15" s="186">
        <f t="shared" si="15"/>
        <v>0.61</v>
      </c>
      <c r="CB15" s="186">
        <f t="shared" si="16"/>
        <v>0.61</v>
      </c>
      <c r="CC15" s="186">
        <f t="shared" si="17"/>
        <v>0.61</v>
      </c>
      <c r="CD15" s="1208" t="s">
        <v>2773</v>
      </c>
      <c r="CF15" s="134" t="str">
        <f>IF(COUNTIF(CF$7:CF14,B15)&gt;0,"",B15)&amp;""</f>
        <v>6#吊盘悬吊绳</v>
      </c>
      <c r="CG15" s="138"/>
      <c r="CH15" s="132"/>
      <c r="CI15" s="138"/>
      <c r="CJ15" s="132"/>
      <c r="CK15" s="132"/>
      <c r="CL15" s="134"/>
      <c r="CM15" s="146"/>
    </row>
    <row r="16" ht="15" hidden="1" customHeight="1" spans="1:91">
      <c r="A16" s="123">
        <f>IF(B16="","",COUNT(A$7:A15)+1)</f>
        <v>9</v>
      </c>
      <c r="B16" s="139" t="s">
        <v>2789</v>
      </c>
      <c r="C16" s="139" t="s">
        <v>2784</v>
      </c>
      <c r="D16" s="1209">
        <v>44874</v>
      </c>
      <c r="E16" s="1210">
        <v>48730</v>
      </c>
      <c r="F16" s="219" t="s">
        <v>2770</v>
      </c>
      <c r="G16" s="142"/>
      <c r="H16" s="127"/>
      <c r="I16" s="128"/>
      <c r="J16" s="128"/>
      <c r="K16" s="980">
        <v>886</v>
      </c>
      <c r="L16" s="143"/>
      <c r="M16" s="143"/>
      <c r="N16" s="144"/>
      <c r="O16" s="144"/>
      <c r="P16" s="144"/>
      <c r="Q16" s="353">
        <f t="shared" si="0"/>
        <v>886</v>
      </c>
      <c r="R16" s="129">
        <f t="shared" si="1"/>
        <v>0</v>
      </c>
      <c r="S16" s="129">
        <f t="shared" si="2"/>
        <v>0</v>
      </c>
      <c r="T16" s="129">
        <f t="shared" si="3"/>
        <v>886</v>
      </c>
      <c r="U16" s="129">
        <f t="shared" si="4"/>
        <v>38984</v>
      </c>
      <c r="V16" s="214">
        <f t="shared" si="5"/>
        <v>61</v>
      </c>
      <c r="W16" s="353">
        <f t="shared" si="6"/>
        <v>23780.24</v>
      </c>
      <c r="X16" s="129">
        <f t="shared" si="7"/>
        <v>23780.24</v>
      </c>
      <c r="Y16" s="129" t="str">
        <f t="shared" si="8"/>
        <v/>
      </c>
      <c r="Z16" s="145"/>
      <c r="BA16" s="75" t="e">
        <f t="shared" si="18"/>
        <v>#DIV/0!</v>
      </c>
      <c r="BB16" s="78"/>
      <c r="BC16" s="132"/>
      <c r="BD16" s="133"/>
      <c r="BE16" s="132"/>
      <c r="BF16" s="134"/>
      <c r="BG16" s="135"/>
      <c r="BH16" s="135"/>
      <c r="BI16" s="136"/>
      <c r="BJ16" s="136"/>
      <c r="BK16" s="136"/>
      <c r="BL16" s="136"/>
      <c r="BM16" s="137"/>
      <c r="BN16" s="137"/>
      <c r="BO16" s="75">
        <f>LOOKUP(D16,基础数据!A:D)</f>
        <v>3.83949417682846</v>
      </c>
      <c r="BP16" s="75">
        <f t="shared" si="20"/>
        <v>0.926611580972688</v>
      </c>
      <c r="BQ16" s="75">
        <f t="shared" si="10"/>
        <v>51</v>
      </c>
      <c r="BR16" s="272">
        <v>49</v>
      </c>
      <c r="BS16" s="156">
        <f t="shared" si="11"/>
        <v>5.64</v>
      </c>
      <c r="BT16" s="186">
        <v>0.01</v>
      </c>
      <c r="BU16" s="156">
        <f t="shared" si="12"/>
        <v>0.49</v>
      </c>
      <c r="BV16" s="156">
        <f t="shared" si="13"/>
        <v>0.04</v>
      </c>
      <c r="BW16" s="156">
        <f t="shared" si="19"/>
        <v>44</v>
      </c>
      <c r="BX16" s="156">
        <f t="shared" si="14"/>
        <v>2.72416153319644</v>
      </c>
      <c r="BY16" s="1207" t="s">
        <v>2772</v>
      </c>
      <c r="BZ16" s="272">
        <v>7</v>
      </c>
      <c r="CA16" s="186">
        <f t="shared" si="15"/>
        <v>0.61</v>
      </c>
      <c r="CB16" s="186">
        <f t="shared" si="16"/>
        <v>0.61</v>
      </c>
      <c r="CC16" s="186">
        <f t="shared" si="17"/>
        <v>0.61</v>
      </c>
      <c r="CD16" s="1208" t="s">
        <v>2773</v>
      </c>
      <c r="CF16" s="134" t="str">
        <f>IF(COUNTIF(CF$7:CF15,B16)&gt;0,"",B16)&amp;""</f>
        <v>7#吊盘悬吊绳</v>
      </c>
      <c r="CG16" s="138"/>
      <c r="CH16" s="132"/>
      <c r="CI16" s="138"/>
      <c r="CJ16" s="132"/>
      <c r="CK16" s="132"/>
      <c r="CL16" s="134"/>
      <c r="CM16" s="146"/>
    </row>
    <row r="17" ht="15" hidden="1" customHeight="1" spans="1:91">
      <c r="A17" s="123">
        <f>IF(B17="","",COUNT(A$7:A16)+1)</f>
        <v>10</v>
      </c>
      <c r="B17" s="139" t="s">
        <v>2790</v>
      </c>
      <c r="C17" s="139" t="s">
        <v>2784</v>
      </c>
      <c r="D17" s="1209">
        <v>44874</v>
      </c>
      <c r="E17" s="1210">
        <v>48730</v>
      </c>
      <c r="F17" s="219" t="s">
        <v>2770</v>
      </c>
      <c r="G17" s="142"/>
      <c r="H17" s="127"/>
      <c r="I17" s="128"/>
      <c r="J17" s="128"/>
      <c r="K17" s="980">
        <v>886</v>
      </c>
      <c r="L17" s="143"/>
      <c r="M17" s="143"/>
      <c r="N17" s="144"/>
      <c r="O17" s="144"/>
      <c r="P17" s="144"/>
      <c r="Q17" s="353">
        <f t="shared" si="0"/>
        <v>886</v>
      </c>
      <c r="R17" s="129">
        <f t="shared" si="1"/>
        <v>0</v>
      </c>
      <c r="S17" s="129">
        <f t="shared" si="2"/>
        <v>0</v>
      </c>
      <c r="T17" s="129">
        <f t="shared" si="3"/>
        <v>886</v>
      </c>
      <c r="U17" s="129">
        <f t="shared" si="4"/>
        <v>38984</v>
      </c>
      <c r="V17" s="214">
        <f t="shared" si="5"/>
        <v>61</v>
      </c>
      <c r="W17" s="353">
        <f t="shared" si="6"/>
        <v>23780.24</v>
      </c>
      <c r="X17" s="129">
        <f t="shared" si="7"/>
        <v>23780.24</v>
      </c>
      <c r="Y17" s="129" t="str">
        <f t="shared" si="8"/>
        <v/>
      </c>
      <c r="Z17" s="145"/>
      <c r="BA17" s="75" t="e">
        <f t="shared" si="18"/>
        <v>#DIV/0!</v>
      </c>
      <c r="BB17" s="78"/>
      <c r="BC17" s="132"/>
      <c r="BD17" s="133"/>
      <c r="BE17" s="132"/>
      <c r="BF17" s="134"/>
      <c r="BG17" s="135"/>
      <c r="BH17" s="135"/>
      <c r="BI17" s="136"/>
      <c r="BJ17" s="136"/>
      <c r="BK17" s="136"/>
      <c r="BL17" s="136"/>
      <c r="BM17" s="137"/>
      <c r="BN17" s="137"/>
      <c r="BO17" s="75">
        <f>LOOKUP(D17,基础数据!A:D)</f>
        <v>3.83949417682846</v>
      </c>
      <c r="BP17" s="75">
        <f t="shared" si="20"/>
        <v>0.926611580972688</v>
      </c>
      <c r="BQ17" s="75">
        <f t="shared" si="10"/>
        <v>51</v>
      </c>
      <c r="BR17" s="272">
        <v>49</v>
      </c>
      <c r="BS17" s="156">
        <f t="shared" si="11"/>
        <v>5.64</v>
      </c>
      <c r="BT17" s="186">
        <v>0.01</v>
      </c>
      <c r="BU17" s="156">
        <f t="shared" si="12"/>
        <v>0.49</v>
      </c>
      <c r="BV17" s="156">
        <f t="shared" si="13"/>
        <v>0.04</v>
      </c>
      <c r="BW17" s="156">
        <f t="shared" si="19"/>
        <v>44</v>
      </c>
      <c r="BX17" s="156">
        <f t="shared" si="14"/>
        <v>2.72416153319644</v>
      </c>
      <c r="BY17" s="1207" t="s">
        <v>2772</v>
      </c>
      <c r="BZ17" s="272">
        <v>7</v>
      </c>
      <c r="CA17" s="186">
        <f t="shared" si="15"/>
        <v>0.61</v>
      </c>
      <c r="CB17" s="186">
        <f t="shared" si="16"/>
        <v>0.61</v>
      </c>
      <c r="CC17" s="186">
        <f t="shared" si="17"/>
        <v>0.61</v>
      </c>
      <c r="CD17" s="1208" t="s">
        <v>2773</v>
      </c>
      <c r="CF17" s="134" t="str">
        <f>IF(COUNTIF(CF$7:CF16,B17)&gt;0,"",B17)&amp;""</f>
        <v>8#吊盘悬吊绳</v>
      </c>
      <c r="CG17" s="138"/>
      <c r="CH17" s="132"/>
      <c r="CI17" s="138"/>
      <c r="CJ17" s="132"/>
      <c r="CK17" s="132"/>
      <c r="CL17" s="134"/>
      <c r="CM17" s="146"/>
    </row>
    <row r="18" ht="15" hidden="1" customHeight="1" spans="1:91">
      <c r="A18" s="123">
        <f>IF(B18="","",COUNT(A$7:A17)+1)</f>
        <v>11</v>
      </c>
      <c r="B18" s="139" t="s">
        <v>2791</v>
      </c>
      <c r="C18" s="139" t="s">
        <v>2792</v>
      </c>
      <c r="D18" s="1209">
        <v>44874</v>
      </c>
      <c r="E18" s="1210">
        <v>31896</v>
      </c>
      <c r="F18" s="219" t="s">
        <v>2770</v>
      </c>
      <c r="G18" s="142"/>
      <c r="H18" s="127"/>
      <c r="I18" s="128"/>
      <c r="J18" s="128"/>
      <c r="K18" s="980">
        <v>886</v>
      </c>
      <c r="L18" s="143"/>
      <c r="M18" s="143"/>
      <c r="N18" s="144"/>
      <c r="O18" s="144"/>
      <c r="P18" s="144"/>
      <c r="Q18" s="353">
        <f t="shared" si="0"/>
        <v>886</v>
      </c>
      <c r="R18" s="129">
        <f t="shared" si="1"/>
        <v>0</v>
      </c>
      <c r="S18" s="129">
        <f t="shared" si="2"/>
        <v>0</v>
      </c>
      <c r="T18" s="129">
        <f t="shared" si="3"/>
        <v>886</v>
      </c>
      <c r="U18" s="129">
        <f t="shared" si="4"/>
        <v>29238</v>
      </c>
      <c r="V18" s="214">
        <f t="shared" si="5"/>
        <v>61</v>
      </c>
      <c r="W18" s="353">
        <f t="shared" si="6"/>
        <v>17835.18</v>
      </c>
      <c r="X18" s="129">
        <f t="shared" si="7"/>
        <v>17835.18</v>
      </c>
      <c r="Y18" s="129" t="str">
        <f t="shared" si="8"/>
        <v/>
      </c>
      <c r="Z18" s="145"/>
      <c r="BA18" s="75" t="e">
        <f t="shared" si="18"/>
        <v>#DIV/0!</v>
      </c>
      <c r="BB18" s="78"/>
      <c r="BC18" s="132"/>
      <c r="BD18" s="133"/>
      <c r="BE18" s="132"/>
      <c r="BF18" s="134"/>
      <c r="BG18" s="135"/>
      <c r="BH18" s="135"/>
      <c r="BI18" s="136"/>
      <c r="BJ18" s="136"/>
      <c r="BK18" s="136"/>
      <c r="BL18" s="136"/>
      <c r="BM18" s="137"/>
      <c r="BN18" s="137"/>
      <c r="BO18" s="75">
        <f>LOOKUP(D18,基础数据!A:D)</f>
        <v>3.83949417682846</v>
      </c>
      <c r="BP18" s="75">
        <f t="shared" si="20"/>
        <v>0.926611580972688</v>
      </c>
      <c r="BQ18" s="75">
        <f t="shared" si="10"/>
        <v>33</v>
      </c>
      <c r="BR18" s="272">
        <f t="shared" ref="BR18:BR27" si="21">ROUND(BQ18*1.13,0)</f>
        <v>37</v>
      </c>
      <c r="BS18" s="156">
        <f t="shared" si="11"/>
        <v>4.26</v>
      </c>
      <c r="BT18" s="186">
        <v>0.01</v>
      </c>
      <c r="BU18" s="156">
        <f t="shared" si="12"/>
        <v>0.37</v>
      </c>
      <c r="BV18" s="156">
        <f t="shared" si="13"/>
        <v>0.03</v>
      </c>
      <c r="BW18" s="156">
        <f t="shared" si="19"/>
        <v>33</v>
      </c>
      <c r="BX18" s="156">
        <f t="shared" si="14"/>
        <v>2.72416153319644</v>
      </c>
      <c r="BY18" s="1207" t="s">
        <v>2772</v>
      </c>
      <c r="BZ18" s="272">
        <v>7</v>
      </c>
      <c r="CA18" s="186">
        <f t="shared" si="15"/>
        <v>0.61</v>
      </c>
      <c r="CB18" s="186">
        <f t="shared" si="16"/>
        <v>0.61</v>
      </c>
      <c r="CC18" s="186">
        <f t="shared" si="17"/>
        <v>0.61</v>
      </c>
      <c r="CD18" s="272"/>
      <c r="CF18" s="134"/>
      <c r="CG18" s="138"/>
      <c r="CH18" s="132"/>
      <c r="CI18" s="138"/>
      <c r="CJ18" s="132"/>
      <c r="CK18" s="132"/>
      <c r="CL18" s="134"/>
      <c r="CM18" s="146"/>
    </row>
    <row r="19" ht="15" customHeight="1" spans="1:91">
      <c r="A19" s="123">
        <f>IF(B19="","",COUNT(A$7:A18)+1)</f>
        <v>12</v>
      </c>
      <c r="B19" s="139" t="s">
        <v>2793</v>
      </c>
      <c r="C19" s="139" t="s">
        <v>2794</v>
      </c>
      <c r="D19" s="1209">
        <v>44874</v>
      </c>
      <c r="E19" s="1210">
        <v>12404</v>
      </c>
      <c r="F19" s="219" t="s">
        <v>2770</v>
      </c>
      <c r="G19" s="142"/>
      <c r="H19" s="127"/>
      <c r="I19" s="128"/>
      <c r="J19" s="128"/>
      <c r="K19" s="980">
        <v>886</v>
      </c>
      <c r="L19" s="143"/>
      <c r="M19" s="143"/>
      <c r="N19" s="144"/>
      <c r="O19" s="144"/>
      <c r="P19" s="144"/>
      <c r="Q19" s="353">
        <f t="shared" si="0"/>
        <v>886</v>
      </c>
      <c r="R19" s="129">
        <f t="shared" si="1"/>
        <v>0</v>
      </c>
      <c r="S19" s="129">
        <f t="shared" si="2"/>
        <v>0</v>
      </c>
      <c r="T19" s="129">
        <f t="shared" si="3"/>
        <v>886</v>
      </c>
      <c r="U19" s="129">
        <f t="shared" si="4"/>
        <v>12404</v>
      </c>
      <c r="V19" s="214">
        <f t="shared" si="5"/>
        <v>61</v>
      </c>
      <c r="W19" s="353">
        <f t="shared" si="6"/>
        <v>7566.44</v>
      </c>
      <c r="X19" s="129">
        <f t="shared" si="7"/>
        <v>7566.44</v>
      </c>
      <c r="Y19" s="129" t="str">
        <f t="shared" si="8"/>
        <v/>
      </c>
      <c r="Z19" s="145"/>
      <c r="BA19" s="75" t="e">
        <f t="shared" si="18"/>
        <v>#DIV/0!</v>
      </c>
      <c r="BB19" s="78"/>
      <c r="BC19" s="132"/>
      <c r="BD19" s="133"/>
      <c r="BE19" s="132"/>
      <c r="BF19" s="134"/>
      <c r="BG19" s="135"/>
      <c r="BH19" s="135"/>
      <c r="BI19" s="136"/>
      <c r="BJ19" s="136"/>
      <c r="BK19" s="136"/>
      <c r="BL19" s="136"/>
      <c r="BM19" s="137"/>
      <c r="BN19" s="137"/>
      <c r="BO19" s="75">
        <f>LOOKUP(D19,基础数据!A:D)</f>
        <v>3.83949417682846</v>
      </c>
      <c r="BP19" s="75">
        <f t="shared" si="20"/>
        <v>0.926611580972688</v>
      </c>
      <c r="BQ19" s="75">
        <f t="shared" si="10"/>
        <v>13</v>
      </c>
      <c r="BR19" s="272">
        <f t="shared" si="21"/>
        <v>15</v>
      </c>
      <c r="BS19" s="156">
        <f t="shared" si="11"/>
        <v>1.73</v>
      </c>
      <c r="BT19" s="1211">
        <v>0.06</v>
      </c>
      <c r="BU19" s="156">
        <f t="shared" si="12"/>
        <v>0.9</v>
      </c>
      <c r="BV19" s="156">
        <f t="shared" si="13"/>
        <v>0.07</v>
      </c>
      <c r="BW19" s="156">
        <f t="shared" si="19"/>
        <v>14</v>
      </c>
      <c r="BX19" s="156">
        <f t="shared" si="14"/>
        <v>2.72416153319644</v>
      </c>
      <c r="BY19" s="1207" t="s">
        <v>2772</v>
      </c>
      <c r="BZ19" s="272">
        <v>7</v>
      </c>
      <c r="CA19" s="186">
        <f t="shared" si="15"/>
        <v>0.61</v>
      </c>
      <c r="CB19" s="186">
        <f t="shared" si="16"/>
        <v>0.61</v>
      </c>
      <c r="CC19" s="186">
        <f t="shared" si="17"/>
        <v>0.61</v>
      </c>
      <c r="CD19" s="272"/>
      <c r="CF19" s="134"/>
      <c r="CG19" s="138"/>
      <c r="CH19" s="132"/>
      <c r="CI19" s="138"/>
      <c r="CJ19" s="132"/>
      <c r="CK19" s="132"/>
      <c r="CL19" s="134"/>
      <c r="CM19" s="146"/>
    </row>
    <row r="20" ht="15" customHeight="1" spans="1:91">
      <c r="A20" s="123">
        <f>IF(B20="","",COUNT(A$7:A19)+1)</f>
        <v>13</v>
      </c>
      <c r="B20" s="139" t="s">
        <v>2795</v>
      </c>
      <c r="C20" s="139" t="s">
        <v>2796</v>
      </c>
      <c r="D20" s="1209">
        <v>44874</v>
      </c>
      <c r="E20" s="1210">
        <v>15062</v>
      </c>
      <c r="F20" s="219" t="s">
        <v>2770</v>
      </c>
      <c r="G20" s="142"/>
      <c r="H20" s="127"/>
      <c r="I20" s="128"/>
      <c r="J20" s="128"/>
      <c r="K20" s="980">
        <v>886</v>
      </c>
      <c r="L20" s="143"/>
      <c r="M20" s="143"/>
      <c r="N20" s="144"/>
      <c r="O20" s="144"/>
      <c r="P20" s="144"/>
      <c r="Q20" s="353">
        <f t="shared" si="0"/>
        <v>886</v>
      </c>
      <c r="R20" s="129">
        <f t="shared" si="1"/>
        <v>0</v>
      </c>
      <c r="S20" s="129">
        <f t="shared" si="2"/>
        <v>0</v>
      </c>
      <c r="T20" s="129">
        <f t="shared" si="3"/>
        <v>886</v>
      </c>
      <c r="U20" s="129">
        <f t="shared" si="4"/>
        <v>15062</v>
      </c>
      <c r="V20" s="214">
        <f t="shared" si="5"/>
        <v>61</v>
      </c>
      <c r="W20" s="353">
        <f t="shared" si="6"/>
        <v>9187.82</v>
      </c>
      <c r="X20" s="129">
        <f t="shared" si="7"/>
        <v>9187.82</v>
      </c>
      <c r="Y20" s="129" t="str">
        <f t="shared" si="8"/>
        <v/>
      </c>
      <c r="Z20" s="145"/>
      <c r="BA20" s="75" t="e">
        <f t="shared" si="18"/>
        <v>#DIV/0!</v>
      </c>
      <c r="BB20" s="78"/>
      <c r="BC20" s="132"/>
      <c r="BD20" s="133"/>
      <c r="BE20" s="132"/>
      <c r="BF20" s="134"/>
      <c r="BG20" s="135"/>
      <c r="BH20" s="135"/>
      <c r="BI20" s="136"/>
      <c r="BJ20" s="136"/>
      <c r="BK20" s="136"/>
      <c r="BL20" s="136"/>
      <c r="BM20" s="137"/>
      <c r="BN20" s="137"/>
      <c r="BO20" s="75">
        <f>LOOKUP(D20,基础数据!A:D)</f>
        <v>3.83949417682846</v>
      </c>
      <c r="BP20" s="75">
        <f t="shared" si="20"/>
        <v>0.926611580972688</v>
      </c>
      <c r="BQ20" s="75">
        <f t="shared" si="10"/>
        <v>16</v>
      </c>
      <c r="BR20" s="272">
        <f t="shared" si="21"/>
        <v>18</v>
      </c>
      <c r="BS20" s="156">
        <f t="shared" si="11"/>
        <v>2.07</v>
      </c>
      <c r="BT20" s="1211">
        <v>0.06</v>
      </c>
      <c r="BU20" s="156">
        <f t="shared" si="12"/>
        <v>1.08</v>
      </c>
      <c r="BV20" s="156">
        <f t="shared" si="13"/>
        <v>0.09</v>
      </c>
      <c r="BW20" s="156">
        <f t="shared" si="19"/>
        <v>17</v>
      </c>
      <c r="BX20" s="156">
        <f t="shared" si="14"/>
        <v>2.72416153319644</v>
      </c>
      <c r="BY20" s="1207" t="s">
        <v>2772</v>
      </c>
      <c r="BZ20" s="272">
        <v>7</v>
      </c>
      <c r="CA20" s="186">
        <f t="shared" si="15"/>
        <v>0.61</v>
      </c>
      <c r="CB20" s="186">
        <f t="shared" si="16"/>
        <v>0.61</v>
      </c>
      <c r="CC20" s="186">
        <f t="shared" si="17"/>
        <v>0.61</v>
      </c>
      <c r="CD20" s="272"/>
      <c r="CF20" s="134"/>
      <c r="CG20" s="138"/>
      <c r="CH20" s="132"/>
      <c r="CI20" s="138"/>
      <c r="CJ20" s="132"/>
      <c r="CK20" s="132"/>
      <c r="CL20" s="134"/>
      <c r="CM20" s="146"/>
    </row>
    <row r="21" ht="15" customHeight="1" spans="1:91">
      <c r="A21" s="123">
        <f>IF(B21="","",COUNT(A$7:A20)+1)</f>
        <v>14</v>
      </c>
      <c r="B21" s="139" t="s">
        <v>2797</v>
      </c>
      <c r="C21" s="139" t="s">
        <v>2796</v>
      </c>
      <c r="D21" s="1209">
        <v>44874</v>
      </c>
      <c r="E21" s="1210">
        <v>15062</v>
      </c>
      <c r="F21" s="219" t="s">
        <v>2770</v>
      </c>
      <c r="G21" s="142"/>
      <c r="H21" s="127"/>
      <c r="I21" s="128"/>
      <c r="J21" s="128"/>
      <c r="K21" s="980">
        <v>886</v>
      </c>
      <c r="L21" s="143"/>
      <c r="M21" s="143"/>
      <c r="N21" s="144"/>
      <c r="O21" s="144"/>
      <c r="P21" s="144"/>
      <c r="Q21" s="353">
        <f t="shared" si="0"/>
        <v>886</v>
      </c>
      <c r="R21" s="129">
        <f t="shared" si="1"/>
        <v>0</v>
      </c>
      <c r="S21" s="129">
        <f t="shared" si="2"/>
        <v>0</v>
      </c>
      <c r="T21" s="129">
        <f t="shared" si="3"/>
        <v>886</v>
      </c>
      <c r="U21" s="129">
        <f t="shared" si="4"/>
        <v>15062</v>
      </c>
      <c r="V21" s="214">
        <f t="shared" si="5"/>
        <v>61</v>
      </c>
      <c r="W21" s="353">
        <f t="shared" si="6"/>
        <v>9187.82</v>
      </c>
      <c r="X21" s="129">
        <f t="shared" si="7"/>
        <v>9187.82</v>
      </c>
      <c r="Y21" s="129" t="str">
        <f t="shared" si="8"/>
        <v/>
      </c>
      <c r="Z21" s="145"/>
      <c r="BA21" s="75" t="e">
        <f t="shared" si="18"/>
        <v>#DIV/0!</v>
      </c>
      <c r="BB21" s="78"/>
      <c r="BC21" s="132"/>
      <c r="BD21" s="133"/>
      <c r="BE21" s="132"/>
      <c r="BF21" s="134"/>
      <c r="BG21" s="135"/>
      <c r="BH21" s="135"/>
      <c r="BI21" s="136"/>
      <c r="BJ21" s="136"/>
      <c r="BK21" s="136"/>
      <c r="BL21" s="136"/>
      <c r="BM21" s="137"/>
      <c r="BN21" s="137"/>
      <c r="BO21" s="75">
        <f>LOOKUP(D21,基础数据!A:D)</f>
        <v>3.83949417682846</v>
      </c>
      <c r="BP21" s="75">
        <f t="shared" si="20"/>
        <v>0.926611580972688</v>
      </c>
      <c r="BQ21" s="75">
        <f t="shared" si="10"/>
        <v>16</v>
      </c>
      <c r="BR21" s="272">
        <f t="shared" si="21"/>
        <v>18</v>
      </c>
      <c r="BS21" s="156">
        <f t="shared" si="11"/>
        <v>2.07</v>
      </c>
      <c r="BT21" s="1211">
        <v>0.06</v>
      </c>
      <c r="BU21" s="156">
        <f t="shared" si="12"/>
        <v>1.08</v>
      </c>
      <c r="BV21" s="156">
        <f t="shared" si="13"/>
        <v>0.09</v>
      </c>
      <c r="BW21" s="156">
        <f t="shared" si="19"/>
        <v>17</v>
      </c>
      <c r="BX21" s="156">
        <f t="shared" si="14"/>
        <v>2.72416153319644</v>
      </c>
      <c r="BY21" s="1207" t="s">
        <v>2772</v>
      </c>
      <c r="BZ21" s="272">
        <v>7</v>
      </c>
      <c r="CA21" s="186">
        <f t="shared" si="15"/>
        <v>0.61</v>
      </c>
      <c r="CB21" s="186">
        <f t="shared" si="16"/>
        <v>0.61</v>
      </c>
      <c r="CC21" s="186">
        <f t="shared" si="17"/>
        <v>0.61</v>
      </c>
      <c r="CD21" s="272"/>
      <c r="CF21" s="134"/>
      <c r="CG21" s="138"/>
      <c r="CH21" s="132"/>
      <c r="CI21" s="138"/>
      <c r="CJ21" s="132"/>
      <c r="CK21" s="132"/>
      <c r="CL21" s="134"/>
      <c r="CM21" s="146"/>
    </row>
    <row r="22" ht="15" hidden="1" customHeight="1" spans="1:91">
      <c r="A22" s="123">
        <f>IF(B22="","",COUNT(A$7:A21)+1)</f>
        <v>15</v>
      </c>
      <c r="B22" s="139" t="s">
        <v>2798</v>
      </c>
      <c r="C22" s="139" t="s">
        <v>2799</v>
      </c>
      <c r="D22" s="1209">
        <v>44874</v>
      </c>
      <c r="E22" s="1210">
        <v>13290</v>
      </c>
      <c r="F22" s="219" t="s">
        <v>2770</v>
      </c>
      <c r="G22" s="142"/>
      <c r="H22" s="127"/>
      <c r="I22" s="128"/>
      <c r="J22" s="128"/>
      <c r="K22" s="980">
        <v>886</v>
      </c>
      <c r="L22" s="143"/>
      <c r="M22" s="143"/>
      <c r="N22" s="144"/>
      <c r="O22" s="144"/>
      <c r="P22" s="144"/>
      <c r="Q22" s="353">
        <f t="shared" si="0"/>
        <v>886</v>
      </c>
      <c r="R22" s="129">
        <f t="shared" si="1"/>
        <v>0</v>
      </c>
      <c r="S22" s="129">
        <f t="shared" si="2"/>
        <v>0</v>
      </c>
      <c r="T22" s="129">
        <f t="shared" si="3"/>
        <v>886</v>
      </c>
      <c r="U22" s="129">
        <f t="shared" si="4"/>
        <v>12404</v>
      </c>
      <c r="V22" s="214">
        <f t="shared" si="5"/>
        <v>61</v>
      </c>
      <c r="W22" s="353">
        <f t="shared" si="6"/>
        <v>7566.44</v>
      </c>
      <c r="X22" s="129">
        <f t="shared" si="7"/>
        <v>7566.44</v>
      </c>
      <c r="Y22" s="129" t="str">
        <f t="shared" si="8"/>
        <v/>
      </c>
      <c r="Z22" s="145"/>
      <c r="BA22" s="75" t="e">
        <f t="shared" si="18"/>
        <v>#DIV/0!</v>
      </c>
      <c r="BB22" s="78"/>
      <c r="BC22" s="132"/>
      <c r="BD22" s="133"/>
      <c r="BE22" s="132"/>
      <c r="BF22" s="134"/>
      <c r="BG22" s="135"/>
      <c r="BH22" s="135"/>
      <c r="BI22" s="136"/>
      <c r="BJ22" s="136"/>
      <c r="BK22" s="136"/>
      <c r="BL22" s="136"/>
      <c r="BM22" s="137"/>
      <c r="BN22" s="137"/>
      <c r="BO22" s="75">
        <f>LOOKUP(D22,基础数据!A:D)</f>
        <v>3.83949417682846</v>
      </c>
      <c r="BP22" s="75">
        <f t="shared" si="20"/>
        <v>0.926611580972688</v>
      </c>
      <c r="BQ22" s="75">
        <f t="shared" si="10"/>
        <v>14</v>
      </c>
      <c r="BR22" s="272">
        <f t="shared" si="21"/>
        <v>16</v>
      </c>
      <c r="BS22" s="156">
        <f t="shared" si="11"/>
        <v>1.84</v>
      </c>
      <c r="BT22" s="186">
        <v>0.01</v>
      </c>
      <c r="BU22" s="156">
        <f t="shared" si="12"/>
        <v>0.16</v>
      </c>
      <c r="BV22" s="156">
        <f t="shared" si="13"/>
        <v>0.01</v>
      </c>
      <c r="BW22" s="156">
        <f t="shared" si="19"/>
        <v>14</v>
      </c>
      <c r="BX22" s="156">
        <f t="shared" si="14"/>
        <v>2.72416153319644</v>
      </c>
      <c r="BY22" s="1207" t="s">
        <v>2772</v>
      </c>
      <c r="BZ22" s="272">
        <v>7</v>
      </c>
      <c r="CA22" s="186">
        <f t="shared" si="15"/>
        <v>0.61</v>
      </c>
      <c r="CB22" s="186">
        <f t="shared" si="16"/>
        <v>0.61</v>
      </c>
      <c r="CC22" s="186">
        <f t="shared" si="17"/>
        <v>0.61</v>
      </c>
      <c r="CD22" s="272"/>
      <c r="CF22" s="134"/>
      <c r="CG22" s="138"/>
      <c r="CH22" s="132"/>
      <c r="CI22" s="138"/>
      <c r="CJ22" s="132"/>
      <c r="CK22" s="132"/>
      <c r="CL22" s="134"/>
      <c r="CM22" s="146"/>
    </row>
    <row r="23" ht="15" hidden="1" customHeight="1" spans="1:91">
      <c r="A23" s="123">
        <f>IF(B23="","",COUNT(A$7:A22)+1)</f>
        <v>16</v>
      </c>
      <c r="B23" s="139" t="s">
        <v>2800</v>
      </c>
      <c r="C23" s="139" t="s">
        <v>2801</v>
      </c>
      <c r="D23" s="1209">
        <v>44874</v>
      </c>
      <c r="E23" s="1210">
        <v>2500</v>
      </c>
      <c r="F23" s="219" t="s">
        <v>2770</v>
      </c>
      <c r="G23" s="142"/>
      <c r="H23" s="127"/>
      <c r="I23" s="128"/>
      <c r="J23" s="128"/>
      <c r="K23" s="980">
        <v>200</v>
      </c>
      <c r="L23" s="143"/>
      <c r="M23" s="143"/>
      <c r="N23" s="144"/>
      <c r="O23" s="144"/>
      <c r="P23" s="144"/>
      <c r="Q23" s="353">
        <f t="shared" si="0"/>
        <v>200</v>
      </c>
      <c r="R23" s="129">
        <f t="shared" si="1"/>
        <v>0</v>
      </c>
      <c r="S23" s="129">
        <f t="shared" si="2"/>
        <v>0</v>
      </c>
      <c r="T23" s="129">
        <f t="shared" si="3"/>
        <v>200</v>
      </c>
      <c r="U23" s="129">
        <f t="shared" si="4"/>
        <v>2600</v>
      </c>
      <c r="V23" s="214">
        <f t="shared" si="5"/>
        <v>61</v>
      </c>
      <c r="W23" s="353">
        <f t="shared" si="6"/>
        <v>1586</v>
      </c>
      <c r="X23" s="129">
        <f t="shared" si="7"/>
        <v>1586</v>
      </c>
      <c r="Y23" s="129" t="str">
        <f t="shared" si="8"/>
        <v/>
      </c>
      <c r="Z23" s="145"/>
      <c r="BA23" s="75" t="e">
        <f t="shared" si="18"/>
        <v>#DIV/0!</v>
      </c>
      <c r="BB23" s="78"/>
      <c r="BC23" s="132"/>
      <c r="BD23" s="133"/>
      <c r="BE23" s="132"/>
      <c r="BF23" s="134"/>
      <c r="BG23" s="135"/>
      <c r="BH23" s="135"/>
      <c r="BI23" s="136"/>
      <c r="BJ23" s="136"/>
      <c r="BK23" s="136"/>
      <c r="BL23" s="136"/>
      <c r="BM23" s="137"/>
      <c r="BN23" s="137"/>
      <c r="BO23" s="75">
        <f>LOOKUP(D23,基础数据!A:D)</f>
        <v>3.83949417682846</v>
      </c>
      <c r="BP23" s="75">
        <f t="shared" si="20"/>
        <v>0.926611580972688</v>
      </c>
      <c r="BQ23" s="75">
        <f t="shared" si="10"/>
        <v>12</v>
      </c>
      <c r="BR23" s="272">
        <f t="shared" si="21"/>
        <v>14</v>
      </c>
      <c r="BS23" s="156">
        <f t="shared" si="11"/>
        <v>1.61</v>
      </c>
      <c r="BT23" s="186">
        <v>0.01</v>
      </c>
      <c r="BU23" s="156">
        <f t="shared" si="12"/>
        <v>0.14</v>
      </c>
      <c r="BV23" s="156">
        <f t="shared" si="13"/>
        <v>0.01</v>
      </c>
      <c r="BW23" s="156">
        <f t="shared" si="19"/>
        <v>13</v>
      </c>
      <c r="BX23" s="156">
        <f t="shared" si="14"/>
        <v>2.72416153319644</v>
      </c>
      <c r="BY23" s="1207" t="s">
        <v>2772</v>
      </c>
      <c r="BZ23" s="272">
        <v>7</v>
      </c>
      <c r="CA23" s="186">
        <f t="shared" si="15"/>
        <v>0.61</v>
      </c>
      <c r="CB23" s="186">
        <f t="shared" si="16"/>
        <v>0.61</v>
      </c>
      <c r="CC23" s="186">
        <f t="shared" si="17"/>
        <v>0.61</v>
      </c>
      <c r="CD23" s="272"/>
      <c r="CF23" s="134"/>
      <c r="CG23" s="138"/>
      <c r="CH23" s="132"/>
      <c r="CI23" s="138"/>
      <c r="CJ23" s="132"/>
      <c r="CK23" s="132"/>
      <c r="CL23" s="134"/>
      <c r="CM23" s="146"/>
    </row>
    <row r="24" ht="15" hidden="1" customHeight="1" spans="1:91">
      <c r="A24" s="123">
        <f>IF(B24="","",COUNT(A$7:A23)+1)</f>
        <v>17</v>
      </c>
      <c r="B24" s="139" t="s">
        <v>2802</v>
      </c>
      <c r="C24" s="139" t="s">
        <v>2803</v>
      </c>
      <c r="D24" s="1209">
        <v>44874</v>
      </c>
      <c r="E24" s="1210">
        <v>2480</v>
      </c>
      <c r="F24" s="219" t="s">
        <v>2770</v>
      </c>
      <c r="G24" s="142"/>
      <c r="H24" s="127"/>
      <c r="I24" s="128"/>
      <c r="J24" s="128"/>
      <c r="K24" s="980">
        <v>160</v>
      </c>
      <c r="L24" s="143"/>
      <c r="M24" s="143"/>
      <c r="N24" s="144"/>
      <c r="O24" s="144"/>
      <c r="P24" s="144"/>
      <c r="Q24" s="353">
        <f t="shared" si="0"/>
        <v>160</v>
      </c>
      <c r="R24" s="129">
        <f t="shared" si="1"/>
        <v>0</v>
      </c>
      <c r="S24" s="129">
        <f t="shared" si="2"/>
        <v>0</v>
      </c>
      <c r="T24" s="129">
        <f t="shared" si="3"/>
        <v>160</v>
      </c>
      <c r="U24" s="129">
        <f t="shared" si="4"/>
        <v>2240</v>
      </c>
      <c r="V24" s="214">
        <f t="shared" si="5"/>
        <v>61</v>
      </c>
      <c r="W24" s="353">
        <f t="shared" si="6"/>
        <v>1366.4</v>
      </c>
      <c r="X24" s="129">
        <f t="shared" si="7"/>
        <v>1366.4</v>
      </c>
      <c r="Y24" s="129" t="str">
        <f t="shared" si="8"/>
        <v/>
      </c>
      <c r="Z24" s="145"/>
      <c r="BA24" s="75" t="e">
        <f t="shared" si="18"/>
        <v>#DIV/0!</v>
      </c>
      <c r="BB24" s="78"/>
      <c r="BC24" s="132"/>
      <c r="BD24" s="133"/>
      <c r="BE24" s="132"/>
      <c r="BF24" s="134"/>
      <c r="BG24" s="135"/>
      <c r="BH24" s="135"/>
      <c r="BI24" s="136"/>
      <c r="BJ24" s="136"/>
      <c r="BK24" s="136"/>
      <c r="BL24" s="136"/>
      <c r="BM24" s="137"/>
      <c r="BN24" s="137"/>
      <c r="BO24" s="75">
        <f>LOOKUP(D24,基础数据!A:D)</f>
        <v>3.83949417682846</v>
      </c>
      <c r="BP24" s="75">
        <f t="shared" si="20"/>
        <v>0.926611580972688</v>
      </c>
      <c r="BQ24" s="75">
        <f t="shared" si="10"/>
        <v>14</v>
      </c>
      <c r="BR24" s="272">
        <f t="shared" si="21"/>
        <v>16</v>
      </c>
      <c r="BS24" s="156">
        <f t="shared" si="11"/>
        <v>1.84</v>
      </c>
      <c r="BT24" s="186">
        <v>0.01</v>
      </c>
      <c r="BU24" s="156">
        <f t="shared" si="12"/>
        <v>0.16</v>
      </c>
      <c r="BV24" s="156">
        <f t="shared" si="13"/>
        <v>0.01</v>
      </c>
      <c r="BW24" s="156">
        <f t="shared" si="19"/>
        <v>14</v>
      </c>
      <c r="BX24" s="156">
        <f t="shared" si="14"/>
        <v>2.72416153319644</v>
      </c>
      <c r="BY24" s="1207" t="s">
        <v>2772</v>
      </c>
      <c r="BZ24" s="272">
        <v>7</v>
      </c>
      <c r="CA24" s="186">
        <f t="shared" si="15"/>
        <v>0.61</v>
      </c>
      <c r="CB24" s="186">
        <f t="shared" si="16"/>
        <v>0.61</v>
      </c>
      <c r="CC24" s="186">
        <f t="shared" si="17"/>
        <v>0.61</v>
      </c>
      <c r="CD24" s="272"/>
      <c r="CF24" s="134"/>
      <c r="CG24" s="138"/>
      <c r="CH24" s="132"/>
      <c r="CI24" s="138"/>
      <c r="CJ24" s="132"/>
      <c r="CK24" s="132"/>
      <c r="CL24" s="134"/>
      <c r="CM24" s="146"/>
    </row>
    <row r="25" ht="15" customHeight="1" spans="1:91">
      <c r="A25" s="123">
        <f>IF(B25="","",COUNT(A$7:A24)+1)</f>
        <v>18</v>
      </c>
      <c r="B25" s="798" t="s">
        <v>2804</v>
      </c>
      <c r="C25" s="139" t="s">
        <v>2805</v>
      </c>
      <c r="D25" s="1209">
        <v>44874</v>
      </c>
      <c r="E25" s="1210">
        <v>34000</v>
      </c>
      <c r="F25" s="219" t="s">
        <v>2770</v>
      </c>
      <c r="G25" s="142"/>
      <c r="H25" s="127"/>
      <c r="I25" s="128"/>
      <c r="J25" s="128"/>
      <c r="K25" s="980">
        <v>1000</v>
      </c>
      <c r="L25" s="143"/>
      <c r="M25" s="143"/>
      <c r="N25" s="144"/>
      <c r="O25" s="144"/>
      <c r="P25" s="144"/>
      <c r="Q25" s="353">
        <f t="shared" si="0"/>
        <v>1000</v>
      </c>
      <c r="R25" s="129">
        <f t="shared" si="1"/>
        <v>0</v>
      </c>
      <c r="S25" s="129">
        <f t="shared" si="2"/>
        <v>0</v>
      </c>
      <c r="T25" s="129">
        <f t="shared" si="3"/>
        <v>1000</v>
      </c>
      <c r="U25" s="129">
        <f t="shared" si="4"/>
        <v>34000</v>
      </c>
      <c r="V25" s="214">
        <f t="shared" si="5"/>
        <v>91</v>
      </c>
      <c r="W25" s="353">
        <f t="shared" si="6"/>
        <v>30940</v>
      </c>
      <c r="X25" s="129">
        <f t="shared" si="7"/>
        <v>30940</v>
      </c>
      <c r="Y25" s="129" t="str">
        <f t="shared" si="8"/>
        <v/>
      </c>
      <c r="Z25" s="145"/>
      <c r="BA25" s="75" t="e">
        <f t="shared" si="18"/>
        <v>#DIV/0!</v>
      </c>
      <c r="BB25" s="78"/>
      <c r="BC25" s="132"/>
      <c r="BD25" s="133"/>
      <c r="BE25" s="132"/>
      <c r="BF25" s="134"/>
      <c r="BG25" s="135"/>
      <c r="BH25" s="135"/>
      <c r="BI25" s="136"/>
      <c r="BJ25" s="136"/>
      <c r="BK25" s="136"/>
      <c r="BL25" s="136"/>
      <c r="BM25" s="137"/>
      <c r="BN25" s="137"/>
      <c r="BO25" s="75">
        <f>LOOKUP(D25,基础数据!A:D)</f>
        <v>3.83949417682846</v>
      </c>
      <c r="BP25" s="75">
        <f t="shared" si="20"/>
        <v>0.926611580972688</v>
      </c>
      <c r="BQ25" s="75">
        <f t="shared" si="10"/>
        <v>32</v>
      </c>
      <c r="BR25" s="272">
        <f t="shared" si="21"/>
        <v>36</v>
      </c>
      <c r="BS25" s="156">
        <f t="shared" si="11"/>
        <v>4.14</v>
      </c>
      <c r="BT25" s="1211">
        <v>0.06</v>
      </c>
      <c r="BU25" s="156">
        <f t="shared" si="12"/>
        <v>2.16</v>
      </c>
      <c r="BV25" s="156">
        <f t="shared" si="13"/>
        <v>0.18</v>
      </c>
      <c r="BW25" s="156">
        <f t="shared" si="19"/>
        <v>34</v>
      </c>
      <c r="BX25" s="156">
        <f t="shared" si="14"/>
        <v>2.72416153319644</v>
      </c>
      <c r="BY25" s="1207" t="s">
        <v>2806</v>
      </c>
      <c r="BZ25" s="272">
        <v>30</v>
      </c>
      <c r="CA25" s="186">
        <f t="shared" si="15"/>
        <v>0.91</v>
      </c>
      <c r="CB25" s="186">
        <f t="shared" si="16"/>
        <v>0.91</v>
      </c>
      <c r="CC25" s="186">
        <f t="shared" si="17"/>
        <v>0.91</v>
      </c>
      <c r="CD25" s="272"/>
      <c r="CF25" s="134"/>
      <c r="CG25" s="138"/>
      <c r="CH25" s="132"/>
      <c r="CI25" s="138"/>
      <c r="CJ25" s="132"/>
      <c r="CK25" s="132"/>
      <c r="CL25" s="134"/>
      <c r="CM25" s="146"/>
    </row>
    <row r="26" ht="15" customHeight="1" spans="1:91">
      <c r="A26" s="123">
        <f>IF(B26="","",COUNT(A$7:A25)+1)</f>
        <v>19</v>
      </c>
      <c r="B26" s="798" t="s">
        <v>2807</v>
      </c>
      <c r="C26" s="139" t="s">
        <v>2805</v>
      </c>
      <c r="D26" s="1209">
        <v>44874</v>
      </c>
      <c r="E26" s="1210">
        <v>34000</v>
      </c>
      <c r="F26" s="219" t="s">
        <v>2770</v>
      </c>
      <c r="G26" s="142"/>
      <c r="H26" s="127"/>
      <c r="I26" s="128"/>
      <c r="J26" s="128"/>
      <c r="K26" s="980">
        <v>1000</v>
      </c>
      <c r="L26" s="143"/>
      <c r="M26" s="143"/>
      <c r="N26" s="144"/>
      <c r="O26" s="144"/>
      <c r="P26" s="144"/>
      <c r="Q26" s="353">
        <f t="shared" si="0"/>
        <v>1000</v>
      </c>
      <c r="R26" s="129">
        <f t="shared" si="1"/>
        <v>0</v>
      </c>
      <c r="S26" s="129">
        <f t="shared" si="2"/>
        <v>0</v>
      </c>
      <c r="T26" s="129">
        <f t="shared" si="3"/>
        <v>1000</v>
      </c>
      <c r="U26" s="129">
        <f t="shared" si="4"/>
        <v>34000</v>
      </c>
      <c r="V26" s="214">
        <f t="shared" si="5"/>
        <v>91</v>
      </c>
      <c r="W26" s="353">
        <f t="shared" si="6"/>
        <v>30940</v>
      </c>
      <c r="X26" s="129">
        <f t="shared" si="7"/>
        <v>30940</v>
      </c>
      <c r="Y26" s="129" t="str">
        <f t="shared" si="8"/>
        <v/>
      </c>
      <c r="Z26" s="145"/>
      <c r="BA26" s="75" t="e">
        <f t="shared" si="18"/>
        <v>#DIV/0!</v>
      </c>
      <c r="BB26" s="78"/>
      <c r="BC26" s="132"/>
      <c r="BD26" s="133"/>
      <c r="BE26" s="132"/>
      <c r="BF26" s="134"/>
      <c r="BG26" s="135"/>
      <c r="BH26" s="135"/>
      <c r="BI26" s="136"/>
      <c r="BJ26" s="136"/>
      <c r="BK26" s="136"/>
      <c r="BL26" s="136"/>
      <c r="BM26" s="137"/>
      <c r="BN26" s="137"/>
      <c r="BO26" s="75">
        <f>LOOKUP(D26,基础数据!A:D)</f>
        <v>3.83949417682846</v>
      </c>
      <c r="BP26" s="75">
        <f t="shared" si="20"/>
        <v>0.926611580972688</v>
      </c>
      <c r="BQ26" s="75">
        <f t="shared" si="10"/>
        <v>32</v>
      </c>
      <c r="BR26" s="272">
        <f t="shared" si="21"/>
        <v>36</v>
      </c>
      <c r="BS26" s="156">
        <f t="shared" si="11"/>
        <v>4.14</v>
      </c>
      <c r="BT26" s="1211">
        <v>0.06</v>
      </c>
      <c r="BU26" s="156">
        <f t="shared" si="12"/>
        <v>2.16</v>
      </c>
      <c r="BV26" s="156">
        <f t="shared" si="13"/>
        <v>0.18</v>
      </c>
      <c r="BW26" s="156">
        <f t="shared" si="19"/>
        <v>34</v>
      </c>
      <c r="BX26" s="156">
        <f t="shared" si="14"/>
        <v>2.72416153319644</v>
      </c>
      <c r="BY26" s="1207" t="s">
        <v>2806</v>
      </c>
      <c r="BZ26" s="272">
        <v>30</v>
      </c>
      <c r="CA26" s="186">
        <f t="shared" si="15"/>
        <v>0.91</v>
      </c>
      <c r="CB26" s="186">
        <f t="shared" si="16"/>
        <v>0.91</v>
      </c>
      <c r="CC26" s="186">
        <f t="shared" si="17"/>
        <v>0.91</v>
      </c>
      <c r="CD26" s="272"/>
      <c r="CF26" s="134"/>
      <c r="CG26" s="138"/>
      <c r="CH26" s="132"/>
      <c r="CI26" s="138"/>
      <c r="CJ26" s="132"/>
      <c r="CK26" s="132"/>
      <c r="CL26" s="134"/>
      <c r="CM26" s="146"/>
    </row>
    <row r="27" ht="15" customHeight="1" spans="1:91">
      <c r="A27" s="123">
        <f>IF(B27="","",COUNT(A$7:A26)+1)</f>
        <v>20</v>
      </c>
      <c r="B27" s="139" t="s">
        <v>2808</v>
      </c>
      <c r="C27" s="139" t="s">
        <v>2809</v>
      </c>
      <c r="D27" s="1209">
        <v>43100</v>
      </c>
      <c r="E27" s="1210">
        <v>27068.8</v>
      </c>
      <c r="F27" s="219" t="s">
        <v>2770</v>
      </c>
      <c r="G27" s="142"/>
      <c r="H27" s="127"/>
      <c r="I27" s="128"/>
      <c r="J27" s="128"/>
      <c r="K27" s="980">
        <v>880</v>
      </c>
      <c r="L27" s="143"/>
      <c r="M27" s="143"/>
      <c r="N27" s="144"/>
      <c r="O27" s="144"/>
      <c r="P27" s="144"/>
      <c r="Q27" s="353">
        <f t="shared" si="0"/>
        <v>880</v>
      </c>
      <c r="R27" s="129">
        <f t="shared" si="1"/>
        <v>0</v>
      </c>
      <c r="S27" s="129">
        <f t="shared" si="2"/>
        <v>0</v>
      </c>
      <c r="T27" s="129">
        <f t="shared" si="3"/>
        <v>880</v>
      </c>
      <c r="U27" s="129">
        <f t="shared" si="4"/>
        <v>29040</v>
      </c>
      <c r="V27" s="214">
        <f t="shared" si="5"/>
        <v>75</v>
      </c>
      <c r="W27" s="353">
        <f t="shared" si="6"/>
        <v>21780</v>
      </c>
      <c r="X27" s="129">
        <f t="shared" si="7"/>
        <v>21780</v>
      </c>
      <c r="Y27" s="129" t="str">
        <f t="shared" si="8"/>
        <v/>
      </c>
      <c r="Z27" s="145"/>
      <c r="BA27" s="75" t="e">
        <f t="shared" si="18"/>
        <v>#DIV/0!</v>
      </c>
      <c r="BB27" s="78"/>
      <c r="BC27" s="132"/>
      <c r="BD27" s="133"/>
      <c r="BE27" s="132"/>
      <c r="BF27" s="134"/>
      <c r="BG27" s="135"/>
      <c r="BH27" s="135"/>
      <c r="BI27" s="136"/>
      <c r="BJ27" s="136"/>
      <c r="BK27" s="136"/>
      <c r="BL27" s="136"/>
      <c r="BM27" s="137"/>
      <c r="BN27" s="137"/>
      <c r="BO27" s="75">
        <f>LOOKUP(D27,基础数据!A:D)</f>
        <v>3.53915880885741</v>
      </c>
      <c r="BP27" s="75">
        <f t="shared" si="20"/>
        <v>1.00524445538374</v>
      </c>
      <c r="BQ27" s="75">
        <f t="shared" si="10"/>
        <v>31</v>
      </c>
      <c r="BR27" s="272">
        <f t="shared" si="21"/>
        <v>35</v>
      </c>
      <c r="BS27" s="156">
        <f t="shared" si="11"/>
        <v>4.03</v>
      </c>
      <c r="BT27" s="1211">
        <v>0.06</v>
      </c>
      <c r="BU27" s="156">
        <f t="shared" si="12"/>
        <v>2.1</v>
      </c>
      <c r="BV27" s="156">
        <f t="shared" si="13"/>
        <v>0.17</v>
      </c>
      <c r="BW27" s="156">
        <f t="shared" si="19"/>
        <v>33</v>
      </c>
      <c r="BX27" s="156">
        <f t="shared" si="14"/>
        <v>7.58110882956879</v>
      </c>
      <c r="BY27" s="1207" t="s">
        <v>2806</v>
      </c>
      <c r="BZ27" s="272">
        <v>30</v>
      </c>
      <c r="CA27" s="186">
        <f t="shared" si="15"/>
        <v>0.75</v>
      </c>
      <c r="CB27" s="186">
        <f t="shared" si="16"/>
        <v>0.75</v>
      </c>
      <c r="CC27" s="186">
        <f t="shared" si="17"/>
        <v>0.75</v>
      </c>
      <c r="CD27" s="272"/>
      <c r="CF27" s="134"/>
      <c r="CG27" s="138"/>
      <c r="CH27" s="132"/>
      <c r="CI27" s="138"/>
      <c r="CJ27" s="132"/>
      <c r="CK27" s="132"/>
      <c r="CL27" s="134"/>
      <c r="CM27" s="146"/>
    </row>
    <row r="28" ht="15" customHeight="1" spans="1:91">
      <c r="A28" s="123">
        <f>IF(B28="","",COUNT(A$7:A27)+1)</f>
        <v>21</v>
      </c>
      <c r="B28" s="139" t="s">
        <v>2810</v>
      </c>
      <c r="C28" s="139" t="s">
        <v>2811</v>
      </c>
      <c r="D28" s="1209">
        <v>43100</v>
      </c>
      <c r="E28" s="1210">
        <v>74763</v>
      </c>
      <c r="F28" s="219" t="s">
        <v>2770</v>
      </c>
      <c r="G28" s="142"/>
      <c r="H28" s="127"/>
      <c r="I28" s="128"/>
      <c r="J28" s="128"/>
      <c r="K28" s="980">
        <v>1300</v>
      </c>
      <c r="L28" s="143"/>
      <c r="M28" s="143"/>
      <c r="N28" s="144"/>
      <c r="O28" s="144"/>
      <c r="P28" s="144"/>
      <c r="Q28" s="353">
        <f t="shared" si="0"/>
        <v>1300</v>
      </c>
      <c r="R28" s="129">
        <f t="shared" si="1"/>
        <v>0</v>
      </c>
      <c r="S28" s="129">
        <f t="shared" si="2"/>
        <v>0</v>
      </c>
      <c r="T28" s="129">
        <f t="shared" si="3"/>
        <v>1300</v>
      </c>
      <c r="U28" s="129">
        <f t="shared" si="4"/>
        <v>79300</v>
      </c>
      <c r="V28" s="214">
        <f t="shared" si="5"/>
        <v>75</v>
      </c>
      <c r="W28" s="353">
        <f t="shared" si="6"/>
        <v>59475</v>
      </c>
      <c r="X28" s="129">
        <f t="shared" si="7"/>
        <v>59475</v>
      </c>
      <c r="Y28" s="129" t="str">
        <f t="shared" si="8"/>
        <v/>
      </c>
      <c r="Z28" s="145"/>
      <c r="BA28" s="75" t="e">
        <f t="shared" si="18"/>
        <v>#DIV/0!</v>
      </c>
      <c r="BB28" s="78"/>
      <c r="BC28" s="132"/>
      <c r="BD28" s="133"/>
      <c r="BE28" s="132"/>
      <c r="BF28" s="134"/>
      <c r="BG28" s="135"/>
      <c r="BH28" s="135"/>
      <c r="BI28" s="136"/>
      <c r="BJ28" s="136"/>
      <c r="BK28" s="136"/>
      <c r="BL28" s="136"/>
      <c r="BM28" s="137"/>
      <c r="BN28" s="137"/>
      <c r="BO28" s="75">
        <f>LOOKUP(D28,基础数据!A:D)</f>
        <v>3.53915880885741</v>
      </c>
      <c r="BP28" s="75">
        <f t="shared" si="20"/>
        <v>1.00524445538374</v>
      </c>
      <c r="BQ28" s="75">
        <f t="shared" si="10"/>
        <v>58</v>
      </c>
      <c r="BR28" s="272">
        <v>65</v>
      </c>
      <c r="BS28" s="156">
        <f t="shared" si="11"/>
        <v>7.48</v>
      </c>
      <c r="BT28" s="1211">
        <v>0.06</v>
      </c>
      <c r="BU28" s="156">
        <f t="shared" si="12"/>
        <v>3.9</v>
      </c>
      <c r="BV28" s="156">
        <f t="shared" si="13"/>
        <v>0.32</v>
      </c>
      <c r="BW28" s="156">
        <f t="shared" si="19"/>
        <v>61</v>
      </c>
      <c r="BX28" s="156">
        <f t="shared" si="14"/>
        <v>7.58110882956879</v>
      </c>
      <c r="BY28" s="1207" t="s">
        <v>2806</v>
      </c>
      <c r="BZ28" s="272">
        <v>30</v>
      </c>
      <c r="CA28" s="186">
        <f t="shared" si="15"/>
        <v>0.75</v>
      </c>
      <c r="CB28" s="186">
        <f t="shared" si="16"/>
        <v>0.75</v>
      </c>
      <c r="CC28" s="186">
        <f t="shared" si="17"/>
        <v>0.75</v>
      </c>
      <c r="CD28" s="1208" t="s">
        <v>2812</v>
      </c>
      <c r="CF28" s="134" t="str">
        <f>IF(COUNTIF(CF$7:CF27,B28)&gt;0,"",B28)&amp;""</f>
        <v>照明电缆</v>
      </c>
      <c r="CG28" s="138"/>
      <c r="CH28" s="132"/>
      <c r="CI28" s="138"/>
      <c r="CJ28" s="132"/>
      <c r="CK28" s="132"/>
      <c r="CL28" s="134"/>
      <c r="CM28" s="146"/>
    </row>
    <row r="29" ht="15" customHeight="1" spans="1:91">
      <c r="A29" s="123">
        <f>IF(B29="","",COUNT(A$7:A28)+1)</f>
        <v>22</v>
      </c>
      <c r="B29" s="139" t="s">
        <v>2813</v>
      </c>
      <c r="C29" s="139" t="s">
        <v>2814</v>
      </c>
      <c r="D29" s="1209">
        <v>43100</v>
      </c>
      <c r="E29" s="1210">
        <v>30745</v>
      </c>
      <c r="F29" s="219" t="s">
        <v>2770</v>
      </c>
      <c r="G29" s="142"/>
      <c r="H29" s="127"/>
      <c r="I29" s="128"/>
      <c r="J29" s="128"/>
      <c r="K29" s="980">
        <v>1300</v>
      </c>
      <c r="L29" s="143"/>
      <c r="M29" s="143"/>
      <c r="N29" s="144"/>
      <c r="O29" s="144"/>
      <c r="P29" s="144"/>
      <c r="Q29" s="353">
        <f t="shared" si="0"/>
        <v>1300</v>
      </c>
      <c r="R29" s="129">
        <f t="shared" si="1"/>
        <v>0</v>
      </c>
      <c r="S29" s="129">
        <f t="shared" si="2"/>
        <v>0</v>
      </c>
      <c r="T29" s="129">
        <f t="shared" si="3"/>
        <v>1300</v>
      </c>
      <c r="U29" s="129">
        <f t="shared" si="4"/>
        <v>32500</v>
      </c>
      <c r="V29" s="214">
        <f t="shared" si="5"/>
        <v>75</v>
      </c>
      <c r="W29" s="353">
        <f t="shared" si="6"/>
        <v>24375</v>
      </c>
      <c r="X29" s="129">
        <f t="shared" si="7"/>
        <v>24375</v>
      </c>
      <c r="Y29" s="129" t="str">
        <f t="shared" si="8"/>
        <v/>
      </c>
      <c r="Z29" s="145"/>
      <c r="BA29" s="75" t="e">
        <f t="shared" si="18"/>
        <v>#DIV/0!</v>
      </c>
      <c r="BB29" s="78"/>
      <c r="BC29" s="132"/>
      <c r="BD29" s="133"/>
      <c r="BE29" s="132"/>
      <c r="BF29" s="134"/>
      <c r="BG29" s="135"/>
      <c r="BH29" s="135"/>
      <c r="BI29" s="136"/>
      <c r="BJ29" s="136"/>
      <c r="BK29" s="136"/>
      <c r="BL29" s="136"/>
      <c r="BM29" s="137"/>
      <c r="BN29" s="137"/>
      <c r="BO29" s="75">
        <f>LOOKUP(D29,基础数据!A:D)</f>
        <v>3.53915880885741</v>
      </c>
      <c r="BP29" s="75">
        <f t="shared" si="20"/>
        <v>1.00524445538374</v>
      </c>
      <c r="BQ29" s="75">
        <f t="shared" si="10"/>
        <v>24</v>
      </c>
      <c r="BR29" s="272">
        <f t="shared" ref="BR29:BR31" si="22">ROUND(BQ29*1.13,0)</f>
        <v>27</v>
      </c>
      <c r="BS29" s="156">
        <f t="shared" si="11"/>
        <v>3.11</v>
      </c>
      <c r="BT29" s="1211">
        <v>0.06</v>
      </c>
      <c r="BU29" s="156">
        <f t="shared" si="12"/>
        <v>1.62</v>
      </c>
      <c r="BV29" s="156">
        <f t="shared" si="13"/>
        <v>0.13</v>
      </c>
      <c r="BW29" s="156">
        <f t="shared" si="19"/>
        <v>25</v>
      </c>
      <c r="BX29" s="156">
        <f t="shared" si="14"/>
        <v>7.58110882956879</v>
      </c>
      <c r="BY29" s="1207" t="s">
        <v>2806</v>
      </c>
      <c r="BZ29" s="272">
        <v>30</v>
      </c>
      <c r="CA29" s="186">
        <f t="shared" si="15"/>
        <v>0.75</v>
      </c>
      <c r="CB29" s="186">
        <f t="shared" si="16"/>
        <v>0.75</v>
      </c>
      <c r="CC29" s="186">
        <f t="shared" si="17"/>
        <v>0.75</v>
      </c>
      <c r="CD29" s="272"/>
      <c r="CF29" s="134"/>
      <c r="CG29" s="138"/>
      <c r="CH29" s="132"/>
      <c r="CI29" s="138"/>
      <c r="CJ29" s="132"/>
      <c r="CK29" s="132"/>
      <c r="CL29" s="134"/>
      <c r="CM29" s="146"/>
    </row>
    <row r="30" ht="15" customHeight="1" spans="1:91">
      <c r="A30" s="123">
        <f>IF(B30="","",COUNT(A$7:A29)+1)</f>
        <v>23</v>
      </c>
      <c r="B30" s="798" t="s">
        <v>2815</v>
      </c>
      <c r="C30" s="139" t="s">
        <v>2816</v>
      </c>
      <c r="D30" s="1209">
        <v>44908</v>
      </c>
      <c r="E30" s="1210">
        <v>6000</v>
      </c>
      <c r="F30" s="219" t="s">
        <v>2770</v>
      </c>
      <c r="G30" s="142"/>
      <c r="H30" s="127"/>
      <c r="I30" s="128"/>
      <c r="J30" s="128"/>
      <c r="K30" s="980">
        <v>1000</v>
      </c>
      <c r="L30" s="143"/>
      <c r="M30" s="143"/>
      <c r="N30" s="144"/>
      <c r="O30" s="144"/>
      <c r="P30" s="144"/>
      <c r="Q30" s="353">
        <f t="shared" si="0"/>
        <v>1000</v>
      </c>
      <c r="R30" s="129">
        <f t="shared" si="1"/>
        <v>0</v>
      </c>
      <c r="S30" s="129">
        <f t="shared" si="2"/>
        <v>0</v>
      </c>
      <c r="T30" s="129">
        <f t="shared" si="3"/>
        <v>1000</v>
      </c>
      <c r="U30" s="129">
        <f t="shared" si="4"/>
        <v>7000</v>
      </c>
      <c r="V30" s="214">
        <f t="shared" si="5"/>
        <v>91</v>
      </c>
      <c r="W30" s="353">
        <f t="shared" si="6"/>
        <v>6370</v>
      </c>
      <c r="X30" s="129">
        <f t="shared" si="7"/>
        <v>6370</v>
      </c>
      <c r="Y30" s="129" t="str">
        <f t="shared" si="8"/>
        <v/>
      </c>
      <c r="Z30" s="145"/>
      <c r="BA30" s="75" t="e">
        <f t="shared" si="18"/>
        <v>#DIV/0!</v>
      </c>
      <c r="BB30" s="78"/>
      <c r="BC30" s="132"/>
      <c r="BD30" s="133"/>
      <c r="BE30" s="132"/>
      <c r="BF30" s="134"/>
      <c r="BG30" s="135"/>
      <c r="BH30" s="135"/>
      <c r="BI30" s="136"/>
      <c r="BJ30" s="136"/>
      <c r="BK30" s="136"/>
      <c r="BL30" s="136"/>
      <c r="BM30" s="137"/>
      <c r="BN30" s="137"/>
      <c r="BO30" s="75">
        <f>LOOKUP(D30,基础数据!A:D)</f>
        <v>3.84333367100529</v>
      </c>
      <c r="BP30" s="75">
        <f t="shared" si="20"/>
        <v>0.92568589507761</v>
      </c>
      <c r="BQ30" s="75">
        <f t="shared" si="10"/>
        <v>6</v>
      </c>
      <c r="BR30" s="272">
        <f t="shared" si="22"/>
        <v>7</v>
      </c>
      <c r="BS30" s="156">
        <f t="shared" si="11"/>
        <v>0.81</v>
      </c>
      <c r="BT30" s="1211">
        <v>0.06</v>
      </c>
      <c r="BU30" s="156">
        <f t="shared" si="12"/>
        <v>0.42</v>
      </c>
      <c r="BV30" s="156">
        <f t="shared" si="13"/>
        <v>0.03</v>
      </c>
      <c r="BW30" s="156">
        <f t="shared" si="19"/>
        <v>7</v>
      </c>
      <c r="BX30" s="156">
        <f t="shared" si="14"/>
        <v>2.63107460643395</v>
      </c>
      <c r="BY30" s="1207" t="s">
        <v>2806</v>
      </c>
      <c r="BZ30" s="272">
        <v>30</v>
      </c>
      <c r="CA30" s="186">
        <f t="shared" si="15"/>
        <v>0.91</v>
      </c>
      <c r="CB30" s="186">
        <f t="shared" si="16"/>
        <v>0.91</v>
      </c>
      <c r="CC30" s="186">
        <f t="shared" si="17"/>
        <v>0.91</v>
      </c>
      <c r="CD30" s="272"/>
      <c r="CF30" s="134"/>
      <c r="CG30" s="138"/>
      <c r="CH30" s="132"/>
      <c r="CI30" s="138"/>
      <c r="CJ30" s="132"/>
      <c r="CK30" s="132"/>
      <c r="CL30" s="134"/>
      <c r="CM30" s="146"/>
    </row>
    <row r="31" ht="15" customHeight="1" spans="1:91">
      <c r="A31" s="123">
        <f>IF(B31="","",COUNT(A$7:A30)+1)</f>
        <v>24</v>
      </c>
      <c r="B31" s="798" t="s">
        <v>2817</v>
      </c>
      <c r="C31" s="139" t="s">
        <v>2818</v>
      </c>
      <c r="D31" s="1209">
        <v>44908</v>
      </c>
      <c r="E31" s="1210">
        <v>21150</v>
      </c>
      <c r="F31" s="219" t="s">
        <v>2770</v>
      </c>
      <c r="G31" s="142"/>
      <c r="H31" s="127"/>
      <c r="I31" s="128"/>
      <c r="J31" s="128"/>
      <c r="K31" s="980">
        <v>1000</v>
      </c>
      <c r="L31" s="143"/>
      <c r="M31" s="143"/>
      <c r="N31" s="144"/>
      <c r="O31" s="144"/>
      <c r="P31" s="144"/>
      <c r="Q31" s="353">
        <f t="shared" si="0"/>
        <v>1000</v>
      </c>
      <c r="R31" s="129">
        <f t="shared" si="1"/>
        <v>0</v>
      </c>
      <c r="S31" s="129">
        <f t="shared" si="2"/>
        <v>0</v>
      </c>
      <c r="T31" s="129">
        <f t="shared" si="3"/>
        <v>1000</v>
      </c>
      <c r="U31" s="129">
        <f t="shared" si="4"/>
        <v>22000</v>
      </c>
      <c r="V31" s="214">
        <f t="shared" si="5"/>
        <v>91</v>
      </c>
      <c r="W31" s="353">
        <f t="shared" si="6"/>
        <v>20020</v>
      </c>
      <c r="X31" s="129">
        <f t="shared" si="7"/>
        <v>20020</v>
      </c>
      <c r="Y31" s="129" t="str">
        <f t="shared" si="8"/>
        <v/>
      </c>
      <c r="Z31" s="145"/>
      <c r="BA31" s="75" t="e">
        <f t="shared" si="18"/>
        <v>#DIV/0!</v>
      </c>
      <c r="BB31" s="78"/>
      <c r="BC31" s="132"/>
      <c r="BD31" s="133"/>
      <c r="BE31" s="132"/>
      <c r="BF31" s="134"/>
      <c r="BG31" s="135"/>
      <c r="BH31" s="135"/>
      <c r="BI31" s="136"/>
      <c r="BJ31" s="136"/>
      <c r="BK31" s="136"/>
      <c r="BL31" s="136"/>
      <c r="BM31" s="137"/>
      <c r="BN31" s="137"/>
      <c r="BO31" s="75">
        <f>LOOKUP(D31,基础数据!A:D)</f>
        <v>3.84333367100529</v>
      </c>
      <c r="BP31" s="75">
        <f t="shared" si="20"/>
        <v>0.92568589507761</v>
      </c>
      <c r="BQ31" s="75">
        <f t="shared" si="10"/>
        <v>20</v>
      </c>
      <c r="BR31" s="272">
        <f t="shared" si="22"/>
        <v>23</v>
      </c>
      <c r="BS31" s="156">
        <f t="shared" si="11"/>
        <v>2.65</v>
      </c>
      <c r="BT31" s="1211">
        <v>0.06</v>
      </c>
      <c r="BU31" s="156">
        <f t="shared" si="12"/>
        <v>1.38</v>
      </c>
      <c r="BV31" s="156">
        <f t="shared" si="13"/>
        <v>0.11</v>
      </c>
      <c r="BW31" s="156">
        <f t="shared" si="19"/>
        <v>22</v>
      </c>
      <c r="BX31" s="156">
        <f t="shared" si="14"/>
        <v>2.63107460643395</v>
      </c>
      <c r="BY31" s="1207" t="s">
        <v>2806</v>
      </c>
      <c r="BZ31" s="272">
        <v>30</v>
      </c>
      <c r="CA31" s="186">
        <f t="shared" si="15"/>
        <v>0.91</v>
      </c>
      <c r="CB31" s="186">
        <f t="shared" si="16"/>
        <v>0.91</v>
      </c>
      <c r="CC31" s="186">
        <f t="shared" si="17"/>
        <v>0.91</v>
      </c>
      <c r="CD31" s="272"/>
      <c r="CF31" s="134"/>
      <c r="CG31" s="138"/>
      <c r="CH31" s="132"/>
      <c r="CI31" s="138"/>
      <c r="CJ31" s="132"/>
      <c r="CK31" s="132"/>
      <c r="CL31" s="134"/>
      <c r="CM31" s="146"/>
    </row>
    <row r="32" ht="15" customHeight="1" spans="1:91">
      <c r="A32" s="123">
        <f>IF(B32="","",COUNT(A$7:A31)+1)</f>
        <v>25</v>
      </c>
      <c r="B32" s="798" t="s">
        <v>2819</v>
      </c>
      <c r="C32" s="139" t="s">
        <v>2820</v>
      </c>
      <c r="D32" s="1209">
        <v>44908</v>
      </c>
      <c r="E32" s="1210">
        <v>93580</v>
      </c>
      <c r="F32" s="219" t="s">
        <v>2770</v>
      </c>
      <c r="G32" s="142"/>
      <c r="H32" s="127"/>
      <c r="I32" s="128"/>
      <c r="J32" s="128"/>
      <c r="K32" s="980">
        <v>1000</v>
      </c>
      <c r="L32" s="143">
        <v>35557.52</v>
      </c>
      <c r="M32" s="143"/>
      <c r="N32" s="144"/>
      <c r="O32" s="144"/>
      <c r="P32" s="144"/>
      <c r="Q32" s="353">
        <f t="shared" si="0"/>
        <v>1000</v>
      </c>
      <c r="R32" s="129">
        <f t="shared" si="1"/>
        <v>35557.52</v>
      </c>
      <c r="S32" s="129">
        <f t="shared" si="2"/>
        <v>0</v>
      </c>
      <c r="T32" s="129">
        <f t="shared" si="3"/>
        <v>1000</v>
      </c>
      <c r="U32" s="129">
        <f t="shared" si="4"/>
        <v>80000</v>
      </c>
      <c r="V32" s="214">
        <f t="shared" si="5"/>
        <v>91</v>
      </c>
      <c r="W32" s="353">
        <f t="shared" si="6"/>
        <v>72800</v>
      </c>
      <c r="X32" s="129">
        <f t="shared" si="7"/>
        <v>37242.48</v>
      </c>
      <c r="Y32" s="129">
        <f t="shared" si="8"/>
        <v>104.738688187478</v>
      </c>
      <c r="Z32" s="145"/>
      <c r="BA32" s="75">
        <f t="shared" si="18"/>
        <v>1.24987569436789</v>
      </c>
      <c r="BB32" s="78"/>
      <c r="BC32" s="132"/>
      <c r="BD32" s="133"/>
      <c r="BE32" s="132"/>
      <c r="BF32" s="134"/>
      <c r="BG32" s="135"/>
      <c r="BH32" s="135"/>
      <c r="BI32" s="136"/>
      <c r="BJ32" s="136"/>
      <c r="BK32" s="136"/>
      <c r="BL32" s="136"/>
      <c r="BM32" s="137"/>
      <c r="BN32" s="137"/>
      <c r="BO32" s="75">
        <f>LOOKUP(D32,基础数据!A:D)</f>
        <v>3.84333367100529</v>
      </c>
      <c r="BP32" s="75">
        <f t="shared" si="20"/>
        <v>0.92568589507761</v>
      </c>
      <c r="BQ32" s="75">
        <f t="shared" si="10"/>
        <v>87</v>
      </c>
      <c r="BR32" s="272">
        <v>85</v>
      </c>
      <c r="BS32" s="156">
        <f t="shared" si="11"/>
        <v>9.78</v>
      </c>
      <c r="BT32" s="1211">
        <v>0.06</v>
      </c>
      <c r="BU32" s="156">
        <f t="shared" si="12"/>
        <v>5.1</v>
      </c>
      <c r="BV32" s="156">
        <f t="shared" si="13"/>
        <v>0.42</v>
      </c>
      <c r="BW32" s="156">
        <f t="shared" si="19"/>
        <v>80</v>
      </c>
      <c r="BX32" s="156">
        <f t="shared" si="14"/>
        <v>2.63107460643395</v>
      </c>
      <c r="BY32" s="1207" t="s">
        <v>2806</v>
      </c>
      <c r="BZ32" s="272">
        <v>30</v>
      </c>
      <c r="CA32" s="186">
        <f t="shared" si="15"/>
        <v>0.91</v>
      </c>
      <c r="CB32" s="186">
        <f t="shared" si="16"/>
        <v>0.91</v>
      </c>
      <c r="CC32" s="186">
        <f t="shared" si="17"/>
        <v>0.91</v>
      </c>
      <c r="CD32" s="1212" t="s">
        <v>2821</v>
      </c>
      <c r="CF32" s="134" t="str">
        <f>IF(COUNTIF(CF$7:CF31,B32)&gt;0,"",B32)&amp;""</f>
        <v>挖机电缆</v>
      </c>
      <c r="CG32" s="138"/>
      <c r="CH32" s="132"/>
      <c r="CI32" s="138"/>
      <c r="CJ32" s="132"/>
      <c r="CK32" s="132"/>
      <c r="CL32" s="134"/>
      <c r="CM32" s="146"/>
    </row>
    <row r="33" ht="15" customHeight="1" spans="1:91">
      <c r="A33" s="123">
        <f>IF(B33="","",COUNT(A$7:A32)+1)</f>
        <v>26</v>
      </c>
      <c r="B33" s="798" t="s">
        <v>2822</v>
      </c>
      <c r="C33" s="139" t="s">
        <v>2823</v>
      </c>
      <c r="D33" s="1209">
        <v>43100</v>
      </c>
      <c r="E33" s="1210">
        <v>10023.2</v>
      </c>
      <c r="F33" s="219" t="s">
        <v>2770</v>
      </c>
      <c r="G33" s="142"/>
      <c r="H33" s="127"/>
      <c r="I33" s="128"/>
      <c r="J33" s="128"/>
      <c r="K33" s="980">
        <v>880</v>
      </c>
      <c r="L33" s="143"/>
      <c r="M33" s="143"/>
      <c r="N33" s="144"/>
      <c r="O33" s="144"/>
      <c r="P33" s="144"/>
      <c r="Q33" s="353">
        <f t="shared" si="0"/>
        <v>880</v>
      </c>
      <c r="R33" s="129">
        <f t="shared" si="1"/>
        <v>0</v>
      </c>
      <c r="S33" s="129">
        <f t="shared" si="2"/>
        <v>0</v>
      </c>
      <c r="T33" s="129">
        <f t="shared" si="3"/>
        <v>880</v>
      </c>
      <c r="U33" s="129">
        <f t="shared" si="4"/>
        <v>9680</v>
      </c>
      <c r="V33" s="214">
        <f t="shared" si="5"/>
        <v>75</v>
      </c>
      <c r="W33" s="353">
        <f t="shared" si="6"/>
        <v>7260</v>
      </c>
      <c r="X33" s="129">
        <f t="shared" si="7"/>
        <v>7260</v>
      </c>
      <c r="Y33" s="129" t="str">
        <f t="shared" si="8"/>
        <v/>
      </c>
      <c r="Z33" s="145"/>
      <c r="BA33" s="75" t="e">
        <f t="shared" si="18"/>
        <v>#DIV/0!</v>
      </c>
      <c r="BB33" s="78"/>
      <c r="BC33" s="132"/>
      <c r="BD33" s="133"/>
      <c r="BE33" s="132"/>
      <c r="BF33" s="134"/>
      <c r="BG33" s="135"/>
      <c r="BH33" s="135"/>
      <c r="BI33" s="136"/>
      <c r="BJ33" s="136"/>
      <c r="BK33" s="136"/>
      <c r="BL33" s="136"/>
      <c r="BM33" s="137"/>
      <c r="BN33" s="137"/>
      <c r="BO33" s="75">
        <f>LOOKUP(D33,基础数据!A:D)</f>
        <v>3.53915880885741</v>
      </c>
      <c r="BP33" s="75">
        <f t="shared" si="20"/>
        <v>1.00524445538374</v>
      </c>
      <c r="BQ33" s="75">
        <f t="shared" si="10"/>
        <v>11</v>
      </c>
      <c r="BR33" s="272">
        <f t="shared" ref="BR33:BR45" si="23">ROUND(BQ33*1.13,0)</f>
        <v>12</v>
      </c>
      <c r="BS33" s="156">
        <f t="shared" si="11"/>
        <v>1.38</v>
      </c>
      <c r="BT33" s="1211">
        <v>0.06</v>
      </c>
      <c r="BU33" s="156">
        <f t="shared" si="12"/>
        <v>0.72</v>
      </c>
      <c r="BV33" s="156">
        <f t="shared" si="13"/>
        <v>0.06</v>
      </c>
      <c r="BW33" s="156">
        <f t="shared" si="19"/>
        <v>11</v>
      </c>
      <c r="BX33" s="156">
        <f t="shared" si="14"/>
        <v>7.58110882956879</v>
      </c>
      <c r="BY33" s="1207" t="s">
        <v>2806</v>
      </c>
      <c r="BZ33" s="272">
        <v>30</v>
      </c>
      <c r="CA33" s="186">
        <f t="shared" si="15"/>
        <v>0.75</v>
      </c>
      <c r="CB33" s="186">
        <f t="shared" si="16"/>
        <v>0.75</v>
      </c>
      <c r="CC33" s="186">
        <f t="shared" si="17"/>
        <v>0.75</v>
      </c>
      <c r="CD33" s="272"/>
      <c r="CF33" s="134"/>
      <c r="CG33" s="138"/>
      <c r="CH33" s="132"/>
      <c r="CI33" s="138"/>
      <c r="CJ33" s="132"/>
      <c r="CK33" s="132"/>
      <c r="CL33" s="134"/>
      <c r="CM33" s="146"/>
    </row>
    <row r="34" ht="15" customHeight="1" spans="1:91">
      <c r="A34" s="123">
        <f>IF(B34="","",COUNT(A$7:A33)+1)</f>
        <v>27</v>
      </c>
      <c r="B34" s="798" t="s">
        <v>2824</v>
      </c>
      <c r="C34" s="139" t="s">
        <v>2825</v>
      </c>
      <c r="D34" s="1209">
        <v>43100</v>
      </c>
      <c r="E34" s="1210">
        <v>173030</v>
      </c>
      <c r="F34" s="219" t="s">
        <v>2770</v>
      </c>
      <c r="G34" s="142"/>
      <c r="H34" s="127"/>
      <c r="I34" s="128"/>
      <c r="J34" s="128"/>
      <c r="K34" s="980">
        <v>500</v>
      </c>
      <c r="L34" s="143"/>
      <c r="M34" s="143"/>
      <c r="N34" s="144"/>
      <c r="O34" s="144"/>
      <c r="P34" s="144"/>
      <c r="Q34" s="353">
        <f t="shared" si="0"/>
        <v>500</v>
      </c>
      <c r="R34" s="129">
        <f t="shared" si="1"/>
        <v>0</v>
      </c>
      <c r="S34" s="129">
        <f t="shared" si="2"/>
        <v>0</v>
      </c>
      <c r="T34" s="129">
        <f t="shared" si="3"/>
        <v>500</v>
      </c>
      <c r="U34" s="129">
        <f t="shared" si="4"/>
        <v>170500</v>
      </c>
      <c r="V34" s="214">
        <f t="shared" si="5"/>
        <v>75</v>
      </c>
      <c r="W34" s="353">
        <f t="shared" si="6"/>
        <v>127875</v>
      </c>
      <c r="X34" s="129">
        <f t="shared" si="7"/>
        <v>127875</v>
      </c>
      <c r="Y34" s="129" t="str">
        <f t="shared" si="8"/>
        <v/>
      </c>
      <c r="Z34" s="145"/>
      <c r="BA34" s="75" t="e">
        <f t="shared" si="18"/>
        <v>#DIV/0!</v>
      </c>
      <c r="BB34" s="78"/>
      <c r="BC34" s="132"/>
      <c r="BD34" s="133"/>
      <c r="BE34" s="132"/>
      <c r="BF34" s="134"/>
      <c r="BG34" s="135"/>
      <c r="BH34" s="135"/>
      <c r="BI34" s="136"/>
      <c r="BJ34" s="136"/>
      <c r="BK34" s="136"/>
      <c r="BL34" s="136"/>
      <c r="BM34" s="137"/>
      <c r="BN34" s="137"/>
      <c r="BO34" s="75">
        <f>LOOKUP(D34,基础数据!A:D)</f>
        <v>3.53915880885741</v>
      </c>
      <c r="BP34" s="75">
        <f t="shared" si="20"/>
        <v>1.00524445538374</v>
      </c>
      <c r="BQ34" s="75">
        <f t="shared" si="10"/>
        <v>348</v>
      </c>
      <c r="BR34" s="272">
        <v>363</v>
      </c>
      <c r="BS34" s="156">
        <f t="shared" si="11"/>
        <v>41.76</v>
      </c>
      <c r="BT34" s="1211">
        <v>0.06</v>
      </c>
      <c r="BU34" s="156">
        <f t="shared" si="12"/>
        <v>21.78</v>
      </c>
      <c r="BV34" s="156">
        <f t="shared" si="13"/>
        <v>1.8</v>
      </c>
      <c r="BW34" s="156">
        <f t="shared" si="19"/>
        <v>341</v>
      </c>
      <c r="BX34" s="156">
        <f t="shared" si="14"/>
        <v>7.58110882956879</v>
      </c>
      <c r="BY34" s="1207" t="s">
        <v>2806</v>
      </c>
      <c r="BZ34" s="272">
        <v>30</v>
      </c>
      <c r="CA34" s="186">
        <f t="shared" si="15"/>
        <v>0.75</v>
      </c>
      <c r="CB34" s="186">
        <f t="shared" si="16"/>
        <v>0.75</v>
      </c>
      <c r="CC34" s="186">
        <f t="shared" si="17"/>
        <v>0.75</v>
      </c>
      <c r="CD34" s="1212" t="s">
        <v>2826</v>
      </c>
      <c r="CF34" s="134" t="str">
        <f>IF(COUNTIF(CF$7:CF33,B34)&gt;0,"",B34)&amp;""</f>
        <v>高压电缆</v>
      </c>
      <c r="CG34" s="138"/>
      <c r="CH34" s="132"/>
      <c r="CI34" s="138"/>
      <c r="CJ34" s="132"/>
      <c r="CK34" s="132"/>
      <c r="CL34" s="134"/>
      <c r="CM34" s="146"/>
    </row>
    <row r="35" ht="15" customHeight="1" spans="1:91">
      <c r="A35" s="123">
        <f>IF(B35="","",COUNT(A$7:A34)+1)</f>
        <v>28</v>
      </c>
      <c r="B35" s="139" t="s">
        <v>2824</v>
      </c>
      <c r="C35" s="139" t="s">
        <v>2825</v>
      </c>
      <c r="D35" s="1209">
        <v>43100</v>
      </c>
      <c r="E35" s="1210">
        <v>138424</v>
      </c>
      <c r="F35" s="219" t="s">
        <v>2770</v>
      </c>
      <c r="G35" s="142"/>
      <c r="H35" s="127"/>
      <c r="I35" s="128"/>
      <c r="J35" s="128"/>
      <c r="K35" s="980">
        <v>400</v>
      </c>
      <c r="L35" s="143"/>
      <c r="M35" s="143"/>
      <c r="N35" s="144"/>
      <c r="O35" s="144"/>
      <c r="P35" s="144"/>
      <c r="Q35" s="353">
        <f t="shared" si="0"/>
        <v>400</v>
      </c>
      <c r="R35" s="129">
        <f t="shared" si="1"/>
        <v>0</v>
      </c>
      <c r="S35" s="129">
        <f t="shared" si="2"/>
        <v>0</v>
      </c>
      <c r="T35" s="129">
        <f t="shared" si="3"/>
        <v>400</v>
      </c>
      <c r="U35" s="129">
        <f t="shared" si="4"/>
        <v>136400</v>
      </c>
      <c r="V35" s="214">
        <f t="shared" si="5"/>
        <v>75</v>
      </c>
      <c r="W35" s="353">
        <f t="shared" si="6"/>
        <v>102300</v>
      </c>
      <c r="X35" s="129">
        <f t="shared" si="7"/>
        <v>102300</v>
      </c>
      <c r="Y35" s="129" t="str">
        <f t="shared" si="8"/>
        <v/>
      </c>
      <c r="Z35" s="145"/>
      <c r="BA35" s="75" t="e">
        <f t="shared" si="18"/>
        <v>#DIV/0!</v>
      </c>
      <c r="BB35" s="78"/>
      <c r="BC35" s="132"/>
      <c r="BD35" s="133"/>
      <c r="BE35" s="132"/>
      <c r="BF35" s="134"/>
      <c r="BG35" s="135"/>
      <c r="BH35" s="135"/>
      <c r="BI35" s="136"/>
      <c r="BJ35" s="136"/>
      <c r="BK35" s="136"/>
      <c r="BL35" s="136"/>
      <c r="BM35" s="137"/>
      <c r="BN35" s="137"/>
      <c r="BO35" s="75">
        <f>LOOKUP(D35,基础数据!A:D)</f>
        <v>3.53915880885741</v>
      </c>
      <c r="BP35" s="75">
        <f t="shared" si="20"/>
        <v>1.00524445538374</v>
      </c>
      <c r="BQ35" s="75">
        <f t="shared" si="10"/>
        <v>348</v>
      </c>
      <c r="BR35" s="272">
        <v>363</v>
      </c>
      <c r="BS35" s="156">
        <f t="shared" si="11"/>
        <v>41.76</v>
      </c>
      <c r="BT35" s="1211">
        <v>0.06</v>
      </c>
      <c r="BU35" s="156">
        <f t="shared" si="12"/>
        <v>21.78</v>
      </c>
      <c r="BV35" s="156">
        <f t="shared" si="13"/>
        <v>1.8</v>
      </c>
      <c r="BW35" s="156">
        <f t="shared" si="19"/>
        <v>341</v>
      </c>
      <c r="BX35" s="156">
        <f t="shared" si="14"/>
        <v>7.58110882956879</v>
      </c>
      <c r="BY35" s="1207" t="s">
        <v>2806</v>
      </c>
      <c r="BZ35" s="272">
        <v>30</v>
      </c>
      <c r="CA35" s="186">
        <f t="shared" si="15"/>
        <v>0.75</v>
      </c>
      <c r="CB35" s="186">
        <f t="shared" si="16"/>
        <v>0.75</v>
      </c>
      <c r="CC35" s="186">
        <f t="shared" si="17"/>
        <v>0.75</v>
      </c>
      <c r="CD35" s="1212" t="s">
        <v>2826</v>
      </c>
      <c r="CF35" s="134" t="str">
        <f>IF(COUNTIF(CF$7:CF34,B35)&gt;0,"",B35)&amp;""</f>
        <v/>
      </c>
      <c r="CG35" s="138"/>
      <c r="CH35" s="132"/>
      <c r="CI35" s="138"/>
      <c r="CJ35" s="132"/>
      <c r="CK35" s="132"/>
      <c r="CL35" s="134"/>
      <c r="CM35" s="146"/>
    </row>
    <row r="36" ht="15" customHeight="1" spans="1:91">
      <c r="A36" s="123">
        <f>IF(B36="","",COUNT(A$7:A35)+1)</f>
        <v>29</v>
      </c>
      <c r="B36" s="139" t="s">
        <v>2824</v>
      </c>
      <c r="C36" s="139" t="s">
        <v>2825</v>
      </c>
      <c r="D36" s="1209">
        <v>43100</v>
      </c>
      <c r="E36" s="1210">
        <v>13842.4</v>
      </c>
      <c r="F36" s="219" t="s">
        <v>2770</v>
      </c>
      <c r="G36" s="142"/>
      <c r="H36" s="127"/>
      <c r="I36" s="128"/>
      <c r="J36" s="128"/>
      <c r="K36" s="980">
        <v>40</v>
      </c>
      <c r="L36" s="143"/>
      <c r="M36" s="143"/>
      <c r="N36" s="144"/>
      <c r="O36" s="144"/>
      <c r="P36" s="144"/>
      <c r="Q36" s="353">
        <f t="shared" si="0"/>
        <v>40</v>
      </c>
      <c r="R36" s="129">
        <f t="shared" si="1"/>
        <v>0</v>
      </c>
      <c r="S36" s="129">
        <f t="shared" si="2"/>
        <v>0</v>
      </c>
      <c r="T36" s="129">
        <f t="shared" si="3"/>
        <v>40</v>
      </c>
      <c r="U36" s="129">
        <f t="shared" si="4"/>
        <v>13640</v>
      </c>
      <c r="V36" s="214">
        <f t="shared" si="5"/>
        <v>75</v>
      </c>
      <c r="W36" s="353">
        <f t="shared" si="6"/>
        <v>10230</v>
      </c>
      <c r="X36" s="129">
        <f t="shared" si="7"/>
        <v>10230</v>
      </c>
      <c r="Y36" s="129" t="str">
        <f t="shared" si="8"/>
        <v/>
      </c>
      <c r="Z36" s="145"/>
      <c r="BA36" s="75" t="e">
        <f t="shared" si="18"/>
        <v>#DIV/0!</v>
      </c>
      <c r="BB36" s="78"/>
      <c r="BC36" s="132"/>
      <c r="BD36" s="133"/>
      <c r="BE36" s="132"/>
      <c r="BF36" s="134"/>
      <c r="BG36" s="135"/>
      <c r="BH36" s="135"/>
      <c r="BI36" s="136"/>
      <c r="BJ36" s="136"/>
      <c r="BK36" s="136"/>
      <c r="BL36" s="136"/>
      <c r="BM36" s="137"/>
      <c r="BN36" s="137"/>
      <c r="BO36" s="75">
        <f>LOOKUP(D36,基础数据!A:D)</f>
        <v>3.53915880885741</v>
      </c>
      <c r="BP36" s="75">
        <f t="shared" si="20"/>
        <v>1.00524445538374</v>
      </c>
      <c r="BQ36" s="75">
        <f t="shared" si="10"/>
        <v>348</v>
      </c>
      <c r="BR36" s="272">
        <v>363</v>
      </c>
      <c r="BS36" s="156">
        <f t="shared" si="11"/>
        <v>41.76</v>
      </c>
      <c r="BT36" s="1211">
        <v>0.06</v>
      </c>
      <c r="BU36" s="156">
        <f t="shared" si="12"/>
        <v>21.78</v>
      </c>
      <c r="BV36" s="156">
        <f t="shared" si="13"/>
        <v>1.8</v>
      </c>
      <c r="BW36" s="156">
        <f t="shared" si="19"/>
        <v>341</v>
      </c>
      <c r="BX36" s="156">
        <f t="shared" si="14"/>
        <v>7.58110882956879</v>
      </c>
      <c r="BY36" s="1207" t="s">
        <v>2806</v>
      </c>
      <c r="BZ36" s="272">
        <v>30</v>
      </c>
      <c r="CA36" s="186">
        <f t="shared" ref="CA36" si="24">ROUND(IFERROR(1-(BX36/BZ36),0),2)</f>
        <v>0.75</v>
      </c>
      <c r="CB36" s="186">
        <f t="shared" si="16"/>
        <v>0.75</v>
      </c>
      <c r="CC36" s="186">
        <f t="shared" si="17"/>
        <v>0.75</v>
      </c>
      <c r="CD36" s="1212" t="s">
        <v>2826</v>
      </c>
      <c r="CF36" s="134"/>
      <c r="CG36" s="138"/>
      <c r="CH36" s="132"/>
      <c r="CI36" s="138"/>
      <c r="CJ36" s="132"/>
      <c r="CK36" s="132"/>
      <c r="CL36" s="134"/>
      <c r="CM36" s="146"/>
    </row>
    <row r="37" ht="15" customHeight="1" spans="1:91">
      <c r="A37" s="123">
        <f>IF(B37="","",COUNT(A$7:A36)+1)</f>
        <v>30</v>
      </c>
      <c r="B37" s="139" t="s">
        <v>2824</v>
      </c>
      <c r="C37" s="139" t="s">
        <v>2827</v>
      </c>
      <c r="D37" s="1209">
        <v>43100</v>
      </c>
      <c r="E37" s="1210">
        <v>19658.1</v>
      </c>
      <c r="F37" s="219" t="s">
        <v>2770</v>
      </c>
      <c r="G37" s="142"/>
      <c r="H37" s="127"/>
      <c r="I37" s="128"/>
      <c r="J37" s="128"/>
      <c r="K37" s="980">
        <v>70</v>
      </c>
      <c r="L37" s="143"/>
      <c r="M37" s="143"/>
      <c r="N37" s="144"/>
      <c r="O37" s="144"/>
      <c r="P37" s="144"/>
      <c r="Q37" s="353">
        <f t="shared" si="0"/>
        <v>70</v>
      </c>
      <c r="R37" s="129">
        <f t="shared" si="1"/>
        <v>0</v>
      </c>
      <c r="S37" s="129">
        <f t="shared" si="2"/>
        <v>0</v>
      </c>
      <c r="T37" s="129">
        <f t="shared" si="3"/>
        <v>70</v>
      </c>
      <c r="U37" s="129">
        <f t="shared" si="4"/>
        <v>21000</v>
      </c>
      <c r="V37" s="214">
        <f t="shared" si="5"/>
        <v>75</v>
      </c>
      <c r="W37" s="353">
        <f t="shared" si="6"/>
        <v>15750</v>
      </c>
      <c r="X37" s="129">
        <f t="shared" si="7"/>
        <v>15750</v>
      </c>
      <c r="Y37" s="129" t="str">
        <f t="shared" si="8"/>
        <v/>
      </c>
      <c r="Z37" s="145"/>
      <c r="BA37" s="75" t="e">
        <f t="shared" si="18"/>
        <v>#DIV/0!</v>
      </c>
      <c r="BB37" s="78"/>
      <c r="BC37" s="132"/>
      <c r="BD37" s="133"/>
      <c r="BE37" s="132"/>
      <c r="BF37" s="134"/>
      <c r="BG37" s="135"/>
      <c r="BH37" s="135"/>
      <c r="BI37" s="136"/>
      <c r="BJ37" s="136"/>
      <c r="BK37" s="136"/>
      <c r="BL37" s="136"/>
      <c r="BM37" s="137"/>
      <c r="BN37" s="137"/>
      <c r="BO37" s="75">
        <f>LOOKUP(D37,基础数据!A:D)</f>
        <v>3.53915880885741</v>
      </c>
      <c r="BP37" s="75">
        <f t="shared" si="20"/>
        <v>1.00524445538374</v>
      </c>
      <c r="BQ37" s="75">
        <f t="shared" si="10"/>
        <v>282</v>
      </c>
      <c r="BR37" s="272">
        <f t="shared" si="23"/>
        <v>319</v>
      </c>
      <c r="BS37" s="156">
        <f t="shared" si="11"/>
        <v>36.7</v>
      </c>
      <c r="BT37" s="1211">
        <v>0.06</v>
      </c>
      <c r="BU37" s="156">
        <f t="shared" si="12"/>
        <v>19.14</v>
      </c>
      <c r="BV37" s="156">
        <f t="shared" si="13"/>
        <v>1.58</v>
      </c>
      <c r="BW37" s="156">
        <f t="shared" si="19"/>
        <v>300</v>
      </c>
      <c r="BX37" s="156">
        <f t="shared" si="14"/>
        <v>7.58110882956879</v>
      </c>
      <c r="BY37" s="1207" t="s">
        <v>2806</v>
      </c>
      <c r="BZ37" s="272">
        <v>30</v>
      </c>
      <c r="CA37" s="186">
        <f t="shared" si="15"/>
        <v>0.75</v>
      </c>
      <c r="CB37" s="186">
        <f t="shared" si="16"/>
        <v>0.75</v>
      </c>
      <c r="CC37" s="186">
        <f t="shared" si="17"/>
        <v>0.75</v>
      </c>
      <c r="CD37" s="272"/>
      <c r="CF37" s="134"/>
      <c r="CG37" s="138"/>
      <c r="CH37" s="132"/>
      <c r="CI37" s="138"/>
      <c r="CJ37" s="132"/>
      <c r="CK37" s="132"/>
      <c r="CL37" s="134"/>
      <c r="CM37" s="146"/>
    </row>
    <row r="38" ht="15" customHeight="1" spans="1:91">
      <c r="A38" s="123">
        <f>IF(B38="","",COUNT(A$7:A37)+1)</f>
        <v>31</v>
      </c>
      <c r="B38" s="139" t="s">
        <v>2824</v>
      </c>
      <c r="C38" s="139" t="s">
        <v>2827</v>
      </c>
      <c r="D38" s="1209">
        <v>43100</v>
      </c>
      <c r="E38" s="1210">
        <v>47741.1</v>
      </c>
      <c r="F38" s="219" t="s">
        <v>2770</v>
      </c>
      <c r="G38" s="142"/>
      <c r="H38" s="127"/>
      <c r="I38" s="128"/>
      <c r="J38" s="128"/>
      <c r="K38" s="980">
        <v>170</v>
      </c>
      <c r="L38" s="143"/>
      <c r="M38" s="143"/>
      <c r="N38" s="144"/>
      <c r="O38" s="144"/>
      <c r="P38" s="144"/>
      <c r="Q38" s="353">
        <f t="shared" si="0"/>
        <v>170</v>
      </c>
      <c r="R38" s="129">
        <f t="shared" si="1"/>
        <v>0</v>
      </c>
      <c r="S38" s="129">
        <f t="shared" si="2"/>
        <v>0</v>
      </c>
      <c r="T38" s="129">
        <f t="shared" si="3"/>
        <v>170</v>
      </c>
      <c r="U38" s="129">
        <f t="shared" si="4"/>
        <v>51000</v>
      </c>
      <c r="V38" s="214">
        <f t="shared" si="5"/>
        <v>75</v>
      </c>
      <c r="W38" s="353">
        <f t="shared" si="6"/>
        <v>38250</v>
      </c>
      <c r="X38" s="129">
        <f t="shared" si="7"/>
        <v>38250</v>
      </c>
      <c r="Y38" s="129" t="str">
        <f t="shared" si="8"/>
        <v/>
      </c>
      <c r="Z38" s="145"/>
      <c r="BA38" s="75" t="e">
        <f t="shared" si="18"/>
        <v>#DIV/0!</v>
      </c>
      <c r="BB38" s="78"/>
      <c r="BC38" s="132"/>
      <c r="BD38" s="133"/>
      <c r="BE38" s="132"/>
      <c r="BF38" s="134"/>
      <c r="BG38" s="135"/>
      <c r="BH38" s="135"/>
      <c r="BI38" s="136"/>
      <c r="BJ38" s="136"/>
      <c r="BK38" s="136"/>
      <c r="BL38" s="136"/>
      <c r="BM38" s="137"/>
      <c r="BN38" s="137"/>
      <c r="BO38" s="75">
        <f>LOOKUP(D38,基础数据!A:D)</f>
        <v>3.53915880885741</v>
      </c>
      <c r="BP38" s="75">
        <f t="shared" si="20"/>
        <v>1.00524445538374</v>
      </c>
      <c r="BQ38" s="75">
        <f t="shared" si="10"/>
        <v>282</v>
      </c>
      <c r="BR38" s="272">
        <f t="shared" si="23"/>
        <v>319</v>
      </c>
      <c r="BS38" s="156">
        <f t="shared" si="11"/>
        <v>36.7</v>
      </c>
      <c r="BT38" s="1211">
        <v>0.06</v>
      </c>
      <c r="BU38" s="156">
        <f t="shared" si="12"/>
        <v>19.14</v>
      </c>
      <c r="BV38" s="156">
        <f t="shared" si="13"/>
        <v>1.58</v>
      </c>
      <c r="BW38" s="156">
        <f t="shared" si="19"/>
        <v>300</v>
      </c>
      <c r="BX38" s="156">
        <f t="shared" si="14"/>
        <v>7.58110882956879</v>
      </c>
      <c r="BY38" s="1207" t="s">
        <v>2806</v>
      </c>
      <c r="BZ38" s="272">
        <v>30</v>
      </c>
      <c r="CA38" s="186">
        <f t="shared" si="15"/>
        <v>0.75</v>
      </c>
      <c r="CB38" s="186">
        <f t="shared" si="16"/>
        <v>0.75</v>
      </c>
      <c r="CC38" s="186">
        <f t="shared" si="17"/>
        <v>0.75</v>
      </c>
      <c r="CD38" s="272"/>
      <c r="CF38" s="134" t="str">
        <f>IF(COUNTIF(CF$7:CF37,B38)&gt;0,"",B38)&amp;""</f>
        <v/>
      </c>
      <c r="CG38" s="138"/>
      <c r="CH38" s="132"/>
      <c r="CI38" s="138"/>
      <c r="CJ38" s="132"/>
      <c r="CK38" s="132"/>
      <c r="CL38" s="134"/>
      <c r="CM38" s="146"/>
    </row>
    <row r="39" ht="15" customHeight="1" spans="1:91">
      <c r="A39" s="123">
        <f>IF(B39="","",COUNT(A$7:A38)+1)</f>
        <v>32</v>
      </c>
      <c r="B39" s="139" t="s">
        <v>2824</v>
      </c>
      <c r="C39" s="139" t="s">
        <v>2828</v>
      </c>
      <c r="D39" s="1209">
        <v>43100</v>
      </c>
      <c r="E39" s="1210">
        <v>1886.25</v>
      </c>
      <c r="F39" s="219" t="s">
        <v>2770</v>
      </c>
      <c r="G39" s="142"/>
      <c r="H39" s="127"/>
      <c r="I39" s="128"/>
      <c r="J39" s="128"/>
      <c r="K39" s="980">
        <v>15</v>
      </c>
      <c r="L39" s="143"/>
      <c r="M39" s="143"/>
      <c r="N39" s="144"/>
      <c r="O39" s="144"/>
      <c r="P39" s="144"/>
      <c r="Q39" s="353">
        <f t="shared" si="0"/>
        <v>15</v>
      </c>
      <c r="R39" s="129">
        <f t="shared" si="1"/>
        <v>0</v>
      </c>
      <c r="S39" s="129">
        <f t="shared" si="2"/>
        <v>0</v>
      </c>
      <c r="T39" s="129">
        <f t="shared" si="3"/>
        <v>15</v>
      </c>
      <c r="U39" s="129">
        <f t="shared" si="4"/>
        <v>1995</v>
      </c>
      <c r="V39" s="214">
        <f t="shared" si="5"/>
        <v>75</v>
      </c>
      <c r="W39" s="353">
        <f t="shared" si="6"/>
        <v>1496.25</v>
      </c>
      <c r="X39" s="129">
        <f t="shared" si="7"/>
        <v>1496.25</v>
      </c>
      <c r="Y39" s="129" t="str">
        <f t="shared" si="8"/>
        <v/>
      </c>
      <c r="Z39" s="145"/>
      <c r="BA39" s="75" t="e">
        <f t="shared" si="18"/>
        <v>#DIV/0!</v>
      </c>
      <c r="BB39" s="78"/>
      <c r="BC39" s="132"/>
      <c r="BD39" s="133"/>
      <c r="BE39" s="132"/>
      <c r="BF39" s="134"/>
      <c r="BG39" s="135"/>
      <c r="BH39" s="135"/>
      <c r="BI39" s="136"/>
      <c r="BJ39" s="136"/>
      <c r="BK39" s="136"/>
      <c r="BL39" s="136"/>
      <c r="BM39" s="137"/>
      <c r="BN39" s="137"/>
      <c r="BO39" s="75">
        <f>LOOKUP(D39,基础数据!A:D)</f>
        <v>3.53915880885741</v>
      </c>
      <c r="BP39" s="75">
        <f t="shared" si="20"/>
        <v>1.00524445538374</v>
      </c>
      <c r="BQ39" s="75">
        <f t="shared" si="10"/>
        <v>126</v>
      </c>
      <c r="BR39" s="272">
        <f t="shared" si="23"/>
        <v>142</v>
      </c>
      <c r="BS39" s="156">
        <f t="shared" si="11"/>
        <v>16.34</v>
      </c>
      <c r="BT39" s="1211">
        <v>0.06</v>
      </c>
      <c r="BU39" s="156">
        <f t="shared" si="12"/>
        <v>8.52</v>
      </c>
      <c r="BV39" s="156">
        <f t="shared" si="13"/>
        <v>0.7</v>
      </c>
      <c r="BW39" s="156">
        <f t="shared" si="19"/>
        <v>133</v>
      </c>
      <c r="BX39" s="156">
        <f t="shared" si="14"/>
        <v>7.58110882956879</v>
      </c>
      <c r="BY39" s="1207" t="s">
        <v>2806</v>
      </c>
      <c r="BZ39" s="272">
        <v>30</v>
      </c>
      <c r="CA39" s="186">
        <f t="shared" si="15"/>
        <v>0.75</v>
      </c>
      <c r="CB39" s="186">
        <f t="shared" si="16"/>
        <v>0.75</v>
      </c>
      <c r="CC39" s="186">
        <f t="shared" si="17"/>
        <v>0.75</v>
      </c>
      <c r="CD39" s="272"/>
      <c r="CF39" s="134"/>
      <c r="CG39" s="138"/>
      <c r="CH39" s="132"/>
      <c r="CI39" s="138"/>
      <c r="CJ39" s="132"/>
      <c r="CK39" s="132"/>
      <c r="CL39" s="134"/>
      <c r="CM39" s="146"/>
    </row>
    <row r="40" ht="15" customHeight="1" spans="1:91">
      <c r="A40" s="123">
        <f>IF(B40="","",COUNT(A$7:A39)+1)</f>
        <v>33</v>
      </c>
      <c r="B40" s="139" t="s">
        <v>2824</v>
      </c>
      <c r="C40" s="139" t="s">
        <v>2828</v>
      </c>
      <c r="D40" s="1209">
        <v>43100</v>
      </c>
      <c r="E40" s="1210">
        <v>10060</v>
      </c>
      <c r="F40" s="219" t="s">
        <v>2770</v>
      </c>
      <c r="G40" s="142"/>
      <c r="H40" s="127"/>
      <c r="I40" s="128"/>
      <c r="J40" s="128"/>
      <c r="K40" s="980">
        <v>80</v>
      </c>
      <c r="L40" s="143"/>
      <c r="M40" s="143"/>
      <c r="N40" s="144"/>
      <c r="O40" s="144"/>
      <c r="P40" s="144"/>
      <c r="Q40" s="353">
        <f t="shared" si="0"/>
        <v>80</v>
      </c>
      <c r="R40" s="129">
        <f t="shared" si="1"/>
        <v>0</v>
      </c>
      <c r="S40" s="129">
        <f t="shared" si="2"/>
        <v>0</v>
      </c>
      <c r="T40" s="129">
        <f t="shared" si="3"/>
        <v>80</v>
      </c>
      <c r="U40" s="129">
        <f t="shared" si="4"/>
        <v>10640</v>
      </c>
      <c r="V40" s="214">
        <f t="shared" si="5"/>
        <v>75</v>
      </c>
      <c r="W40" s="353">
        <f t="shared" si="6"/>
        <v>7980</v>
      </c>
      <c r="X40" s="129">
        <f t="shared" si="7"/>
        <v>7980</v>
      </c>
      <c r="Y40" s="129" t="str">
        <f t="shared" si="8"/>
        <v/>
      </c>
      <c r="Z40" s="145"/>
      <c r="BA40" s="75" t="e">
        <f t="shared" si="18"/>
        <v>#DIV/0!</v>
      </c>
      <c r="BB40" s="78"/>
      <c r="BC40" s="132"/>
      <c r="BD40" s="133"/>
      <c r="BE40" s="132"/>
      <c r="BF40" s="134"/>
      <c r="BG40" s="135"/>
      <c r="BH40" s="135"/>
      <c r="BI40" s="136"/>
      <c r="BJ40" s="136"/>
      <c r="BK40" s="136"/>
      <c r="BL40" s="136"/>
      <c r="BM40" s="137"/>
      <c r="BN40" s="137"/>
      <c r="BO40" s="75">
        <f>LOOKUP(D40,基础数据!A:D)</f>
        <v>3.53915880885741</v>
      </c>
      <c r="BP40" s="75">
        <f t="shared" si="20"/>
        <v>1.00524445538374</v>
      </c>
      <c r="BQ40" s="75">
        <f t="shared" si="10"/>
        <v>126</v>
      </c>
      <c r="BR40" s="272">
        <f t="shared" si="23"/>
        <v>142</v>
      </c>
      <c r="BS40" s="156">
        <f t="shared" si="11"/>
        <v>16.34</v>
      </c>
      <c r="BT40" s="1211">
        <v>0.06</v>
      </c>
      <c r="BU40" s="156">
        <f t="shared" si="12"/>
        <v>8.52</v>
      </c>
      <c r="BV40" s="156">
        <f t="shared" si="13"/>
        <v>0.7</v>
      </c>
      <c r="BW40" s="156">
        <f t="shared" si="19"/>
        <v>133</v>
      </c>
      <c r="BX40" s="156">
        <f t="shared" si="14"/>
        <v>7.58110882956879</v>
      </c>
      <c r="BY40" s="1207" t="s">
        <v>2806</v>
      </c>
      <c r="BZ40" s="272">
        <v>30</v>
      </c>
      <c r="CA40" s="186">
        <f t="shared" si="15"/>
        <v>0.75</v>
      </c>
      <c r="CB40" s="186">
        <f t="shared" si="16"/>
        <v>0.75</v>
      </c>
      <c r="CC40" s="186">
        <f t="shared" si="17"/>
        <v>0.75</v>
      </c>
      <c r="CD40" s="272"/>
      <c r="CF40" s="134"/>
      <c r="CG40" s="138"/>
      <c r="CH40" s="132"/>
      <c r="CI40" s="138"/>
      <c r="CJ40" s="132"/>
      <c r="CK40" s="132"/>
      <c r="CL40" s="134"/>
      <c r="CM40" s="146"/>
    </row>
    <row r="41" ht="15" customHeight="1" spans="1:91">
      <c r="A41" s="123">
        <f>IF(B41="","",COUNT(A$7:A40)+1)</f>
        <v>34</v>
      </c>
      <c r="B41" s="139" t="s">
        <v>2824</v>
      </c>
      <c r="C41" s="139" t="s">
        <v>2828</v>
      </c>
      <c r="D41" s="1209">
        <v>43100</v>
      </c>
      <c r="E41" s="1210">
        <v>1886.25</v>
      </c>
      <c r="F41" s="219" t="s">
        <v>2770</v>
      </c>
      <c r="G41" s="142"/>
      <c r="H41" s="127"/>
      <c r="I41" s="128"/>
      <c r="J41" s="128"/>
      <c r="K41" s="980">
        <v>15</v>
      </c>
      <c r="L41" s="143"/>
      <c r="M41" s="143"/>
      <c r="N41" s="144"/>
      <c r="O41" s="144"/>
      <c r="P41" s="144"/>
      <c r="Q41" s="353">
        <f t="shared" si="0"/>
        <v>15</v>
      </c>
      <c r="R41" s="129">
        <f t="shared" si="1"/>
        <v>0</v>
      </c>
      <c r="S41" s="129">
        <f t="shared" si="2"/>
        <v>0</v>
      </c>
      <c r="T41" s="129">
        <f t="shared" si="3"/>
        <v>15</v>
      </c>
      <c r="U41" s="129">
        <f t="shared" si="4"/>
        <v>1995</v>
      </c>
      <c r="V41" s="214">
        <f t="shared" si="5"/>
        <v>75</v>
      </c>
      <c r="W41" s="353">
        <f t="shared" si="6"/>
        <v>1496.25</v>
      </c>
      <c r="X41" s="129">
        <f t="shared" si="7"/>
        <v>1496.25</v>
      </c>
      <c r="Y41" s="129" t="str">
        <f t="shared" si="8"/>
        <v/>
      </c>
      <c r="Z41" s="145"/>
      <c r="BA41" s="75" t="e">
        <f t="shared" si="18"/>
        <v>#DIV/0!</v>
      </c>
      <c r="BB41" s="78"/>
      <c r="BC41" s="132"/>
      <c r="BD41" s="133"/>
      <c r="BE41" s="132"/>
      <c r="BF41" s="134"/>
      <c r="BG41" s="135"/>
      <c r="BH41" s="135"/>
      <c r="BI41" s="136"/>
      <c r="BJ41" s="136"/>
      <c r="BK41" s="136"/>
      <c r="BL41" s="136"/>
      <c r="BM41" s="137"/>
      <c r="BN41" s="137"/>
      <c r="BO41" s="75">
        <f>LOOKUP(D41,基础数据!A:D)</f>
        <v>3.53915880885741</v>
      </c>
      <c r="BP41" s="75">
        <f t="shared" si="20"/>
        <v>1.00524445538374</v>
      </c>
      <c r="BQ41" s="75">
        <f t="shared" si="10"/>
        <v>126</v>
      </c>
      <c r="BR41" s="272">
        <f t="shared" si="23"/>
        <v>142</v>
      </c>
      <c r="BS41" s="156">
        <f t="shared" si="11"/>
        <v>16.34</v>
      </c>
      <c r="BT41" s="1211">
        <v>0.06</v>
      </c>
      <c r="BU41" s="156">
        <f t="shared" si="12"/>
        <v>8.52</v>
      </c>
      <c r="BV41" s="156">
        <f t="shared" si="13"/>
        <v>0.7</v>
      </c>
      <c r="BW41" s="156">
        <f t="shared" si="19"/>
        <v>133</v>
      </c>
      <c r="BX41" s="156">
        <f t="shared" si="14"/>
        <v>7.58110882956879</v>
      </c>
      <c r="BY41" s="1207" t="s">
        <v>2806</v>
      </c>
      <c r="BZ41" s="272">
        <v>30</v>
      </c>
      <c r="CA41" s="186">
        <f t="shared" si="15"/>
        <v>0.75</v>
      </c>
      <c r="CB41" s="186">
        <f t="shared" si="16"/>
        <v>0.75</v>
      </c>
      <c r="CC41" s="186">
        <f t="shared" si="17"/>
        <v>0.75</v>
      </c>
      <c r="CD41" s="272"/>
      <c r="CF41" s="134"/>
      <c r="CG41" s="138"/>
      <c r="CH41" s="132"/>
      <c r="CI41" s="138"/>
      <c r="CJ41" s="132"/>
      <c r="CK41" s="132"/>
      <c r="CL41" s="134"/>
      <c r="CM41" s="146"/>
    </row>
    <row r="42" ht="15" customHeight="1" spans="1:91">
      <c r="A42" s="123">
        <f>IF(B42="","",COUNT(A$7:A41)+1)</f>
        <v>35</v>
      </c>
      <c r="B42" s="139" t="s">
        <v>2824</v>
      </c>
      <c r="C42" s="139" t="s">
        <v>2828</v>
      </c>
      <c r="D42" s="1209">
        <v>43100</v>
      </c>
      <c r="E42" s="1210">
        <v>10060</v>
      </c>
      <c r="F42" s="219" t="s">
        <v>2770</v>
      </c>
      <c r="G42" s="142"/>
      <c r="H42" s="127"/>
      <c r="I42" s="128"/>
      <c r="J42" s="128"/>
      <c r="K42" s="980">
        <v>80</v>
      </c>
      <c r="L42" s="143"/>
      <c r="M42" s="143"/>
      <c r="N42" s="144"/>
      <c r="O42" s="144"/>
      <c r="P42" s="144"/>
      <c r="Q42" s="353">
        <f t="shared" si="0"/>
        <v>80</v>
      </c>
      <c r="R42" s="129">
        <f t="shared" si="1"/>
        <v>0</v>
      </c>
      <c r="S42" s="129">
        <f t="shared" si="2"/>
        <v>0</v>
      </c>
      <c r="T42" s="129">
        <f t="shared" si="3"/>
        <v>80</v>
      </c>
      <c r="U42" s="129">
        <f t="shared" si="4"/>
        <v>10640</v>
      </c>
      <c r="V42" s="214">
        <f t="shared" si="5"/>
        <v>75</v>
      </c>
      <c r="W42" s="353">
        <f t="shared" si="6"/>
        <v>7980</v>
      </c>
      <c r="X42" s="129">
        <f t="shared" si="7"/>
        <v>7980</v>
      </c>
      <c r="Y42" s="129" t="str">
        <f t="shared" si="8"/>
        <v/>
      </c>
      <c r="Z42" s="145"/>
      <c r="BA42" s="75" t="e">
        <f t="shared" si="18"/>
        <v>#DIV/0!</v>
      </c>
      <c r="BB42" s="78"/>
      <c r="BC42" s="132"/>
      <c r="BD42" s="133"/>
      <c r="BE42" s="132"/>
      <c r="BF42" s="134"/>
      <c r="BG42" s="135"/>
      <c r="BH42" s="135"/>
      <c r="BI42" s="136"/>
      <c r="BJ42" s="136"/>
      <c r="BK42" s="136"/>
      <c r="BL42" s="136"/>
      <c r="BM42" s="137"/>
      <c r="BN42" s="137"/>
      <c r="BO42" s="75">
        <f>LOOKUP(D42,基础数据!A:D)</f>
        <v>3.53915880885741</v>
      </c>
      <c r="BP42" s="75">
        <f t="shared" si="20"/>
        <v>1.00524445538374</v>
      </c>
      <c r="BQ42" s="75">
        <f t="shared" si="10"/>
        <v>126</v>
      </c>
      <c r="BR42" s="272">
        <f t="shared" si="23"/>
        <v>142</v>
      </c>
      <c r="BS42" s="156">
        <f t="shared" si="11"/>
        <v>16.34</v>
      </c>
      <c r="BT42" s="1211">
        <v>0.06</v>
      </c>
      <c r="BU42" s="156">
        <f t="shared" si="12"/>
        <v>8.52</v>
      </c>
      <c r="BV42" s="156">
        <f t="shared" si="13"/>
        <v>0.7</v>
      </c>
      <c r="BW42" s="156">
        <f t="shared" si="19"/>
        <v>133</v>
      </c>
      <c r="BX42" s="156">
        <f t="shared" si="14"/>
        <v>7.58110882956879</v>
      </c>
      <c r="BY42" s="1207" t="s">
        <v>2806</v>
      </c>
      <c r="BZ42" s="272">
        <v>30</v>
      </c>
      <c r="CA42" s="186">
        <f t="shared" si="15"/>
        <v>0.75</v>
      </c>
      <c r="CB42" s="186">
        <f t="shared" si="16"/>
        <v>0.75</v>
      </c>
      <c r="CC42" s="186">
        <f t="shared" si="17"/>
        <v>0.75</v>
      </c>
      <c r="CD42" s="272"/>
      <c r="CF42" s="134"/>
      <c r="CG42" s="138"/>
      <c r="CH42" s="132"/>
      <c r="CI42" s="138"/>
      <c r="CJ42" s="132"/>
      <c r="CK42" s="132"/>
      <c r="CL42" s="134"/>
      <c r="CM42" s="146"/>
    </row>
    <row r="43" ht="15" customHeight="1" spans="1:91">
      <c r="A43" s="123">
        <f>IF(B43="","",COUNT(A$7:A42)+1)</f>
        <v>36</v>
      </c>
      <c r="B43" s="139" t="s">
        <v>2824</v>
      </c>
      <c r="C43" s="139" t="s">
        <v>2827</v>
      </c>
      <c r="D43" s="1209">
        <v>43100</v>
      </c>
      <c r="E43" s="1210">
        <v>19658.1</v>
      </c>
      <c r="F43" s="219" t="s">
        <v>2770</v>
      </c>
      <c r="G43" s="142"/>
      <c r="H43" s="127"/>
      <c r="I43" s="128"/>
      <c r="J43" s="128"/>
      <c r="K43" s="980">
        <v>70</v>
      </c>
      <c r="L43" s="143"/>
      <c r="M43" s="143"/>
      <c r="N43" s="144"/>
      <c r="O43" s="144"/>
      <c r="P43" s="144"/>
      <c r="Q43" s="353">
        <f t="shared" si="0"/>
        <v>70</v>
      </c>
      <c r="R43" s="129">
        <f t="shared" si="1"/>
        <v>0</v>
      </c>
      <c r="S43" s="129">
        <f t="shared" si="2"/>
        <v>0</v>
      </c>
      <c r="T43" s="129">
        <f t="shared" si="3"/>
        <v>70</v>
      </c>
      <c r="U43" s="129">
        <f t="shared" si="4"/>
        <v>21000</v>
      </c>
      <c r="V43" s="214">
        <f t="shared" si="5"/>
        <v>75</v>
      </c>
      <c r="W43" s="353">
        <f t="shared" si="6"/>
        <v>15750</v>
      </c>
      <c r="X43" s="129">
        <f t="shared" si="7"/>
        <v>15750</v>
      </c>
      <c r="Y43" s="129" t="str">
        <f t="shared" si="8"/>
        <v/>
      </c>
      <c r="Z43" s="145"/>
      <c r="BA43" s="75" t="e">
        <f t="shared" si="18"/>
        <v>#DIV/0!</v>
      </c>
      <c r="BB43" s="78"/>
      <c r="BC43" s="132"/>
      <c r="BD43" s="133"/>
      <c r="BE43" s="132"/>
      <c r="BF43" s="134"/>
      <c r="BG43" s="135"/>
      <c r="BH43" s="135"/>
      <c r="BI43" s="136"/>
      <c r="BJ43" s="136"/>
      <c r="BK43" s="136"/>
      <c r="BL43" s="136"/>
      <c r="BM43" s="137"/>
      <c r="BN43" s="137"/>
      <c r="BO43" s="75">
        <f>LOOKUP(D43,基础数据!A:D)</f>
        <v>3.53915880885741</v>
      </c>
      <c r="BP43" s="75">
        <f t="shared" si="20"/>
        <v>1.00524445538374</v>
      </c>
      <c r="BQ43" s="75">
        <f t="shared" si="10"/>
        <v>282</v>
      </c>
      <c r="BR43" s="272">
        <f t="shared" si="23"/>
        <v>319</v>
      </c>
      <c r="BS43" s="156">
        <f t="shared" si="11"/>
        <v>36.7</v>
      </c>
      <c r="BT43" s="1211">
        <v>0.06</v>
      </c>
      <c r="BU43" s="156">
        <f t="shared" si="12"/>
        <v>19.14</v>
      </c>
      <c r="BV43" s="156">
        <f t="shared" si="13"/>
        <v>1.58</v>
      </c>
      <c r="BW43" s="156">
        <f t="shared" si="19"/>
        <v>300</v>
      </c>
      <c r="BX43" s="156">
        <f t="shared" si="14"/>
        <v>7.58110882956879</v>
      </c>
      <c r="BY43" s="1207" t="s">
        <v>2806</v>
      </c>
      <c r="BZ43" s="272">
        <v>30</v>
      </c>
      <c r="CA43" s="186">
        <f t="shared" si="15"/>
        <v>0.75</v>
      </c>
      <c r="CB43" s="186">
        <f t="shared" si="16"/>
        <v>0.75</v>
      </c>
      <c r="CC43" s="186">
        <f t="shared" si="17"/>
        <v>0.75</v>
      </c>
      <c r="CD43" s="272"/>
      <c r="CF43" s="134"/>
      <c r="CG43" s="138"/>
      <c r="CH43" s="132"/>
      <c r="CI43" s="138"/>
      <c r="CJ43" s="132"/>
      <c r="CK43" s="132"/>
      <c r="CL43" s="134"/>
      <c r="CM43" s="146"/>
    </row>
    <row r="44" ht="15" customHeight="1" spans="1:91">
      <c r="A44" s="123">
        <f>IF(B44="","",COUNT(A$7:A43)+1)</f>
        <v>37</v>
      </c>
      <c r="B44" s="139" t="s">
        <v>2824</v>
      </c>
      <c r="C44" s="139" t="s">
        <v>2827</v>
      </c>
      <c r="D44" s="1209">
        <v>43100</v>
      </c>
      <c r="E44" s="1210">
        <v>47741.1</v>
      </c>
      <c r="F44" s="219" t="s">
        <v>2770</v>
      </c>
      <c r="G44" s="142"/>
      <c r="H44" s="127"/>
      <c r="I44" s="128"/>
      <c r="J44" s="128"/>
      <c r="K44" s="980">
        <v>170</v>
      </c>
      <c r="L44" s="143"/>
      <c r="M44" s="143"/>
      <c r="N44" s="144"/>
      <c r="O44" s="144"/>
      <c r="P44" s="144"/>
      <c r="Q44" s="353">
        <f t="shared" si="0"/>
        <v>170</v>
      </c>
      <c r="R44" s="129">
        <f t="shared" si="1"/>
        <v>0</v>
      </c>
      <c r="S44" s="129">
        <f t="shared" si="2"/>
        <v>0</v>
      </c>
      <c r="T44" s="129">
        <f t="shared" si="3"/>
        <v>170</v>
      </c>
      <c r="U44" s="129">
        <f t="shared" si="4"/>
        <v>51000</v>
      </c>
      <c r="V44" s="214">
        <f t="shared" si="5"/>
        <v>75</v>
      </c>
      <c r="W44" s="353">
        <f t="shared" si="6"/>
        <v>38250</v>
      </c>
      <c r="X44" s="129">
        <f t="shared" si="7"/>
        <v>38250</v>
      </c>
      <c r="Y44" s="129" t="str">
        <f t="shared" si="8"/>
        <v/>
      </c>
      <c r="Z44" s="145"/>
      <c r="BA44" s="75" t="e">
        <f t="shared" si="18"/>
        <v>#DIV/0!</v>
      </c>
      <c r="BB44" s="78"/>
      <c r="BC44" s="132"/>
      <c r="BD44" s="133"/>
      <c r="BE44" s="132"/>
      <c r="BF44" s="134"/>
      <c r="BG44" s="135"/>
      <c r="BH44" s="135"/>
      <c r="BI44" s="136"/>
      <c r="BJ44" s="136"/>
      <c r="BK44" s="136"/>
      <c r="BL44" s="136"/>
      <c r="BM44" s="137"/>
      <c r="BN44" s="137"/>
      <c r="BO44" s="75">
        <f>LOOKUP(D44,基础数据!A:D)</f>
        <v>3.53915880885741</v>
      </c>
      <c r="BP44" s="75">
        <f t="shared" si="20"/>
        <v>1.00524445538374</v>
      </c>
      <c r="BQ44" s="75">
        <f t="shared" si="10"/>
        <v>282</v>
      </c>
      <c r="BR44" s="272">
        <f t="shared" si="23"/>
        <v>319</v>
      </c>
      <c r="BS44" s="156">
        <f t="shared" si="11"/>
        <v>36.7</v>
      </c>
      <c r="BT44" s="1211">
        <v>0.06</v>
      </c>
      <c r="BU44" s="156">
        <f t="shared" si="12"/>
        <v>19.14</v>
      </c>
      <c r="BV44" s="156">
        <f t="shared" si="13"/>
        <v>1.58</v>
      </c>
      <c r="BW44" s="156">
        <f t="shared" si="19"/>
        <v>300</v>
      </c>
      <c r="BX44" s="156">
        <f t="shared" si="14"/>
        <v>7.58110882956879</v>
      </c>
      <c r="BY44" s="1207" t="s">
        <v>2806</v>
      </c>
      <c r="BZ44" s="272">
        <v>30</v>
      </c>
      <c r="CA44" s="186">
        <f t="shared" si="15"/>
        <v>0.75</v>
      </c>
      <c r="CB44" s="186">
        <f t="shared" si="16"/>
        <v>0.75</v>
      </c>
      <c r="CC44" s="186">
        <f t="shared" si="17"/>
        <v>0.75</v>
      </c>
      <c r="CD44" s="272"/>
      <c r="CF44" s="134"/>
      <c r="CG44" s="138"/>
      <c r="CH44" s="132"/>
      <c r="CI44" s="138"/>
      <c r="CJ44" s="132"/>
      <c r="CK44" s="132"/>
      <c r="CL44" s="134"/>
      <c r="CM44" s="146"/>
    </row>
    <row r="45" ht="15" customHeight="1" spans="1:91">
      <c r="A45" s="123">
        <f>IF(B45="","",COUNT(A$7:A44)+1)</f>
        <v>38</v>
      </c>
      <c r="B45" s="139" t="s">
        <v>2824</v>
      </c>
      <c r="C45" s="139" t="s">
        <v>2828</v>
      </c>
      <c r="D45" s="1209">
        <v>43100</v>
      </c>
      <c r="E45" s="1210">
        <v>3772.5</v>
      </c>
      <c r="F45" s="219" t="s">
        <v>2770</v>
      </c>
      <c r="G45" s="142"/>
      <c r="H45" s="127"/>
      <c r="I45" s="128"/>
      <c r="J45" s="128"/>
      <c r="K45" s="980">
        <v>30</v>
      </c>
      <c r="L45" s="143"/>
      <c r="M45" s="143"/>
      <c r="N45" s="144"/>
      <c r="O45" s="144"/>
      <c r="P45" s="144"/>
      <c r="Q45" s="353">
        <f t="shared" si="0"/>
        <v>30</v>
      </c>
      <c r="R45" s="129">
        <f t="shared" si="1"/>
        <v>0</v>
      </c>
      <c r="S45" s="129">
        <f t="shared" si="2"/>
        <v>0</v>
      </c>
      <c r="T45" s="129">
        <f t="shared" si="3"/>
        <v>30</v>
      </c>
      <c r="U45" s="129">
        <f t="shared" si="4"/>
        <v>3990</v>
      </c>
      <c r="V45" s="214">
        <f t="shared" si="5"/>
        <v>75</v>
      </c>
      <c r="W45" s="353">
        <f t="shared" si="6"/>
        <v>2992.5</v>
      </c>
      <c r="X45" s="129">
        <f t="shared" si="7"/>
        <v>2992.5</v>
      </c>
      <c r="Y45" s="129" t="str">
        <f t="shared" si="8"/>
        <v/>
      </c>
      <c r="Z45" s="145"/>
      <c r="BA45" s="75" t="e">
        <f t="shared" si="18"/>
        <v>#DIV/0!</v>
      </c>
      <c r="BB45" s="78"/>
      <c r="BC45" s="132"/>
      <c r="BD45" s="133"/>
      <c r="BE45" s="132"/>
      <c r="BF45" s="134"/>
      <c r="BG45" s="135"/>
      <c r="BH45" s="135"/>
      <c r="BI45" s="136"/>
      <c r="BJ45" s="136"/>
      <c r="BK45" s="136"/>
      <c r="BL45" s="136"/>
      <c r="BM45" s="137"/>
      <c r="BN45" s="137"/>
      <c r="BO45" s="75">
        <f>LOOKUP(D45,基础数据!A:D)</f>
        <v>3.53915880885741</v>
      </c>
      <c r="BP45" s="75">
        <f t="shared" si="20"/>
        <v>1.00524445538374</v>
      </c>
      <c r="BQ45" s="75">
        <f t="shared" si="10"/>
        <v>126</v>
      </c>
      <c r="BR45" s="272">
        <f t="shared" si="23"/>
        <v>142</v>
      </c>
      <c r="BS45" s="156">
        <f t="shared" si="11"/>
        <v>16.34</v>
      </c>
      <c r="BT45" s="1211">
        <v>0.06</v>
      </c>
      <c r="BU45" s="156">
        <f t="shared" si="12"/>
        <v>8.52</v>
      </c>
      <c r="BV45" s="156">
        <f t="shared" si="13"/>
        <v>0.7</v>
      </c>
      <c r="BW45" s="156">
        <f t="shared" si="19"/>
        <v>133</v>
      </c>
      <c r="BX45" s="156">
        <f t="shared" si="14"/>
        <v>7.58110882956879</v>
      </c>
      <c r="BY45" s="1207" t="s">
        <v>2806</v>
      </c>
      <c r="BZ45" s="272">
        <v>30</v>
      </c>
      <c r="CA45" s="186">
        <f t="shared" si="15"/>
        <v>0.75</v>
      </c>
      <c r="CB45" s="186">
        <f t="shared" si="16"/>
        <v>0.75</v>
      </c>
      <c r="CC45" s="186">
        <f t="shared" si="17"/>
        <v>0.75</v>
      </c>
      <c r="CD45" s="272"/>
      <c r="CF45" s="134"/>
      <c r="CG45" s="138"/>
      <c r="CH45" s="132"/>
      <c r="CI45" s="138"/>
      <c r="CJ45" s="132"/>
      <c r="CK45" s="132"/>
      <c r="CL45" s="134"/>
      <c r="CM45" s="146"/>
    </row>
    <row r="46" ht="15" customHeight="1" spans="1:91">
      <c r="A46" s="123">
        <f>IF(B46="","",COUNT(A$7:A45)+1)</f>
        <v>39</v>
      </c>
      <c r="B46" s="139" t="s">
        <v>2829</v>
      </c>
      <c r="C46" s="139" t="s">
        <v>2820</v>
      </c>
      <c r="D46" s="1209">
        <v>44924</v>
      </c>
      <c r="E46" s="1210">
        <v>3743.2</v>
      </c>
      <c r="F46" s="219" t="s">
        <v>2770</v>
      </c>
      <c r="G46" s="142"/>
      <c r="H46" s="127"/>
      <c r="I46" s="128"/>
      <c r="J46" s="128"/>
      <c r="K46" s="980">
        <v>40</v>
      </c>
      <c r="L46" s="143"/>
      <c r="M46" s="143"/>
      <c r="N46" s="144"/>
      <c r="O46" s="144"/>
      <c r="P46" s="144"/>
      <c r="Q46" s="353">
        <f t="shared" si="0"/>
        <v>40</v>
      </c>
      <c r="R46" s="129">
        <f t="shared" si="1"/>
        <v>0</v>
      </c>
      <c r="S46" s="129">
        <f t="shared" si="2"/>
        <v>0</v>
      </c>
      <c r="T46" s="129">
        <f t="shared" si="3"/>
        <v>40</v>
      </c>
      <c r="U46" s="129">
        <f t="shared" si="4"/>
        <v>3200</v>
      </c>
      <c r="V46" s="214">
        <f t="shared" si="5"/>
        <v>91</v>
      </c>
      <c r="W46" s="353">
        <f t="shared" si="6"/>
        <v>2912</v>
      </c>
      <c r="X46" s="129">
        <f t="shared" si="7"/>
        <v>2912</v>
      </c>
      <c r="Y46" s="129" t="str">
        <f t="shared" si="8"/>
        <v/>
      </c>
      <c r="Z46" s="145"/>
      <c r="BA46" s="75" t="e">
        <f t="shared" si="18"/>
        <v>#DIV/0!</v>
      </c>
      <c r="BB46" s="78"/>
      <c r="BC46" s="132"/>
      <c r="BD46" s="133"/>
      <c r="BE46" s="132"/>
      <c r="BF46" s="134"/>
      <c r="BG46" s="135"/>
      <c r="BH46" s="135"/>
      <c r="BI46" s="136"/>
      <c r="BJ46" s="136"/>
      <c r="BK46" s="136"/>
      <c r="BL46" s="136"/>
      <c r="BM46" s="137"/>
      <c r="BN46" s="137"/>
      <c r="BO46" s="75">
        <f>LOOKUP(D46,基础数据!A:D)</f>
        <v>3.84333367100529</v>
      </c>
      <c r="BP46" s="75">
        <f t="shared" si="20"/>
        <v>0.92568589507761</v>
      </c>
      <c r="BQ46" s="75">
        <f t="shared" si="10"/>
        <v>87</v>
      </c>
      <c r="BR46" s="272">
        <v>85</v>
      </c>
      <c r="BS46" s="156">
        <f t="shared" si="11"/>
        <v>9.78</v>
      </c>
      <c r="BT46" s="1211">
        <v>0.06</v>
      </c>
      <c r="BU46" s="156">
        <f t="shared" si="12"/>
        <v>5.1</v>
      </c>
      <c r="BV46" s="156">
        <f t="shared" si="13"/>
        <v>0.42</v>
      </c>
      <c r="BW46" s="156">
        <f t="shared" si="19"/>
        <v>80</v>
      </c>
      <c r="BX46" s="156">
        <f t="shared" si="14"/>
        <v>2.58726899383984</v>
      </c>
      <c r="BY46" s="1207" t="s">
        <v>2806</v>
      </c>
      <c r="BZ46" s="272">
        <v>30</v>
      </c>
      <c r="CA46" s="186">
        <f t="shared" ref="CA46" si="25">ROUND(IFERROR(1-(BX46/BZ46),0),2)</f>
        <v>0.91</v>
      </c>
      <c r="CB46" s="186">
        <f t="shared" si="16"/>
        <v>0.91</v>
      </c>
      <c r="CC46" s="186">
        <f t="shared" si="17"/>
        <v>0.91</v>
      </c>
      <c r="CD46" s="1208" t="s">
        <v>2821</v>
      </c>
      <c r="CF46" s="134"/>
      <c r="CG46" s="138"/>
      <c r="CH46" s="132"/>
      <c r="CI46" s="138"/>
      <c r="CJ46" s="132"/>
      <c r="CK46" s="132"/>
      <c r="CL46" s="134"/>
      <c r="CM46" s="146"/>
    </row>
    <row r="47" ht="15" customHeight="1" spans="1:91">
      <c r="A47" s="123">
        <f>IF(B47="","",COUNT(A$7:A46)+1)</f>
        <v>40</v>
      </c>
      <c r="B47" s="139" t="s">
        <v>2829</v>
      </c>
      <c r="C47" s="139" t="s">
        <v>2830</v>
      </c>
      <c r="D47" s="1209">
        <v>43100</v>
      </c>
      <c r="E47" s="1210">
        <v>6199</v>
      </c>
      <c r="F47" s="219" t="s">
        <v>2770</v>
      </c>
      <c r="G47" s="142"/>
      <c r="H47" s="127"/>
      <c r="I47" s="128"/>
      <c r="J47" s="128"/>
      <c r="K47" s="980">
        <v>20</v>
      </c>
      <c r="L47" s="143"/>
      <c r="M47" s="143"/>
      <c r="N47" s="144"/>
      <c r="O47" s="144"/>
      <c r="P47" s="144"/>
      <c r="Q47" s="353">
        <f t="shared" si="0"/>
        <v>20</v>
      </c>
      <c r="R47" s="129">
        <f t="shared" si="1"/>
        <v>0</v>
      </c>
      <c r="S47" s="129">
        <f t="shared" si="2"/>
        <v>0</v>
      </c>
      <c r="T47" s="129">
        <f t="shared" si="3"/>
        <v>20</v>
      </c>
      <c r="U47" s="129">
        <f t="shared" si="4"/>
        <v>6360</v>
      </c>
      <c r="V47" s="214">
        <f t="shared" si="5"/>
        <v>75</v>
      </c>
      <c r="W47" s="353">
        <f t="shared" si="6"/>
        <v>4770</v>
      </c>
      <c r="X47" s="129">
        <f t="shared" si="7"/>
        <v>4770</v>
      </c>
      <c r="Y47" s="129" t="str">
        <f t="shared" si="8"/>
        <v/>
      </c>
      <c r="Z47" s="145"/>
      <c r="BA47" s="75" t="e">
        <f t="shared" si="18"/>
        <v>#DIV/0!</v>
      </c>
      <c r="BB47" s="78"/>
      <c r="BC47" s="132"/>
      <c r="BD47" s="133"/>
      <c r="BE47" s="132"/>
      <c r="BF47" s="134"/>
      <c r="BG47" s="135"/>
      <c r="BH47" s="135"/>
      <c r="BI47" s="136"/>
      <c r="BJ47" s="136"/>
      <c r="BK47" s="136"/>
      <c r="BL47" s="136"/>
      <c r="BM47" s="137"/>
      <c r="BN47" s="137"/>
      <c r="BO47" s="75">
        <f>LOOKUP(D47,基础数据!A:D)</f>
        <v>3.53915880885741</v>
      </c>
      <c r="BP47" s="75">
        <f t="shared" si="20"/>
        <v>1.00524445538374</v>
      </c>
      <c r="BQ47" s="75">
        <f t="shared" si="10"/>
        <v>312</v>
      </c>
      <c r="BR47" s="272">
        <v>337.88</v>
      </c>
      <c r="BS47" s="156">
        <f t="shared" si="11"/>
        <v>38.87</v>
      </c>
      <c r="BT47" s="1211">
        <v>0.06</v>
      </c>
      <c r="BU47" s="156">
        <f t="shared" si="12"/>
        <v>20.27</v>
      </c>
      <c r="BV47" s="156">
        <f t="shared" si="13"/>
        <v>1.67</v>
      </c>
      <c r="BW47" s="156">
        <f t="shared" si="19"/>
        <v>318</v>
      </c>
      <c r="BX47" s="156">
        <f t="shared" si="14"/>
        <v>7.58110882956879</v>
      </c>
      <c r="BY47" s="1207" t="s">
        <v>2806</v>
      </c>
      <c r="BZ47" s="272">
        <v>30</v>
      </c>
      <c r="CA47" s="186">
        <f t="shared" si="15"/>
        <v>0.75</v>
      </c>
      <c r="CB47" s="186">
        <f t="shared" si="16"/>
        <v>0.75</v>
      </c>
      <c r="CC47" s="186">
        <f t="shared" si="17"/>
        <v>0.75</v>
      </c>
      <c r="CD47" s="1208" t="s">
        <v>2831</v>
      </c>
      <c r="CF47" s="134"/>
      <c r="CG47" s="138"/>
      <c r="CH47" s="132"/>
      <c r="CI47" s="138"/>
      <c r="CJ47" s="132"/>
      <c r="CK47" s="132"/>
      <c r="CL47" s="134"/>
      <c r="CM47" s="146"/>
    </row>
    <row r="48" ht="15" customHeight="1" spans="1:91">
      <c r="A48" s="123">
        <f>IF(B48="","",COUNT(A$7:A47)+1)</f>
        <v>41</v>
      </c>
      <c r="B48" s="139" t="s">
        <v>2829</v>
      </c>
      <c r="C48" s="139" t="s">
        <v>2830</v>
      </c>
      <c r="D48" s="1209">
        <v>43100</v>
      </c>
      <c r="E48" s="1210">
        <v>6199</v>
      </c>
      <c r="F48" s="219" t="s">
        <v>2770</v>
      </c>
      <c r="G48" s="142"/>
      <c r="H48" s="127"/>
      <c r="I48" s="128"/>
      <c r="J48" s="128"/>
      <c r="K48" s="980">
        <v>20</v>
      </c>
      <c r="L48" s="143"/>
      <c r="M48" s="143"/>
      <c r="N48" s="144"/>
      <c r="O48" s="144"/>
      <c r="P48" s="144"/>
      <c r="Q48" s="353">
        <f t="shared" si="0"/>
        <v>20</v>
      </c>
      <c r="R48" s="129">
        <f t="shared" si="1"/>
        <v>0</v>
      </c>
      <c r="S48" s="129">
        <f t="shared" si="2"/>
        <v>0</v>
      </c>
      <c r="T48" s="129">
        <f t="shared" si="3"/>
        <v>20</v>
      </c>
      <c r="U48" s="129">
        <f t="shared" si="4"/>
        <v>6360</v>
      </c>
      <c r="V48" s="214">
        <f t="shared" si="5"/>
        <v>75</v>
      </c>
      <c r="W48" s="353">
        <f t="shared" si="6"/>
        <v>4770</v>
      </c>
      <c r="X48" s="129">
        <f t="shared" si="7"/>
        <v>4770</v>
      </c>
      <c r="Y48" s="129" t="str">
        <f t="shared" si="8"/>
        <v/>
      </c>
      <c r="Z48" s="145"/>
      <c r="BA48" s="75" t="e">
        <f t="shared" si="18"/>
        <v>#DIV/0!</v>
      </c>
      <c r="BB48" s="78"/>
      <c r="BC48" s="132"/>
      <c r="BD48" s="133"/>
      <c r="BE48" s="132"/>
      <c r="BF48" s="134"/>
      <c r="BG48" s="135"/>
      <c r="BH48" s="135"/>
      <c r="BI48" s="136"/>
      <c r="BJ48" s="136"/>
      <c r="BK48" s="136"/>
      <c r="BL48" s="136"/>
      <c r="BM48" s="137"/>
      <c r="BN48" s="137"/>
      <c r="BO48" s="75">
        <f>LOOKUP(D48,基础数据!A:D)</f>
        <v>3.53915880885741</v>
      </c>
      <c r="BP48" s="75">
        <f t="shared" si="20"/>
        <v>1.00524445538374</v>
      </c>
      <c r="BQ48" s="75">
        <f t="shared" si="10"/>
        <v>312</v>
      </c>
      <c r="BR48" s="272">
        <v>337.88</v>
      </c>
      <c r="BS48" s="156">
        <f t="shared" si="11"/>
        <v>38.87</v>
      </c>
      <c r="BT48" s="1211">
        <v>0.06</v>
      </c>
      <c r="BU48" s="156">
        <f t="shared" si="12"/>
        <v>20.27</v>
      </c>
      <c r="BV48" s="156">
        <f t="shared" si="13"/>
        <v>1.67</v>
      </c>
      <c r="BW48" s="156">
        <f t="shared" si="19"/>
        <v>318</v>
      </c>
      <c r="BX48" s="156">
        <f t="shared" si="14"/>
        <v>7.58110882956879</v>
      </c>
      <c r="BY48" s="1207" t="s">
        <v>2806</v>
      </c>
      <c r="BZ48" s="272">
        <v>30</v>
      </c>
      <c r="CA48" s="186">
        <f t="shared" ref="CA48" si="26">ROUND(IFERROR(1-(BX48/BZ48),0),2)</f>
        <v>0.75</v>
      </c>
      <c r="CB48" s="186">
        <f t="shared" si="16"/>
        <v>0.75</v>
      </c>
      <c r="CC48" s="186">
        <f t="shared" si="17"/>
        <v>0.75</v>
      </c>
      <c r="CD48" s="1208" t="s">
        <v>2831</v>
      </c>
      <c r="CF48" s="134"/>
      <c r="CG48" s="138"/>
      <c r="CH48" s="132"/>
      <c r="CI48" s="138"/>
      <c r="CJ48" s="132"/>
      <c r="CK48" s="132"/>
      <c r="CL48" s="134"/>
      <c r="CM48" s="146"/>
    </row>
    <row r="49" ht="15" customHeight="1" spans="1:91">
      <c r="A49" s="123">
        <f>IF(B49="","",COUNT(A$7:A48)+1)</f>
        <v>42</v>
      </c>
      <c r="B49" s="139" t="s">
        <v>2829</v>
      </c>
      <c r="C49" s="139" t="s">
        <v>2820</v>
      </c>
      <c r="D49" s="1209">
        <v>44924</v>
      </c>
      <c r="E49" s="1210">
        <v>16844.4</v>
      </c>
      <c r="F49" s="219" t="s">
        <v>2770</v>
      </c>
      <c r="G49" s="142"/>
      <c r="H49" s="127"/>
      <c r="I49" s="128"/>
      <c r="J49" s="128"/>
      <c r="K49" s="980">
        <v>180</v>
      </c>
      <c r="L49" s="143"/>
      <c r="M49" s="143"/>
      <c r="N49" s="144"/>
      <c r="O49" s="144"/>
      <c r="P49" s="144"/>
      <c r="Q49" s="353">
        <f t="shared" si="0"/>
        <v>180</v>
      </c>
      <c r="R49" s="129">
        <f t="shared" si="1"/>
        <v>0</v>
      </c>
      <c r="S49" s="129">
        <f t="shared" si="2"/>
        <v>0</v>
      </c>
      <c r="T49" s="129">
        <f t="shared" si="3"/>
        <v>180</v>
      </c>
      <c r="U49" s="129">
        <f t="shared" si="4"/>
        <v>14400</v>
      </c>
      <c r="V49" s="214">
        <f t="shared" si="5"/>
        <v>91</v>
      </c>
      <c r="W49" s="353">
        <f t="shared" si="6"/>
        <v>13104</v>
      </c>
      <c r="X49" s="129">
        <f t="shared" si="7"/>
        <v>13104</v>
      </c>
      <c r="Y49" s="129" t="str">
        <f t="shared" si="8"/>
        <v/>
      </c>
      <c r="Z49" s="145"/>
      <c r="BA49" s="75" t="e">
        <f t="shared" si="18"/>
        <v>#DIV/0!</v>
      </c>
      <c r="BB49" s="78"/>
      <c r="BC49" s="132"/>
      <c r="BD49" s="133"/>
      <c r="BE49" s="132"/>
      <c r="BF49" s="134"/>
      <c r="BG49" s="135"/>
      <c r="BH49" s="135"/>
      <c r="BI49" s="136"/>
      <c r="BJ49" s="136"/>
      <c r="BK49" s="136"/>
      <c r="BL49" s="136"/>
      <c r="BM49" s="137"/>
      <c r="BN49" s="137"/>
      <c r="BO49" s="75">
        <f>LOOKUP(D49,基础数据!A:D)</f>
        <v>3.84333367100529</v>
      </c>
      <c r="BP49" s="75">
        <f t="shared" si="20"/>
        <v>0.92568589507761</v>
      </c>
      <c r="BQ49" s="75">
        <f t="shared" si="10"/>
        <v>87</v>
      </c>
      <c r="BR49" s="272">
        <v>85</v>
      </c>
      <c r="BS49" s="156">
        <f t="shared" si="11"/>
        <v>9.78</v>
      </c>
      <c r="BT49" s="1211">
        <v>0.06</v>
      </c>
      <c r="BU49" s="156">
        <f t="shared" si="12"/>
        <v>5.1</v>
      </c>
      <c r="BV49" s="156">
        <f t="shared" si="13"/>
        <v>0.42</v>
      </c>
      <c r="BW49" s="156">
        <f t="shared" si="19"/>
        <v>80</v>
      </c>
      <c r="BX49" s="156">
        <f t="shared" si="14"/>
        <v>2.58726899383984</v>
      </c>
      <c r="BY49" s="1207" t="s">
        <v>2806</v>
      </c>
      <c r="BZ49" s="272">
        <v>30</v>
      </c>
      <c r="CA49" s="186">
        <f t="shared" ref="CA49:CA50" si="27">ROUND(IFERROR(1-(BX49/BZ49),0),2)</f>
        <v>0.91</v>
      </c>
      <c r="CB49" s="186">
        <f t="shared" si="16"/>
        <v>0.91</v>
      </c>
      <c r="CC49" s="186">
        <f t="shared" si="17"/>
        <v>0.91</v>
      </c>
      <c r="CD49" s="1208" t="s">
        <v>2821</v>
      </c>
      <c r="CF49" s="134"/>
      <c r="CG49" s="138"/>
      <c r="CH49" s="132"/>
      <c r="CI49" s="138"/>
      <c r="CJ49" s="132"/>
      <c r="CK49" s="132"/>
      <c r="CL49" s="134"/>
      <c r="CM49" s="146"/>
    </row>
    <row r="50" ht="15" customHeight="1" spans="1:91">
      <c r="A50" s="123">
        <f>IF(B50="","",COUNT(A$7:A49)+1)</f>
        <v>43</v>
      </c>
      <c r="B50" s="139" t="s">
        <v>2829</v>
      </c>
      <c r="C50" s="139" t="s">
        <v>2830</v>
      </c>
      <c r="D50" s="1209">
        <v>43100</v>
      </c>
      <c r="E50" s="1210">
        <v>43393</v>
      </c>
      <c r="F50" s="219" t="s">
        <v>2770</v>
      </c>
      <c r="G50" s="142"/>
      <c r="H50" s="127"/>
      <c r="I50" s="128"/>
      <c r="J50" s="128"/>
      <c r="K50" s="980">
        <v>140</v>
      </c>
      <c r="L50" s="143"/>
      <c r="M50" s="143"/>
      <c r="N50" s="144"/>
      <c r="O50" s="144"/>
      <c r="P50" s="144"/>
      <c r="Q50" s="353">
        <f t="shared" si="0"/>
        <v>140</v>
      </c>
      <c r="R50" s="129">
        <f t="shared" si="1"/>
        <v>0</v>
      </c>
      <c r="S50" s="129">
        <f t="shared" si="2"/>
        <v>0</v>
      </c>
      <c r="T50" s="129">
        <f t="shared" si="3"/>
        <v>140</v>
      </c>
      <c r="U50" s="129">
        <f t="shared" si="4"/>
        <v>44520</v>
      </c>
      <c r="V50" s="214">
        <f t="shared" si="5"/>
        <v>75</v>
      </c>
      <c r="W50" s="353">
        <f t="shared" si="6"/>
        <v>33390</v>
      </c>
      <c r="X50" s="129">
        <f t="shared" si="7"/>
        <v>33390</v>
      </c>
      <c r="Y50" s="129" t="str">
        <f t="shared" si="8"/>
        <v/>
      </c>
      <c r="Z50" s="145"/>
      <c r="BA50" s="75" t="e">
        <f t="shared" si="18"/>
        <v>#DIV/0!</v>
      </c>
      <c r="BB50" s="78"/>
      <c r="BC50" s="132"/>
      <c r="BD50" s="133"/>
      <c r="BE50" s="132"/>
      <c r="BF50" s="134"/>
      <c r="BG50" s="135"/>
      <c r="BH50" s="135"/>
      <c r="BI50" s="136"/>
      <c r="BJ50" s="136"/>
      <c r="BK50" s="136"/>
      <c r="BL50" s="136"/>
      <c r="BM50" s="137"/>
      <c r="BN50" s="137"/>
      <c r="BO50" s="75">
        <f>LOOKUP(D50,基础数据!A:D)</f>
        <v>3.53915880885741</v>
      </c>
      <c r="BP50" s="75">
        <f t="shared" si="20"/>
        <v>1.00524445538374</v>
      </c>
      <c r="BQ50" s="75">
        <f t="shared" si="10"/>
        <v>312</v>
      </c>
      <c r="BR50" s="272">
        <v>337.88</v>
      </c>
      <c r="BS50" s="156">
        <f t="shared" si="11"/>
        <v>38.87</v>
      </c>
      <c r="BT50" s="1211">
        <v>0.06</v>
      </c>
      <c r="BU50" s="156">
        <f t="shared" si="12"/>
        <v>20.27</v>
      </c>
      <c r="BV50" s="156">
        <f t="shared" si="13"/>
        <v>1.67</v>
      </c>
      <c r="BW50" s="156">
        <f t="shared" si="19"/>
        <v>318</v>
      </c>
      <c r="BX50" s="156">
        <f t="shared" si="14"/>
        <v>7.58110882956879</v>
      </c>
      <c r="BY50" s="1207" t="s">
        <v>2806</v>
      </c>
      <c r="BZ50" s="272">
        <v>30</v>
      </c>
      <c r="CA50" s="186">
        <f t="shared" si="27"/>
        <v>0.75</v>
      </c>
      <c r="CB50" s="186">
        <f t="shared" si="16"/>
        <v>0.75</v>
      </c>
      <c r="CC50" s="186">
        <f t="shared" si="17"/>
        <v>0.75</v>
      </c>
      <c r="CD50" s="1208" t="s">
        <v>2831</v>
      </c>
      <c r="CF50" s="134"/>
      <c r="CG50" s="138"/>
      <c r="CH50" s="132"/>
      <c r="CI50" s="138"/>
      <c r="CJ50" s="132"/>
      <c r="CK50" s="132"/>
      <c r="CL50" s="134"/>
      <c r="CM50" s="146"/>
    </row>
    <row r="51" ht="15" customHeight="1" spans="1:91">
      <c r="A51" s="123">
        <f>IF(B51="","",COUNT(A$7:A50)+1)</f>
        <v>44</v>
      </c>
      <c r="B51" s="139" t="s">
        <v>2829</v>
      </c>
      <c r="C51" s="139" t="s">
        <v>2832</v>
      </c>
      <c r="D51" s="1209">
        <v>43100</v>
      </c>
      <c r="E51" s="1210">
        <v>2542.8</v>
      </c>
      <c r="F51" s="219" t="s">
        <v>2770</v>
      </c>
      <c r="G51" s="142"/>
      <c r="H51" s="127"/>
      <c r="I51" s="128"/>
      <c r="J51" s="128"/>
      <c r="K51" s="980">
        <v>40</v>
      </c>
      <c r="L51" s="143"/>
      <c r="M51" s="143"/>
      <c r="N51" s="144"/>
      <c r="O51" s="144"/>
      <c r="P51" s="144"/>
      <c r="Q51" s="353">
        <f t="shared" si="0"/>
        <v>40</v>
      </c>
      <c r="R51" s="129">
        <f t="shared" si="1"/>
        <v>0</v>
      </c>
      <c r="S51" s="129">
        <f t="shared" si="2"/>
        <v>0</v>
      </c>
      <c r="T51" s="129">
        <f t="shared" si="3"/>
        <v>40</v>
      </c>
      <c r="U51" s="129">
        <f t="shared" si="4"/>
        <v>2640</v>
      </c>
      <c r="V51" s="214">
        <f t="shared" si="5"/>
        <v>75</v>
      </c>
      <c r="W51" s="353">
        <f t="shared" si="6"/>
        <v>1980</v>
      </c>
      <c r="X51" s="129">
        <f t="shared" si="7"/>
        <v>1980</v>
      </c>
      <c r="Y51" s="129" t="str">
        <f t="shared" si="8"/>
        <v/>
      </c>
      <c r="Z51" s="145"/>
      <c r="BA51" s="75" t="e">
        <f t="shared" si="18"/>
        <v>#DIV/0!</v>
      </c>
      <c r="BB51" s="78"/>
      <c r="BC51" s="132"/>
      <c r="BD51" s="133"/>
      <c r="BE51" s="132"/>
      <c r="BF51" s="134"/>
      <c r="BG51" s="135"/>
      <c r="BH51" s="135"/>
      <c r="BI51" s="136"/>
      <c r="BJ51" s="136"/>
      <c r="BK51" s="136"/>
      <c r="BL51" s="136"/>
      <c r="BM51" s="137"/>
      <c r="BN51" s="137"/>
      <c r="BO51" s="75">
        <f>LOOKUP(D51,基础数据!A:D)</f>
        <v>3.53915880885741</v>
      </c>
      <c r="BP51" s="75">
        <f t="shared" si="20"/>
        <v>1.00524445538374</v>
      </c>
      <c r="BQ51" s="75">
        <f t="shared" si="10"/>
        <v>64</v>
      </c>
      <c r="BR51" s="272">
        <v>69.96</v>
      </c>
      <c r="BS51" s="156">
        <f t="shared" si="11"/>
        <v>8.05</v>
      </c>
      <c r="BT51" s="1211">
        <v>0.06</v>
      </c>
      <c r="BU51" s="156">
        <f t="shared" si="12"/>
        <v>4.2</v>
      </c>
      <c r="BV51" s="156">
        <f t="shared" si="13"/>
        <v>0.35</v>
      </c>
      <c r="BW51" s="156">
        <f t="shared" si="19"/>
        <v>66</v>
      </c>
      <c r="BX51" s="156">
        <f t="shared" si="14"/>
        <v>7.58110882956879</v>
      </c>
      <c r="BY51" s="1207" t="s">
        <v>2806</v>
      </c>
      <c r="BZ51" s="272">
        <v>30</v>
      </c>
      <c r="CA51" s="186">
        <f t="shared" si="15"/>
        <v>0.75</v>
      </c>
      <c r="CB51" s="186">
        <f t="shared" si="16"/>
        <v>0.75</v>
      </c>
      <c r="CC51" s="186">
        <f t="shared" si="17"/>
        <v>0.75</v>
      </c>
      <c r="CD51" s="1208" t="s">
        <v>2833</v>
      </c>
      <c r="CF51" s="134"/>
      <c r="CG51" s="138"/>
      <c r="CH51" s="132"/>
      <c r="CI51" s="138"/>
      <c r="CJ51" s="132"/>
      <c r="CK51" s="132"/>
      <c r="CL51" s="134"/>
      <c r="CM51" s="146"/>
    </row>
    <row r="52" ht="15" customHeight="1" spans="1:91">
      <c r="A52" s="123">
        <f>IF(B52="","",COUNT(A$7:A51)+1)</f>
        <v>45</v>
      </c>
      <c r="B52" s="139" t="s">
        <v>2829</v>
      </c>
      <c r="C52" s="139" t="s">
        <v>2820</v>
      </c>
      <c r="D52" s="1209">
        <v>44924</v>
      </c>
      <c r="E52" s="1210">
        <v>3743.2</v>
      </c>
      <c r="F52" s="219" t="s">
        <v>2770</v>
      </c>
      <c r="G52" s="142"/>
      <c r="H52" s="127"/>
      <c r="I52" s="128"/>
      <c r="J52" s="128"/>
      <c r="K52" s="980">
        <v>40</v>
      </c>
      <c r="L52" s="143"/>
      <c r="M52" s="143"/>
      <c r="N52" s="144"/>
      <c r="O52" s="144"/>
      <c r="P52" s="144"/>
      <c r="Q52" s="353">
        <f t="shared" si="0"/>
        <v>40</v>
      </c>
      <c r="R52" s="129">
        <f t="shared" si="1"/>
        <v>0</v>
      </c>
      <c r="S52" s="129">
        <f t="shared" si="2"/>
        <v>0</v>
      </c>
      <c r="T52" s="129">
        <f t="shared" si="3"/>
        <v>40</v>
      </c>
      <c r="U52" s="129">
        <f t="shared" si="4"/>
        <v>3200</v>
      </c>
      <c r="V52" s="214">
        <f t="shared" si="5"/>
        <v>91</v>
      </c>
      <c r="W52" s="353">
        <f t="shared" si="6"/>
        <v>2912</v>
      </c>
      <c r="X52" s="129">
        <f t="shared" si="7"/>
        <v>2912</v>
      </c>
      <c r="Y52" s="129" t="str">
        <f t="shared" si="8"/>
        <v/>
      </c>
      <c r="Z52" s="145"/>
      <c r="BA52" s="75" t="e">
        <f t="shared" si="18"/>
        <v>#DIV/0!</v>
      </c>
      <c r="BB52" s="78"/>
      <c r="BC52" s="132"/>
      <c r="BD52" s="133"/>
      <c r="BE52" s="132"/>
      <c r="BF52" s="134"/>
      <c r="BG52" s="135"/>
      <c r="BH52" s="135"/>
      <c r="BI52" s="136"/>
      <c r="BJ52" s="136"/>
      <c r="BK52" s="136"/>
      <c r="BL52" s="136"/>
      <c r="BM52" s="137"/>
      <c r="BN52" s="137"/>
      <c r="BO52" s="75">
        <f>LOOKUP(D52,基础数据!A:D)</f>
        <v>3.84333367100529</v>
      </c>
      <c r="BP52" s="75">
        <f t="shared" si="20"/>
        <v>0.92568589507761</v>
      </c>
      <c r="BQ52" s="75">
        <f t="shared" si="10"/>
        <v>87</v>
      </c>
      <c r="BR52" s="272">
        <v>85</v>
      </c>
      <c r="BS52" s="156">
        <f t="shared" si="11"/>
        <v>9.78</v>
      </c>
      <c r="BT52" s="1211">
        <v>0.06</v>
      </c>
      <c r="BU52" s="156">
        <f t="shared" si="12"/>
        <v>5.1</v>
      </c>
      <c r="BV52" s="156">
        <f t="shared" si="13"/>
        <v>0.42</v>
      </c>
      <c r="BW52" s="156">
        <f t="shared" si="19"/>
        <v>80</v>
      </c>
      <c r="BX52" s="156">
        <f t="shared" si="14"/>
        <v>2.58726899383984</v>
      </c>
      <c r="BY52" s="1207" t="s">
        <v>2806</v>
      </c>
      <c r="BZ52" s="272">
        <v>30</v>
      </c>
      <c r="CA52" s="186">
        <f t="shared" ref="CA52:CA54" si="28">ROUND(IFERROR(1-(BX52/BZ52),0),2)</f>
        <v>0.91</v>
      </c>
      <c r="CB52" s="186">
        <f t="shared" si="16"/>
        <v>0.91</v>
      </c>
      <c r="CC52" s="186">
        <f t="shared" si="17"/>
        <v>0.91</v>
      </c>
      <c r="CD52" s="1208" t="s">
        <v>2821</v>
      </c>
      <c r="CF52" s="134"/>
      <c r="CG52" s="138"/>
      <c r="CH52" s="132"/>
      <c r="CI52" s="138"/>
      <c r="CJ52" s="132"/>
      <c r="CK52" s="132"/>
      <c r="CL52" s="134"/>
      <c r="CM52" s="146"/>
    </row>
    <row r="53" ht="15" customHeight="1" spans="1:91">
      <c r="A53" s="123">
        <f>IF(B53="","",COUNT(A$7:A52)+1)</f>
        <v>46</v>
      </c>
      <c r="B53" s="139" t="s">
        <v>2829</v>
      </c>
      <c r="C53" s="139" t="s">
        <v>2830</v>
      </c>
      <c r="D53" s="1209">
        <v>43100</v>
      </c>
      <c r="E53" s="1210">
        <v>24796</v>
      </c>
      <c r="F53" s="219" t="s">
        <v>2770</v>
      </c>
      <c r="G53" s="142"/>
      <c r="H53" s="127"/>
      <c r="I53" s="128"/>
      <c r="J53" s="128"/>
      <c r="K53" s="980">
        <v>80</v>
      </c>
      <c r="L53" s="143"/>
      <c r="M53" s="143"/>
      <c r="N53" s="144"/>
      <c r="O53" s="144"/>
      <c r="P53" s="144"/>
      <c r="Q53" s="353">
        <f t="shared" si="0"/>
        <v>80</v>
      </c>
      <c r="R53" s="129">
        <f t="shared" si="1"/>
        <v>0</v>
      </c>
      <c r="S53" s="129">
        <f t="shared" si="2"/>
        <v>0</v>
      </c>
      <c r="T53" s="129">
        <f t="shared" si="3"/>
        <v>80</v>
      </c>
      <c r="U53" s="129">
        <f t="shared" si="4"/>
        <v>25440</v>
      </c>
      <c r="V53" s="214">
        <f t="shared" si="5"/>
        <v>75</v>
      </c>
      <c r="W53" s="353">
        <f t="shared" si="6"/>
        <v>19080</v>
      </c>
      <c r="X53" s="129">
        <f t="shared" si="7"/>
        <v>19080</v>
      </c>
      <c r="Y53" s="129" t="str">
        <f t="shared" si="8"/>
        <v/>
      </c>
      <c r="Z53" s="145"/>
      <c r="BA53" s="75" t="e">
        <f t="shared" si="18"/>
        <v>#DIV/0!</v>
      </c>
      <c r="BB53" s="78"/>
      <c r="BC53" s="132"/>
      <c r="BD53" s="133"/>
      <c r="BE53" s="132"/>
      <c r="BF53" s="134"/>
      <c r="BG53" s="135"/>
      <c r="BH53" s="135"/>
      <c r="BI53" s="136"/>
      <c r="BJ53" s="136"/>
      <c r="BK53" s="136"/>
      <c r="BL53" s="136"/>
      <c r="BM53" s="137"/>
      <c r="BN53" s="137"/>
      <c r="BO53" s="75">
        <f>LOOKUP(D53,基础数据!A:D)</f>
        <v>3.53915880885741</v>
      </c>
      <c r="BP53" s="75">
        <f t="shared" si="20"/>
        <v>1.00524445538374</v>
      </c>
      <c r="BQ53" s="75">
        <f t="shared" si="10"/>
        <v>312</v>
      </c>
      <c r="BR53" s="272">
        <v>337.88</v>
      </c>
      <c r="BS53" s="156">
        <f t="shared" si="11"/>
        <v>38.87</v>
      </c>
      <c r="BT53" s="1211">
        <v>0.06</v>
      </c>
      <c r="BU53" s="156">
        <f t="shared" si="12"/>
        <v>20.27</v>
      </c>
      <c r="BV53" s="156">
        <f t="shared" si="13"/>
        <v>1.67</v>
      </c>
      <c r="BW53" s="156">
        <f t="shared" si="19"/>
        <v>318</v>
      </c>
      <c r="BX53" s="156">
        <f t="shared" si="14"/>
        <v>7.58110882956879</v>
      </c>
      <c r="BY53" s="1207" t="s">
        <v>2806</v>
      </c>
      <c r="BZ53" s="272">
        <v>30</v>
      </c>
      <c r="CA53" s="186">
        <f t="shared" si="28"/>
        <v>0.75</v>
      </c>
      <c r="CB53" s="186">
        <f t="shared" si="16"/>
        <v>0.75</v>
      </c>
      <c r="CC53" s="186">
        <f t="shared" si="17"/>
        <v>0.75</v>
      </c>
      <c r="CD53" s="1208" t="s">
        <v>2831</v>
      </c>
      <c r="CF53" s="134"/>
      <c r="CG53" s="138"/>
      <c r="CH53" s="132"/>
      <c r="CI53" s="138"/>
      <c r="CJ53" s="132"/>
      <c r="CK53" s="132"/>
      <c r="CL53" s="134"/>
      <c r="CM53" s="146"/>
    </row>
    <row r="54" ht="15" customHeight="1" spans="1:91">
      <c r="A54" s="123">
        <f>IF(B54="","",COUNT(A$7:A53)+1)</f>
        <v>47</v>
      </c>
      <c r="B54" s="139" t="s">
        <v>2829</v>
      </c>
      <c r="C54" s="139" t="s">
        <v>2830</v>
      </c>
      <c r="D54" s="1209">
        <v>43100</v>
      </c>
      <c r="E54" s="1210">
        <v>43393</v>
      </c>
      <c r="F54" s="219" t="s">
        <v>2770</v>
      </c>
      <c r="G54" s="142"/>
      <c r="H54" s="127"/>
      <c r="I54" s="128"/>
      <c r="J54" s="128"/>
      <c r="K54" s="980">
        <v>140</v>
      </c>
      <c r="L54" s="143"/>
      <c r="M54" s="143"/>
      <c r="N54" s="144"/>
      <c r="O54" s="144"/>
      <c r="P54" s="144"/>
      <c r="Q54" s="353">
        <f t="shared" si="0"/>
        <v>140</v>
      </c>
      <c r="R54" s="129">
        <f t="shared" si="1"/>
        <v>0</v>
      </c>
      <c r="S54" s="129">
        <f t="shared" si="2"/>
        <v>0</v>
      </c>
      <c r="T54" s="129">
        <f t="shared" si="3"/>
        <v>140</v>
      </c>
      <c r="U54" s="129">
        <f t="shared" si="4"/>
        <v>44520</v>
      </c>
      <c r="V54" s="214">
        <f t="shared" si="5"/>
        <v>75</v>
      </c>
      <c r="W54" s="353">
        <f t="shared" si="6"/>
        <v>33390</v>
      </c>
      <c r="X54" s="129">
        <f t="shared" si="7"/>
        <v>33390</v>
      </c>
      <c r="Y54" s="129" t="str">
        <f t="shared" si="8"/>
        <v/>
      </c>
      <c r="Z54" s="145"/>
      <c r="BA54" s="75" t="e">
        <f t="shared" si="18"/>
        <v>#DIV/0!</v>
      </c>
      <c r="BB54" s="78"/>
      <c r="BC54" s="132"/>
      <c r="BD54" s="133"/>
      <c r="BE54" s="132"/>
      <c r="BF54" s="134"/>
      <c r="BG54" s="135"/>
      <c r="BH54" s="135"/>
      <c r="BI54" s="136"/>
      <c r="BJ54" s="136"/>
      <c r="BK54" s="136"/>
      <c r="BL54" s="136"/>
      <c r="BM54" s="137"/>
      <c r="BN54" s="137"/>
      <c r="BO54" s="75">
        <f>LOOKUP(D54,基础数据!A:D)</f>
        <v>3.53915880885741</v>
      </c>
      <c r="BP54" s="75">
        <f t="shared" si="20"/>
        <v>1.00524445538374</v>
      </c>
      <c r="BQ54" s="75">
        <f t="shared" si="10"/>
        <v>312</v>
      </c>
      <c r="BR54" s="272">
        <v>337.88</v>
      </c>
      <c r="BS54" s="156">
        <f t="shared" si="11"/>
        <v>38.87</v>
      </c>
      <c r="BT54" s="1211">
        <v>0.06</v>
      </c>
      <c r="BU54" s="156">
        <f t="shared" si="12"/>
        <v>20.27</v>
      </c>
      <c r="BV54" s="156">
        <f t="shared" si="13"/>
        <v>1.67</v>
      </c>
      <c r="BW54" s="156">
        <f t="shared" si="19"/>
        <v>318</v>
      </c>
      <c r="BX54" s="156">
        <f t="shared" si="14"/>
        <v>7.58110882956879</v>
      </c>
      <c r="BY54" s="1207" t="s">
        <v>2806</v>
      </c>
      <c r="BZ54" s="272">
        <v>30</v>
      </c>
      <c r="CA54" s="186">
        <f t="shared" si="28"/>
        <v>0.75</v>
      </c>
      <c r="CB54" s="186">
        <f t="shared" si="16"/>
        <v>0.75</v>
      </c>
      <c r="CC54" s="186">
        <f t="shared" si="17"/>
        <v>0.75</v>
      </c>
      <c r="CD54" s="1208" t="s">
        <v>2831</v>
      </c>
      <c r="CF54" s="134"/>
      <c r="CG54" s="138"/>
      <c r="CH54" s="132"/>
      <c r="CI54" s="138"/>
      <c r="CJ54" s="132"/>
      <c r="CK54" s="132"/>
      <c r="CL54" s="134"/>
      <c r="CM54" s="146"/>
    </row>
    <row r="55" ht="15" customHeight="1" spans="1:91">
      <c r="A55" s="123">
        <f>IF(B55="","",COUNT(A$7:A54)+1)</f>
        <v>48</v>
      </c>
      <c r="B55" s="139" t="s">
        <v>2829</v>
      </c>
      <c r="C55" s="139" t="s">
        <v>2820</v>
      </c>
      <c r="D55" s="1209">
        <v>44924</v>
      </c>
      <c r="E55" s="1210">
        <v>14972.8</v>
      </c>
      <c r="F55" s="219" t="s">
        <v>2770</v>
      </c>
      <c r="G55" s="142"/>
      <c r="H55" s="127"/>
      <c r="I55" s="128"/>
      <c r="J55" s="128"/>
      <c r="K55" s="980">
        <v>160</v>
      </c>
      <c r="L55" s="143"/>
      <c r="M55" s="143"/>
      <c r="N55" s="144"/>
      <c r="O55" s="144"/>
      <c r="P55" s="144"/>
      <c r="Q55" s="353">
        <f t="shared" si="0"/>
        <v>160</v>
      </c>
      <c r="R55" s="129">
        <f t="shared" si="1"/>
        <v>0</v>
      </c>
      <c r="S55" s="129">
        <f t="shared" si="2"/>
        <v>0</v>
      </c>
      <c r="T55" s="129">
        <f t="shared" si="3"/>
        <v>160</v>
      </c>
      <c r="U55" s="129">
        <f t="shared" si="4"/>
        <v>12800</v>
      </c>
      <c r="V55" s="214">
        <f t="shared" si="5"/>
        <v>91</v>
      </c>
      <c r="W55" s="353">
        <f t="shared" si="6"/>
        <v>11648</v>
      </c>
      <c r="X55" s="129">
        <f t="shared" si="7"/>
        <v>11648</v>
      </c>
      <c r="Y55" s="129" t="str">
        <f t="shared" si="8"/>
        <v/>
      </c>
      <c r="Z55" s="145"/>
      <c r="BA55" s="75" t="e">
        <f t="shared" si="18"/>
        <v>#DIV/0!</v>
      </c>
      <c r="BB55" s="78"/>
      <c r="BC55" s="132"/>
      <c r="BD55" s="133"/>
      <c r="BE55" s="132"/>
      <c r="BF55" s="134"/>
      <c r="BG55" s="135"/>
      <c r="BH55" s="135"/>
      <c r="BI55" s="136"/>
      <c r="BJ55" s="136"/>
      <c r="BK55" s="136"/>
      <c r="BL55" s="136"/>
      <c r="BM55" s="137"/>
      <c r="BN55" s="137"/>
      <c r="BO55" s="75">
        <f>LOOKUP(D55,基础数据!A:D)</f>
        <v>3.84333367100529</v>
      </c>
      <c r="BP55" s="75">
        <f t="shared" si="20"/>
        <v>0.92568589507761</v>
      </c>
      <c r="BQ55" s="75">
        <f t="shared" si="10"/>
        <v>87</v>
      </c>
      <c r="BR55" s="272">
        <v>85</v>
      </c>
      <c r="BS55" s="156">
        <f t="shared" si="11"/>
        <v>9.78</v>
      </c>
      <c r="BT55" s="1211">
        <v>0.06</v>
      </c>
      <c r="BU55" s="156">
        <f t="shared" si="12"/>
        <v>5.1</v>
      </c>
      <c r="BV55" s="156">
        <f t="shared" si="13"/>
        <v>0.42</v>
      </c>
      <c r="BW55" s="156">
        <f t="shared" si="19"/>
        <v>80</v>
      </c>
      <c r="BX55" s="156">
        <f t="shared" si="14"/>
        <v>2.58726899383984</v>
      </c>
      <c r="BY55" s="1207" t="s">
        <v>2806</v>
      </c>
      <c r="BZ55" s="272">
        <v>30</v>
      </c>
      <c r="CA55" s="186">
        <f t="shared" ref="CA55:CA56" si="29">ROUND(IFERROR(1-(BX55/BZ55),0),2)</f>
        <v>0.91</v>
      </c>
      <c r="CB55" s="186">
        <f t="shared" si="16"/>
        <v>0.91</v>
      </c>
      <c r="CC55" s="186">
        <f t="shared" si="17"/>
        <v>0.91</v>
      </c>
      <c r="CD55" s="1208" t="s">
        <v>2821</v>
      </c>
      <c r="CF55" s="134"/>
      <c r="CG55" s="138"/>
      <c r="CH55" s="132"/>
      <c r="CI55" s="138"/>
      <c r="CJ55" s="132"/>
      <c r="CK55" s="132"/>
      <c r="CL55" s="134"/>
      <c r="CM55" s="146"/>
    </row>
    <row r="56" ht="15" customHeight="1" spans="1:91">
      <c r="A56" s="123">
        <f>IF(B56="","",COUNT(A$7:A55)+1)</f>
        <v>49</v>
      </c>
      <c r="B56" s="139" t="s">
        <v>2829</v>
      </c>
      <c r="C56" s="139" t="s">
        <v>2830</v>
      </c>
      <c r="D56" s="1209">
        <v>43100</v>
      </c>
      <c r="E56" s="1210">
        <v>6199</v>
      </c>
      <c r="F56" s="219" t="s">
        <v>2770</v>
      </c>
      <c r="G56" s="142"/>
      <c r="H56" s="127"/>
      <c r="I56" s="128"/>
      <c r="J56" s="128"/>
      <c r="K56" s="980">
        <v>20</v>
      </c>
      <c r="L56" s="143"/>
      <c r="M56" s="143"/>
      <c r="N56" s="144"/>
      <c r="O56" s="144"/>
      <c r="P56" s="144"/>
      <c r="Q56" s="353">
        <f t="shared" si="0"/>
        <v>20</v>
      </c>
      <c r="R56" s="129">
        <f t="shared" si="1"/>
        <v>0</v>
      </c>
      <c r="S56" s="129">
        <f t="shared" si="2"/>
        <v>0</v>
      </c>
      <c r="T56" s="129">
        <f t="shared" si="3"/>
        <v>20</v>
      </c>
      <c r="U56" s="129">
        <f t="shared" si="4"/>
        <v>6360</v>
      </c>
      <c r="V56" s="214">
        <f t="shared" si="5"/>
        <v>75</v>
      </c>
      <c r="W56" s="353">
        <f t="shared" si="6"/>
        <v>4770</v>
      </c>
      <c r="X56" s="129">
        <f t="shared" si="7"/>
        <v>4770</v>
      </c>
      <c r="Y56" s="129" t="str">
        <f t="shared" si="8"/>
        <v/>
      </c>
      <c r="Z56" s="145"/>
      <c r="BA56" s="75" t="e">
        <f t="shared" si="18"/>
        <v>#DIV/0!</v>
      </c>
      <c r="BB56" s="78"/>
      <c r="BC56" s="132"/>
      <c r="BD56" s="133"/>
      <c r="BE56" s="132"/>
      <c r="BF56" s="134"/>
      <c r="BG56" s="135"/>
      <c r="BH56" s="135"/>
      <c r="BI56" s="136"/>
      <c r="BJ56" s="136"/>
      <c r="BK56" s="136"/>
      <c r="BL56" s="136"/>
      <c r="BM56" s="137"/>
      <c r="BN56" s="137"/>
      <c r="BO56" s="75">
        <f>LOOKUP(D56,基础数据!A:D)</f>
        <v>3.53915880885741</v>
      </c>
      <c r="BP56" s="75">
        <f t="shared" si="20"/>
        <v>1.00524445538374</v>
      </c>
      <c r="BQ56" s="75">
        <f t="shared" si="10"/>
        <v>312</v>
      </c>
      <c r="BR56" s="272">
        <v>337.88</v>
      </c>
      <c r="BS56" s="156">
        <f t="shared" si="11"/>
        <v>38.87</v>
      </c>
      <c r="BT56" s="1211">
        <v>0.06</v>
      </c>
      <c r="BU56" s="156">
        <f t="shared" si="12"/>
        <v>20.27</v>
      </c>
      <c r="BV56" s="156">
        <f t="shared" si="13"/>
        <v>1.67</v>
      </c>
      <c r="BW56" s="156">
        <f t="shared" si="19"/>
        <v>318</v>
      </c>
      <c r="BX56" s="156">
        <f t="shared" si="14"/>
        <v>7.58110882956879</v>
      </c>
      <c r="BY56" s="1207" t="s">
        <v>2806</v>
      </c>
      <c r="BZ56" s="272">
        <v>30</v>
      </c>
      <c r="CA56" s="186">
        <f t="shared" si="29"/>
        <v>0.75</v>
      </c>
      <c r="CB56" s="186">
        <f t="shared" si="16"/>
        <v>0.75</v>
      </c>
      <c r="CC56" s="186">
        <f t="shared" si="17"/>
        <v>0.75</v>
      </c>
      <c r="CD56" s="1208" t="s">
        <v>2831</v>
      </c>
      <c r="CF56" s="134"/>
      <c r="CG56" s="138"/>
      <c r="CH56" s="132"/>
      <c r="CI56" s="138"/>
      <c r="CJ56" s="132"/>
      <c r="CK56" s="132"/>
      <c r="CL56" s="134"/>
      <c r="CM56" s="146"/>
    </row>
    <row r="57" ht="15" customHeight="1" spans="1:91">
      <c r="A57" s="123">
        <f>IF(B57="","",COUNT(A$7:A56)+1)</f>
        <v>50</v>
      </c>
      <c r="B57" s="139" t="s">
        <v>2829</v>
      </c>
      <c r="C57" s="139" t="s">
        <v>2820</v>
      </c>
      <c r="D57" s="1209">
        <v>44924</v>
      </c>
      <c r="E57" s="1210">
        <v>2807.4</v>
      </c>
      <c r="F57" s="219" t="s">
        <v>2770</v>
      </c>
      <c r="G57" s="142"/>
      <c r="H57" s="127"/>
      <c r="I57" s="128"/>
      <c r="J57" s="128"/>
      <c r="K57" s="980">
        <v>30</v>
      </c>
      <c r="L57" s="143"/>
      <c r="M57" s="143"/>
      <c r="N57" s="144"/>
      <c r="O57" s="144"/>
      <c r="P57" s="144"/>
      <c r="Q57" s="353">
        <f t="shared" si="0"/>
        <v>30</v>
      </c>
      <c r="R57" s="129">
        <f t="shared" si="1"/>
        <v>0</v>
      </c>
      <c r="S57" s="129">
        <f t="shared" si="2"/>
        <v>0</v>
      </c>
      <c r="T57" s="129">
        <f t="shared" si="3"/>
        <v>30</v>
      </c>
      <c r="U57" s="129">
        <f t="shared" si="4"/>
        <v>2400</v>
      </c>
      <c r="V57" s="214">
        <f t="shared" si="5"/>
        <v>91</v>
      </c>
      <c r="W57" s="353">
        <f t="shared" si="6"/>
        <v>2184</v>
      </c>
      <c r="X57" s="129">
        <f t="shared" si="7"/>
        <v>2184</v>
      </c>
      <c r="Y57" s="129" t="str">
        <f t="shared" si="8"/>
        <v/>
      </c>
      <c r="Z57" s="145"/>
      <c r="BA57" s="75" t="e">
        <f t="shared" si="18"/>
        <v>#DIV/0!</v>
      </c>
      <c r="BB57" s="78"/>
      <c r="BC57" s="132"/>
      <c r="BD57" s="133"/>
      <c r="BE57" s="132"/>
      <c r="BF57" s="134"/>
      <c r="BG57" s="135"/>
      <c r="BH57" s="135"/>
      <c r="BI57" s="136"/>
      <c r="BJ57" s="136"/>
      <c r="BK57" s="136"/>
      <c r="BL57" s="136"/>
      <c r="BM57" s="137"/>
      <c r="BN57" s="137"/>
      <c r="BO57" s="75">
        <f>LOOKUP(D57,基础数据!A:D)</f>
        <v>3.84333367100529</v>
      </c>
      <c r="BP57" s="75">
        <f t="shared" si="20"/>
        <v>0.92568589507761</v>
      </c>
      <c r="BQ57" s="75">
        <f t="shared" si="10"/>
        <v>87</v>
      </c>
      <c r="BR57" s="272">
        <v>85</v>
      </c>
      <c r="BS57" s="156">
        <f t="shared" si="11"/>
        <v>9.78</v>
      </c>
      <c r="BT57" s="1211">
        <v>0.06</v>
      </c>
      <c r="BU57" s="156">
        <f t="shared" si="12"/>
        <v>5.1</v>
      </c>
      <c r="BV57" s="156">
        <f t="shared" si="13"/>
        <v>0.42</v>
      </c>
      <c r="BW57" s="156">
        <f t="shared" si="19"/>
        <v>80</v>
      </c>
      <c r="BX57" s="156">
        <f t="shared" si="14"/>
        <v>2.58726899383984</v>
      </c>
      <c r="BY57" s="1207" t="s">
        <v>2806</v>
      </c>
      <c r="BZ57" s="272">
        <v>30</v>
      </c>
      <c r="CA57" s="186">
        <f t="shared" ref="CA57" si="30">ROUND(IFERROR(1-(BX57/BZ57),0),2)</f>
        <v>0.91</v>
      </c>
      <c r="CB57" s="186">
        <f t="shared" si="16"/>
        <v>0.91</v>
      </c>
      <c r="CC57" s="186">
        <f t="shared" si="17"/>
        <v>0.91</v>
      </c>
      <c r="CD57" s="1208" t="s">
        <v>2821</v>
      </c>
      <c r="CF57" s="134"/>
      <c r="CG57" s="138"/>
      <c r="CH57" s="132"/>
      <c r="CI57" s="138"/>
      <c r="CJ57" s="132"/>
      <c r="CK57" s="132"/>
      <c r="CL57" s="134"/>
      <c r="CM57" s="146"/>
    </row>
    <row r="58" ht="15" customHeight="1" spans="1:91">
      <c r="A58" s="123">
        <f>IF(B58="","",COUNT(A$7:A57)+1)</f>
        <v>51</v>
      </c>
      <c r="B58" s="139" t="s">
        <v>2824</v>
      </c>
      <c r="C58" s="139" t="s">
        <v>2834</v>
      </c>
      <c r="D58" s="1209">
        <v>43100</v>
      </c>
      <c r="E58" s="1210">
        <v>3158.55</v>
      </c>
      <c r="F58" s="219" t="s">
        <v>2770</v>
      </c>
      <c r="G58" s="142"/>
      <c r="H58" s="127"/>
      <c r="I58" s="128"/>
      <c r="J58" s="128"/>
      <c r="K58" s="980">
        <v>15</v>
      </c>
      <c r="L58" s="143"/>
      <c r="M58" s="143"/>
      <c r="N58" s="144"/>
      <c r="O58" s="144"/>
      <c r="P58" s="144"/>
      <c r="Q58" s="353">
        <f t="shared" si="0"/>
        <v>15</v>
      </c>
      <c r="R58" s="129">
        <f t="shared" si="1"/>
        <v>0</v>
      </c>
      <c r="S58" s="129">
        <f t="shared" si="2"/>
        <v>0</v>
      </c>
      <c r="T58" s="129">
        <f t="shared" si="3"/>
        <v>15</v>
      </c>
      <c r="U58" s="129">
        <f t="shared" si="4"/>
        <v>3390</v>
      </c>
      <c r="V58" s="214">
        <f t="shared" si="5"/>
        <v>75</v>
      </c>
      <c r="W58" s="353">
        <f t="shared" si="6"/>
        <v>2542.5</v>
      </c>
      <c r="X58" s="129">
        <f t="shared" si="7"/>
        <v>2542.5</v>
      </c>
      <c r="Y58" s="129" t="str">
        <f t="shared" si="8"/>
        <v/>
      </c>
      <c r="Z58" s="145"/>
      <c r="BA58" s="75" t="e">
        <f t="shared" si="18"/>
        <v>#DIV/0!</v>
      </c>
      <c r="BB58" s="78"/>
      <c r="BC58" s="132"/>
      <c r="BD58" s="133"/>
      <c r="BE58" s="132"/>
      <c r="BF58" s="134"/>
      <c r="BG58" s="135"/>
      <c r="BH58" s="135"/>
      <c r="BI58" s="136"/>
      <c r="BJ58" s="136"/>
      <c r="BK58" s="136"/>
      <c r="BL58" s="136"/>
      <c r="BM58" s="137"/>
      <c r="BN58" s="137"/>
      <c r="BO58" s="75">
        <f>LOOKUP(D58,基础数据!A:D)</f>
        <v>3.53915880885741</v>
      </c>
      <c r="BP58" s="75">
        <f t="shared" si="20"/>
        <v>1.00524445538374</v>
      </c>
      <c r="BQ58" s="75">
        <f t="shared" si="10"/>
        <v>212</v>
      </c>
      <c r="BR58" s="272">
        <f t="shared" ref="BR58:BR63" si="31">ROUND(BQ58*1.13,0)</f>
        <v>240</v>
      </c>
      <c r="BS58" s="156">
        <f t="shared" si="11"/>
        <v>27.61</v>
      </c>
      <c r="BT58" s="1211">
        <v>0.06</v>
      </c>
      <c r="BU58" s="156">
        <f t="shared" si="12"/>
        <v>14.4</v>
      </c>
      <c r="BV58" s="156">
        <f t="shared" si="13"/>
        <v>1.19</v>
      </c>
      <c r="BW58" s="156">
        <f t="shared" si="19"/>
        <v>226</v>
      </c>
      <c r="BX58" s="156">
        <f t="shared" si="14"/>
        <v>7.58110882956879</v>
      </c>
      <c r="BY58" s="1207" t="s">
        <v>2806</v>
      </c>
      <c r="BZ58" s="272">
        <v>30</v>
      </c>
      <c r="CA58" s="186">
        <f t="shared" si="15"/>
        <v>0.75</v>
      </c>
      <c r="CB58" s="186">
        <f t="shared" si="16"/>
        <v>0.75</v>
      </c>
      <c r="CC58" s="186">
        <f t="shared" si="17"/>
        <v>0.75</v>
      </c>
      <c r="CD58" s="272"/>
      <c r="CF58" s="134"/>
      <c r="CG58" s="138"/>
      <c r="CH58" s="132"/>
      <c r="CI58" s="138"/>
      <c r="CJ58" s="132"/>
      <c r="CK58" s="132"/>
      <c r="CL58" s="134"/>
      <c r="CM58" s="146"/>
    </row>
    <row r="59" ht="15" hidden="1" customHeight="1" spans="1:91">
      <c r="A59" s="123">
        <f>IF(B59="","",COUNT(A$7:A58)+1)</f>
        <v>52</v>
      </c>
      <c r="B59" s="139" t="s">
        <v>2835</v>
      </c>
      <c r="C59" s="139" t="s">
        <v>2836</v>
      </c>
      <c r="D59" s="1209">
        <v>43100</v>
      </c>
      <c r="E59" s="1210">
        <v>140.9</v>
      </c>
      <c r="F59" s="219" t="s">
        <v>2770</v>
      </c>
      <c r="G59" s="142"/>
      <c r="H59" s="127"/>
      <c r="I59" s="128"/>
      <c r="J59" s="128"/>
      <c r="K59" s="980">
        <v>10</v>
      </c>
      <c r="L59" s="143"/>
      <c r="M59" s="143"/>
      <c r="N59" s="144"/>
      <c r="O59" s="144"/>
      <c r="P59" s="144"/>
      <c r="Q59" s="353">
        <f t="shared" si="0"/>
        <v>10</v>
      </c>
      <c r="R59" s="129">
        <f t="shared" si="1"/>
        <v>0</v>
      </c>
      <c r="S59" s="129">
        <f t="shared" si="2"/>
        <v>0</v>
      </c>
      <c r="T59" s="129">
        <f t="shared" si="3"/>
        <v>10</v>
      </c>
      <c r="U59" s="129">
        <f t="shared" si="4"/>
        <v>140</v>
      </c>
      <c r="V59" s="214">
        <f t="shared" si="5"/>
        <v>75</v>
      </c>
      <c r="W59" s="353">
        <f t="shared" si="6"/>
        <v>105</v>
      </c>
      <c r="X59" s="129">
        <f t="shared" si="7"/>
        <v>105</v>
      </c>
      <c r="Y59" s="129" t="str">
        <f t="shared" si="8"/>
        <v/>
      </c>
      <c r="Z59" s="145"/>
      <c r="BA59" s="75" t="e">
        <f t="shared" si="18"/>
        <v>#DIV/0!</v>
      </c>
      <c r="BB59" s="78"/>
      <c r="BC59" s="132"/>
      <c r="BD59" s="133"/>
      <c r="BE59" s="132"/>
      <c r="BF59" s="134"/>
      <c r="BG59" s="135"/>
      <c r="BH59" s="135"/>
      <c r="BI59" s="136"/>
      <c r="BJ59" s="136"/>
      <c r="BK59" s="136"/>
      <c r="BL59" s="136"/>
      <c r="BM59" s="137"/>
      <c r="BN59" s="137"/>
      <c r="BO59" s="75">
        <f>LOOKUP(D59,基础数据!A:D)</f>
        <v>3.53915880885741</v>
      </c>
      <c r="BP59" s="75">
        <f t="shared" si="20"/>
        <v>1.00524445538374</v>
      </c>
      <c r="BQ59" s="75">
        <f t="shared" si="10"/>
        <v>14</v>
      </c>
      <c r="BR59" s="272">
        <f t="shared" si="31"/>
        <v>16</v>
      </c>
      <c r="BS59" s="156">
        <f t="shared" si="11"/>
        <v>1.84</v>
      </c>
      <c r="BT59" s="186">
        <v>0.01</v>
      </c>
      <c r="BU59" s="156">
        <f t="shared" si="12"/>
        <v>0.16</v>
      </c>
      <c r="BV59" s="156">
        <f t="shared" si="13"/>
        <v>0.01</v>
      </c>
      <c r="BW59" s="156">
        <f t="shared" si="19"/>
        <v>14</v>
      </c>
      <c r="BX59" s="156">
        <f t="shared" si="14"/>
        <v>7.58110882956879</v>
      </c>
      <c r="BY59" s="1207" t="s">
        <v>2806</v>
      </c>
      <c r="BZ59" s="272">
        <v>30</v>
      </c>
      <c r="CA59" s="186">
        <f t="shared" si="15"/>
        <v>0.75</v>
      </c>
      <c r="CB59" s="186">
        <f t="shared" si="16"/>
        <v>0.75</v>
      </c>
      <c r="CC59" s="186">
        <f t="shared" si="17"/>
        <v>0.75</v>
      </c>
      <c r="CD59" s="272"/>
      <c r="CF59" s="134"/>
      <c r="CG59" s="138"/>
      <c r="CH59" s="132"/>
      <c r="CI59" s="138"/>
      <c r="CJ59" s="132"/>
      <c r="CK59" s="132"/>
      <c r="CL59" s="134"/>
      <c r="CM59" s="146"/>
    </row>
    <row r="60" ht="15" customHeight="1" spans="1:91">
      <c r="A60" s="123">
        <f>IF(B60="","",COUNT(A$7:A59)+1)</f>
        <v>53</v>
      </c>
      <c r="B60" s="139" t="s">
        <v>2829</v>
      </c>
      <c r="C60" s="139" t="s">
        <v>2837</v>
      </c>
      <c r="D60" s="1209">
        <v>43100</v>
      </c>
      <c r="E60" s="1210">
        <v>390.45</v>
      </c>
      <c r="F60" s="219" t="s">
        <v>2770</v>
      </c>
      <c r="G60" s="142"/>
      <c r="H60" s="127"/>
      <c r="I60" s="128"/>
      <c r="J60" s="128"/>
      <c r="K60" s="980">
        <v>15</v>
      </c>
      <c r="L60" s="143"/>
      <c r="M60" s="143"/>
      <c r="N60" s="144"/>
      <c r="O60" s="144"/>
      <c r="P60" s="144"/>
      <c r="Q60" s="353">
        <f t="shared" si="0"/>
        <v>15</v>
      </c>
      <c r="R60" s="129">
        <f t="shared" si="1"/>
        <v>0</v>
      </c>
      <c r="S60" s="129">
        <f t="shared" si="2"/>
        <v>0</v>
      </c>
      <c r="T60" s="129">
        <f t="shared" si="3"/>
        <v>15</v>
      </c>
      <c r="U60" s="129">
        <f t="shared" si="4"/>
        <v>405</v>
      </c>
      <c r="V60" s="214">
        <f t="shared" si="5"/>
        <v>75</v>
      </c>
      <c r="W60" s="353">
        <f t="shared" si="6"/>
        <v>303.75</v>
      </c>
      <c r="X60" s="129">
        <f t="shared" si="7"/>
        <v>303.75</v>
      </c>
      <c r="Y60" s="129" t="str">
        <f t="shared" si="8"/>
        <v/>
      </c>
      <c r="Z60" s="145"/>
      <c r="BA60" s="75" t="e">
        <f t="shared" si="18"/>
        <v>#DIV/0!</v>
      </c>
      <c r="BB60" s="78"/>
      <c r="BC60" s="132"/>
      <c r="BD60" s="133"/>
      <c r="BE60" s="132"/>
      <c r="BF60" s="134"/>
      <c r="BG60" s="135"/>
      <c r="BH60" s="135"/>
      <c r="BI60" s="136"/>
      <c r="BJ60" s="136"/>
      <c r="BK60" s="136"/>
      <c r="BL60" s="136"/>
      <c r="BM60" s="137"/>
      <c r="BN60" s="137"/>
      <c r="BO60" s="75">
        <f>LOOKUP(D60,基础数据!A:D)</f>
        <v>3.53915880885741</v>
      </c>
      <c r="BP60" s="75">
        <f t="shared" si="20"/>
        <v>1.00524445538374</v>
      </c>
      <c r="BQ60" s="75">
        <f t="shared" si="10"/>
        <v>26</v>
      </c>
      <c r="BR60" s="272">
        <f t="shared" si="31"/>
        <v>29</v>
      </c>
      <c r="BS60" s="156">
        <f t="shared" si="11"/>
        <v>3.34</v>
      </c>
      <c r="BT60" s="1211">
        <v>0.06</v>
      </c>
      <c r="BU60" s="156">
        <f t="shared" si="12"/>
        <v>1.74</v>
      </c>
      <c r="BV60" s="156">
        <f t="shared" si="13"/>
        <v>0.14</v>
      </c>
      <c r="BW60" s="156">
        <f t="shared" si="19"/>
        <v>27</v>
      </c>
      <c r="BX60" s="156">
        <f t="shared" si="14"/>
        <v>7.58110882956879</v>
      </c>
      <c r="BY60" s="1207" t="s">
        <v>2806</v>
      </c>
      <c r="BZ60" s="272">
        <v>30</v>
      </c>
      <c r="CA60" s="186">
        <f t="shared" si="15"/>
        <v>0.75</v>
      </c>
      <c r="CB60" s="186">
        <f t="shared" si="16"/>
        <v>0.75</v>
      </c>
      <c r="CC60" s="186">
        <f t="shared" si="17"/>
        <v>0.75</v>
      </c>
      <c r="CD60" s="272"/>
      <c r="CF60" s="134"/>
      <c r="CG60" s="138"/>
      <c r="CH60" s="132"/>
      <c r="CI60" s="138"/>
      <c r="CJ60" s="132"/>
      <c r="CK60" s="132"/>
      <c r="CL60" s="134"/>
      <c r="CM60" s="146"/>
    </row>
    <row r="61" ht="15" customHeight="1" spans="1:91">
      <c r="A61" s="123">
        <f>IF(B61="","",COUNT(A$7:A60)+1)</f>
        <v>54</v>
      </c>
      <c r="B61" s="139" t="s">
        <v>2829</v>
      </c>
      <c r="C61" s="139" t="s">
        <v>2837</v>
      </c>
      <c r="D61" s="1209">
        <v>43100</v>
      </c>
      <c r="E61" s="1210">
        <v>416.48</v>
      </c>
      <c r="F61" s="219" t="s">
        <v>2770</v>
      </c>
      <c r="G61" s="142"/>
      <c r="H61" s="127"/>
      <c r="I61" s="128"/>
      <c r="J61" s="128"/>
      <c r="K61" s="980">
        <v>16</v>
      </c>
      <c r="L61" s="143"/>
      <c r="M61" s="143"/>
      <c r="N61" s="144"/>
      <c r="O61" s="144"/>
      <c r="P61" s="144"/>
      <c r="Q61" s="353">
        <f t="shared" si="0"/>
        <v>16</v>
      </c>
      <c r="R61" s="129">
        <f t="shared" si="1"/>
        <v>0</v>
      </c>
      <c r="S61" s="129">
        <f t="shared" si="2"/>
        <v>0</v>
      </c>
      <c r="T61" s="129">
        <f t="shared" si="3"/>
        <v>16</v>
      </c>
      <c r="U61" s="129">
        <f t="shared" si="4"/>
        <v>432</v>
      </c>
      <c r="V61" s="214">
        <f t="shared" si="5"/>
        <v>75</v>
      </c>
      <c r="W61" s="353">
        <f t="shared" si="6"/>
        <v>324</v>
      </c>
      <c r="X61" s="129">
        <f t="shared" si="7"/>
        <v>324</v>
      </c>
      <c r="Y61" s="129" t="str">
        <f t="shared" si="8"/>
        <v/>
      </c>
      <c r="Z61" s="145"/>
      <c r="BA61" s="75" t="e">
        <f t="shared" si="18"/>
        <v>#DIV/0!</v>
      </c>
      <c r="BB61" s="78"/>
      <c r="BC61" s="132"/>
      <c r="BD61" s="133"/>
      <c r="BE61" s="132"/>
      <c r="BF61" s="134"/>
      <c r="BG61" s="135"/>
      <c r="BH61" s="135"/>
      <c r="BI61" s="136"/>
      <c r="BJ61" s="136"/>
      <c r="BK61" s="136"/>
      <c r="BL61" s="136"/>
      <c r="BM61" s="137"/>
      <c r="BN61" s="137"/>
      <c r="BO61" s="75">
        <f>LOOKUP(D61,基础数据!A:D)</f>
        <v>3.53915880885741</v>
      </c>
      <c r="BP61" s="75">
        <f t="shared" si="20"/>
        <v>1.00524445538374</v>
      </c>
      <c r="BQ61" s="75">
        <f t="shared" si="10"/>
        <v>26</v>
      </c>
      <c r="BR61" s="272">
        <f t="shared" si="31"/>
        <v>29</v>
      </c>
      <c r="BS61" s="156">
        <f t="shared" si="11"/>
        <v>3.34</v>
      </c>
      <c r="BT61" s="1211">
        <v>0.06</v>
      </c>
      <c r="BU61" s="156">
        <f t="shared" si="12"/>
        <v>1.74</v>
      </c>
      <c r="BV61" s="156">
        <f t="shared" si="13"/>
        <v>0.14</v>
      </c>
      <c r="BW61" s="156">
        <f t="shared" si="19"/>
        <v>27</v>
      </c>
      <c r="BX61" s="156">
        <f t="shared" si="14"/>
        <v>7.58110882956879</v>
      </c>
      <c r="BY61" s="1207" t="s">
        <v>2806</v>
      </c>
      <c r="BZ61" s="272">
        <v>30</v>
      </c>
      <c r="CA61" s="186">
        <f t="shared" si="15"/>
        <v>0.75</v>
      </c>
      <c r="CB61" s="186">
        <f t="shared" si="16"/>
        <v>0.75</v>
      </c>
      <c r="CC61" s="186">
        <f t="shared" si="17"/>
        <v>0.75</v>
      </c>
      <c r="CD61" s="272"/>
      <c r="CF61" s="134"/>
      <c r="CG61" s="138"/>
      <c r="CH61" s="132"/>
      <c r="CI61" s="138"/>
      <c r="CJ61" s="132"/>
      <c r="CK61" s="132"/>
      <c r="CL61" s="134"/>
      <c r="CM61" s="146"/>
    </row>
    <row r="62" ht="15" customHeight="1" spans="1:91">
      <c r="A62" s="123">
        <f>IF(B62="","",COUNT(A$7:A61)+1)</f>
        <v>55</v>
      </c>
      <c r="B62" s="139" t="s">
        <v>2829</v>
      </c>
      <c r="C62" s="139" t="s">
        <v>2838</v>
      </c>
      <c r="D62" s="1209">
        <v>43100</v>
      </c>
      <c r="E62" s="1210">
        <v>283.8</v>
      </c>
      <c r="F62" s="219" t="s">
        <v>2770</v>
      </c>
      <c r="G62" s="142"/>
      <c r="H62" s="127"/>
      <c r="I62" s="128"/>
      <c r="J62" s="128"/>
      <c r="K62" s="980">
        <v>12</v>
      </c>
      <c r="L62" s="143"/>
      <c r="M62" s="143"/>
      <c r="N62" s="144"/>
      <c r="O62" s="144"/>
      <c r="P62" s="144"/>
      <c r="Q62" s="353">
        <f t="shared" si="0"/>
        <v>12</v>
      </c>
      <c r="R62" s="129">
        <f t="shared" si="1"/>
        <v>0</v>
      </c>
      <c r="S62" s="129">
        <f t="shared" si="2"/>
        <v>0</v>
      </c>
      <c r="T62" s="129">
        <f t="shared" si="3"/>
        <v>12</v>
      </c>
      <c r="U62" s="129">
        <f t="shared" si="4"/>
        <v>300</v>
      </c>
      <c r="V62" s="214">
        <f t="shared" si="5"/>
        <v>75</v>
      </c>
      <c r="W62" s="353">
        <f t="shared" si="6"/>
        <v>225</v>
      </c>
      <c r="X62" s="129">
        <f t="shared" si="7"/>
        <v>225</v>
      </c>
      <c r="Y62" s="129" t="str">
        <f t="shared" si="8"/>
        <v/>
      </c>
      <c r="Z62" s="145"/>
      <c r="BA62" s="75" t="e">
        <f t="shared" si="18"/>
        <v>#DIV/0!</v>
      </c>
      <c r="BB62" s="78"/>
      <c r="BC62" s="132"/>
      <c r="BD62" s="133"/>
      <c r="BE62" s="132"/>
      <c r="BF62" s="134"/>
      <c r="BG62" s="135"/>
      <c r="BH62" s="135"/>
      <c r="BI62" s="136"/>
      <c r="BJ62" s="136"/>
      <c r="BK62" s="136"/>
      <c r="BL62" s="136"/>
      <c r="BM62" s="137"/>
      <c r="BN62" s="137"/>
      <c r="BO62" s="75">
        <f>LOOKUP(D62,基础数据!A:D)</f>
        <v>3.53915880885741</v>
      </c>
      <c r="BP62" s="75">
        <f t="shared" si="20"/>
        <v>1.00524445538374</v>
      </c>
      <c r="BQ62" s="75">
        <f t="shared" si="10"/>
        <v>24</v>
      </c>
      <c r="BR62" s="272">
        <f t="shared" si="31"/>
        <v>27</v>
      </c>
      <c r="BS62" s="156">
        <f t="shared" si="11"/>
        <v>3.11</v>
      </c>
      <c r="BT62" s="1211">
        <v>0.06</v>
      </c>
      <c r="BU62" s="156">
        <f t="shared" si="12"/>
        <v>1.62</v>
      </c>
      <c r="BV62" s="156">
        <f t="shared" si="13"/>
        <v>0.13</v>
      </c>
      <c r="BW62" s="156">
        <f t="shared" si="19"/>
        <v>25</v>
      </c>
      <c r="BX62" s="156">
        <f t="shared" si="14"/>
        <v>7.58110882956879</v>
      </c>
      <c r="BY62" s="1207" t="s">
        <v>2806</v>
      </c>
      <c r="BZ62" s="272">
        <v>30</v>
      </c>
      <c r="CA62" s="186">
        <f t="shared" si="15"/>
        <v>0.75</v>
      </c>
      <c r="CB62" s="186">
        <f t="shared" si="16"/>
        <v>0.75</v>
      </c>
      <c r="CC62" s="186">
        <f t="shared" si="17"/>
        <v>0.75</v>
      </c>
      <c r="CD62" s="272"/>
      <c r="CF62" s="134"/>
      <c r="CG62" s="138"/>
      <c r="CH62" s="132"/>
      <c r="CI62" s="138"/>
      <c r="CJ62" s="132"/>
      <c r="CK62" s="132"/>
      <c r="CL62" s="134"/>
      <c r="CM62" s="146"/>
    </row>
    <row r="63" ht="15" customHeight="1" spans="1:91">
      <c r="A63" s="123">
        <f>IF(B63="","",COUNT(A$7:A62)+1)</f>
        <v>56</v>
      </c>
      <c r="B63" s="139" t="s">
        <v>2829</v>
      </c>
      <c r="C63" s="139" t="s">
        <v>2839</v>
      </c>
      <c r="D63" s="1209">
        <v>43100</v>
      </c>
      <c r="E63" s="1210">
        <v>73.8</v>
      </c>
      <c r="F63" s="219" t="s">
        <v>2770</v>
      </c>
      <c r="G63" s="142"/>
      <c r="H63" s="127"/>
      <c r="I63" s="128"/>
      <c r="J63" s="128"/>
      <c r="K63" s="980">
        <v>12</v>
      </c>
      <c r="L63" s="143"/>
      <c r="M63" s="143"/>
      <c r="N63" s="144"/>
      <c r="O63" s="144"/>
      <c r="P63" s="144"/>
      <c r="Q63" s="353">
        <f t="shared" si="0"/>
        <v>12</v>
      </c>
      <c r="R63" s="129">
        <f t="shared" si="1"/>
        <v>0</v>
      </c>
      <c r="S63" s="129">
        <f t="shared" si="2"/>
        <v>0</v>
      </c>
      <c r="T63" s="129">
        <f t="shared" si="3"/>
        <v>12</v>
      </c>
      <c r="U63" s="129">
        <f t="shared" si="4"/>
        <v>84</v>
      </c>
      <c r="V63" s="214">
        <f t="shared" si="5"/>
        <v>75</v>
      </c>
      <c r="W63" s="353">
        <f t="shared" si="6"/>
        <v>63</v>
      </c>
      <c r="X63" s="129">
        <f t="shared" si="7"/>
        <v>63</v>
      </c>
      <c r="Y63" s="129" t="str">
        <f t="shared" si="8"/>
        <v/>
      </c>
      <c r="Z63" s="145"/>
      <c r="BA63" s="75" t="e">
        <f t="shared" si="18"/>
        <v>#DIV/0!</v>
      </c>
      <c r="BB63" s="78"/>
      <c r="BC63" s="132"/>
      <c r="BD63" s="133"/>
      <c r="BE63" s="132"/>
      <c r="BF63" s="134"/>
      <c r="BG63" s="135"/>
      <c r="BH63" s="135"/>
      <c r="BI63" s="136"/>
      <c r="BJ63" s="136"/>
      <c r="BK63" s="136"/>
      <c r="BL63" s="136"/>
      <c r="BM63" s="137"/>
      <c r="BN63" s="137"/>
      <c r="BO63" s="75">
        <f>LOOKUP(D63,基础数据!A:D)</f>
        <v>3.53915880885741</v>
      </c>
      <c r="BP63" s="75">
        <f t="shared" si="20"/>
        <v>1.00524445538374</v>
      </c>
      <c r="BQ63" s="75">
        <f t="shared" si="10"/>
        <v>6</v>
      </c>
      <c r="BR63" s="272">
        <f t="shared" si="31"/>
        <v>7</v>
      </c>
      <c r="BS63" s="156">
        <f t="shared" si="11"/>
        <v>0.81</v>
      </c>
      <c r="BT63" s="1211">
        <v>0.06</v>
      </c>
      <c r="BU63" s="156">
        <f t="shared" si="12"/>
        <v>0.42</v>
      </c>
      <c r="BV63" s="156">
        <f t="shared" si="13"/>
        <v>0.03</v>
      </c>
      <c r="BW63" s="156">
        <f t="shared" si="19"/>
        <v>7</v>
      </c>
      <c r="BX63" s="156">
        <f t="shared" si="14"/>
        <v>7.58110882956879</v>
      </c>
      <c r="BY63" s="1207" t="s">
        <v>2806</v>
      </c>
      <c r="BZ63" s="272">
        <v>30</v>
      </c>
      <c r="CA63" s="186">
        <f t="shared" si="15"/>
        <v>0.75</v>
      </c>
      <c r="CB63" s="186">
        <f t="shared" si="16"/>
        <v>0.75</v>
      </c>
      <c r="CC63" s="186">
        <f t="shared" si="17"/>
        <v>0.75</v>
      </c>
      <c r="CD63" s="272"/>
      <c r="CF63" s="134"/>
      <c r="CG63" s="138"/>
      <c r="CH63" s="132"/>
      <c r="CI63" s="138"/>
      <c r="CJ63" s="132"/>
      <c r="CK63" s="132"/>
      <c r="CL63" s="134"/>
      <c r="CM63" s="146"/>
    </row>
    <row r="64" ht="15" customHeight="1" spans="1:91">
      <c r="A64" s="123">
        <f>IF(B64="","",COUNT(A$7:A63)+1)</f>
        <v>57</v>
      </c>
      <c r="B64" s="139" t="s">
        <v>2829</v>
      </c>
      <c r="C64" s="139" t="s">
        <v>2840</v>
      </c>
      <c r="D64" s="1209">
        <v>43100</v>
      </c>
      <c r="E64" s="1210">
        <v>1150.2</v>
      </c>
      <c r="F64" s="219" t="s">
        <v>2770</v>
      </c>
      <c r="G64" s="142"/>
      <c r="H64" s="127"/>
      <c r="I64" s="128"/>
      <c r="J64" s="128"/>
      <c r="K64" s="980">
        <v>20</v>
      </c>
      <c r="L64" s="143"/>
      <c r="M64" s="143"/>
      <c r="N64" s="144"/>
      <c r="O64" s="144"/>
      <c r="P64" s="144"/>
      <c r="Q64" s="353">
        <f t="shared" si="0"/>
        <v>20</v>
      </c>
      <c r="R64" s="129">
        <f t="shared" si="1"/>
        <v>0</v>
      </c>
      <c r="S64" s="129">
        <f t="shared" si="2"/>
        <v>0</v>
      </c>
      <c r="T64" s="129">
        <f t="shared" si="3"/>
        <v>20</v>
      </c>
      <c r="U64" s="129">
        <f t="shared" si="4"/>
        <v>1120</v>
      </c>
      <c r="V64" s="214">
        <f t="shared" si="5"/>
        <v>75</v>
      </c>
      <c r="W64" s="353">
        <f t="shared" si="6"/>
        <v>840</v>
      </c>
      <c r="X64" s="129">
        <f t="shared" si="7"/>
        <v>840</v>
      </c>
      <c r="Y64" s="129" t="str">
        <f t="shared" si="8"/>
        <v/>
      </c>
      <c r="Z64" s="145"/>
      <c r="BA64" s="75" t="e">
        <f t="shared" si="18"/>
        <v>#DIV/0!</v>
      </c>
      <c r="BB64" s="78"/>
      <c r="BC64" s="132"/>
      <c r="BD64" s="133"/>
      <c r="BE64" s="132"/>
      <c r="BF64" s="134"/>
      <c r="BG64" s="135"/>
      <c r="BH64" s="135"/>
      <c r="BI64" s="136"/>
      <c r="BJ64" s="136"/>
      <c r="BK64" s="136"/>
      <c r="BL64" s="136"/>
      <c r="BM64" s="137"/>
      <c r="BN64" s="137"/>
      <c r="BO64" s="75">
        <f>LOOKUP(D64,基础数据!A:D)</f>
        <v>3.53915880885741</v>
      </c>
      <c r="BP64" s="75">
        <f t="shared" si="20"/>
        <v>1.00524445538374</v>
      </c>
      <c r="BQ64" s="75">
        <f t="shared" si="10"/>
        <v>58</v>
      </c>
      <c r="BR64" s="272">
        <v>59.63</v>
      </c>
      <c r="BS64" s="156">
        <f t="shared" si="11"/>
        <v>6.86</v>
      </c>
      <c r="BT64" s="1211">
        <v>0.06</v>
      </c>
      <c r="BU64" s="156">
        <f t="shared" si="12"/>
        <v>3.58</v>
      </c>
      <c r="BV64" s="156">
        <f t="shared" si="13"/>
        <v>0.3</v>
      </c>
      <c r="BW64" s="156">
        <f t="shared" si="19"/>
        <v>56</v>
      </c>
      <c r="BX64" s="156">
        <f t="shared" si="14"/>
        <v>7.58110882956879</v>
      </c>
      <c r="BY64" s="1207" t="s">
        <v>2806</v>
      </c>
      <c r="BZ64" s="272">
        <v>30</v>
      </c>
      <c r="CA64" s="186">
        <f t="shared" si="15"/>
        <v>0.75</v>
      </c>
      <c r="CB64" s="186">
        <f t="shared" si="16"/>
        <v>0.75</v>
      </c>
      <c r="CC64" s="186">
        <f t="shared" si="17"/>
        <v>0.75</v>
      </c>
      <c r="CD64" s="1208" t="s">
        <v>2841</v>
      </c>
      <c r="CF64" s="134"/>
      <c r="CG64" s="138"/>
      <c r="CH64" s="132"/>
      <c r="CI64" s="138"/>
      <c r="CJ64" s="132"/>
      <c r="CK64" s="132"/>
      <c r="CL64" s="134"/>
      <c r="CM64" s="146"/>
    </row>
    <row r="65" ht="15" customHeight="1" spans="1:91">
      <c r="A65" s="123">
        <f>IF(B65="","",COUNT(A$7:A64)+1)</f>
        <v>58</v>
      </c>
      <c r="B65" s="139" t="s">
        <v>2829</v>
      </c>
      <c r="C65" s="139" t="s">
        <v>2839</v>
      </c>
      <c r="D65" s="1209">
        <v>43100</v>
      </c>
      <c r="E65" s="1210">
        <v>18.45</v>
      </c>
      <c r="F65" s="219" t="s">
        <v>2770</v>
      </c>
      <c r="G65" s="142"/>
      <c r="H65" s="127"/>
      <c r="I65" s="128"/>
      <c r="J65" s="128"/>
      <c r="K65" s="980">
        <v>3</v>
      </c>
      <c r="L65" s="143"/>
      <c r="M65" s="143"/>
      <c r="N65" s="144"/>
      <c r="O65" s="144"/>
      <c r="P65" s="144"/>
      <c r="Q65" s="353">
        <f t="shared" si="0"/>
        <v>3</v>
      </c>
      <c r="R65" s="129">
        <f t="shared" si="1"/>
        <v>0</v>
      </c>
      <c r="S65" s="129">
        <f t="shared" si="2"/>
        <v>0</v>
      </c>
      <c r="T65" s="129">
        <f t="shared" si="3"/>
        <v>3</v>
      </c>
      <c r="U65" s="129">
        <f t="shared" si="4"/>
        <v>21</v>
      </c>
      <c r="V65" s="214">
        <f t="shared" si="5"/>
        <v>75</v>
      </c>
      <c r="W65" s="353">
        <f t="shared" si="6"/>
        <v>15.75</v>
      </c>
      <c r="X65" s="129">
        <f t="shared" si="7"/>
        <v>15.75</v>
      </c>
      <c r="Y65" s="129" t="str">
        <f t="shared" si="8"/>
        <v/>
      </c>
      <c r="Z65" s="145"/>
      <c r="BA65" s="75" t="e">
        <f t="shared" si="18"/>
        <v>#DIV/0!</v>
      </c>
      <c r="BB65" s="78"/>
      <c r="BC65" s="132"/>
      <c r="BD65" s="133"/>
      <c r="BE65" s="132"/>
      <c r="BF65" s="134"/>
      <c r="BG65" s="135"/>
      <c r="BH65" s="135"/>
      <c r="BI65" s="136"/>
      <c r="BJ65" s="136"/>
      <c r="BK65" s="136"/>
      <c r="BL65" s="136"/>
      <c r="BM65" s="137"/>
      <c r="BN65" s="137"/>
      <c r="BO65" s="75">
        <f>LOOKUP(D65,基础数据!A:D)</f>
        <v>3.53915880885741</v>
      </c>
      <c r="BP65" s="75">
        <f t="shared" si="20"/>
        <v>1.00524445538374</v>
      </c>
      <c r="BQ65" s="75">
        <f t="shared" si="10"/>
        <v>6</v>
      </c>
      <c r="BR65" s="272">
        <f t="shared" ref="BR65:BR81" si="32">ROUND(BQ65*1.13,0)</f>
        <v>7</v>
      </c>
      <c r="BS65" s="156">
        <f t="shared" si="11"/>
        <v>0.81</v>
      </c>
      <c r="BT65" s="1211">
        <v>0.06</v>
      </c>
      <c r="BU65" s="156">
        <f t="shared" si="12"/>
        <v>0.42</v>
      </c>
      <c r="BV65" s="156">
        <f t="shared" si="13"/>
        <v>0.03</v>
      </c>
      <c r="BW65" s="156">
        <f t="shared" si="19"/>
        <v>7</v>
      </c>
      <c r="BX65" s="156">
        <f t="shared" si="14"/>
        <v>7.58110882956879</v>
      </c>
      <c r="BY65" s="1207" t="s">
        <v>2806</v>
      </c>
      <c r="BZ65" s="272">
        <v>30</v>
      </c>
      <c r="CA65" s="186">
        <f t="shared" si="15"/>
        <v>0.75</v>
      </c>
      <c r="CB65" s="186">
        <f t="shared" si="16"/>
        <v>0.75</v>
      </c>
      <c r="CC65" s="186">
        <f t="shared" si="17"/>
        <v>0.75</v>
      </c>
      <c r="CD65" s="272"/>
      <c r="CF65" s="134"/>
      <c r="CG65" s="138"/>
      <c r="CH65" s="132"/>
      <c r="CI65" s="138"/>
      <c r="CJ65" s="132"/>
      <c r="CK65" s="132"/>
      <c r="CL65" s="134"/>
      <c r="CM65" s="146"/>
    </row>
    <row r="66" ht="15" hidden="1" customHeight="1" spans="1:91">
      <c r="A66" s="123">
        <f>IF(B66="","",COUNT(A$7:A65)+1)</f>
        <v>59</v>
      </c>
      <c r="B66" s="139" t="s">
        <v>2835</v>
      </c>
      <c r="C66" s="139" t="s">
        <v>2842</v>
      </c>
      <c r="D66" s="1209">
        <v>44908</v>
      </c>
      <c r="E66" s="1210">
        <v>724.36</v>
      </c>
      <c r="F66" s="219" t="s">
        <v>2770</v>
      </c>
      <c r="G66" s="142"/>
      <c r="H66" s="127"/>
      <c r="I66" s="128"/>
      <c r="J66" s="128"/>
      <c r="K66" s="980">
        <v>28</v>
      </c>
      <c r="L66" s="143"/>
      <c r="M66" s="143"/>
      <c r="N66" s="144"/>
      <c r="O66" s="144"/>
      <c r="P66" s="144"/>
      <c r="Q66" s="353">
        <f t="shared" si="0"/>
        <v>28</v>
      </c>
      <c r="R66" s="129">
        <f t="shared" si="1"/>
        <v>0</v>
      </c>
      <c r="S66" s="129">
        <f t="shared" si="2"/>
        <v>0</v>
      </c>
      <c r="T66" s="129">
        <f t="shared" si="3"/>
        <v>28</v>
      </c>
      <c r="U66" s="129">
        <f t="shared" si="4"/>
        <v>672</v>
      </c>
      <c r="V66" s="214">
        <f t="shared" si="5"/>
        <v>91</v>
      </c>
      <c r="W66" s="353">
        <f t="shared" si="6"/>
        <v>611.52</v>
      </c>
      <c r="X66" s="129">
        <f t="shared" si="7"/>
        <v>611.52</v>
      </c>
      <c r="Y66" s="129" t="str">
        <f t="shared" si="8"/>
        <v/>
      </c>
      <c r="Z66" s="145"/>
      <c r="BA66" s="75" t="e">
        <f t="shared" si="18"/>
        <v>#DIV/0!</v>
      </c>
      <c r="BB66" s="78"/>
      <c r="BC66" s="132"/>
      <c r="BD66" s="133"/>
      <c r="BE66" s="132"/>
      <c r="BF66" s="134"/>
      <c r="BG66" s="135"/>
      <c r="BH66" s="135"/>
      <c r="BI66" s="136"/>
      <c r="BJ66" s="136"/>
      <c r="BK66" s="136"/>
      <c r="BL66" s="136"/>
      <c r="BM66" s="137"/>
      <c r="BN66" s="137"/>
      <c r="BO66" s="75">
        <f>LOOKUP(D66,基础数据!A:D)</f>
        <v>3.84333367100529</v>
      </c>
      <c r="BP66" s="75">
        <f t="shared" si="20"/>
        <v>0.92568589507761</v>
      </c>
      <c r="BQ66" s="75">
        <f t="shared" si="10"/>
        <v>24</v>
      </c>
      <c r="BR66" s="272">
        <f t="shared" si="32"/>
        <v>27</v>
      </c>
      <c r="BS66" s="156">
        <f t="shared" si="11"/>
        <v>3.11</v>
      </c>
      <c r="BT66" s="186">
        <v>0.01</v>
      </c>
      <c r="BU66" s="156">
        <f t="shared" si="12"/>
        <v>0.27</v>
      </c>
      <c r="BV66" s="156">
        <f t="shared" si="13"/>
        <v>0.02</v>
      </c>
      <c r="BW66" s="156">
        <f t="shared" si="19"/>
        <v>24</v>
      </c>
      <c r="BX66" s="156">
        <f t="shared" si="14"/>
        <v>2.63107460643395</v>
      </c>
      <c r="BY66" s="1207" t="s">
        <v>2806</v>
      </c>
      <c r="BZ66" s="272">
        <v>30</v>
      </c>
      <c r="CA66" s="186">
        <f t="shared" si="15"/>
        <v>0.91</v>
      </c>
      <c r="CB66" s="186">
        <f t="shared" si="16"/>
        <v>0.91</v>
      </c>
      <c r="CC66" s="186">
        <f t="shared" si="17"/>
        <v>0.91</v>
      </c>
      <c r="CD66" s="272"/>
      <c r="CF66" s="134"/>
      <c r="CG66" s="138"/>
      <c r="CH66" s="132"/>
      <c r="CI66" s="138"/>
      <c r="CJ66" s="132"/>
      <c r="CK66" s="132"/>
      <c r="CL66" s="134"/>
      <c r="CM66" s="146"/>
    </row>
    <row r="67" ht="15" hidden="1" customHeight="1" spans="1:91">
      <c r="A67" s="123">
        <f>IF(B67="","",COUNT(A$7:A66)+1)</f>
        <v>60</v>
      </c>
      <c r="B67" s="139" t="s">
        <v>2835</v>
      </c>
      <c r="C67" s="139" t="s">
        <v>2842</v>
      </c>
      <c r="D67" s="1209">
        <v>44908</v>
      </c>
      <c r="E67" s="1210">
        <v>517.4</v>
      </c>
      <c r="F67" s="219" t="s">
        <v>2770</v>
      </c>
      <c r="G67" s="142"/>
      <c r="H67" s="127"/>
      <c r="I67" s="128"/>
      <c r="J67" s="128"/>
      <c r="K67" s="980">
        <v>20</v>
      </c>
      <c r="L67" s="143"/>
      <c r="M67" s="143"/>
      <c r="N67" s="144"/>
      <c r="O67" s="144"/>
      <c r="P67" s="144"/>
      <c r="Q67" s="353">
        <f t="shared" si="0"/>
        <v>20</v>
      </c>
      <c r="R67" s="129">
        <f t="shared" si="1"/>
        <v>0</v>
      </c>
      <c r="S67" s="129">
        <f t="shared" si="2"/>
        <v>0</v>
      </c>
      <c r="T67" s="129">
        <f t="shared" si="3"/>
        <v>20</v>
      </c>
      <c r="U67" s="129">
        <f t="shared" si="4"/>
        <v>480</v>
      </c>
      <c r="V67" s="214">
        <f t="shared" si="5"/>
        <v>91</v>
      </c>
      <c r="W67" s="353">
        <f t="shared" si="6"/>
        <v>436.8</v>
      </c>
      <c r="X67" s="129">
        <f t="shared" si="7"/>
        <v>436.8</v>
      </c>
      <c r="Y67" s="129" t="str">
        <f t="shared" si="8"/>
        <v/>
      </c>
      <c r="Z67" s="145"/>
      <c r="BA67" s="75" t="e">
        <f t="shared" si="18"/>
        <v>#DIV/0!</v>
      </c>
      <c r="BB67" s="78"/>
      <c r="BC67" s="132"/>
      <c r="BD67" s="133"/>
      <c r="BE67" s="132"/>
      <c r="BF67" s="134"/>
      <c r="BG67" s="135"/>
      <c r="BH67" s="135"/>
      <c r="BI67" s="136"/>
      <c r="BJ67" s="136"/>
      <c r="BK67" s="136"/>
      <c r="BL67" s="136"/>
      <c r="BM67" s="137"/>
      <c r="BN67" s="137"/>
      <c r="BO67" s="75">
        <f>LOOKUP(D67,基础数据!A:D)</f>
        <v>3.84333367100529</v>
      </c>
      <c r="BP67" s="75">
        <f t="shared" si="20"/>
        <v>0.92568589507761</v>
      </c>
      <c r="BQ67" s="75">
        <f t="shared" si="10"/>
        <v>24</v>
      </c>
      <c r="BR67" s="272">
        <f t="shared" si="32"/>
        <v>27</v>
      </c>
      <c r="BS67" s="156">
        <f t="shared" si="11"/>
        <v>3.11</v>
      </c>
      <c r="BT67" s="186">
        <v>0.01</v>
      </c>
      <c r="BU67" s="156">
        <f t="shared" si="12"/>
        <v>0.27</v>
      </c>
      <c r="BV67" s="156">
        <f t="shared" si="13"/>
        <v>0.02</v>
      </c>
      <c r="BW67" s="156">
        <f t="shared" si="19"/>
        <v>24</v>
      </c>
      <c r="BX67" s="156">
        <f t="shared" si="14"/>
        <v>2.63107460643395</v>
      </c>
      <c r="BY67" s="1207" t="s">
        <v>2806</v>
      </c>
      <c r="BZ67" s="272">
        <v>30</v>
      </c>
      <c r="CA67" s="186">
        <f t="shared" si="15"/>
        <v>0.91</v>
      </c>
      <c r="CB67" s="186">
        <f t="shared" si="16"/>
        <v>0.91</v>
      </c>
      <c r="CC67" s="186">
        <f t="shared" si="17"/>
        <v>0.91</v>
      </c>
      <c r="CD67" s="272"/>
      <c r="CF67" s="134"/>
      <c r="CG67" s="138"/>
      <c r="CH67" s="132"/>
      <c r="CI67" s="138"/>
      <c r="CJ67" s="132"/>
      <c r="CK67" s="132"/>
      <c r="CL67" s="134"/>
      <c r="CM67" s="146"/>
    </row>
    <row r="68" ht="15" hidden="1" customHeight="1" spans="1:91">
      <c r="A68" s="123">
        <f>IF(B68="","",COUNT(A$7:A67)+1)</f>
        <v>61</v>
      </c>
      <c r="B68" s="139" t="s">
        <v>2835</v>
      </c>
      <c r="C68" s="139" t="s">
        <v>2842</v>
      </c>
      <c r="D68" s="1209">
        <v>44908</v>
      </c>
      <c r="E68" s="1210">
        <v>465.66</v>
      </c>
      <c r="F68" s="219" t="s">
        <v>2770</v>
      </c>
      <c r="G68" s="142"/>
      <c r="H68" s="127"/>
      <c r="I68" s="128"/>
      <c r="J68" s="128"/>
      <c r="K68" s="980">
        <v>18</v>
      </c>
      <c r="L68" s="143"/>
      <c r="M68" s="143"/>
      <c r="N68" s="144"/>
      <c r="O68" s="144"/>
      <c r="P68" s="144"/>
      <c r="Q68" s="353">
        <f t="shared" si="0"/>
        <v>18</v>
      </c>
      <c r="R68" s="129">
        <f t="shared" si="1"/>
        <v>0</v>
      </c>
      <c r="S68" s="129">
        <f t="shared" si="2"/>
        <v>0</v>
      </c>
      <c r="T68" s="129">
        <f t="shared" si="3"/>
        <v>18</v>
      </c>
      <c r="U68" s="129">
        <f t="shared" si="4"/>
        <v>432</v>
      </c>
      <c r="V68" s="214">
        <f t="shared" si="5"/>
        <v>91</v>
      </c>
      <c r="W68" s="353">
        <f t="shared" si="6"/>
        <v>393.12</v>
      </c>
      <c r="X68" s="129">
        <f t="shared" si="7"/>
        <v>393.12</v>
      </c>
      <c r="Y68" s="129" t="str">
        <f t="shared" si="8"/>
        <v/>
      </c>
      <c r="Z68" s="145"/>
      <c r="BA68" s="75" t="e">
        <f t="shared" si="18"/>
        <v>#DIV/0!</v>
      </c>
      <c r="BB68" s="78"/>
      <c r="BC68" s="132"/>
      <c r="BD68" s="133"/>
      <c r="BE68" s="132"/>
      <c r="BF68" s="134"/>
      <c r="BG68" s="135"/>
      <c r="BH68" s="135"/>
      <c r="BI68" s="136"/>
      <c r="BJ68" s="136"/>
      <c r="BK68" s="136"/>
      <c r="BL68" s="136"/>
      <c r="BM68" s="137"/>
      <c r="BN68" s="137"/>
      <c r="BO68" s="75">
        <f>LOOKUP(D68,基础数据!A:D)</f>
        <v>3.84333367100529</v>
      </c>
      <c r="BP68" s="75">
        <f t="shared" si="20"/>
        <v>0.92568589507761</v>
      </c>
      <c r="BQ68" s="75">
        <f t="shared" si="10"/>
        <v>24</v>
      </c>
      <c r="BR68" s="272">
        <f t="shared" si="32"/>
        <v>27</v>
      </c>
      <c r="BS68" s="156">
        <f t="shared" si="11"/>
        <v>3.11</v>
      </c>
      <c r="BT68" s="186">
        <v>0.01</v>
      </c>
      <c r="BU68" s="156">
        <f t="shared" si="12"/>
        <v>0.27</v>
      </c>
      <c r="BV68" s="156">
        <f t="shared" si="13"/>
        <v>0.02</v>
      </c>
      <c r="BW68" s="156">
        <f t="shared" si="19"/>
        <v>24</v>
      </c>
      <c r="BX68" s="156">
        <f t="shared" si="14"/>
        <v>2.63107460643395</v>
      </c>
      <c r="BY68" s="1207" t="s">
        <v>2806</v>
      </c>
      <c r="BZ68" s="272">
        <v>30</v>
      </c>
      <c r="CA68" s="186">
        <f t="shared" si="15"/>
        <v>0.91</v>
      </c>
      <c r="CB68" s="186">
        <f t="shared" si="16"/>
        <v>0.91</v>
      </c>
      <c r="CC68" s="186">
        <f t="shared" si="17"/>
        <v>0.91</v>
      </c>
      <c r="CD68" s="272"/>
      <c r="CF68" s="134"/>
      <c r="CG68" s="138"/>
      <c r="CH68" s="132"/>
      <c r="CI68" s="138"/>
      <c r="CJ68" s="132"/>
      <c r="CK68" s="132"/>
      <c r="CL68" s="134"/>
      <c r="CM68" s="146"/>
    </row>
    <row r="69" ht="15" hidden="1" customHeight="1" spans="1:91">
      <c r="A69" s="123">
        <f>IF(B69="","",COUNT(A$7:A68)+1)</f>
        <v>62</v>
      </c>
      <c r="B69" s="139" t="s">
        <v>2835</v>
      </c>
      <c r="C69" s="139" t="s">
        <v>2842</v>
      </c>
      <c r="D69" s="1209">
        <v>44908</v>
      </c>
      <c r="E69" s="1210">
        <v>413.92</v>
      </c>
      <c r="F69" s="219" t="s">
        <v>2770</v>
      </c>
      <c r="G69" s="142"/>
      <c r="H69" s="127"/>
      <c r="I69" s="128"/>
      <c r="J69" s="128"/>
      <c r="K69" s="980">
        <v>16</v>
      </c>
      <c r="L69" s="143"/>
      <c r="M69" s="143"/>
      <c r="N69" s="144"/>
      <c r="O69" s="144"/>
      <c r="P69" s="144"/>
      <c r="Q69" s="353">
        <f t="shared" si="0"/>
        <v>16</v>
      </c>
      <c r="R69" s="129">
        <f t="shared" si="1"/>
        <v>0</v>
      </c>
      <c r="S69" s="129">
        <f t="shared" si="2"/>
        <v>0</v>
      </c>
      <c r="T69" s="129">
        <f t="shared" si="3"/>
        <v>16</v>
      </c>
      <c r="U69" s="129">
        <f t="shared" si="4"/>
        <v>384</v>
      </c>
      <c r="V69" s="214">
        <f t="shared" si="5"/>
        <v>91</v>
      </c>
      <c r="W69" s="353">
        <f t="shared" si="6"/>
        <v>349.44</v>
      </c>
      <c r="X69" s="129">
        <f t="shared" si="7"/>
        <v>349.44</v>
      </c>
      <c r="Y69" s="129" t="str">
        <f t="shared" si="8"/>
        <v/>
      </c>
      <c r="Z69" s="145"/>
      <c r="BA69" s="75" t="e">
        <f t="shared" si="18"/>
        <v>#DIV/0!</v>
      </c>
      <c r="BB69" s="78"/>
      <c r="BC69" s="132"/>
      <c r="BD69" s="133"/>
      <c r="BE69" s="132"/>
      <c r="BF69" s="134"/>
      <c r="BG69" s="135"/>
      <c r="BH69" s="135"/>
      <c r="BI69" s="136"/>
      <c r="BJ69" s="136"/>
      <c r="BK69" s="136"/>
      <c r="BL69" s="136"/>
      <c r="BM69" s="137"/>
      <c r="BN69" s="137"/>
      <c r="BO69" s="75">
        <f>LOOKUP(D69,基础数据!A:D)</f>
        <v>3.84333367100529</v>
      </c>
      <c r="BP69" s="75">
        <f t="shared" si="20"/>
        <v>0.92568589507761</v>
      </c>
      <c r="BQ69" s="75">
        <f t="shared" si="10"/>
        <v>24</v>
      </c>
      <c r="BR69" s="272">
        <f t="shared" si="32"/>
        <v>27</v>
      </c>
      <c r="BS69" s="156">
        <f t="shared" si="11"/>
        <v>3.11</v>
      </c>
      <c r="BT69" s="186">
        <v>0.01</v>
      </c>
      <c r="BU69" s="156">
        <f t="shared" si="12"/>
        <v>0.27</v>
      </c>
      <c r="BV69" s="156">
        <f t="shared" si="13"/>
        <v>0.02</v>
      </c>
      <c r="BW69" s="156">
        <f t="shared" si="19"/>
        <v>24</v>
      </c>
      <c r="BX69" s="156">
        <f t="shared" si="14"/>
        <v>2.63107460643395</v>
      </c>
      <c r="BY69" s="1207" t="s">
        <v>2806</v>
      </c>
      <c r="BZ69" s="272">
        <v>30</v>
      </c>
      <c r="CA69" s="186">
        <f t="shared" si="15"/>
        <v>0.91</v>
      </c>
      <c r="CB69" s="186">
        <f t="shared" si="16"/>
        <v>0.91</v>
      </c>
      <c r="CC69" s="186">
        <f t="shared" si="17"/>
        <v>0.91</v>
      </c>
      <c r="CD69" s="272"/>
      <c r="CF69" s="134"/>
      <c r="CG69" s="138"/>
      <c r="CH69" s="132"/>
      <c r="CI69" s="138"/>
      <c r="CJ69" s="132"/>
      <c r="CK69" s="132"/>
      <c r="CL69" s="134"/>
      <c r="CM69" s="146"/>
    </row>
    <row r="70" ht="15" hidden="1" customHeight="1" spans="1:91">
      <c r="A70" s="123">
        <f>IF(B70="","",COUNT(A$7:A69)+1)</f>
        <v>63</v>
      </c>
      <c r="B70" s="139" t="s">
        <v>2835</v>
      </c>
      <c r="C70" s="139" t="s">
        <v>2842</v>
      </c>
      <c r="D70" s="1209">
        <v>44908</v>
      </c>
      <c r="E70" s="1210">
        <v>3104.4</v>
      </c>
      <c r="F70" s="219" t="s">
        <v>2770</v>
      </c>
      <c r="G70" s="142"/>
      <c r="H70" s="127"/>
      <c r="I70" s="128"/>
      <c r="J70" s="128"/>
      <c r="K70" s="980">
        <v>120</v>
      </c>
      <c r="L70" s="143"/>
      <c r="M70" s="143"/>
      <c r="N70" s="144"/>
      <c r="O70" s="144"/>
      <c r="P70" s="144"/>
      <c r="Q70" s="353">
        <f t="shared" si="0"/>
        <v>120</v>
      </c>
      <c r="R70" s="129">
        <f t="shared" si="1"/>
        <v>0</v>
      </c>
      <c r="S70" s="129">
        <f t="shared" si="2"/>
        <v>0</v>
      </c>
      <c r="T70" s="129">
        <f t="shared" si="3"/>
        <v>120</v>
      </c>
      <c r="U70" s="129">
        <f t="shared" si="4"/>
        <v>2880</v>
      </c>
      <c r="V70" s="214">
        <f t="shared" si="5"/>
        <v>91</v>
      </c>
      <c r="W70" s="353">
        <f t="shared" si="6"/>
        <v>2620.8</v>
      </c>
      <c r="X70" s="129">
        <f t="shared" si="7"/>
        <v>2620.8</v>
      </c>
      <c r="Y70" s="129" t="str">
        <f t="shared" si="8"/>
        <v/>
      </c>
      <c r="Z70" s="145"/>
      <c r="BA70" s="75" t="e">
        <f t="shared" si="18"/>
        <v>#DIV/0!</v>
      </c>
      <c r="BB70" s="78"/>
      <c r="BC70" s="132"/>
      <c r="BD70" s="133"/>
      <c r="BE70" s="132"/>
      <c r="BF70" s="134"/>
      <c r="BG70" s="135"/>
      <c r="BH70" s="135"/>
      <c r="BI70" s="136"/>
      <c r="BJ70" s="136"/>
      <c r="BK70" s="136"/>
      <c r="BL70" s="136"/>
      <c r="BM70" s="137"/>
      <c r="BN70" s="137"/>
      <c r="BO70" s="75">
        <f>LOOKUP(D70,基础数据!A:D)</f>
        <v>3.84333367100529</v>
      </c>
      <c r="BP70" s="75">
        <f t="shared" si="20"/>
        <v>0.92568589507761</v>
      </c>
      <c r="BQ70" s="75">
        <f t="shared" si="10"/>
        <v>24</v>
      </c>
      <c r="BR70" s="272">
        <f t="shared" si="32"/>
        <v>27</v>
      </c>
      <c r="BS70" s="156">
        <f t="shared" si="11"/>
        <v>3.11</v>
      </c>
      <c r="BT70" s="186">
        <v>0.01</v>
      </c>
      <c r="BU70" s="156">
        <f t="shared" si="12"/>
        <v>0.27</v>
      </c>
      <c r="BV70" s="156">
        <f t="shared" si="13"/>
        <v>0.02</v>
      </c>
      <c r="BW70" s="156">
        <f t="shared" si="19"/>
        <v>24</v>
      </c>
      <c r="BX70" s="156">
        <f t="shared" si="14"/>
        <v>2.63107460643395</v>
      </c>
      <c r="BY70" s="1207" t="s">
        <v>2806</v>
      </c>
      <c r="BZ70" s="272">
        <v>30</v>
      </c>
      <c r="CA70" s="186">
        <f t="shared" si="15"/>
        <v>0.91</v>
      </c>
      <c r="CB70" s="186">
        <f t="shared" si="16"/>
        <v>0.91</v>
      </c>
      <c r="CC70" s="186">
        <f t="shared" si="17"/>
        <v>0.91</v>
      </c>
      <c r="CD70" s="272"/>
      <c r="CF70" s="134"/>
      <c r="CG70" s="138"/>
      <c r="CH70" s="132"/>
      <c r="CI70" s="138"/>
      <c r="CJ70" s="132"/>
      <c r="CK70" s="132"/>
      <c r="CL70" s="134"/>
      <c r="CM70" s="146"/>
    </row>
    <row r="71" ht="15" hidden="1" customHeight="1" spans="1:91">
      <c r="A71" s="123">
        <f>IF(B71="","",COUNT(A$7:A70)+1)</f>
        <v>64</v>
      </c>
      <c r="B71" s="798" t="s">
        <v>2835</v>
      </c>
      <c r="C71" s="139" t="s">
        <v>2836</v>
      </c>
      <c r="D71" s="1209">
        <v>43100</v>
      </c>
      <c r="E71" s="1210">
        <v>197.26</v>
      </c>
      <c r="F71" s="219" t="s">
        <v>2770</v>
      </c>
      <c r="G71" s="142"/>
      <c r="H71" s="127"/>
      <c r="I71" s="128"/>
      <c r="J71" s="128"/>
      <c r="K71" s="980">
        <v>14</v>
      </c>
      <c r="L71" s="143"/>
      <c r="M71" s="143"/>
      <c r="N71" s="144"/>
      <c r="O71" s="144"/>
      <c r="P71" s="144"/>
      <c r="Q71" s="353">
        <f t="shared" si="0"/>
        <v>14</v>
      </c>
      <c r="R71" s="129">
        <f t="shared" si="1"/>
        <v>0</v>
      </c>
      <c r="S71" s="129">
        <f t="shared" si="2"/>
        <v>0</v>
      </c>
      <c r="T71" s="129">
        <f t="shared" si="3"/>
        <v>14</v>
      </c>
      <c r="U71" s="129">
        <f t="shared" si="4"/>
        <v>196</v>
      </c>
      <c r="V71" s="214">
        <f t="shared" si="5"/>
        <v>75</v>
      </c>
      <c r="W71" s="353">
        <f t="shared" si="6"/>
        <v>147</v>
      </c>
      <c r="X71" s="129">
        <f t="shared" si="7"/>
        <v>147</v>
      </c>
      <c r="Y71" s="129" t="str">
        <f t="shared" si="8"/>
        <v/>
      </c>
      <c r="Z71" s="145"/>
      <c r="BA71" s="75" t="e">
        <f t="shared" si="18"/>
        <v>#DIV/0!</v>
      </c>
      <c r="BB71" s="78"/>
      <c r="BC71" s="132"/>
      <c r="BD71" s="133"/>
      <c r="BE71" s="132"/>
      <c r="BF71" s="134"/>
      <c r="BG71" s="135"/>
      <c r="BH71" s="135"/>
      <c r="BI71" s="136"/>
      <c r="BJ71" s="136"/>
      <c r="BK71" s="136"/>
      <c r="BL71" s="136"/>
      <c r="BM71" s="137"/>
      <c r="BN71" s="137"/>
      <c r="BO71" s="75">
        <f>LOOKUP(D71,基础数据!A:D)</f>
        <v>3.53915880885741</v>
      </c>
      <c r="BP71" s="75">
        <f t="shared" si="20"/>
        <v>1.00524445538374</v>
      </c>
      <c r="BQ71" s="75">
        <f t="shared" si="10"/>
        <v>14</v>
      </c>
      <c r="BR71" s="272">
        <f t="shared" si="32"/>
        <v>16</v>
      </c>
      <c r="BS71" s="156">
        <f t="shared" si="11"/>
        <v>1.84</v>
      </c>
      <c r="BT71" s="186">
        <v>0.01</v>
      </c>
      <c r="BU71" s="156">
        <f t="shared" si="12"/>
        <v>0.16</v>
      </c>
      <c r="BV71" s="156">
        <f t="shared" si="13"/>
        <v>0.01</v>
      </c>
      <c r="BW71" s="156">
        <f t="shared" si="19"/>
        <v>14</v>
      </c>
      <c r="BX71" s="156">
        <f t="shared" si="14"/>
        <v>7.58110882956879</v>
      </c>
      <c r="BY71" s="1207" t="s">
        <v>2806</v>
      </c>
      <c r="BZ71" s="272">
        <v>30</v>
      </c>
      <c r="CA71" s="186">
        <f t="shared" si="15"/>
        <v>0.75</v>
      </c>
      <c r="CB71" s="186">
        <f t="shared" si="16"/>
        <v>0.75</v>
      </c>
      <c r="CC71" s="186">
        <f t="shared" si="17"/>
        <v>0.75</v>
      </c>
      <c r="CD71" s="272"/>
      <c r="CF71" s="134"/>
      <c r="CG71" s="138"/>
      <c r="CH71" s="132"/>
      <c r="CI71" s="138"/>
      <c r="CJ71" s="132"/>
      <c r="CK71" s="132"/>
      <c r="CL71" s="134"/>
      <c r="CM71" s="146"/>
    </row>
    <row r="72" ht="15" customHeight="1" spans="1:91">
      <c r="A72" s="123">
        <f>IF(B72="","",COUNT(A$7:A71)+1)</f>
        <v>65</v>
      </c>
      <c r="B72" s="139" t="s">
        <v>2829</v>
      </c>
      <c r="C72" s="139" t="s">
        <v>2839</v>
      </c>
      <c r="D72" s="1209">
        <v>43100</v>
      </c>
      <c r="E72" s="1210">
        <v>184.5</v>
      </c>
      <c r="F72" s="219" t="s">
        <v>2770</v>
      </c>
      <c r="G72" s="142"/>
      <c r="H72" s="127"/>
      <c r="I72" s="128"/>
      <c r="J72" s="128"/>
      <c r="K72" s="980">
        <v>30</v>
      </c>
      <c r="L72" s="143"/>
      <c r="M72" s="143"/>
      <c r="N72" s="144"/>
      <c r="O72" s="144"/>
      <c r="P72" s="144"/>
      <c r="Q72" s="353">
        <f t="shared" ref="Q72:Q135" si="33">IF(B72="","",K72+N72)</f>
        <v>30</v>
      </c>
      <c r="R72" s="129">
        <f t="shared" ref="R72:R135" si="34">IF(B72="","",L72+O72)</f>
        <v>0</v>
      </c>
      <c r="S72" s="129">
        <f t="shared" ref="S72:S135" si="35">IF(B72="","",M72+P72)</f>
        <v>0</v>
      </c>
      <c r="T72" s="129">
        <f t="shared" ref="T72:T135" si="36">IF(B72="","",IF(BC$3="是",Q72,""))</f>
        <v>30</v>
      </c>
      <c r="U72" s="129">
        <f t="shared" ref="U72:U135" si="37">IF(B72="","",IF(BC$3="是",IFERROR(ROUND(BW72,0)*T72,""),""))</f>
        <v>210</v>
      </c>
      <c r="V72" s="214">
        <f t="shared" ref="V72:V135" si="38">IF(B72="","",IF(BC$3="是",IF(B72="","",MAX(CA72,15%)*100),""))</f>
        <v>75</v>
      </c>
      <c r="W72" s="353">
        <f t="shared" ref="W72:W135" si="39">IFERROR(U72*V72/100,"")</f>
        <v>157.5</v>
      </c>
      <c r="X72" s="129">
        <f t="shared" ref="X72:X135" si="40">IFERROR(W72-(R72-S72),"")</f>
        <v>157.5</v>
      </c>
      <c r="Y72" s="129" t="str">
        <f t="shared" ref="Y72:Y135" si="41">IFERROR(X72/(R72-S72)*100,"")</f>
        <v/>
      </c>
      <c r="Z72" s="145"/>
      <c r="BA72" s="75" t="e">
        <f t="shared" si="18"/>
        <v>#DIV/0!</v>
      </c>
      <c r="BB72" s="78"/>
      <c r="BC72" s="132"/>
      <c r="BD72" s="133"/>
      <c r="BE72" s="132"/>
      <c r="BF72" s="134"/>
      <c r="BG72" s="135"/>
      <c r="BH72" s="135"/>
      <c r="BI72" s="136"/>
      <c r="BJ72" s="136"/>
      <c r="BK72" s="136"/>
      <c r="BL72" s="136"/>
      <c r="BM72" s="137"/>
      <c r="BN72" s="137"/>
      <c r="BO72" s="75">
        <f>LOOKUP(D72,基础数据!A:D)</f>
        <v>3.53915880885741</v>
      </c>
      <c r="BP72" s="75">
        <f t="shared" si="20"/>
        <v>1.00524445538374</v>
      </c>
      <c r="BQ72" s="75">
        <f t="shared" ref="BQ72:BQ135" si="42">ROUND(E72*BP72/Q72,0)</f>
        <v>6</v>
      </c>
      <c r="BR72" s="272">
        <f t="shared" si="32"/>
        <v>7</v>
      </c>
      <c r="BS72" s="156">
        <f t="shared" ref="BS72:BS135" si="43">ROUND(BR72/(1+BS$6)*BS$6,2)</f>
        <v>0.81</v>
      </c>
      <c r="BT72" s="1211">
        <v>0.06</v>
      </c>
      <c r="BU72" s="156">
        <f t="shared" ref="BU72:BU135" si="44">ROUND(BR72*BT72,2)</f>
        <v>0.42</v>
      </c>
      <c r="BV72" s="156">
        <f t="shared" ref="BV72:BV135" si="45">ROUND(BU72/(1+BV$6)*BV$6,2)</f>
        <v>0.03</v>
      </c>
      <c r="BW72" s="156">
        <f t="shared" si="19"/>
        <v>7</v>
      </c>
      <c r="BX72" s="156">
        <f t="shared" ref="BX72:BX135" si="46">(BX$6-D72)/365.25</f>
        <v>7.58110882956879</v>
      </c>
      <c r="BY72" s="1207" t="s">
        <v>2806</v>
      </c>
      <c r="BZ72" s="272">
        <v>30</v>
      </c>
      <c r="CA72" s="186">
        <f t="shared" ref="CA72:CA135" si="47">ROUND(IFERROR(1-(BX72/BZ72),0),2)</f>
        <v>0.75</v>
      </c>
      <c r="CB72" s="186">
        <f t="shared" ref="CB72:CB135" si="48">CA72</f>
        <v>0.75</v>
      </c>
      <c r="CC72" s="186">
        <f t="shared" ref="CC72:CC135" si="49">CA72*CA$6+CB72*CB$6</f>
        <v>0.75</v>
      </c>
      <c r="CD72" s="272"/>
      <c r="CF72" s="134"/>
      <c r="CG72" s="138"/>
      <c r="CH72" s="132"/>
      <c r="CI72" s="138"/>
      <c r="CJ72" s="132"/>
      <c r="CK72" s="132"/>
      <c r="CL72" s="134"/>
      <c r="CM72" s="146"/>
    </row>
    <row r="73" ht="15" hidden="1" customHeight="1" spans="1:91">
      <c r="A73" s="123">
        <f>IF(B73="","",COUNT(A$7:A72)+1)</f>
        <v>66</v>
      </c>
      <c r="B73" s="139" t="s">
        <v>2835</v>
      </c>
      <c r="C73" s="139" t="s">
        <v>2842</v>
      </c>
      <c r="D73" s="1209">
        <v>44908</v>
      </c>
      <c r="E73" s="1210">
        <v>517.4</v>
      </c>
      <c r="F73" s="219" t="s">
        <v>2770</v>
      </c>
      <c r="G73" s="142"/>
      <c r="H73" s="127"/>
      <c r="I73" s="128"/>
      <c r="J73" s="128"/>
      <c r="K73" s="980">
        <v>20</v>
      </c>
      <c r="L73" s="143"/>
      <c r="M73" s="143"/>
      <c r="N73" s="144"/>
      <c r="O73" s="144"/>
      <c r="P73" s="144"/>
      <c r="Q73" s="353">
        <f t="shared" si="33"/>
        <v>20</v>
      </c>
      <c r="R73" s="129">
        <f t="shared" si="34"/>
        <v>0</v>
      </c>
      <c r="S73" s="129">
        <f t="shared" si="35"/>
        <v>0</v>
      </c>
      <c r="T73" s="129">
        <f t="shared" si="36"/>
        <v>20</v>
      </c>
      <c r="U73" s="129">
        <f t="shared" si="37"/>
        <v>480</v>
      </c>
      <c r="V73" s="214">
        <f t="shared" si="38"/>
        <v>91</v>
      </c>
      <c r="W73" s="353">
        <f t="shared" si="39"/>
        <v>436.8</v>
      </c>
      <c r="X73" s="129">
        <f t="shared" si="40"/>
        <v>436.8</v>
      </c>
      <c r="Y73" s="129" t="str">
        <f t="shared" si="41"/>
        <v/>
      </c>
      <c r="Z73" s="145"/>
      <c r="BA73" s="75" t="e">
        <f t="shared" ref="BA73:BA136" si="50">(U73-R73)/R73</f>
        <v>#DIV/0!</v>
      </c>
      <c r="BB73" s="78"/>
      <c r="BC73" s="132"/>
      <c r="BD73" s="133"/>
      <c r="BE73" s="132"/>
      <c r="BF73" s="134"/>
      <c r="BG73" s="135"/>
      <c r="BH73" s="135"/>
      <c r="BI73" s="136"/>
      <c r="BJ73" s="136"/>
      <c r="BK73" s="136"/>
      <c r="BL73" s="136"/>
      <c r="BM73" s="137"/>
      <c r="BN73" s="137"/>
      <c r="BO73" s="75">
        <f>LOOKUP(D73,基础数据!A:D)</f>
        <v>3.84333367100529</v>
      </c>
      <c r="BP73" s="75">
        <f t="shared" si="20"/>
        <v>0.92568589507761</v>
      </c>
      <c r="BQ73" s="75">
        <f t="shared" si="42"/>
        <v>24</v>
      </c>
      <c r="BR73" s="272">
        <f t="shared" si="32"/>
        <v>27</v>
      </c>
      <c r="BS73" s="156">
        <f t="shared" si="43"/>
        <v>3.11</v>
      </c>
      <c r="BT73" s="1211">
        <v>0.01</v>
      </c>
      <c r="BU73" s="156">
        <f t="shared" si="44"/>
        <v>0.27</v>
      </c>
      <c r="BV73" s="156">
        <f t="shared" si="45"/>
        <v>0.02</v>
      </c>
      <c r="BW73" s="156">
        <f t="shared" ref="BW73:BW136" si="51">ROUND(BR73+BU73-BS73-BV73,0)</f>
        <v>24</v>
      </c>
      <c r="BX73" s="156">
        <f t="shared" si="46"/>
        <v>2.63107460643395</v>
      </c>
      <c r="BY73" s="1207" t="s">
        <v>2806</v>
      </c>
      <c r="BZ73" s="272">
        <v>30</v>
      </c>
      <c r="CA73" s="186">
        <f t="shared" si="47"/>
        <v>0.91</v>
      </c>
      <c r="CB73" s="186">
        <f t="shared" si="48"/>
        <v>0.91</v>
      </c>
      <c r="CC73" s="186">
        <f t="shared" si="49"/>
        <v>0.91</v>
      </c>
      <c r="CD73" s="272"/>
      <c r="CF73" s="134"/>
      <c r="CG73" s="138"/>
      <c r="CH73" s="132"/>
      <c r="CI73" s="138"/>
      <c r="CJ73" s="132"/>
      <c r="CK73" s="132"/>
      <c r="CL73" s="134"/>
      <c r="CM73" s="146"/>
    </row>
    <row r="74" ht="15" hidden="1" customHeight="1" spans="1:91">
      <c r="A74" s="123">
        <f>IF(B74="","",COUNT(A$7:A73)+1)</f>
        <v>67</v>
      </c>
      <c r="B74" s="139" t="s">
        <v>2835</v>
      </c>
      <c r="C74" s="139" t="s">
        <v>2842</v>
      </c>
      <c r="D74" s="1209">
        <v>44908</v>
      </c>
      <c r="E74" s="1210">
        <v>258.7</v>
      </c>
      <c r="F74" s="219" t="s">
        <v>2770</v>
      </c>
      <c r="G74" s="142"/>
      <c r="H74" s="127"/>
      <c r="I74" s="128"/>
      <c r="J74" s="128"/>
      <c r="K74" s="980">
        <v>10</v>
      </c>
      <c r="L74" s="143"/>
      <c r="M74" s="143"/>
      <c r="N74" s="144"/>
      <c r="O74" s="144"/>
      <c r="P74" s="144"/>
      <c r="Q74" s="353">
        <f t="shared" si="33"/>
        <v>10</v>
      </c>
      <c r="R74" s="129">
        <f t="shared" si="34"/>
        <v>0</v>
      </c>
      <c r="S74" s="129">
        <f t="shared" si="35"/>
        <v>0</v>
      </c>
      <c r="T74" s="129">
        <f t="shared" si="36"/>
        <v>10</v>
      </c>
      <c r="U74" s="129">
        <f t="shared" si="37"/>
        <v>240</v>
      </c>
      <c r="V74" s="214">
        <f t="shared" si="38"/>
        <v>91</v>
      </c>
      <c r="W74" s="353">
        <f t="shared" si="39"/>
        <v>218.4</v>
      </c>
      <c r="X74" s="129">
        <f t="shared" si="40"/>
        <v>218.4</v>
      </c>
      <c r="Y74" s="129" t="str">
        <f t="shared" si="41"/>
        <v/>
      </c>
      <c r="Z74" s="145"/>
      <c r="BA74" s="75" t="e">
        <f t="shared" si="50"/>
        <v>#DIV/0!</v>
      </c>
      <c r="BB74" s="78"/>
      <c r="BC74" s="132"/>
      <c r="BD74" s="133"/>
      <c r="BE74" s="132"/>
      <c r="BF74" s="134"/>
      <c r="BG74" s="135"/>
      <c r="BH74" s="135"/>
      <c r="BI74" s="136"/>
      <c r="BJ74" s="136"/>
      <c r="BK74" s="136"/>
      <c r="BL74" s="136"/>
      <c r="BM74" s="137"/>
      <c r="BN74" s="137"/>
      <c r="BO74" s="75">
        <f>LOOKUP(D74,基础数据!A:D)</f>
        <v>3.84333367100529</v>
      </c>
      <c r="BP74" s="75">
        <f t="shared" ref="BP74:BP137" si="52">BO$6/BO74</f>
        <v>0.92568589507761</v>
      </c>
      <c r="BQ74" s="75">
        <f t="shared" si="42"/>
        <v>24</v>
      </c>
      <c r="BR74" s="272">
        <f t="shared" si="32"/>
        <v>27</v>
      </c>
      <c r="BS74" s="156">
        <f t="shared" si="43"/>
        <v>3.11</v>
      </c>
      <c r="BT74" s="186">
        <v>0.01</v>
      </c>
      <c r="BU74" s="156">
        <f t="shared" si="44"/>
        <v>0.27</v>
      </c>
      <c r="BV74" s="156">
        <f t="shared" si="45"/>
        <v>0.02</v>
      </c>
      <c r="BW74" s="156">
        <f t="shared" si="51"/>
        <v>24</v>
      </c>
      <c r="BX74" s="156">
        <f t="shared" si="46"/>
        <v>2.63107460643395</v>
      </c>
      <c r="BY74" s="1207" t="s">
        <v>2806</v>
      </c>
      <c r="BZ74" s="272">
        <v>30</v>
      </c>
      <c r="CA74" s="186">
        <f t="shared" si="47"/>
        <v>0.91</v>
      </c>
      <c r="CB74" s="186">
        <f t="shared" si="48"/>
        <v>0.91</v>
      </c>
      <c r="CC74" s="186">
        <f t="shared" si="49"/>
        <v>0.91</v>
      </c>
      <c r="CD74" s="272"/>
      <c r="CF74" s="134"/>
      <c r="CG74" s="138"/>
      <c r="CH74" s="132"/>
      <c r="CI74" s="138"/>
      <c r="CJ74" s="132"/>
      <c r="CK74" s="132"/>
      <c r="CL74" s="134"/>
      <c r="CM74" s="146"/>
    </row>
    <row r="75" ht="15" hidden="1" customHeight="1" spans="1:91">
      <c r="A75" s="123">
        <f>IF(B75="","",COUNT(A$7:A74)+1)</f>
        <v>68</v>
      </c>
      <c r="B75" s="139" t="s">
        <v>2835</v>
      </c>
      <c r="C75" s="139" t="s">
        <v>2842</v>
      </c>
      <c r="D75" s="1209">
        <v>44908</v>
      </c>
      <c r="E75" s="1210">
        <v>155.22</v>
      </c>
      <c r="F75" s="219" t="s">
        <v>2770</v>
      </c>
      <c r="G75" s="142"/>
      <c r="H75" s="127"/>
      <c r="I75" s="128"/>
      <c r="J75" s="128"/>
      <c r="K75" s="980">
        <v>6</v>
      </c>
      <c r="L75" s="143"/>
      <c r="M75" s="143"/>
      <c r="N75" s="144"/>
      <c r="O75" s="144"/>
      <c r="P75" s="144"/>
      <c r="Q75" s="353">
        <f t="shared" si="33"/>
        <v>6</v>
      </c>
      <c r="R75" s="129">
        <f t="shared" si="34"/>
        <v>0</v>
      </c>
      <c r="S75" s="129">
        <f t="shared" si="35"/>
        <v>0</v>
      </c>
      <c r="T75" s="129">
        <f t="shared" si="36"/>
        <v>6</v>
      </c>
      <c r="U75" s="129">
        <f t="shared" si="37"/>
        <v>144</v>
      </c>
      <c r="V75" s="214">
        <f t="shared" si="38"/>
        <v>91</v>
      </c>
      <c r="W75" s="353">
        <f t="shared" si="39"/>
        <v>131.04</v>
      </c>
      <c r="X75" s="129">
        <f t="shared" si="40"/>
        <v>131.04</v>
      </c>
      <c r="Y75" s="129" t="str">
        <f t="shared" si="41"/>
        <v/>
      </c>
      <c r="Z75" s="145"/>
      <c r="BA75" s="75" t="e">
        <f t="shared" si="50"/>
        <v>#DIV/0!</v>
      </c>
      <c r="BB75" s="78"/>
      <c r="BC75" s="132"/>
      <c r="BD75" s="133"/>
      <c r="BE75" s="132"/>
      <c r="BF75" s="134"/>
      <c r="BG75" s="135"/>
      <c r="BH75" s="135"/>
      <c r="BI75" s="136"/>
      <c r="BJ75" s="136"/>
      <c r="BK75" s="136"/>
      <c r="BL75" s="136"/>
      <c r="BM75" s="137"/>
      <c r="BN75" s="137"/>
      <c r="BO75" s="75">
        <f>LOOKUP(D75,基础数据!A:D)</f>
        <v>3.84333367100529</v>
      </c>
      <c r="BP75" s="75">
        <f t="shared" si="52"/>
        <v>0.92568589507761</v>
      </c>
      <c r="BQ75" s="75">
        <f t="shared" si="42"/>
        <v>24</v>
      </c>
      <c r="BR75" s="272">
        <f t="shared" si="32"/>
        <v>27</v>
      </c>
      <c r="BS75" s="156">
        <f t="shared" si="43"/>
        <v>3.11</v>
      </c>
      <c r="BT75" s="186">
        <v>0.01</v>
      </c>
      <c r="BU75" s="156">
        <f t="shared" si="44"/>
        <v>0.27</v>
      </c>
      <c r="BV75" s="156">
        <f t="shared" si="45"/>
        <v>0.02</v>
      </c>
      <c r="BW75" s="156">
        <f t="shared" si="51"/>
        <v>24</v>
      </c>
      <c r="BX75" s="156">
        <f t="shared" si="46"/>
        <v>2.63107460643395</v>
      </c>
      <c r="BY75" s="1207" t="s">
        <v>2806</v>
      </c>
      <c r="BZ75" s="272">
        <v>30</v>
      </c>
      <c r="CA75" s="186">
        <f t="shared" si="47"/>
        <v>0.91</v>
      </c>
      <c r="CB75" s="186">
        <f t="shared" si="48"/>
        <v>0.91</v>
      </c>
      <c r="CC75" s="186">
        <f t="shared" si="49"/>
        <v>0.91</v>
      </c>
      <c r="CD75" s="272"/>
      <c r="CF75" s="134"/>
      <c r="CG75" s="138"/>
      <c r="CH75" s="132"/>
      <c r="CI75" s="138"/>
      <c r="CJ75" s="132"/>
      <c r="CK75" s="132"/>
      <c r="CL75" s="134"/>
      <c r="CM75" s="146"/>
    </row>
    <row r="76" ht="15" hidden="1" customHeight="1" spans="1:91">
      <c r="A76" s="123">
        <f>IF(B76="","",COUNT(A$7:A75)+1)</f>
        <v>69</v>
      </c>
      <c r="B76" s="139" t="s">
        <v>2843</v>
      </c>
      <c r="C76" s="139" t="s">
        <v>2844</v>
      </c>
      <c r="D76" s="1209">
        <v>43100</v>
      </c>
      <c r="E76" s="1210">
        <v>24.6</v>
      </c>
      <c r="F76" s="219" t="s">
        <v>2770</v>
      </c>
      <c r="G76" s="142"/>
      <c r="H76" s="127"/>
      <c r="I76" s="128"/>
      <c r="J76" s="128"/>
      <c r="K76" s="980">
        <v>4</v>
      </c>
      <c r="L76" s="143"/>
      <c r="M76" s="143"/>
      <c r="N76" s="144"/>
      <c r="O76" s="144"/>
      <c r="P76" s="144"/>
      <c r="Q76" s="353">
        <f t="shared" si="33"/>
        <v>4</v>
      </c>
      <c r="R76" s="129">
        <f t="shared" si="34"/>
        <v>0</v>
      </c>
      <c r="S76" s="129">
        <f t="shared" si="35"/>
        <v>0</v>
      </c>
      <c r="T76" s="129">
        <f t="shared" si="36"/>
        <v>4</v>
      </c>
      <c r="U76" s="129">
        <f t="shared" si="37"/>
        <v>24</v>
      </c>
      <c r="V76" s="214">
        <f t="shared" si="38"/>
        <v>75</v>
      </c>
      <c r="W76" s="353">
        <f t="shared" si="39"/>
        <v>18</v>
      </c>
      <c r="X76" s="129">
        <f t="shared" si="40"/>
        <v>18</v>
      </c>
      <c r="Y76" s="129" t="str">
        <f t="shared" si="41"/>
        <v/>
      </c>
      <c r="Z76" s="145"/>
      <c r="BA76" s="75" t="e">
        <f t="shared" si="50"/>
        <v>#DIV/0!</v>
      </c>
      <c r="BB76" s="78"/>
      <c r="BC76" s="132"/>
      <c r="BD76" s="133"/>
      <c r="BE76" s="132"/>
      <c r="BF76" s="134"/>
      <c r="BG76" s="135"/>
      <c r="BH76" s="135"/>
      <c r="BI76" s="136"/>
      <c r="BJ76" s="136"/>
      <c r="BK76" s="136"/>
      <c r="BL76" s="136"/>
      <c r="BM76" s="137"/>
      <c r="BN76" s="137"/>
      <c r="BO76" s="75">
        <f>LOOKUP(D76,基础数据!A:D)</f>
        <v>3.53915880885741</v>
      </c>
      <c r="BP76" s="75">
        <f t="shared" si="52"/>
        <v>1.00524445538374</v>
      </c>
      <c r="BQ76" s="75">
        <f t="shared" si="42"/>
        <v>6</v>
      </c>
      <c r="BR76" s="272">
        <f t="shared" si="32"/>
        <v>7</v>
      </c>
      <c r="BS76" s="156">
        <f t="shared" si="43"/>
        <v>0.81</v>
      </c>
      <c r="BT76" s="1211">
        <v>0.01</v>
      </c>
      <c r="BU76" s="156">
        <f t="shared" si="44"/>
        <v>0.07</v>
      </c>
      <c r="BV76" s="156">
        <f t="shared" si="45"/>
        <v>0.01</v>
      </c>
      <c r="BW76" s="156">
        <f t="shared" si="51"/>
        <v>6</v>
      </c>
      <c r="BX76" s="156">
        <f t="shared" si="46"/>
        <v>7.58110882956879</v>
      </c>
      <c r="BY76" s="1207" t="s">
        <v>2806</v>
      </c>
      <c r="BZ76" s="272">
        <v>30</v>
      </c>
      <c r="CA76" s="186">
        <f t="shared" si="47"/>
        <v>0.75</v>
      </c>
      <c r="CB76" s="186">
        <f t="shared" si="48"/>
        <v>0.75</v>
      </c>
      <c r="CC76" s="186">
        <f t="shared" si="49"/>
        <v>0.75</v>
      </c>
      <c r="CD76" s="272"/>
      <c r="CF76" s="134"/>
      <c r="CG76" s="138"/>
      <c r="CH76" s="132"/>
      <c r="CI76" s="138"/>
      <c r="CJ76" s="132"/>
      <c r="CK76" s="132"/>
      <c r="CL76" s="134"/>
      <c r="CM76" s="146"/>
    </row>
    <row r="77" ht="15" customHeight="1" spans="1:91">
      <c r="A77" s="123">
        <f>IF(B77="","",COUNT(A$7:A76)+1)</f>
        <v>70</v>
      </c>
      <c r="B77" s="139" t="s">
        <v>2829</v>
      </c>
      <c r="C77" s="139" t="s">
        <v>2839</v>
      </c>
      <c r="D77" s="1209">
        <v>43100</v>
      </c>
      <c r="E77" s="1210">
        <v>49.2</v>
      </c>
      <c r="F77" s="219" t="s">
        <v>2770</v>
      </c>
      <c r="G77" s="142"/>
      <c r="H77" s="127"/>
      <c r="I77" s="128"/>
      <c r="J77" s="128"/>
      <c r="K77" s="980">
        <v>8</v>
      </c>
      <c r="L77" s="143"/>
      <c r="M77" s="143"/>
      <c r="N77" s="144"/>
      <c r="O77" s="144"/>
      <c r="P77" s="144"/>
      <c r="Q77" s="353">
        <f t="shared" si="33"/>
        <v>8</v>
      </c>
      <c r="R77" s="129">
        <f t="shared" si="34"/>
        <v>0</v>
      </c>
      <c r="S77" s="129">
        <f t="shared" si="35"/>
        <v>0</v>
      </c>
      <c r="T77" s="129">
        <f t="shared" si="36"/>
        <v>8</v>
      </c>
      <c r="U77" s="129">
        <f t="shared" si="37"/>
        <v>56</v>
      </c>
      <c r="V77" s="214">
        <f t="shared" si="38"/>
        <v>75</v>
      </c>
      <c r="W77" s="353">
        <f t="shared" si="39"/>
        <v>42</v>
      </c>
      <c r="X77" s="129">
        <f t="shared" si="40"/>
        <v>42</v>
      </c>
      <c r="Y77" s="129" t="str">
        <f t="shared" si="41"/>
        <v/>
      </c>
      <c r="Z77" s="145"/>
      <c r="BA77" s="75" t="e">
        <f t="shared" si="50"/>
        <v>#DIV/0!</v>
      </c>
      <c r="BB77" s="78"/>
      <c r="BC77" s="132"/>
      <c r="BD77" s="133"/>
      <c r="BE77" s="132"/>
      <c r="BF77" s="134"/>
      <c r="BG77" s="135"/>
      <c r="BH77" s="135"/>
      <c r="BI77" s="136"/>
      <c r="BJ77" s="136"/>
      <c r="BK77" s="136"/>
      <c r="BL77" s="136"/>
      <c r="BM77" s="137"/>
      <c r="BN77" s="137"/>
      <c r="BO77" s="75">
        <f>LOOKUP(D77,基础数据!A:D)</f>
        <v>3.53915880885741</v>
      </c>
      <c r="BP77" s="75">
        <f t="shared" si="52"/>
        <v>1.00524445538374</v>
      </c>
      <c r="BQ77" s="75">
        <f t="shared" si="42"/>
        <v>6</v>
      </c>
      <c r="BR77" s="272">
        <f t="shared" si="32"/>
        <v>7</v>
      </c>
      <c r="BS77" s="156">
        <f t="shared" si="43"/>
        <v>0.81</v>
      </c>
      <c r="BT77" s="1211">
        <v>0.06</v>
      </c>
      <c r="BU77" s="156">
        <f t="shared" si="44"/>
        <v>0.42</v>
      </c>
      <c r="BV77" s="156">
        <f t="shared" si="45"/>
        <v>0.03</v>
      </c>
      <c r="BW77" s="156">
        <f t="shared" si="51"/>
        <v>7</v>
      </c>
      <c r="BX77" s="156">
        <f t="shared" si="46"/>
        <v>7.58110882956879</v>
      </c>
      <c r="BY77" s="1207" t="s">
        <v>2806</v>
      </c>
      <c r="BZ77" s="272">
        <v>30</v>
      </c>
      <c r="CA77" s="186">
        <f t="shared" si="47"/>
        <v>0.75</v>
      </c>
      <c r="CB77" s="186">
        <f t="shared" si="48"/>
        <v>0.75</v>
      </c>
      <c r="CC77" s="186">
        <f t="shared" si="49"/>
        <v>0.75</v>
      </c>
      <c r="CD77" s="272"/>
      <c r="CF77" s="134"/>
      <c r="CG77" s="138"/>
      <c r="CH77" s="132"/>
      <c r="CI77" s="138"/>
      <c r="CJ77" s="132"/>
      <c r="CK77" s="132"/>
      <c r="CL77" s="134"/>
      <c r="CM77" s="146"/>
    </row>
    <row r="78" ht="15" customHeight="1" spans="1:91">
      <c r="A78" s="123">
        <f>IF(B78="","",COUNT(A$7:A77)+1)</f>
        <v>71</v>
      </c>
      <c r="B78" s="139" t="s">
        <v>2829</v>
      </c>
      <c r="C78" s="139" t="s">
        <v>2839</v>
      </c>
      <c r="D78" s="1209">
        <v>43100</v>
      </c>
      <c r="E78" s="1210">
        <v>98.4</v>
      </c>
      <c r="F78" s="219" t="s">
        <v>2770</v>
      </c>
      <c r="G78" s="142"/>
      <c r="H78" s="127"/>
      <c r="I78" s="128"/>
      <c r="J78" s="128"/>
      <c r="K78" s="980">
        <v>16</v>
      </c>
      <c r="L78" s="143"/>
      <c r="M78" s="143"/>
      <c r="N78" s="144"/>
      <c r="O78" s="144"/>
      <c r="P78" s="144"/>
      <c r="Q78" s="353">
        <f t="shared" si="33"/>
        <v>16</v>
      </c>
      <c r="R78" s="129">
        <f t="shared" si="34"/>
        <v>0</v>
      </c>
      <c r="S78" s="129">
        <f t="shared" si="35"/>
        <v>0</v>
      </c>
      <c r="T78" s="129">
        <f t="shared" si="36"/>
        <v>16</v>
      </c>
      <c r="U78" s="129">
        <f t="shared" si="37"/>
        <v>112</v>
      </c>
      <c r="V78" s="214">
        <f t="shared" si="38"/>
        <v>75</v>
      </c>
      <c r="W78" s="353">
        <f t="shared" si="39"/>
        <v>84</v>
      </c>
      <c r="X78" s="129">
        <f t="shared" si="40"/>
        <v>84</v>
      </c>
      <c r="Y78" s="129" t="str">
        <f t="shared" si="41"/>
        <v/>
      </c>
      <c r="Z78" s="145"/>
      <c r="BA78" s="75" t="e">
        <f t="shared" si="50"/>
        <v>#DIV/0!</v>
      </c>
      <c r="BB78" s="78"/>
      <c r="BC78" s="132"/>
      <c r="BD78" s="133"/>
      <c r="BE78" s="132"/>
      <c r="BF78" s="134"/>
      <c r="BG78" s="135"/>
      <c r="BH78" s="135"/>
      <c r="BI78" s="136"/>
      <c r="BJ78" s="136"/>
      <c r="BK78" s="136"/>
      <c r="BL78" s="136"/>
      <c r="BM78" s="137"/>
      <c r="BN78" s="137"/>
      <c r="BO78" s="75">
        <f>LOOKUP(D78,基础数据!A:D)</f>
        <v>3.53915880885741</v>
      </c>
      <c r="BP78" s="75">
        <f t="shared" si="52"/>
        <v>1.00524445538374</v>
      </c>
      <c r="BQ78" s="75">
        <f t="shared" si="42"/>
        <v>6</v>
      </c>
      <c r="BR78" s="272">
        <f t="shared" si="32"/>
        <v>7</v>
      </c>
      <c r="BS78" s="156">
        <f t="shared" si="43"/>
        <v>0.81</v>
      </c>
      <c r="BT78" s="1211">
        <v>0.06</v>
      </c>
      <c r="BU78" s="156">
        <f t="shared" si="44"/>
        <v>0.42</v>
      </c>
      <c r="BV78" s="156">
        <f t="shared" si="45"/>
        <v>0.03</v>
      </c>
      <c r="BW78" s="156">
        <f t="shared" si="51"/>
        <v>7</v>
      </c>
      <c r="BX78" s="156">
        <f t="shared" si="46"/>
        <v>7.58110882956879</v>
      </c>
      <c r="BY78" s="1207" t="s">
        <v>2806</v>
      </c>
      <c r="BZ78" s="272">
        <v>30</v>
      </c>
      <c r="CA78" s="186">
        <f t="shared" si="47"/>
        <v>0.75</v>
      </c>
      <c r="CB78" s="186">
        <f t="shared" si="48"/>
        <v>0.75</v>
      </c>
      <c r="CC78" s="186">
        <f t="shared" si="49"/>
        <v>0.75</v>
      </c>
      <c r="CD78" s="272"/>
      <c r="CF78" s="134"/>
      <c r="CG78" s="138"/>
      <c r="CH78" s="132"/>
      <c r="CI78" s="138"/>
      <c r="CJ78" s="132"/>
      <c r="CK78" s="132"/>
      <c r="CL78" s="134"/>
      <c r="CM78" s="146"/>
    </row>
    <row r="79" ht="15" customHeight="1" spans="1:91">
      <c r="A79" s="123">
        <f>IF(B79="","",COUNT(A$7:A78)+1)</f>
        <v>72</v>
      </c>
      <c r="B79" s="139" t="s">
        <v>2829</v>
      </c>
      <c r="C79" s="139" t="s">
        <v>2839</v>
      </c>
      <c r="D79" s="1209">
        <v>43100</v>
      </c>
      <c r="E79" s="1210">
        <v>36.9</v>
      </c>
      <c r="F79" s="219" t="s">
        <v>2770</v>
      </c>
      <c r="G79" s="142"/>
      <c r="H79" s="127"/>
      <c r="I79" s="128"/>
      <c r="J79" s="128"/>
      <c r="K79" s="980">
        <v>6</v>
      </c>
      <c r="L79" s="143"/>
      <c r="M79" s="143"/>
      <c r="N79" s="144"/>
      <c r="O79" s="144"/>
      <c r="P79" s="144"/>
      <c r="Q79" s="353">
        <f t="shared" si="33"/>
        <v>6</v>
      </c>
      <c r="R79" s="129">
        <f t="shared" si="34"/>
        <v>0</v>
      </c>
      <c r="S79" s="129">
        <f t="shared" si="35"/>
        <v>0</v>
      </c>
      <c r="T79" s="129">
        <f t="shared" si="36"/>
        <v>6</v>
      </c>
      <c r="U79" s="129">
        <f t="shared" si="37"/>
        <v>42</v>
      </c>
      <c r="V79" s="214">
        <f t="shared" si="38"/>
        <v>75</v>
      </c>
      <c r="W79" s="353">
        <f t="shared" si="39"/>
        <v>31.5</v>
      </c>
      <c r="X79" s="129">
        <f t="shared" si="40"/>
        <v>31.5</v>
      </c>
      <c r="Y79" s="129" t="str">
        <f t="shared" si="41"/>
        <v/>
      </c>
      <c r="Z79" s="145"/>
      <c r="BA79" s="75" t="e">
        <f t="shared" si="50"/>
        <v>#DIV/0!</v>
      </c>
      <c r="BB79" s="78"/>
      <c r="BC79" s="132"/>
      <c r="BD79" s="133"/>
      <c r="BE79" s="132"/>
      <c r="BF79" s="134"/>
      <c r="BG79" s="135"/>
      <c r="BH79" s="135"/>
      <c r="BI79" s="136"/>
      <c r="BJ79" s="136"/>
      <c r="BK79" s="136"/>
      <c r="BL79" s="136"/>
      <c r="BM79" s="137"/>
      <c r="BN79" s="137"/>
      <c r="BO79" s="75">
        <f>LOOKUP(D79,基础数据!A:D)</f>
        <v>3.53915880885741</v>
      </c>
      <c r="BP79" s="75">
        <f t="shared" si="52"/>
        <v>1.00524445538374</v>
      </c>
      <c r="BQ79" s="75">
        <f t="shared" si="42"/>
        <v>6</v>
      </c>
      <c r="BR79" s="272">
        <f t="shared" si="32"/>
        <v>7</v>
      </c>
      <c r="BS79" s="156">
        <f t="shared" si="43"/>
        <v>0.81</v>
      </c>
      <c r="BT79" s="1211">
        <v>0.06</v>
      </c>
      <c r="BU79" s="156">
        <f t="shared" si="44"/>
        <v>0.42</v>
      </c>
      <c r="BV79" s="156">
        <f t="shared" si="45"/>
        <v>0.03</v>
      </c>
      <c r="BW79" s="156">
        <f t="shared" si="51"/>
        <v>7</v>
      </c>
      <c r="BX79" s="156">
        <f t="shared" si="46"/>
        <v>7.58110882956879</v>
      </c>
      <c r="BY79" s="1207" t="s">
        <v>2806</v>
      </c>
      <c r="BZ79" s="272">
        <v>30</v>
      </c>
      <c r="CA79" s="186">
        <f t="shared" si="47"/>
        <v>0.75</v>
      </c>
      <c r="CB79" s="186">
        <f t="shared" si="48"/>
        <v>0.75</v>
      </c>
      <c r="CC79" s="186">
        <f t="shared" si="49"/>
        <v>0.75</v>
      </c>
      <c r="CD79" s="272"/>
      <c r="CF79" s="134"/>
      <c r="CG79" s="138"/>
      <c r="CH79" s="132"/>
      <c r="CI79" s="138"/>
      <c r="CJ79" s="132"/>
      <c r="CK79" s="132"/>
      <c r="CL79" s="134"/>
      <c r="CM79" s="146"/>
    </row>
    <row r="80" ht="15" customHeight="1" spans="1:91">
      <c r="A80" s="123">
        <f>IF(B80="","",COUNT(A$7:A79)+1)</f>
        <v>73</v>
      </c>
      <c r="B80" s="139" t="s">
        <v>2829</v>
      </c>
      <c r="C80" s="139" t="s">
        <v>2839</v>
      </c>
      <c r="D80" s="1209">
        <v>43100</v>
      </c>
      <c r="E80" s="1210">
        <v>738</v>
      </c>
      <c r="F80" s="219" t="s">
        <v>2770</v>
      </c>
      <c r="G80" s="142"/>
      <c r="H80" s="127"/>
      <c r="I80" s="128"/>
      <c r="J80" s="128"/>
      <c r="K80" s="980">
        <v>120</v>
      </c>
      <c r="L80" s="143"/>
      <c r="M80" s="143"/>
      <c r="N80" s="144"/>
      <c r="O80" s="144"/>
      <c r="P80" s="144"/>
      <c r="Q80" s="353">
        <f t="shared" si="33"/>
        <v>120</v>
      </c>
      <c r="R80" s="129">
        <f t="shared" si="34"/>
        <v>0</v>
      </c>
      <c r="S80" s="129">
        <f t="shared" si="35"/>
        <v>0</v>
      </c>
      <c r="T80" s="129">
        <f t="shared" si="36"/>
        <v>120</v>
      </c>
      <c r="U80" s="129">
        <f t="shared" si="37"/>
        <v>840</v>
      </c>
      <c r="V80" s="214">
        <f t="shared" si="38"/>
        <v>75</v>
      </c>
      <c r="W80" s="353">
        <f t="shared" si="39"/>
        <v>630</v>
      </c>
      <c r="X80" s="129">
        <f t="shared" si="40"/>
        <v>630</v>
      </c>
      <c r="Y80" s="129" t="str">
        <f t="shared" si="41"/>
        <v/>
      </c>
      <c r="Z80" s="145"/>
      <c r="BA80" s="75" t="e">
        <f t="shared" si="50"/>
        <v>#DIV/0!</v>
      </c>
      <c r="BB80" s="78"/>
      <c r="BC80" s="132"/>
      <c r="BD80" s="133"/>
      <c r="BE80" s="132"/>
      <c r="BF80" s="134"/>
      <c r="BG80" s="135"/>
      <c r="BH80" s="135"/>
      <c r="BI80" s="136"/>
      <c r="BJ80" s="136"/>
      <c r="BK80" s="136"/>
      <c r="BL80" s="136"/>
      <c r="BM80" s="137"/>
      <c r="BN80" s="137"/>
      <c r="BO80" s="75">
        <f>LOOKUP(D80,基础数据!A:D)</f>
        <v>3.53915880885741</v>
      </c>
      <c r="BP80" s="75">
        <f t="shared" si="52"/>
        <v>1.00524445538374</v>
      </c>
      <c r="BQ80" s="75">
        <f t="shared" si="42"/>
        <v>6</v>
      </c>
      <c r="BR80" s="272">
        <f t="shared" si="32"/>
        <v>7</v>
      </c>
      <c r="BS80" s="156">
        <f t="shared" si="43"/>
        <v>0.81</v>
      </c>
      <c r="BT80" s="1211">
        <v>0.06</v>
      </c>
      <c r="BU80" s="156">
        <f t="shared" si="44"/>
        <v>0.42</v>
      </c>
      <c r="BV80" s="156">
        <f t="shared" si="45"/>
        <v>0.03</v>
      </c>
      <c r="BW80" s="156">
        <f t="shared" si="51"/>
        <v>7</v>
      </c>
      <c r="BX80" s="156">
        <f t="shared" si="46"/>
        <v>7.58110882956879</v>
      </c>
      <c r="BY80" s="1207" t="s">
        <v>2806</v>
      </c>
      <c r="BZ80" s="272">
        <v>30</v>
      </c>
      <c r="CA80" s="186">
        <f t="shared" si="47"/>
        <v>0.75</v>
      </c>
      <c r="CB80" s="186">
        <f t="shared" si="48"/>
        <v>0.75</v>
      </c>
      <c r="CC80" s="186">
        <f t="shared" si="49"/>
        <v>0.75</v>
      </c>
      <c r="CD80" s="272"/>
      <c r="CF80" s="134"/>
      <c r="CG80" s="138"/>
      <c r="CH80" s="132"/>
      <c r="CI80" s="138"/>
      <c r="CJ80" s="132"/>
      <c r="CK80" s="132"/>
      <c r="CL80" s="134"/>
      <c r="CM80" s="146"/>
    </row>
    <row r="81" ht="15" hidden="1" customHeight="1" spans="1:91">
      <c r="A81" s="123">
        <f>IF(B81="","",COUNT(A$7:A80)+1)</f>
        <v>74</v>
      </c>
      <c r="B81" s="139" t="s">
        <v>2835</v>
      </c>
      <c r="C81" s="139" t="s">
        <v>2842</v>
      </c>
      <c r="D81" s="1209">
        <v>44908</v>
      </c>
      <c r="E81" s="1210">
        <v>77.61</v>
      </c>
      <c r="F81" s="219" t="s">
        <v>2770</v>
      </c>
      <c r="G81" s="142"/>
      <c r="H81" s="127"/>
      <c r="I81" s="128"/>
      <c r="J81" s="128"/>
      <c r="K81" s="980">
        <v>3</v>
      </c>
      <c r="L81" s="143"/>
      <c r="M81" s="143"/>
      <c r="N81" s="144"/>
      <c r="O81" s="144"/>
      <c r="P81" s="144"/>
      <c r="Q81" s="353">
        <f t="shared" si="33"/>
        <v>3</v>
      </c>
      <c r="R81" s="129">
        <f t="shared" si="34"/>
        <v>0</v>
      </c>
      <c r="S81" s="129">
        <f t="shared" si="35"/>
        <v>0</v>
      </c>
      <c r="T81" s="129">
        <f t="shared" si="36"/>
        <v>3</v>
      </c>
      <c r="U81" s="129">
        <f t="shared" si="37"/>
        <v>72</v>
      </c>
      <c r="V81" s="214">
        <f t="shared" si="38"/>
        <v>91</v>
      </c>
      <c r="W81" s="353">
        <f t="shared" si="39"/>
        <v>65.52</v>
      </c>
      <c r="X81" s="129">
        <f t="shared" si="40"/>
        <v>65.52</v>
      </c>
      <c r="Y81" s="129" t="str">
        <f t="shared" si="41"/>
        <v/>
      </c>
      <c r="Z81" s="145"/>
      <c r="BA81" s="75" t="e">
        <f t="shared" si="50"/>
        <v>#DIV/0!</v>
      </c>
      <c r="BB81" s="78"/>
      <c r="BC81" s="132"/>
      <c r="BD81" s="133"/>
      <c r="BE81" s="132"/>
      <c r="BF81" s="134"/>
      <c r="BG81" s="135"/>
      <c r="BH81" s="135"/>
      <c r="BI81" s="136"/>
      <c r="BJ81" s="136"/>
      <c r="BK81" s="136"/>
      <c r="BL81" s="136"/>
      <c r="BM81" s="137"/>
      <c r="BN81" s="137"/>
      <c r="BO81" s="75">
        <f>LOOKUP(D81,基础数据!A:D)</f>
        <v>3.84333367100529</v>
      </c>
      <c r="BP81" s="75">
        <f t="shared" si="52"/>
        <v>0.92568589507761</v>
      </c>
      <c r="BQ81" s="75">
        <f t="shared" si="42"/>
        <v>24</v>
      </c>
      <c r="BR81" s="272">
        <f t="shared" si="32"/>
        <v>27</v>
      </c>
      <c r="BS81" s="156">
        <f t="shared" si="43"/>
        <v>3.11</v>
      </c>
      <c r="BT81" s="186">
        <v>0.01</v>
      </c>
      <c r="BU81" s="156">
        <f t="shared" si="44"/>
        <v>0.27</v>
      </c>
      <c r="BV81" s="156">
        <f t="shared" si="45"/>
        <v>0.02</v>
      </c>
      <c r="BW81" s="156">
        <f t="shared" si="51"/>
        <v>24</v>
      </c>
      <c r="BX81" s="156">
        <f t="shared" si="46"/>
        <v>2.63107460643395</v>
      </c>
      <c r="BY81" s="1207" t="s">
        <v>2806</v>
      </c>
      <c r="BZ81" s="272">
        <v>30</v>
      </c>
      <c r="CA81" s="186">
        <f t="shared" si="47"/>
        <v>0.91</v>
      </c>
      <c r="CB81" s="186">
        <f t="shared" si="48"/>
        <v>0.91</v>
      </c>
      <c r="CC81" s="186">
        <f t="shared" si="49"/>
        <v>0.91</v>
      </c>
      <c r="CD81" s="272"/>
      <c r="CF81" s="134"/>
      <c r="CG81" s="138"/>
      <c r="CH81" s="132"/>
      <c r="CI81" s="138"/>
      <c r="CJ81" s="132"/>
      <c r="CK81" s="132"/>
      <c r="CL81" s="134"/>
      <c r="CM81" s="146"/>
    </row>
    <row r="82" ht="15" customHeight="1" spans="1:91">
      <c r="A82" s="123">
        <f>IF(B82="","",COUNT(A$7:A81)+1)</f>
        <v>75</v>
      </c>
      <c r="B82" s="139" t="s">
        <v>2829</v>
      </c>
      <c r="C82" s="139" t="s">
        <v>2845</v>
      </c>
      <c r="D82" s="1209">
        <v>43100</v>
      </c>
      <c r="E82" s="1210">
        <v>17656.2</v>
      </c>
      <c r="F82" s="219" t="s">
        <v>2770</v>
      </c>
      <c r="G82" s="142"/>
      <c r="H82" s="127"/>
      <c r="I82" s="128"/>
      <c r="J82" s="128"/>
      <c r="K82" s="980">
        <v>204</v>
      </c>
      <c r="L82" s="143"/>
      <c r="M82" s="143"/>
      <c r="N82" s="144"/>
      <c r="O82" s="144"/>
      <c r="P82" s="144"/>
      <c r="Q82" s="353">
        <f t="shared" si="33"/>
        <v>204</v>
      </c>
      <c r="R82" s="129">
        <f t="shared" si="34"/>
        <v>0</v>
      </c>
      <c r="S82" s="129">
        <f t="shared" si="35"/>
        <v>0</v>
      </c>
      <c r="T82" s="129">
        <f t="shared" si="36"/>
        <v>204</v>
      </c>
      <c r="U82" s="129">
        <f t="shared" si="37"/>
        <v>17748</v>
      </c>
      <c r="V82" s="214">
        <f t="shared" si="38"/>
        <v>75</v>
      </c>
      <c r="W82" s="353">
        <f t="shared" si="39"/>
        <v>13311</v>
      </c>
      <c r="X82" s="129">
        <f t="shared" si="40"/>
        <v>13311</v>
      </c>
      <c r="Y82" s="129" t="str">
        <f t="shared" si="41"/>
        <v/>
      </c>
      <c r="Z82" s="145"/>
      <c r="BA82" s="75" t="e">
        <f t="shared" si="50"/>
        <v>#DIV/0!</v>
      </c>
      <c r="BB82" s="78"/>
      <c r="BC82" s="132"/>
      <c r="BD82" s="133"/>
      <c r="BE82" s="132"/>
      <c r="BF82" s="134"/>
      <c r="BG82" s="135"/>
      <c r="BH82" s="135"/>
      <c r="BI82" s="136"/>
      <c r="BJ82" s="136"/>
      <c r="BK82" s="136"/>
      <c r="BL82" s="136"/>
      <c r="BM82" s="137"/>
      <c r="BN82" s="137"/>
      <c r="BO82" s="75">
        <f>LOOKUP(D82,基础数据!A:D)</f>
        <v>3.53915880885741</v>
      </c>
      <c r="BP82" s="75">
        <f t="shared" si="52"/>
        <v>1.00524445538374</v>
      </c>
      <c r="BQ82" s="75">
        <f t="shared" si="42"/>
        <v>87</v>
      </c>
      <c r="BR82" s="272">
        <v>92.22</v>
      </c>
      <c r="BS82" s="156">
        <f t="shared" si="43"/>
        <v>10.61</v>
      </c>
      <c r="BT82" s="1211">
        <v>0.06</v>
      </c>
      <c r="BU82" s="156">
        <f t="shared" si="44"/>
        <v>5.53</v>
      </c>
      <c r="BV82" s="156">
        <f t="shared" si="45"/>
        <v>0.46</v>
      </c>
      <c r="BW82" s="156">
        <f t="shared" si="51"/>
        <v>87</v>
      </c>
      <c r="BX82" s="156">
        <f t="shared" si="46"/>
        <v>7.58110882956879</v>
      </c>
      <c r="BY82" s="1207" t="s">
        <v>2806</v>
      </c>
      <c r="BZ82" s="272">
        <v>30</v>
      </c>
      <c r="CA82" s="186">
        <f t="shared" si="47"/>
        <v>0.75</v>
      </c>
      <c r="CB82" s="186">
        <f t="shared" si="48"/>
        <v>0.75</v>
      </c>
      <c r="CC82" s="186">
        <f t="shared" si="49"/>
        <v>0.75</v>
      </c>
      <c r="CD82" s="1208" t="s">
        <v>2846</v>
      </c>
      <c r="CF82" s="134"/>
      <c r="CG82" s="138"/>
      <c r="CH82" s="132"/>
      <c r="CI82" s="138"/>
      <c r="CJ82" s="132"/>
      <c r="CK82" s="132"/>
      <c r="CL82" s="134"/>
      <c r="CM82" s="146"/>
    </row>
    <row r="83" ht="15" customHeight="1" spans="1:91">
      <c r="A83" s="123">
        <f>IF(B83="","",COUNT(A$7:A82)+1)</f>
        <v>76</v>
      </c>
      <c r="B83" s="139" t="s">
        <v>2829</v>
      </c>
      <c r="C83" s="139" t="s">
        <v>2847</v>
      </c>
      <c r="D83" s="1209">
        <v>43100</v>
      </c>
      <c r="E83" s="1210">
        <v>2323.56</v>
      </c>
      <c r="F83" s="219" t="s">
        <v>2770</v>
      </c>
      <c r="G83" s="142"/>
      <c r="H83" s="127"/>
      <c r="I83" s="128"/>
      <c r="J83" s="128"/>
      <c r="K83" s="980">
        <v>204</v>
      </c>
      <c r="L83" s="143"/>
      <c r="M83" s="143"/>
      <c r="N83" s="144"/>
      <c r="O83" s="144"/>
      <c r="P83" s="144"/>
      <c r="Q83" s="353">
        <f t="shared" si="33"/>
        <v>204</v>
      </c>
      <c r="R83" s="129">
        <f t="shared" si="34"/>
        <v>0</v>
      </c>
      <c r="S83" s="129">
        <f t="shared" si="35"/>
        <v>0</v>
      </c>
      <c r="T83" s="129">
        <f t="shared" si="36"/>
        <v>204</v>
      </c>
      <c r="U83" s="129">
        <f t="shared" si="37"/>
        <v>2244</v>
      </c>
      <c r="V83" s="214">
        <f t="shared" si="38"/>
        <v>75</v>
      </c>
      <c r="W83" s="353">
        <f t="shared" si="39"/>
        <v>1683</v>
      </c>
      <c r="X83" s="129">
        <f t="shared" si="40"/>
        <v>1683</v>
      </c>
      <c r="Y83" s="129" t="str">
        <f t="shared" si="41"/>
        <v/>
      </c>
      <c r="Z83" s="145"/>
      <c r="BA83" s="75" t="e">
        <f t="shared" si="50"/>
        <v>#DIV/0!</v>
      </c>
      <c r="BB83" s="78"/>
      <c r="BC83" s="132"/>
      <c r="BD83" s="133"/>
      <c r="BE83" s="132"/>
      <c r="BF83" s="134"/>
      <c r="BG83" s="135"/>
      <c r="BH83" s="135"/>
      <c r="BI83" s="136"/>
      <c r="BJ83" s="136"/>
      <c r="BK83" s="136"/>
      <c r="BL83" s="136"/>
      <c r="BM83" s="137"/>
      <c r="BN83" s="137"/>
      <c r="BO83" s="75">
        <f>LOOKUP(D83,基础数据!A:D)</f>
        <v>3.53915880885741</v>
      </c>
      <c r="BP83" s="75">
        <f t="shared" si="52"/>
        <v>1.00524445538374</v>
      </c>
      <c r="BQ83" s="75">
        <f t="shared" si="42"/>
        <v>11</v>
      </c>
      <c r="BR83" s="272">
        <v>11.9</v>
      </c>
      <c r="BS83" s="156">
        <f t="shared" si="43"/>
        <v>1.37</v>
      </c>
      <c r="BT83" s="1211">
        <v>0.06</v>
      </c>
      <c r="BU83" s="156">
        <f t="shared" si="44"/>
        <v>0.71</v>
      </c>
      <c r="BV83" s="156">
        <f t="shared" si="45"/>
        <v>0.06</v>
      </c>
      <c r="BW83" s="156">
        <f t="shared" si="51"/>
        <v>11</v>
      </c>
      <c r="BX83" s="156">
        <f t="shared" si="46"/>
        <v>7.58110882956879</v>
      </c>
      <c r="BY83" s="1207" t="s">
        <v>2806</v>
      </c>
      <c r="BZ83" s="272">
        <v>30</v>
      </c>
      <c r="CA83" s="186">
        <f t="shared" si="47"/>
        <v>0.75</v>
      </c>
      <c r="CB83" s="186">
        <f t="shared" si="48"/>
        <v>0.75</v>
      </c>
      <c r="CC83" s="186">
        <f t="shared" si="49"/>
        <v>0.75</v>
      </c>
      <c r="CD83" s="1208" t="s">
        <v>2812</v>
      </c>
      <c r="CF83" s="134"/>
      <c r="CG83" s="138"/>
      <c r="CH83" s="132"/>
      <c r="CI83" s="138"/>
      <c r="CJ83" s="132"/>
      <c r="CK83" s="132"/>
      <c r="CL83" s="134"/>
      <c r="CM83" s="146"/>
    </row>
    <row r="84" ht="15" customHeight="1" spans="1:91">
      <c r="A84" s="123">
        <f>IF(B84="","",COUNT(A$7:A83)+1)</f>
        <v>77</v>
      </c>
      <c r="B84" s="139" t="s">
        <v>2829</v>
      </c>
      <c r="C84" s="139" t="s">
        <v>2847</v>
      </c>
      <c r="D84" s="1209">
        <v>43100</v>
      </c>
      <c r="E84" s="1210">
        <v>2505.8</v>
      </c>
      <c r="F84" s="219" t="s">
        <v>2770</v>
      </c>
      <c r="G84" s="142"/>
      <c r="H84" s="127"/>
      <c r="I84" s="128"/>
      <c r="J84" s="128"/>
      <c r="K84" s="980">
        <v>220</v>
      </c>
      <c r="L84" s="143"/>
      <c r="M84" s="143"/>
      <c r="N84" s="144"/>
      <c r="O84" s="144"/>
      <c r="P84" s="144"/>
      <c r="Q84" s="353">
        <f t="shared" si="33"/>
        <v>220</v>
      </c>
      <c r="R84" s="129">
        <f t="shared" si="34"/>
        <v>0</v>
      </c>
      <c r="S84" s="129">
        <f t="shared" si="35"/>
        <v>0</v>
      </c>
      <c r="T84" s="129">
        <f t="shared" si="36"/>
        <v>220</v>
      </c>
      <c r="U84" s="129">
        <f t="shared" si="37"/>
        <v>2420</v>
      </c>
      <c r="V84" s="214">
        <f t="shared" si="38"/>
        <v>75</v>
      </c>
      <c r="W84" s="353">
        <f t="shared" si="39"/>
        <v>1815</v>
      </c>
      <c r="X84" s="129">
        <f t="shared" si="40"/>
        <v>1815</v>
      </c>
      <c r="Y84" s="129" t="str">
        <f t="shared" si="41"/>
        <v/>
      </c>
      <c r="Z84" s="145"/>
      <c r="BA84" s="75" t="e">
        <f t="shared" si="50"/>
        <v>#DIV/0!</v>
      </c>
      <c r="BB84" s="78"/>
      <c r="BC84" s="132"/>
      <c r="BD84" s="133"/>
      <c r="BE84" s="132"/>
      <c r="BF84" s="134"/>
      <c r="BG84" s="135"/>
      <c r="BH84" s="135"/>
      <c r="BI84" s="136"/>
      <c r="BJ84" s="136"/>
      <c r="BK84" s="136"/>
      <c r="BL84" s="136"/>
      <c r="BM84" s="137"/>
      <c r="BN84" s="137"/>
      <c r="BO84" s="75">
        <f>LOOKUP(D84,基础数据!A:D)</f>
        <v>3.53915880885741</v>
      </c>
      <c r="BP84" s="75">
        <f t="shared" si="52"/>
        <v>1.00524445538374</v>
      </c>
      <c r="BQ84" s="75">
        <f t="shared" si="42"/>
        <v>11</v>
      </c>
      <c r="BR84" s="272">
        <v>11.9</v>
      </c>
      <c r="BS84" s="156">
        <f t="shared" si="43"/>
        <v>1.37</v>
      </c>
      <c r="BT84" s="1211">
        <v>0.06</v>
      </c>
      <c r="BU84" s="156">
        <f t="shared" si="44"/>
        <v>0.71</v>
      </c>
      <c r="BV84" s="156">
        <f t="shared" si="45"/>
        <v>0.06</v>
      </c>
      <c r="BW84" s="156">
        <f t="shared" si="51"/>
        <v>11</v>
      </c>
      <c r="BX84" s="156">
        <f t="shared" si="46"/>
        <v>7.58110882956879</v>
      </c>
      <c r="BY84" s="1207" t="s">
        <v>2806</v>
      </c>
      <c r="BZ84" s="272">
        <v>30</v>
      </c>
      <c r="CA84" s="186">
        <f t="shared" si="47"/>
        <v>0.75</v>
      </c>
      <c r="CB84" s="186">
        <f t="shared" si="48"/>
        <v>0.75</v>
      </c>
      <c r="CC84" s="186">
        <f t="shared" si="49"/>
        <v>0.75</v>
      </c>
      <c r="CD84" s="1208" t="s">
        <v>2812</v>
      </c>
      <c r="CF84" s="134"/>
      <c r="CG84" s="138"/>
      <c r="CH84" s="132"/>
      <c r="CI84" s="138"/>
      <c r="CJ84" s="132"/>
      <c r="CK84" s="132"/>
      <c r="CL84" s="134"/>
      <c r="CM84" s="146"/>
    </row>
    <row r="85" ht="15" customHeight="1" spans="1:91">
      <c r="A85" s="123">
        <f>IF(B85="","",COUNT(A$7:A84)+1)</f>
        <v>78</v>
      </c>
      <c r="B85" s="139" t="s">
        <v>2829</v>
      </c>
      <c r="C85" s="139" t="s">
        <v>2848</v>
      </c>
      <c r="D85" s="1209">
        <v>43100</v>
      </c>
      <c r="E85" s="1210">
        <v>816</v>
      </c>
      <c r="F85" s="219" t="s">
        <v>2770</v>
      </c>
      <c r="G85" s="142"/>
      <c r="H85" s="127"/>
      <c r="I85" s="128"/>
      <c r="J85" s="128"/>
      <c r="K85" s="980">
        <v>204</v>
      </c>
      <c r="L85" s="143"/>
      <c r="M85" s="143"/>
      <c r="N85" s="144"/>
      <c r="O85" s="144"/>
      <c r="P85" s="144"/>
      <c r="Q85" s="353">
        <f t="shared" si="33"/>
        <v>204</v>
      </c>
      <c r="R85" s="129">
        <f t="shared" si="34"/>
        <v>0</v>
      </c>
      <c r="S85" s="129">
        <f t="shared" si="35"/>
        <v>0</v>
      </c>
      <c r="T85" s="129">
        <f t="shared" si="36"/>
        <v>204</v>
      </c>
      <c r="U85" s="129">
        <f t="shared" si="37"/>
        <v>1020</v>
      </c>
      <c r="V85" s="214">
        <f t="shared" si="38"/>
        <v>75</v>
      </c>
      <c r="W85" s="353">
        <f t="shared" si="39"/>
        <v>765</v>
      </c>
      <c r="X85" s="129">
        <f t="shared" si="40"/>
        <v>765</v>
      </c>
      <c r="Y85" s="129" t="str">
        <f t="shared" si="41"/>
        <v/>
      </c>
      <c r="Z85" s="145"/>
      <c r="BA85" s="75" t="e">
        <f t="shared" si="50"/>
        <v>#DIV/0!</v>
      </c>
      <c r="BB85" s="78"/>
      <c r="BC85" s="132"/>
      <c r="BD85" s="133"/>
      <c r="BE85" s="132"/>
      <c r="BF85" s="134"/>
      <c r="BG85" s="135"/>
      <c r="BH85" s="135"/>
      <c r="BI85" s="136"/>
      <c r="BJ85" s="136"/>
      <c r="BK85" s="136"/>
      <c r="BL85" s="136"/>
      <c r="BM85" s="137"/>
      <c r="BN85" s="137"/>
      <c r="BO85" s="75">
        <f>LOOKUP(D85,基础数据!A:D)</f>
        <v>3.53915880885741</v>
      </c>
      <c r="BP85" s="75">
        <f t="shared" si="52"/>
        <v>1.00524445538374</v>
      </c>
      <c r="BQ85" s="75">
        <f t="shared" si="42"/>
        <v>4</v>
      </c>
      <c r="BR85" s="272">
        <f t="shared" ref="BR85:BR99" si="53">ROUND(BQ85*1.13,0)</f>
        <v>5</v>
      </c>
      <c r="BS85" s="156">
        <f t="shared" si="43"/>
        <v>0.58</v>
      </c>
      <c r="BT85" s="1211">
        <v>0.06</v>
      </c>
      <c r="BU85" s="156">
        <f t="shared" si="44"/>
        <v>0.3</v>
      </c>
      <c r="BV85" s="156">
        <f t="shared" si="45"/>
        <v>0.02</v>
      </c>
      <c r="BW85" s="156">
        <f t="shared" si="51"/>
        <v>5</v>
      </c>
      <c r="BX85" s="156">
        <f t="shared" si="46"/>
        <v>7.58110882956879</v>
      </c>
      <c r="BY85" s="1207" t="s">
        <v>2806</v>
      </c>
      <c r="BZ85" s="272">
        <v>30</v>
      </c>
      <c r="CA85" s="186">
        <f t="shared" si="47"/>
        <v>0.75</v>
      </c>
      <c r="CB85" s="186">
        <f t="shared" si="48"/>
        <v>0.75</v>
      </c>
      <c r="CC85" s="186">
        <f t="shared" si="49"/>
        <v>0.75</v>
      </c>
      <c r="CD85" s="272"/>
      <c r="CF85" s="134"/>
      <c r="CG85" s="138"/>
      <c r="CH85" s="132"/>
      <c r="CI85" s="138"/>
      <c r="CJ85" s="132"/>
      <c r="CK85" s="132"/>
      <c r="CL85" s="134"/>
      <c r="CM85" s="146"/>
    </row>
    <row r="86" ht="15" hidden="1" customHeight="1" spans="1:91">
      <c r="A86" s="123">
        <f>IF(B86="","",COUNT(A$7:A85)+1)</f>
        <v>79</v>
      </c>
      <c r="B86" s="139" t="s">
        <v>2835</v>
      </c>
      <c r="C86" s="139" t="s">
        <v>2849</v>
      </c>
      <c r="D86" s="1209">
        <v>43100</v>
      </c>
      <c r="E86" s="1210">
        <v>754</v>
      </c>
      <c r="F86" s="219" t="s">
        <v>2770</v>
      </c>
      <c r="G86" s="142"/>
      <c r="H86" s="127"/>
      <c r="I86" s="128"/>
      <c r="J86" s="128"/>
      <c r="K86" s="980">
        <v>232</v>
      </c>
      <c r="L86" s="143"/>
      <c r="M86" s="143"/>
      <c r="N86" s="144"/>
      <c r="O86" s="144"/>
      <c r="P86" s="144"/>
      <c r="Q86" s="353">
        <f t="shared" si="33"/>
        <v>232</v>
      </c>
      <c r="R86" s="129">
        <f t="shared" si="34"/>
        <v>0</v>
      </c>
      <c r="S86" s="129">
        <f t="shared" si="35"/>
        <v>0</v>
      </c>
      <c r="T86" s="129">
        <f t="shared" si="36"/>
        <v>232</v>
      </c>
      <c r="U86" s="129">
        <f t="shared" si="37"/>
        <v>696</v>
      </c>
      <c r="V86" s="214">
        <f t="shared" si="38"/>
        <v>75</v>
      </c>
      <c r="W86" s="353">
        <f t="shared" si="39"/>
        <v>522</v>
      </c>
      <c r="X86" s="129">
        <f t="shared" si="40"/>
        <v>522</v>
      </c>
      <c r="Y86" s="129" t="str">
        <f t="shared" si="41"/>
        <v/>
      </c>
      <c r="Z86" s="145"/>
      <c r="BA86" s="75" t="e">
        <f t="shared" si="50"/>
        <v>#DIV/0!</v>
      </c>
      <c r="BB86" s="78"/>
      <c r="BC86" s="132"/>
      <c r="BD86" s="133"/>
      <c r="BE86" s="132"/>
      <c r="BF86" s="134"/>
      <c r="BG86" s="135"/>
      <c r="BH86" s="135"/>
      <c r="BI86" s="136"/>
      <c r="BJ86" s="136"/>
      <c r="BK86" s="136"/>
      <c r="BL86" s="136"/>
      <c r="BM86" s="137"/>
      <c r="BN86" s="137"/>
      <c r="BO86" s="75">
        <f>LOOKUP(D86,基础数据!A:D)</f>
        <v>3.53915880885741</v>
      </c>
      <c r="BP86" s="75">
        <f t="shared" si="52"/>
        <v>1.00524445538374</v>
      </c>
      <c r="BQ86" s="75">
        <f t="shared" si="42"/>
        <v>3</v>
      </c>
      <c r="BR86" s="272">
        <f t="shared" si="53"/>
        <v>3</v>
      </c>
      <c r="BS86" s="156">
        <f t="shared" si="43"/>
        <v>0.35</v>
      </c>
      <c r="BT86" s="186">
        <v>0.01</v>
      </c>
      <c r="BU86" s="156">
        <f t="shared" si="44"/>
        <v>0.03</v>
      </c>
      <c r="BV86" s="156">
        <f t="shared" si="45"/>
        <v>0</v>
      </c>
      <c r="BW86" s="156">
        <f t="shared" si="51"/>
        <v>3</v>
      </c>
      <c r="BX86" s="156">
        <f t="shared" si="46"/>
        <v>7.58110882956879</v>
      </c>
      <c r="BY86" s="1207" t="s">
        <v>2806</v>
      </c>
      <c r="BZ86" s="272">
        <v>30</v>
      </c>
      <c r="CA86" s="186">
        <f t="shared" si="47"/>
        <v>0.75</v>
      </c>
      <c r="CB86" s="186">
        <f t="shared" si="48"/>
        <v>0.75</v>
      </c>
      <c r="CC86" s="186">
        <f t="shared" si="49"/>
        <v>0.75</v>
      </c>
      <c r="CD86" s="272"/>
      <c r="CF86" s="134"/>
      <c r="CG86" s="138"/>
      <c r="CH86" s="132"/>
      <c r="CI86" s="138"/>
      <c r="CJ86" s="132"/>
      <c r="CK86" s="132"/>
      <c r="CL86" s="134"/>
      <c r="CM86" s="146"/>
    </row>
    <row r="87" ht="15" customHeight="1" spans="1:91">
      <c r="A87" s="123">
        <f>IF(B87="","",COUNT(A$7:A86)+1)</f>
        <v>80</v>
      </c>
      <c r="B87" s="139" t="s">
        <v>2829</v>
      </c>
      <c r="C87" s="139" t="s">
        <v>2850</v>
      </c>
      <c r="D87" s="1209">
        <v>43100</v>
      </c>
      <c r="E87" s="1210">
        <v>957.5</v>
      </c>
      <c r="F87" s="219" t="s">
        <v>2770</v>
      </c>
      <c r="G87" s="142"/>
      <c r="H87" s="127"/>
      <c r="I87" s="128"/>
      <c r="J87" s="128"/>
      <c r="K87" s="980">
        <v>50</v>
      </c>
      <c r="L87" s="143"/>
      <c r="M87" s="143"/>
      <c r="N87" s="144"/>
      <c r="O87" s="144"/>
      <c r="P87" s="144"/>
      <c r="Q87" s="353">
        <f t="shared" si="33"/>
        <v>50</v>
      </c>
      <c r="R87" s="129">
        <f t="shared" si="34"/>
        <v>0</v>
      </c>
      <c r="S87" s="129">
        <f t="shared" si="35"/>
        <v>0</v>
      </c>
      <c r="T87" s="129">
        <f t="shared" si="36"/>
        <v>50</v>
      </c>
      <c r="U87" s="129">
        <f t="shared" si="37"/>
        <v>1000</v>
      </c>
      <c r="V87" s="214">
        <f t="shared" si="38"/>
        <v>75</v>
      </c>
      <c r="W87" s="353">
        <f t="shared" si="39"/>
        <v>750</v>
      </c>
      <c r="X87" s="129">
        <f t="shared" si="40"/>
        <v>750</v>
      </c>
      <c r="Y87" s="129" t="str">
        <f t="shared" si="41"/>
        <v/>
      </c>
      <c r="Z87" s="145"/>
      <c r="BA87" s="75" t="e">
        <f t="shared" si="50"/>
        <v>#DIV/0!</v>
      </c>
      <c r="BB87" s="78"/>
      <c r="BC87" s="132"/>
      <c r="BD87" s="133"/>
      <c r="BE87" s="132"/>
      <c r="BF87" s="134"/>
      <c r="BG87" s="135"/>
      <c r="BH87" s="135"/>
      <c r="BI87" s="136"/>
      <c r="BJ87" s="136"/>
      <c r="BK87" s="136"/>
      <c r="BL87" s="136"/>
      <c r="BM87" s="137"/>
      <c r="BN87" s="137"/>
      <c r="BO87" s="75">
        <f>LOOKUP(D87,基础数据!A:D)</f>
        <v>3.53915880885741</v>
      </c>
      <c r="BP87" s="75">
        <f t="shared" si="52"/>
        <v>1.00524445538374</v>
      </c>
      <c r="BQ87" s="75">
        <f t="shared" si="42"/>
        <v>19</v>
      </c>
      <c r="BR87" s="272">
        <f t="shared" si="53"/>
        <v>21</v>
      </c>
      <c r="BS87" s="156">
        <f t="shared" si="43"/>
        <v>2.42</v>
      </c>
      <c r="BT87" s="1211">
        <v>0.06</v>
      </c>
      <c r="BU87" s="156">
        <f t="shared" si="44"/>
        <v>1.26</v>
      </c>
      <c r="BV87" s="156">
        <f t="shared" si="45"/>
        <v>0.1</v>
      </c>
      <c r="BW87" s="156">
        <f t="shared" si="51"/>
        <v>20</v>
      </c>
      <c r="BX87" s="156">
        <f t="shared" si="46"/>
        <v>7.58110882956879</v>
      </c>
      <c r="BY87" s="1207" t="s">
        <v>2806</v>
      </c>
      <c r="BZ87" s="272">
        <v>30</v>
      </c>
      <c r="CA87" s="186">
        <f t="shared" si="47"/>
        <v>0.75</v>
      </c>
      <c r="CB87" s="186">
        <f t="shared" si="48"/>
        <v>0.75</v>
      </c>
      <c r="CC87" s="186">
        <f t="shared" si="49"/>
        <v>0.75</v>
      </c>
      <c r="CD87" s="272"/>
      <c r="CF87" s="134"/>
      <c r="CG87" s="138"/>
      <c r="CH87" s="132"/>
      <c r="CI87" s="138"/>
      <c r="CJ87" s="132"/>
      <c r="CK87" s="132"/>
      <c r="CL87" s="134"/>
      <c r="CM87" s="146"/>
    </row>
    <row r="88" ht="15" hidden="1" customHeight="1" spans="1:91">
      <c r="A88" s="123">
        <f>IF(B88="","",COUNT(A$7:A87)+1)</f>
        <v>81</v>
      </c>
      <c r="B88" s="139" t="s">
        <v>2835</v>
      </c>
      <c r="C88" s="139" t="s">
        <v>2842</v>
      </c>
      <c r="D88" s="1209">
        <v>44908</v>
      </c>
      <c r="E88" s="1210">
        <v>931.32</v>
      </c>
      <c r="F88" s="219" t="s">
        <v>2770</v>
      </c>
      <c r="G88" s="142"/>
      <c r="H88" s="127"/>
      <c r="I88" s="128"/>
      <c r="J88" s="128"/>
      <c r="K88" s="980">
        <v>36</v>
      </c>
      <c r="L88" s="143"/>
      <c r="M88" s="143"/>
      <c r="N88" s="144"/>
      <c r="O88" s="144"/>
      <c r="P88" s="144"/>
      <c r="Q88" s="353">
        <f t="shared" si="33"/>
        <v>36</v>
      </c>
      <c r="R88" s="129">
        <f t="shared" si="34"/>
        <v>0</v>
      </c>
      <c r="S88" s="129">
        <f t="shared" si="35"/>
        <v>0</v>
      </c>
      <c r="T88" s="129">
        <f t="shared" si="36"/>
        <v>36</v>
      </c>
      <c r="U88" s="129">
        <f t="shared" si="37"/>
        <v>864</v>
      </c>
      <c r="V88" s="214">
        <f t="shared" si="38"/>
        <v>91</v>
      </c>
      <c r="W88" s="353">
        <f t="shared" si="39"/>
        <v>786.24</v>
      </c>
      <c r="X88" s="129">
        <f t="shared" si="40"/>
        <v>786.24</v>
      </c>
      <c r="Y88" s="129" t="str">
        <f t="shared" si="41"/>
        <v/>
      </c>
      <c r="Z88" s="145"/>
      <c r="BA88" s="75" t="e">
        <f t="shared" si="50"/>
        <v>#DIV/0!</v>
      </c>
      <c r="BB88" s="78"/>
      <c r="BC88" s="132"/>
      <c r="BD88" s="133"/>
      <c r="BE88" s="132"/>
      <c r="BF88" s="134"/>
      <c r="BG88" s="135"/>
      <c r="BH88" s="135"/>
      <c r="BI88" s="136"/>
      <c r="BJ88" s="136"/>
      <c r="BK88" s="136"/>
      <c r="BL88" s="136"/>
      <c r="BM88" s="137"/>
      <c r="BN88" s="137"/>
      <c r="BO88" s="75">
        <f>LOOKUP(D88,基础数据!A:D)</f>
        <v>3.84333367100529</v>
      </c>
      <c r="BP88" s="75">
        <f t="shared" si="52"/>
        <v>0.92568589507761</v>
      </c>
      <c r="BQ88" s="75">
        <f t="shared" si="42"/>
        <v>24</v>
      </c>
      <c r="BR88" s="272">
        <f t="shared" si="53"/>
        <v>27</v>
      </c>
      <c r="BS88" s="156">
        <f t="shared" si="43"/>
        <v>3.11</v>
      </c>
      <c r="BT88" s="186">
        <v>0.01</v>
      </c>
      <c r="BU88" s="156">
        <f t="shared" si="44"/>
        <v>0.27</v>
      </c>
      <c r="BV88" s="156">
        <f t="shared" si="45"/>
        <v>0.02</v>
      </c>
      <c r="BW88" s="156">
        <f t="shared" si="51"/>
        <v>24</v>
      </c>
      <c r="BX88" s="156">
        <f t="shared" si="46"/>
        <v>2.63107460643395</v>
      </c>
      <c r="BY88" s="1207" t="s">
        <v>2806</v>
      </c>
      <c r="BZ88" s="272">
        <v>30</v>
      </c>
      <c r="CA88" s="186">
        <f t="shared" si="47"/>
        <v>0.91</v>
      </c>
      <c r="CB88" s="186">
        <f t="shared" si="48"/>
        <v>0.91</v>
      </c>
      <c r="CC88" s="186">
        <f t="shared" si="49"/>
        <v>0.91</v>
      </c>
      <c r="CD88" s="272"/>
      <c r="CF88" s="134"/>
      <c r="CG88" s="138"/>
      <c r="CH88" s="132"/>
      <c r="CI88" s="138"/>
      <c r="CJ88" s="132"/>
      <c r="CK88" s="132"/>
      <c r="CL88" s="134"/>
      <c r="CM88" s="146"/>
    </row>
    <row r="89" ht="15" hidden="1" customHeight="1" spans="1:91">
      <c r="A89" s="123">
        <f>IF(B89="","",COUNT(A$7:A88)+1)</f>
        <v>82</v>
      </c>
      <c r="B89" s="139" t="s">
        <v>2835</v>
      </c>
      <c r="C89" s="139" t="s">
        <v>2851</v>
      </c>
      <c r="D89" s="1209">
        <v>43100</v>
      </c>
      <c r="E89" s="1210">
        <v>3683.7</v>
      </c>
      <c r="F89" s="219" t="s">
        <v>2770</v>
      </c>
      <c r="G89" s="142"/>
      <c r="H89" s="127"/>
      <c r="I89" s="128"/>
      <c r="J89" s="128"/>
      <c r="K89" s="980">
        <v>90</v>
      </c>
      <c r="L89" s="143"/>
      <c r="M89" s="143"/>
      <c r="N89" s="144"/>
      <c r="O89" s="144"/>
      <c r="P89" s="144"/>
      <c r="Q89" s="353">
        <f t="shared" si="33"/>
        <v>90</v>
      </c>
      <c r="R89" s="129">
        <f t="shared" si="34"/>
        <v>0</v>
      </c>
      <c r="S89" s="129">
        <f t="shared" si="35"/>
        <v>0</v>
      </c>
      <c r="T89" s="129">
        <f t="shared" si="36"/>
        <v>90</v>
      </c>
      <c r="U89" s="129">
        <f t="shared" si="37"/>
        <v>3690</v>
      </c>
      <c r="V89" s="214">
        <f t="shared" si="38"/>
        <v>75</v>
      </c>
      <c r="W89" s="353">
        <f t="shared" si="39"/>
        <v>2767.5</v>
      </c>
      <c r="X89" s="129">
        <f t="shared" si="40"/>
        <v>2767.5</v>
      </c>
      <c r="Y89" s="129" t="str">
        <f t="shared" si="41"/>
        <v/>
      </c>
      <c r="Z89" s="145"/>
      <c r="BA89" s="75" t="e">
        <f t="shared" si="50"/>
        <v>#DIV/0!</v>
      </c>
      <c r="BB89" s="78"/>
      <c r="BC89" s="132"/>
      <c r="BD89" s="133"/>
      <c r="BE89" s="132"/>
      <c r="BF89" s="134"/>
      <c r="BG89" s="135"/>
      <c r="BH89" s="135"/>
      <c r="BI89" s="136"/>
      <c r="BJ89" s="136"/>
      <c r="BK89" s="136"/>
      <c r="BL89" s="136"/>
      <c r="BM89" s="137"/>
      <c r="BN89" s="137"/>
      <c r="BO89" s="75">
        <f>LOOKUP(D89,基础数据!A:D)</f>
        <v>3.53915880885741</v>
      </c>
      <c r="BP89" s="75">
        <f t="shared" si="52"/>
        <v>1.00524445538374</v>
      </c>
      <c r="BQ89" s="75">
        <f t="shared" si="42"/>
        <v>41</v>
      </c>
      <c r="BR89" s="272">
        <f t="shared" si="53"/>
        <v>46</v>
      </c>
      <c r="BS89" s="156">
        <f t="shared" si="43"/>
        <v>5.29</v>
      </c>
      <c r="BT89" s="186">
        <v>0.01</v>
      </c>
      <c r="BU89" s="156">
        <f t="shared" si="44"/>
        <v>0.46</v>
      </c>
      <c r="BV89" s="156">
        <f t="shared" si="45"/>
        <v>0.04</v>
      </c>
      <c r="BW89" s="156">
        <f t="shared" si="51"/>
        <v>41</v>
      </c>
      <c r="BX89" s="156">
        <f t="shared" si="46"/>
        <v>7.58110882956879</v>
      </c>
      <c r="BY89" s="1207" t="s">
        <v>2806</v>
      </c>
      <c r="BZ89" s="272">
        <v>30</v>
      </c>
      <c r="CA89" s="186">
        <f t="shared" si="47"/>
        <v>0.75</v>
      </c>
      <c r="CB89" s="186">
        <f t="shared" si="48"/>
        <v>0.75</v>
      </c>
      <c r="CC89" s="186">
        <f t="shared" si="49"/>
        <v>0.75</v>
      </c>
      <c r="CD89" s="272"/>
      <c r="CF89" s="134"/>
      <c r="CG89" s="138"/>
      <c r="CH89" s="132"/>
      <c r="CI89" s="138"/>
      <c r="CJ89" s="132"/>
      <c r="CK89" s="132"/>
      <c r="CL89" s="134"/>
      <c r="CM89" s="146"/>
    </row>
    <row r="90" ht="15" customHeight="1" spans="1:91">
      <c r="A90" s="123">
        <f>IF(B90="","",COUNT(A$7:A89)+1)</f>
        <v>83</v>
      </c>
      <c r="B90" s="139" t="s">
        <v>2829</v>
      </c>
      <c r="C90" s="139" t="s">
        <v>2839</v>
      </c>
      <c r="D90" s="1209">
        <v>43100</v>
      </c>
      <c r="E90" s="1210">
        <v>153.75</v>
      </c>
      <c r="F90" s="219" t="s">
        <v>2770</v>
      </c>
      <c r="G90" s="142"/>
      <c r="H90" s="127"/>
      <c r="I90" s="128"/>
      <c r="J90" s="128"/>
      <c r="K90" s="980">
        <v>25</v>
      </c>
      <c r="L90" s="143"/>
      <c r="M90" s="143"/>
      <c r="N90" s="144"/>
      <c r="O90" s="144"/>
      <c r="P90" s="144"/>
      <c r="Q90" s="353">
        <f t="shared" si="33"/>
        <v>25</v>
      </c>
      <c r="R90" s="129">
        <f t="shared" si="34"/>
        <v>0</v>
      </c>
      <c r="S90" s="129">
        <f t="shared" si="35"/>
        <v>0</v>
      </c>
      <c r="T90" s="129">
        <f t="shared" si="36"/>
        <v>25</v>
      </c>
      <c r="U90" s="129">
        <f t="shared" si="37"/>
        <v>175</v>
      </c>
      <c r="V90" s="214">
        <f t="shared" si="38"/>
        <v>75</v>
      </c>
      <c r="W90" s="353">
        <f t="shared" si="39"/>
        <v>131.25</v>
      </c>
      <c r="X90" s="129">
        <f t="shared" si="40"/>
        <v>131.25</v>
      </c>
      <c r="Y90" s="129" t="str">
        <f t="shared" si="41"/>
        <v/>
      </c>
      <c r="Z90" s="145"/>
      <c r="BA90" s="75" t="e">
        <f t="shared" si="50"/>
        <v>#DIV/0!</v>
      </c>
      <c r="BB90" s="78"/>
      <c r="BC90" s="132"/>
      <c r="BD90" s="133"/>
      <c r="BE90" s="132"/>
      <c r="BF90" s="134"/>
      <c r="BG90" s="135"/>
      <c r="BH90" s="135"/>
      <c r="BI90" s="136"/>
      <c r="BJ90" s="136"/>
      <c r="BK90" s="136"/>
      <c r="BL90" s="136"/>
      <c r="BM90" s="137"/>
      <c r="BN90" s="137"/>
      <c r="BO90" s="75">
        <f>LOOKUP(D90,基础数据!A:D)</f>
        <v>3.53915880885741</v>
      </c>
      <c r="BP90" s="75">
        <f t="shared" si="52"/>
        <v>1.00524445538374</v>
      </c>
      <c r="BQ90" s="75">
        <f t="shared" si="42"/>
        <v>6</v>
      </c>
      <c r="BR90" s="272">
        <f t="shared" si="53"/>
        <v>7</v>
      </c>
      <c r="BS90" s="156">
        <f t="shared" si="43"/>
        <v>0.81</v>
      </c>
      <c r="BT90" s="1211">
        <v>0.06</v>
      </c>
      <c r="BU90" s="156">
        <f t="shared" si="44"/>
        <v>0.42</v>
      </c>
      <c r="BV90" s="156">
        <f t="shared" si="45"/>
        <v>0.03</v>
      </c>
      <c r="BW90" s="156">
        <f t="shared" si="51"/>
        <v>7</v>
      </c>
      <c r="BX90" s="156">
        <f t="shared" si="46"/>
        <v>7.58110882956879</v>
      </c>
      <c r="BY90" s="1207" t="s">
        <v>2806</v>
      </c>
      <c r="BZ90" s="272">
        <v>30</v>
      </c>
      <c r="CA90" s="186">
        <f t="shared" si="47"/>
        <v>0.75</v>
      </c>
      <c r="CB90" s="186">
        <f t="shared" si="48"/>
        <v>0.75</v>
      </c>
      <c r="CC90" s="186">
        <f t="shared" si="49"/>
        <v>0.75</v>
      </c>
      <c r="CD90" s="272"/>
      <c r="CF90" s="134"/>
      <c r="CG90" s="138"/>
      <c r="CH90" s="132"/>
      <c r="CI90" s="138"/>
      <c r="CJ90" s="132"/>
      <c r="CK90" s="132"/>
      <c r="CL90" s="134"/>
      <c r="CM90" s="146"/>
    </row>
    <row r="91" ht="15" customHeight="1" spans="1:91">
      <c r="A91" s="123">
        <f>IF(B91="","",COUNT(A$7:A90)+1)</f>
        <v>84</v>
      </c>
      <c r="B91" s="139" t="s">
        <v>2829</v>
      </c>
      <c r="C91" s="139" t="s">
        <v>2838</v>
      </c>
      <c r="D91" s="1209">
        <v>43100</v>
      </c>
      <c r="E91" s="1210">
        <v>473</v>
      </c>
      <c r="F91" s="219" t="s">
        <v>2770</v>
      </c>
      <c r="G91" s="142"/>
      <c r="H91" s="127"/>
      <c r="I91" s="128"/>
      <c r="J91" s="128"/>
      <c r="K91" s="980">
        <v>20</v>
      </c>
      <c r="L91" s="143"/>
      <c r="M91" s="143"/>
      <c r="N91" s="144"/>
      <c r="O91" s="144"/>
      <c r="P91" s="144"/>
      <c r="Q91" s="353">
        <f t="shared" si="33"/>
        <v>20</v>
      </c>
      <c r="R91" s="129">
        <f t="shared" si="34"/>
        <v>0</v>
      </c>
      <c r="S91" s="129">
        <f t="shared" si="35"/>
        <v>0</v>
      </c>
      <c r="T91" s="129">
        <f t="shared" si="36"/>
        <v>20</v>
      </c>
      <c r="U91" s="129">
        <f t="shared" si="37"/>
        <v>500</v>
      </c>
      <c r="V91" s="214">
        <f t="shared" si="38"/>
        <v>75</v>
      </c>
      <c r="W91" s="353">
        <f t="shared" si="39"/>
        <v>375</v>
      </c>
      <c r="X91" s="129">
        <f t="shared" si="40"/>
        <v>375</v>
      </c>
      <c r="Y91" s="129" t="str">
        <f t="shared" si="41"/>
        <v/>
      </c>
      <c r="Z91" s="145"/>
      <c r="BA91" s="75" t="e">
        <f t="shared" si="50"/>
        <v>#DIV/0!</v>
      </c>
      <c r="BB91" s="78"/>
      <c r="BC91" s="132"/>
      <c r="BD91" s="133"/>
      <c r="BE91" s="132"/>
      <c r="BF91" s="134"/>
      <c r="BG91" s="135"/>
      <c r="BH91" s="135"/>
      <c r="BI91" s="136"/>
      <c r="BJ91" s="136"/>
      <c r="BK91" s="136"/>
      <c r="BL91" s="136"/>
      <c r="BM91" s="137"/>
      <c r="BN91" s="137"/>
      <c r="BO91" s="75">
        <f>LOOKUP(D91,基础数据!A:D)</f>
        <v>3.53915880885741</v>
      </c>
      <c r="BP91" s="75">
        <f t="shared" si="52"/>
        <v>1.00524445538374</v>
      </c>
      <c r="BQ91" s="75">
        <f t="shared" si="42"/>
        <v>24</v>
      </c>
      <c r="BR91" s="272">
        <f t="shared" si="53"/>
        <v>27</v>
      </c>
      <c r="BS91" s="156">
        <f t="shared" si="43"/>
        <v>3.11</v>
      </c>
      <c r="BT91" s="1211">
        <v>0.06</v>
      </c>
      <c r="BU91" s="156">
        <f t="shared" si="44"/>
        <v>1.62</v>
      </c>
      <c r="BV91" s="156">
        <f t="shared" si="45"/>
        <v>0.13</v>
      </c>
      <c r="BW91" s="156">
        <f t="shared" si="51"/>
        <v>25</v>
      </c>
      <c r="BX91" s="156">
        <f t="shared" si="46"/>
        <v>7.58110882956879</v>
      </c>
      <c r="BY91" s="1207" t="s">
        <v>2806</v>
      </c>
      <c r="BZ91" s="272">
        <v>30</v>
      </c>
      <c r="CA91" s="186">
        <f t="shared" si="47"/>
        <v>0.75</v>
      </c>
      <c r="CB91" s="186">
        <f t="shared" si="48"/>
        <v>0.75</v>
      </c>
      <c r="CC91" s="186">
        <f t="shared" si="49"/>
        <v>0.75</v>
      </c>
      <c r="CD91" s="272"/>
      <c r="CF91" s="134"/>
      <c r="CG91" s="138"/>
      <c r="CH91" s="132"/>
      <c r="CI91" s="138"/>
      <c r="CJ91" s="132"/>
      <c r="CK91" s="132"/>
      <c r="CL91" s="134"/>
      <c r="CM91" s="146"/>
    </row>
    <row r="92" ht="15" hidden="1" customHeight="1" spans="1:91">
      <c r="A92" s="123">
        <f>IF(B92="","",COUNT(A$7:A91)+1)</f>
        <v>85</v>
      </c>
      <c r="B92" s="139" t="s">
        <v>2835</v>
      </c>
      <c r="C92" s="139" t="s">
        <v>2842</v>
      </c>
      <c r="D92" s="1209">
        <v>44908</v>
      </c>
      <c r="E92" s="1210">
        <v>2587</v>
      </c>
      <c r="F92" s="219" t="s">
        <v>2770</v>
      </c>
      <c r="G92" s="142"/>
      <c r="H92" s="127"/>
      <c r="I92" s="128"/>
      <c r="J92" s="128"/>
      <c r="K92" s="980">
        <v>100</v>
      </c>
      <c r="L92" s="143"/>
      <c r="M92" s="143"/>
      <c r="N92" s="144"/>
      <c r="O92" s="144"/>
      <c r="P92" s="144"/>
      <c r="Q92" s="353">
        <f t="shared" si="33"/>
        <v>100</v>
      </c>
      <c r="R92" s="129">
        <f t="shared" si="34"/>
        <v>0</v>
      </c>
      <c r="S92" s="129">
        <f t="shared" si="35"/>
        <v>0</v>
      </c>
      <c r="T92" s="129">
        <f t="shared" si="36"/>
        <v>100</v>
      </c>
      <c r="U92" s="129">
        <f t="shared" si="37"/>
        <v>2400</v>
      </c>
      <c r="V92" s="214">
        <f t="shared" si="38"/>
        <v>91</v>
      </c>
      <c r="W92" s="353">
        <f t="shared" si="39"/>
        <v>2184</v>
      </c>
      <c r="X92" s="129">
        <f t="shared" si="40"/>
        <v>2184</v>
      </c>
      <c r="Y92" s="129" t="str">
        <f t="shared" si="41"/>
        <v/>
      </c>
      <c r="Z92" s="145"/>
      <c r="BA92" s="75" t="e">
        <f t="shared" si="50"/>
        <v>#DIV/0!</v>
      </c>
      <c r="BB92" s="78"/>
      <c r="BC92" s="132"/>
      <c r="BD92" s="133"/>
      <c r="BE92" s="132"/>
      <c r="BF92" s="134"/>
      <c r="BG92" s="135"/>
      <c r="BH92" s="135"/>
      <c r="BI92" s="136"/>
      <c r="BJ92" s="136"/>
      <c r="BK92" s="136"/>
      <c r="BL92" s="136"/>
      <c r="BM92" s="137"/>
      <c r="BN92" s="137"/>
      <c r="BO92" s="75">
        <f>LOOKUP(D92,基础数据!A:D)</f>
        <v>3.84333367100529</v>
      </c>
      <c r="BP92" s="75">
        <f t="shared" si="52"/>
        <v>0.92568589507761</v>
      </c>
      <c r="BQ92" s="75">
        <f t="shared" si="42"/>
        <v>24</v>
      </c>
      <c r="BR92" s="272">
        <f t="shared" si="53"/>
        <v>27</v>
      </c>
      <c r="BS92" s="156">
        <f t="shared" si="43"/>
        <v>3.11</v>
      </c>
      <c r="BT92" s="186">
        <v>0.01</v>
      </c>
      <c r="BU92" s="156">
        <f t="shared" si="44"/>
        <v>0.27</v>
      </c>
      <c r="BV92" s="156">
        <f t="shared" si="45"/>
        <v>0.02</v>
      </c>
      <c r="BW92" s="156">
        <f t="shared" si="51"/>
        <v>24</v>
      </c>
      <c r="BX92" s="156">
        <f t="shared" si="46"/>
        <v>2.63107460643395</v>
      </c>
      <c r="BY92" s="1207" t="s">
        <v>2806</v>
      </c>
      <c r="BZ92" s="272">
        <v>30</v>
      </c>
      <c r="CA92" s="186">
        <f t="shared" si="47"/>
        <v>0.91</v>
      </c>
      <c r="CB92" s="186">
        <f t="shared" si="48"/>
        <v>0.91</v>
      </c>
      <c r="CC92" s="186">
        <f t="shared" si="49"/>
        <v>0.91</v>
      </c>
      <c r="CD92" s="272"/>
      <c r="CF92" s="134"/>
      <c r="CG92" s="138"/>
      <c r="CH92" s="132"/>
      <c r="CI92" s="138"/>
      <c r="CJ92" s="132"/>
      <c r="CK92" s="132"/>
      <c r="CL92" s="134"/>
      <c r="CM92" s="146"/>
    </row>
    <row r="93" ht="15" hidden="1" customHeight="1" spans="1:91">
      <c r="A93" s="123">
        <f>IF(B93="","",COUNT(A$7:A92)+1)</f>
        <v>86</v>
      </c>
      <c r="B93" s="139" t="s">
        <v>2835</v>
      </c>
      <c r="C93" s="139" t="s">
        <v>2842</v>
      </c>
      <c r="D93" s="1209">
        <v>44908</v>
      </c>
      <c r="E93" s="1210">
        <v>18626.4</v>
      </c>
      <c r="F93" s="219" t="s">
        <v>2770</v>
      </c>
      <c r="G93" s="142"/>
      <c r="H93" s="127"/>
      <c r="I93" s="128"/>
      <c r="J93" s="128"/>
      <c r="K93" s="980">
        <v>720</v>
      </c>
      <c r="L93" s="143"/>
      <c r="M93" s="143"/>
      <c r="N93" s="144"/>
      <c r="O93" s="144"/>
      <c r="P93" s="144"/>
      <c r="Q93" s="353">
        <f t="shared" si="33"/>
        <v>720</v>
      </c>
      <c r="R93" s="129">
        <f t="shared" si="34"/>
        <v>0</v>
      </c>
      <c r="S93" s="129">
        <f t="shared" si="35"/>
        <v>0</v>
      </c>
      <c r="T93" s="129">
        <f t="shared" si="36"/>
        <v>720</v>
      </c>
      <c r="U93" s="129">
        <f t="shared" si="37"/>
        <v>17280</v>
      </c>
      <c r="V93" s="214">
        <f t="shared" si="38"/>
        <v>91</v>
      </c>
      <c r="W93" s="353">
        <f t="shared" si="39"/>
        <v>15724.8</v>
      </c>
      <c r="X93" s="129">
        <f t="shared" si="40"/>
        <v>15724.8</v>
      </c>
      <c r="Y93" s="129" t="str">
        <f t="shared" si="41"/>
        <v/>
      </c>
      <c r="Z93" s="145"/>
      <c r="BA93" s="75" t="e">
        <f t="shared" si="50"/>
        <v>#DIV/0!</v>
      </c>
      <c r="BB93" s="78"/>
      <c r="BC93" s="132"/>
      <c r="BD93" s="133"/>
      <c r="BE93" s="132"/>
      <c r="BF93" s="134"/>
      <c r="BG93" s="135"/>
      <c r="BH93" s="135"/>
      <c r="BI93" s="136"/>
      <c r="BJ93" s="136"/>
      <c r="BK93" s="136"/>
      <c r="BL93" s="136"/>
      <c r="BM93" s="137"/>
      <c r="BN93" s="137"/>
      <c r="BO93" s="75">
        <f>LOOKUP(D93,基础数据!A:D)</f>
        <v>3.84333367100529</v>
      </c>
      <c r="BP93" s="75">
        <f t="shared" si="52"/>
        <v>0.92568589507761</v>
      </c>
      <c r="BQ93" s="75">
        <f t="shared" si="42"/>
        <v>24</v>
      </c>
      <c r="BR93" s="272">
        <f t="shared" si="53"/>
        <v>27</v>
      </c>
      <c r="BS93" s="156">
        <f t="shared" si="43"/>
        <v>3.11</v>
      </c>
      <c r="BT93" s="186">
        <v>0.01</v>
      </c>
      <c r="BU93" s="156">
        <f t="shared" si="44"/>
        <v>0.27</v>
      </c>
      <c r="BV93" s="156">
        <f t="shared" si="45"/>
        <v>0.02</v>
      </c>
      <c r="BW93" s="156">
        <f t="shared" si="51"/>
        <v>24</v>
      </c>
      <c r="BX93" s="156">
        <f t="shared" si="46"/>
        <v>2.63107460643395</v>
      </c>
      <c r="BY93" s="1207" t="s">
        <v>2806</v>
      </c>
      <c r="BZ93" s="272">
        <v>30</v>
      </c>
      <c r="CA93" s="186">
        <f t="shared" si="47"/>
        <v>0.91</v>
      </c>
      <c r="CB93" s="186">
        <f t="shared" si="48"/>
        <v>0.91</v>
      </c>
      <c r="CC93" s="186">
        <f t="shared" si="49"/>
        <v>0.91</v>
      </c>
      <c r="CD93" s="272"/>
      <c r="CF93" s="134"/>
      <c r="CG93" s="138"/>
      <c r="CH93" s="132"/>
      <c r="CI93" s="138"/>
      <c r="CJ93" s="132"/>
      <c r="CK93" s="132"/>
      <c r="CL93" s="134"/>
      <c r="CM93" s="146"/>
    </row>
    <row r="94" ht="15" customHeight="1" spans="1:91">
      <c r="A94" s="123">
        <f>IF(B94="","",COUNT(A$7:A93)+1)</f>
        <v>87</v>
      </c>
      <c r="B94" s="139" t="s">
        <v>2824</v>
      </c>
      <c r="C94" s="139" t="s">
        <v>2827</v>
      </c>
      <c r="D94" s="1209">
        <v>43100</v>
      </c>
      <c r="E94" s="1210">
        <v>5616.6</v>
      </c>
      <c r="F94" s="219" t="s">
        <v>2770</v>
      </c>
      <c r="G94" s="142"/>
      <c r="H94" s="127"/>
      <c r="I94" s="128"/>
      <c r="J94" s="128"/>
      <c r="K94" s="980">
        <v>20</v>
      </c>
      <c r="L94" s="143"/>
      <c r="M94" s="143"/>
      <c r="N94" s="144"/>
      <c r="O94" s="144"/>
      <c r="P94" s="144"/>
      <c r="Q94" s="353">
        <f t="shared" si="33"/>
        <v>20</v>
      </c>
      <c r="R94" s="129">
        <f t="shared" si="34"/>
        <v>0</v>
      </c>
      <c r="S94" s="129">
        <f t="shared" si="35"/>
        <v>0</v>
      </c>
      <c r="T94" s="129">
        <f t="shared" si="36"/>
        <v>20</v>
      </c>
      <c r="U94" s="129">
        <f t="shared" si="37"/>
        <v>6000</v>
      </c>
      <c r="V94" s="214">
        <f t="shared" si="38"/>
        <v>75</v>
      </c>
      <c r="W94" s="353">
        <f t="shared" si="39"/>
        <v>4500</v>
      </c>
      <c r="X94" s="129">
        <f t="shared" si="40"/>
        <v>4500</v>
      </c>
      <c r="Y94" s="129" t="str">
        <f t="shared" si="41"/>
        <v/>
      </c>
      <c r="Z94" s="145"/>
      <c r="BA94" s="75" t="e">
        <f t="shared" si="50"/>
        <v>#DIV/0!</v>
      </c>
      <c r="BB94" s="78"/>
      <c r="BC94" s="132"/>
      <c r="BD94" s="133"/>
      <c r="BE94" s="132"/>
      <c r="BF94" s="134"/>
      <c r="BG94" s="135"/>
      <c r="BH94" s="135"/>
      <c r="BI94" s="136"/>
      <c r="BJ94" s="136"/>
      <c r="BK94" s="136"/>
      <c r="BL94" s="136"/>
      <c r="BM94" s="137"/>
      <c r="BN94" s="137"/>
      <c r="BO94" s="75">
        <f>LOOKUP(D94,基础数据!A:D)</f>
        <v>3.53915880885741</v>
      </c>
      <c r="BP94" s="75">
        <f t="shared" si="52"/>
        <v>1.00524445538374</v>
      </c>
      <c r="BQ94" s="75">
        <f t="shared" si="42"/>
        <v>282</v>
      </c>
      <c r="BR94" s="272">
        <f t="shared" si="53"/>
        <v>319</v>
      </c>
      <c r="BS94" s="156">
        <f t="shared" si="43"/>
        <v>36.7</v>
      </c>
      <c r="BT94" s="1211">
        <v>0.06</v>
      </c>
      <c r="BU94" s="156">
        <f t="shared" si="44"/>
        <v>19.14</v>
      </c>
      <c r="BV94" s="156">
        <f t="shared" si="45"/>
        <v>1.58</v>
      </c>
      <c r="BW94" s="156">
        <f t="shared" si="51"/>
        <v>300</v>
      </c>
      <c r="BX94" s="156">
        <f t="shared" si="46"/>
        <v>7.58110882956879</v>
      </c>
      <c r="BY94" s="1207" t="s">
        <v>2806</v>
      </c>
      <c r="BZ94" s="272">
        <v>30</v>
      </c>
      <c r="CA94" s="186">
        <f t="shared" si="47"/>
        <v>0.75</v>
      </c>
      <c r="CB94" s="186">
        <f t="shared" si="48"/>
        <v>0.75</v>
      </c>
      <c r="CC94" s="186">
        <f t="shared" si="49"/>
        <v>0.75</v>
      </c>
      <c r="CD94" s="272"/>
      <c r="CF94" s="134"/>
      <c r="CG94" s="138"/>
      <c r="CH94" s="132"/>
      <c r="CI94" s="138"/>
      <c r="CJ94" s="132"/>
      <c r="CK94" s="132"/>
      <c r="CL94" s="134"/>
      <c r="CM94" s="146"/>
    </row>
    <row r="95" ht="15" hidden="1" customHeight="1" spans="1:91">
      <c r="A95" s="123">
        <f>IF(B95="","",COUNT(A$7:A94)+1)</f>
        <v>88</v>
      </c>
      <c r="B95" s="139" t="s">
        <v>2835</v>
      </c>
      <c r="C95" s="139" t="s">
        <v>2836</v>
      </c>
      <c r="D95" s="1209">
        <v>43100</v>
      </c>
      <c r="E95" s="1210">
        <v>140.9</v>
      </c>
      <c r="F95" s="219" t="s">
        <v>2770</v>
      </c>
      <c r="G95" s="142"/>
      <c r="H95" s="127"/>
      <c r="I95" s="128"/>
      <c r="J95" s="128"/>
      <c r="K95" s="980">
        <v>10</v>
      </c>
      <c r="L95" s="143"/>
      <c r="M95" s="143"/>
      <c r="N95" s="144"/>
      <c r="O95" s="144"/>
      <c r="P95" s="144"/>
      <c r="Q95" s="353">
        <f t="shared" si="33"/>
        <v>10</v>
      </c>
      <c r="R95" s="129">
        <f t="shared" si="34"/>
        <v>0</v>
      </c>
      <c r="S95" s="129">
        <f t="shared" si="35"/>
        <v>0</v>
      </c>
      <c r="T95" s="129">
        <f t="shared" si="36"/>
        <v>10</v>
      </c>
      <c r="U95" s="129">
        <f t="shared" si="37"/>
        <v>140</v>
      </c>
      <c r="V95" s="214">
        <f t="shared" si="38"/>
        <v>75</v>
      </c>
      <c r="W95" s="353">
        <f t="shared" si="39"/>
        <v>105</v>
      </c>
      <c r="X95" s="129">
        <f t="shared" si="40"/>
        <v>105</v>
      </c>
      <c r="Y95" s="129" t="str">
        <f t="shared" si="41"/>
        <v/>
      </c>
      <c r="Z95" s="145"/>
      <c r="BA95" s="75" t="e">
        <f t="shared" si="50"/>
        <v>#DIV/0!</v>
      </c>
      <c r="BB95" s="78"/>
      <c r="BC95" s="132"/>
      <c r="BD95" s="133"/>
      <c r="BE95" s="132"/>
      <c r="BF95" s="134"/>
      <c r="BG95" s="135"/>
      <c r="BH95" s="135"/>
      <c r="BI95" s="136"/>
      <c r="BJ95" s="136"/>
      <c r="BK95" s="136"/>
      <c r="BL95" s="136"/>
      <c r="BM95" s="137"/>
      <c r="BN95" s="137"/>
      <c r="BO95" s="75">
        <f>LOOKUP(D95,基础数据!A:D)</f>
        <v>3.53915880885741</v>
      </c>
      <c r="BP95" s="75">
        <f t="shared" si="52"/>
        <v>1.00524445538374</v>
      </c>
      <c r="BQ95" s="75">
        <f t="shared" si="42"/>
        <v>14</v>
      </c>
      <c r="BR95" s="272">
        <f t="shared" si="53"/>
        <v>16</v>
      </c>
      <c r="BS95" s="156">
        <f t="shared" si="43"/>
        <v>1.84</v>
      </c>
      <c r="BT95" s="186">
        <v>0.01</v>
      </c>
      <c r="BU95" s="156">
        <f t="shared" si="44"/>
        <v>0.16</v>
      </c>
      <c r="BV95" s="156">
        <f t="shared" si="45"/>
        <v>0.01</v>
      </c>
      <c r="BW95" s="156">
        <f t="shared" si="51"/>
        <v>14</v>
      </c>
      <c r="BX95" s="156">
        <f t="shared" si="46"/>
        <v>7.58110882956879</v>
      </c>
      <c r="BY95" s="1207" t="s">
        <v>2806</v>
      </c>
      <c r="BZ95" s="272">
        <v>30</v>
      </c>
      <c r="CA95" s="186">
        <f t="shared" si="47"/>
        <v>0.75</v>
      </c>
      <c r="CB95" s="186">
        <f t="shared" si="48"/>
        <v>0.75</v>
      </c>
      <c r="CC95" s="186">
        <f t="shared" si="49"/>
        <v>0.75</v>
      </c>
      <c r="CD95" s="272"/>
      <c r="CF95" s="134"/>
      <c r="CG95" s="138"/>
      <c r="CH95" s="132"/>
      <c r="CI95" s="138"/>
      <c r="CJ95" s="132"/>
      <c r="CK95" s="132"/>
      <c r="CL95" s="134"/>
      <c r="CM95" s="146"/>
    </row>
    <row r="96" ht="15" customHeight="1" spans="1:91">
      <c r="A96" s="123">
        <f>IF(B96="","",COUNT(A$7:A95)+1)</f>
        <v>89</v>
      </c>
      <c r="B96" s="139" t="s">
        <v>2829</v>
      </c>
      <c r="C96" s="139" t="s">
        <v>2837</v>
      </c>
      <c r="D96" s="1209">
        <v>43100</v>
      </c>
      <c r="E96" s="1210">
        <v>390.45</v>
      </c>
      <c r="F96" s="219" t="s">
        <v>2770</v>
      </c>
      <c r="G96" s="142"/>
      <c r="H96" s="127"/>
      <c r="I96" s="128"/>
      <c r="J96" s="128"/>
      <c r="K96" s="980">
        <v>15</v>
      </c>
      <c r="L96" s="143"/>
      <c r="M96" s="143"/>
      <c r="N96" s="144"/>
      <c r="O96" s="144"/>
      <c r="P96" s="144"/>
      <c r="Q96" s="353">
        <f t="shared" si="33"/>
        <v>15</v>
      </c>
      <c r="R96" s="129">
        <f t="shared" si="34"/>
        <v>0</v>
      </c>
      <c r="S96" s="129">
        <f t="shared" si="35"/>
        <v>0</v>
      </c>
      <c r="T96" s="129">
        <f t="shared" si="36"/>
        <v>15</v>
      </c>
      <c r="U96" s="129">
        <f t="shared" si="37"/>
        <v>405</v>
      </c>
      <c r="V96" s="214">
        <f t="shared" si="38"/>
        <v>75</v>
      </c>
      <c r="W96" s="353">
        <f t="shared" si="39"/>
        <v>303.75</v>
      </c>
      <c r="X96" s="129">
        <f t="shared" si="40"/>
        <v>303.75</v>
      </c>
      <c r="Y96" s="129" t="str">
        <f t="shared" si="41"/>
        <v/>
      </c>
      <c r="Z96" s="145"/>
      <c r="BA96" s="75" t="e">
        <f t="shared" si="50"/>
        <v>#DIV/0!</v>
      </c>
      <c r="BB96" s="78"/>
      <c r="BC96" s="132"/>
      <c r="BD96" s="133"/>
      <c r="BE96" s="132"/>
      <c r="BF96" s="134"/>
      <c r="BG96" s="135"/>
      <c r="BH96" s="135"/>
      <c r="BI96" s="136"/>
      <c r="BJ96" s="136"/>
      <c r="BK96" s="136"/>
      <c r="BL96" s="136"/>
      <c r="BM96" s="137"/>
      <c r="BN96" s="137"/>
      <c r="BO96" s="75">
        <f>LOOKUP(D96,基础数据!A:D)</f>
        <v>3.53915880885741</v>
      </c>
      <c r="BP96" s="75">
        <f t="shared" si="52"/>
        <v>1.00524445538374</v>
      </c>
      <c r="BQ96" s="75">
        <f t="shared" si="42"/>
        <v>26</v>
      </c>
      <c r="BR96" s="272">
        <f t="shared" si="53"/>
        <v>29</v>
      </c>
      <c r="BS96" s="156">
        <f t="shared" si="43"/>
        <v>3.34</v>
      </c>
      <c r="BT96" s="1211">
        <v>0.06</v>
      </c>
      <c r="BU96" s="156">
        <f t="shared" si="44"/>
        <v>1.74</v>
      </c>
      <c r="BV96" s="156">
        <f t="shared" si="45"/>
        <v>0.14</v>
      </c>
      <c r="BW96" s="156">
        <f t="shared" si="51"/>
        <v>27</v>
      </c>
      <c r="BX96" s="156">
        <f t="shared" si="46"/>
        <v>7.58110882956879</v>
      </c>
      <c r="BY96" s="1207" t="s">
        <v>2806</v>
      </c>
      <c r="BZ96" s="272">
        <v>30</v>
      </c>
      <c r="CA96" s="186">
        <f t="shared" si="47"/>
        <v>0.75</v>
      </c>
      <c r="CB96" s="186">
        <f t="shared" si="48"/>
        <v>0.75</v>
      </c>
      <c r="CC96" s="186">
        <f t="shared" si="49"/>
        <v>0.75</v>
      </c>
      <c r="CD96" s="272"/>
      <c r="CF96" s="134"/>
      <c r="CG96" s="138"/>
      <c r="CH96" s="132"/>
      <c r="CI96" s="138"/>
      <c r="CJ96" s="132"/>
      <c r="CK96" s="132"/>
      <c r="CL96" s="134"/>
      <c r="CM96" s="146"/>
    </row>
    <row r="97" ht="15" customHeight="1" spans="1:91">
      <c r="A97" s="123">
        <f>IF(B97="","",COUNT(A$7:A96)+1)</f>
        <v>90</v>
      </c>
      <c r="B97" s="139" t="s">
        <v>2829</v>
      </c>
      <c r="C97" s="139" t="s">
        <v>2837</v>
      </c>
      <c r="D97" s="1209">
        <v>43100</v>
      </c>
      <c r="E97" s="1210">
        <v>416.48</v>
      </c>
      <c r="F97" s="219" t="s">
        <v>2770</v>
      </c>
      <c r="G97" s="142"/>
      <c r="H97" s="127"/>
      <c r="I97" s="128"/>
      <c r="J97" s="128"/>
      <c r="K97" s="980">
        <v>16</v>
      </c>
      <c r="L97" s="143"/>
      <c r="M97" s="143"/>
      <c r="N97" s="144"/>
      <c r="O97" s="144"/>
      <c r="P97" s="144"/>
      <c r="Q97" s="353">
        <f t="shared" si="33"/>
        <v>16</v>
      </c>
      <c r="R97" s="129">
        <f t="shared" si="34"/>
        <v>0</v>
      </c>
      <c r="S97" s="129">
        <f t="shared" si="35"/>
        <v>0</v>
      </c>
      <c r="T97" s="129">
        <f t="shared" si="36"/>
        <v>16</v>
      </c>
      <c r="U97" s="129">
        <f t="shared" si="37"/>
        <v>432</v>
      </c>
      <c r="V97" s="214">
        <f t="shared" si="38"/>
        <v>75</v>
      </c>
      <c r="W97" s="353">
        <f t="shared" si="39"/>
        <v>324</v>
      </c>
      <c r="X97" s="129">
        <f t="shared" si="40"/>
        <v>324</v>
      </c>
      <c r="Y97" s="129" t="str">
        <f t="shared" si="41"/>
        <v/>
      </c>
      <c r="Z97" s="145"/>
      <c r="BA97" s="75" t="e">
        <f t="shared" si="50"/>
        <v>#DIV/0!</v>
      </c>
      <c r="BB97" s="78"/>
      <c r="BC97" s="132"/>
      <c r="BD97" s="133"/>
      <c r="BE97" s="132"/>
      <c r="BF97" s="134"/>
      <c r="BG97" s="135"/>
      <c r="BH97" s="135"/>
      <c r="BI97" s="136"/>
      <c r="BJ97" s="136"/>
      <c r="BK97" s="136"/>
      <c r="BL97" s="136"/>
      <c r="BM97" s="137"/>
      <c r="BN97" s="137"/>
      <c r="BO97" s="75">
        <f>LOOKUP(D97,基础数据!A:D)</f>
        <v>3.53915880885741</v>
      </c>
      <c r="BP97" s="75">
        <f t="shared" si="52"/>
        <v>1.00524445538374</v>
      </c>
      <c r="BQ97" s="75">
        <f t="shared" si="42"/>
        <v>26</v>
      </c>
      <c r="BR97" s="272">
        <f t="shared" si="53"/>
        <v>29</v>
      </c>
      <c r="BS97" s="156">
        <f t="shared" si="43"/>
        <v>3.34</v>
      </c>
      <c r="BT97" s="1211">
        <v>0.06</v>
      </c>
      <c r="BU97" s="156">
        <f t="shared" si="44"/>
        <v>1.74</v>
      </c>
      <c r="BV97" s="156">
        <f t="shared" si="45"/>
        <v>0.14</v>
      </c>
      <c r="BW97" s="156">
        <f t="shared" si="51"/>
        <v>27</v>
      </c>
      <c r="BX97" s="156">
        <f t="shared" si="46"/>
        <v>7.58110882956879</v>
      </c>
      <c r="BY97" s="1207" t="s">
        <v>2806</v>
      </c>
      <c r="BZ97" s="272">
        <v>30</v>
      </c>
      <c r="CA97" s="186">
        <f t="shared" si="47"/>
        <v>0.75</v>
      </c>
      <c r="CB97" s="186">
        <f t="shared" si="48"/>
        <v>0.75</v>
      </c>
      <c r="CC97" s="186">
        <f t="shared" si="49"/>
        <v>0.75</v>
      </c>
      <c r="CD97" s="272"/>
      <c r="CF97" s="134"/>
      <c r="CG97" s="138"/>
      <c r="CH97" s="132"/>
      <c r="CI97" s="138"/>
      <c r="CJ97" s="132"/>
      <c r="CK97" s="132"/>
      <c r="CL97" s="134"/>
      <c r="CM97" s="146"/>
    </row>
    <row r="98" ht="15" customHeight="1" spans="1:91">
      <c r="A98" s="123">
        <f>IF(B98="","",COUNT(A$7:A97)+1)</f>
        <v>91</v>
      </c>
      <c r="B98" s="139" t="s">
        <v>2829</v>
      </c>
      <c r="C98" s="139" t="s">
        <v>2838</v>
      </c>
      <c r="D98" s="1209">
        <v>43100</v>
      </c>
      <c r="E98" s="1210">
        <v>283.8</v>
      </c>
      <c r="F98" s="219" t="s">
        <v>2770</v>
      </c>
      <c r="G98" s="142"/>
      <c r="H98" s="127"/>
      <c r="I98" s="128"/>
      <c r="J98" s="128"/>
      <c r="K98" s="980">
        <v>12</v>
      </c>
      <c r="L98" s="143"/>
      <c r="M98" s="143"/>
      <c r="N98" s="144"/>
      <c r="O98" s="144"/>
      <c r="P98" s="144"/>
      <c r="Q98" s="353">
        <f t="shared" si="33"/>
        <v>12</v>
      </c>
      <c r="R98" s="129">
        <f t="shared" si="34"/>
        <v>0</v>
      </c>
      <c r="S98" s="129">
        <f t="shared" si="35"/>
        <v>0</v>
      </c>
      <c r="T98" s="129">
        <f t="shared" si="36"/>
        <v>12</v>
      </c>
      <c r="U98" s="129">
        <f t="shared" si="37"/>
        <v>300</v>
      </c>
      <c r="V98" s="214">
        <f t="shared" si="38"/>
        <v>75</v>
      </c>
      <c r="W98" s="353">
        <f t="shared" si="39"/>
        <v>225</v>
      </c>
      <c r="X98" s="129">
        <f t="shared" si="40"/>
        <v>225</v>
      </c>
      <c r="Y98" s="129" t="str">
        <f t="shared" si="41"/>
        <v/>
      </c>
      <c r="Z98" s="145"/>
      <c r="BA98" s="75" t="e">
        <f t="shared" si="50"/>
        <v>#DIV/0!</v>
      </c>
      <c r="BB98" s="78"/>
      <c r="BC98" s="132"/>
      <c r="BD98" s="133"/>
      <c r="BE98" s="132"/>
      <c r="BF98" s="134"/>
      <c r="BG98" s="135"/>
      <c r="BH98" s="135"/>
      <c r="BI98" s="136"/>
      <c r="BJ98" s="136"/>
      <c r="BK98" s="136"/>
      <c r="BL98" s="136"/>
      <c r="BM98" s="137"/>
      <c r="BN98" s="137"/>
      <c r="BO98" s="75">
        <f>LOOKUP(D98,基础数据!A:D)</f>
        <v>3.53915880885741</v>
      </c>
      <c r="BP98" s="75">
        <f t="shared" si="52"/>
        <v>1.00524445538374</v>
      </c>
      <c r="BQ98" s="75">
        <f t="shared" si="42"/>
        <v>24</v>
      </c>
      <c r="BR98" s="272">
        <f t="shared" si="53"/>
        <v>27</v>
      </c>
      <c r="BS98" s="156">
        <f t="shared" si="43"/>
        <v>3.11</v>
      </c>
      <c r="BT98" s="1211">
        <v>0.06</v>
      </c>
      <c r="BU98" s="156">
        <f t="shared" si="44"/>
        <v>1.62</v>
      </c>
      <c r="BV98" s="156">
        <f t="shared" si="45"/>
        <v>0.13</v>
      </c>
      <c r="BW98" s="156">
        <f t="shared" si="51"/>
        <v>25</v>
      </c>
      <c r="BX98" s="156">
        <f t="shared" si="46"/>
        <v>7.58110882956879</v>
      </c>
      <c r="BY98" s="1207" t="s">
        <v>2806</v>
      </c>
      <c r="BZ98" s="272">
        <v>30</v>
      </c>
      <c r="CA98" s="186">
        <f t="shared" si="47"/>
        <v>0.75</v>
      </c>
      <c r="CB98" s="186">
        <f t="shared" si="48"/>
        <v>0.75</v>
      </c>
      <c r="CC98" s="186">
        <f t="shared" si="49"/>
        <v>0.75</v>
      </c>
      <c r="CD98" s="272"/>
      <c r="CF98" s="134"/>
      <c r="CG98" s="138"/>
      <c r="CH98" s="132"/>
      <c r="CI98" s="138"/>
      <c r="CJ98" s="132"/>
      <c r="CK98" s="132"/>
      <c r="CL98" s="134"/>
      <c r="CM98" s="146"/>
    </row>
    <row r="99" ht="15" customHeight="1" spans="1:91">
      <c r="A99" s="123">
        <f>IF(B99="","",COUNT(A$7:A98)+1)</f>
        <v>92</v>
      </c>
      <c r="B99" s="139" t="s">
        <v>2829</v>
      </c>
      <c r="C99" s="139" t="s">
        <v>2839</v>
      </c>
      <c r="D99" s="1209">
        <v>43100</v>
      </c>
      <c r="E99" s="1210">
        <v>73.8</v>
      </c>
      <c r="F99" s="219" t="s">
        <v>2770</v>
      </c>
      <c r="G99" s="142"/>
      <c r="H99" s="127"/>
      <c r="I99" s="128"/>
      <c r="J99" s="128"/>
      <c r="K99" s="980">
        <v>12</v>
      </c>
      <c r="L99" s="143"/>
      <c r="M99" s="143"/>
      <c r="N99" s="144"/>
      <c r="O99" s="144"/>
      <c r="P99" s="144"/>
      <c r="Q99" s="353">
        <f t="shared" si="33"/>
        <v>12</v>
      </c>
      <c r="R99" s="129">
        <f t="shared" si="34"/>
        <v>0</v>
      </c>
      <c r="S99" s="129">
        <f t="shared" si="35"/>
        <v>0</v>
      </c>
      <c r="T99" s="129">
        <f t="shared" si="36"/>
        <v>12</v>
      </c>
      <c r="U99" s="129">
        <f t="shared" si="37"/>
        <v>84</v>
      </c>
      <c r="V99" s="214">
        <f t="shared" si="38"/>
        <v>75</v>
      </c>
      <c r="W99" s="353">
        <f t="shared" si="39"/>
        <v>63</v>
      </c>
      <c r="X99" s="129">
        <f t="shared" si="40"/>
        <v>63</v>
      </c>
      <c r="Y99" s="129" t="str">
        <f t="shared" si="41"/>
        <v/>
      </c>
      <c r="Z99" s="145"/>
      <c r="BA99" s="75" t="e">
        <f t="shared" si="50"/>
        <v>#DIV/0!</v>
      </c>
      <c r="BB99" s="78"/>
      <c r="BC99" s="132"/>
      <c r="BD99" s="133"/>
      <c r="BE99" s="132"/>
      <c r="BF99" s="134"/>
      <c r="BG99" s="135"/>
      <c r="BH99" s="135"/>
      <c r="BI99" s="136"/>
      <c r="BJ99" s="136"/>
      <c r="BK99" s="136"/>
      <c r="BL99" s="136"/>
      <c r="BM99" s="137"/>
      <c r="BN99" s="137"/>
      <c r="BO99" s="75">
        <f>LOOKUP(D99,基础数据!A:D)</f>
        <v>3.53915880885741</v>
      </c>
      <c r="BP99" s="75">
        <f t="shared" si="52"/>
        <v>1.00524445538374</v>
      </c>
      <c r="BQ99" s="75">
        <f t="shared" si="42"/>
        <v>6</v>
      </c>
      <c r="BR99" s="272">
        <f t="shared" si="53"/>
        <v>7</v>
      </c>
      <c r="BS99" s="156">
        <f t="shared" si="43"/>
        <v>0.81</v>
      </c>
      <c r="BT99" s="1211">
        <v>0.06</v>
      </c>
      <c r="BU99" s="156">
        <f t="shared" si="44"/>
        <v>0.42</v>
      </c>
      <c r="BV99" s="156">
        <f t="shared" si="45"/>
        <v>0.03</v>
      </c>
      <c r="BW99" s="156">
        <f t="shared" si="51"/>
        <v>7</v>
      </c>
      <c r="BX99" s="156">
        <f t="shared" si="46"/>
        <v>7.58110882956879</v>
      </c>
      <c r="BY99" s="1207" t="s">
        <v>2806</v>
      </c>
      <c r="BZ99" s="272">
        <v>30</v>
      </c>
      <c r="CA99" s="186">
        <f t="shared" si="47"/>
        <v>0.75</v>
      </c>
      <c r="CB99" s="186">
        <f t="shared" si="48"/>
        <v>0.75</v>
      </c>
      <c r="CC99" s="186">
        <f t="shared" si="49"/>
        <v>0.75</v>
      </c>
      <c r="CD99" s="272"/>
      <c r="CF99" s="134"/>
      <c r="CG99" s="138"/>
      <c r="CH99" s="132"/>
      <c r="CI99" s="138"/>
      <c r="CJ99" s="132"/>
      <c r="CK99" s="132"/>
      <c r="CL99" s="134"/>
      <c r="CM99" s="146"/>
    </row>
    <row r="100" ht="15" customHeight="1" spans="1:91">
      <c r="A100" s="123">
        <f>IF(B100="","",COUNT(A$7:A99)+1)</f>
        <v>93</v>
      </c>
      <c r="B100" s="139" t="s">
        <v>2829</v>
      </c>
      <c r="C100" s="139" t="s">
        <v>2840</v>
      </c>
      <c r="D100" s="1209">
        <v>43100</v>
      </c>
      <c r="E100" s="1210">
        <v>1150.2</v>
      </c>
      <c r="F100" s="219" t="s">
        <v>2770</v>
      </c>
      <c r="G100" s="142"/>
      <c r="H100" s="127"/>
      <c r="I100" s="128"/>
      <c r="J100" s="128"/>
      <c r="K100" s="980">
        <v>20</v>
      </c>
      <c r="L100" s="143"/>
      <c r="M100" s="143"/>
      <c r="N100" s="144"/>
      <c r="O100" s="144"/>
      <c r="P100" s="144"/>
      <c r="Q100" s="353">
        <f t="shared" si="33"/>
        <v>20</v>
      </c>
      <c r="R100" s="129">
        <f t="shared" si="34"/>
        <v>0</v>
      </c>
      <c r="S100" s="129">
        <f t="shared" si="35"/>
        <v>0</v>
      </c>
      <c r="T100" s="129">
        <f t="shared" si="36"/>
        <v>20</v>
      </c>
      <c r="U100" s="129">
        <f t="shared" si="37"/>
        <v>1120</v>
      </c>
      <c r="V100" s="214">
        <f t="shared" si="38"/>
        <v>75</v>
      </c>
      <c r="W100" s="353">
        <f t="shared" si="39"/>
        <v>840</v>
      </c>
      <c r="X100" s="129">
        <f t="shared" si="40"/>
        <v>840</v>
      </c>
      <c r="Y100" s="129" t="str">
        <f t="shared" si="41"/>
        <v/>
      </c>
      <c r="Z100" s="145"/>
      <c r="BA100" s="75" t="e">
        <f t="shared" si="50"/>
        <v>#DIV/0!</v>
      </c>
      <c r="BB100" s="78"/>
      <c r="BC100" s="132"/>
      <c r="BD100" s="133"/>
      <c r="BE100" s="132"/>
      <c r="BF100" s="134"/>
      <c r="BG100" s="135"/>
      <c r="BH100" s="135"/>
      <c r="BI100" s="136"/>
      <c r="BJ100" s="136"/>
      <c r="BK100" s="136"/>
      <c r="BL100" s="136"/>
      <c r="BM100" s="137"/>
      <c r="BN100" s="137"/>
      <c r="BO100" s="75">
        <f>LOOKUP(D100,基础数据!A:D)</f>
        <v>3.53915880885741</v>
      </c>
      <c r="BP100" s="75">
        <f t="shared" si="52"/>
        <v>1.00524445538374</v>
      </c>
      <c r="BQ100" s="75">
        <f t="shared" si="42"/>
        <v>58</v>
      </c>
      <c r="BR100" s="272">
        <v>59.63</v>
      </c>
      <c r="BS100" s="156">
        <f t="shared" si="43"/>
        <v>6.86</v>
      </c>
      <c r="BT100" s="1211">
        <v>0.06</v>
      </c>
      <c r="BU100" s="156">
        <f t="shared" si="44"/>
        <v>3.58</v>
      </c>
      <c r="BV100" s="156">
        <f t="shared" si="45"/>
        <v>0.3</v>
      </c>
      <c r="BW100" s="156">
        <f t="shared" si="51"/>
        <v>56</v>
      </c>
      <c r="BX100" s="156">
        <f t="shared" si="46"/>
        <v>7.58110882956879</v>
      </c>
      <c r="BY100" s="1207" t="s">
        <v>2806</v>
      </c>
      <c r="BZ100" s="272">
        <v>30</v>
      </c>
      <c r="CA100" s="186">
        <f t="shared" si="47"/>
        <v>0.75</v>
      </c>
      <c r="CB100" s="186">
        <f t="shared" si="48"/>
        <v>0.75</v>
      </c>
      <c r="CC100" s="186">
        <f t="shared" si="49"/>
        <v>0.75</v>
      </c>
      <c r="CD100" s="1208" t="s">
        <v>2841</v>
      </c>
      <c r="CF100" s="134"/>
      <c r="CG100" s="138"/>
      <c r="CH100" s="132"/>
      <c r="CI100" s="138"/>
      <c r="CJ100" s="132"/>
      <c r="CK100" s="132"/>
      <c r="CL100" s="134"/>
      <c r="CM100" s="146"/>
    </row>
    <row r="101" ht="15" customHeight="1" spans="1:91">
      <c r="A101" s="123">
        <f>IF(B101="","",COUNT(A$7:A100)+1)</f>
        <v>94</v>
      </c>
      <c r="B101" s="139" t="s">
        <v>2829</v>
      </c>
      <c r="C101" s="139" t="s">
        <v>2839</v>
      </c>
      <c r="D101" s="1209">
        <v>43100</v>
      </c>
      <c r="E101" s="1210">
        <v>18.45</v>
      </c>
      <c r="F101" s="219" t="s">
        <v>2770</v>
      </c>
      <c r="G101" s="142"/>
      <c r="H101" s="127"/>
      <c r="I101" s="128"/>
      <c r="J101" s="128"/>
      <c r="K101" s="980">
        <v>3</v>
      </c>
      <c r="L101" s="143"/>
      <c r="M101" s="143"/>
      <c r="N101" s="144"/>
      <c r="O101" s="144"/>
      <c r="P101" s="144"/>
      <c r="Q101" s="353">
        <f t="shared" si="33"/>
        <v>3</v>
      </c>
      <c r="R101" s="129">
        <f t="shared" si="34"/>
        <v>0</v>
      </c>
      <c r="S101" s="129">
        <f t="shared" si="35"/>
        <v>0</v>
      </c>
      <c r="T101" s="129">
        <f t="shared" si="36"/>
        <v>3</v>
      </c>
      <c r="U101" s="129">
        <f t="shared" si="37"/>
        <v>21</v>
      </c>
      <c r="V101" s="214">
        <f t="shared" si="38"/>
        <v>75</v>
      </c>
      <c r="W101" s="353">
        <f t="shared" si="39"/>
        <v>15.75</v>
      </c>
      <c r="X101" s="129">
        <f t="shared" si="40"/>
        <v>15.75</v>
      </c>
      <c r="Y101" s="129" t="str">
        <f t="shared" si="41"/>
        <v/>
      </c>
      <c r="Z101" s="145"/>
      <c r="BA101" s="75" t="e">
        <f t="shared" si="50"/>
        <v>#DIV/0!</v>
      </c>
      <c r="BB101" s="78"/>
      <c r="BC101" s="132"/>
      <c r="BD101" s="133"/>
      <c r="BE101" s="132"/>
      <c r="BF101" s="134"/>
      <c r="BG101" s="135"/>
      <c r="BH101" s="135"/>
      <c r="BI101" s="136"/>
      <c r="BJ101" s="136"/>
      <c r="BK101" s="136"/>
      <c r="BL101" s="136"/>
      <c r="BM101" s="137"/>
      <c r="BN101" s="137"/>
      <c r="BO101" s="75">
        <f>LOOKUP(D101,基础数据!A:D)</f>
        <v>3.53915880885741</v>
      </c>
      <c r="BP101" s="75">
        <f t="shared" si="52"/>
        <v>1.00524445538374</v>
      </c>
      <c r="BQ101" s="75">
        <f t="shared" si="42"/>
        <v>6</v>
      </c>
      <c r="BR101" s="272">
        <f t="shared" ref="BR101:BR117" si="54">ROUND(BQ101*1.13,0)</f>
        <v>7</v>
      </c>
      <c r="BS101" s="156">
        <f t="shared" si="43"/>
        <v>0.81</v>
      </c>
      <c r="BT101" s="1211">
        <v>0.06</v>
      </c>
      <c r="BU101" s="156">
        <f t="shared" si="44"/>
        <v>0.42</v>
      </c>
      <c r="BV101" s="156">
        <f t="shared" si="45"/>
        <v>0.03</v>
      </c>
      <c r="BW101" s="156">
        <f t="shared" si="51"/>
        <v>7</v>
      </c>
      <c r="BX101" s="156">
        <f t="shared" si="46"/>
        <v>7.58110882956879</v>
      </c>
      <c r="BY101" s="1207" t="s">
        <v>2806</v>
      </c>
      <c r="BZ101" s="272">
        <v>30</v>
      </c>
      <c r="CA101" s="186">
        <f t="shared" si="47"/>
        <v>0.75</v>
      </c>
      <c r="CB101" s="186">
        <f t="shared" si="48"/>
        <v>0.75</v>
      </c>
      <c r="CC101" s="186">
        <f t="shared" si="49"/>
        <v>0.75</v>
      </c>
      <c r="CD101" s="272"/>
      <c r="CF101" s="134"/>
      <c r="CG101" s="138"/>
      <c r="CH101" s="132"/>
      <c r="CI101" s="138"/>
      <c r="CJ101" s="132"/>
      <c r="CK101" s="132"/>
      <c r="CL101" s="134"/>
      <c r="CM101" s="146"/>
    </row>
    <row r="102" ht="15" hidden="1" customHeight="1" spans="1:91">
      <c r="A102" s="123">
        <f>IF(B102="","",COUNT(A$7:A101)+1)</f>
        <v>95</v>
      </c>
      <c r="B102" s="139" t="s">
        <v>2835</v>
      </c>
      <c r="C102" s="139" t="s">
        <v>2842</v>
      </c>
      <c r="D102" s="1209">
        <v>44908</v>
      </c>
      <c r="E102" s="1210">
        <v>724.36</v>
      </c>
      <c r="F102" s="219" t="s">
        <v>2770</v>
      </c>
      <c r="G102" s="142"/>
      <c r="H102" s="127"/>
      <c r="I102" s="128"/>
      <c r="J102" s="128"/>
      <c r="K102" s="980">
        <v>28</v>
      </c>
      <c r="L102" s="143"/>
      <c r="M102" s="143"/>
      <c r="N102" s="144"/>
      <c r="O102" s="144"/>
      <c r="P102" s="144"/>
      <c r="Q102" s="353">
        <f t="shared" si="33"/>
        <v>28</v>
      </c>
      <c r="R102" s="129">
        <f t="shared" si="34"/>
        <v>0</v>
      </c>
      <c r="S102" s="129">
        <f t="shared" si="35"/>
        <v>0</v>
      </c>
      <c r="T102" s="129">
        <f t="shared" si="36"/>
        <v>28</v>
      </c>
      <c r="U102" s="129">
        <f t="shared" si="37"/>
        <v>672</v>
      </c>
      <c r="V102" s="214">
        <f t="shared" si="38"/>
        <v>91</v>
      </c>
      <c r="W102" s="353">
        <f t="shared" si="39"/>
        <v>611.52</v>
      </c>
      <c r="X102" s="129">
        <f t="shared" si="40"/>
        <v>611.52</v>
      </c>
      <c r="Y102" s="129" t="str">
        <f t="shared" si="41"/>
        <v/>
      </c>
      <c r="Z102" s="145"/>
      <c r="BA102" s="75" t="e">
        <f t="shared" si="50"/>
        <v>#DIV/0!</v>
      </c>
      <c r="BB102" s="78"/>
      <c r="BC102" s="132"/>
      <c r="BD102" s="133"/>
      <c r="BE102" s="132"/>
      <c r="BF102" s="134"/>
      <c r="BG102" s="135"/>
      <c r="BH102" s="135"/>
      <c r="BI102" s="136"/>
      <c r="BJ102" s="136"/>
      <c r="BK102" s="136"/>
      <c r="BL102" s="136"/>
      <c r="BM102" s="137"/>
      <c r="BN102" s="137"/>
      <c r="BO102" s="75">
        <f>LOOKUP(D102,基础数据!A:D)</f>
        <v>3.84333367100529</v>
      </c>
      <c r="BP102" s="75">
        <f t="shared" si="52"/>
        <v>0.92568589507761</v>
      </c>
      <c r="BQ102" s="75">
        <f t="shared" si="42"/>
        <v>24</v>
      </c>
      <c r="BR102" s="272">
        <f t="shared" si="54"/>
        <v>27</v>
      </c>
      <c r="BS102" s="156">
        <f t="shared" si="43"/>
        <v>3.11</v>
      </c>
      <c r="BT102" s="186">
        <v>0.01</v>
      </c>
      <c r="BU102" s="156">
        <f t="shared" si="44"/>
        <v>0.27</v>
      </c>
      <c r="BV102" s="156">
        <f t="shared" si="45"/>
        <v>0.02</v>
      </c>
      <c r="BW102" s="156">
        <f t="shared" si="51"/>
        <v>24</v>
      </c>
      <c r="BX102" s="156">
        <f t="shared" si="46"/>
        <v>2.63107460643395</v>
      </c>
      <c r="BY102" s="1207" t="s">
        <v>2806</v>
      </c>
      <c r="BZ102" s="272">
        <v>30</v>
      </c>
      <c r="CA102" s="186">
        <f t="shared" si="47"/>
        <v>0.91</v>
      </c>
      <c r="CB102" s="186">
        <f t="shared" si="48"/>
        <v>0.91</v>
      </c>
      <c r="CC102" s="186">
        <f t="shared" si="49"/>
        <v>0.91</v>
      </c>
      <c r="CD102" s="272"/>
      <c r="CF102" s="134"/>
      <c r="CG102" s="138"/>
      <c r="CH102" s="132"/>
      <c r="CI102" s="138"/>
      <c r="CJ102" s="132"/>
      <c r="CK102" s="132"/>
      <c r="CL102" s="134"/>
      <c r="CM102" s="146"/>
    </row>
    <row r="103" ht="15" hidden="1" customHeight="1" spans="1:91">
      <c r="A103" s="123">
        <f>IF(B103="","",COUNT(A$7:A102)+1)</f>
        <v>96</v>
      </c>
      <c r="B103" s="139" t="s">
        <v>2835</v>
      </c>
      <c r="C103" s="139" t="s">
        <v>2842</v>
      </c>
      <c r="D103" s="1209">
        <v>44908</v>
      </c>
      <c r="E103" s="1210">
        <v>517.4</v>
      </c>
      <c r="F103" s="219" t="s">
        <v>2770</v>
      </c>
      <c r="G103" s="142"/>
      <c r="H103" s="127"/>
      <c r="I103" s="128"/>
      <c r="J103" s="128"/>
      <c r="K103" s="980">
        <v>20</v>
      </c>
      <c r="L103" s="143"/>
      <c r="M103" s="143"/>
      <c r="N103" s="144"/>
      <c r="O103" s="144"/>
      <c r="P103" s="144"/>
      <c r="Q103" s="353">
        <f t="shared" si="33"/>
        <v>20</v>
      </c>
      <c r="R103" s="129">
        <f t="shared" si="34"/>
        <v>0</v>
      </c>
      <c r="S103" s="129">
        <f t="shared" si="35"/>
        <v>0</v>
      </c>
      <c r="T103" s="129">
        <f t="shared" si="36"/>
        <v>20</v>
      </c>
      <c r="U103" s="129">
        <f t="shared" si="37"/>
        <v>480</v>
      </c>
      <c r="V103" s="214">
        <f t="shared" si="38"/>
        <v>91</v>
      </c>
      <c r="W103" s="353">
        <f t="shared" si="39"/>
        <v>436.8</v>
      </c>
      <c r="X103" s="129">
        <f t="shared" si="40"/>
        <v>436.8</v>
      </c>
      <c r="Y103" s="129" t="str">
        <f t="shared" si="41"/>
        <v/>
      </c>
      <c r="Z103" s="145"/>
      <c r="BA103" s="75" t="e">
        <f t="shared" si="50"/>
        <v>#DIV/0!</v>
      </c>
      <c r="BB103" s="78"/>
      <c r="BC103" s="132"/>
      <c r="BD103" s="133"/>
      <c r="BE103" s="132"/>
      <c r="BF103" s="134"/>
      <c r="BG103" s="135"/>
      <c r="BH103" s="135"/>
      <c r="BI103" s="136"/>
      <c r="BJ103" s="136"/>
      <c r="BK103" s="136"/>
      <c r="BL103" s="136"/>
      <c r="BM103" s="137"/>
      <c r="BN103" s="137"/>
      <c r="BO103" s="75">
        <f>LOOKUP(D103,基础数据!A:D)</f>
        <v>3.84333367100529</v>
      </c>
      <c r="BP103" s="75">
        <f t="shared" si="52"/>
        <v>0.92568589507761</v>
      </c>
      <c r="BQ103" s="75">
        <f t="shared" si="42"/>
        <v>24</v>
      </c>
      <c r="BR103" s="272">
        <f t="shared" si="54"/>
        <v>27</v>
      </c>
      <c r="BS103" s="156">
        <f t="shared" si="43"/>
        <v>3.11</v>
      </c>
      <c r="BT103" s="186">
        <v>0.01</v>
      </c>
      <c r="BU103" s="156">
        <f t="shared" si="44"/>
        <v>0.27</v>
      </c>
      <c r="BV103" s="156">
        <f t="shared" si="45"/>
        <v>0.02</v>
      </c>
      <c r="BW103" s="156">
        <f t="shared" si="51"/>
        <v>24</v>
      </c>
      <c r="BX103" s="156">
        <f t="shared" si="46"/>
        <v>2.63107460643395</v>
      </c>
      <c r="BY103" s="1207" t="s">
        <v>2806</v>
      </c>
      <c r="BZ103" s="272">
        <v>30</v>
      </c>
      <c r="CA103" s="186">
        <f t="shared" si="47"/>
        <v>0.91</v>
      </c>
      <c r="CB103" s="186">
        <f t="shared" si="48"/>
        <v>0.91</v>
      </c>
      <c r="CC103" s="186">
        <f t="shared" si="49"/>
        <v>0.91</v>
      </c>
      <c r="CD103" s="272"/>
      <c r="CF103" s="134"/>
      <c r="CG103" s="138"/>
      <c r="CH103" s="132"/>
      <c r="CI103" s="138"/>
      <c r="CJ103" s="132"/>
      <c r="CK103" s="132"/>
      <c r="CL103" s="134"/>
      <c r="CM103" s="146"/>
    </row>
    <row r="104" ht="15" hidden="1" customHeight="1" spans="1:91">
      <c r="A104" s="123">
        <f>IF(B104="","",COUNT(A$7:A103)+1)</f>
        <v>97</v>
      </c>
      <c r="B104" s="139" t="s">
        <v>2835</v>
      </c>
      <c r="C104" s="139" t="s">
        <v>2842</v>
      </c>
      <c r="D104" s="1209">
        <v>44908</v>
      </c>
      <c r="E104" s="1210">
        <v>465.66</v>
      </c>
      <c r="F104" s="219" t="s">
        <v>2770</v>
      </c>
      <c r="G104" s="142"/>
      <c r="H104" s="127"/>
      <c r="I104" s="128"/>
      <c r="J104" s="128"/>
      <c r="K104" s="980">
        <v>18</v>
      </c>
      <c r="L104" s="143"/>
      <c r="M104" s="143"/>
      <c r="N104" s="144"/>
      <c r="O104" s="144"/>
      <c r="P104" s="144"/>
      <c r="Q104" s="353">
        <f t="shared" si="33"/>
        <v>18</v>
      </c>
      <c r="R104" s="129">
        <f t="shared" si="34"/>
        <v>0</v>
      </c>
      <c r="S104" s="129">
        <f t="shared" si="35"/>
        <v>0</v>
      </c>
      <c r="T104" s="129">
        <f t="shared" si="36"/>
        <v>18</v>
      </c>
      <c r="U104" s="129">
        <f t="shared" si="37"/>
        <v>432</v>
      </c>
      <c r="V104" s="214">
        <f t="shared" si="38"/>
        <v>91</v>
      </c>
      <c r="W104" s="353">
        <f t="shared" si="39"/>
        <v>393.12</v>
      </c>
      <c r="X104" s="129">
        <f t="shared" si="40"/>
        <v>393.12</v>
      </c>
      <c r="Y104" s="129" t="str">
        <f t="shared" si="41"/>
        <v/>
      </c>
      <c r="Z104" s="145"/>
      <c r="BA104" s="75" t="e">
        <f t="shared" si="50"/>
        <v>#DIV/0!</v>
      </c>
      <c r="BB104" s="78"/>
      <c r="BC104" s="132"/>
      <c r="BD104" s="133"/>
      <c r="BE104" s="132"/>
      <c r="BF104" s="134"/>
      <c r="BG104" s="135"/>
      <c r="BH104" s="135"/>
      <c r="BI104" s="136"/>
      <c r="BJ104" s="136"/>
      <c r="BK104" s="136"/>
      <c r="BL104" s="136"/>
      <c r="BM104" s="137"/>
      <c r="BN104" s="137"/>
      <c r="BO104" s="75">
        <f>LOOKUP(D104,基础数据!A:D)</f>
        <v>3.84333367100529</v>
      </c>
      <c r="BP104" s="75">
        <f t="shared" si="52"/>
        <v>0.92568589507761</v>
      </c>
      <c r="BQ104" s="75">
        <f t="shared" si="42"/>
        <v>24</v>
      </c>
      <c r="BR104" s="272">
        <f t="shared" si="54"/>
        <v>27</v>
      </c>
      <c r="BS104" s="156">
        <f t="shared" si="43"/>
        <v>3.11</v>
      </c>
      <c r="BT104" s="186">
        <v>0.01</v>
      </c>
      <c r="BU104" s="156">
        <f t="shared" si="44"/>
        <v>0.27</v>
      </c>
      <c r="BV104" s="156">
        <f t="shared" si="45"/>
        <v>0.02</v>
      </c>
      <c r="BW104" s="156">
        <f t="shared" si="51"/>
        <v>24</v>
      </c>
      <c r="BX104" s="156">
        <f t="shared" si="46"/>
        <v>2.63107460643395</v>
      </c>
      <c r="BY104" s="1207" t="s">
        <v>2806</v>
      </c>
      <c r="BZ104" s="272">
        <v>30</v>
      </c>
      <c r="CA104" s="186">
        <f t="shared" si="47"/>
        <v>0.91</v>
      </c>
      <c r="CB104" s="186">
        <f t="shared" si="48"/>
        <v>0.91</v>
      </c>
      <c r="CC104" s="186">
        <f t="shared" si="49"/>
        <v>0.91</v>
      </c>
      <c r="CD104" s="272"/>
      <c r="CF104" s="134"/>
      <c r="CG104" s="138"/>
      <c r="CH104" s="132"/>
      <c r="CI104" s="138"/>
      <c r="CJ104" s="132"/>
      <c r="CK104" s="132"/>
      <c r="CL104" s="134"/>
      <c r="CM104" s="146"/>
    </row>
    <row r="105" ht="15" hidden="1" customHeight="1" spans="1:91">
      <c r="A105" s="123">
        <f>IF(B105="","",COUNT(A$7:A104)+1)</f>
        <v>98</v>
      </c>
      <c r="B105" s="139" t="s">
        <v>2835</v>
      </c>
      <c r="C105" s="139" t="s">
        <v>2842</v>
      </c>
      <c r="D105" s="1209">
        <v>44908</v>
      </c>
      <c r="E105" s="1210">
        <v>413.92</v>
      </c>
      <c r="F105" s="219" t="s">
        <v>2770</v>
      </c>
      <c r="G105" s="142"/>
      <c r="H105" s="127"/>
      <c r="I105" s="128"/>
      <c r="J105" s="128"/>
      <c r="K105" s="980">
        <v>16</v>
      </c>
      <c r="L105" s="143"/>
      <c r="M105" s="143"/>
      <c r="N105" s="144"/>
      <c r="O105" s="144"/>
      <c r="P105" s="144"/>
      <c r="Q105" s="353">
        <f t="shared" si="33"/>
        <v>16</v>
      </c>
      <c r="R105" s="129">
        <f t="shared" si="34"/>
        <v>0</v>
      </c>
      <c r="S105" s="129">
        <f t="shared" si="35"/>
        <v>0</v>
      </c>
      <c r="T105" s="129">
        <f t="shared" si="36"/>
        <v>16</v>
      </c>
      <c r="U105" s="129">
        <f t="shared" si="37"/>
        <v>384</v>
      </c>
      <c r="V105" s="214">
        <f t="shared" si="38"/>
        <v>91</v>
      </c>
      <c r="W105" s="353">
        <f t="shared" si="39"/>
        <v>349.44</v>
      </c>
      <c r="X105" s="129">
        <f t="shared" si="40"/>
        <v>349.44</v>
      </c>
      <c r="Y105" s="129" t="str">
        <f t="shared" si="41"/>
        <v/>
      </c>
      <c r="Z105" s="145"/>
      <c r="BA105" s="75" t="e">
        <f t="shared" si="50"/>
        <v>#DIV/0!</v>
      </c>
      <c r="BB105" s="78"/>
      <c r="BC105" s="132"/>
      <c r="BD105" s="133"/>
      <c r="BE105" s="132"/>
      <c r="BF105" s="134"/>
      <c r="BG105" s="135"/>
      <c r="BH105" s="135"/>
      <c r="BI105" s="136"/>
      <c r="BJ105" s="136"/>
      <c r="BK105" s="136"/>
      <c r="BL105" s="136"/>
      <c r="BM105" s="137"/>
      <c r="BN105" s="137"/>
      <c r="BO105" s="75">
        <f>LOOKUP(D105,基础数据!A:D)</f>
        <v>3.84333367100529</v>
      </c>
      <c r="BP105" s="75">
        <f t="shared" si="52"/>
        <v>0.92568589507761</v>
      </c>
      <c r="BQ105" s="75">
        <f t="shared" si="42"/>
        <v>24</v>
      </c>
      <c r="BR105" s="272">
        <f t="shared" si="54"/>
        <v>27</v>
      </c>
      <c r="BS105" s="156">
        <f t="shared" si="43"/>
        <v>3.11</v>
      </c>
      <c r="BT105" s="186">
        <v>0.01</v>
      </c>
      <c r="BU105" s="156">
        <f t="shared" si="44"/>
        <v>0.27</v>
      </c>
      <c r="BV105" s="156">
        <f t="shared" si="45"/>
        <v>0.02</v>
      </c>
      <c r="BW105" s="156">
        <f t="shared" si="51"/>
        <v>24</v>
      </c>
      <c r="BX105" s="156">
        <f t="shared" si="46"/>
        <v>2.63107460643395</v>
      </c>
      <c r="BY105" s="1207" t="s">
        <v>2806</v>
      </c>
      <c r="BZ105" s="272">
        <v>30</v>
      </c>
      <c r="CA105" s="186">
        <f t="shared" si="47"/>
        <v>0.91</v>
      </c>
      <c r="CB105" s="186">
        <f t="shared" si="48"/>
        <v>0.91</v>
      </c>
      <c r="CC105" s="186">
        <f t="shared" si="49"/>
        <v>0.91</v>
      </c>
      <c r="CD105" s="272"/>
      <c r="CF105" s="134"/>
      <c r="CG105" s="138"/>
      <c r="CH105" s="132"/>
      <c r="CI105" s="138"/>
      <c r="CJ105" s="132"/>
      <c r="CK105" s="132"/>
      <c r="CL105" s="134"/>
      <c r="CM105" s="146"/>
    </row>
    <row r="106" ht="15" hidden="1" customHeight="1" spans="1:91">
      <c r="A106" s="123">
        <f>IF(B106="","",COUNT(A$7:A105)+1)</f>
        <v>99</v>
      </c>
      <c r="B106" s="139" t="s">
        <v>2835</v>
      </c>
      <c r="C106" s="139" t="s">
        <v>2842</v>
      </c>
      <c r="D106" s="1209">
        <v>44908</v>
      </c>
      <c r="E106" s="1210">
        <v>3104.4</v>
      </c>
      <c r="F106" s="219" t="s">
        <v>2770</v>
      </c>
      <c r="G106" s="142"/>
      <c r="H106" s="127"/>
      <c r="I106" s="128"/>
      <c r="J106" s="128"/>
      <c r="K106" s="980">
        <v>120</v>
      </c>
      <c r="L106" s="143"/>
      <c r="M106" s="143"/>
      <c r="N106" s="144"/>
      <c r="O106" s="144"/>
      <c r="P106" s="144"/>
      <c r="Q106" s="353">
        <f t="shared" si="33"/>
        <v>120</v>
      </c>
      <c r="R106" s="129">
        <f t="shared" si="34"/>
        <v>0</v>
      </c>
      <c r="S106" s="129">
        <f t="shared" si="35"/>
        <v>0</v>
      </c>
      <c r="T106" s="129">
        <f t="shared" si="36"/>
        <v>120</v>
      </c>
      <c r="U106" s="129">
        <f t="shared" si="37"/>
        <v>2880</v>
      </c>
      <c r="V106" s="214">
        <f t="shared" si="38"/>
        <v>91</v>
      </c>
      <c r="W106" s="353">
        <f t="shared" si="39"/>
        <v>2620.8</v>
      </c>
      <c r="X106" s="129">
        <f t="shared" si="40"/>
        <v>2620.8</v>
      </c>
      <c r="Y106" s="129" t="str">
        <f t="shared" si="41"/>
        <v/>
      </c>
      <c r="Z106" s="145"/>
      <c r="BA106" s="75" t="e">
        <f t="shared" si="50"/>
        <v>#DIV/0!</v>
      </c>
      <c r="BB106" s="78"/>
      <c r="BC106" s="132"/>
      <c r="BD106" s="133"/>
      <c r="BE106" s="132"/>
      <c r="BF106" s="134"/>
      <c r="BG106" s="135"/>
      <c r="BH106" s="135"/>
      <c r="BI106" s="136"/>
      <c r="BJ106" s="136"/>
      <c r="BK106" s="136"/>
      <c r="BL106" s="136"/>
      <c r="BM106" s="137"/>
      <c r="BN106" s="137"/>
      <c r="BO106" s="75">
        <f>LOOKUP(D106,基础数据!A:D)</f>
        <v>3.84333367100529</v>
      </c>
      <c r="BP106" s="75">
        <f t="shared" si="52"/>
        <v>0.92568589507761</v>
      </c>
      <c r="BQ106" s="75">
        <f t="shared" si="42"/>
        <v>24</v>
      </c>
      <c r="BR106" s="272">
        <f t="shared" si="54"/>
        <v>27</v>
      </c>
      <c r="BS106" s="156">
        <f t="shared" si="43"/>
        <v>3.11</v>
      </c>
      <c r="BT106" s="186">
        <v>0.01</v>
      </c>
      <c r="BU106" s="156">
        <f t="shared" si="44"/>
        <v>0.27</v>
      </c>
      <c r="BV106" s="156">
        <f t="shared" si="45"/>
        <v>0.02</v>
      </c>
      <c r="BW106" s="156">
        <f t="shared" si="51"/>
        <v>24</v>
      </c>
      <c r="BX106" s="156">
        <f t="shared" si="46"/>
        <v>2.63107460643395</v>
      </c>
      <c r="BY106" s="1207" t="s">
        <v>2806</v>
      </c>
      <c r="BZ106" s="272">
        <v>30</v>
      </c>
      <c r="CA106" s="186">
        <f t="shared" si="47"/>
        <v>0.91</v>
      </c>
      <c r="CB106" s="186">
        <f t="shared" si="48"/>
        <v>0.91</v>
      </c>
      <c r="CC106" s="186">
        <f t="shared" si="49"/>
        <v>0.91</v>
      </c>
      <c r="CD106" s="272"/>
      <c r="CF106" s="134"/>
      <c r="CG106" s="138"/>
      <c r="CH106" s="132"/>
      <c r="CI106" s="138"/>
      <c r="CJ106" s="132"/>
      <c r="CK106" s="132"/>
      <c r="CL106" s="134"/>
      <c r="CM106" s="146"/>
    </row>
    <row r="107" ht="15" hidden="1" customHeight="1" spans="1:91">
      <c r="A107" s="123">
        <f>IF(B107="","",COUNT(A$7:A106)+1)</f>
        <v>100</v>
      </c>
      <c r="B107" s="139" t="s">
        <v>2835</v>
      </c>
      <c r="C107" s="139" t="s">
        <v>2836</v>
      </c>
      <c r="D107" s="1209">
        <v>43100</v>
      </c>
      <c r="E107" s="1210">
        <v>197.26</v>
      </c>
      <c r="F107" s="219" t="s">
        <v>2770</v>
      </c>
      <c r="G107" s="142"/>
      <c r="H107" s="127"/>
      <c r="I107" s="128"/>
      <c r="J107" s="128"/>
      <c r="K107" s="980">
        <v>14</v>
      </c>
      <c r="L107" s="143"/>
      <c r="M107" s="143"/>
      <c r="N107" s="144"/>
      <c r="O107" s="144"/>
      <c r="P107" s="144"/>
      <c r="Q107" s="353">
        <f t="shared" si="33"/>
        <v>14</v>
      </c>
      <c r="R107" s="129">
        <f t="shared" si="34"/>
        <v>0</v>
      </c>
      <c r="S107" s="129">
        <f t="shared" si="35"/>
        <v>0</v>
      </c>
      <c r="T107" s="129">
        <f t="shared" si="36"/>
        <v>14</v>
      </c>
      <c r="U107" s="129">
        <f t="shared" si="37"/>
        <v>196</v>
      </c>
      <c r="V107" s="214">
        <f t="shared" si="38"/>
        <v>75</v>
      </c>
      <c r="W107" s="353">
        <f t="shared" si="39"/>
        <v>147</v>
      </c>
      <c r="X107" s="129">
        <f t="shared" si="40"/>
        <v>147</v>
      </c>
      <c r="Y107" s="129" t="str">
        <f t="shared" si="41"/>
        <v/>
      </c>
      <c r="Z107" s="145"/>
      <c r="BA107" s="75" t="e">
        <f t="shared" si="50"/>
        <v>#DIV/0!</v>
      </c>
      <c r="BB107" s="78"/>
      <c r="BC107" s="132"/>
      <c r="BD107" s="133"/>
      <c r="BE107" s="132"/>
      <c r="BF107" s="134"/>
      <c r="BG107" s="135"/>
      <c r="BH107" s="135"/>
      <c r="BI107" s="136"/>
      <c r="BJ107" s="136"/>
      <c r="BK107" s="136"/>
      <c r="BL107" s="136"/>
      <c r="BM107" s="137"/>
      <c r="BN107" s="137"/>
      <c r="BO107" s="75">
        <f>LOOKUP(D107,基础数据!A:D)</f>
        <v>3.53915880885741</v>
      </c>
      <c r="BP107" s="75">
        <f t="shared" si="52"/>
        <v>1.00524445538374</v>
      </c>
      <c r="BQ107" s="75">
        <f t="shared" si="42"/>
        <v>14</v>
      </c>
      <c r="BR107" s="272">
        <f t="shared" si="54"/>
        <v>16</v>
      </c>
      <c r="BS107" s="156">
        <f t="shared" si="43"/>
        <v>1.84</v>
      </c>
      <c r="BT107" s="186">
        <v>0.01</v>
      </c>
      <c r="BU107" s="156">
        <f t="shared" si="44"/>
        <v>0.16</v>
      </c>
      <c r="BV107" s="156">
        <f t="shared" si="45"/>
        <v>0.01</v>
      </c>
      <c r="BW107" s="156">
        <f t="shared" si="51"/>
        <v>14</v>
      </c>
      <c r="BX107" s="156">
        <f t="shared" si="46"/>
        <v>7.58110882956879</v>
      </c>
      <c r="BY107" s="1207" t="s">
        <v>2806</v>
      </c>
      <c r="BZ107" s="272">
        <v>30</v>
      </c>
      <c r="CA107" s="186">
        <f t="shared" si="47"/>
        <v>0.75</v>
      </c>
      <c r="CB107" s="186">
        <f t="shared" si="48"/>
        <v>0.75</v>
      </c>
      <c r="CC107" s="186">
        <f t="shared" si="49"/>
        <v>0.75</v>
      </c>
      <c r="CD107" s="272"/>
      <c r="CF107" s="134"/>
      <c r="CG107" s="138"/>
      <c r="CH107" s="132"/>
      <c r="CI107" s="138"/>
      <c r="CJ107" s="132"/>
      <c r="CK107" s="132"/>
      <c r="CL107" s="134"/>
      <c r="CM107" s="146"/>
    </row>
    <row r="108" ht="15" customHeight="1" spans="1:91">
      <c r="A108" s="123">
        <f>IF(B108="","",COUNT(A$7:A107)+1)</f>
        <v>101</v>
      </c>
      <c r="B108" s="139" t="s">
        <v>2829</v>
      </c>
      <c r="C108" s="139" t="s">
        <v>2839</v>
      </c>
      <c r="D108" s="1209">
        <v>43100</v>
      </c>
      <c r="E108" s="1210">
        <v>184.5</v>
      </c>
      <c r="F108" s="219" t="s">
        <v>2770</v>
      </c>
      <c r="G108" s="142"/>
      <c r="H108" s="127"/>
      <c r="I108" s="128"/>
      <c r="J108" s="128"/>
      <c r="K108" s="980">
        <v>30</v>
      </c>
      <c r="L108" s="143"/>
      <c r="M108" s="143"/>
      <c r="N108" s="144"/>
      <c r="O108" s="144"/>
      <c r="P108" s="144"/>
      <c r="Q108" s="353">
        <f t="shared" si="33"/>
        <v>30</v>
      </c>
      <c r="R108" s="129">
        <f t="shared" si="34"/>
        <v>0</v>
      </c>
      <c r="S108" s="129">
        <f t="shared" si="35"/>
        <v>0</v>
      </c>
      <c r="T108" s="129">
        <f t="shared" si="36"/>
        <v>30</v>
      </c>
      <c r="U108" s="129">
        <f t="shared" si="37"/>
        <v>210</v>
      </c>
      <c r="V108" s="214">
        <f t="shared" si="38"/>
        <v>75</v>
      </c>
      <c r="W108" s="353">
        <f t="shared" si="39"/>
        <v>157.5</v>
      </c>
      <c r="X108" s="129">
        <f t="shared" si="40"/>
        <v>157.5</v>
      </c>
      <c r="Y108" s="129" t="str">
        <f t="shared" si="41"/>
        <v/>
      </c>
      <c r="Z108" s="145"/>
      <c r="BA108" s="75" t="e">
        <f t="shared" si="50"/>
        <v>#DIV/0!</v>
      </c>
      <c r="BB108" s="78"/>
      <c r="BC108" s="132"/>
      <c r="BD108" s="133"/>
      <c r="BE108" s="132"/>
      <c r="BF108" s="134"/>
      <c r="BG108" s="135"/>
      <c r="BH108" s="135"/>
      <c r="BI108" s="136"/>
      <c r="BJ108" s="136"/>
      <c r="BK108" s="136"/>
      <c r="BL108" s="136"/>
      <c r="BM108" s="137"/>
      <c r="BN108" s="137"/>
      <c r="BO108" s="75">
        <f>LOOKUP(D108,基础数据!A:D)</f>
        <v>3.53915880885741</v>
      </c>
      <c r="BP108" s="75">
        <f t="shared" si="52"/>
        <v>1.00524445538374</v>
      </c>
      <c r="BQ108" s="75">
        <f t="shared" si="42"/>
        <v>6</v>
      </c>
      <c r="BR108" s="272">
        <f t="shared" si="54"/>
        <v>7</v>
      </c>
      <c r="BS108" s="156">
        <f t="shared" si="43"/>
        <v>0.81</v>
      </c>
      <c r="BT108" s="1211">
        <v>0.06</v>
      </c>
      <c r="BU108" s="156">
        <f t="shared" si="44"/>
        <v>0.42</v>
      </c>
      <c r="BV108" s="156">
        <f t="shared" si="45"/>
        <v>0.03</v>
      </c>
      <c r="BW108" s="156">
        <f t="shared" si="51"/>
        <v>7</v>
      </c>
      <c r="BX108" s="156">
        <f t="shared" si="46"/>
        <v>7.58110882956879</v>
      </c>
      <c r="BY108" s="1207" t="s">
        <v>2806</v>
      </c>
      <c r="BZ108" s="272">
        <v>30</v>
      </c>
      <c r="CA108" s="186">
        <f t="shared" si="47"/>
        <v>0.75</v>
      </c>
      <c r="CB108" s="186">
        <f t="shared" si="48"/>
        <v>0.75</v>
      </c>
      <c r="CC108" s="186">
        <f t="shared" si="49"/>
        <v>0.75</v>
      </c>
      <c r="CD108" s="272"/>
      <c r="CF108" s="134"/>
      <c r="CG108" s="138"/>
      <c r="CH108" s="132"/>
      <c r="CI108" s="138"/>
      <c r="CJ108" s="132"/>
      <c r="CK108" s="132"/>
      <c r="CL108" s="134"/>
      <c r="CM108" s="146"/>
    </row>
    <row r="109" ht="15" hidden="1" customHeight="1" spans="1:91">
      <c r="A109" s="123">
        <f>IF(B109="","",COUNT(A$7:A108)+1)</f>
        <v>102</v>
      </c>
      <c r="B109" s="139" t="s">
        <v>2835</v>
      </c>
      <c r="C109" s="139" t="s">
        <v>2842</v>
      </c>
      <c r="D109" s="1209">
        <v>44908</v>
      </c>
      <c r="E109" s="1210">
        <v>517.4</v>
      </c>
      <c r="F109" s="219" t="s">
        <v>2770</v>
      </c>
      <c r="G109" s="142"/>
      <c r="H109" s="127"/>
      <c r="I109" s="128"/>
      <c r="J109" s="128"/>
      <c r="K109" s="980">
        <v>20</v>
      </c>
      <c r="L109" s="143"/>
      <c r="M109" s="143"/>
      <c r="N109" s="144"/>
      <c r="O109" s="144"/>
      <c r="P109" s="144"/>
      <c r="Q109" s="353">
        <f t="shared" si="33"/>
        <v>20</v>
      </c>
      <c r="R109" s="129">
        <f t="shared" si="34"/>
        <v>0</v>
      </c>
      <c r="S109" s="129">
        <f t="shared" si="35"/>
        <v>0</v>
      </c>
      <c r="T109" s="129">
        <f t="shared" si="36"/>
        <v>20</v>
      </c>
      <c r="U109" s="129">
        <f t="shared" si="37"/>
        <v>480</v>
      </c>
      <c r="V109" s="214">
        <f t="shared" si="38"/>
        <v>91</v>
      </c>
      <c r="W109" s="353">
        <f t="shared" si="39"/>
        <v>436.8</v>
      </c>
      <c r="X109" s="129">
        <f t="shared" si="40"/>
        <v>436.8</v>
      </c>
      <c r="Y109" s="129" t="str">
        <f t="shared" si="41"/>
        <v/>
      </c>
      <c r="Z109" s="145"/>
      <c r="BA109" s="75" t="e">
        <f t="shared" si="50"/>
        <v>#DIV/0!</v>
      </c>
      <c r="BB109" s="78"/>
      <c r="BC109" s="132"/>
      <c r="BD109" s="133"/>
      <c r="BE109" s="132"/>
      <c r="BF109" s="134"/>
      <c r="BG109" s="135"/>
      <c r="BH109" s="135"/>
      <c r="BI109" s="136"/>
      <c r="BJ109" s="136"/>
      <c r="BK109" s="136"/>
      <c r="BL109" s="136"/>
      <c r="BM109" s="137"/>
      <c r="BN109" s="137"/>
      <c r="BO109" s="75">
        <f>LOOKUP(D109,基础数据!A:D)</f>
        <v>3.84333367100529</v>
      </c>
      <c r="BP109" s="75">
        <f t="shared" si="52"/>
        <v>0.92568589507761</v>
      </c>
      <c r="BQ109" s="75">
        <f t="shared" si="42"/>
        <v>24</v>
      </c>
      <c r="BR109" s="272">
        <f t="shared" si="54"/>
        <v>27</v>
      </c>
      <c r="BS109" s="156">
        <f t="shared" si="43"/>
        <v>3.11</v>
      </c>
      <c r="BT109" s="186">
        <v>0.01</v>
      </c>
      <c r="BU109" s="156">
        <f t="shared" si="44"/>
        <v>0.27</v>
      </c>
      <c r="BV109" s="156">
        <f t="shared" si="45"/>
        <v>0.02</v>
      </c>
      <c r="BW109" s="156">
        <f t="shared" si="51"/>
        <v>24</v>
      </c>
      <c r="BX109" s="156">
        <f t="shared" si="46"/>
        <v>2.63107460643395</v>
      </c>
      <c r="BY109" s="1207" t="s">
        <v>2806</v>
      </c>
      <c r="BZ109" s="272">
        <v>30</v>
      </c>
      <c r="CA109" s="186">
        <f t="shared" si="47"/>
        <v>0.91</v>
      </c>
      <c r="CB109" s="186">
        <f t="shared" si="48"/>
        <v>0.91</v>
      </c>
      <c r="CC109" s="186">
        <f t="shared" si="49"/>
        <v>0.91</v>
      </c>
      <c r="CD109" s="272"/>
      <c r="CF109" s="134"/>
      <c r="CG109" s="138"/>
      <c r="CH109" s="132"/>
      <c r="CI109" s="138"/>
      <c r="CJ109" s="132"/>
      <c r="CK109" s="132"/>
      <c r="CL109" s="134"/>
      <c r="CM109" s="146"/>
    </row>
    <row r="110" ht="15" hidden="1" customHeight="1" spans="1:91">
      <c r="A110" s="123">
        <f>IF(B110="","",COUNT(A$7:A109)+1)</f>
        <v>103</v>
      </c>
      <c r="B110" s="139" t="s">
        <v>2835</v>
      </c>
      <c r="C110" s="139" t="s">
        <v>2842</v>
      </c>
      <c r="D110" s="1209">
        <v>44908</v>
      </c>
      <c r="E110" s="1210">
        <v>258.7</v>
      </c>
      <c r="F110" s="219" t="s">
        <v>2770</v>
      </c>
      <c r="G110" s="142"/>
      <c r="H110" s="127"/>
      <c r="I110" s="128"/>
      <c r="J110" s="128"/>
      <c r="K110" s="980">
        <v>10</v>
      </c>
      <c r="L110" s="143"/>
      <c r="M110" s="143"/>
      <c r="N110" s="144"/>
      <c r="O110" s="144"/>
      <c r="P110" s="144"/>
      <c r="Q110" s="353">
        <f t="shared" si="33"/>
        <v>10</v>
      </c>
      <c r="R110" s="129">
        <f t="shared" si="34"/>
        <v>0</v>
      </c>
      <c r="S110" s="129">
        <f t="shared" si="35"/>
        <v>0</v>
      </c>
      <c r="T110" s="129">
        <f t="shared" si="36"/>
        <v>10</v>
      </c>
      <c r="U110" s="129">
        <f t="shared" si="37"/>
        <v>240</v>
      </c>
      <c r="V110" s="214">
        <f t="shared" si="38"/>
        <v>91</v>
      </c>
      <c r="W110" s="353">
        <f t="shared" si="39"/>
        <v>218.4</v>
      </c>
      <c r="X110" s="129">
        <f t="shared" si="40"/>
        <v>218.4</v>
      </c>
      <c r="Y110" s="129" t="str">
        <f t="shared" si="41"/>
        <v/>
      </c>
      <c r="Z110" s="145"/>
      <c r="BA110" s="75" t="e">
        <f t="shared" si="50"/>
        <v>#DIV/0!</v>
      </c>
      <c r="BB110" s="78"/>
      <c r="BC110" s="132"/>
      <c r="BD110" s="133"/>
      <c r="BE110" s="132"/>
      <c r="BF110" s="134"/>
      <c r="BG110" s="135"/>
      <c r="BH110" s="135"/>
      <c r="BI110" s="136"/>
      <c r="BJ110" s="136"/>
      <c r="BK110" s="136"/>
      <c r="BL110" s="136"/>
      <c r="BM110" s="137"/>
      <c r="BN110" s="137"/>
      <c r="BO110" s="75">
        <f>LOOKUP(D110,基础数据!A:D)</f>
        <v>3.84333367100529</v>
      </c>
      <c r="BP110" s="75">
        <f t="shared" si="52"/>
        <v>0.92568589507761</v>
      </c>
      <c r="BQ110" s="75">
        <f t="shared" si="42"/>
        <v>24</v>
      </c>
      <c r="BR110" s="272">
        <f t="shared" si="54"/>
        <v>27</v>
      </c>
      <c r="BS110" s="156">
        <f t="shared" si="43"/>
        <v>3.11</v>
      </c>
      <c r="BT110" s="186">
        <v>0.01</v>
      </c>
      <c r="BU110" s="156">
        <f t="shared" si="44"/>
        <v>0.27</v>
      </c>
      <c r="BV110" s="156">
        <f t="shared" si="45"/>
        <v>0.02</v>
      </c>
      <c r="BW110" s="156">
        <f t="shared" si="51"/>
        <v>24</v>
      </c>
      <c r="BX110" s="156">
        <f t="shared" si="46"/>
        <v>2.63107460643395</v>
      </c>
      <c r="BY110" s="1207" t="s">
        <v>2806</v>
      </c>
      <c r="BZ110" s="272">
        <v>30</v>
      </c>
      <c r="CA110" s="186">
        <f t="shared" si="47"/>
        <v>0.91</v>
      </c>
      <c r="CB110" s="186">
        <f t="shared" si="48"/>
        <v>0.91</v>
      </c>
      <c r="CC110" s="186">
        <f t="shared" si="49"/>
        <v>0.91</v>
      </c>
      <c r="CD110" s="272"/>
      <c r="CF110" s="134"/>
      <c r="CG110" s="138"/>
      <c r="CH110" s="132"/>
      <c r="CI110" s="138"/>
      <c r="CJ110" s="132"/>
      <c r="CK110" s="132"/>
      <c r="CL110" s="134"/>
      <c r="CM110" s="146"/>
    </row>
    <row r="111" ht="15" hidden="1" customHeight="1" spans="1:91">
      <c r="A111" s="123">
        <f>IF(B111="","",COUNT(A$7:A110)+1)</f>
        <v>104</v>
      </c>
      <c r="B111" s="139" t="s">
        <v>2835</v>
      </c>
      <c r="C111" s="139" t="s">
        <v>2842</v>
      </c>
      <c r="D111" s="1209">
        <v>44908</v>
      </c>
      <c r="E111" s="1210">
        <v>155.22</v>
      </c>
      <c r="F111" s="219" t="s">
        <v>2770</v>
      </c>
      <c r="G111" s="142"/>
      <c r="H111" s="127"/>
      <c r="I111" s="128"/>
      <c r="J111" s="128"/>
      <c r="K111" s="980">
        <v>6</v>
      </c>
      <c r="L111" s="143"/>
      <c r="M111" s="143"/>
      <c r="N111" s="144"/>
      <c r="O111" s="144"/>
      <c r="P111" s="144"/>
      <c r="Q111" s="353">
        <f t="shared" si="33"/>
        <v>6</v>
      </c>
      <c r="R111" s="129">
        <f t="shared" si="34"/>
        <v>0</v>
      </c>
      <c r="S111" s="129">
        <f t="shared" si="35"/>
        <v>0</v>
      </c>
      <c r="T111" s="129">
        <f t="shared" si="36"/>
        <v>6</v>
      </c>
      <c r="U111" s="129">
        <f t="shared" si="37"/>
        <v>144</v>
      </c>
      <c r="V111" s="214">
        <f t="shared" si="38"/>
        <v>91</v>
      </c>
      <c r="W111" s="353">
        <f t="shared" si="39"/>
        <v>131.04</v>
      </c>
      <c r="X111" s="129">
        <f t="shared" si="40"/>
        <v>131.04</v>
      </c>
      <c r="Y111" s="129" t="str">
        <f t="shared" si="41"/>
        <v/>
      </c>
      <c r="Z111" s="145"/>
      <c r="BA111" s="75" t="e">
        <f t="shared" si="50"/>
        <v>#DIV/0!</v>
      </c>
      <c r="BB111" s="78"/>
      <c r="BC111" s="132"/>
      <c r="BD111" s="133"/>
      <c r="BE111" s="132"/>
      <c r="BF111" s="134"/>
      <c r="BG111" s="135"/>
      <c r="BH111" s="135"/>
      <c r="BI111" s="136"/>
      <c r="BJ111" s="136"/>
      <c r="BK111" s="136"/>
      <c r="BL111" s="136"/>
      <c r="BM111" s="137"/>
      <c r="BN111" s="137"/>
      <c r="BO111" s="75">
        <f>LOOKUP(D111,基础数据!A:D)</f>
        <v>3.84333367100529</v>
      </c>
      <c r="BP111" s="75">
        <f t="shared" si="52"/>
        <v>0.92568589507761</v>
      </c>
      <c r="BQ111" s="75">
        <f t="shared" si="42"/>
        <v>24</v>
      </c>
      <c r="BR111" s="272">
        <f t="shared" si="54"/>
        <v>27</v>
      </c>
      <c r="BS111" s="156">
        <f t="shared" si="43"/>
        <v>3.11</v>
      </c>
      <c r="BT111" s="186">
        <v>0.01</v>
      </c>
      <c r="BU111" s="156">
        <f t="shared" si="44"/>
        <v>0.27</v>
      </c>
      <c r="BV111" s="156">
        <f t="shared" si="45"/>
        <v>0.02</v>
      </c>
      <c r="BW111" s="156">
        <f t="shared" si="51"/>
        <v>24</v>
      </c>
      <c r="BX111" s="156">
        <f t="shared" si="46"/>
        <v>2.63107460643395</v>
      </c>
      <c r="BY111" s="1207" t="s">
        <v>2806</v>
      </c>
      <c r="BZ111" s="272">
        <v>30</v>
      </c>
      <c r="CA111" s="186">
        <f t="shared" si="47"/>
        <v>0.91</v>
      </c>
      <c r="CB111" s="186">
        <f t="shared" si="48"/>
        <v>0.91</v>
      </c>
      <c r="CC111" s="186">
        <f t="shared" si="49"/>
        <v>0.91</v>
      </c>
      <c r="CD111" s="272"/>
      <c r="CF111" s="134"/>
      <c r="CG111" s="138"/>
      <c r="CH111" s="132"/>
      <c r="CI111" s="138"/>
      <c r="CJ111" s="132"/>
      <c r="CK111" s="132"/>
      <c r="CL111" s="134"/>
      <c r="CM111" s="146"/>
    </row>
    <row r="112" ht="15" hidden="1" customHeight="1" spans="1:91">
      <c r="A112" s="123">
        <f>IF(B112="","",COUNT(A$7:A111)+1)</f>
        <v>105</v>
      </c>
      <c r="B112" s="139" t="s">
        <v>2843</v>
      </c>
      <c r="C112" s="139" t="s">
        <v>2844</v>
      </c>
      <c r="D112" s="1209">
        <v>43100</v>
      </c>
      <c r="E112" s="1210">
        <v>24.6</v>
      </c>
      <c r="F112" s="219" t="s">
        <v>2770</v>
      </c>
      <c r="G112" s="142"/>
      <c r="H112" s="127"/>
      <c r="I112" s="128"/>
      <c r="J112" s="128"/>
      <c r="K112" s="980">
        <v>4</v>
      </c>
      <c r="L112" s="143"/>
      <c r="M112" s="143"/>
      <c r="N112" s="144"/>
      <c r="O112" s="144"/>
      <c r="P112" s="144"/>
      <c r="Q112" s="353">
        <f t="shared" si="33"/>
        <v>4</v>
      </c>
      <c r="R112" s="129">
        <f t="shared" si="34"/>
        <v>0</v>
      </c>
      <c r="S112" s="129">
        <f t="shared" si="35"/>
        <v>0</v>
      </c>
      <c r="T112" s="129">
        <f t="shared" si="36"/>
        <v>4</v>
      </c>
      <c r="U112" s="129">
        <f t="shared" si="37"/>
        <v>24</v>
      </c>
      <c r="V112" s="214">
        <f t="shared" si="38"/>
        <v>75</v>
      </c>
      <c r="W112" s="353">
        <f t="shared" si="39"/>
        <v>18</v>
      </c>
      <c r="X112" s="129">
        <f t="shared" si="40"/>
        <v>18</v>
      </c>
      <c r="Y112" s="129" t="str">
        <f t="shared" si="41"/>
        <v/>
      </c>
      <c r="Z112" s="145"/>
      <c r="BA112" s="75" t="e">
        <f t="shared" si="50"/>
        <v>#DIV/0!</v>
      </c>
      <c r="BB112" s="78"/>
      <c r="BC112" s="132"/>
      <c r="BD112" s="133"/>
      <c r="BE112" s="132"/>
      <c r="BF112" s="134"/>
      <c r="BG112" s="135"/>
      <c r="BH112" s="135"/>
      <c r="BI112" s="136"/>
      <c r="BJ112" s="136"/>
      <c r="BK112" s="136"/>
      <c r="BL112" s="136"/>
      <c r="BM112" s="137"/>
      <c r="BN112" s="137"/>
      <c r="BO112" s="75">
        <f>LOOKUP(D112,基础数据!A:D)</f>
        <v>3.53915880885741</v>
      </c>
      <c r="BP112" s="75">
        <f t="shared" si="52"/>
        <v>1.00524445538374</v>
      </c>
      <c r="BQ112" s="75">
        <f t="shared" si="42"/>
        <v>6</v>
      </c>
      <c r="BR112" s="272">
        <f t="shared" si="54"/>
        <v>7</v>
      </c>
      <c r="BS112" s="156">
        <f t="shared" si="43"/>
        <v>0.81</v>
      </c>
      <c r="BT112" s="186">
        <v>0.01</v>
      </c>
      <c r="BU112" s="156">
        <f t="shared" si="44"/>
        <v>0.07</v>
      </c>
      <c r="BV112" s="156">
        <f t="shared" si="45"/>
        <v>0.01</v>
      </c>
      <c r="BW112" s="156">
        <f t="shared" si="51"/>
        <v>6</v>
      </c>
      <c r="BX112" s="156">
        <f t="shared" si="46"/>
        <v>7.58110882956879</v>
      </c>
      <c r="BY112" s="1207" t="s">
        <v>2806</v>
      </c>
      <c r="BZ112" s="272">
        <v>30</v>
      </c>
      <c r="CA112" s="186">
        <f t="shared" si="47"/>
        <v>0.75</v>
      </c>
      <c r="CB112" s="186">
        <f t="shared" si="48"/>
        <v>0.75</v>
      </c>
      <c r="CC112" s="186">
        <f t="shared" si="49"/>
        <v>0.75</v>
      </c>
      <c r="CD112" s="272"/>
      <c r="CF112" s="134"/>
      <c r="CG112" s="138"/>
      <c r="CH112" s="132"/>
      <c r="CI112" s="138"/>
      <c r="CJ112" s="132"/>
      <c r="CK112" s="132"/>
      <c r="CL112" s="134"/>
      <c r="CM112" s="146"/>
    </row>
    <row r="113" ht="15" customHeight="1" spans="1:91">
      <c r="A113" s="123">
        <f>IF(B113="","",COUNT(A$7:A112)+1)</f>
        <v>106</v>
      </c>
      <c r="B113" s="139" t="s">
        <v>2829</v>
      </c>
      <c r="C113" s="139" t="s">
        <v>2839</v>
      </c>
      <c r="D113" s="1209">
        <v>43100</v>
      </c>
      <c r="E113" s="1210">
        <v>49.2</v>
      </c>
      <c r="F113" s="219" t="s">
        <v>2770</v>
      </c>
      <c r="G113" s="142"/>
      <c r="H113" s="127"/>
      <c r="I113" s="128"/>
      <c r="J113" s="128"/>
      <c r="K113" s="980">
        <v>8</v>
      </c>
      <c r="L113" s="143"/>
      <c r="M113" s="143"/>
      <c r="N113" s="144"/>
      <c r="O113" s="144"/>
      <c r="P113" s="144"/>
      <c r="Q113" s="353">
        <f t="shared" si="33"/>
        <v>8</v>
      </c>
      <c r="R113" s="129">
        <f t="shared" si="34"/>
        <v>0</v>
      </c>
      <c r="S113" s="129">
        <f t="shared" si="35"/>
        <v>0</v>
      </c>
      <c r="T113" s="129">
        <f t="shared" si="36"/>
        <v>8</v>
      </c>
      <c r="U113" s="129">
        <f t="shared" si="37"/>
        <v>56</v>
      </c>
      <c r="V113" s="214">
        <f t="shared" si="38"/>
        <v>75</v>
      </c>
      <c r="W113" s="353">
        <f t="shared" si="39"/>
        <v>42</v>
      </c>
      <c r="X113" s="129">
        <f t="shared" si="40"/>
        <v>42</v>
      </c>
      <c r="Y113" s="129" t="str">
        <f t="shared" si="41"/>
        <v/>
      </c>
      <c r="Z113" s="145"/>
      <c r="BA113" s="75" t="e">
        <f t="shared" si="50"/>
        <v>#DIV/0!</v>
      </c>
      <c r="BB113" s="78"/>
      <c r="BC113" s="132"/>
      <c r="BD113" s="133"/>
      <c r="BE113" s="132"/>
      <c r="BF113" s="134"/>
      <c r="BG113" s="135"/>
      <c r="BH113" s="135"/>
      <c r="BI113" s="136"/>
      <c r="BJ113" s="136"/>
      <c r="BK113" s="136"/>
      <c r="BL113" s="136"/>
      <c r="BM113" s="137"/>
      <c r="BN113" s="137"/>
      <c r="BO113" s="75">
        <f>LOOKUP(D113,基础数据!A:D)</f>
        <v>3.53915880885741</v>
      </c>
      <c r="BP113" s="75">
        <f t="shared" si="52"/>
        <v>1.00524445538374</v>
      </c>
      <c r="BQ113" s="75">
        <f t="shared" si="42"/>
        <v>6</v>
      </c>
      <c r="BR113" s="272">
        <f t="shared" si="54"/>
        <v>7</v>
      </c>
      <c r="BS113" s="156">
        <f t="shared" si="43"/>
        <v>0.81</v>
      </c>
      <c r="BT113" s="1211">
        <v>0.06</v>
      </c>
      <c r="BU113" s="156">
        <f t="shared" si="44"/>
        <v>0.42</v>
      </c>
      <c r="BV113" s="156">
        <f t="shared" si="45"/>
        <v>0.03</v>
      </c>
      <c r="BW113" s="156">
        <f t="shared" si="51"/>
        <v>7</v>
      </c>
      <c r="BX113" s="156">
        <f t="shared" si="46"/>
        <v>7.58110882956879</v>
      </c>
      <c r="BY113" s="1207" t="s">
        <v>2806</v>
      </c>
      <c r="BZ113" s="272">
        <v>30</v>
      </c>
      <c r="CA113" s="186">
        <f t="shared" si="47"/>
        <v>0.75</v>
      </c>
      <c r="CB113" s="186">
        <f t="shared" si="48"/>
        <v>0.75</v>
      </c>
      <c r="CC113" s="186">
        <f t="shared" si="49"/>
        <v>0.75</v>
      </c>
      <c r="CD113" s="272"/>
      <c r="CF113" s="134"/>
      <c r="CG113" s="138"/>
      <c r="CH113" s="132"/>
      <c r="CI113" s="138"/>
      <c r="CJ113" s="132"/>
      <c r="CK113" s="132"/>
      <c r="CL113" s="134"/>
      <c r="CM113" s="146"/>
    </row>
    <row r="114" ht="15" customHeight="1" spans="1:91">
      <c r="A114" s="123">
        <f>IF(B114="","",COUNT(A$7:A113)+1)</f>
        <v>107</v>
      </c>
      <c r="B114" s="139" t="s">
        <v>2829</v>
      </c>
      <c r="C114" s="139" t="s">
        <v>2839</v>
      </c>
      <c r="D114" s="1209">
        <v>43100</v>
      </c>
      <c r="E114" s="1210">
        <v>98.4</v>
      </c>
      <c r="F114" s="219" t="s">
        <v>2770</v>
      </c>
      <c r="G114" s="142"/>
      <c r="H114" s="127"/>
      <c r="I114" s="128"/>
      <c r="J114" s="128"/>
      <c r="K114" s="980">
        <v>16</v>
      </c>
      <c r="L114" s="143"/>
      <c r="M114" s="143"/>
      <c r="N114" s="144"/>
      <c r="O114" s="144"/>
      <c r="P114" s="144"/>
      <c r="Q114" s="353">
        <f t="shared" si="33"/>
        <v>16</v>
      </c>
      <c r="R114" s="129">
        <f t="shared" si="34"/>
        <v>0</v>
      </c>
      <c r="S114" s="129">
        <f t="shared" si="35"/>
        <v>0</v>
      </c>
      <c r="T114" s="129">
        <f t="shared" si="36"/>
        <v>16</v>
      </c>
      <c r="U114" s="129">
        <f t="shared" si="37"/>
        <v>112</v>
      </c>
      <c r="V114" s="214">
        <f t="shared" si="38"/>
        <v>75</v>
      </c>
      <c r="W114" s="353">
        <f t="shared" si="39"/>
        <v>84</v>
      </c>
      <c r="X114" s="129">
        <f t="shared" si="40"/>
        <v>84</v>
      </c>
      <c r="Y114" s="129" t="str">
        <f t="shared" si="41"/>
        <v/>
      </c>
      <c r="Z114" s="145"/>
      <c r="BA114" s="75" t="e">
        <f t="shared" si="50"/>
        <v>#DIV/0!</v>
      </c>
      <c r="BB114" s="78"/>
      <c r="BC114" s="132"/>
      <c r="BD114" s="133"/>
      <c r="BE114" s="132"/>
      <c r="BF114" s="134"/>
      <c r="BG114" s="135"/>
      <c r="BH114" s="135"/>
      <c r="BI114" s="136"/>
      <c r="BJ114" s="136"/>
      <c r="BK114" s="136"/>
      <c r="BL114" s="136"/>
      <c r="BM114" s="137"/>
      <c r="BN114" s="137"/>
      <c r="BO114" s="75">
        <f>LOOKUP(D114,基础数据!A:D)</f>
        <v>3.53915880885741</v>
      </c>
      <c r="BP114" s="75">
        <f t="shared" si="52"/>
        <v>1.00524445538374</v>
      </c>
      <c r="BQ114" s="75">
        <f t="shared" si="42"/>
        <v>6</v>
      </c>
      <c r="BR114" s="272">
        <f t="shared" si="54"/>
        <v>7</v>
      </c>
      <c r="BS114" s="156">
        <f t="shared" si="43"/>
        <v>0.81</v>
      </c>
      <c r="BT114" s="1211">
        <v>0.06</v>
      </c>
      <c r="BU114" s="156">
        <f t="shared" si="44"/>
        <v>0.42</v>
      </c>
      <c r="BV114" s="156">
        <f t="shared" si="45"/>
        <v>0.03</v>
      </c>
      <c r="BW114" s="156">
        <f t="shared" si="51"/>
        <v>7</v>
      </c>
      <c r="BX114" s="156">
        <f t="shared" si="46"/>
        <v>7.58110882956879</v>
      </c>
      <c r="BY114" s="1207" t="s">
        <v>2806</v>
      </c>
      <c r="BZ114" s="272">
        <v>30</v>
      </c>
      <c r="CA114" s="186">
        <f t="shared" si="47"/>
        <v>0.75</v>
      </c>
      <c r="CB114" s="186">
        <f t="shared" si="48"/>
        <v>0.75</v>
      </c>
      <c r="CC114" s="186">
        <f t="shared" si="49"/>
        <v>0.75</v>
      </c>
      <c r="CD114" s="272"/>
      <c r="CF114" s="134"/>
      <c r="CG114" s="138"/>
      <c r="CH114" s="132"/>
      <c r="CI114" s="138"/>
      <c r="CJ114" s="132"/>
      <c r="CK114" s="132"/>
      <c r="CL114" s="134"/>
      <c r="CM114" s="146"/>
    </row>
    <row r="115" ht="15" customHeight="1" spans="1:91">
      <c r="A115" s="123">
        <f>IF(B115="","",COUNT(A$7:A114)+1)</f>
        <v>108</v>
      </c>
      <c r="B115" s="139" t="s">
        <v>2829</v>
      </c>
      <c r="C115" s="139" t="s">
        <v>2839</v>
      </c>
      <c r="D115" s="1209">
        <v>43100</v>
      </c>
      <c r="E115" s="1210">
        <v>36.9</v>
      </c>
      <c r="F115" s="219" t="s">
        <v>2770</v>
      </c>
      <c r="G115" s="142"/>
      <c r="H115" s="127"/>
      <c r="I115" s="128"/>
      <c r="J115" s="128"/>
      <c r="K115" s="980">
        <v>6</v>
      </c>
      <c r="L115" s="143"/>
      <c r="M115" s="143"/>
      <c r="N115" s="144"/>
      <c r="O115" s="144"/>
      <c r="P115" s="144"/>
      <c r="Q115" s="353">
        <f t="shared" si="33"/>
        <v>6</v>
      </c>
      <c r="R115" s="129">
        <f t="shared" si="34"/>
        <v>0</v>
      </c>
      <c r="S115" s="129">
        <f t="shared" si="35"/>
        <v>0</v>
      </c>
      <c r="T115" s="129">
        <f t="shared" si="36"/>
        <v>6</v>
      </c>
      <c r="U115" s="129">
        <f t="shared" si="37"/>
        <v>42</v>
      </c>
      <c r="V115" s="214">
        <f t="shared" si="38"/>
        <v>75</v>
      </c>
      <c r="W115" s="353">
        <f t="shared" si="39"/>
        <v>31.5</v>
      </c>
      <c r="X115" s="129">
        <f t="shared" si="40"/>
        <v>31.5</v>
      </c>
      <c r="Y115" s="129" t="str">
        <f t="shared" si="41"/>
        <v/>
      </c>
      <c r="Z115" s="145"/>
      <c r="BA115" s="75" t="e">
        <f t="shared" si="50"/>
        <v>#DIV/0!</v>
      </c>
      <c r="BB115" s="78"/>
      <c r="BC115" s="132"/>
      <c r="BD115" s="133"/>
      <c r="BE115" s="132"/>
      <c r="BF115" s="134"/>
      <c r="BG115" s="135"/>
      <c r="BH115" s="135"/>
      <c r="BI115" s="136"/>
      <c r="BJ115" s="136"/>
      <c r="BK115" s="136"/>
      <c r="BL115" s="136"/>
      <c r="BM115" s="137"/>
      <c r="BN115" s="137"/>
      <c r="BO115" s="75">
        <f>LOOKUP(D115,基础数据!A:D)</f>
        <v>3.53915880885741</v>
      </c>
      <c r="BP115" s="75">
        <f t="shared" si="52"/>
        <v>1.00524445538374</v>
      </c>
      <c r="BQ115" s="75">
        <f t="shared" si="42"/>
        <v>6</v>
      </c>
      <c r="BR115" s="272">
        <f t="shared" si="54"/>
        <v>7</v>
      </c>
      <c r="BS115" s="156">
        <f t="shared" si="43"/>
        <v>0.81</v>
      </c>
      <c r="BT115" s="1211">
        <v>0.06</v>
      </c>
      <c r="BU115" s="156">
        <f t="shared" si="44"/>
        <v>0.42</v>
      </c>
      <c r="BV115" s="156">
        <f t="shared" si="45"/>
        <v>0.03</v>
      </c>
      <c r="BW115" s="156">
        <f t="shared" si="51"/>
        <v>7</v>
      </c>
      <c r="BX115" s="156">
        <f t="shared" si="46"/>
        <v>7.58110882956879</v>
      </c>
      <c r="BY115" s="1207" t="s">
        <v>2806</v>
      </c>
      <c r="BZ115" s="272">
        <v>30</v>
      </c>
      <c r="CA115" s="186">
        <f t="shared" si="47"/>
        <v>0.75</v>
      </c>
      <c r="CB115" s="186">
        <f t="shared" si="48"/>
        <v>0.75</v>
      </c>
      <c r="CC115" s="186">
        <f t="shared" si="49"/>
        <v>0.75</v>
      </c>
      <c r="CD115" s="272"/>
      <c r="CF115" s="134"/>
      <c r="CG115" s="138"/>
      <c r="CH115" s="132"/>
      <c r="CI115" s="138"/>
      <c r="CJ115" s="132"/>
      <c r="CK115" s="132"/>
      <c r="CL115" s="134"/>
      <c r="CM115" s="146"/>
    </row>
    <row r="116" ht="15" customHeight="1" spans="1:91">
      <c r="A116" s="123">
        <f>IF(B116="","",COUNT(A$7:A115)+1)</f>
        <v>109</v>
      </c>
      <c r="B116" s="139" t="s">
        <v>2829</v>
      </c>
      <c r="C116" s="139" t="s">
        <v>2839</v>
      </c>
      <c r="D116" s="1209">
        <v>43100</v>
      </c>
      <c r="E116" s="1210">
        <v>738</v>
      </c>
      <c r="F116" s="219" t="s">
        <v>2770</v>
      </c>
      <c r="G116" s="142"/>
      <c r="H116" s="127"/>
      <c r="I116" s="128"/>
      <c r="J116" s="128"/>
      <c r="K116" s="980">
        <v>120</v>
      </c>
      <c r="L116" s="143"/>
      <c r="M116" s="143"/>
      <c r="N116" s="144"/>
      <c r="O116" s="144"/>
      <c r="P116" s="144"/>
      <c r="Q116" s="353">
        <f t="shared" si="33"/>
        <v>120</v>
      </c>
      <c r="R116" s="129">
        <f t="shared" si="34"/>
        <v>0</v>
      </c>
      <c r="S116" s="129">
        <f t="shared" si="35"/>
        <v>0</v>
      </c>
      <c r="T116" s="129">
        <f t="shared" si="36"/>
        <v>120</v>
      </c>
      <c r="U116" s="129">
        <f t="shared" si="37"/>
        <v>840</v>
      </c>
      <c r="V116" s="214">
        <f t="shared" si="38"/>
        <v>75</v>
      </c>
      <c r="W116" s="353">
        <f t="shared" si="39"/>
        <v>630</v>
      </c>
      <c r="X116" s="129">
        <f t="shared" si="40"/>
        <v>630</v>
      </c>
      <c r="Y116" s="129" t="str">
        <f t="shared" si="41"/>
        <v/>
      </c>
      <c r="Z116" s="145"/>
      <c r="BA116" s="75" t="e">
        <f t="shared" si="50"/>
        <v>#DIV/0!</v>
      </c>
      <c r="BB116" s="78"/>
      <c r="BC116" s="132"/>
      <c r="BD116" s="133"/>
      <c r="BE116" s="132"/>
      <c r="BF116" s="134"/>
      <c r="BG116" s="135"/>
      <c r="BH116" s="135"/>
      <c r="BI116" s="136"/>
      <c r="BJ116" s="136"/>
      <c r="BK116" s="136"/>
      <c r="BL116" s="136"/>
      <c r="BM116" s="137"/>
      <c r="BN116" s="137"/>
      <c r="BO116" s="75">
        <f>LOOKUP(D116,基础数据!A:D)</f>
        <v>3.53915880885741</v>
      </c>
      <c r="BP116" s="75">
        <f t="shared" si="52"/>
        <v>1.00524445538374</v>
      </c>
      <c r="BQ116" s="75">
        <f t="shared" si="42"/>
        <v>6</v>
      </c>
      <c r="BR116" s="272">
        <f t="shared" si="54"/>
        <v>7</v>
      </c>
      <c r="BS116" s="156">
        <f t="shared" si="43"/>
        <v>0.81</v>
      </c>
      <c r="BT116" s="1211">
        <v>0.06</v>
      </c>
      <c r="BU116" s="156">
        <f t="shared" si="44"/>
        <v>0.42</v>
      </c>
      <c r="BV116" s="156">
        <f t="shared" si="45"/>
        <v>0.03</v>
      </c>
      <c r="BW116" s="156">
        <f t="shared" si="51"/>
        <v>7</v>
      </c>
      <c r="BX116" s="156">
        <f t="shared" si="46"/>
        <v>7.58110882956879</v>
      </c>
      <c r="BY116" s="1207" t="s">
        <v>2806</v>
      </c>
      <c r="BZ116" s="272">
        <v>30</v>
      </c>
      <c r="CA116" s="186">
        <f t="shared" si="47"/>
        <v>0.75</v>
      </c>
      <c r="CB116" s="186">
        <f t="shared" si="48"/>
        <v>0.75</v>
      </c>
      <c r="CC116" s="186">
        <f t="shared" si="49"/>
        <v>0.75</v>
      </c>
      <c r="CD116" s="272"/>
      <c r="CF116" s="134"/>
      <c r="CG116" s="138"/>
      <c r="CH116" s="132"/>
      <c r="CI116" s="138"/>
      <c r="CJ116" s="132"/>
      <c r="CK116" s="132"/>
      <c r="CL116" s="134"/>
      <c r="CM116" s="146"/>
    </row>
    <row r="117" ht="15" hidden="1" customHeight="1" spans="1:91">
      <c r="A117" s="123">
        <f>IF(B117="","",COUNT(A$7:A116)+1)</f>
        <v>110</v>
      </c>
      <c r="B117" s="139" t="s">
        <v>2835</v>
      </c>
      <c r="C117" s="139" t="s">
        <v>2842</v>
      </c>
      <c r="D117" s="1209">
        <v>44908</v>
      </c>
      <c r="E117" s="1210">
        <v>77.61</v>
      </c>
      <c r="F117" s="219" t="s">
        <v>2770</v>
      </c>
      <c r="G117" s="142"/>
      <c r="H117" s="127"/>
      <c r="I117" s="128"/>
      <c r="J117" s="128"/>
      <c r="K117" s="980">
        <v>3</v>
      </c>
      <c r="L117" s="143"/>
      <c r="M117" s="143"/>
      <c r="N117" s="144"/>
      <c r="O117" s="144"/>
      <c r="P117" s="144"/>
      <c r="Q117" s="353">
        <f t="shared" si="33"/>
        <v>3</v>
      </c>
      <c r="R117" s="129">
        <f t="shared" si="34"/>
        <v>0</v>
      </c>
      <c r="S117" s="129">
        <f t="shared" si="35"/>
        <v>0</v>
      </c>
      <c r="T117" s="129">
        <f t="shared" si="36"/>
        <v>3</v>
      </c>
      <c r="U117" s="129">
        <f t="shared" si="37"/>
        <v>72</v>
      </c>
      <c r="V117" s="214">
        <f t="shared" si="38"/>
        <v>91</v>
      </c>
      <c r="W117" s="353">
        <f t="shared" si="39"/>
        <v>65.52</v>
      </c>
      <c r="X117" s="129">
        <f t="shared" si="40"/>
        <v>65.52</v>
      </c>
      <c r="Y117" s="129" t="str">
        <f t="shared" si="41"/>
        <v/>
      </c>
      <c r="Z117" s="145"/>
      <c r="BA117" s="75" t="e">
        <f t="shared" si="50"/>
        <v>#DIV/0!</v>
      </c>
      <c r="BB117" s="78"/>
      <c r="BC117" s="132"/>
      <c r="BD117" s="133"/>
      <c r="BE117" s="132"/>
      <c r="BF117" s="134"/>
      <c r="BG117" s="135"/>
      <c r="BH117" s="135"/>
      <c r="BI117" s="136"/>
      <c r="BJ117" s="136"/>
      <c r="BK117" s="136"/>
      <c r="BL117" s="136"/>
      <c r="BM117" s="137"/>
      <c r="BN117" s="137"/>
      <c r="BO117" s="75">
        <f>LOOKUP(D117,基础数据!A:D)</f>
        <v>3.84333367100529</v>
      </c>
      <c r="BP117" s="75">
        <f t="shared" si="52"/>
        <v>0.92568589507761</v>
      </c>
      <c r="BQ117" s="75">
        <f t="shared" si="42"/>
        <v>24</v>
      </c>
      <c r="BR117" s="272">
        <f t="shared" si="54"/>
        <v>27</v>
      </c>
      <c r="BS117" s="156">
        <f t="shared" si="43"/>
        <v>3.11</v>
      </c>
      <c r="BT117" s="186">
        <v>0.01</v>
      </c>
      <c r="BU117" s="156">
        <f t="shared" si="44"/>
        <v>0.27</v>
      </c>
      <c r="BV117" s="156">
        <f t="shared" si="45"/>
        <v>0.02</v>
      </c>
      <c r="BW117" s="156">
        <f t="shared" si="51"/>
        <v>24</v>
      </c>
      <c r="BX117" s="156">
        <f t="shared" si="46"/>
        <v>2.63107460643395</v>
      </c>
      <c r="BY117" s="1207" t="s">
        <v>2806</v>
      </c>
      <c r="BZ117" s="272">
        <v>30</v>
      </c>
      <c r="CA117" s="186">
        <f t="shared" si="47"/>
        <v>0.91</v>
      </c>
      <c r="CB117" s="186">
        <f t="shared" si="48"/>
        <v>0.91</v>
      </c>
      <c r="CC117" s="186">
        <f t="shared" si="49"/>
        <v>0.91</v>
      </c>
      <c r="CD117" s="272"/>
      <c r="CF117" s="134"/>
      <c r="CG117" s="138"/>
      <c r="CH117" s="132"/>
      <c r="CI117" s="138"/>
      <c r="CJ117" s="132"/>
      <c r="CK117" s="132"/>
      <c r="CL117" s="134"/>
      <c r="CM117" s="146"/>
    </row>
    <row r="118" ht="15" customHeight="1" spans="1:91">
      <c r="A118" s="123">
        <f>IF(B118="","",COUNT(A$7:A117)+1)</f>
        <v>111</v>
      </c>
      <c r="B118" s="139" t="s">
        <v>2829</v>
      </c>
      <c r="C118" s="139" t="s">
        <v>2845</v>
      </c>
      <c r="D118" s="1209">
        <v>43100</v>
      </c>
      <c r="E118" s="1210">
        <v>17829.3</v>
      </c>
      <c r="F118" s="219" t="s">
        <v>2770</v>
      </c>
      <c r="G118" s="142"/>
      <c r="H118" s="127"/>
      <c r="I118" s="128"/>
      <c r="J118" s="128"/>
      <c r="K118" s="980">
        <v>206</v>
      </c>
      <c r="L118" s="143"/>
      <c r="M118" s="143"/>
      <c r="N118" s="144"/>
      <c r="O118" s="144"/>
      <c r="P118" s="144"/>
      <c r="Q118" s="353">
        <f t="shared" si="33"/>
        <v>206</v>
      </c>
      <c r="R118" s="129">
        <f t="shared" si="34"/>
        <v>0</v>
      </c>
      <c r="S118" s="129">
        <f t="shared" si="35"/>
        <v>0</v>
      </c>
      <c r="T118" s="129">
        <f t="shared" si="36"/>
        <v>206</v>
      </c>
      <c r="U118" s="129">
        <f t="shared" si="37"/>
        <v>17922</v>
      </c>
      <c r="V118" s="214">
        <f t="shared" si="38"/>
        <v>75</v>
      </c>
      <c r="W118" s="353">
        <f t="shared" si="39"/>
        <v>13441.5</v>
      </c>
      <c r="X118" s="129">
        <f t="shared" si="40"/>
        <v>13441.5</v>
      </c>
      <c r="Y118" s="129" t="str">
        <f t="shared" si="41"/>
        <v/>
      </c>
      <c r="Z118" s="145"/>
      <c r="BA118" s="75" t="e">
        <f t="shared" si="50"/>
        <v>#DIV/0!</v>
      </c>
      <c r="BB118" s="78"/>
      <c r="BC118" s="132"/>
      <c r="BD118" s="133"/>
      <c r="BE118" s="132"/>
      <c r="BF118" s="134"/>
      <c r="BG118" s="135"/>
      <c r="BH118" s="135"/>
      <c r="BI118" s="136"/>
      <c r="BJ118" s="136"/>
      <c r="BK118" s="136"/>
      <c r="BL118" s="136"/>
      <c r="BM118" s="137"/>
      <c r="BN118" s="137"/>
      <c r="BO118" s="75">
        <f>LOOKUP(D118,基础数据!A:D)</f>
        <v>3.53915880885741</v>
      </c>
      <c r="BP118" s="75">
        <f t="shared" si="52"/>
        <v>1.00524445538374</v>
      </c>
      <c r="BQ118" s="75">
        <f t="shared" si="42"/>
        <v>87</v>
      </c>
      <c r="BR118" s="272">
        <v>92.22</v>
      </c>
      <c r="BS118" s="156">
        <f t="shared" si="43"/>
        <v>10.61</v>
      </c>
      <c r="BT118" s="1211">
        <v>0.06</v>
      </c>
      <c r="BU118" s="156">
        <f t="shared" si="44"/>
        <v>5.53</v>
      </c>
      <c r="BV118" s="156">
        <f t="shared" si="45"/>
        <v>0.46</v>
      </c>
      <c r="BW118" s="156">
        <f t="shared" si="51"/>
        <v>87</v>
      </c>
      <c r="BX118" s="156">
        <f t="shared" si="46"/>
        <v>7.58110882956879</v>
      </c>
      <c r="BY118" s="1207" t="s">
        <v>2806</v>
      </c>
      <c r="BZ118" s="272">
        <v>30</v>
      </c>
      <c r="CA118" s="186">
        <f t="shared" ref="CA118:CA120" si="55">ROUND(IFERROR(1-(BX118/BZ118),0),2)</f>
        <v>0.75</v>
      </c>
      <c r="CB118" s="186">
        <f t="shared" si="48"/>
        <v>0.75</v>
      </c>
      <c r="CC118" s="186">
        <f t="shared" si="49"/>
        <v>0.75</v>
      </c>
      <c r="CD118" s="1208" t="s">
        <v>2846</v>
      </c>
      <c r="CF118" s="134"/>
      <c r="CG118" s="138"/>
      <c r="CH118" s="132"/>
      <c r="CI118" s="138"/>
      <c r="CJ118" s="132"/>
      <c r="CK118" s="132"/>
      <c r="CL118" s="134"/>
      <c r="CM118" s="146"/>
    </row>
    <row r="119" ht="15" customHeight="1" spans="1:91">
      <c r="A119" s="123">
        <f>IF(B119="","",COUNT(A$7:A118)+1)</f>
        <v>112</v>
      </c>
      <c r="B119" s="139" t="s">
        <v>2829</v>
      </c>
      <c r="C119" s="139" t="s">
        <v>2847</v>
      </c>
      <c r="D119" s="1209">
        <v>43100</v>
      </c>
      <c r="E119" s="1210">
        <v>1776.84</v>
      </c>
      <c r="F119" s="219" t="s">
        <v>2770</v>
      </c>
      <c r="G119" s="142"/>
      <c r="H119" s="127"/>
      <c r="I119" s="128"/>
      <c r="J119" s="128"/>
      <c r="K119" s="980">
        <v>156</v>
      </c>
      <c r="L119" s="143"/>
      <c r="M119" s="143"/>
      <c r="N119" s="144"/>
      <c r="O119" s="144"/>
      <c r="P119" s="144"/>
      <c r="Q119" s="353">
        <f t="shared" si="33"/>
        <v>156</v>
      </c>
      <c r="R119" s="129">
        <f t="shared" si="34"/>
        <v>0</v>
      </c>
      <c r="S119" s="129">
        <f t="shared" si="35"/>
        <v>0</v>
      </c>
      <c r="T119" s="129">
        <f t="shared" si="36"/>
        <v>156</v>
      </c>
      <c r="U119" s="129">
        <f t="shared" si="37"/>
        <v>1716</v>
      </c>
      <c r="V119" s="214">
        <f t="shared" si="38"/>
        <v>75</v>
      </c>
      <c r="W119" s="353">
        <f t="shared" si="39"/>
        <v>1287</v>
      </c>
      <c r="X119" s="129">
        <f t="shared" si="40"/>
        <v>1287</v>
      </c>
      <c r="Y119" s="129" t="str">
        <f t="shared" si="41"/>
        <v/>
      </c>
      <c r="Z119" s="145"/>
      <c r="BA119" s="75" t="e">
        <f t="shared" si="50"/>
        <v>#DIV/0!</v>
      </c>
      <c r="BB119" s="78"/>
      <c r="BC119" s="132"/>
      <c r="BD119" s="133"/>
      <c r="BE119" s="132"/>
      <c r="BF119" s="134"/>
      <c r="BG119" s="135"/>
      <c r="BH119" s="135"/>
      <c r="BI119" s="136"/>
      <c r="BJ119" s="136"/>
      <c r="BK119" s="136"/>
      <c r="BL119" s="136"/>
      <c r="BM119" s="137"/>
      <c r="BN119" s="137"/>
      <c r="BO119" s="75">
        <f>LOOKUP(D119,基础数据!A:D)</f>
        <v>3.53915880885741</v>
      </c>
      <c r="BP119" s="75">
        <f t="shared" si="52"/>
        <v>1.00524445538374</v>
      </c>
      <c r="BQ119" s="75">
        <f t="shared" si="42"/>
        <v>11</v>
      </c>
      <c r="BR119" s="272">
        <v>11.9</v>
      </c>
      <c r="BS119" s="156">
        <f t="shared" si="43"/>
        <v>1.37</v>
      </c>
      <c r="BT119" s="1211">
        <v>0.06</v>
      </c>
      <c r="BU119" s="156">
        <f t="shared" si="44"/>
        <v>0.71</v>
      </c>
      <c r="BV119" s="156">
        <f t="shared" si="45"/>
        <v>0.06</v>
      </c>
      <c r="BW119" s="156">
        <f t="shared" si="51"/>
        <v>11</v>
      </c>
      <c r="BX119" s="156">
        <f t="shared" si="46"/>
        <v>7.58110882956879</v>
      </c>
      <c r="BY119" s="1207" t="s">
        <v>2806</v>
      </c>
      <c r="BZ119" s="272">
        <v>30</v>
      </c>
      <c r="CA119" s="186">
        <f t="shared" si="55"/>
        <v>0.75</v>
      </c>
      <c r="CB119" s="186">
        <f t="shared" si="48"/>
        <v>0.75</v>
      </c>
      <c r="CC119" s="186">
        <f t="shared" si="49"/>
        <v>0.75</v>
      </c>
      <c r="CD119" s="1208" t="s">
        <v>2812</v>
      </c>
      <c r="CF119" s="134"/>
      <c r="CG119" s="138"/>
      <c r="CH119" s="132"/>
      <c r="CI119" s="138"/>
      <c r="CJ119" s="132"/>
      <c r="CK119" s="132"/>
      <c r="CL119" s="134"/>
      <c r="CM119" s="146"/>
    </row>
    <row r="120" ht="15" customHeight="1" spans="1:91">
      <c r="A120" s="123">
        <f>IF(B120="","",COUNT(A$7:A119)+1)</f>
        <v>113</v>
      </c>
      <c r="B120" s="139" t="s">
        <v>2829</v>
      </c>
      <c r="C120" s="139" t="s">
        <v>2847</v>
      </c>
      <c r="D120" s="1209">
        <v>43100</v>
      </c>
      <c r="E120" s="1210">
        <v>2346.34</v>
      </c>
      <c r="F120" s="219" t="s">
        <v>2770</v>
      </c>
      <c r="G120" s="142"/>
      <c r="H120" s="127"/>
      <c r="I120" s="128"/>
      <c r="J120" s="128"/>
      <c r="K120" s="980">
        <v>206</v>
      </c>
      <c r="L120" s="143"/>
      <c r="M120" s="143"/>
      <c r="N120" s="144"/>
      <c r="O120" s="144"/>
      <c r="P120" s="144"/>
      <c r="Q120" s="353">
        <f t="shared" si="33"/>
        <v>206</v>
      </c>
      <c r="R120" s="129">
        <f t="shared" si="34"/>
        <v>0</v>
      </c>
      <c r="S120" s="129">
        <f t="shared" si="35"/>
        <v>0</v>
      </c>
      <c r="T120" s="129">
        <f t="shared" si="36"/>
        <v>206</v>
      </c>
      <c r="U120" s="129">
        <f t="shared" si="37"/>
        <v>2266</v>
      </c>
      <c r="V120" s="214">
        <f t="shared" si="38"/>
        <v>75</v>
      </c>
      <c r="W120" s="353">
        <f t="shared" si="39"/>
        <v>1699.5</v>
      </c>
      <c r="X120" s="129">
        <f t="shared" si="40"/>
        <v>1699.5</v>
      </c>
      <c r="Y120" s="129" t="str">
        <f t="shared" si="41"/>
        <v/>
      </c>
      <c r="Z120" s="145"/>
      <c r="BA120" s="75" t="e">
        <f t="shared" si="50"/>
        <v>#DIV/0!</v>
      </c>
      <c r="BB120" s="78"/>
      <c r="BC120" s="132"/>
      <c r="BD120" s="133"/>
      <c r="BE120" s="132"/>
      <c r="BF120" s="134"/>
      <c r="BG120" s="135"/>
      <c r="BH120" s="135"/>
      <c r="BI120" s="136"/>
      <c r="BJ120" s="136"/>
      <c r="BK120" s="136"/>
      <c r="BL120" s="136"/>
      <c r="BM120" s="137"/>
      <c r="BN120" s="137"/>
      <c r="BO120" s="75">
        <f>LOOKUP(D120,基础数据!A:D)</f>
        <v>3.53915880885741</v>
      </c>
      <c r="BP120" s="75">
        <f t="shared" si="52"/>
        <v>1.00524445538374</v>
      </c>
      <c r="BQ120" s="75">
        <f t="shared" si="42"/>
        <v>11</v>
      </c>
      <c r="BR120" s="272">
        <v>11.9</v>
      </c>
      <c r="BS120" s="156">
        <f t="shared" si="43"/>
        <v>1.37</v>
      </c>
      <c r="BT120" s="1211">
        <v>0.06</v>
      </c>
      <c r="BU120" s="156">
        <f t="shared" si="44"/>
        <v>0.71</v>
      </c>
      <c r="BV120" s="156">
        <f t="shared" si="45"/>
        <v>0.06</v>
      </c>
      <c r="BW120" s="156">
        <f t="shared" si="51"/>
        <v>11</v>
      </c>
      <c r="BX120" s="156">
        <f t="shared" si="46"/>
        <v>7.58110882956879</v>
      </c>
      <c r="BY120" s="1207" t="s">
        <v>2806</v>
      </c>
      <c r="BZ120" s="272">
        <v>30</v>
      </c>
      <c r="CA120" s="186">
        <f t="shared" si="55"/>
        <v>0.75</v>
      </c>
      <c r="CB120" s="186">
        <f t="shared" si="48"/>
        <v>0.75</v>
      </c>
      <c r="CC120" s="186">
        <f t="shared" si="49"/>
        <v>0.75</v>
      </c>
      <c r="CD120" s="1208" t="s">
        <v>2812</v>
      </c>
      <c r="CF120" s="134"/>
      <c r="CG120" s="138"/>
      <c r="CH120" s="132"/>
      <c r="CI120" s="138"/>
      <c r="CJ120" s="132"/>
      <c r="CK120" s="132"/>
      <c r="CL120" s="134"/>
      <c r="CM120" s="146"/>
    </row>
    <row r="121" ht="15" customHeight="1" spans="1:91">
      <c r="A121" s="123">
        <f>IF(B121="","",COUNT(A$7:A120)+1)</f>
        <v>114</v>
      </c>
      <c r="B121" s="139" t="s">
        <v>2829</v>
      </c>
      <c r="C121" s="139" t="s">
        <v>2848</v>
      </c>
      <c r="D121" s="1209">
        <v>43100</v>
      </c>
      <c r="E121" s="1210">
        <v>600</v>
      </c>
      <c r="F121" s="219" t="s">
        <v>2770</v>
      </c>
      <c r="G121" s="142"/>
      <c r="H121" s="127"/>
      <c r="I121" s="128"/>
      <c r="J121" s="128"/>
      <c r="K121" s="980">
        <v>150</v>
      </c>
      <c r="L121" s="143"/>
      <c r="M121" s="143"/>
      <c r="N121" s="144"/>
      <c r="O121" s="144"/>
      <c r="P121" s="144"/>
      <c r="Q121" s="353">
        <f t="shared" si="33"/>
        <v>150</v>
      </c>
      <c r="R121" s="129">
        <f t="shared" si="34"/>
        <v>0</v>
      </c>
      <c r="S121" s="129">
        <f t="shared" si="35"/>
        <v>0</v>
      </c>
      <c r="T121" s="129">
        <f t="shared" si="36"/>
        <v>150</v>
      </c>
      <c r="U121" s="129">
        <f t="shared" si="37"/>
        <v>750</v>
      </c>
      <c r="V121" s="214">
        <f t="shared" si="38"/>
        <v>75</v>
      </c>
      <c r="W121" s="353">
        <f t="shared" si="39"/>
        <v>562.5</v>
      </c>
      <c r="X121" s="129">
        <f t="shared" si="40"/>
        <v>562.5</v>
      </c>
      <c r="Y121" s="129" t="str">
        <f t="shared" si="41"/>
        <v/>
      </c>
      <c r="Z121" s="145"/>
      <c r="BA121" s="75" t="e">
        <f t="shared" si="50"/>
        <v>#DIV/0!</v>
      </c>
      <c r="BB121" s="78"/>
      <c r="BC121" s="132"/>
      <c r="BD121" s="133"/>
      <c r="BE121" s="132"/>
      <c r="BF121" s="134"/>
      <c r="BG121" s="135"/>
      <c r="BH121" s="135"/>
      <c r="BI121" s="136"/>
      <c r="BJ121" s="136"/>
      <c r="BK121" s="136"/>
      <c r="BL121" s="136"/>
      <c r="BM121" s="137"/>
      <c r="BN121" s="137"/>
      <c r="BO121" s="75">
        <f>LOOKUP(D121,基础数据!A:D)</f>
        <v>3.53915880885741</v>
      </c>
      <c r="BP121" s="75">
        <f t="shared" si="52"/>
        <v>1.00524445538374</v>
      </c>
      <c r="BQ121" s="75">
        <f t="shared" si="42"/>
        <v>4</v>
      </c>
      <c r="BR121" s="272">
        <f t="shared" ref="BR121:BR129" si="56">ROUND(BQ121*1.13,0)</f>
        <v>5</v>
      </c>
      <c r="BS121" s="156">
        <f t="shared" si="43"/>
        <v>0.58</v>
      </c>
      <c r="BT121" s="1211">
        <v>0.06</v>
      </c>
      <c r="BU121" s="156">
        <f t="shared" si="44"/>
        <v>0.3</v>
      </c>
      <c r="BV121" s="156">
        <f t="shared" si="45"/>
        <v>0.02</v>
      </c>
      <c r="BW121" s="156">
        <f t="shared" si="51"/>
        <v>5</v>
      </c>
      <c r="BX121" s="156">
        <f t="shared" si="46"/>
        <v>7.58110882956879</v>
      </c>
      <c r="BY121" s="1207" t="s">
        <v>2806</v>
      </c>
      <c r="BZ121" s="272">
        <v>30</v>
      </c>
      <c r="CA121" s="186">
        <f t="shared" si="47"/>
        <v>0.75</v>
      </c>
      <c r="CB121" s="186">
        <f t="shared" si="48"/>
        <v>0.75</v>
      </c>
      <c r="CC121" s="186">
        <f t="shared" si="49"/>
        <v>0.75</v>
      </c>
      <c r="CD121" s="272"/>
      <c r="CF121" s="134"/>
      <c r="CG121" s="138"/>
      <c r="CH121" s="132"/>
      <c r="CI121" s="138"/>
      <c r="CJ121" s="132"/>
      <c r="CK121" s="132"/>
      <c r="CL121" s="134"/>
      <c r="CM121" s="146"/>
    </row>
    <row r="122" ht="15" hidden="1" customHeight="1" spans="1:91">
      <c r="A122" s="123">
        <f>IF(B122="","",COUNT(A$7:A121)+1)</f>
        <v>115</v>
      </c>
      <c r="B122" s="139" t="s">
        <v>2835</v>
      </c>
      <c r="C122" s="139" t="s">
        <v>2849</v>
      </c>
      <c r="D122" s="1209">
        <v>43100</v>
      </c>
      <c r="E122" s="1210">
        <v>507</v>
      </c>
      <c r="F122" s="219" t="s">
        <v>2770</v>
      </c>
      <c r="G122" s="142"/>
      <c r="H122" s="127"/>
      <c r="I122" s="128"/>
      <c r="J122" s="128"/>
      <c r="K122" s="980">
        <v>156</v>
      </c>
      <c r="L122" s="143"/>
      <c r="M122" s="143"/>
      <c r="N122" s="144"/>
      <c r="O122" s="144"/>
      <c r="P122" s="144"/>
      <c r="Q122" s="353">
        <f t="shared" si="33"/>
        <v>156</v>
      </c>
      <c r="R122" s="129">
        <f t="shared" si="34"/>
        <v>0</v>
      </c>
      <c r="S122" s="129">
        <f t="shared" si="35"/>
        <v>0</v>
      </c>
      <c r="T122" s="129">
        <f t="shared" si="36"/>
        <v>156</v>
      </c>
      <c r="U122" s="129">
        <f t="shared" si="37"/>
        <v>468</v>
      </c>
      <c r="V122" s="214">
        <f t="shared" si="38"/>
        <v>75</v>
      </c>
      <c r="W122" s="353">
        <f t="shared" si="39"/>
        <v>351</v>
      </c>
      <c r="X122" s="129">
        <f t="shared" si="40"/>
        <v>351</v>
      </c>
      <c r="Y122" s="129" t="str">
        <f t="shared" si="41"/>
        <v/>
      </c>
      <c r="Z122" s="145"/>
      <c r="BA122" s="75" t="e">
        <f t="shared" si="50"/>
        <v>#DIV/0!</v>
      </c>
      <c r="BB122" s="78"/>
      <c r="BC122" s="132"/>
      <c r="BD122" s="133"/>
      <c r="BE122" s="132"/>
      <c r="BF122" s="134"/>
      <c r="BG122" s="135"/>
      <c r="BH122" s="135"/>
      <c r="BI122" s="136"/>
      <c r="BJ122" s="136"/>
      <c r="BK122" s="136"/>
      <c r="BL122" s="136"/>
      <c r="BM122" s="137"/>
      <c r="BN122" s="137"/>
      <c r="BO122" s="75">
        <f>LOOKUP(D122,基础数据!A:D)</f>
        <v>3.53915880885741</v>
      </c>
      <c r="BP122" s="75">
        <f t="shared" si="52"/>
        <v>1.00524445538374</v>
      </c>
      <c r="BQ122" s="75">
        <f t="shared" si="42"/>
        <v>3</v>
      </c>
      <c r="BR122" s="272">
        <f t="shared" si="56"/>
        <v>3</v>
      </c>
      <c r="BS122" s="156">
        <f t="shared" si="43"/>
        <v>0.35</v>
      </c>
      <c r="BT122" s="186">
        <v>0.01</v>
      </c>
      <c r="BU122" s="156">
        <f t="shared" si="44"/>
        <v>0.03</v>
      </c>
      <c r="BV122" s="156">
        <f t="shared" si="45"/>
        <v>0</v>
      </c>
      <c r="BW122" s="156">
        <f t="shared" si="51"/>
        <v>3</v>
      </c>
      <c r="BX122" s="156">
        <f t="shared" si="46"/>
        <v>7.58110882956879</v>
      </c>
      <c r="BY122" s="1207" t="s">
        <v>2806</v>
      </c>
      <c r="BZ122" s="272">
        <v>30</v>
      </c>
      <c r="CA122" s="186">
        <f t="shared" si="47"/>
        <v>0.75</v>
      </c>
      <c r="CB122" s="186">
        <f t="shared" si="48"/>
        <v>0.75</v>
      </c>
      <c r="CC122" s="186">
        <f t="shared" si="49"/>
        <v>0.75</v>
      </c>
      <c r="CD122" s="272"/>
      <c r="CF122" s="134"/>
      <c r="CG122" s="138"/>
      <c r="CH122" s="132"/>
      <c r="CI122" s="138"/>
      <c r="CJ122" s="132"/>
      <c r="CK122" s="132"/>
      <c r="CL122" s="134"/>
      <c r="CM122" s="146"/>
    </row>
    <row r="123" ht="15" customHeight="1" spans="1:91">
      <c r="A123" s="123">
        <f>IF(B123="","",COUNT(A$7:A122)+1)</f>
        <v>116</v>
      </c>
      <c r="B123" s="139" t="s">
        <v>2829</v>
      </c>
      <c r="C123" s="139" t="s">
        <v>2850</v>
      </c>
      <c r="D123" s="1209">
        <v>43100</v>
      </c>
      <c r="E123" s="1210">
        <v>536.2</v>
      </c>
      <c r="F123" s="219" t="s">
        <v>2770</v>
      </c>
      <c r="G123" s="142"/>
      <c r="H123" s="127"/>
      <c r="I123" s="128"/>
      <c r="J123" s="128"/>
      <c r="K123" s="980">
        <v>28</v>
      </c>
      <c r="L123" s="143"/>
      <c r="M123" s="143"/>
      <c r="N123" s="144"/>
      <c r="O123" s="144"/>
      <c r="P123" s="144"/>
      <c r="Q123" s="353">
        <f t="shared" si="33"/>
        <v>28</v>
      </c>
      <c r="R123" s="129">
        <f t="shared" si="34"/>
        <v>0</v>
      </c>
      <c r="S123" s="129">
        <f t="shared" si="35"/>
        <v>0</v>
      </c>
      <c r="T123" s="129">
        <f t="shared" si="36"/>
        <v>28</v>
      </c>
      <c r="U123" s="129">
        <f t="shared" si="37"/>
        <v>560</v>
      </c>
      <c r="V123" s="214">
        <f t="shared" si="38"/>
        <v>75</v>
      </c>
      <c r="W123" s="353">
        <f t="shared" si="39"/>
        <v>420</v>
      </c>
      <c r="X123" s="129">
        <f t="shared" si="40"/>
        <v>420</v>
      </c>
      <c r="Y123" s="129" t="str">
        <f t="shared" si="41"/>
        <v/>
      </c>
      <c r="Z123" s="145"/>
      <c r="BA123" s="75" t="e">
        <f t="shared" si="50"/>
        <v>#DIV/0!</v>
      </c>
      <c r="BB123" s="78"/>
      <c r="BC123" s="132"/>
      <c r="BD123" s="133"/>
      <c r="BE123" s="132"/>
      <c r="BF123" s="134"/>
      <c r="BG123" s="135"/>
      <c r="BH123" s="135"/>
      <c r="BI123" s="136"/>
      <c r="BJ123" s="136"/>
      <c r="BK123" s="136"/>
      <c r="BL123" s="136"/>
      <c r="BM123" s="137"/>
      <c r="BN123" s="137"/>
      <c r="BO123" s="75">
        <f>LOOKUP(D123,基础数据!A:D)</f>
        <v>3.53915880885741</v>
      </c>
      <c r="BP123" s="75">
        <f t="shared" si="52"/>
        <v>1.00524445538374</v>
      </c>
      <c r="BQ123" s="75">
        <f t="shared" si="42"/>
        <v>19</v>
      </c>
      <c r="BR123" s="272">
        <f t="shared" si="56"/>
        <v>21</v>
      </c>
      <c r="BS123" s="156">
        <f t="shared" si="43"/>
        <v>2.42</v>
      </c>
      <c r="BT123" s="1211">
        <v>0.06</v>
      </c>
      <c r="BU123" s="156">
        <f t="shared" si="44"/>
        <v>1.26</v>
      </c>
      <c r="BV123" s="156">
        <f t="shared" si="45"/>
        <v>0.1</v>
      </c>
      <c r="BW123" s="156">
        <f t="shared" si="51"/>
        <v>20</v>
      </c>
      <c r="BX123" s="156">
        <f t="shared" si="46"/>
        <v>7.58110882956879</v>
      </c>
      <c r="BY123" s="1207" t="s">
        <v>2806</v>
      </c>
      <c r="BZ123" s="272">
        <v>30</v>
      </c>
      <c r="CA123" s="186">
        <f t="shared" si="47"/>
        <v>0.75</v>
      </c>
      <c r="CB123" s="186">
        <f t="shared" si="48"/>
        <v>0.75</v>
      </c>
      <c r="CC123" s="186">
        <f t="shared" si="49"/>
        <v>0.75</v>
      </c>
      <c r="CD123" s="272"/>
      <c r="CF123" s="134"/>
      <c r="CG123" s="138"/>
      <c r="CH123" s="132"/>
      <c r="CI123" s="138"/>
      <c r="CJ123" s="132"/>
      <c r="CK123" s="132"/>
      <c r="CL123" s="134"/>
      <c r="CM123" s="146"/>
    </row>
    <row r="124" ht="15" hidden="1" customHeight="1" spans="1:91">
      <c r="A124" s="123">
        <f>IF(B124="","",COUNT(A$7:A123)+1)</f>
        <v>117</v>
      </c>
      <c r="B124" s="139" t="s">
        <v>2835</v>
      </c>
      <c r="C124" s="139" t="s">
        <v>2842</v>
      </c>
      <c r="D124" s="1209">
        <v>44908</v>
      </c>
      <c r="E124" s="1210">
        <v>517.4</v>
      </c>
      <c r="F124" s="219" t="s">
        <v>2770</v>
      </c>
      <c r="G124" s="142"/>
      <c r="H124" s="127"/>
      <c r="I124" s="128"/>
      <c r="J124" s="128"/>
      <c r="K124" s="980">
        <v>20</v>
      </c>
      <c r="L124" s="143"/>
      <c r="M124" s="143"/>
      <c r="N124" s="144"/>
      <c r="O124" s="144"/>
      <c r="P124" s="144"/>
      <c r="Q124" s="353">
        <f t="shared" si="33"/>
        <v>20</v>
      </c>
      <c r="R124" s="129">
        <f t="shared" si="34"/>
        <v>0</v>
      </c>
      <c r="S124" s="129">
        <f t="shared" si="35"/>
        <v>0</v>
      </c>
      <c r="T124" s="129">
        <f t="shared" si="36"/>
        <v>20</v>
      </c>
      <c r="U124" s="129">
        <f t="shared" si="37"/>
        <v>480</v>
      </c>
      <c r="V124" s="214">
        <f t="shared" si="38"/>
        <v>91</v>
      </c>
      <c r="W124" s="353">
        <f t="shared" si="39"/>
        <v>436.8</v>
      </c>
      <c r="X124" s="129">
        <f t="shared" si="40"/>
        <v>436.8</v>
      </c>
      <c r="Y124" s="129" t="str">
        <f t="shared" si="41"/>
        <v/>
      </c>
      <c r="Z124" s="145"/>
      <c r="BA124" s="75" t="e">
        <f t="shared" si="50"/>
        <v>#DIV/0!</v>
      </c>
      <c r="BB124" s="78"/>
      <c r="BC124" s="132"/>
      <c r="BD124" s="133"/>
      <c r="BE124" s="132"/>
      <c r="BF124" s="134"/>
      <c r="BG124" s="135"/>
      <c r="BH124" s="135"/>
      <c r="BI124" s="136"/>
      <c r="BJ124" s="136"/>
      <c r="BK124" s="136"/>
      <c r="BL124" s="136"/>
      <c r="BM124" s="137"/>
      <c r="BN124" s="137"/>
      <c r="BO124" s="75">
        <f>LOOKUP(D124,基础数据!A:D)</f>
        <v>3.84333367100529</v>
      </c>
      <c r="BP124" s="75">
        <f t="shared" si="52"/>
        <v>0.92568589507761</v>
      </c>
      <c r="BQ124" s="75">
        <f t="shared" si="42"/>
        <v>24</v>
      </c>
      <c r="BR124" s="272">
        <f t="shared" si="56"/>
        <v>27</v>
      </c>
      <c r="BS124" s="156">
        <f t="shared" si="43"/>
        <v>3.11</v>
      </c>
      <c r="BT124" s="186">
        <v>0.01</v>
      </c>
      <c r="BU124" s="156">
        <f t="shared" si="44"/>
        <v>0.27</v>
      </c>
      <c r="BV124" s="156">
        <f t="shared" si="45"/>
        <v>0.02</v>
      </c>
      <c r="BW124" s="156">
        <f t="shared" si="51"/>
        <v>24</v>
      </c>
      <c r="BX124" s="156">
        <f t="shared" si="46"/>
        <v>2.63107460643395</v>
      </c>
      <c r="BY124" s="1207" t="s">
        <v>2806</v>
      </c>
      <c r="BZ124" s="272">
        <v>30</v>
      </c>
      <c r="CA124" s="186">
        <f t="shared" si="47"/>
        <v>0.91</v>
      </c>
      <c r="CB124" s="186">
        <f t="shared" si="48"/>
        <v>0.91</v>
      </c>
      <c r="CC124" s="186">
        <f t="shared" si="49"/>
        <v>0.91</v>
      </c>
      <c r="CD124" s="272"/>
      <c r="CF124" s="134"/>
      <c r="CG124" s="138"/>
      <c r="CH124" s="132"/>
      <c r="CI124" s="138"/>
      <c r="CJ124" s="132"/>
      <c r="CK124" s="132"/>
      <c r="CL124" s="134"/>
      <c r="CM124" s="146"/>
    </row>
    <row r="125" ht="15" customHeight="1" spans="1:91">
      <c r="A125" s="123">
        <f>IF(B125="","",COUNT(A$7:A124)+1)</f>
        <v>118</v>
      </c>
      <c r="B125" s="139" t="s">
        <v>2829</v>
      </c>
      <c r="C125" s="139" t="s">
        <v>2839</v>
      </c>
      <c r="D125" s="1209">
        <v>43100</v>
      </c>
      <c r="E125" s="1210">
        <v>73.8</v>
      </c>
      <c r="F125" s="219" t="s">
        <v>2770</v>
      </c>
      <c r="G125" s="142"/>
      <c r="H125" s="127"/>
      <c r="I125" s="128"/>
      <c r="J125" s="128"/>
      <c r="K125" s="980">
        <v>12</v>
      </c>
      <c r="L125" s="143"/>
      <c r="M125" s="143"/>
      <c r="N125" s="144"/>
      <c r="O125" s="144"/>
      <c r="P125" s="144"/>
      <c r="Q125" s="353">
        <f t="shared" si="33"/>
        <v>12</v>
      </c>
      <c r="R125" s="129">
        <f t="shared" si="34"/>
        <v>0</v>
      </c>
      <c r="S125" s="129">
        <f t="shared" si="35"/>
        <v>0</v>
      </c>
      <c r="T125" s="129">
        <f t="shared" si="36"/>
        <v>12</v>
      </c>
      <c r="U125" s="129">
        <f t="shared" si="37"/>
        <v>84</v>
      </c>
      <c r="V125" s="214">
        <f t="shared" si="38"/>
        <v>75</v>
      </c>
      <c r="W125" s="353">
        <f t="shared" si="39"/>
        <v>63</v>
      </c>
      <c r="X125" s="129">
        <f t="shared" si="40"/>
        <v>63</v>
      </c>
      <c r="Y125" s="129" t="str">
        <f t="shared" si="41"/>
        <v/>
      </c>
      <c r="Z125" s="145"/>
      <c r="BA125" s="75" t="e">
        <f t="shared" si="50"/>
        <v>#DIV/0!</v>
      </c>
      <c r="BB125" s="78"/>
      <c r="BC125" s="132"/>
      <c r="BD125" s="133"/>
      <c r="BE125" s="132"/>
      <c r="BF125" s="134"/>
      <c r="BG125" s="135"/>
      <c r="BH125" s="135"/>
      <c r="BI125" s="136"/>
      <c r="BJ125" s="136"/>
      <c r="BK125" s="136"/>
      <c r="BL125" s="136"/>
      <c r="BM125" s="137"/>
      <c r="BN125" s="137"/>
      <c r="BO125" s="75">
        <f>LOOKUP(D125,基础数据!A:D)</f>
        <v>3.53915880885741</v>
      </c>
      <c r="BP125" s="75">
        <f t="shared" si="52"/>
        <v>1.00524445538374</v>
      </c>
      <c r="BQ125" s="75">
        <f t="shared" si="42"/>
        <v>6</v>
      </c>
      <c r="BR125" s="272">
        <f t="shared" si="56"/>
        <v>7</v>
      </c>
      <c r="BS125" s="156">
        <f t="shared" si="43"/>
        <v>0.81</v>
      </c>
      <c r="BT125" s="1211">
        <v>0.06</v>
      </c>
      <c r="BU125" s="156">
        <f t="shared" si="44"/>
        <v>0.42</v>
      </c>
      <c r="BV125" s="156">
        <f t="shared" si="45"/>
        <v>0.03</v>
      </c>
      <c r="BW125" s="156">
        <f t="shared" si="51"/>
        <v>7</v>
      </c>
      <c r="BX125" s="156">
        <f t="shared" si="46"/>
        <v>7.58110882956879</v>
      </c>
      <c r="BY125" s="1207" t="s">
        <v>2806</v>
      </c>
      <c r="BZ125" s="272">
        <v>30</v>
      </c>
      <c r="CA125" s="186">
        <f t="shared" si="47"/>
        <v>0.75</v>
      </c>
      <c r="CB125" s="186">
        <f t="shared" si="48"/>
        <v>0.75</v>
      </c>
      <c r="CC125" s="186">
        <f t="shared" si="49"/>
        <v>0.75</v>
      </c>
      <c r="CD125" s="272"/>
      <c r="CF125" s="134"/>
      <c r="CG125" s="138"/>
      <c r="CH125" s="132"/>
      <c r="CI125" s="138"/>
      <c r="CJ125" s="132"/>
      <c r="CK125" s="132"/>
      <c r="CL125" s="134"/>
      <c r="CM125" s="146"/>
    </row>
    <row r="126" ht="15" customHeight="1" spans="1:91">
      <c r="A126" s="123">
        <f>IF(B126="","",COUNT(A$7:A125)+1)</f>
        <v>119</v>
      </c>
      <c r="B126" s="139" t="s">
        <v>2829</v>
      </c>
      <c r="C126" s="139" t="s">
        <v>2838</v>
      </c>
      <c r="D126" s="1209">
        <v>43100</v>
      </c>
      <c r="E126" s="1210">
        <v>1182.5</v>
      </c>
      <c r="F126" s="219" t="s">
        <v>2770</v>
      </c>
      <c r="G126" s="142"/>
      <c r="H126" s="127"/>
      <c r="I126" s="128"/>
      <c r="J126" s="128"/>
      <c r="K126" s="980">
        <v>50</v>
      </c>
      <c r="L126" s="143"/>
      <c r="M126" s="143"/>
      <c r="N126" s="144"/>
      <c r="O126" s="144"/>
      <c r="P126" s="144"/>
      <c r="Q126" s="353">
        <f t="shared" si="33"/>
        <v>50</v>
      </c>
      <c r="R126" s="129">
        <f t="shared" si="34"/>
        <v>0</v>
      </c>
      <c r="S126" s="129">
        <f t="shared" si="35"/>
        <v>0</v>
      </c>
      <c r="T126" s="129">
        <f t="shared" si="36"/>
        <v>50</v>
      </c>
      <c r="U126" s="129">
        <f t="shared" si="37"/>
        <v>1250</v>
      </c>
      <c r="V126" s="214">
        <f t="shared" si="38"/>
        <v>75</v>
      </c>
      <c r="W126" s="353">
        <f t="shared" si="39"/>
        <v>937.5</v>
      </c>
      <c r="X126" s="129">
        <f t="shared" si="40"/>
        <v>937.5</v>
      </c>
      <c r="Y126" s="129" t="str">
        <f t="shared" si="41"/>
        <v/>
      </c>
      <c r="Z126" s="145"/>
      <c r="BA126" s="75" t="e">
        <f t="shared" si="50"/>
        <v>#DIV/0!</v>
      </c>
      <c r="BB126" s="78"/>
      <c r="BC126" s="132"/>
      <c r="BD126" s="133"/>
      <c r="BE126" s="132"/>
      <c r="BF126" s="134"/>
      <c r="BG126" s="135"/>
      <c r="BH126" s="135"/>
      <c r="BI126" s="136"/>
      <c r="BJ126" s="136"/>
      <c r="BK126" s="136"/>
      <c r="BL126" s="136"/>
      <c r="BM126" s="137"/>
      <c r="BN126" s="137"/>
      <c r="BO126" s="75">
        <f>LOOKUP(D126,基础数据!A:D)</f>
        <v>3.53915880885741</v>
      </c>
      <c r="BP126" s="75">
        <f t="shared" si="52"/>
        <v>1.00524445538374</v>
      </c>
      <c r="BQ126" s="75">
        <f t="shared" si="42"/>
        <v>24</v>
      </c>
      <c r="BR126" s="272">
        <f t="shared" si="56"/>
        <v>27</v>
      </c>
      <c r="BS126" s="156">
        <f t="shared" si="43"/>
        <v>3.11</v>
      </c>
      <c r="BT126" s="1211">
        <v>0.06</v>
      </c>
      <c r="BU126" s="156">
        <f t="shared" si="44"/>
        <v>1.62</v>
      </c>
      <c r="BV126" s="156">
        <f t="shared" si="45"/>
        <v>0.13</v>
      </c>
      <c r="BW126" s="156">
        <f t="shared" si="51"/>
        <v>25</v>
      </c>
      <c r="BX126" s="156">
        <f t="shared" si="46"/>
        <v>7.58110882956879</v>
      </c>
      <c r="BY126" s="1207" t="s">
        <v>2806</v>
      </c>
      <c r="BZ126" s="272">
        <v>30</v>
      </c>
      <c r="CA126" s="186">
        <f t="shared" si="47"/>
        <v>0.75</v>
      </c>
      <c r="CB126" s="186">
        <f t="shared" si="48"/>
        <v>0.75</v>
      </c>
      <c r="CC126" s="186">
        <f t="shared" si="49"/>
        <v>0.75</v>
      </c>
      <c r="CD126" s="272"/>
      <c r="CF126" s="134"/>
      <c r="CG126" s="138"/>
      <c r="CH126" s="132"/>
      <c r="CI126" s="138"/>
      <c r="CJ126" s="132"/>
      <c r="CK126" s="132"/>
      <c r="CL126" s="134"/>
      <c r="CM126" s="146"/>
    </row>
    <row r="127" ht="15" customHeight="1" spans="1:91">
      <c r="A127" s="123">
        <f>IF(B127="","",COUNT(A$7:A126)+1)</f>
        <v>120</v>
      </c>
      <c r="B127" s="139" t="s">
        <v>2824</v>
      </c>
      <c r="C127" s="139" t="s">
        <v>2852</v>
      </c>
      <c r="D127" s="1209">
        <v>43100</v>
      </c>
      <c r="E127" s="1210">
        <v>12753.6</v>
      </c>
      <c r="F127" s="219" t="s">
        <v>2770</v>
      </c>
      <c r="G127" s="142"/>
      <c r="H127" s="127"/>
      <c r="I127" s="128"/>
      <c r="J127" s="128"/>
      <c r="K127" s="980">
        <v>80</v>
      </c>
      <c r="L127" s="143"/>
      <c r="M127" s="143"/>
      <c r="N127" s="144"/>
      <c r="O127" s="144"/>
      <c r="P127" s="144"/>
      <c r="Q127" s="353">
        <f t="shared" si="33"/>
        <v>80</v>
      </c>
      <c r="R127" s="129">
        <f t="shared" si="34"/>
        <v>0</v>
      </c>
      <c r="S127" s="129">
        <f t="shared" si="35"/>
        <v>0</v>
      </c>
      <c r="T127" s="129">
        <f t="shared" si="36"/>
        <v>80</v>
      </c>
      <c r="U127" s="129">
        <f t="shared" si="37"/>
        <v>13600</v>
      </c>
      <c r="V127" s="214">
        <f t="shared" si="38"/>
        <v>75</v>
      </c>
      <c r="W127" s="353">
        <f t="shared" si="39"/>
        <v>10200</v>
      </c>
      <c r="X127" s="129">
        <f t="shared" si="40"/>
        <v>10200</v>
      </c>
      <c r="Y127" s="129" t="str">
        <f t="shared" si="41"/>
        <v/>
      </c>
      <c r="Z127" s="145"/>
      <c r="BA127" s="75" t="e">
        <f t="shared" si="50"/>
        <v>#DIV/0!</v>
      </c>
      <c r="BB127" s="78"/>
      <c r="BC127" s="132"/>
      <c r="BD127" s="133"/>
      <c r="BE127" s="132"/>
      <c r="BF127" s="134"/>
      <c r="BG127" s="135"/>
      <c r="BH127" s="135"/>
      <c r="BI127" s="136"/>
      <c r="BJ127" s="136"/>
      <c r="BK127" s="136"/>
      <c r="BL127" s="136"/>
      <c r="BM127" s="137"/>
      <c r="BN127" s="137"/>
      <c r="BO127" s="75">
        <f>LOOKUP(D127,基础数据!A:D)</f>
        <v>3.53915880885741</v>
      </c>
      <c r="BP127" s="75">
        <f t="shared" si="52"/>
        <v>1.00524445538374</v>
      </c>
      <c r="BQ127" s="75">
        <f t="shared" si="42"/>
        <v>160</v>
      </c>
      <c r="BR127" s="272">
        <f t="shared" si="56"/>
        <v>181</v>
      </c>
      <c r="BS127" s="156">
        <f t="shared" si="43"/>
        <v>20.82</v>
      </c>
      <c r="BT127" s="1211">
        <v>0.06</v>
      </c>
      <c r="BU127" s="156">
        <f t="shared" si="44"/>
        <v>10.86</v>
      </c>
      <c r="BV127" s="156">
        <f t="shared" si="45"/>
        <v>0.9</v>
      </c>
      <c r="BW127" s="156">
        <f t="shared" si="51"/>
        <v>170</v>
      </c>
      <c r="BX127" s="156">
        <f t="shared" si="46"/>
        <v>7.58110882956879</v>
      </c>
      <c r="BY127" s="1207" t="s">
        <v>2806</v>
      </c>
      <c r="BZ127" s="272">
        <v>30</v>
      </c>
      <c r="CA127" s="186">
        <f t="shared" si="47"/>
        <v>0.75</v>
      </c>
      <c r="CB127" s="186">
        <f t="shared" si="48"/>
        <v>0.75</v>
      </c>
      <c r="CC127" s="186">
        <f t="shared" si="49"/>
        <v>0.75</v>
      </c>
      <c r="CD127" s="272"/>
      <c r="CF127" s="134"/>
      <c r="CG127" s="138"/>
      <c r="CH127" s="132"/>
      <c r="CI127" s="138"/>
      <c r="CJ127" s="132"/>
      <c r="CK127" s="132"/>
      <c r="CL127" s="134"/>
      <c r="CM127" s="146"/>
    </row>
    <row r="128" ht="15" hidden="1" customHeight="1" spans="1:91">
      <c r="A128" s="123">
        <f>IF(B128="","",COUNT(A$7:A127)+1)</f>
        <v>121</v>
      </c>
      <c r="B128" s="139" t="s">
        <v>2835</v>
      </c>
      <c r="C128" s="139" t="s">
        <v>2842</v>
      </c>
      <c r="D128" s="1209">
        <v>44908</v>
      </c>
      <c r="E128" s="1210">
        <v>2587</v>
      </c>
      <c r="F128" s="219" t="s">
        <v>2770</v>
      </c>
      <c r="G128" s="142"/>
      <c r="H128" s="127"/>
      <c r="I128" s="128"/>
      <c r="J128" s="128"/>
      <c r="K128" s="980">
        <v>100</v>
      </c>
      <c r="L128" s="143"/>
      <c r="M128" s="143"/>
      <c r="N128" s="144"/>
      <c r="O128" s="144"/>
      <c r="P128" s="144"/>
      <c r="Q128" s="353">
        <f t="shared" si="33"/>
        <v>100</v>
      </c>
      <c r="R128" s="129">
        <f t="shared" si="34"/>
        <v>0</v>
      </c>
      <c r="S128" s="129">
        <f t="shared" si="35"/>
        <v>0</v>
      </c>
      <c r="T128" s="129">
        <f t="shared" si="36"/>
        <v>100</v>
      </c>
      <c r="U128" s="129">
        <f t="shared" si="37"/>
        <v>2400</v>
      </c>
      <c r="V128" s="214">
        <f t="shared" si="38"/>
        <v>91</v>
      </c>
      <c r="W128" s="353">
        <f t="shared" si="39"/>
        <v>2184</v>
      </c>
      <c r="X128" s="129">
        <f t="shared" si="40"/>
        <v>2184</v>
      </c>
      <c r="Y128" s="129" t="str">
        <f t="shared" si="41"/>
        <v/>
      </c>
      <c r="Z128" s="145"/>
      <c r="BA128" s="75" t="e">
        <f t="shared" si="50"/>
        <v>#DIV/0!</v>
      </c>
      <c r="BB128" s="78"/>
      <c r="BC128" s="132"/>
      <c r="BD128" s="133"/>
      <c r="BE128" s="132"/>
      <c r="BF128" s="134"/>
      <c r="BG128" s="135"/>
      <c r="BH128" s="135"/>
      <c r="BI128" s="136"/>
      <c r="BJ128" s="136"/>
      <c r="BK128" s="136"/>
      <c r="BL128" s="136"/>
      <c r="BM128" s="137"/>
      <c r="BN128" s="137"/>
      <c r="BO128" s="75">
        <f>LOOKUP(D128,基础数据!A:D)</f>
        <v>3.84333367100529</v>
      </c>
      <c r="BP128" s="75">
        <f t="shared" si="52"/>
        <v>0.92568589507761</v>
      </c>
      <c r="BQ128" s="75">
        <f t="shared" si="42"/>
        <v>24</v>
      </c>
      <c r="BR128" s="272">
        <f t="shared" si="56"/>
        <v>27</v>
      </c>
      <c r="BS128" s="156">
        <f t="shared" si="43"/>
        <v>3.11</v>
      </c>
      <c r="BT128" s="186">
        <v>0.01</v>
      </c>
      <c r="BU128" s="156">
        <f t="shared" si="44"/>
        <v>0.27</v>
      </c>
      <c r="BV128" s="156">
        <f t="shared" si="45"/>
        <v>0.02</v>
      </c>
      <c r="BW128" s="156">
        <f t="shared" si="51"/>
        <v>24</v>
      </c>
      <c r="BX128" s="156">
        <f t="shared" si="46"/>
        <v>2.63107460643395</v>
      </c>
      <c r="BY128" s="1207" t="s">
        <v>2806</v>
      </c>
      <c r="BZ128" s="272">
        <v>30</v>
      </c>
      <c r="CA128" s="186">
        <f t="shared" si="47"/>
        <v>0.91</v>
      </c>
      <c r="CB128" s="186">
        <f t="shared" si="48"/>
        <v>0.91</v>
      </c>
      <c r="CC128" s="186">
        <f t="shared" si="49"/>
        <v>0.91</v>
      </c>
      <c r="CD128" s="272"/>
      <c r="CF128" s="134"/>
      <c r="CG128" s="138"/>
      <c r="CH128" s="132"/>
      <c r="CI128" s="138"/>
      <c r="CJ128" s="132"/>
      <c r="CK128" s="132"/>
      <c r="CL128" s="134"/>
      <c r="CM128" s="146"/>
    </row>
    <row r="129" ht="15" hidden="1" customHeight="1" spans="1:91">
      <c r="A129" s="123">
        <f>IF(B129="","",COUNT(A$7:A128)+1)</f>
        <v>122</v>
      </c>
      <c r="B129" s="139" t="s">
        <v>2835</v>
      </c>
      <c r="C129" s="139" t="s">
        <v>2842</v>
      </c>
      <c r="D129" s="1209">
        <v>44908</v>
      </c>
      <c r="E129" s="1210">
        <v>1552.2</v>
      </c>
      <c r="F129" s="219" t="s">
        <v>2770</v>
      </c>
      <c r="G129" s="142"/>
      <c r="H129" s="127"/>
      <c r="I129" s="128"/>
      <c r="J129" s="128"/>
      <c r="K129" s="980">
        <v>60</v>
      </c>
      <c r="L129" s="143"/>
      <c r="M129" s="143"/>
      <c r="N129" s="144"/>
      <c r="O129" s="144"/>
      <c r="P129" s="144"/>
      <c r="Q129" s="353">
        <f t="shared" si="33"/>
        <v>60</v>
      </c>
      <c r="R129" s="129">
        <f t="shared" si="34"/>
        <v>0</v>
      </c>
      <c r="S129" s="129">
        <f t="shared" si="35"/>
        <v>0</v>
      </c>
      <c r="T129" s="129">
        <f t="shared" si="36"/>
        <v>60</v>
      </c>
      <c r="U129" s="129">
        <f t="shared" si="37"/>
        <v>1440</v>
      </c>
      <c r="V129" s="214">
        <f t="shared" si="38"/>
        <v>91</v>
      </c>
      <c r="W129" s="353">
        <f t="shared" si="39"/>
        <v>1310.4</v>
      </c>
      <c r="X129" s="129">
        <f t="shared" si="40"/>
        <v>1310.4</v>
      </c>
      <c r="Y129" s="129" t="str">
        <f t="shared" si="41"/>
        <v/>
      </c>
      <c r="Z129" s="145"/>
      <c r="BA129" s="75" t="e">
        <f t="shared" si="50"/>
        <v>#DIV/0!</v>
      </c>
      <c r="BB129" s="78"/>
      <c r="BC129" s="132"/>
      <c r="BD129" s="133"/>
      <c r="BE129" s="132"/>
      <c r="BF129" s="134"/>
      <c r="BG129" s="135"/>
      <c r="BH129" s="135"/>
      <c r="BI129" s="136"/>
      <c r="BJ129" s="136"/>
      <c r="BK129" s="136"/>
      <c r="BL129" s="136"/>
      <c r="BM129" s="137"/>
      <c r="BN129" s="137"/>
      <c r="BO129" s="75">
        <f>LOOKUP(D129,基础数据!A:D)</f>
        <v>3.84333367100529</v>
      </c>
      <c r="BP129" s="75">
        <f t="shared" si="52"/>
        <v>0.92568589507761</v>
      </c>
      <c r="BQ129" s="75">
        <f t="shared" si="42"/>
        <v>24</v>
      </c>
      <c r="BR129" s="272">
        <f t="shared" si="56"/>
        <v>27</v>
      </c>
      <c r="BS129" s="156">
        <f t="shared" si="43"/>
        <v>3.11</v>
      </c>
      <c r="BT129" s="186">
        <v>0.01</v>
      </c>
      <c r="BU129" s="156">
        <f t="shared" si="44"/>
        <v>0.27</v>
      </c>
      <c r="BV129" s="156">
        <f t="shared" si="45"/>
        <v>0.02</v>
      </c>
      <c r="BW129" s="156">
        <f t="shared" si="51"/>
        <v>24</v>
      </c>
      <c r="BX129" s="156">
        <f t="shared" si="46"/>
        <v>2.63107460643395</v>
      </c>
      <c r="BY129" s="1207" t="s">
        <v>2806</v>
      </c>
      <c r="BZ129" s="272">
        <v>30</v>
      </c>
      <c r="CA129" s="186">
        <f t="shared" si="47"/>
        <v>0.91</v>
      </c>
      <c r="CB129" s="186">
        <f t="shared" si="48"/>
        <v>0.91</v>
      </c>
      <c r="CC129" s="186">
        <f t="shared" si="49"/>
        <v>0.91</v>
      </c>
      <c r="CD129" s="272"/>
      <c r="CF129" s="134"/>
      <c r="CG129" s="138"/>
      <c r="CH129" s="132"/>
      <c r="CI129" s="138"/>
      <c r="CJ129" s="132"/>
      <c r="CK129" s="132"/>
      <c r="CL129" s="134"/>
      <c r="CM129" s="146"/>
    </row>
    <row r="130" ht="15" customHeight="1" spans="1:91">
      <c r="A130" s="123">
        <f>IF(B130="","",COUNT(A$7:A129)+1)</f>
        <v>123</v>
      </c>
      <c r="B130" s="139" t="s">
        <v>2829</v>
      </c>
      <c r="C130" s="139" t="s">
        <v>2840</v>
      </c>
      <c r="D130" s="1209">
        <v>43100</v>
      </c>
      <c r="E130" s="1210">
        <v>862.65</v>
      </c>
      <c r="F130" s="219" t="s">
        <v>2770</v>
      </c>
      <c r="G130" s="142"/>
      <c r="H130" s="127"/>
      <c r="I130" s="128"/>
      <c r="J130" s="128"/>
      <c r="K130" s="980">
        <v>15</v>
      </c>
      <c r="L130" s="143"/>
      <c r="M130" s="143"/>
      <c r="N130" s="144"/>
      <c r="O130" s="144"/>
      <c r="P130" s="144"/>
      <c r="Q130" s="353">
        <f t="shared" si="33"/>
        <v>15</v>
      </c>
      <c r="R130" s="129">
        <f t="shared" si="34"/>
        <v>0</v>
      </c>
      <c r="S130" s="129">
        <f t="shared" si="35"/>
        <v>0</v>
      </c>
      <c r="T130" s="129">
        <f t="shared" si="36"/>
        <v>15</v>
      </c>
      <c r="U130" s="129">
        <f t="shared" si="37"/>
        <v>840</v>
      </c>
      <c r="V130" s="214">
        <f t="shared" si="38"/>
        <v>75</v>
      </c>
      <c r="W130" s="353">
        <f t="shared" si="39"/>
        <v>630</v>
      </c>
      <c r="X130" s="129">
        <f t="shared" si="40"/>
        <v>630</v>
      </c>
      <c r="Y130" s="129" t="str">
        <f t="shared" si="41"/>
        <v/>
      </c>
      <c r="Z130" s="145"/>
      <c r="BA130" s="75" t="e">
        <f t="shared" si="50"/>
        <v>#DIV/0!</v>
      </c>
      <c r="BB130" s="78"/>
      <c r="BC130" s="132"/>
      <c r="BD130" s="133"/>
      <c r="BE130" s="132"/>
      <c r="BF130" s="134"/>
      <c r="BG130" s="135"/>
      <c r="BH130" s="135"/>
      <c r="BI130" s="136"/>
      <c r="BJ130" s="136"/>
      <c r="BK130" s="136"/>
      <c r="BL130" s="136"/>
      <c r="BM130" s="137"/>
      <c r="BN130" s="137"/>
      <c r="BO130" s="75">
        <f>LOOKUP(D130,基础数据!A:D)</f>
        <v>3.53915880885741</v>
      </c>
      <c r="BP130" s="75">
        <f t="shared" si="52"/>
        <v>1.00524445538374</v>
      </c>
      <c r="BQ130" s="75">
        <f t="shared" si="42"/>
        <v>58</v>
      </c>
      <c r="BR130" s="272">
        <v>59.63</v>
      </c>
      <c r="BS130" s="156">
        <f t="shared" si="43"/>
        <v>6.86</v>
      </c>
      <c r="BT130" s="1211">
        <v>0.06</v>
      </c>
      <c r="BU130" s="156">
        <f t="shared" si="44"/>
        <v>3.58</v>
      </c>
      <c r="BV130" s="156">
        <f t="shared" si="45"/>
        <v>0.3</v>
      </c>
      <c r="BW130" s="156">
        <f t="shared" si="51"/>
        <v>56</v>
      </c>
      <c r="BX130" s="156">
        <f t="shared" si="46"/>
        <v>7.58110882956879</v>
      </c>
      <c r="BY130" s="1207" t="s">
        <v>2806</v>
      </c>
      <c r="BZ130" s="272">
        <v>30</v>
      </c>
      <c r="CA130" s="186">
        <f t="shared" si="47"/>
        <v>0.75</v>
      </c>
      <c r="CB130" s="186">
        <f t="shared" si="48"/>
        <v>0.75</v>
      </c>
      <c r="CC130" s="186">
        <f t="shared" si="49"/>
        <v>0.75</v>
      </c>
      <c r="CD130" s="1208" t="s">
        <v>2841</v>
      </c>
      <c r="CF130" s="134"/>
      <c r="CG130" s="138"/>
      <c r="CH130" s="132"/>
      <c r="CI130" s="138"/>
      <c r="CJ130" s="132"/>
      <c r="CK130" s="132"/>
      <c r="CL130" s="134"/>
      <c r="CM130" s="146"/>
    </row>
    <row r="131" ht="15" customHeight="1" spans="1:91">
      <c r="A131" s="123">
        <f>IF(B131="","",COUNT(A$7:A130)+1)</f>
        <v>124</v>
      </c>
      <c r="B131" s="139" t="s">
        <v>2829</v>
      </c>
      <c r="C131" s="139" t="s">
        <v>2839</v>
      </c>
      <c r="D131" s="1209">
        <v>43100</v>
      </c>
      <c r="E131" s="1210">
        <v>307.5</v>
      </c>
      <c r="F131" s="219" t="s">
        <v>2770</v>
      </c>
      <c r="G131" s="142"/>
      <c r="H131" s="127"/>
      <c r="I131" s="128"/>
      <c r="J131" s="128"/>
      <c r="K131" s="980">
        <v>50</v>
      </c>
      <c r="L131" s="143"/>
      <c r="M131" s="143"/>
      <c r="N131" s="144"/>
      <c r="O131" s="144"/>
      <c r="P131" s="144"/>
      <c r="Q131" s="353">
        <f t="shared" si="33"/>
        <v>50</v>
      </c>
      <c r="R131" s="129">
        <f t="shared" si="34"/>
        <v>0</v>
      </c>
      <c r="S131" s="129">
        <f t="shared" si="35"/>
        <v>0</v>
      </c>
      <c r="T131" s="129">
        <f t="shared" si="36"/>
        <v>50</v>
      </c>
      <c r="U131" s="129">
        <f t="shared" si="37"/>
        <v>350</v>
      </c>
      <c r="V131" s="214">
        <f t="shared" si="38"/>
        <v>75</v>
      </c>
      <c r="W131" s="353">
        <f t="shared" si="39"/>
        <v>262.5</v>
      </c>
      <c r="X131" s="129">
        <f t="shared" si="40"/>
        <v>262.5</v>
      </c>
      <c r="Y131" s="129" t="str">
        <f t="shared" si="41"/>
        <v/>
      </c>
      <c r="Z131" s="145"/>
      <c r="BA131" s="75" t="e">
        <f t="shared" si="50"/>
        <v>#DIV/0!</v>
      </c>
      <c r="BB131" s="78"/>
      <c r="BC131" s="132"/>
      <c r="BD131" s="133"/>
      <c r="BE131" s="132"/>
      <c r="BF131" s="134"/>
      <c r="BG131" s="135"/>
      <c r="BH131" s="135"/>
      <c r="BI131" s="136"/>
      <c r="BJ131" s="136"/>
      <c r="BK131" s="136"/>
      <c r="BL131" s="136"/>
      <c r="BM131" s="137"/>
      <c r="BN131" s="137"/>
      <c r="BO131" s="75">
        <f>LOOKUP(D131,基础数据!A:D)</f>
        <v>3.53915880885741</v>
      </c>
      <c r="BP131" s="75">
        <f t="shared" si="52"/>
        <v>1.00524445538374</v>
      </c>
      <c r="BQ131" s="75">
        <f t="shared" si="42"/>
        <v>6</v>
      </c>
      <c r="BR131" s="272">
        <f t="shared" ref="BR131:BR137" si="57">ROUND(BQ131*1.13,0)</f>
        <v>7</v>
      </c>
      <c r="BS131" s="156">
        <f t="shared" si="43"/>
        <v>0.81</v>
      </c>
      <c r="BT131" s="1211">
        <v>0.06</v>
      </c>
      <c r="BU131" s="156">
        <f t="shared" si="44"/>
        <v>0.42</v>
      </c>
      <c r="BV131" s="156">
        <f t="shared" si="45"/>
        <v>0.03</v>
      </c>
      <c r="BW131" s="156">
        <f t="shared" si="51"/>
        <v>7</v>
      </c>
      <c r="BX131" s="156">
        <f t="shared" si="46"/>
        <v>7.58110882956879</v>
      </c>
      <c r="BY131" s="1207" t="s">
        <v>2806</v>
      </c>
      <c r="BZ131" s="272">
        <v>30</v>
      </c>
      <c r="CA131" s="186">
        <f t="shared" si="47"/>
        <v>0.75</v>
      </c>
      <c r="CB131" s="186">
        <f t="shared" si="48"/>
        <v>0.75</v>
      </c>
      <c r="CC131" s="186">
        <f t="shared" si="49"/>
        <v>0.75</v>
      </c>
      <c r="CD131" s="272"/>
      <c r="CF131" s="134"/>
      <c r="CG131" s="138"/>
      <c r="CH131" s="132"/>
      <c r="CI131" s="138"/>
      <c r="CJ131" s="132"/>
      <c r="CK131" s="132"/>
      <c r="CL131" s="134"/>
      <c r="CM131" s="146"/>
    </row>
    <row r="132" ht="15" customHeight="1" spans="1:91">
      <c r="A132" s="123">
        <f>IF(B132="","",COUNT(A$7:A131)+1)</f>
        <v>125</v>
      </c>
      <c r="B132" s="139" t="s">
        <v>2829</v>
      </c>
      <c r="C132" s="139" t="s">
        <v>2839</v>
      </c>
      <c r="D132" s="1209">
        <v>43100</v>
      </c>
      <c r="E132" s="1210">
        <v>307.5</v>
      </c>
      <c r="F132" s="219" t="s">
        <v>2770</v>
      </c>
      <c r="G132" s="142"/>
      <c r="H132" s="127"/>
      <c r="I132" s="128"/>
      <c r="J132" s="128"/>
      <c r="K132" s="980">
        <v>50</v>
      </c>
      <c r="L132" s="143"/>
      <c r="M132" s="143"/>
      <c r="N132" s="144"/>
      <c r="O132" s="144"/>
      <c r="P132" s="144"/>
      <c r="Q132" s="353">
        <f t="shared" si="33"/>
        <v>50</v>
      </c>
      <c r="R132" s="129">
        <f t="shared" si="34"/>
        <v>0</v>
      </c>
      <c r="S132" s="129">
        <f t="shared" si="35"/>
        <v>0</v>
      </c>
      <c r="T132" s="129">
        <f t="shared" si="36"/>
        <v>50</v>
      </c>
      <c r="U132" s="129">
        <f t="shared" si="37"/>
        <v>350</v>
      </c>
      <c r="V132" s="214">
        <f t="shared" si="38"/>
        <v>75</v>
      </c>
      <c r="W132" s="353">
        <f t="shared" si="39"/>
        <v>262.5</v>
      </c>
      <c r="X132" s="129">
        <f t="shared" si="40"/>
        <v>262.5</v>
      </c>
      <c r="Y132" s="129" t="str">
        <f t="shared" si="41"/>
        <v/>
      </c>
      <c r="Z132" s="145"/>
      <c r="BA132" s="75" t="e">
        <f t="shared" si="50"/>
        <v>#DIV/0!</v>
      </c>
      <c r="BB132" s="78"/>
      <c r="BC132" s="132"/>
      <c r="BD132" s="133"/>
      <c r="BE132" s="132"/>
      <c r="BF132" s="134"/>
      <c r="BG132" s="135"/>
      <c r="BH132" s="135"/>
      <c r="BI132" s="136"/>
      <c r="BJ132" s="136"/>
      <c r="BK132" s="136"/>
      <c r="BL132" s="136"/>
      <c r="BM132" s="137"/>
      <c r="BN132" s="137"/>
      <c r="BO132" s="75">
        <f>LOOKUP(D132,基础数据!A:D)</f>
        <v>3.53915880885741</v>
      </c>
      <c r="BP132" s="75">
        <f t="shared" si="52"/>
        <v>1.00524445538374</v>
      </c>
      <c r="BQ132" s="75">
        <f t="shared" si="42"/>
        <v>6</v>
      </c>
      <c r="BR132" s="272">
        <f t="shared" si="57"/>
        <v>7</v>
      </c>
      <c r="BS132" s="156">
        <f t="shared" si="43"/>
        <v>0.81</v>
      </c>
      <c r="BT132" s="1211">
        <v>0.06</v>
      </c>
      <c r="BU132" s="156">
        <f t="shared" si="44"/>
        <v>0.42</v>
      </c>
      <c r="BV132" s="156">
        <f t="shared" si="45"/>
        <v>0.03</v>
      </c>
      <c r="BW132" s="156">
        <f t="shared" si="51"/>
        <v>7</v>
      </c>
      <c r="BX132" s="156">
        <f t="shared" si="46"/>
        <v>7.58110882956879</v>
      </c>
      <c r="BY132" s="1207" t="s">
        <v>2806</v>
      </c>
      <c r="BZ132" s="272">
        <v>30</v>
      </c>
      <c r="CA132" s="186">
        <f t="shared" si="47"/>
        <v>0.75</v>
      </c>
      <c r="CB132" s="186">
        <f t="shared" si="48"/>
        <v>0.75</v>
      </c>
      <c r="CC132" s="186">
        <f t="shared" si="49"/>
        <v>0.75</v>
      </c>
      <c r="CD132" s="272"/>
      <c r="CF132" s="134"/>
      <c r="CG132" s="138"/>
      <c r="CH132" s="132"/>
      <c r="CI132" s="138"/>
      <c r="CJ132" s="132"/>
      <c r="CK132" s="132"/>
      <c r="CL132" s="134"/>
      <c r="CM132" s="146"/>
    </row>
    <row r="133" ht="15" customHeight="1" spans="1:91">
      <c r="A133" s="123">
        <f>IF(B133="","",COUNT(A$7:A132)+1)</f>
        <v>126</v>
      </c>
      <c r="B133" s="139" t="s">
        <v>2829</v>
      </c>
      <c r="C133" s="139" t="s">
        <v>2839</v>
      </c>
      <c r="D133" s="1209">
        <v>43100</v>
      </c>
      <c r="E133" s="1210">
        <v>1230</v>
      </c>
      <c r="F133" s="219" t="s">
        <v>2770</v>
      </c>
      <c r="G133" s="142"/>
      <c r="H133" s="127"/>
      <c r="I133" s="128"/>
      <c r="J133" s="128"/>
      <c r="K133" s="980">
        <v>200</v>
      </c>
      <c r="L133" s="143"/>
      <c r="M133" s="143"/>
      <c r="N133" s="144"/>
      <c r="O133" s="144"/>
      <c r="P133" s="144"/>
      <c r="Q133" s="353">
        <f t="shared" si="33"/>
        <v>200</v>
      </c>
      <c r="R133" s="129">
        <f t="shared" si="34"/>
        <v>0</v>
      </c>
      <c r="S133" s="129">
        <f t="shared" si="35"/>
        <v>0</v>
      </c>
      <c r="T133" s="129">
        <f t="shared" si="36"/>
        <v>200</v>
      </c>
      <c r="U133" s="129">
        <f t="shared" si="37"/>
        <v>1400</v>
      </c>
      <c r="V133" s="214">
        <f t="shared" si="38"/>
        <v>75</v>
      </c>
      <c r="W133" s="353">
        <f t="shared" si="39"/>
        <v>1050</v>
      </c>
      <c r="X133" s="129">
        <f t="shared" si="40"/>
        <v>1050</v>
      </c>
      <c r="Y133" s="129" t="str">
        <f t="shared" si="41"/>
        <v/>
      </c>
      <c r="Z133" s="145"/>
      <c r="BA133" s="75" t="e">
        <f t="shared" si="50"/>
        <v>#DIV/0!</v>
      </c>
      <c r="BB133" s="78"/>
      <c r="BC133" s="132"/>
      <c r="BD133" s="133"/>
      <c r="BE133" s="132"/>
      <c r="BF133" s="134"/>
      <c r="BG133" s="135"/>
      <c r="BH133" s="135"/>
      <c r="BI133" s="136"/>
      <c r="BJ133" s="136"/>
      <c r="BK133" s="136"/>
      <c r="BL133" s="136"/>
      <c r="BM133" s="137"/>
      <c r="BN133" s="137"/>
      <c r="BO133" s="75">
        <f>LOOKUP(D133,基础数据!A:D)</f>
        <v>3.53915880885741</v>
      </c>
      <c r="BP133" s="75">
        <f t="shared" si="52"/>
        <v>1.00524445538374</v>
      </c>
      <c r="BQ133" s="75">
        <f t="shared" si="42"/>
        <v>6</v>
      </c>
      <c r="BR133" s="272">
        <f t="shared" si="57"/>
        <v>7</v>
      </c>
      <c r="BS133" s="156">
        <f t="shared" si="43"/>
        <v>0.81</v>
      </c>
      <c r="BT133" s="1211">
        <v>0.06</v>
      </c>
      <c r="BU133" s="156">
        <f t="shared" si="44"/>
        <v>0.42</v>
      </c>
      <c r="BV133" s="156">
        <f t="shared" si="45"/>
        <v>0.03</v>
      </c>
      <c r="BW133" s="156">
        <f t="shared" si="51"/>
        <v>7</v>
      </c>
      <c r="BX133" s="156">
        <f t="shared" si="46"/>
        <v>7.58110882956879</v>
      </c>
      <c r="BY133" s="1207" t="s">
        <v>2806</v>
      </c>
      <c r="BZ133" s="272">
        <v>30</v>
      </c>
      <c r="CA133" s="186">
        <f t="shared" si="47"/>
        <v>0.75</v>
      </c>
      <c r="CB133" s="186">
        <f t="shared" si="48"/>
        <v>0.75</v>
      </c>
      <c r="CC133" s="186">
        <f t="shared" si="49"/>
        <v>0.75</v>
      </c>
      <c r="CD133" s="272"/>
      <c r="CF133" s="134"/>
      <c r="CG133" s="138"/>
      <c r="CH133" s="132"/>
      <c r="CI133" s="138"/>
      <c r="CJ133" s="132"/>
      <c r="CK133" s="132"/>
      <c r="CL133" s="134"/>
      <c r="CM133" s="146"/>
    </row>
    <row r="134" ht="15" customHeight="1" spans="1:91">
      <c r="A134" s="123">
        <f>IF(B134="","",COUNT(A$7:A133)+1)</f>
        <v>127</v>
      </c>
      <c r="B134" s="139" t="s">
        <v>2829</v>
      </c>
      <c r="C134" s="139" t="s">
        <v>2838</v>
      </c>
      <c r="D134" s="1209">
        <v>43100</v>
      </c>
      <c r="E134" s="1210">
        <v>1655.5</v>
      </c>
      <c r="F134" s="219" t="s">
        <v>2770</v>
      </c>
      <c r="G134" s="142"/>
      <c r="H134" s="127"/>
      <c r="I134" s="128"/>
      <c r="J134" s="128"/>
      <c r="K134" s="980">
        <v>70</v>
      </c>
      <c r="L134" s="143"/>
      <c r="M134" s="143"/>
      <c r="N134" s="144"/>
      <c r="O134" s="144"/>
      <c r="P134" s="144"/>
      <c r="Q134" s="353">
        <f t="shared" si="33"/>
        <v>70</v>
      </c>
      <c r="R134" s="129">
        <f t="shared" si="34"/>
        <v>0</v>
      </c>
      <c r="S134" s="129">
        <f t="shared" si="35"/>
        <v>0</v>
      </c>
      <c r="T134" s="129">
        <f t="shared" si="36"/>
        <v>70</v>
      </c>
      <c r="U134" s="129">
        <f t="shared" si="37"/>
        <v>1750</v>
      </c>
      <c r="V134" s="214">
        <f t="shared" si="38"/>
        <v>75</v>
      </c>
      <c r="W134" s="353">
        <f t="shared" si="39"/>
        <v>1312.5</v>
      </c>
      <c r="X134" s="129">
        <f t="shared" si="40"/>
        <v>1312.5</v>
      </c>
      <c r="Y134" s="129" t="str">
        <f t="shared" si="41"/>
        <v/>
      </c>
      <c r="Z134" s="145"/>
      <c r="BA134" s="75" t="e">
        <f t="shared" si="50"/>
        <v>#DIV/0!</v>
      </c>
      <c r="BB134" s="78"/>
      <c r="BC134" s="132"/>
      <c r="BD134" s="133"/>
      <c r="BE134" s="132"/>
      <c r="BF134" s="134"/>
      <c r="BG134" s="135"/>
      <c r="BH134" s="135"/>
      <c r="BI134" s="136"/>
      <c r="BJ134" s="136"/>
      <c r="BK134" s="136"/>
      <c r="BL134" s="136"/>
      <c r="BM134" s="137"/>
      <c r="BN134" s="137"/>
      <c r="BO134" s="75">
        <f>LOOKUP(D134,基础数据!A:D)</f>
        <v>3.53915880885741</v>
      </c>
      <c r="BP134" s="75">
        <f t="shared" si="52"/>
        <v>1.00524445538374</v>
      </c>
      <c r="BQ134" s="75">
        <f t="shared" si="42"/>
        <v>24</v>
      </c>
      <c r="BR134" s="272">
        <f t="shared" si="57"/>
        <v>27</v>
      </c>
      <c r="BS134" s="156">
        <f t="shared" si="43"/>
        <v>3.11</v>
      </c>
      <c r="BT134" s="1211">
        <v>0.06</v>
      </c>
      <c r="BU134" s="156">
        <f t="shared" si="44"/>
        <v>1.62</v>
      </c>
      <c r="BV134" s="156">
        <f t="shared" si="45"/>
        <v>0.13</v>
      </c>
      <c r="BW134" s="156">
        <f t="shared" si="51"/>
        <v>25</v>
      </c>
      <c r="BX134" s="156">
        <f t="shared" si="46"/>
        <v>7.58110882956879</v>
      </c>
      <c r="BY134" s="1207" t="s">
        <v>2806</v>
      </c>
      <c r="BZ134" s="272">
        <v>30</v>
      </c>
      <c r="CA134" s="186">
        <f t="shared" si="47"/>
        <v>0.75</v>
      </c>
      <c r="CB134" s="186">
        <f t="shared" si="48"/>
        <v>0.75</v>
      </c>
      <c r="CC134" s="186">
        <f t="shared" si="49"/>
        <v>0.75</v>
      </c>
      <c r="CD134" s="272"/>
      <c r="CF134" s="134"/>
      <c r="CG134" s="138"/>
      <c r="CH134" s="132"/>
      <c r="CI134" s="138"/>
      <c r="CJ134" s="132"/>
      <c r="CK134" s="132"/>
      <c r="CL134" s="134"/>
      <c r="CM134" s="146"/>
    </row>
    <row r="135" ht="15" customHeight="1" spans="1:91">
      <c r="A135" s="123">
        <f>IF(B135="","",COUNT(A$7:A134)+1)</f>
        <v>128</v>
      </c>
      <c r="B135" s="139" t="s">
        <v>2829</v>
      </c>
      <c r="C135" s="139" t="s">
        <v>2838</v>
      </c>
      <c r="D135" s="1209">
        <v>43100</v>
      </c>
      <c r="E135" s="1210">
        <v>1655.5</v>
      </c>
      <c r="F135" s="219" t="s">
        <v>2770</v>
      </c>
      <c r="G135" s="142"/>
      <c r="H135" s="127"/>
      <c r="I135" s="128"/>
      <c r="J135" s="128"/>
      <c r="K135" s="980">
        <v>70</v>
      </c>
      <c r="L135" s="143"/>
      <c r="M135" s="143"/>
      <c r="N135" s="144"/>
      <c r="O135" s="144"/>
      <c r="P135" s="144"/>
      <c r="Q135" s="353">
        <f t="shared" si="33"/>
        <v>70</v>
      </c>
      <c r="R135" s="129">
        <f t="shared" si="34"/>
        <v>0</v>
      </c>
      <c r="S135" s="129">
        <f t="shared" si="35"/>
        <v>0</v>
      </c>
      <c r="T135" s="129">
        <f t="shared" si="36"/>
        <v>70</v>
      </c>
      <c r="U135" s="129">
        <f t="shared" si="37"/>
        <v>1750</v>
      </c>
      <c r="V135" s="214">
        <f t="shared" si="38"/>
        <v>75</v>
      </c>
      <c r="W135" s="353">
        <f t="shared" si="39"/>
        <v>1312.5</v>
      </c>
      <c r="X135" s="129">
        <f t="shared" si="40"/>
        <v>1312.5</v>
      </c>
      <c r="Y135" s="129" t="str">
        <f t="shared" si="41"/>
        <v/>
      </c>
      <c r="Z135" s="145"/>
      <c r="BA135" s="75" t="e">
        <f t="shared" si="50"/>
        <v>#DIV/0!</v>
      </c>
      <c r="BB135" s="78"/>
      <c r="BC135" s="132"/>
      <c r="BD135" s="133"/>
      <c r="BE135" s="132"/>
      <c r="BF135" s="134"/>
      <c r="BG135" s="135"/>
      <c r="BH135" s="135"/>
      <c r="BI135" s="136"/>
      <c r="BJ135" s="136"/>
      <c r="BK135" s="136"/>
      <c r="BL135" s="136"/>
      <c r="BM135" s="137"/>
      <c r="BN135" s="137"/>
      <c r="BO135" s="75">
        <f>LOOKUP(D135,基础数据!A:D)</f>
        <v>3.53915880885741</v>
      </c>
      <c r="BP135" s="75">
        <f t="shared" si="52"/>
        <v>1.00524445538374</v>
      </c>
      <c r="BQ135" s="75">
        <f t="shared" si="42"/>
        <v>24</v>
      </c>
      <c r="BR135" s="272">
        <f t="shared" si="57"/>
        <v>27</v>
      </c>
      <c r="BS135" s="156">
        <f t="shared" si="43"/>
        <v>3.11</v>
      </c>
      <c r="BT135" s="1211">
        <v>0.06</v>
      </c>
      <c r="BU135" s="156">
        <f t="shared" si="44"/>
        <v>1.62</v>
      </c>
      <c r="BV135" s="156">
        <f t="shared" si="45"/>
        <v>0.13</v>
      </c>
      <c r="BW135" s="156">
        <f t="shared" si="51"/>
        <v>25</v>
      </c>
      <c r="BX135" s="156">
        <f t="shared" si="46"/>
        <v>7.58110882956879</v>
      </c>
      <c r="BY135" s="1207" t="s">
        <v>2806</v>
      </c>
      <c r="BZ135" s="272">
        <v>30</v>
      </c>
      <c r="CA135" s="186">
        <f t="shared" si="47"/>
        <v>0.75</v>
      </c>
      <c r="CB135" s="186">
        <f t="shared" si="48"/>
        <v>0.75</v>
      </c>
      <c r="CC135" s="186">
        <f t="shared" si="49"/>
        <v>0.75</v>
      </c>
      <c r="CD135" s="272"/>
      <c r="CF135" s="134"/>
      <c r="CG135" s="138"/>
      <c r="CH135" s="132"/>
      <c r="CI135" s="138"/>
      <c r="CJ135" s="132"/>
      <c r="CK135" s="132"/>
      <c r="CL135" s="134"/>
      <c r="CM135" s="146"/>
    </row>
    <row r="136" ht="15" customHeight="1" spans="1:91">
      <c r="A136" s="123">
        <f>IF(B136="","",COUNT(A$7:A135)+1)</f>
        <v>129</v>
      </c>
      <c r="B136" s="139" t="s">
        <v>2829</v>
      </c>
      <c r="C136" s="139" t="s">
        <v>2838</v>
      </c>
      <c r="D136" s="1209">
        <v>43100</v>
      </c>
      <c r="E136" s="1210">
        <v>1655.5</v>
      </c>
      <c r="F136" s="219" t="s">
        <v>2770</v>
      </c>
      <c r="G136" s="142"/>
      <c r="H136" s="127"/>
      <c r="I136" s="128"/>
      <c r="J136" s="128"/>
      <c r="K136" s="980">
        <v>70</v>
      </c>
      <c r="L136" s="143"/>
      <c r="M136" s="143"/>
      <c r="N136" s="144"/>
      <c r="O136" s="144"/>
      <c r="P136" s="144"/>
      <c r="Q136" s="353">
        <f t="shared" ref="Q136:Q197" si="58">IF(B136="","",K136+N136)</f>
        <v>70</v>
      </c>
      <c r="R136" s="129">
        <f t="shared" ref="R136:R197" si="59">IF(B136="","",L136+O136)</f>
        <v>0</v>
      </c>
      <c r="S136" s="129">
        <f t="shared" ref="S136:S197" si="60">IF(B136="","",M136+P136)</f>
        <v>0</v>
      </c>
      <c r="T136" s="129">
        <f t="shared" ref="T136:T197" si="61">IF(B136="","",IF(BC$3="是",Q136,""))</f>
        <v>70</v>
      </c>
      <c r="U136" s="129">
        <f t="shared" ref="U136:U197" si="62">IF(B136="","",IF(BC$3="是",IFERROR(ROUND(BW136,0)*T136,""),""))</f>
        <v>1750</v>
      </c>
      <c r="V136" s="214">
        <f t="shared" ref="V136:V197" si="63">IF(B136="","",IF(BC$3="是",IF(B136="","",MAX(CA136,15%)*100),""))</f>
        <v>75</v>
      </c>
      <c r="W136" s="353">
        <f t="shared" ref="W136:W197" si="64">IFERROR(U136*V136/100,"")</f>
        <v>1312.5</v>
      </c>
      <c r="X136" s="129">
        <f t="shared" ref="X136:X197" si="65">IFERROR(W136-(R136-S136),"")</f>
        <v>1312.5</v>
      </c>
      <c r="Y136" s="129" t="str">
        <f t="shared" ref="Y136:Y197" si="66">IFERROR(X136/(R136-S136)*100,"")</f>
        <v/>
      </c>
      <c r="Z136" s="145"/>
      <c r="BA136" s="75" t="e">
        <f t="shared" si="50"/>
        <v>#DIV/0!</v>
      </c>
      <c r="BB136" s="78"/>
      <c r="BC136" s="132"/>
      <c r="BD136" s="133"/>
      <c r="BE136" s="132"/>
      <c r="BF136" s="134"/>
      <c r="BG136" s="135"/>
      <c r="BH136" s="135"/>
      <c r="BI136" s="136"/>
      <c r="BJ136" s="136"/>
      <c r="BK136" s="136"/>
      <c r="BL136" s="136"/>
      <c r="BM136" s="137"/>
      <c r="BN136" s="137"/>
      <c r="BO136" s="75">
        <f>LOOKUP(D136,基础数据!A:D)</f>
        <v>3.53915880885741</v>
      </c>
      <c r="BP136" s="75">
        <f t="shared" si="52"/>
        <v>1.00524445538374</v>
      </c>
      <c r="BQ136" s="75">
        <f t="shared" ref="BQ136:BQ199" si="67">ROUND(E136*BP136/Q136,0)</f>
        <v>24</v>
      </c>
      <c r="BR136" s="272">
        <f t="shared" si="57"/>
        <v>27</v>
      </c>
      <c r="BS136" s="156">
        <f t="shared" ref="BS136:BS197" si="68">ROUND(BR136/(1+BS$6)*BS$6,2)</f>
        <v>3.11</v>
      </c>
      <c r="BT136" s="1211">
        <v>0.06</v>
      </c>
      <c r="BU136" s="156">
        <f t="shared" ref="BU136:BU197" si="69">ROUND(BR136*BT136,2)</f>
        <v>1.62</v>
      </c>
      <c r="BV136" s="156">
        <f t="shared" ref="BV136:BV197" si="70">ROUND(BU136/(1+BV$6)*BV$6,2)</f>
        <v>0.13</v>
      </c>
      <c r="BW136" s="156">
        <f t="shared" si="51"/>
        <v>25</v>
      </c>
      <c r="BX136" s="156">
        <f t="shared" ref="BX136:BX197" si="71">(BX$6-D136)/365.25</f>
        <v>7.58110882956879</v>
      </c>
      <c r="BY136" s="1207" t="s">
        <v>2806</v>
      </c>
      <c r="BZ136" s="272">
        <v>30</v>
      </c>
      <c r="CA136" s="186">
        <f t="shared" ref="CA136:CA197" si="72">ROUND(IFERROR(1-(BX136/BZ136),0),2)</f>
        <v>0.75</v>
      </c>
      <c r="CB136" s="186">
        <f t="shared" ref="CB136:CB199" si="73">CA136</f>
        <v>0.75</v>
      </c>
      <c r="CC136" s="186">
        <f t="shared" ref="CC136:CC199" si="74">CA136*CA$6+CB136*CB$6</f>
        <v>0.75</v>
      </c>
      <c r="CD136" s="272"/>
      <c r="CF136" s="134"/>
      <c r="CG136" s="138"/>
      <c r="CH136" s="132"/>
      <c r="CI136" s="138"/>
      <c r="CJ136" s="132"/>
      <c r="CK136" s="132"/>
      <c r="CL136" s="134"/>
      <c r="CM136" s="146"/>
    </row>
    <row r="137" ht="15" customHeight="1" spans="1:91">
      <c r="A137" s="123">
        <f>IF(B137="","",COUNT(A$7:A136)+1)</f>
        <v>130</v>
      </c>
      <c r="B137" s="139" t="s">
        <v>2829</v>
      </c>
      <c r="C137" s="139" t="s">
        <v>2838</v>
      </c>
      <c r="D137" s="1209">
        <v>43100</v>
      </c>
      <c r="E137" s="1210">
        <v>1655.5</v>
      </c>
      <c r="F137" s="219" t="s">
        <v>2770</v>
      </c>
      <c r="G137" s="142"/>
      <c r="H137" s="127"/>
      <c r="I137" s="128"/>
      <c r="J137" s="128"/>
      <c r="K137" s="980">
        <v>70</v>
      </c>
      <c r="L137" s="143"/>
      <c r="M137" s="143"/>
      <c r="N137" s="144"/>
      <c r="O137" s="144"/>
      <c r="P137" s="144"/>
      <c r="Q137" s="353">
        <f t="shared" si="58"/>
        <v>70</v>
      </c>
      <c r="R137" s="129">
        <f t="shared" si="59"/>
        <v>0</v>
      </c>
      <c r="S137" s="129">
        <f t="shared" si="60"/>
        <v>0</v>
      </c>
      <c r="T137" s="129">
        <f t="shared" si="61"/>
        <v>70</v>
      </c>
      <c r="U137" s="129">
        <f t="shared" si="62"/>
        <v>1750</v>
      </c>
      <c r="V137" s="214">
        <f t="shared" si="63"/>
        <v>75</v>
      </c>
      <c r="W137" s="353">
        <f t="shared" si="64"/>
        <v>1312.5</v>
      </c>
      <c r="X137" s="129">
        <f t="shared" si="65"/>
        <v>1312.5</v>
      </c>
      <c r="Y137" s="129" t="str">
        <f t="shared" si="66"/>
        <v/>
      </c>
      <c r="Z137" s="145"/>
      <c r="BA137" s="75" t="e">
        <f t="shared" ref="BA137:BA198" si="75">(U137-R137)/R137</f>
        <v>#DIV/0!</v>
      </c>
      <c r="BB137" s="78"/>
      <c r="BC137" s="132"/>
      <c r="BD137" s="133"/>
      <c r="BE137" s="132"/>
      <c r="BF137" s="134"/>
      <c r="BG137" s="135"/>
      <c r="BH137" s="135"/>
      <c r="BI137" s="136"/>
      <c r="BJ137" s="136"/>
      <c r="BK137" s="136"/>
      <c r="BL137" s="136"/>
      <c r="BM137" s="137"/>
      <c r="BN137" s="137"/>
      <c r="BO137" s="75">
        <f>LOOKUP(D137,基础数据!A:D)</f>
        <v>3.53915880885741</v>
      </c>
      <c r="BP137" s="75">
        <f t="shared" si="52"/>
        <v>1.00524445538374</v>
      </c>
      <c r="BQ137" s="75">
        <f t="shared" si="67"/>
        <v>24</v>
      </c>
      <c r="BR137" s="272">
        <f t="shared" si="57"/>
        <v>27</v>
      </c>
      <c r="BS137" s="156">
        <f t="shared" si="68"/>
        <v>3.11</v>
      </c>
      <c r="BT137" s="1211">
        <v>0.06</v>
      </c>
      <c r="BU137" s="156">
        <f t="shared" si="69"/>
        <v>1.62</v>
      </c>
      <c r="BV137" s="156">
        <f t="shared" si="70"/>
        <v>0.13</v>
      </c>
      <c r="BW137" s="156">
        <f t="shared" ref="BW137:BW198" si="76">ROUND(BR137+BU137-BS137-BV137,0)</f>
        <v>25</v>
      </c>
      <c r="BX137" s="156">
        <f t="shared" si="71"/>
        <v>7.58110882956879</v>
      </c>
      <c r="BY137" s="1207" t="s">
        <v>2806</v>
      </c>
      <c r="BZ137" s="272">
        <v>30</v>
      </c>
      <c r="CA137" s="186">
        <f t="shared" si="72"/>
        <v>0.75</v>
      </c>
      <c r="CB137" s="186">
        <f t="shared" si="73"/>
        <v>0.75</v>
      </c>
      <c r="CC137" s="186">
        <f t="shared" si="74"/>
        <v>0.75</v>
      </c>
      <c r="CD137" s="272"/>
      <c r="CF137" s="134"/>
      <c r="CG137" s="138"/>
      <c r="CH137" s="132"/>
      <c r="CI137" s="138"/>
      <c r="CJ137" s="132"/>
      <c r="CK137" s="132"/>
      <c r="CL137" s="134"/>
      <c r="CM137" s="146"/>
    </row>
    <row r="138" ht="15" customHeight="1" spans="1:91">
      <c r="A138" s="123">
        <f>IF(B138="","",COUNT(A$7:A137)+1)</f>
        <v>131</v>
      </c>
      <c r="B138" s="139" t="s">
        <v>2829</v>
      </c>
      <c r="C138" s="139" t="s">
        <v>2847</v>
      </c>
      <c r="D138" s="1209">
        <v>43100</v>
      </c>
      <c r="E138" s="1210">
        <v>968.15</v>
      </c>
      <c r="F138" s="219" t="s">
        <v>2770</v>
      </c>
      <c r="G138" s="142"/>
      <c r="H138" s="127"/>
      <c r="I138" s="128"/>
      <c r="J138" s="128"/>
      <c r="K138" s="980">
        <v>85</v>
      </c>
      <c r="L138" s="143"/>
      <c r="M138" s="143"/>
      <c r="N138" s="144"/>
      <c r="O138" s="144"/>
      <c r="P138" s="144"/>
      <c r="Q138" s="353">
        <f t="shared" si="58"/>
        <v>85</v>
      </c>
      <c r="R138" s="129">
        <f t="shared" si="59"/>
        <v>0</v>
      </c>
      <c r="S138" s="129">
        <f t="shared" si="60"/>
        <v>0</v>
      </c>
      <c r="T138" s="129">
        <f t="shared" si="61"/>
        <v>85</v>
      </c>
      <c r="U138" s="129">
        <f t="shared" si="62"/>
        <v>935</v>
      </c>
      <c r="V138" s="214">
        <f t="shared" si="63"/>
        <v>75</v>
      </c>
      <c r="W138" s="353">
        <f t="shared" si="64"/>
        <v>701.25</v>
      </c>
      <c r="X138" s="129">
        <f t="shared" si="65"/>
        <v>701.25</v>
      </c>
      <c r="Y138" s="129" t="str">
        <f t="shared" si="66"/>
        <v/>
      </c>
      <c r="Z138" s="145"/>
      <c r="BA138" s="75" t="e">
        <f t="shared" si="75"/>
        <v>#DIV/0!</v>
      </c>
      <c r="BB138" s="78"/>
      <c r="BC138" s="132"/>
      <c r="BD138" s="133"/>
      <c r="BE138" s="132"/>
      <c r="BF138" s="134"/>
      <c r="BG138" s="135"/>
      <c r="BH138" s="135"/>
      <c r="BI138" s="136"/>
      <c r="BJ138" s="136"/>
      <c r="BK138" s="136"/>
      <c r="BL138" s="136"/>
      <c r="BM138" s="137"/>
      <c r="BN138" s="137"/>
      <c r="BO138" s="75">
        <f>LOOKUP(D138,基础数据!A:D)</f>
        <v>3.53915880885741</v>
      </c>
      <c r="BP138" s="75">
        <f t="shared" ref="BP138:BP199" si="77">BO$6/BO138</f>
        <v>1.00524445538374</v>
      </c>
      <c r="BQ138" s="75">
        <f t="shared" si="67"/>
        <v>11</v>
      </c>
      <c r="BR138" s="272">
        <v>11.9</v>
      </c>
      <c r="BS138" s="156">
        <f t="shared" si="68"/>
        <v>1.37</v>
      </c>
      <c r="BT138" s="1211">
        <v>0.06</v>
      </c>
      <c r="BU138" s="156">
        <f t="shared" si="69"/>
        <v>0.71</v>
      </c>
      <c r="BV138" s="156">
        <f t="shared" si="70"/>
        <v>0.06</v>
      </c>
      <c r="BW138" s="156">
        <f t="shared" si="76"/>
        <v>11</v>
      </c>
      <c r="BX138" s="156">
        <f t="shared" si="71"/>
        <v>7.58110882956879</v>
      </c>
      <c r="BY138" s="1207" t="s">
        <v>2806</v>
      </c>
      <c r="BZ138" s="272">
        <v>30</v>
      </c>
      <c r="CA138" s="186">
        <f t="shared" si="72"/>
        <v>0.75</v>
      </c>
      <c r="CB138" s="186">
        <f t="shared" si="73"/>
        <v>0.75</v>
      </c>
      <c r="CC138" s="186">
        <f t="shared" si="74"/>
        <v>0.75</v>
      </c>
      <c r="CD138" s="1208" t="s">
        <v>2812</v>
      </c>
      <c r="CF138" s="134"/>
      <c r="CG138" s="138"/>
      <c r="CH138" s="132"/>
      <c r="CI138" s="138"/>
      <c r="CJ138" s="132"/>
      <c r="CK138" s="132"/>
      <c r="CL138" s="134"/>
      <c r="CM138" s="146"/>
    </row>
    <row r="139" ht="15" customHeight="1" spans="1:91">
      <c r="A139" s="123">
        <f>IF(B139="","",COUNT(A$7:A138)+1)</f>
        <v>132</v>
      </c>
      <c r="B139" s="139" t="s">
        <v>2829</v>
      </c>
      <c r="C139" s="139" t="s">
        <v>2847</v>
      </c>
      <c r="D139" s="1209">
        <v>43100</v>
      </c>
      <c r="E139" s="1210">
        <v>854.25</v>
      </c>
      <c r="F139" s="219" t="s">
        <v>2770</v>
      </c>
      <c r="G139" s="142"/>
      <c r="H139" s="127"/>
      <c r="I139" s="128"/>
      <c r="J139" s="128"/>
      <c r="K139" s="980">
        <v>75</v>
      </c>
      <c r="L139" s="143"/>
      <c r="M139" s="143"/>
      <c r="N139" s="144"/>
      <c r="O139" s="144"/>
      <c r="P139" s="144"/>
      <c r="Q139" s="353">
        <f t="shared" si="58"/>
        <v>75</v>
      </c>
      <c r="R139" s="129">
        <f t="shared" si="59"/>
        <v>0</v>
      </c>
      <c r="S139" s="129">
        <f t="shared" si="60"/>
        <v>0</v>
      </c>
      <c r="T139" s="129">
        <f t="shared" si="61"/>
        <v>75</v>
      </c>
      <c r="U139" s="129">
        <f t="shared" si="62"/>
        <v>825</v>
      </c>
      <c r="V139" s="214">
        <f t="shared" si="63"/>
        <v>75</v>
      </c>
      <c r="W139" s="353">
        <f t="shared" si="64"/>
        <v>618.75</v>
      </c>
      <c r="X139" s="129">
        <f t="shared" si="65"/>
        <v>618.75</v>
      </c>
      <c r="Y139" s="129" t="str">
        <f t="shared" si="66"/>
        <v/>
      </c>
      <c r="Z139" s="145"/>
      <c r="BA139" s="75" t="e">
        <f t="shared" si="75"/>
        <v>#DIV/0!</v>
      </c>
      <c r="BB139" s="78"/>
      <c r="BC139" s="132"/>
      <c r="BD139" s="133"/>
      <c r="BE139" s="132"/>
      <c r="BF139" s="134"/>
      <c r="BG139" s="135"/>
      <c r="BH139" s="135"/>
      <c r="BI139" s="136"/>
      <c r="BJ139" s="136"/>
      <c r="BK139" s="136"/>
      <c r="BL139" s="136"/>
      <c r="BM139" s="137"/>
      <c r="BN139" s="137"/>
      <c r="BO139" s="75">
        <f>LOOKUP(D139,基础数据!A:D)</f>
        <v>3.53915880885741</v>
      </c>
      <c r="BP139" s="75">
        <f t="shared" si="77"/>
        <v>1.00524445538374</v>
      </c>
      <c r="BQ139" s="75">
        <f t="shared" si="67"/>
        <v>11</v>
      </c>
      <c r="BR139" s="272">
        <v>11.9</v>
      </c>
      <c r="BS139" s="156">
        <f t="shared" si="68"/>
        <v>1.37</v>
      </c>
      <c r="BT139" s="1211">
        <v>0.06</v>
      </c>
      <c r="BU139" s="156">
        <f t="shared" si="69"/>
        <v>0.71</v>
      </c>
      <c r="BV139" s="156">
        <f t="shared" si="70"/>
        <v>0.06</v>
      </c>
      <c r="BW139" s="156">
        <f t="shared" si="76"/>
        <v>11</v>
      </c>
      <c r="BX139" s="156">
        <f t="shared" si="71"/>
        <v>7.58110882956879</v>
      </c>
      <c r="BY139" s="1207" t="s">
        <v>2806</v>
      </c>
      <c r="BZ139" s="272">
        <v>30</v>
      </c>
      <c r="CA139" s="186">
        <f t="shared" ref="CA139:CA147" si="78">ROUND(IFERROR(1-(BX139/BZ139),0),2)</f>
        <v>0.75</v>
      </c>
      <c r="CB139" s="186">
        <f t="shared" si="73"/>
        <v>0.75</v>
      </c>
      <c r="CC139" s="186">
        <f t="shared" si="74"/>
        <v>0.75</v>
      </c>
      <c r="CD139" s="1208" t="s">
        <v>2812</v>
      </c>
      <c r="CF139" s="134"/>
      <c r="CG139" s="138"/>
      <c r="CH139" s="132"/>
      <c r="CI139" s="138"/>
      <c r="CJ139" s="132"/>
      <c r="CK139" s="132"/>
      <c r="CL139" s="134"/>
      <c r="CM139" s="146"/>
    </row>
    <row r="140" ht="15" customHeight="1" spans="1:91">
      <c r="A140" s="123">
        <f>IF(B140="","",COUNT(A$7:A139)+1)</f>
        <v>133</v>
      </c>
      <c r="B140" s="139" t="s">
        <v>2829</v>
      </c>
      <c r="C140" s="139" t="s">
        <v>2847</v>
      </c>
      <c r="D140" s="1209">
        <v>43100</v>
      </c>
      <c r="E140" s="1210">
        <v>968.15</v>
      </c>
      <c r="F140" s="219" t="s">
        <v>2770</v>
      </c>
      <c r="G140" s="142"/>
      <c r="H140" s="127"/>
      <c r="I140" s="128"/>
      <c r="J140" s="128"/>
      <c r="K140" s="980">
        <v>85</v>
      </c>
      <c r="L140" s="143"/>
      <c r="M140" s="143"/>
      <c r="N140" s="144"/>
      <c r="O140" s="144"/>
      <c r="P140" s="144"/>
      <c r="Q140" s="353">
        <f t="shared" si="58"/>
        <v>85</v>
      </c>
      <c r="R140" s="129">
        <f t="shared" si="59"/>
        <v>0</v>
      </c>
      <c r="S140" s="129">
        <f t="shared" si="60"/>
        <v>0</v>
      </c>
      <c r="T140" s="129">
        <f t="shared" si="61"/>
        <v>85</v>
      </c>
      <c r="U140" s="129">
        <f t="shared" si="62"/>
        <v>935</v>
      </c>
      <c r="V140" s="214">
        <f t="shared" si="63"/>
        <v>75</v>
      </c>
      <c r="W140" s="353">
        <f t="shared" si="64"/>
        <v>701.25</v>
      </c>
      <c r="X140" s="129">
        <f t="shared" si="65"/>
        <v>701.25</v>
      </c>
      <c r="Y140" s="129" t="str">
        <f t="shared" si="66"/>
        <v/>
      </c>
      <c r="Z140" s="145"/>
      <c r="BA140" s="75" t="e">
        <f t="shared" si="75"/>
        <v>#DIV/0!</v>
      </c>
      <c r="BB140" s="78"/>
      <c r="BC140" s="132"/>
      <c r="BD140" s="133"/>
      <c r="BE140" s="132"/>
      <c r="BF140" s="134"/>
      <c r="BG140" s="135"/>
      <c r="BH140" s="135"/>
      <c r="BI140" s="136"/>
      <c r="BJ140" s="136"/>
      <c r="BK140" s="136"/>
      <c r="BL140" s="136"/>
      <c r="BM140" s="137"/>
      <c r="BN140" s="137"/>
      <c r="BO140" s="75">
        <f>LOOKUP(D140,基础数据!A:D)</f>
        <v>3.53915880885741</v>
      </c>
      <c r="BP140" s="75">
        <f t="shared" si="77"/>
        <v>1.00524445538374</v>
      </c>
      <c r="BQ140" s="75">
        <f t="shared" si="67"/>
        <v>11</v>
      </c>
      <c r="BR140" s="272">
        <v>11.9</v>
      </c>
      <c r="BS140" s="156">
        <f t="shared" si="68"/>
        <v>1.37</v>
      </c>
      <c r="BT140" s="1211">
        <v>0.06</v>
      </c>
      <c r="BU140" s="156">
        <f t="shared" si="69"/>
        <v>0.71</v>
      </c>
      <c r="BV140" s="156">
        <f t="shared" si="70"/>
        <v>0.06</v>
      </c>
      <c r="BW140" s="156">
        <f t="shared" si="76"/>
        <v>11</v>
      </c>
      <c r="BX140" s="156">
        <f t="shared" si="71"/>
        <v>7.58110882956879</v>
      </c>
      <c r="BY140" s="1207" t="s">
        <v>2806</v>
      </c>
      <c r="BZ140" s="272">
        <v>30</v>
      </c>
      <c r="CA140" s="186">
        <f t="shared" si="78"/>
        <v>0.75</v>
      </c>
      <c r="CB140" s="186">
        <f t="shared" si="73"/>
        <v>0.75</v>
      </c>
      <c r="CC140" s="186">
        <f t="shared" si="74"/>
        <v>0.75</v>
      </c>
      <c r="CD140" s="1208" t="s">
        <v>2812</v>
      </c>
      <c r="CF140" s="134"/>
      <c r="CG140" s="138"/>
      <c r="CH140" s="132"/>
      <c r="CI140" s="138"/>
      <c r="CJ140" s="132"/>
      <c r="CK140" s="132"/>
      <c r="CL140" s="134"/>
      <c r="CM140" s="146"/>
    </row>
    <row r="141" ht="15" customHeight="1" spans="1:91">
      <c r="A141" s="123">
        <f>IF(B141="","",COUNT(A$7:A140)+1)</f>
        <v>134</v>
      </c>
      <c r="B141" s="139" t="s">
        <v>2829</v>
      </c>
      <c r="C141" s="139" t="s">
        <v>2847</v>
      </c>
      <c r="D141" s="1209">
        <v>43100</v>
      </c>
      <c r="E141" s="1210">
        <v>854.25</v>
      </c>
      <c r="F141" s="219" t="s">
        <v>2770</v>
      </c>
      <c r="G141" s="142"/>
      <c r="H141" s="127"/>
      <c r="I141" s="128"/>
      <c r="J141" s="128"/>
      <c r="K141" s="980">
        <v>75</v>
      </c>
      <c r="L141" s="143"/>
      <c r="M141" s="143"/>
      <c r="N141" s="144"/>
      <c r="O141" s="144"/>
      <c r="P141" s="144"/>
      <c r="Q141" s="353">
        <f t="shared" si="58"/>
        <v>75</v>
      </c>
      <c r="R141" s="129">
        <f t="shared" si="59"/>
        <v>0</v>
      </c>
      <c r="S141" s="129">
        <f t="shared" si="60"/>
        <v>0</v>
      </c>
      <c r="T141" s="129">
        <f t="shared" si="61"/>
        <v>75</v>
      </c>
      <c r="U141" s="129">
        <f t="shared" si="62"/>
        <v>825</v>
      </c>
      <c r="V141" s="214">
        <f t="shared" si="63"/>
        <v>75</v>
      </c>
      <c r="W141" s="353">
        <f t="shared" si="64"/>
        <v>618.75</v>
      </c>
      <c r="X141" s="129">
        <f t="shared" si="65"/>
        <v>618.75</v>
      </c>
      <c r="Y141" s="129" t="str">
        <f t="shared" si="66"/>
        <v/>
      </c>
      <c r="Z141" s="145"/>
      <c r="BA141" s="75" t="e">
        <f t="shared" si="75"/>
        <v>#DIV/0!</v>
      </c>
      <c r="BB141" s="78"/>
      <c r="BC141" s="132"/>
      <c r="BD141" s="133"/>
      <c r="BE141" s="132"/>
      <c r="BF141" s="134"/>
      <c r="BG141" s="135"/>
      <c r="BH141" s="135"/>
      <c r="BI141" s="136"/>
      <c r="BJ141" s="136"/>
      <c r="BK141" s="136"/>
      <c r="BL141" s="136"/>
      <c r="BM141" s="137"/>
      <c r="BN141" s="137"/>
      <c r="BO141" s="75">
        <f>LOOKUP(D141,基础数据!A:D)</f>
        <v>3.53915880885741</v>
      </c>
      <c r="BP141" s="75">
        <f t="shared" si="77"/>
        <v>1.00524445538374</v>
      </c>
      <c r="BQ141" s="75">
        <f t="shared" si="67"/>
        <v>11</v>
      </c>
      <c r="BR141" s="272">
        <v>11.9</v>
      </c>
      <c r="BS141" s="156">
        <f t="shared" si="68"/>
        <v>1.37</v>
      </c>
      <c r="BT141" s="1211">
        <v>0.06</v>
      </c>
      <c r="BU141" s="156">
        <f t="shared" si="69"/>
        <v>0.71</v>
      </c>
      <c r="BV141" s="156">
        <f t="shared" si="70"/>
        <v>0.06</v>
      </c>
      <c r="BW141" s="156">
        <f t="shared" si="76"/>
        <v>11</v>
      </c>
      <c r="BX141" s="156">
        <f t="shared" si="71"/>
        <v>7.58110882956879</v>
      </c>
      <c r="BY141" s="1207" t="s">
        <v>2806</v>
      </c>
      <c r="BZ141" s="272">
        <v>30</v>
      </c>
      <c r="CA141" s="186">
        <f t="shared" si="78"/>
        <v>0.75</v>
      </c>
      <c r="CB141" s="186">
        <f t="shared" si="73"/>
        <v>0.75</v>
      </c>
      <c r="CC141" s="186">
        <f t="shared" si="74"/>
        <v>0.75</v>
      </c>
      <c r="CD141" s="1208" t="s">
        <v>2812</v>
      </c>
      <c r="CF141" s="134"/>
      <c r="CG141" s="138"/>
      <c r="CH141" s="132"/>
      <c r="CI141" s="138"/>
      <c r="CJ141" s="132"/>
      <c r="CK141" s="132"/>
      <c r="CL141" s="134"/>
      <c r="CM141" s="146"/>
    </row>
    <row r="142" ht="15" customHeight="1" spans="1:91">
      <c r="A142" s="123">
        <f>IF(B142="","",COUNT(A$7:A141)+1)</f>
        <v>135</v>
      </c>
      <c r="B142" s="139" t="s">
        <v>2829</v>
      </c>
      <c r="C142" s="139" t="s">
        <v>2847</v>
      </c>
      <c r="D142" s="1209">
        <v>43100</v>
      </c>
      <c r="E142" s="1210">
        <v>968.15</v>
      </c>
      <c r="F142" s="219" t="s">
        <v>2770</v>
      </c>
      <c r="G142" s="142"/>
      <c r="H142" s="127"/>
      <c r="I142" s="128"/>
      <c r="J142" s="128"/>
      <c r="K142" s="980">
        <v>85</v>
      </c>
      <c r="L142" s="143"/>
      <c r="M142" s="143"/>
      <c r="N142" s="144"/>
      <c r="O142" s="144"/>
      <c r="P142" s="144"/>
      <c r="Q142" s="353">
        <f t="shared" si="58"/>
        <v>85</v>
      </c>
      <c r="R142" s="129">
        <f t="shared" si="59"/>
        <v>0</v>
      </c>
      <c r="S142" s="129">
        <f t="shared" si="60"/>
        <v>0</v>
      </c>
      <c r="T142" s="129">
        <f t="shared" si="61"/>
        <v>85</v>
      </c>
      <c r="U142" s="129">
        <f t="shared" si="62"/>
        <v>935</v>
      </c>
      <c r="V142" s="214">
        <f t="shared" si="63"/>
        <v>75</v>
      </c>
      <c r="W142" s="353">
        <f t="shared" si="64"/>
        <v>701.25</v>
      </c>
      <c r="X142" s="129">
        <f t="shared" si="65"/>
        <v>701.25</v>
      </c>
      <c r="Y142" s="129" t="str">
        <f t="shared" si="66"/>
        <v/>
      </c>
      <c r="Z142" s="145"/>
      <c r="BA142" s="75" t="e">
        <f t="shared" si="75"/>
        <v>#DIV/0!</v>
      </c>
      <c r="BB142" s="78"/>
      <c r="BC142" s="132"/>
      <c r="BD142" s="133"/>
      <c r="BE142" s="132"/>
      <c r="BF142" s="134"/>
      <c r="BG142" s="135"/>
      <c r="BH142" s="135"/>
      <c r="BI142" s="136"/>
      <c r="BJ142" s="136"/>
      <c r="BK142" s="136"/>
      <c r="BL142" s="136"/>
      <c r="BM142" s="137"/>
      <c r="BN142" s="137"/>
      <c r="BO142" s="75">
        <f>LOOKUP(D142,基础数据!A:D)</f>
        <v>3.53915880885741</v>
      </c>
      <c r="BP142" s="75">
        <f t="shared" si="77"/>
        <v>1.00524445538374</v>
      </c>
      <c r="BQ142" s="75">
        <f t="shared" si="67"/>
        <v>11</v>
      </c>
      <c r="BR142" s="272">
        <v>11.9</v>
      </c>
      <c r="BS142" s="156">
        <f t="shared" si="68"/>
        <v>1.37</v>
      </c>
      <c r="BT142" s="1211">
        <v>0.06</v>
      </c>
      <c r="BU142" s="156">
        <f t="shared" si="69"/>
        <v>0.71</v>
      </c>
      <c r="BV142" s="156">
        <f t="shared" si="70"/>
        <v>0.06</v>
      </c>
      <c r="BW142" s="156">
        <f t="shared" si="76"/>
        <v>11</v>
      </c>
      <c r="BX142" s="156">
        <f t="shared" si="71"/>
        <v>7.58110882956879</v>
      </c>
      <c r="BY142" s="1207" t="s">
        <v>2806</v>
      </c>
      <c r="BZ142" s="272">
        <v>30</v>
      </c>
      <c r="CA142" s="186">
        <f t="shared" si="78"/>
        <v>0.75</v>
      </c>
      <c r="CB142" s="186">
        <f t="shared" si="73"/>
        <v>0.75</v>
      </c>
      <c r="CC142" s="186">
        <f t="shared" si="74"/>
        <v>0.75</v>
      </c>
      <c r="CD142" s="1208" t="s">
        <v>2812</v>
      </c>
      <c r="CF142" s="134"/>
      <c r="CG142" s="138"/>
      <c r="CH142" s="132"/>
      <c r="CI142" s="138"/>
      <c r="CJ142" s="132"/>
      <c r="CK142" s="132"/>
      <c r="CL142" s="134"/>
      <c r="CM142" s="146"/>
    </row>
    <row r="143" ht="15" customHeight="1" spans="1:91">
      <c r="A143" s="123">
        <f>IF(B143="","",COUNT(A$7:A142)+1)</f>
        <v>136</v>
      </c>
      <c r="B143" s="139" t="s">
        <v>2829</v>
      </c>
      <c r="C143" s="139" t="s">
        <v>2847</v>
      </c>
      <c r="D143" s="1209">
        <v>43100</v>
      </c>
      <c r="E143" s="1210">
        <v>854.25</v>
      </c>
      <c r="F143" s="219" t="s">
        <v>2770</v>
      </c>
      <c r="G143" s="142"/>
      <c r="H143" s="127"/>
      <c r="I143" s="128"/>
      <c r="J143" s="128"/>
      <c r="K143" s="980">
        <v>75</v>
      </c>
      <c r="L143" s="143"/>
      <c r="M143" s="143"/>
      <c r="N143" s="144"/>
      <c r="O143" s="144"/>
      <c r="P143" s="144"/>
      <c r="Q143" s="353">
        <f t="shared" si="58"/>
        <v>75</v>
      </c>
      <c r="R143" s="129">
        <f t="shared" si="59"/>
        <v>0</v>
      </c>
      <c r="S143" s="129">
        <f t="shared" si="60"/>
        <v>0</v>
      </c>
      <c r="T143" s="129">
        <f t="shared" si="61"/>
        <v>75</v>
      </c>
      <c r="U143" s="129">
        <f t="shared" si="62"/>
        <v>825</v>
      </c>
      <c r="V143" s="214">
        <f t="shared" si="63"/>
        <v>75</v>
      </c>
      <c r="W143" s="353">
        <f t="shared" si="64"/>
        <v>618.75</v>
      </c>
      <c r="X143" s="129">
        <f t="shared" si="65"/>
        <v>618.75</v>
      </c>
      <c r="Y143" s="129" t="str">
        <f t="shared" si="66"/>
        <v/>
      </c>
      <c r="Z143" s="145"/>
      <c r="BA143" s="75" t="e">
        <f t="shared" si="75"/>
        <v>#DIV/0!</v>
      </c>
      <c r="BB143" s="78"/>
      <c r="BC143" s="132"/>
      <c r="BD143" s="133"/>
      <c r="BE143" s="132"/>
      <c r="BF143" s="134"/>
      <c r="BG143" s="135"/>
      <c r="BH143" s="135"/>
      <c r="BI143" s="136"/>
      <c r="BJ143" s="136"/>
      <c r="BK143" s="136"/>
      <c r="BL143" s="136"/>
      <c r="BM143" s="137"/>
      <c r="BN143" s="137"/>
      <c r="BO143" s="75">
        <f>LOOKUP(D143,基础数据!A:D)</f>
        <v>3.53915880885741</v>
      </c>
      <c r="BP143" s="75">
        <f t="shared" si="77"/>
        <v>1.00524445538374</v>
      </c>
      <c r="BQ143" s="75">
        <f t="shared" si="67"/>
        <v>11</v>
      </c>
      <c r="BR143" s="272">
        <v>11.9</v>
      </c>
      <c r="BS143" s="156">
        <f t="shared" si="68"/>
        <v>1.37</v>
      </c>
      <c r="BT143" s="1211">
        <v>0.06</v>
      </c>
      <c r="BU143" s="156">
        <f t="shared" si="69"/>
        <v>0.71</v>
      </c>
      <c r="BV143" s="156">
        <f t="shared" si="70"/>
        <v>0.06</v>
      </c>
      <c r="BW143" s="156">
        <f t="shared" si="76"/>
        <v>11</v>
      </c>
      <c r="BX143" s="156">
        <f t="shared" si="71"/>
        <v>7.58110882956879</v>
      </c>
      <c r="BY143" s="1207" t="s">
        <v>2806</v>
      </c>
      <c r="BZ143" s="272">
        <v>30</v>
      </c>
      <c r="CA143" s="186">
        <f t="shared" si="78"/>
        <v>0.75</v>
      </c>
      <c r="CB143" s="186">
        <f t="shared" si="73"/>
        <v>0.75</v>
      </c>
      <c r="CC143" s="186">
        <f t="shared" si="74"/>
        <v>0.75</v>
      </c>
      <c r="CD143" s="1208" t="s">
        <v>2812</v>
      </c>
      <c r="CF143" s="134"/>
      <c r="CG143" s="138"/>
      <c r="CH143" s="132"/>
      <c r="CI143" s="138"/>
      <c r="CJ143" s="132"/>
      <c r="CK143" s="132"/>
      <c r="CL143" s="134"/>
      <c r="CM143" s="146"/>
    </row>
    <row r="144" ht="15" customHeight="1" spans="1:91">
      <c r="A144" s="123">
        <f>IF(B144="","",COUNT(A$7:A143)+1)</f>
        <v>137</v>
      </c>
      <c r="B144" s="139" t="s">
        <v>2829</v>
      </c>
      <c r="C144" s="139" t="s">
        <v>2847</v>
      </c>
      <c r="D144" s="1209">
        <v>43100</v>
      </c>
      <c r="E144" s="1210">
        <v>968.15</v>
      </c>
      <c r="F144" s="219" t="s">
        <v>2770</v>
      </c>
      <c r="G144" s="142"/>
      <c r="H144" s="127"/>
      <c r="I144" s="128"/>
      <c r="J144" s="128"/>
      <c r="K144" s="980">
        <v>85</v>
      </c>
      <c r="L144" s="143"/>
      <c r="M144" s="143"/>
      <c r="N144" s="144"/>
      <c r="O144" s="144"/>
      <c r="P144" s="144"/>
      <c r="Q144" s="353">
        <f t="shared" si="58"/>
        <v>85</v>
      </c>
      <c r="R144" s="129">
        <f t="shared" si="59"/>
        <v>0</v>
      </c>
      <c r="S144" s="129">
        <f t="shared" si="60"/>
        <v>0</v>
      </c>
      <c r="T144" s="129">
        <f t="shared" si="61"/>
        <v>85</v>
      </c>
      <c r="U144" s="129">
        <f t="shared" si="62"/>
        <v>935</v>
      </c>
      <c r="V144" s="214">
        <f t="shared" si="63"/>
        <v>75</v>
      </c>
      <c r="W144" s="353">
        <f t="shared" si="64"/>
        <v>701.25</v>
      </c>
      <c r="X144" s="129">
        <f t="shared" si="65"/>
        <v>701.25</v>
      </c>
      <c r="Y144" s="129" t="str">
        <f t="shared" si="66"/>
        <v/>
      </c>
      <c r="Z144" s="145"/>
      <c r="BA144" s="75" t="e">
        <f t="shared" si="75"/>
        <v>#DIV/0!</v>
      </c>
      <c r="BB144" s="78"/>
      <c r="BC144" s="132"/>
      <c r="BD144" s="133"/>
      <c r="BE144" s="132"/>
      <c r="BF144" s="134"/>
      <c r="BG144" s="135"/>
      <c r="BH144" s="135"/>
      <c r="BI144" s="136"/>
      <c r="BJ144" s="136"/>
      <c r="BK144" s="136"/>
      <c r="BL144" s="136"/>
      <c r="BM144" s="137"/>
      <c r="BN144" s="137"/>
      <c r="BO144" s="75">
        <f>LOOKUP(D144,基础数据!A:D)</f>
        <v>3.53915880885741</v>
      </c>
      <c r="BP144" s="75">
        <f t="shared" si="77"/>
        <v>1.00524445538374</v>
      </c>
      <c r="BQ144" s="75">
        <f t="shared" si="67"/>
        <v>11</v>
      </c>
      <c r="BR144" s="272">
        <v>11.9</v>
      </c>
      <c r="BS144" s="156">
        <f t="shared" si="68"/>
        <v>1.37</v>
      </c>
      <c r="BT144" s="1211">
        <v>0.06</v>
      </c>
      <c r="BU144" s="156">
        <f t="shared" si="69"/>
        <v>0.71</v>
      </c>
      <c r="BV144" s="156">
        <f t="shared" si="70"/>
        <v>0.06</v>
      </c>
      <c r="BW144" s="156">
        <f t="shared" si="76"/>
        <v>11</v>
      </c>
      <c r="BX144" s="156">
        <f t="shared" si="71"/>
        <v>7.58110882956879</v>
      </c>
      <c r="BY144" s="1207" t="s">
        <v>2806</v>
      </c>
      <c r="BZ144" s="272">
        <v>30</v>
      </c>
      <c r="CA144" s="186">
        <f t="shared" si="78"/>
        <v>0.75</v>
      </c>
      <c r="CB144" s="186">
        <f t="shared" si="73"/>
        <v>0.75</v>
      </c>
      <c r="CC144" s="186">
        <f t="shared" si="74"/>
        <v>0.75</v>
      </c>
      <c r="CD144" s="1208" t="s">
        <v>2812</v>
      </c>
      <c r="CF144" s="134"/>
      <c r="CG144" s="138"/>
      <c r="CH144" s="132"/>
      <c r="CI144" s="138"/>
      <c r="CJ144" s="132"/>
      <c r="CK144" s="132"/>
      <c r="CL144" s="134"/>
      <c r="CM144" s="146"/>
    </row>
    <row r="145" ht="15" customHeight="1" spans="1:91">
      <c r="A145" s="123">
        <f>IF(B145="","",COUNT(A$7:A144)+1)</f>
        <v>138</v>
      </c>
      <c r="B145" s="139" t="s">
        <v>2829</v>
      </c>
      <c r="C145" s="139" t="s">
        <v>2847</v>
      </c>
      <c r="D145" s="1209">
        <v>43100</v>
      </c>
      <c r="E145" s="1210">
        <v>854.25</v>
      </c>
      <c r="F145" s="219" t="s">
        <v>2770</v>
      </c>
      <c r="G145" s="142"/>
      <c r="H145" s="127"/>
      <c r="I145" s="128"/>
      <c r="J145" s="128"/>
      <c r="K145" s="980">
        <v>75</v>
      </c>
      <c r="L145" s="143"/>
      <c r="M145" s="143"/>
      <c r="N145" s="144"/>
      <c r="O145" s="144"/>
      <c r="P145" s="144"/>
      <c r="Q145" s="353">
        <f t="shared" si="58"/>
        <v>75</v>
      </c>
      <c r="R145" s="129">
        <f t="shared" si="59"/>
        <v>0</v>
      </c>
      <c r="S145" s="129">
        <f t="shared" si="60"/>
        <v>0</v>
      </c>
      <c r="T145" s="129">
        <f t="shared" si="61"/>
        <v>75</v>
      </c>
      <c r="U145" s="129">
        <f t="shared" si="62"/>
        <v>825</v>
      </c>
      <c r="V145" s="214">
        <f t="shared" si="63"/>
        <v>75</v>
      </c>
      <c r="W145" s="353">
        <f t="shared" si="64"/>
        <v>618.75</v>
      </c>
      <c r="X145" s="129">
        <f t="shared" si="65"/>
        <v>618.75</v>
      </c>
      <c r="Y145" s="129" t="str">
        <f t="shared" si="66"/>
        <v/>
      </c>
      <c r="Z145" s="145"/>
      <c r="BA145" s="75" t="e">
        <f t="shared" si="75"/>
        <v>#DIV/0!</v>
      </c>
      <c r="BB145" s="78"/>
      <c r="BC145" s="132"/>
      <c r="BD145" s="133"/>
      <c r="BE145" s="132"/>
      <c r="BF145" s="134"/>
      <c r="BG145" s="135"/>
      <c r="BH145" s="135"/>
      <c r="BI145" s="136"/>
      <c r="BJ145" s="136"/>
      <c r="BK145" s="136"/>
      <c r="BL145" s="136"/>
      <c r="BM145" s="137"/>
      <c r="BN145" s="137"/>
      <c r="BO145" s="75">
        <f>LOOKUP(D145,基础数据!A:D)</f>
        <v>3.53915880885741</v>
      </c>
      <c r="BP145" s="75">
        <f t="shared" si="77"/>
        <v>1.00524445538374</v>
      </c>
      <c r="BQ145" s="75">
        <f t="shared" si="67"/>
        <v>11</v>
      </c>
      <c r="BR145" s="272">
        <v>11.9</v>
      </c>
      <c r="BS145" s="156">
        <f t="shared" si="68"/>
        <v>1.37</v>
      </c>
      <c r="BT145" s="1211">
        <v>0.06</v>
      </c>
      <c r="BU145" s="156">
        <f t="shared" si="69"/>
        <v>0.71</v>
      </c>
      <c r="BV145" s="156">
        <f t="shared" si="70"/>
        <v>0.06</v>
      </c>
      <c r="BW145" s="156">
        <f t="shared" si="76"/>
        <v>11</v>
      </c>
      <c r="BX145" s="156">
        <f t="shared" si="71"/>
        <v>7.58110882956879</v>
      </c>
      <c r="BY145" s="1207" t="s">
        <v>2806</v>
      </c>
      <c r="BZ145" s="272">
        <v>30</v>
      </c>
      <c r="CA145" s="186">
        <f t="shared" si="78"/>
        <v>0.75</v>
      </c>
      <c r="CB145" s="186">
        <f t="shared" si="73"/>
        <v>0.75</v>
      </c>
      <c r="CC145" s="186">
        <f t="shared" si="74"/>
        <v>0.75</v>
      </c>
      <c r="CD145" s="1208" t="s">
        <v>2812</v>
      </c>
      <c r="CF145" s="134"/>
      <c r="CG145" s="138"/>
      <c r="CH145" s="132"/>
      <c r="CI145" s="138"/>
      <c r="CJ145" s="132"/>
      <c r="CK145" s="132"/>
      <c r="CL145" s="134"/>
      <c r="CM145" s="146"/>
    </row>
    <row r="146" ht="15" customHeight="1" spans="1:91">
      <c r="A146" s="123">
        <f>IF(B146="","",COUNT(A$7:A145)+1)</f>
        <v>139</v>
      </c>
      <c r="B146" s="139" t="s">
        <v>2829</v>
      </c>
      <c r="C146" s="139" t="s">
        <v>2847</v>
      </c>
      <c r="D146" s="1209">
        <v>43100</v>
      </c>
      <c r="E146" s="1210">
        <v>968.15</v>
      </c>
      <c r="F146" s="219" t="s">
        <v>2770</v>
      </c>
      <c r="G146" s="142"/>
      <c r="H146" s="127"/>
      <c r="I146" s="128"/>
      <c r="J146" s="128"/>
      <c r="K146" s="980">
        <v>85</v>
      </c>
      <c r="L146" s="143"/>
      <c r="M146" s="143"/>
      <c r="N146" s="144"/>
      <c r="O146" s="144"/>
      <c r="P146" s="144"/>
      <c r="Q146" s="353">
        <f t="shared" si="58"/>
        <v>85</v>
      </c>
      <c r="R146" s="129">
        <f t="shared" si="59"/>
        <v>0</v>
      </c>
      <c r="S146" s="129">
        <f t="shared" si="60"/>
        <v>0</v>
      </c>
      <c r="T146" s="129">
        <f t="shared" si="61"/>
        <v>85</v>
      </c>
      <c r="U146" s="129">
        <f t="shared" si="62"/>
        <v>935</v>
      </c>
      <c r="V146" s="214">
        <f t="shared" si="63"/>
        <v>75</v>
      </c>
      <c r="W146" s="353">
        <f t="shared" si="64"/>
        <v>701.25</v>
      </c>
      <c r="X146" s="129">
        <f t="shared" si="65"/>
        <v>701.25</v>
      </c>
      <c r="Y146" s="129" t="str">
        <f t="shared" si="66"/>
        <v/>
      </c>
      <c r="Z146" s="145"/>
      <c r="BA146" s="75" t="e">
        <f t="shared" si="75"/>
        <v>#DIV/0!</v>
      </c>
      <c r="BB146" s="78"/>
      <c r="BC146" s="132"/>
      <c r="BD146" s="133"/>
      <c r="BE146" s="132"/>
      <c r="BF146" s="134"/>
      <c r="BG146" s="135"/>
      <c r="BH146" s="135"/>
      <c r="BI146" s="136"/>
      <c r="BJ146" s="136"/>
      <c r="BK146" s="136"/>
      <c r="BL146" s="136"/>
      <c r="BM146" s="137"/>
      <c r="BN146" s="137"/>
      <c r="BO146" s="75">
        <f>LOOKUP(D146,基础数据!A:D)</f>
        <v>3.53915880885741</v>
      </c>
      <c r="BP146" s="75">
        <f t="shared" si="77"/>
        <v>1.00524445538374</v>
      </c>
      <c r="BQ146" s="75">
        <f t="shared" si="67"/>
        <v>11</v>
      </c>
      <c r="BR146" s="272">
        <v>11.9</v>
      </c>
      <c r="BS146" s="156">
        <f t="shared" si="68"/>
        <v>1.37</v>
      </c>
      <c r="BT146" s="1211">
        <v>0.06</v>
      </c>
      <c r="BU146" s="156">
        <f t="shared" si="69"/>
        <v>0.71</v>
      </c>
      <c r="BV146" s="156">
        <f t="shared" si="70"/>
        <v>0.06</v>
      </c>
      <c r="BW146" s="156">
        <f t="shared" si="76"/>
        <v>11</v>
      </c>
      <c r="BX146" s="156">
        <f t="shared" si="71"/>
        <v>7.58110882956879</v>
      </c>
      <c r="BY146" s="1207" t="s">
        <v>2806</v>
      </c>
      <c r="BZ146" s="272">
        <v>30</v>
      </c>
      <c r="CA146" s="186">
        <f t="shared" si="78"/>
        <v>0.75</v>
      </c>
      <c r="CB146" s="186">
        <f t="shared" si="73"/>
        <v>0.75</v>
      </c>
      <c r="CC146" s="186">
        <f t="shared" si="74"/>
        <v>0.75</v>
      </c>
      <c r="CD146" s="1208" t="s">
        <v>2812</v>
      </c>
      <c r="CF146" s="134"/>
      <c r="CG146" s="138"/>
      <c r="CH146" s="132"/>
      <c r="CI146" s="138"/>
      <c r="CJ146" s="132"/>
      <c r="CK146" s="132"/>
      <c r="CL146" s="134"/>
      <c r="CM146" s="146"/>
    </row>
    <row r="147" ht="15" customHeight="1" spans="1:91">
      <c r="A147" s="123">
        <f>IF(B147="","",COUNT(A$7:A146)+1)</f>
        <v>140</v>
      </c>
      <c r="B147" s="139" t="s">
        <v>2829</v>
      </c>
      <c r="C147" s="139" t="s">
        <v>2847</v>
      </c>
      <c r="D147" s="1209">
        <v>43100</v>
      </c>
      <c r="E147" s="1210">
        <v>854.25</v>
      </c>
      <c r="F147" s="219" t="s">
        <v>2770</v>
      </c>
      <c r="G147" s="142"/>
      <c r="H147" s="127"/>
      <c r="I147" s="128"/>
      <c r="J147" s="128"/>
      <c r="K147" s="980">
        <v>75</v>
      </c>
      <c r="L147" s="143"/>
      <c r="M147" s="143"/>
      <c r="N147" s="144"/>
      <c r="O147" s="144"/>
      <c r="P147" s="144"/>
      <c r="Q147" s="353">
        <f t="shared" si="58"/>
        <v>75</v>
      </c>
      <c r="R147" s="129">
        <f t="shared" si="59"/>
        <v>0</v>
      </c>
      <c r="S147" s="129">
        <f t="shared" si="60"/>
        <v>0</v>
      </c>
      <c r="T147" s="129">
        <f t="shared" si="61"/>
        <v>75</v>
      </c>
      <c r="U147" s="129">
        <f t="shared" si="62"/>
        <v>825</v>
      </c>
      <c r="V147" s="214">
        <f t="shared" si="63"/>
        <v>75</v>
      </c>
      <c r="W147" s="353">
        <f t="shared" si="64"/>
        <v>618.75</v>
      </c>
      <c r="X147" s="129">
        <f t="shared" si="65"/>
        <v>618.75</v>
      </c>
      <c r="Y147" s="129" t="str">
        <f t="shared" si="66"/>
        <v/>
      </c>
      <c r="Z147" s="145"/>
      <c r="BA147" s="75" t="e">
        <f t="shared" si="75"/>
        <v>#DIV/0!</v>
      </c>
      <c r="BB147" s="78"/>
      <c r="BC147" s="132"/>
      <c r="BD147" s="133"/>
      <c r="BE147" s="132"/>
      <c r="BF147" s="134"/>
      <c r="BG147" s="135"/>
      <c r="BH147" s="135"/>
      <c r="BI147" s="136"/>
      <c r="BJ147" s="136"/>
      <c r="BK147" s="136"/>
      <c r="BL147" s="136"/>
      <c r="BM147" s="137"/>
      <c r="BN147" s="137"/>
      <c r="BO147" s="75">
        <f>LOOKUP(D147,基础数据!A:D)</f>
        <v>3.53915880885741</v>
      </c>
      <c r="BP147" s="75">
        <f t="shared" si="77"/>
        <v>1.00524445538374</v>
      </c>
      <c r="BQ147" s="75">
        <f t="shared" si="67"/>
        <v>11</v>
      </c>
      <c r="BR147" s="272">
        <v>11.9</v>
      </c>
      <c r="BS147" s="156">
        <f t="shared" si="68"/>
        <v>1.37</v>
      </c>
      <c r="BT147" s="1211">
        <v>0.06</v>
      </c>
      <c r="BU147" s="156">
        <f t="shared" si="69"/>
        <v>0.71</v>
      </c>
      <c r="BV147" s="156">
        <f t="shared" si="70"/>
        <v>0.06</v>
      </c>
      <c r="BW147" s="156">
        <f t="shared" si="76"/>
        <v>11</v>
      </c>
      <c r="BX147" s="156">
        <f t="shared" si="71"/>
        <v>7.58110882956879</v>
      </c>
      <c r="BY147" s="1207" t="s">
        <v>2806</v>
      </c>
      <c r="BZ147" s="272">
        <v>30</v>
      </c>
      <c r="CA147" s="186">
        <f t="shared" si="78"/>
        <v>0.75</v>
      </c>
      <c r="CB147" s="186">
        <f t="shared" si="73"/>
        <v>0.75</v>
      </c>
      <c r="CC147" s="186">
        <f t="shared" si="74"/>
        <v>0.75</v>
      </c>
      <c r="CD147" s="1208" t="s">
        <v>2812</v>
      </c>
      <c r="CF147" s="134"/>
      <c r="CG147" s="138"/>
      <c r="CH147" s="132"/>
      <c r="CI147" s="138"/>
      <c r="CJ147" s="132"/>
      <c r="CK147" s="132"/>
      <c r="CL147" s="134"/>
      <c r="CM147" s="146"/>
    </row>
    <row r="148" ht="15" customHeight="1" spans="1:91">
      <c r="A148" s="123">
        <f>IF(B148="","",COUNT(A$7:A147)+1)</f>
        <v>141</v>
      </c>
      <c r="B148" s="139" t="s">
        <v>2829</v>
      </c>
      <c r="C148" s="139" t="s">
        <v>2838</v>
      </c>
      <c r="D148" s="1209">
        <v>43100</v>
      </c>
      <c r="E148" s="1210">
        <v>1773.75</v>
      </c>
      <c r="F148" s="219" t="s">
        <v>2770</v>
      </c>
      <c r="G148" s="142"/>
      <c r="H148" s="127"/>
      <c r="I148" s="128"/>
      <c r="J148" s="128"/>
      <c r="K148" s="980">
        <v>75</v>
      </c>
      <c r="L148" s="143"/>
      <c r="M148" s="143"/>
      <c r="N148" s="144"/>
      <c r="O148" s="144"/>
      <c r="P148" s="144"/>
      <c r="Q148" s="353">
        <f t="shared" si="58"/>
        <v>75</v>
      </c>
      <c r="R148" s="129">
        <f t="shared" si="59"/>
        <v>0</v>
      </c>
      <c r="S148" s="129">
        <f t="shared" si="60"/>
        <v>0</v>
      </c>
      <c r="T148" s="129">
        <f t="shared" si="61"/>
        <v>75</v>
      </c>
      <c r="U148" s="129">
        <f t="shared" si="62"/>
        <v>1875</v>
      </c>
      <c r="V148" s="214">
        <f t="shared" si="63"/>
        <v>75</v>
      </c>
      <c r="W148" s="353">
        <f t="shared" si="64"/>
        <v>1406.25</v>
      </c>
      <c r="X148" s="129">
        <f t="shared" si="65"/>
        <v>1406.25</v>
      </c>
      <c r="Y148" s="129" t="str">
        <f t="shared" si="66"/>
        <v/>
      </c>
      <c r="Z148" s="145"/>
      <c r="BA148" s="75" t="e">
        <f t="shared" si="75"/>
        <v>#DIV/0!</v>
      </c>
      <c r="BB148" s="78"/>
      <c r="BC148" s="132"/>
      <c r="BD148" s="133"/>
      <c r="BE148" s="132"/>
      <c r="BF148" s="134"/>
      <c r="BG148" s="135"/>
      <c r="BH148" s="135"/>
      <c r="BI148" s="136"/>
      <c r="BJ148" s="136"/>
      <c r="BK148" s="136"/>
      <c r="BL148" s="136"/>
      <c r="BM148" s="137"/>
      <c r="BN148" s="137"/>
      <c r="BO148" s="75">
        <f>LOOKUP(D148,基础数据!A:D)</f>
        <v>3.53915880885741</v>
      </c>
      <c r="BP148" s="75">
        <f t="shared" si="77"/>
        <v>1.00524445538374</v>
      </c>
      <c r="BQ148" s="75">
        <f t="shared" si="67"/>
        <v>24</v>
      </c>
      <c r="BR148" s="272">
        <f>ROUND(BQ148*1.13,0)</f>
        <v>27</v>
      </c>
      <c r="BS148" s="156">
        <f t="shared" si="68"/>
        <v>3.11</v>
      </c>
      <c r="BT148" s="1211">
        <v>0.06</v>
      </c>
      <c r="BU148" s="156">
        <f t="shared" si="69"/>
        <v>1.62</v>
      </c>
      <c r="BV148" s="156">
        <f t="shared" si="70"/>
        <v>0.13</v>
      </c>
      <c r="BW148" s="156">
        <f t="shared" si="76"/>
        <v>25</v>
      </c>
      <c r="BX148" s="156">
        <f t="shared" si="71"/>
        <v>7.58110882956879</v>
      </c>
      <c r="BY148" s="1207" t="s">
        <v>2806</v>
      </c>
      <c r="BZ148" s="272">
        <v>30</v>
      </c>
      <c r="CA148" s="186">
        <f t="shared" si="72"/>
        <v>0.75</v>
      </c>
      <c r="CB148" s="186">
        <f t="shared" si="73"/>
        <v>0.75</v>
      </c>
      <c r="CC148" s="186">
        <f t="shared" si="74"/>
        <v>0.75</v>
      </c>
      <c r="CD148" s="272"/>
      <c r="CF148" s="134"/>
      <c r="CG148" s="138"/>
      <c r="CH148" s="132"/>
      <c r="CI148" s="138"/>
      <c r="CJ148" s="132"/>
      <c r="CK148" s="132"/>
      <c r="CL148" s="134"/>
      <c r="CM148" s="146"/>
    </row>
    <row r="149" ht="15" customHeight="1" spans="1:91">
      <c r="A149" s="123">
        <f>IF(B149="","",COUNT(A$7:A148)+1)</f>
        <v>142</v>
      </c>
      <c r="B149" s="139" t="s">
        <v>2829</v>
      </c>
      <c r="C149" s="139" t="s">
        <v>2847</v>
      </c>
      <c r="D149" s="1209">
        <v>43100</v>
      </c>
      <c r="E149" s="1210">
        <v>569.5</v>
      </c>
      <c r="F149" s="219" t="s">
        <v>2770</v>
      </c>
      <c r="G149" s="142"/>
      <c r="H149" s="127"/>
      <c r="I149" s="128"/>
      <c r="J149" s="128"/>
      <c r="K149" s="980">
        <v>50</v>
      </c>
      <c r="L149" s="143"/>
      <c r="M149" s="143"/>
      <c r="N149" s="144"/>
      <c r="O149" s="144"/>
      <c r="P149" s="144"/>
      <c r="Q149" s="353">
        <f t="shared" si="58"/>
        <v>50</v>
      </c>
      <c r="R149" s="129">
        <f t="shared" si="59"/>
        <v>0</v>
      </c>
      <c r="S149" s="129">
        <f t="shared" si="60"/>
        <v>0</v>
      </c>
      <c r="T149" s="129">
        <f t="shared" si="61"/>
        <v>50</v>
      </c>
      <c r="U149" s="129">
        <f t="shared" si="62"/>
        <v>550</v>
      </c>
      <c r="V149" s="214">
        <f t="shared" si="63"/>
        <v>75</v>
      </c>
      <c r="W149" s="353">
        <f t="shared" si="64"/>
        <v>412.5</v>
      </c>
      <c r="X149" s="129">
        <f t="shared" si="65"/>
        <v>412.5</v>
      </c>
      <c r="Y149" s="129" t="str">
        <f t="shared" si="66"/>
        <v/>
      </c>
      <c r="Z149" s="145"/>
      <c r="BA149" s="75" t="e">
        <f t="shared" si="75"/>
        <v>#DIV/0!</v>
      </c>
      <c r="BB149" s="78"/>
      <c r="BC149" s="132"/>
      <c r="BD149" s="133"/>
      <c r="BE149" s="132"/>
      <c r="BF149" s="134"/>
      <c r="BG149" s="135"/>
      <c r="BH149" s="135"/>
      <c r="BI149" s="136"/>
      <c r="BJ149" s="136"/>
      <c r="BK149" s="136"/>
      <c r="BL149" s="136"/>
      <c r="BM149" s="137"/>
      <c r="BN149" s="137"/>
      <c r="BO149" s="75">
        <f>LOOKUP(D149,基础数据!A:D)</f>
        <v>3.53915880885741</v>
      </c>
      <c r="BP149" s="75">
        <f t="shared" si="77"/>
        <v>1.00524445538374</v>
      </c>
      <c r="BQ149" s="75">
        <f t="shared" si="67"/>
        <v>11</v>
      </c>
      <c r="BR149" s="272">
        <v>11.9</v>
      </c>
      <c r="BS149" s="156">
        <f t="shared" si="68"/>
        <v>1.37</v>
      </c>
      <c r="BT149" s="1211">
        <v>0.06</v>
      </c>
      <c r="BU149" s="156">
        <f t="shared" si="69"/>
        <v>0.71</v>
      </c>
      <c r="BV149" s="156">
        <f t="shared" si="70"/>
        <v>0.06</v>
      </c>
      <c r="BW149" s="156">
        <f t="shared" si="76"/>
        <v>11</v>
      </c>
      <c r="BX149" s="156">
        <f t="shared" si="71"/>
        <v>7.58110882956879</v>
      </c>
      <c r="BY149" s="1207" t="s">
        <v>2806</v>
      </c>
      <c r="BZ149" s="272">
        <v>30</v>
      </c>
      <c r="CA149" s="186">
        <f t="shared" ref="CA149:CA153" si="79">ROUND(IFERROR(1-(BX149/BZ149),0),2)</f>
        <v>0.75</v>
      </c>
      <c r="CB149" s="186">
        <f t="shared" si="73"/>
        <v>0.75</v>
      </c>
      <c r="CC149" s="186">
        <f t="shared" si="74"/>
        <v>0.75</v>
      </c>
      <c r="CD149" s="1208" t="s">
        <v>2812</v>
      </c>
      <c r="CF149" s="134"/>
      <c r="CG149" s="138"/>
      <c r="CH149" s="132"/>
      <c r="CI149" s="138"/>
      <c r="CJ149" s="132"/>
      <c r="CK149" s="132"/>
      <c r="CL149" s="134"/>
      <c r="CM149" s="146"/>
    </row>
    <row r="150" ht="15" customHeight="1" spans="1:91">
      <c r="A150" s="123">
        <f>IF(B150="","",COUNT(A$7:A149)+1)</f>
        <v>143</v>
      </c>
      <c r="B150" s="139" t="s">
        <v>2829</v>
      </c>
      <c r="C150" s="139" t="s">
        <v>2847</v>
      </c>
      <c r="D150" s="1209">
        <v>43100</v>
      </c>
      <c r="E150" s="1210">
        <v>341.7</v>
      </c>
      <c r="F150" s="219" t="s">
        <v>2770</v>
      </c>
      <c r="G150" s="142"/>
      <c r="H150" s="127"/>
      <c r="I150" s="128"/>
      <c r="J150" s="128"/>
      <c r="K150" s="980">
        <v>30</v>
      </c>
      <c r="L150" s="143"/>
      <c r="M150" s="143"/>
      <c r="N150" s="144"/>
      <c r="O150" s="144"/>
      <c r="P150" s="144"/>
      <c r="Q150" s="353">
        <f t="shared" si="58"/>
        <v>30</v>
      </c>
      <c r="R150" s="129">
        <f t="shared" si="59"/>
        <v>0</v>
      </c>
      <c r="S150" s="129">
        <f t="shared" si="60"/>
        <v>0</v>
      </c>
      <c r="T150" s="129">
        <f t="shared" si="61"/>
        <v>30</v>
      </c>
      <c r="U150" s="129">
        <f t="shared" si="62"/>
        <v>330</v>
      </c>
      <c r="V150" s="214">
        <f t="shared" si="63"/>
        <v>75</v>
      </c>
      <c r="W150" s="353">
        <f t="shared" si="64"/>
        <v>247.5</v>
      </c>
      <c r="X150" s="129">
        <f t="shared" si="65"/>
        <v>247.5</v>
      </c>
      <c r="Y150" s="129" t="str">
        <f t="shared" si="66"/>
        <v/>
      </c>
      <c r="Z150" s="145"/>
      <c r="BA150" s="75" t="e">
        <f t="shared" si="75"/>
        <v>#DIV/0!</v>
      </c>
      <c r="BB150" s="78"/>
      <c r="BC150" s="132"/>
      <c r="BD150" s="133"/>
      <c r="BE150" s="132"/>
      <c r="BF150" s="134"/>
      <c r="BG150" s="135"/>
      <c r="BH150" s="135"/>
      <c r="BI150" s="136"/>
      <c r="BJ150" s="136"/>
      <c r="BK150" s="136"/>
      <c r="BL150" s="136"/>
      <c r="BM150" s="137"/>
      <c r="BN150" s="137"/>
      <c r="BO150" s="75">
        <f>LOOKUP(D150,基础数据!A:D)</f>
        <v>3.53915880885741</v>
      </c>
      <c r="BP150" s="75">
        <f t="shared" si="77"/>
        <v>1.00524445538374</v>
      </c>
      <c r="BQ150" s="75">
        <f t="shared" si="67"/>
        <v>11</v>
      </c>
      <c r="BR150" s="272">
        <v>11.9</v>
      </c>
      <c r="BS150" s="156">
        <f t="shared" si="68"/>
        <v>1.37</v>
      </c>
      <c r="BT150" s="1211">
        <v>0.06</v>
      </c>
      <c r="BU150" s="156">
        <f t="shared" si="69"/>
        <v>0.71</v>
      </c>
      <c r="BV150" s="156">
        <f t="shared" si="70"/>
        <v>0.06</v>
      </c>
      <c r="BW150" s="156">
        <f t="shared" si="76"/>
        <v>11</v>
      </c>
      <c r="BX150" s="156">
        <f t="shared" si="71"/>
        <v>7.58110882956879</v>
      </c>
      <c r="BY150" s="1207" t="s">
        <v>2806</v>
      </c>
      <c r="BZ150" s="272">
        <v>30</v>
      </c>
      <c r="CA150" s="186">
        <f t="shared" si="79"/>
        <v>0.75</v>
      </c>
      <c r="CB150" s="186">
        <f t="shared" si="73"/>
        <v>0.75</v>
      </c>
      <c r="CC150" s="186">
        <f t="shared" si="74"/>
        <v>0.75</v>
      </c>
      <c r="CD150" s="1208" t="s">
        <v>2812</v>
      </c>
      <c r="CF150" s="134"/>
      <c r="CG150" s="138"/>
      <c r="CH150" s="132"/>
      <c r="CI150" s="138"/>
      <c r="CJ150" s="132"/>
      <c r="CK150" s="132"/>
      <c r="CL150" s="134"/>
      <c r="CM150" s="146"/>
    </row>
    <row r="151" ht="15" customHeight="1" spans="1:91">
      <c r="A151" s="123">
        <f>IF(B151="","",COUNT(A$7:A150)+1)</f>
        <v>144</v>
      </c>
      <c r="B151" s="139" t="s">
        <v>2829</v>
      </c>
      <c r="C151" s="139" t="s">
        <v>2847</v>
      </c>
      <c r="D151" s="1209">
        <v>43100</v>
      </c>
      <c r="E151" s="1210">
        <v>341.7</v>
      </c>
      <c r="F151" s="219" t="s">
        <v>2770</v>
      </c>
      <c r="G151" s="142"/>
      <c r="H151" s="127"/>
      <c r="I151" s="128"/>
      <c r="J151" s="128"/>
      <c r="K151" s="980">
        <v>30</v>
      </c>
      <c r="L151" s="143"/>
      <c r="M151" s="143"/>
      <c r="N151" s="144"/>
      <c r="O151" s="144"/>
      <c r="P151" s="144"/>
      <c r="Q151" s="353">
        <f t="shared" si="58"/>
        <v>30</v>
      </c>
      <c r="R151" s="129">
        <f t="shared" si="59"/>
        <v>0</v>
      </c>
      <c r="S151" s="129">
        <f t="shared" si="60"/>
        <v>0</v>
      </c>
      <c r="T151" s="129">
        <f t="shared" si="61"/>
        <v>30</v>
      </c>
      <c r="U151" s="129">
        <f t="shared" si="62"/>
        <v>330</v>
      </c>
      <c r="V151" s="214">
        <f t="shared" si="63"/>
        <v>75</v>
      </c>
      <c r="W151" s="353">
        <f t="shared" si="64"/>
        <v>247.5</v>
      </c>
      <c r="X151" s="129">
        <f t="shared" si="65"/>
        <v>247.5</v>
      </c>
      <c r="Y151" s="129" t="str">
        <f t="shared" si="66"/>
        <v/>
      </c>
      <c r="Z151" s="145"/>
      <c r="BA151" s="75" t="e">
        <f t="shared" si="75"/>
        <v>#DIV/0!</v>
      </c>
      <c r="BB151" s="78"/>
      <c r="BC151" s="132"/>
      <c r="BD151" s="133"/>
      <c r="BE151" s="132"/>
      <c r="BF151" s="134"/>
      <c r="BG151" s="135"/>
      <c r="BH151" s="135"/>
      <c r="BI151" s="136"/>
      <c r="BJ151" s="136"/>
      <c r="BK151" s="136"/>
      <c r="BL151" s="136"/>
      <c r="BM151" s="137"/>
      <c r="BN151" s="137"/>
      <c r="BO151" s="75">
        <f>LOOKUP(D151,基础数据!A:D)</f>
        <v>3.53915880885741</v>
      </c>
      <c r="BP151" s="75">
        <f t="shared" si="77"/>
        <v>1.00524445538374</v>
      </c>
      <c r="BQ151" s="75">
        <f t="shared" si="67"/>
        <v>11</v>
      </c>
      <c r="BR151" s="272">
        <v>11.9</v>
      </c>
      <c r="BS151" s="156">
        <f t="shared" si="68"/>
        <v>1.37</v>
      </c>
      <c r="BT151" s="1211">
        <v>0.06</v>
      </c>
      <c r="BU151" s="156">
        <f t="shared" si="69"/>
        <v>0.71</v>
      </c>
      <c r="BV151" s="156">
        <f t="shared" si="70"/>
        <v>0.06</v>
      </c>
      <c r="BW151" s="156">
        <f t="shared" si="76"/>
        <v>11</v>
      </c>
      <c r="BX151" s="156">
        <f t="shared" si="71"/>
        <v>7.58110882956879</v>
      </c>
      <c r="BY151" s="1207" t="s">
        <v>2806</v>
      </c>
      <c r="BZ151" s="272">
        <v>30</v>
      </c>
      <c r="CA151" s="186">
        <f t="shared" si="79"/>
        <v>0.75</v>
      </c>
      <c r="CB151" s="186">
        <f t="shared" si="73"/>
        <v>0.75</v>
      </c>
      <c r="CC151" s="186">
        <f t="shared" si="74"/>
        <v>0.75</v>
      </c>
      <c r="CD151" s="1208" t="s">
        <v>2812</v>
      </c>
      <c r="CF151" s="134"/>
      <c r="CG151" s="138"/>
      <c r="CH151" s="132"/>
      <c r="CI151" s="138"/>
      <c r="CJ151" s="132"/>
      <c r="CK151" s="132"/>
      <c r="CL151" s="134"/>
      <c r="CM151" s="146"/>
    </row>
    <row r="152" ht="15" customHeight="1" spans="1:91">
      <c r="A152" s="123">
        <f>IF(B152="","",COUNT(A$7:A151)+1)</f>
        <v>145</v>
      </c>
      <c r="B152" s="139" t="s">
        <v>2829</v>
      </c>
      <c r="C152" s="139" t="s">
        <v>2847</v>
      </c>
      <c r="D152" s="1209">
        <v>43100</v>
      </c>
      <c r="E152" s="1210">
        <v>740.35</v>
      </c>
      <c r="F152" s="219" t="s">
        <v>2770</v>
      </c>
      <c r="G152" s="142"/>
      <c r="H152" s="127"/>
      <c r="I152" s="128"/>
      <c r="J152" s="128"/>
      <c r="K152" s="980">
        <v>65</v>
      </c>
      <c r="L152" s="143"/>
      <c r="M152" s="143"/>
      <c r="N152" s="144"/>
      <c r="O152" s="144"/>
      <c r="P152" s="144"/>
      <c r="Q152" s="353">
        <f t="shared" si="58"/>
        <v>65</v>
      </c>
      <c r="R152" s="129">
        <f t="shared" si="59"/>
        <v>0</v>
      </c>
      <c r="S152" s="129">
        <f t="shared" si="60"/>
        <v>0</v>
      </c>
      <c r="T152" s="129">
        <f t="shared" si="61"/>
        <v>65</v>
      </c>
      <c r="U152" s="129">
        <f t="shared" si="62"/>
        <v>715</v>
      </c>
      <c r="V152" s="214">
        <f t="shared" si="63"/>
        <v>75</v>
      </c>
      <c r="W152" s="353">
        <f t="shared" si="64"/>
        <v>536.25</v>
      </c>
      <c r="X152" s="129">
        <f t="shared" si="65"/>
        <v>536.25</v>
      </c>
      <c r="Y152" s="129" t="str">
        <f t="shared" si="66"/>
        <v/>
      </c>
      <c r="Z152" s="145"/>
      <c r="BA152" s="75" t="e">
        <f t="shared" si="75"/>
        <v>#DIV/0!</v>
      </c>
      <c r="BB152" s="78"/>
      <c r="BC152" s="132"/>
      <c r="BD152" s="133"/>
      <c r="BE152" s="132"/>
      <c r="BF152" s="134"/>
      <c r="BG152" s="135"/>
      <c r="BH152" s="135"/>
      <c r="BI152" s="136"/>
      <c r="BJ152" s="136"/>
      <c r="BK152" s="136"/>
      <c r="BL152" s="136"/>
      <c r="BM152" s="137"/>
      <c r="BN152" s="137"/>
      <c r="BO152" s="75">
        <f>LOOKUP(D152,基础数据!A:D)</f>
        <v>3.53915880885741</v>
      </c>
      <c r="BP152" s="75">
        <f t="shared" si="77"/>
        <v>1.00524445538374</v>
      </c>
      <c r="BQ152" s="75">
        <f t="shared" si="67"/>
        <v>11</v>
      </c>
      <c r="BR152" s="272">
        <v>11.9</v>
      </c>
      <c r="BS152" s="156">
        <f t="shared" si="68"/>
        <v>1.37</v>
      </c>
      <c r="BT152" s="1211">
        <v>0.06</v>
      </c>
      <c r="BU152" s="156">
        <f t="shared" si="69"/>
        <v>0.71</v>
      </c>
      <c r="BV152" s="156">
        <f t="shared" si="70"/>
        <v>0.06</v>
      </c>
      <c r="BW152" s="156">
        <f t="shared" si="76"/>
        <v>11</v>
      </c>
      <c r="BX152" s="156">
        <f t="shared" si="71"/>
        <v>7.58110882956879</v>
      </c>
      <c r="BY152" s="1207" t="s">
        <v>2806</v>
      </c>
      <c r="BZ152" s="272">
        <v>30</v>
      </c>
      <c r="CA152" s="186">
        <f t="shared" si="79"/>
        <v>0.75</v>
      </c>
      <c r="CB152" s="186">
        <f t="shared" si="73"/>
        <v>0.75</v>
      </c>
      <c r="CC152" s="186">
        <f t="shared" si="74"/>
        <v>0.75</v>
      </c>
      <c r="CD152" s="1208" t="s">
        <v>2812</v>
      </c>
      <c r="CF152" s="134"/>
      <c r="CG152" s="138"/>
      <c r="CH152" s="132"/>
      <c r="CI152" s="138"/>
      <c r="CJ152" s="132"/>
      <c r="CK152" s="132"/>
      <c r="CL152" s="134"/>
      <c r="CM152" s="146"/>
    </row>
    <row r="153" ht="15" customHeight="1" spans="1:91">
      <c r="A153" s="123">
        <f>IF(B153="","",COUNT(A$7:A152)+1)</f>
        <v>146</v>
      </c>
      <c r="B153" s="139" t="s">
        <v>2829</v>
      </c>
      <c r="C153" s="139" t="s">
        <v>2847</v>
      </c>
      <c r="D153" s="1209">
        <v>43100</v>
      </c>
      <c r="E153" s="1210">
        <v>854.25</v>
      </c>
      <c r="F153" s="219" t="s">
        <v>2770</v>
      </c>
      <c r="G153" s="142"/>
      <c r="H153" s="127"/>
      <c r="I153" s="128"/>
      <c r="J153" s="128"/>
      <c r="K153" s="980">
        <v>75</v>
      </c>
      <c r="L153" s="143"/>
      <c r="M153" s="143"/>
      <c r="N153" s="144"/>
      <c r="O153" s="144"/>
      <c r="P153" s="144"/>
      <c r="Q153" s="353">
        <f t="shared" si="58"/>
        <v>75</v>
      </c>
      <c r="R153" s="129">
        <f t="shared" si="59"/>
        <v>0</v>
      </c>
      <c r="S153" s="129">
        <f t="shared" si="60"/>
        <v>0</v>
      </c>
      <c r="T153" s="129">
        <f t="shared" si="61"/>
        <v>75</v>
      </c>
      <c r="U153" s="129">
        <f t="shared" si="62"/>
        <v>825</v>
      </c>
      <c r="V153" s="214">
        <f t="shared" si="63"/>
        <v>75</v>
      </c>
      <c r="W153" s="353">
        <f t="shared" si="64"/>
        <v>618.75</v>
      </c>
      <c r="X153" s="129">
        <f t="shared" si="65"/>
        <v>618.75</v>
      </c>
      <c r="Y153" s="129" t="str">
        <f t="shared" si="66"/>
        <v/>
      </c>
      <c r="Z153" s="145"/>
      <c r="BA153" s="75" t="e">
        <f t="shared" si="75"/>
        <v>#DIV/0!</v>
      </c>
      <c r="BB153" s="78"/>
      <c r="BC153" s="132"/>
      <c r="BD153" s="133"/>
      <c r="BE153" s="132"/>
      <c r="BF153" s="134"/>
      <c r="BG153" s="135"/>
      <c r="BH153" s="135"/>
      <c r="BI153" s="136"/>
      <c r="BJ153" s="136"/>
      <c r="BK153" s="136"/>
      <c r="BL153" s="136"/>
      <c r="BM153" s="137"/>
      <c r="BN153" s="137"/>
      <c r="BO153" s="75">
        <f>LOOKUP(D153,基础数据!A:D)</f>
        <v>3.53915880885741</v>
      </c>
      <c r="BP153" s="75">
        <f t="shared" si="77"/>
        <v>1.00524445538374</v>
      </c>
      <c r="BQ153" s="75">
        <f t="shared" si="67"/>
        <v>11</v>
      </c>
      <c r="BR153" s="272">
        <v>11.9</v>
      </c>
      <c r="BS153" s="156">
        <f t="shared" si="68"/>
        <v>1.37</v>
      </c>
      <c r="BT153" s="1211">
        <v>0.06</v>
      </c>
      <c r="BU153" s="156">
        <f t="shared" si="69"/>
        <v>0.71</v>
      </c>
      <c r="BV153" s="156">
        <f t="shared" si="70"/>
        <v>0.06</v>
      </c>
      <c r="BW153" s="156">
        <f t="shared" si="76"/>
        <v>11</v>
      </c>
      <c r="BX153" s="156">
        <f t="shared" si="71"/>
        <v>7.58110882956879</v>
      </c>
      <c r="BY153" s="1207" t="s">
        <v>2806</v>
      </c>
      <c r="BZ153" s="272">
        <v>30</v>
      </c>
      <c r="CA153" s="186">
        <f t="shared" si="79"/>
        <v>0.75</v>
      </c>
      <c r="CB153" s="186">
        <f t="shared" si="73"/>
        <v>0.75</v>
      </c>
      <c r="CC153" s="186">
        <f t="shared" si="74"/>
        <v>0.75</v>
      </c>
      <c r="CD153" s="1208" t="s">
        <v>2812</v>
      </c>
      <c r="CF153" s="134"/>
      <c r="CG153" s="138"/>
      <c r="CH153" s="132"/>
      <c r="CI153" s="138"/>
      <c r="CJ153" s="132"/>
      <c r="CK153" s="132"/>
      <c r="CL153" s="134"/>
      <c r="CM153" s="146"/>
    </row>
    <row r="154" ht="15" customHeight="1" spans="1:91">
      <c r="A154" s="123">
        <f>IF(B154="","",COUNT(A$7:A153)+1)</f>
        <v>147</v>
      </c>
      <c r="B154" s="139" t="s">
        <v>2829</v>
      </c>
      <c r="C154" s="139" t="s">
        <v>2838</v>
      </c>
      <c r="D154" s="1209">
        <v>43100</v>
      </c>
      <c r="E154" s="1210">
        <v>1892</v>
      </c>
      <c r="F154" s="219" t="s">
        <v>2770</v>
      </c>
      <c r="G154" s="142"/>
      <c r="H154" s="127"/>
      <c r="I154" s="128"/>
      <c r="J154" s="128"/>
      <c r="K154" s="980">
        <v>80</v>
      </c>
      <c r="L154" s="143"/>
      <c r="M154" s="143"/>
      <c r="N154" s="144"/>
      <c r="O154" s="144"/>
      <c r="P154" s="144"/>
      <c r="Q154" s="353">
        <f t="shared" si="58"/>
        <v>80</v>
      </c>
      <c r="R154" s="129">
        <f t="shared" si="59"/>
        <v>0</v>
      </c>
      <c r="S154" s="129">
        <f t="shared" si="60"/>
        <v>0</v>
      </c>
      <c r="T154" s="129">
        <f t="shared" si="61"/>
        <v>80</v>
      </c>
      <c r="U154" s="129">
        <f t="shared" si="62"/>
        <v>2000</v>
      </c>
      <c r="V154" s="214">
        <f t="shared" si="63"/>
        <v>75</v>
      </c>
      <c r="W154" s="353">
        <f t="shared" si="64"/>
        <v>1500</v>
      </c>
      <c r="X154" s="129">
        <f t="shared" si="65"/>
        <v>1500</v>
      </c>
      <c r="Y154" s="129" t="str">
        <f t="shared" si="66"/>
        <v/>
      </c>
      <c r="Z154" s="145"/>
      <c r="BA154" s="75" t="e">
        <f t="shared" si="75"/>
        <v>#DIV/0!</v>
      </c>
      <c r="BB154" s="78"/>
      <c r="BC154" s="132"/>
      <c r="BD154" s="133"/>
      <c r="BE154" s="132"/>
      <c r="BF154" s="134"/>
      <c r="BG154" s="135"/>
      <c r="BH154" s="135"/>
      <c r="BI154" s="136"/>
      <c r="BJ154" s="136"/>
      <c r="BK154" s="136"/>
      <c r="BL154" s="136"/>
      <c r="BM154" s="137"/>
      <c r="BN154" s="137"/>
      <c r="BO154" s="75">
        <f>LOOKUP(D154,基础数据!A:D)</f>
        <v>3.53915880885741</v>
      </c>
      <c r="BP154" s="75">
        <f t="shared" si="77"/>
        <v>1.00524445538374</v>
      </c>
      <c r="BQ154" s="75">
        <f t="shared" si="67"/>
        <v>24</v>
      </c>
      <c r="BR154" s="272">
        <f t="shared" ref="BR154:BR156" si="80">ROUND(BQ154*1.13,0)</f>
        <v>27</v>
      </c>
      <c r="BS154" s="156">
        <f t="shared" si="68"/>
        <v>3.11</v>
      </c>
      <c r="BT154" s="1211">
        <v>0.06</v>
      </c>
      <c r="BU154" s="156">
        <f t="shared" si="69"/>
        <v>1.62</v>
      </c>
      <c r="BV154" s="156">
        <f t="shared" si="70"/>
        <v>0.13</v>
      </c>
      <c r="BW154" s="156">
        <f t="shared" si="76"/>
        <v>25</v>
      </c>
      <c r="BX154" s="156">
        <f t="shared" si="71"/>
        <v>7.58110882956879</v>
      </c>
      <c r="BY154" s="1207" t="s">
        <v>2806</v>
      </c>
      <c r="BZ154" s="272">
        <v>30</v>
      </c>
      <c r="CA154" s="186">
        <f t="shared" si="72"/>
        <v>0.75</v>
      </c>
      <c r="CB154" s="186">
        <f t="shared" si="73"/>
        <v>0.75</v>
      </c>
      <c r="CC154" s="186">
        <f t="shared" si="74"/>
        <v>0.75</v>
      </c>
      <c r="CD154" s="272"/>
      <c r="CF154" s="134"/>
      <c r="CG154" s="138"/>
      <c r="CH154" s="132"/>
      <c r="CI154" s="138"/>
      <c r="CJ154" s="132"/>
      <c r="CK154" s="132"/>
      <c r="CL154" s="134"/>
      <c r="CM154" s="146"/>
    </row>
    <row r="155" ht="15" customHeight="1" spans="1:91">
      <c r="A155" s="123">
        <f>IF(B155="","",COUNT(A$7:A154)+1)</f>
        <v>148</v>
      </c>
      <c r="B155" s="139" t="s">
        <v>2829</v>
      </c>
      <c r="C155" s="139" t="s">
        <v>2839</v>
      </c>
      <c r="D155" s="1209">
        <v>43100</v>
      </c>
      <c r="E155" s="1210">
        <v>123</v>
      </c>
      <c r="F155" s="219" t="s">
        <v>2770</v>
      </c>
      <c r="G155" s="142"/>
      <c r="H155" s="127"/>
      <c r="I155" s="128"/>
      <c r="J155" s="128"/>
      <c r="K155" s="980">
        <v>20</v>
      </c>
      <c r="L155" s="143"/>
      <c r="M155" s="143"/>
      <c r="N155" s="144"/>
      <c r="O155" s="144"/>
      <c r="P155" s="144"/>
      <c r="Q155" s="353">
        <f t="shared" si="58"/>
        <v>20</v>
      </c>
      <c r="R155" s="129">
        <f t="shared" si="59"/>
        <v>0</v>
      </c>
      <c r="S155" s="129">
        <f t="shared" si="60"/>
        <v>0</v>
      </c>
      <c r="T155" s="129">
        <f t="shared" si="61"/>
        <v>20</v>
      </c>
      <c r="U155" s="129">
        <f t="shared" si="62"/>
        <v>140</v>
      </c>
      <c r="V155" s="214">
        <f t="shared" si="63"/>
        <v>75</v>
      </c>
      <c r="W155" s="353">
        <f t="shared" si="64"/>
        <v>105</v>
      </c>
      <c r="X155" s="129">
        <f t="shared" si="65"/>
        <v>105</v>
      </c>
      <c r="Y155" s="129" t="str">
        <f t="shared" si="66"/>
        <v/>
      </c>
      <c r="Z155" s="145"/>
      <c r="BA155" s="75" t="e">
        <f t="shared" si="75"/>
        <v>#DIV/0!</v>
      </c>
      <c r="BB155" s="78"/>
      <c r="BC155" s="132"/>
      <c r="BD155" s="133"/>
      <c r="BE155" s="132"/>
      <c r="BF155" s="134"/>
      <c r="BG155" s="135"/>
      <c r="BH155" s="135"/>
      <c r="BI155" s="136"/>
      <c r="BJ155" s="136"/>
      <c r="BK155" s="136"/>
      <c r="BL155" s="136"/>
      <c r="BM155" s="137"/>
      <c r="BN155" s="137"/>
      <c r="BO155" s="75">
        <f>LOOKUP(D155,基础数据!A:D)</f>
        <v>3.53915880885741</v>
      </c>
      <c r="BP155" s="75">
        <f t="shared" si="77"/>
        <v>1.00524445538374</v>
      </c>
      <c r="BQ155" s="75">
        <f t="shared" si="67"/>
        <v>6</v>
      </c>
      <c r="BR155" s="272">
        <f t="shared" si="80"/>
        <v>7</v>
      </c>
      <c r="BS155" s="156">
        <f t="shared" si="68"/>
        <v>0.81</v>
      </c>
      <c r="BT155" s="1211">
        <v>0.06</v>
      </c>
      <c r="BU155" s="156">
        <f t="shared" si="69"/>
        <v>0.42</v>
      </c>
      <c r="BV155" s="156">
        <f t="shared" si="70"/>
        <v>0.03</v>
      </c>
      <c r="BW155" s="156">
        <f t="shared" si="76"/>
        <v>7</v>
      </c>
      <c r="BX155" s="156">
        <f t="shared" si="71"/>
        <v>7.58110882956879</v>
      </c>
      <c r="BY155" s="1207" t="s">
        <v>2806</v>
      </c>
      <c r="BZ155" s="272">
        <v>30</v>
      </c>
      <c r="CA155" s="186">
        <f t="shared" si="72"/>
        <v>0.75</v>
      </c>
      <c r="CB155" s="186">
        <f t="shared" si="73"/>
        <v>0.75</v>
      </c>
      <c r="CC155" s="186">
        <f t="shared" si="74"/>
        <v>0.75</v>
      </c>
      <c r="CD155" s="272"/>
      <c r="CF155" s="134"/>
      <c r="CG155" s="138"/>
      <c r="CH155" s="132"/>
      <c r="CI155" s="138"/>
      <c r="CJ155" s="132"/>
      <c r="CK155" s="132"/>
      <c r="CL155" s="134"/>
      <c r="CM155" s="146"/>
    </row>
    <row r="156" ht="15" customHeight="1" spans="1:91">
      <c r="A156" s="123">
        <f>IF(B156="","",COUNT(A$7:A155)+1)</f>
        <v>149</v>
      </c>
      <c r="B156" s="139" t="s">
        <v>2829</v>
      </c>
      <c r="C156" s="139" t="s">
        <v>2853</v>
      </c>
      <c r="D156" s="1209">
        <v>43100</v>
      </c>
      <c r="E156" s="1210">
        <v>2000.76</v>
      </c>
      <c r="F156" s="219" t="s">
        <v>2770</v>
      </c>
      <c r="G156" s="142"/>
      <c r="H156" s="127"/>
      <c r="I156" s="128"/>
      <c r="J156" s="128"/>
      <c r="K156" s="980">
        <v>12</v>
      </c>
      <c r="L156" s="143"/>
      <c r="M156" s="143"/>
      <c r="N156" s="144"/>
      <c r="O156" s="144"/>
      <c r="P156" s="144"/>
      <c r="Q156" s="353">
        <f t="shared" si="58"/>
        <v>12</v>
      </c>
      <c r="R156" s="129">
        <f t="shared" si="59"/>
        <v>0</v>
      </c>
      <c r="S156" s="129">
        <f t="shared" si="60"/>
        <v>0</v>
      </c>
      <c r="T156" s="129">
        <f t="shared" si="61"/>
        <v>12</v>
      </c>
      <c r="U156" s="129">
        <f t="shared" si="62"/>
        <v>2148</v>
      </c>
      <c r="V156" s="214">
        <f t="shared" si="63"/>
        <v>75</v>
      </c>
      <c r="W156" s="353">
        <f t="shared" si="64"/>
        <v>1611</v>
      </c>
      <c r="X156" s="129">
        <f t="shared" si="65"/>
        <v>1611</v>
      </c>
      <c r="Y156" s="129" t="str">
        <f t="shared" si="66"/>
        <v/>
      </c>
      <c r="Z156" s="145"/>
      <c r="BA156" s="75" t="e">
        <f t="shared" si="75"/>
        <v>#DIV/0!</v>
      </c>
      <c r="BB156" s="78"/>
      <c r="BC156" s="132"/>
      <c r="BD156" s="133"/>
      <c r="BE156" s="132"/>
      <c r="BF156" s="134"/>
      <c r="BG156" s="135"/>
      <c r="BH156" s="135"/>
      <c r="BI156" s="136"/>
      <c r="BJ156" s="136"/>
      <c r="BK156" s="136"/>
      <c r="BL156" s="136"/>
      <c r="BM156" s="137"/>
      <c r="BN156" s="137"/>
      <c r="BO156" s="75">
        <f>LOOKUP(D156,基础数据!A:D)</f>
        <v>3.53915880885741</v>
      </c>
      <c r="BP156" s="75">
        <f t="shared" si="77"/>
        <v>1.00524445538374</v>
      </c>
      <c r="BQ156" s="75">
        <f t="shared" si="67"/>
        <v>168</v>
      </c>
      <c r="BR156" s="272">
        <f t="shared" si="80"/>
        <v>190</v>
      </c>
      <c r="BS156" s="156">
        <f t="shared" si="68"/>
        <v>21.86</v>
      </c>
      <c r="BT156" s="1211">
        <v>0.06</v>
      </c>
      <c r="BU156" s="156">
        <f t="shared" si="69"/>
        <v>11.4</v>
      </c>
      <c r="BV156" s="156">
        <f t="shared" si="70"/>
        <v>0.94</v>
      </c>
      <c r="BW156" s="156">
        <f t="shared" si="76"/>
        <v>179</v>
      </c>
      <c r="BX156" s="156">
        <f t="shared" si="71"/>
        <v>7.58110882956879</v>
      </c>
      <c r="BY156" s="1207" t="s">
        <v>2806</v>
      </c>
      <c r="BZ156" s="272">
        <v>30</v>
      </c>
      <c r="CA156" s="186">
        <f t="shared" si="72"/>
        <v>0.75</v>
      </c>
      <c r="CB156" s="186">
        <f t="shared" si="73"/>
        <v>0.75</v>
      </c>
      <c r="CC156" s="186">
        <f t="shared" si="74"/>
        <v>0.75</v>
      </c>
      <c r="CD156" s="272"/>
      <c r="CF156" s="134"/>
      <c r="CG156" s="138"/>
      <c r="CH156" s="132"/>
      <c r="CI156" s="138"/>
      <c r="CJ156" s="132"/>
      <c r="CK156" s="132"/>
      <c r="CL156" s="134"/>
      <c r="CM156" s="146"/>
    </row>
    <row r="157" ht="15" customHeight="1" spans="1:91">
      <c r="A157" s="123">
        <f>IF(B157="","",COUNT(A$7:A156)+1)</f>
        <v>150</v>
      </c>
      <c r="B157" s="139" t="s">
        <v>2829</v>
      </c>
      <c r="C157" s="139" t="s">
        <v>2845</v>
      </c>
      <c r="D157" s="1209">
        <v>43100</v>
      </c>
      <c r="E157" s="1210">
        <v>5193</v>
      </c>
      <c r="F157" s="219" t="s">
        <v>2770</v>
      </c>
      <c r="G157" s="142"/>
      <c r="H157" s="127"/>
      <c r="I157" s="128"/>
      <c r="J157" s="128"/>
      <c r="K157" s="980">
        <v>60</v>
      </c>
      <c r="L157" s="143"/>
      <c r="M157" s="143"/>
      <c r="N157" s="144"/>
      <c r="O157" s="144"/>
      <c r="P157" s="144"/>
      <c r="Q157" s="353">
        <f t="shared" si="58"/>
        <v>60</v>
      </c>
      <c r="R157" s="129">
        <f t="shared" si="59"/>
        <v>0</v>
      </c>
      <c r="S157" s="129">
        <f t="shared" si="60"/>
        <v>0</v>
      </c>
      <c r="T157" s="129">
        <f t="shared" si="61"/>
        <v>60</v>
      </c>
      <c r="U157" s="129">
        <f t="shared" si="62"/>
        <v>5220</v>
      </c>
      <c r="V157" s="214">
        <f t="shared" si="63"/>
        <v>75</v>
      </c>
      <c r="W157" s="353">
        <f t="shared" si="64"/>
        <v>3915</v>
      </c>
      <c r="X157" s="129">
        <f t="shared" si="65"/>
        <v>3915</v>
      </c>
      <c r="Y157" s="129" t="str">
        <f t="shared" si="66"/>
        <v/>
      </c>
      <c r="Z157" s="145"/>
      <c r="BA157" s="75" t="e">
        <f t="shared" si="75"/>
        <v>#DIV/0!</v>
      </c>
      <c r="BB157" s="78"/>
      <c r="BC157" s="132"/>
      <c r="BD157" s="133"/>
      <c r="BE157" s="132"/>
      <c r="BF157" s="134"/>
      <c r="BG157" s="135"/>
      <c r="BH157" s="135"/>
      <c r="BI157" s="136"/>
      <c r="BJ157" s="136"/>
      <c r="BK157" s="136"/>
      <c r="BL157" s="136"/>
      <c r="BM157" s="137"/>
      <c r="BN157" s="137"/>
      <c r="BO157" s="75">
        <f>LOOKUP(D157,基础数据!A:D)</f>
        <v>3.53915880885741</v>
      </c>
      <c r="BP157" s="75">
        <f t="shared" si="77"/>
        <v>1.00524445538374</v>
      </c>
      <c r="BQ157" s="75">
        <f t="shared" si="67"/>
        <v>87</v>
      </c>
      <c r="BR157" s="272">
        <v>92.22</v>
      </c>
      <c r="BS157" s="156">
        <f t="shared" si="68"/>
        <v>10.61</v>
      </c>
      <c r="BT157" s="1211">
        <v>0.06</v>
      </c>
      <c r="BU157" s="156">
        <f t="shared" si="69"/>
        <v>5.53</v>
      </c>
      <c r="BV157" s="156">
        <f t="shared" si="70"/>
        <v>0.46</v>
      </c>
      <c r="BW157" s="156">
        <f t="shared" si="76"/>
        <v>87</v>
      </c>
      <c r="BX157" s="156">
        <f t="shared" si="71"/>
        <v>7.58110882956879</v>
      </c>
      <c r="BY157" s="1207" t="s">
        <v>2806</v>
      </c>
      <c r="BZ157" s="272">
        <v>30</v>
      </c>
      <c r="CA157" s="186">
        <f t="shared" si="72"/>
        <v>0.75</v>
      </c>
      <c r="CB157" s="186">
        <f t="shared" si="73"/>
        <v>0.75</v>
      </c>
      <c r="CC157" s="186">
        <f t="shared" si="74"/>
        <v>0.75</v>
      </c>
      <c r="CD157" s="1208" t="s">
        <v>2846</v>
      </c>
      <c r="CF157" s="134"/>
      <c r="CG157" s="138"/>
      <c r="CH157" s="132"/>
      <c r="CI157" s="138"/>
      <c r="CJ157" s="132"/>
      <c r="CK157" s="132"/>
      <c r="CL157" s="134"/>
      <c r="CM157" s="146"/>
    </row>
    <row r="158" ht="15" customHeight="1" spans="1:91">
      <c r="A158" s="123">
        <f>IF(B158="","",COUNT(A$7:A157)+1)</f>
        <v>151</v>
      </c>
      <c r="B158" s="139" t="s">
        <v>2829</v>
      </c>
      <c r="C158" s="139" t="s">
        <v>2845</v>
      </c>
      <c r="D158" s="1209">
        <v>43100</v>
      </c>
      <c r="E158" s="1210">
        <v>5193</v>
      </c>
      <c r="F158" s="219" t="s">
        <v>2770</v>
      </c>
      <c r="G158" s="142"/>
      <c r="H158" s="127"/>
      <c r="I158" s="128"/>
      <c r="J158" s="128"/>
      <c r="K158" s="980">
        <v>60</v>
      </c>
      <c r="L158" s="143"/>
      <c r="M158" s="143"/>
      <c r="N158" s="144"/>
      <c r="O158" s="144"/>
      <c r="P158" s="144"/>
      <c r="Q158" s="353">
        <f t="shared" si="58"/>
        <v>60</v>
      </c>
      <c r="R158" s="129">
        <f t="shared" si="59"/>
        <v>0</v>
      </c>
      <c r="S158" s="129">
        <f t="shared" si="60"/>
        <v>0</v>
      </c>
      <c r="T158" s="129">
        <f t="shared" si="61"/>
        <v>60</v>
      </c>
      <c r="U158" s="129">
        <f t="shared" si="62"/>
        <v>5220</v>
      </c>
      <c r="V158" s="214">
        <f t="shared" si="63"/>
        <v>75</v>
      </c>
      <c r="W158" s="353">
        <f t="shared" si="64"/>
        <v>3915</v>
      </c>
      <c r="X158" s="129">
        <f t="shared" si="65"/>
        <v>3915</v>
      </c>
      <c r="Y158" s="129" t="str">
        <f t="shared" si="66"/>
        <v/>
      </c>
      <c r="Z158" s="145"/>
      <c r="BA158" s="75" t="e">
        <f t="shared" si="75"/>
        <v>#DIV/0!</v>
      </c>
      <c r="BB158" s="78"/>
      <c r="BC158" s="132"/>
      <c r="BD158" s="133"/>
      <c r="BE158" s="132"/>
      <c r="BF158" s="134"/>
      <c r="BG158" s="135"/>
      <c r="BH158" s="135"/>
      <c r="BI158" s="136"/>
      <c r="BJ158" s="136"/>
      <c r="BK158" s="136"/>
      <c r="BL158" s="136"/>
      <c r="BM158" s="137"/>
      <c r="BN158" s="137"/>
      <c r="BO158" s="75">
        <f>LOOKUP(D158,基础数据!A:D)</f>
        <v>3.53915880885741</v>
      </c>
      <c r="BP158" s="75">
        <f t="shared" si="77"/>
        <v>1.00524445538374</v>
      </c>
      <c r="BQ158" s="75">
        <f t="shared" si="67"/>
        <v>87</v>
      </c>
      <c r="BR158" s="272">
        <v>92.22</v>
      </c>
      <c r="BS158" s="156">
        <f t="shared" si="68"/>
        <v>10.61</v>
      </c>
      <c r="BT158" s="1211">
        <v>0.06</v>
      </c>
      <c r="BU158" s="156">
        <f t="shared" si="69"/>
        <v>5.53</v>
      </c>
      <c r="BV158" s="156">
        <f t="shared" si="70"/>
        <v>0.46</v>
      </c>
      <c r="BW158" s="156">
        <f t="shared" si="76"/>
        <v>87</v>
      </c>
      <c r="BX158" s="156">
        <f t="shared" si="71"/>
        <v>7.58110882956879</v>
      </c>
      <c r="BY158" s="1207" t="s">
        <v>2806</v>
      </c>
      <c r="BZ158" s="272">
        <v>30</v>
      </c>
      <c r="CA158" s="186">
        <f t="shared" si="72"/>
        <v>0.75</v>
      </c>
      <c r="CB158" s="186">
        <f t="shared" si="73"/>
        <v>0.75</v>
      </c>
      <c r="CC158" s="186">
        <f t="shared" si="74"/>
        <v>0.75</v>
      </c>
      <c r="CD158" s="1208" t="s">
        <v>2846</v>
      </c>
      <c r="CF158" s="134"/>
      <c r="CG158" s="138"/>
      <c r="CH158" s="132"/>
      <c r="CI158" s="138"/>
      <c r="CJ158" s="132"/>
      <c r="CK158" s="132"/>
      <c r="CL158" s="134"/>
      <c r="CM158" s="146"/>
    </row>
    <row r="159" ht="15" customHeight="1" spans="1:91">
      <c r="A159" s="123">
        <f>IF(B159="","",COUNT(A$7:A158)+1)</f>
        <v>152</v>
      </c>
      <c r="B159" s="139" t="s">
        <v>2829</v>
      </c>
      <c r="C159" s="139" t="s">
        <v>2845</v>
      </c>
      <c r="D159" s="1209">
        <v>43100</v>
      </c>
      <c r="E159" s="1210">
        <v>4327.5</v>
      </c>
      <c r="F159" s="219" t="s">
        <v>2770</v>
      </c>
      <c r="G159" s="142"/>
      <c r="H159" s="127"/>
      <c r="I159" s="128"/>
      <c r="J159" s="128"/>
      <c r="K159" s="980">
        <v>50</v>
      </c>
      <c r="L159" s="143"/>
      <c r="M159" s="143"/>
      <c r="N159" s="144"/>
      <c r="O159" s="144"/>
      <c r="P159" s="144"/>
      <c r="Q159" s="353">
        <f t="shared" si="58"/>
        <v>50</v>
      </c>
      <c r="R159" s="129">
        <f t="shared" si="59"/>
        <v>0</v>
      </c>
      <c r="S159" s="129">
        <f t="shared" si="60"/>
        <v>0</v>
      </c>
      <c r="T159" s="129">
        <f t="shared" si="61"/>
        <v>50</v>
      </c>
      <c r="U159" s="129">
        <f t="shared" si="62"/>
        <v>4350</v>
      </c>
      <c r="V159" s="214">
        <f t="shared" si="63"/>
        <v>75</v>
      </c>
      <c r="W159" s="353">
        <f t="shared" si="64"/>
        <v>3262.5</v>
      </c>
      <c r="X159" s="129">
        <f t="shared" si="65"/>
        <v>3262.5</v>
      </c>
      <c r="Y159" s="129" t="str">
        <f t="shared" si="66"/>
        <v/>
      </c>
      <c r="Z159" s="145"/>
      <c r="BA159" s="75" t="e">
        <f t="shared" si="75"/>
        <v>#DIV/0!</v>
      </c>
      <c r="BB159" s="78"/>
      <c r="BC159" s="132"/>
      <c r="BD159" s="133"/>
      <c r="BE159" s="132"/>
      <c r="BF159" s="134"/>
      <c r="BG159" s="135"/>
      <c r="BH159" s="135"/>
      <c r="BI159" s="136"/>
      <c r="BJ159" s="136"/>
      <c r="BK159" s="136"/>
      <c r="BL159" s="136"/>
      <c r="BM159" s="137"/>
      <c r="BN159" s="137"/>
      <c r="BO159" s="75">
        <f>LOOKUP(D159,基础数据!A:D)</f>
        <v>3.53915880885741</v>
      </c>
      <c r="BP159" s="75">
        <f t="shared" si="77"/>
        <v>1.00524445538374</v>
      </c>
      <c r="BQ159" s="75">
        <f t="shared" si="67"/>
        <v>87</v>
      </c>
      <c r="BR159" s="272">
        <v>92.22</v>
      </c>
      <c r="BS159" s="156">
        <f t="shared" si="68"/>
        <v>10.61</v>
      </c>
      <c r="BT159" s="1211">
        <v>0.06</v>
      </c>
      <c r="BU159" s="156">
        <f t="shared" si="69"/>
        <v>5.53</v>
      </c>
      <c r="BV159" s="156">
        <f t="shared" si="70"/>
        <v>0.46</v>
      </c>
      <c r="BW159" s="156">
        <f t="shared" si="76"/>
        <v>87</v>
      </c>
      <c r="BX159" s="156">
        <f t="shared" si="71"/>
        <v>7.58110882956879</v>
      </c>
      <c r="BY159" s="1207" t="s">
        <v>2806</v>
      </c>
      <c r="BZ159" s="272">
        <v>30</v>
      </c>
      <c r="CA159" s="186">
        <f t="shared" si="72"/>
        <v>0.75</v>
      </c>
      <c r="CB159" s="186">
        <f t="shared" si="73"/>
        <v>0.75</v>
      </c>
      <c r="CC159" s="186">
        <f t="shared" si="74"/>
        <v>0.75</v>
      </c>
      <c r="CD159" s="1208" t="s">
        <v>2846</v>
      </c>
      <c r="CF159" s="134"/>
      <c r="CG159" s="138"/>
      <c r="CH159" s="132"/>
      <c r="CI159" s="138"/>
      <c r="CJ159" s="132"/>
      <c r="CK159" s="132"/>
      <c r="CL159" s="134"/>
      <c r="CM159" s="146"/>
    </row>
    <row r="160" ht="15" customHeight="1" spans="1:91">
      <c r="A160" s="123">
        <f>IF(B160="","",COUNT(A$7:A159)+1)</f>
        <v>153</v>
      </c>
      <c r="B160" s="139" t="s">
        <v>2829</v>
      </c>
      <c r="C160" s="139" t="s">
        <v>2845</v>
      </c>
      <c r="D160" s="1209">
        <v>43100</v>
      </c>
      <c r="E160" s="1210">
        <v>4327.5</v>
      </c>
      <c r="F160" s="219" t="s">
        <v>2770</v>
      </c>
      <c r="G160" s="142"/>
      <c r="H160" s="127"/>
      <c r="I160" s="128"/>
      <c r="J160" s="128"/>
      <c r="K160" s="980">
        <v>50</v>
      </c>
      <c r="L160" s="143"/>
      <c r="M160" s="143"/>
      <c r="N160" s="144"/>
      <c r="O160" s="144"/>
      <c r="P160" s="144"/>
      <c r="Q160" s="353">
        <f t="shared" si="58"/>
        <v>50</v>
      </c>
      <c r="R160" s="129">
        <f t="shared" si="59"/>
        <v>0</v>
      </c>
      <c r="S160" s="129">
        <f t="shared" si="60"/>
        <v>0</v>
      </c>
      <c r="T160" s="129">
        <f t="shared" si="61"/>
        <v>50</v>
      </c>
      <c r="U160" s="129">
        <f t="shared" si="62"/>
        <v>4350</v>
      </c>
      <c r="V160" s="214">
        <f t="shared" si="63"/>
        <v>75</v>
      </c>
      <c r="W160" s="353">
        <f t="shared" si="64"/>
        <v>3262.5</v>
      </c>
      <c r="X160" s="129">
        <f t="shared" si="65"/>
        <v>3262.5</v>
      </c>
      <c r="Y160" s="129" t="str">
        <f t="shared" si="66"/>
        <v/>
      </c>
      <c r="Z160" s="145"/>
      <c r="BA160" s="75" t="e">
        <f t="shared" si="75"/>
        <v>#DIV/0!</v>
      </c>
      <c r="BB160" s="78"/>
      <c r="BC160" s="132"/>
      <c r="BD160" s="133"/>
      <c r="BE160" s="132"/>
      <c r="BF160" s="134"/>
      <c r="BG160" s="135"/>
      <c r="BH160" s="135"/>
      <c r="BI160" s="136"/>
      <c r="BJ160" s="136"/>
      <c r="BK160" s="136"/>
      <c r="BL160" s="136"/>
      <c r="BM160" s="137"/>
      <c r="BN160" s="137"/>
      <c r="BO160" s="75">
        <f>LOOKUP(D160,基础数据!A:D)</f>
        <v>3.53915880885741</v>
      </c>
      <c r="BP160" s="75">
        <f t="shared" si="77"/>
        <v>1.00524445538374</v>
      </c>
      <c r="BQ160" s="75">
        <f t="shared" si="67"/>
        <v>87</v>
      </c>
      <c r="BR160" s="272">
        <v>92.22</v>
      </c>
      <c r="BS160" s="156">
        <f t="shared" si="68"/>
        <v>10.61</v>
      </c>
      <c r="BT160" s="1211">
        <v>0.06</v>
      </c>
      <c r="BU160" s="156">
        <f t="shared" si="69"/>
        <v>5.53</v>
      </c>
      <c r="BV160" s="156">
        <f t="shared" si="70"/>
        <v>0.46</v>
      </c>
      <c r="BW160" s="156">
        <f t="shared" si="76"/>
        <v>87</v>
      </c>
      <c r="BX160" s="156">
        <f t="shared" si="71"/>
        <v>7.58110882956879</v>
      </c>
      <c r="BY160" s="1207" t="s">
        <v>2806</v>
      </c>
      <c r="BZ160" s="272">
        <v>30</v>
      </c>
      <c r="CA160" s="186">
        <f t="shared" si="72"/>
        <v>0.75</v>
      </c>
      <c r="CB160" s="186">
        <f t="shared" si="73"/>
        <v>0.75</v>
      </c>
      <c r="CC160" s="186">
        <f t="shared" si="74"/>
        <v>0.75</v>
      </c>
      <c r="CD160" s="1208" t="s">
        <v>2846</v>
      </c>
      <c r="CF160" s="134"/>
      <c r="CG160" s="138"/>
      <c r="CH160" s="132"/>
      <c r="CI160" s="138"/>
      <c r="CJ160" s="132"/>
      <c r="CK160" s="132"/>
      <c r="CL160" s="134"/>
      <c r="CM160" s="146"/>
    </row>
    <row r="161" ht="15" hidden="1" customHeight="1" spans="1:91">
      <c r="A161" s="123">
        <f>IF(B161="","",COUNT(A$7:A160)+1)</f>
        <v>154</v>
      </c>
      <c r="B161" s="139" t="s">
        <v>2835</v>
      </c>
      <c r="C161" s="139" t="s">
        <v>2854</v>
      </c>
      <c r="D161" s="1209">
        <v>43100</v>
      </c>
      <c r="E161" s="1210">
        <v>2770.6</v>
      </c>
      <c r="F161" s="219" t="s">
        <v>2770</v>
      </c>
      <c r="G161" s="142"/>
      <c r="H161" s="127"/>
      <c r="I161" s="128"/>
      <c r="J161" s="128"/>
      <c r="K161" s="980">
        <v>140</v>
      </c>
      <c r="L161" s="143"/>
      <c r="M161" s="143"/>
      <c r="N161" s="144"/>
      <c r="O161" s="144"/>
      <c r="P161" s="144"/>
      <c r="Q161" s="353">
        <f t="shared" si="58"/>
        <v>140</v>
      </c>
      <c r="R161" s="129">
        <f t="shared" si="59"/>
        <v>0</v>
      </c>
      <c r="S161" s="129">
        <f t="shared" si="60"/>
        <v>0</v>
      </c>
      <c r="T161" s="129">
        <f t="shared" si="61"/>
        <v>140</v>
      </c>
      <c r="U161" s="129">
        <f t="shared" si="62"/>
        <v>2940</v>
      </c>
      <c r="V161" s="214">
        <f t="shared" si="63"/>
        <v>75</v>
      </c>
      <c r="W161" s="353">
        <f t="shared" si="64"/>
        <v>2205</v>
      </c>
      <c r="X161" s="129">
        <f t="shared" si="65"/>
        <v>2205</v>
      </c>
      <c r="Y161" s="129" t="str">
        <f t="shared" si="66"/>
        <v/>
      </c>
      <c r="Z161" s="145"/>
      <c r="BA161" s="75" t="e">
        <f t="shared" si="75"/>
        <v>#DIV/0!</v>
      </c>
      <c r="BB161" s="78"/>
      <c r="BC161" s="132"/>
      <c r="BD161" s="133"/>
      <c r="BE161" s="132"/>
      <c r="BF161" s="134"/>
      <c r="BG161" s="135"/>
      <c r="BH161" s="135"/>
      <c r="BI161" s="136"/>
      <c r="BJ161" s="136"/>
      <c r="BK161" s="136"/>
      <c r="BL161" s="136"/>
      <c r="BM161" s="137"/>
      <c r="BN161" s="137"/>
      <c r="BO161" s="75">
        <f>LOOKUP(D161,基础数据!A:D)</f>
        <v>3.53915880885741</v>
      </c>
      <c r="BP161" s="75">
        <f t="shared" si="77"/>
        <v>1.00524445538374</v>
      </c>
      <c r="BQ161" s="75">
        <f t="shared" si="67"/>
        <v>20</v>
      </c>
      <c r="BR161" s="272">
        <f t="shared" ref="BR161:BR164" si="81">ROUND(BQ161*1.13,0)</f>
        <v>23</v>
      </c>
      <c r="BS161" s="156">
        <f t="shared" si="68"/>
        <v>2.65</v>
      </c>
      <c r="BT161" s="186">
        <v>0.01</v>
      </c>
      <c r="BU161" s="156">
        <f t="shared" si="69"/>
        <v>0.23</v>
      </c>
      <c r="BV161" s="156">
        <f t="shared" si="70"/>
        <v>0.02</v>
      </c>
      <c r="BW161" s="156">
        <f t="shared" si="76"/>
        <v>21</v>
      </c>
      <c r="BX161" s="156">
        <f t="shared" si="71"/>
        <v>7.58110882956879</v>
      </c>
      <c r="BY161" s="1207" t="s">
        <v>2806</v>
      </c>
      <c r="BZ161" s="272">
        <v>30</v>
      </c>
      <c r="CA161" s="186">
        <f t="shared" si="72"/>
        <v>0.75</v>
      </c>
      <c r="CB161" s="186">
        <f t="shared" si="73"/>
        <v>0.75</v>
      </c>
      <c r="CC161" s="186">
        <f t="shared" si="74"/>
        <v>0.75</v>
      </c>
      <c r="CD161" s="272"/>
      <c r="CF161" s="134"/>
      <c r="CG161" s="138"/>
      <c r="CH161" s="132"/>
      <c r="CI161" s="138"/>
      <c r="CJ161" s="132"/>
      <c r="CK161" s="132"/>
      <c r="CL161" s="134"/>
      <c r="CM161" s="146"/>
    </row>
    <row r="162" ht="15" hidden="1" customHeight="1" spans="1:91">
      <c r="A162" s="123">
        <f>IF(B162="","",COUNT(A$7:A161)+1)</f>
        <v>155</v>
      </c>
      <c r="B162" s="139" t="s">
        <v>2855</v>
      </c>
      <c r="C162" s="139" t="s">
        <v>2856</v>
      </c>
      <c r="D162" s="1209">
        <v>43100</v>
      </c>
      <c r="E162" s="1210">
        <v>5600</v>
      </c>
      <c r="F162" s="219" t="s">
        <v>2770</v>
      </c>
      <c r="G162" s="142"/>
      <c r="H162" s="127"/>
      <c r="I162" s="128"/>
      <c r="J162" s="128"/>
      <c r="K162" s="980">
        <v>560</v>
      </c>
      <c r="L162" s="143"/>
      <c r="M162" s="143"/>
      <c r="N162" s="144"/>
      <c r="O162" s="144"/>
      <c r="P162" s="144"/>
      <c r="Q162" s="353">
        <f t="shared" si="58"/>
        <v>560</v>
      </c>
      <c r="R162" s="129">
        <f t="shared" si="59"/>
        <v>0</v>
      </c>
      <c r="S162" s="129">
        <f t="shared" si="60"/>
        <v>0</v>
      </c>
      <c r="T162" s="129">
        <f t="shared" si="61"/>
        <v>560</v>
      </c>
      <c r="U162" s="129">
        <f t="shared" si="62"/>
        <v>5600</v>
      </c>
      <c r="V162" s="214">
        <f t="shared" si="63"/>
        <v>49</v>
      </c>
      <c r="W162" s="353">
        <f t="shared" si="64"/>
        <v>2744</v>
      </c>
      <c r="X162" s="129">
        <f t="shared" si="65"/>
        <v>2744</v>
      </c>
      <c r="Y162" s="129" t="str">
        <f t="shared" si="66"/>
        <v/>
      </c>
      <c r="Z162" s="145"/>
      <c r="BA162" s="75" t="e">
        <f t="shared" si="75"/>
        <v>#DIV/0!</v>
      </c>
      <c r="BB162" s="78"/>
      <c r="BC162" s="132"/>
      <c r="BD162" s="133"/>
      <c r="BE162" s="132"/>
      <c r="BF162" s="134"/>
      <c r="BG162" s="135"/>
      <c r="BH162" s="135"/>
      <c r="BI162" s="136"/>
      <c r="BJ162" s="136"/>
      <c r="BK162" s="136"/>
      <c r="BL162" s="136"/>
      <c r="BM162" s="137"/>
      <c r="BN162" s="137"/>
      <c r="BO162" s="75">
        <f>LOOKUP(D162,基础数据!A:D)</f>
        <v>3.53915880885741</v>
      </c>
      <c r="BP162" s="75">
        <f t="shared" si="77"/>
        <v>1.00524445538374</v>
      </c>
      <c r="BQ162" s="75">
        <f t="shared" si="67"/>
        <v>10</v>
      </c>
      <c r="BR162" s="272">
        <f t="shared" si="81"/>
        <v>11</v>
      </c>
      <c r="BS162" s="156">
        <f t="shared" si="68"/>
        <v>1.27</v>
      </c>
      <c r="BT162" s="156"/>
      <c r="BU162" s="156">
        <f t="shared" si="69"/>
        <v>0</v>
      </c>
      <c r="BV162" s="156">
        <f t="shared" si="70"/>
        <v>0</v>
      </c>
      <c r="BW162" s="156">
        <f t="shared" si="76"/>
        <v>10</v>
      </c>
      <c r="BX162" s="156">
        <f t="shared" si="71"/>
        <v>7.58110882956879</v>
      </c>
      <c r="BY162" s="1207" t="s">
        <v>2857</v>
      </c>
      <c r="BZ162" s="272">
        <v>15</v>
      </c>
      <c r="CA162" s="186">
        <f t="shared" si="72"/>
        <v>0.49</v>
      </c>
      <c r="CB162" s="186">
        <f t="shared" si="73"/>
        <v>0.49</v>
      </c>
      <c r="CC162" s="186">
        <f t="shared" si="74"/>
        <v>0.49</v>
      </c>
      <c r="CD162" s="272"/>
      <c r="CF162" s="134"/>
      <c r="CG162" s="138"/>
      <c r="CH162" s="132"/>
      <c r="CI162" s="138"/>
      <c r="CJ162" s="132"/>
      <c r="CK162" s="132"/>
      <c r="CL162" s="134"/>
      <c r="CM162" s="146"/>
    </row>
    <row r="163" ht="15" customHeight="1" spans="1:91">
      <c r="A163" s="123">
        <f>IF(B163="","",COUNT(A$7:A162)+1)</f>
        <v>156</v>
      </c>
      <c r="B163" s="139" t="s">
        <v>2829</v>
      </c>
      <c r="C163" s="139" t="s">
        <v>2858</v>
      </c>
      <c r="D163" s="1209">
        <v>43100</v>
      </c>
      <c r="E163" s="1210">
        <v>1650</v>
      </c>
      <c r="F163" s="219" t="s">
        <v>2770</v>
      </c>
      <c r="G163" s="142"/>
      <c r="H163" s="127"/>
      <c r="I163" s="128"/>
      <c r="J163" s="128"/>
      <c r="K163" s="980">
        <v>220</v>
      </c>
      <c r="L163" s="143"/>
      <c r="M163" s="143"/>
      <c r="N163" s="144"/>
      <c r="O163" s="144"/>
      <c r="P163" s="144"/>
      <c r="Q163" s="353">
        <f t="shared" si="58"/>
        <v>220</v>
      </c>
      <c r="R163" s="129">
        <f t="shared" si="59"/>
        <v>0</v>
      </c>
      <c r="S163" s="129">
        <f t="shared" si="60"/>
        <v>0</v>
      </c>
      <c r="T163" s="129">
        <f t="shared" si="61"/>
        <v>220</v>
      </c>
      <c r="U163" s="129">
        <f t="shared" si="62"/>
        <v>1760</v>
      </c>
      <c r="V163" s="214">
        <f t="shared" si="63"/>
        <v>75</v>
      </c>
      <c r="W163" s="353">
        <f t="shared" si="64"/>
        <v>1320</v>
      </c>
      <c r="X163" s="129">
        <f t="shared" si="65"/>
        <v>1320</v>
      </c>
      <c r="Y163" s="129" t="str">
        <f t="shared" si="66"/>
        <v/>
      </c>
      <c r="Z163" s="145"/>
      <c r="BA163" s="75" t="e">
        <f t="shared" si="75"/>
        <v>#DIV/0!</v>
      </c>
      <c r="BB163" s="78"/>
      <c r="BC163" s="132"/>
      <c r="BD163" s="133"/>
      <c r="BE163" s="132"/>
      <c r="BF163" s="134"/>
      <c r="BG163" s="135"/>
      <c r="BH163" s="135"/>
      <c r="BI163" s="136"/>
      <c r="BJ163" s="136"/>
      <c r="BK163" s="136"/>
      <c r="BL163" s="136"/>
      <c r="BM163" s="137"/>
      <c r="BN163" s="137"/>
      <c r="BO163" s="75">
        <f>LOOKUP(D163,基础数据!A:D)</f>
        <v>3.53915880885741</v>
      </c>
      <c r="BP163" s="75">
        <f t="shared" si="77"/>
        <v>1.00524445538374</v>
      </c>
      <c r="BQ163" s="75">
        <f t="shared" si="67"/>
        <v>8</v>
      </c>
      <c r="BR163" s="272">
        <f t="shared" si="81"/>
        <v>9</v>
      </c>
      <c r="BS163" s="156">
        <f t="shared" si="68"/>
        <v>1.04</v>
      </c>
      <c r="BT163" s="1211">
        <v>0.06</v>
      </c>
      <c r="BU163" s="156">
        <f t="shared" si="69"/>
        <v>0.54</v>
      </c>
      <c r="BV163" s="156">
        <f t="shared" si="70"/>
        <v>0.04</v>
      </c>
      <c r="BW163" s="156">
        <f t="shared" si="76"/>
        <v>8</v>
      </c>
      <c r="BX163" s="156">
        <f t="shared" si="71"/>
        <v>7.58110882956879</v>
      </c>
      <c r="BY163" s="1207" t="s">
        <v>2806</v>
      </c>
      <c r="BZ163" s="272">
        <v>30</v>
      </c>
      <c r="CA163" s="186">
        <f t="shared" si="72"/>
        <v>0.75</v>
      </c>
      <c r="CB163" s="186">
        <f t="shared" si="73"/>
        <v>0.75</v>
      </c>
      <c r="CC163" s="186">
        <f t="shared" si="74"/>
        <v>0.75</v>
      </c>
      <c r="CD163" s="272"/>
      <c r="CF163" s="134"/>
      <c r="CG163" s="138"/>
      <c r="CH163" s="132"/>
      <c r="CI163" s="138"/>
      <c r="CJ163" s="132"/>
      <c r="CK163" s="132"/>
      <c r="CL163" s="134"/>
      <c r="CM163" s="146"/>
    </row>
    <row r="164" ht="15" customHeight="1" spans="1:91">
      <c r="A164" s="123">
        <f>IF(B164="","",COUNT(A$7:A163)+1)</f>
        <v>157</v>
      </c>
      <c r="B164" s="139" t="s">
        <v>2829</v>
      </c>
      <c r="C164" s="139" t="s">
        <v>2844</v>
      </c>
      <c r="D164" s="1209">
        <v>43100</v>
      </c>
      <c r="E164" s="1210">
        <v>123</v>
      </c>
      <c r="F164" s="219" t="s">
        <v>2770</v>
      </c>
      <c r="G164" s="142"/>
      <c r="H164" s="127"/>
      <c r="I164" s="128"/>
      <c r="J164" s="128"/>
      <c r="K164" s="980">
        <v>20</v>
      </c>
      <c r="L164" s="143"/>
      <c r="M164" s="143"/>
      <c r="N164" s="144"/>
      <c r="O164" s="144"/>
      <c r="P164" s="144"/>
      <c r="Q164" s="353">
        <f t="shared" si="58"/>
        <v>20</v>
      </c>
      <c r="R164" s="129">
        <f t="shared" si="59"/>
        <v>0</v>
      </c>
      <c r="S164" s="129">
        <f t="shared" si="60"/>
        <v>0</v>
      </c>
      <c r="T164" s="129">
        <f t="shared" si="61"/>
        <v>20</v>
      </c>
      <c r="U164" s="129">
        <f t="shared" si="62"/>
        <v>140</v>
      </c>
      <c r="V164" s="214">
        <f t="shared" si="63"/>
        <v>75</v>
      </c>
      <c r="W164" s="353">
        <f t="shared" si="64"/>
        <v>105</v>
      </c>
      <c r="X164" s="129">
        <f t="shared" si="65"/>
        <v>105</v>
      </c>
      <c r="Y164" s="129" t="str">
        <f t="shared" si="66"/>
        <v/>
      </c>
      <c r="Z164" s="145"/>
      <c r="BA164" s="75" t="e">
        <f t="shared" si="75"/>
        <v>#DIV/0!</v>
      </c>
      <c r="BB164" s="78"/>
      <c r="BC164" s="132"/>
      <c r="BD164" s="133"/>
      <c r="BE164" s="132"/>
      <c r="BF164" s="134"/>
      <c r="BG164" s="135"/>
      <c r="BH164" s="135"/>
      <c r="BI164" s="136"/>
      <c r="BJ164" s="136"/>
      <c r="BK164" s="136"/>
      <c r="BL164" s="136"/>
      <c r="BM164" s="137"/>
      <c r="BN164" s="137"/>
      <c r="BO164" s="75">
        <f>LOOKUP(D164,基础数据!A:D)</f>
        <v>3.53915880885741</v>
      </c>
      <c r="BP164" s="75">
        <f t="shared" si="77"/>
        <v>1.00524445538374</v>
      </c>
      <c r="BQ164" s="75">
        <f t="shared" si="67"/>
        <v>6</v>
      </c>
      <c r="BR164" s="272">
        <f t="shared" si="81"/>
        <v>7</v>
      </c>
      <c r="BS164" s="156">
        <f t="shared" si="68"/>
        <v>0.81</v>
      </c>
      <c r="BT164" s="1211">
        <v>0.06</v>
      </c>
      <c r="BU164" s="156">
        <f t="shared" si="69"/>
        <v>0.42</v>
      </c>
      <c r="BV164" s="156">
        <f t="shared" si="70"/>
        <v>0.03</v>
      </c>
      <c r="BW164" s="156">
        <f t="shared" si="76"/>
        <v>7</v>
      </c>
      <c r="BX164" s="156">
        <f t="shared" si="71"/>
        <v>7.58110882956879</v>
      </c>
      <c r="BY164" s="1207" t="s">
        <v>2806</v>
      </c>
      <c r="BZ164" s="272">
        <v>30</v>
      </c>
      <c r="CA164" s="186">
        <f t="shared" si="72"/>
        <v>0.75</v>
      </c>
      <c r="CB164" s="186">
        <f t="shared" si="73"/>
        <v>0.75</v>
      </c>
      <c r="CC164" s="186">
        <f t="shared" si="74"/>
        <v>0.75</v>
      </c>
      <c r="CD164" s="272"/>
      <c r="CF164" s="134"/>
      <c r="CG164" s="138"/>
      <c r="CH164" s="132"/>
      <c r="CI164" s="138"/>
      <c r="CJ164" s="132"/>
      <c r="CK164" s="132"/>
      <c r="CL164" s="134"/>
      <c r="CM164" s="146"/>
    </row>
    <row r="165" ht="15" customHeight="1" spans="1:91">
      <c r="A165" s="123">
        <f>IF(B165="","",COUNT(A$7:A164)+1)</f>
        <v>158</v>
      </c>
      <c r="B165" s="139" t="s">
        <v>2829</v>
      </c>
      <c r="C165" s="139" t="s">
        <v>2845</v>
      </c>
      <c r="D165" s="1209">
        <v>43100</v>
      </c>
      <c r="E165" s="1210">
        <v>3462</v>
      </c>
      <c r="F165" s="219" t="s">
        <v>2770</v>
      </c>
      <c r="G165" s="142"/>
      <c r="H165" s="127"/>
      <c r="I165" s="128"/>
      <c r="J165" s="128"/>
      <c r="K165" s="980">
        <v>40</v>
      </c>
      <c r="L165" s="143"/>
      <c r="M165" s="143"/>
      <c r="N165" s="144"/>
      <c r="O165" s="144"/>
      <c r="P165" s="144"/>
      <c r="Q165" s="353">
        <f t="shared" si="58"/>
        <v>40</v>
      </c>
      <c r="R165" s="129">
        <f t="shared" si="59"/>
        <v>0</v>
      </c>
      <c r="S165" s="129">
        <f t="shared" si="60"/>
        <v>0</v>
      </c>
      <c r="T165" s="129">
        <f t="shared" si="61"/>
        <v>40</v>
      </c>
      <c r="U165" s="129">
        <f t="shared" si="62"/>
        <v>3480</v>
      </c>
      <c r="V165" s="214">
        <f t="shared" si="63"/>
        <v>75</v>
      </c>
      <c r="W165" s="353">
        <f t="shared" si="64"/>
        <v>2610</v>
      </c>
      <c r="X165" s="129">
        <f t="shared" si="65"/>
        <v>2610</v>
      </c>
      <c r="Y165" s="129" t="str">
        <f t="shared" si="66"/>
        <v/>
      </c>
      <c r="Z165" s="145"/>
      <c r="BA165" s="75" t="e">
        <f t="shared" si="75"/>
        <v>#DIV/0!</v>
      </c>
      <c r="BB165" s="78"/>
      <c r="BC165" s="132"/>
      <c r="BD165" s="133"/>
      <c r="BE165" s="132"/>
      <c r="BF165" s="134"/>
      <c r="BG165" s="135"/>
      <c r="BH165" s="135"/>
      <c r="BI165" s="136"/>
      <c r="BJ165" s="136"/>
      <c r="BK165" s="136"/>
      <c r="BL165" s="136"/>
      <c r="BM165" s="137"/>
      <c r="BN165" s="137"/>
      <c r="BO165" s="75">
        <f>LOOKUP(D165,基础数据!A:D)</f>
        <v>3.53915880885741</v>
      </c>
      <c r="BP165" s="75">
        <f t="shared" si="77"/>
        <v>1.00524445538374</v>
      </c>
      <c r="BQ165" s="75">
        <f t="shared" si="67"/>
        <v>87</v>
      </c>
      <c r="BR165" s="272">
        <v>92.22</v>
      </c>
      <c r="BS165" s="156">
        <f t="shared" si="68"/>
        <v>10.61</v>
      </c>
      <c r="BT165" s="1211">
        <v>0.06</v>
      </c>
      <c r="BU165" s="156">
        <f t="shared" si="69"/>
        <v>5.53</v>
      </c>
      <c r="BV165" s="156">
        <f t="shared" si="70"/>
        <v>0.46</v>
      </c>
      <c r="BW165" s="156">
        <f t="shared" si="76"/>
        <v>87</v>
      </c>
      <c r="BX165" s="156">
        <f t="shared" si="71"/>
        <v>7.58110882956879</v>
      </c>
      <c r="BY165" s="1207" t="s">
        <v>2806</v>
      </c>
      <c r="BZ165" s="272">
        <v>30</v>
      </c>
      <c r="CA165" s="186">
        <f t="shared" si="72"/>
        <v>0.75</v>
      </c>
      <c r="CB165" s="186">
        <f t="shared" si="73"/>
        <v>0.75</v>
      </c>
      <c r="CC165" s="186">
        <f t="shared" si="74"/>
        <v>0.75</v>
      </c>
      <c r="CD165" s="1208" t="s">
        <v>2846</v>
      </c>
      <c r="CF165" s="134"/>
      <c r="CG165" s="138"/>
      <c r="CH165" s="132"/>
      <c r="CI165" s="138"/>
      <c r="CJ165" s="132"/>
      <c r="CK165" s="132"/>
      <c r="CL165" s="134"/>
      <c r="CM165" s="146"/>
    </row>
    <row r="166" ht="15" customHeight="1" spans="1:91">
      <c r="A166" s="123">
        <f>IF(B166="","",COUNT(A$7:A165)+1)</f>
        <v>159</v>
      </c>
      <c r="B166" s="139" t="s">
        <v>2829</v>
      </c>
      <c r="C166" s="139" t="s">
        <v>2844</v>
      </c>
      <c r="D166" s="1209">
        <v>43100</v>
      </c>
      <c r="E166" s="1210">
        <v>92.25</v>
      </c>
      <c r="F166" s="219" t="s">
        <v>2770</v>
      </c>
      <c r="G166" s="142"/>
      <c r="H166" s="127"/>
      <c r="I166" s="128"/>
      <c r="J166" s="128"/>
      <c r="K166" s="980">
        <v>15</v>
      </c>
      <c r="L166" s="143"/>
      <c r="M166" s="143"/>
      <c r="N166" s="144"/>
      <c r="O166" s="144"/>
      <c r="P166" s="144"/>
      <c r="Q166" s="353">
        <f t="shared" si="58"/>
        <v>15</v>
      </c>
      <c r="R166" s="129">
        <f t="shared" si="59"/>
        <v>0</v>
      </c>
      <c r="S166" s="129">
        <f t="shared" si="60"/>
        <v>0</v>
      </c>
      <c r="T166" s="129">
        <f t="shared" si="61"/>
        <v>15</v>
      </c>
      <c r="U166" s="129">
        <f t="shared" si="62"/>
        <v>105</v>
      </c>
      <c r="V166" s="214">
        <f t="shared" si="63"/>
        <v>75</v>
      </c>
      <c r="W166" s="353">
        <f t="shared" si="64"/>
        <v>78.75</v>
      </c>
      <c r="X166" s="129">
        <f t="shared" si="65"/>
        <v>78.75</v>
      </c>
      <c r="Y166" s="129" t="str">
        <f t="shared" si="66"/>
        <v/>
      </c>
      <c r="Z166" s="145"/>
      <c r="BA166" s="75" t="e">
        <f t="shared" si="75"/>
        <v>#DIV/0!</v>
      </c>
      <c r="BB166" s="78"/>
      <c r="BC166" s="132"/>
      <c r="BD166" s="133"/>
      <c r="BE166" s="132"/>
      <c r="BF166" s="134"/>
      <c r="BG166" s="135"/>
      <c r="BH166" s="135"/>
      <c r="BI166" s="136"/>
      <c r="BJ166" s="136"/>
      <c r="BK166" s="136"/>
      <c r="BL166" s="136"/>
      <c r="BM166" s="137"/>
      <c r="BN166" s="137"/>
      <c r="BO166" s="75">
        <f>LOOKUP(D166,基础数据!A:D)</f>
        <v>3.53915880885741</v>
      </c>
      <c r="BP166" s="75">
        <f t="shared" si="77"/>
        <v>1.00524445538374</v>
      </c>
      <c r="BQ166" s="75">
        <f t="shared" si="67"/>
        <v>6</v>
      </c>
      <c r="BR166" s="272">
        <f t="shared" ref="BR166:BR169" si="82">ROUND(BQ166*1.13,0)</f>
        <v>7</v>
      </c>
      <c r="BS166" s="156">
        <f t="shared" si="68"/>
        <v>0.81</v>
      </c>
      <c r="BT166" s="1211">
        <v>0.06</v>
      </c>
      <c r="BU166" s="156">
        <f t="shared" si="69"/>
        <v>0.42</v>
      </c>
      <c r="BV166" s="156">
        <f t="shared" si="70"/>
        <v>0.03</v>
      </c>
      <c r="BW166" s="156">
        <f t="shared" si="76"/>
        <v>7</v>
      </c>
      <c r="BX166" s="156">
        <f t="shared" si="71"/>
        <v>7.58110882956879</v>
      </c>
      <c r="BY166" s="1207" t="s">
        <v>2806</v>
      </c>
      <c r="BZ166" s="272">
        <v>30</v>
      </c>
      <c r="CA166" s="186">
        <f t="shared" si="72"/>
        <v>0.75</v>
      </c>
      <c r="CB166" s="186">
        <f t="shared" si="73"/>
        <v>0.75</v>
      </c>
      <c r="CC166" s="186">
        <f t="shared" si="74"/>
        <v>0.75</v>
      </c>
      <c r="CD166" s="272"/>
      <c r="CF166" s="134"/>
      <c r="CG166" s="138"/>
      <c r="CH166" s="132"/>
      <c r="CI166" s="138"/>
      <c r="CJ166" s="132"/>
      <c r="CK166" s="132"/>
      <c r="CL166" s="134"/>
      <c r="CM166" s="146"/>
    </row>
    <row r="167" ht="15" customHeight="1" spans="1:91">
      <c r="A167" s="123">
        <f>IF(B167="","",COUNT(A$7:A166)+1)</f>
        <v>160</v>
      </c>
      <c r="B167" s="139" t="s">
        <v>2829</v>
      </c>
      <c r="C167" s="139" t="s">
        <v>2844</v>
      </c>
      <c r="D167" s="1209">
        <v>43100</v>
      </c>
      <c r="E167" s="1210">
        <v>30.75</v>
      </c>
      <c r="F167" s="219" t="s">
        <v>2770</v>
      </c>
      <c r="G167" s="142"/>
      <c r="H167" s="127"/>
      <c r="I167" s="128"/>
      <c r="J167" s="128"/>
      <c r="K167" s="980">
        <v>5</v>
      </c>
      <c r="L167" s="143"/>
      <c r="M167" s="143"/>
      <c r="N167" s="144"/>
      <c r="O167" s="144"/>
      <c r="P167" s="144"/>
      <c r="Q167" s="353">
        <f t="shared" si="58"/>
        <v>5</v>
      </c>
      <c r="R167" s="129">
        <f t="shared" si="59"/>
        <v>0</v>
      </c>
      <c r="S167" s="129">
        <f t="shared" si="60"/>
        <v>0</v>
      </c>
      <c r="T167" s="129">
        <f t="shared" si="61"/>
        <v>5</v>
      </c>
      <c r="U167" s="129">
        <f t="shared" si="62"/>
        <v>35</v>
      </c>
      <c r="V167" s="214">
        <f t="shared" si="63"/>
        <v>75</v>
      </c>
      <c r="W167" s="353">
        <f t="shared" si="64"/>
        <v>26.25</v>
      </c>
      <c r="X167" s="129">
        <f t="shared" si="65"/>
        <v>26.25</v>
      </c>
      <c r="Y167" s="129" t="str">
        <f t="shared" si="66"/>
        <v/>
      </c>
      <c r="Z167" s="145"/>
      <c r="BA167" s="75" t="e">
        <f t="shared" si="75"/>
        <v>#DIV/0!</v>
      </c>
      <c r="BB167" s="78"/>
      <c r="BC167" s="132"/>
      <c r="BD167" s="133"/>
      <c r="BE167" s="132"/>
      <c r="BF167" s="134"/>
      <c r="BG167" s="135"/>
      <c r="BH167" s="135"/>
      <c r="BI167" s="136"/>
      <c r="BJ167" s="136"/>
      <c r="BK167" s="136"/>
      <c r="BL167" s="136"/>
      <c r="BM167" s="137"/>
      <c r="BN167" s="137"/>
      <c r="BO167" s="75">
        <f>LOOKUP(D167,基础数据!A:D)</f>
        <v>3.53915880885741</v>
      </c>
      <c r="BP167" s="75">
        <f t="shared" si="77"/>
        <v>1.00524445538374</v>
      </c>
      <c r="BQ167" s="75">
        <f t="shared" si="67"/>
        <v>6</v>
      </c>
      <c r="BR167" s="272">
        <f t="shared" si="82"/>
        <v>7</v>
      </c>
      <c r="BS167" s="156">
        <f t="shared" si="68"/>
        <v>0.81</v>
      </c>
      <c r="BT167" s="1211">
        <v>0.06</v>
      </c>
      <c r="BU167" s="156">
        <f t="shared" si="69"/>
        <v>0.42</v>
      </c>
      <c r="BV167" s="156">
        <f t="shared" si="70"/>
        <v>0.03</v>
      </c>
      <c r="BW167" s="156">
        <f t="shared" si="76"/>
        <v>7</v>
      </c>
      <c r="BX167" s="156">
        <f t="shared" si="71"/>
        <v>7.58110882956879</v>
      </c>
      <c r="BY167" s="1207" t="s">
        <v>2806</v>
      </c>
      <c r="BZ167" s="272">
        <v>30</v>
      </c>
      <c r="CA167" s="186">
        <f t="shared" si="72"/>
        <v>0.75</v>
      </c>
      <c r="CB167" s="186">
        <f t="shared" si="73"/>
        <v>0.75</v>
      </c>
      <c r="CC167" s="186">
        <f t="shared" si="74"/>
        <v>0.75</v>
      </c>
      <c r="CD167" s="272"/>
      <c r="CF167" s="134"/>
      <c r="CG167" s="138"/>
      <c r="CH167" s="132"/>
      <c r="CI167" s="138"/>
      <c r="CJ167" s="132"/>
      <c r="CK167" s="132"/>
      <c r="CL167" s="134"/>
      <c r="CM167" s="146"/>
    </row>
    <row r="168" ht="15" customHeight="1" spans="1:91">
      <c r="A168" s="123">
        <f>IF(B168="","",COUNT(A$7:A167)+1)</f>
        <v>161</v>
      </c>
      <c r="B168" s="139" t="s">
        <v>2829</v>
      </c>
      <c r="C168" s="139" t="s">
        <v>2844</v>
      </c>
      <c r="D168" s="1209">
        <v>43100</v>
      </c>
      <c r="E168" s="1210">
        <v>184.5</v>
      </c>
      <c r="F168" s="219" t="s">
        <v>2770</v>
      </c>
      <c r="G168" s="142"/>
      <c r="H168" s="127"/>
      <c r="I168" s="128"/>
      <c r="J168" s="128"/>
      <c r="K168" s="980">
        <v>30</v>
      </c>
      <c r="L168" s="143"/>
      <c r="M168" s="143"/>
      <c r="N168" s="144"/>
      <c r="O168" s="144"/>
      <c r="P168" s="144"/>
      <c r="Q168" s="353">
        <f t="shared" si="58"/>
        <v>30</v>
      </c>
      <c r="R168" s="129">
        <f t="shared" si="59"/>
        <v>0</v>
      </c>
      <c r="S168" s="129">
        <f t="shared" si="60"/>
        <v>0</v>
      </c>
      <c r="T168" s="129">
        <f t="shared" si="61"/>
        <v>30</v>
      </c>
      <c r="U168" s="129">
        <f t="shared" si="62"/>
        <v>210</v>
      </c>
      <c r="V168" s="214">
        <f t="shared" si="63"/>
        <v>75</v>
      </c>
      <c r="W168" s="353">
        <f t="shared" si="64"/>
        <v>157.5</v>
      </c>
      <c r="X168" s="129">
        <f t="shared" si="65"/>
        <v>157.5</v>
      </c>
      <c r="Y168" s="129" t="str">
        <f t="shared" si="66"/>
        <v/>
      </c>
      <c r="Z168" s="145"/>
      <c r="BA168" s="75" t="e">
        <f t="shared" si="75"/>
        <v>#DIV/0!</v>
      </c>
      <c r="BB168" s="78"/>
      <c r="BC168" s="132"/>
      <c r="BD168" s="133"/>
      <c r="BE168" s="132"/>
      <c r="BF168" s="134"/>
      <c r="BG168" s="135"/>
      <c r="BH168" s="135"/>
      <c r="BI168" s="136"/>
      <c r="BJ168" s="136"/>
      <c r="BK168" s="136"/>
      <c r="BL168" s="136"/>
      <c r="BM168" s="137"/>
      <c r="BN168" s="137"/>
      <c r="BO168" s="75">
        <f>LOOKUP(D168,基础数据!A:D)</f>
        <v>3.53915880885741</v>
      </c>
      <c r="BP168" s="75">
        <f t="shared" si="77"/>
        <v>1.00524445538374</v>
      </c>
      <c r="BQ168" s="75">
        <f t="shared" si="67"/>
        <v>6</v>
      </c>
      <c r="BR168" s="272">
        <f t="shared" si="82"/>
        <v>7</v>
      </c>
      <c r="BS168" s="156">
        <f t="shared" si="68"/>
        <v>0.81</v>
      </c>
      <c r="BT168" s="1211">
        <v>0.06</v>
      </c>
      <c r="BU168" s="156">
        <f t="shared" si="69"/>
        <v>0.42</v>
      </c>
      <c r="BV168" s="156">
        <f t="shared" si="70"/>
        <v>0.03</v>
      </c>
      <c r="BW168" s="156">
        <f t="shared" si="76"/>
        <v>7</v>
      </c>
      <c r="BX168" s="156">
        <f t="shared" si="71"/>
        <v>7.58110882956879</v>
      </c>
      <c r="BY168" s="1207" t="s">
        <v>2806</v>
      </c>
      <c r="BZ168" s="272">
        <v>30</v>
      </c>
      <c r="CA168" s="186">
        <f t="shared" si="72"/>
        <v>0.75</v>
      </c>
      <c r="CB168" s="186">
        <f t="shared" si="73"/>
        <v>0.75</v>
      </c>
      <c r="CC168" s="186">
        <f t="shared" si="74"/>
        <v>0.75</v>
      </c>
      <c r="CD168" s="272"/>
      <c r="CF168" s="134"/>
      <c r="CG168" s="138"/>
      <c r="CH168" s="132"/>
      <c r="CI168" s="138"/>
      <c r="CJ168" s="132"/>
      <c r="CK168" s="132"/>
      <c r="CL168" s="134"/>
      <c r="CM168" s="146"/>
    </row>
    <row r="169" ht="15" customHeight="1" spans="1:91">
      <c r="A169" s="123">
        <f>IF(B169="","",COUNT(A$7:A168)+1)</f>
        <v>162</v>
      </c>
      <c r="B169" s="139" t="s">
        <v>2829</v>
      </c>
      <c r="C169" s="139" t="s">
        <v>2844</v>
      </c>
      <c r="D169" s="1209">
        <v>43100</v>
      </c>
      <c r="E169" s="1210">
        <v>184.5</v>
      </c>
      <c r="F169" s="219" t="s">
        <v>2770</v>
      </c>
      <c r="G169" s="142"/>
      <c r="H169" s="127"/>
      <c r="I169" s="128"/>
      <c r="J169" s="128"/>
      <c r="K169" s="980">
        <v>30</v>
      </c>
      <c r="L169" s="143"/>
      <c r="M169" s="143"/>
      <c r="N169" s="144"/>
      <c r="O169" s="144"/>
      <c r="P169" s="144"/>
      <c r="Q169" s="353">
        <f t="shared" si="58"/>
        <v>30</v>
      </c>
      <c r="R169" s="129">
        <f t="shared" si="59"/>
        <v>0</v>
      </c>
      <c r="S169" s="129">
        <f t="shared" si="60"/>
        <v>0</v>
      </c>
      <c r="T169" s="129">
        <f t="shared" si="61"/>
        <v>30</v>
      </c>
      <c r="U169" s="129">
        <f t="shared" si="62"/>
        <v>210</v>
      </c>
      <c r="V169" s="214">
        <f t="shared" si="63"/>
        <v>75</v>
      </c>
      <c r="W169" s="353">
        <f t="shared" si="64"/>
        <v>157.5</v>
      </c>
      <c r="X169" s="129">
        <f t="shared" si="65"/>
        <v>157.5</v>
      </c>
      <c r="Y169" s="129" t="str">
        <f t="shared" si="66"/>
        <v/>
      </c>
      <c r="Z169" s="145"/>
      <c r="BA169" s="75" t="e">
        <f t="shared" si="75"/>
        <v>#DIV/0!</v>
      </c>
      <c r="BB169" s="78"/>
      <c r="BC169" s="132"/>
      <c r="BD169" s="133"/>
      <c r="BE169" s="132"/>
      <c r="BF169" s="134"/>
      <c r="BG169" s="135"/>
      <c r="BH169" s="135"/>
      <c r="BI169" s="136"/>
      <c r="BJ169" s="136"/>
      <c r="BK169" s="136"/>
      <c r="BL169" s="136"/>
      <c r="BM169" s="137"/>
      <c r="BN169" s="137"/>
      <c r="BO169" s="75">
        <f>LOOKUP(D169,基础数据!A:D)</f>
        <v>3.53915880885741</v>
      </c>
      <c r="BP169" s="75">
        <f t="shared" si="77"/>
        <v>1.00524445538374</v>
      </c>
      <c r="BQ169" s="75">
        <f t="shared" si="67"/>
        <v>6</v>
      </c>
      <c r="BR169" s="272">
        <f t="shared" si="82"/>
        <v>7</v>
      </c>
      <c r="BS169" s="156">
        <f t="shared" si="68"/>
        <v>0.81</v>
      </c>
      <c r="BT169" s="1211">
        <v>0.06</v>
      </c>
      <c r="BU169" s="156">
        <f t="shared" si="69"/>
        <v>0.42</v>
      </c>
      <c r="BV169" s="156">
        <f t="shared" si="70"/>
        <v>0.03</v>
      </c>
      <c r="BW169" s="156">
        <f t="shared" si="76"/>
        <v>7</v>
      </c>
      <c r="BX169" s="156">
        <f t="shared" si="71"/>
        <v>7.58110882956879</v>
      </c>
      <c r="BY169" s="1207" t="s">
        <v>2806</v>
      </c>
      <c r="BZ169" s="272">
        <v>30</v>
      </c>
      <c r="CA169" s="186">
        <f t="shared" si="72"/>
        <v>0.75</v>
      </c>
      <c r="CB169" s="186">
        <f t="shared" si="73"/>
        <v>0.75</v>
      </c>
      <c r="CC169" s="186">
        <f t="shared" si="74"/>
        <v>0.75</v>
      </c>
      <c r="CD169" s="272"/>
      <c r="CF169" s="134"/>
      <c r="CG169" s="138"/>
      <c r="CH169" s="132"/>
      <c r="CI169" s="138"/>
      <c r="CJ169" s="132"/>
      <c r="CK169" s="132"/>
      <c r="CL169" s="134"/>
      <c r="CM169" s="146"/>
    </row>
    <row r="170" ht="15" customHeight="1" spans="1:91">
      <c r="A170" s="123">
        <f>IF(B170="","",COUNT(A$7:A169)+1)</f>
        <v>163</v>
      </c>
      <c r="B170" s="139" t="s">
        <v>2829</v>
      </c>
      <c r="C170" s="139" t="s">
        <v>2840</v>
      </c>
      <c r="D170" s="1209">
        <v>43100</v>
      </c>
      <c r="E170" s="1210">
        <v>1437.75</v>
      </c>
      <c r="F170" s="219" t="s">
        <v>2770</v>
      </c>
      <c r="G170" s="142"/>
      <c r="H170" s="127"/>
      <c r="I170" s="128"/>
      <c r="J170" s="128"/>
      <c r="K170" s="980">
        <v>25</v>
      </c>
      <c r="L170" s="143"/>
      <c r="M170" s="143"/>
      <c r="N170" s="144"/>
      <c r="O170" s="144"/>
      <c r="P170" s="144"/>
      <c r="Q170" s="353">
        <f t="shared" si="58"/>
        <v>25</v>
      </c>
      <c r="R170" s="129">
        <f t="shared" si="59"/>
        <v>0</v>
      </c>
      <c r="S170" s="129">
        <f t="shared" si="60"/>
        <v>0</v>
      </c>
      <c r="T170" s="129">
        <f t="shared" si="61"/>
        <v>25</v>
      </c>
      <c r="U170" s="129">
        <f t="shared" si="62"/>
        <v>1400</v>
      </c>
      <c r="V170" s="214">
        <f t="shared" si="63"/>
        <v>75</v>
      </c>
      <c r="W170" s="353">
        <f t="shared" si="64"/>
        <v>1050</v>
      </c>
      <c r="X170" s="129">
        <f t="shared" si="65"/>
        <v>1050</v>
      </c>
      <c r="Y170" s="129" t="str">
        <f t="shared" si="66"/>
        <v/>
      </c>
      <c r="Z170" s="145"/>
      <c r="BA170" s="75" t="e">
        <f t="shared" si="75"/>
        <v>#DIV/0!</v>
      </c>
      <c r="BB170" s="78"/>
      <c r="BC170" s="132"/>
      <c r="BD170" s="133"/>
      <c r="BE170" s="132"/>
      <c r="BF170" s="134"/>
      <c r="BG170" s="135"/>
      <c r="BH170" s="135"/>
      <c r="BI170" s="136"/>
      <c r="BJ170" s="136"/>
      <c r="BK170" s="136"/>
      <c r="BL170" s="136"/>
      <c r="BM170" s="137"/>
      <c r="BN170" s="137"/>
      <c r="BO170" s="75">
        <f>LOOKUP(D170,基础数据!A:D)</f>
        <v>3.53915880885741</v>
      </c>
      <c r="BP170" s="75">
        <f t="shared" si="77"/>
        <v>1.00524445538374</v>
      </c>
      <c r="BQ170" s="75">
        <f t="shared" si="67"/>
        <v>58</v>
      </c>
      <c r="BR170" s="272">
        <v>59.63</v>
      </c>
      <c r="BS170" s="156">
        <f t="shared" si="68"/>
        <v>6.86</v>
      </c>
      <c r="BT170" s="1211">
        <v>0.06</v>
      </c>
      <c r="BU170" s="156">
        <f t="shared" si="69"/>
        <v>3.58</v>
      </c>
      <c r="BV170" s="156">
        <f t="shared" si="70"/>
        <v>0.3</v>
      </c>
      <c r="BW170" s="156">
        <f t="shared" si="76"/>
        <v>56</v>
      </c>
      <c r="BX170" s="156">
        <f t="shared" si="71"/>
        <v>7.58110882956879</v>
      </c>
      <c r="BY170" s="1207" t="s">
        <v>2806</v>
      </c>
      <c r="BZ170" s="272">
        <v>30</v>
      </c>
      <c r="CA170" s="186">
        <f t="shared" si="72"/>
        <v>0.75</v>
      </c>
      <c r="CB170" s="186">
        <f t="shared" si="73"/>
        <v>0.75</v>
      </c>
      <c r="CC170" s="186">
        <f t="shared" si="74"/>
        <v>0.75</v>
      </c>
      <c r="CD170" s="1208" t="s">
        <v>2841</v>
      </c>
      <c r="CF170" s="134"/>
      <c r="CG170" s="138"/>
      <c r="CH170" s="132"/>
      <c r="CI170" s="138"/>
      <c r="CJ170" s="132"/>
      <c r="CK170" s="132"/>
      <c r="CL170" s="134"/>
      <c r="CM170" s="146"/>
    </row>
    <row r="171" ht="15" customHeight="1" spans="1:91">
      <c r="A171" s="123">
        <f>IF(B171="","",COUNT(A$7:A170)+1)</f>
        <v>164</v>
      </c>
      <c r="B171" s="139" t="s">
        <v>2829</v>
      </c>
      <c r="C171" s="139" t="s">
        <v>2844</v>
      </c>
      <c r="D171" s="1209">
        <v>43100</v>
      </c>
      <c r="E171" s="1210">
        <v>92.25</v>
      </c>
      <c r="F171" s="219" t="s">
        <v>2770</v>
      </c>
      <c r="G171" s="142"/>
      <c r="H171" s="127"/>
      <c r="I171" s="128"/>
      <c r="J171" s="128"/>
      <c r="K171" s="980">
        <v>15</v>
      </c>
      <c r="L171" s="143"/>
      <c r="M171" s="143"/>
      <c r="N171" s="144"/>
      <c r="O171" s="144"/>
      <c r="P171" s="144"/>
      <c r="Q171" s="353">
        <f t="shared" si="58"/>
        <v>15</v>
      </c>
      <c r="R171" s="129">
        <f t="shared" si="59"/>
        <v>0</v>
      </c>
      <c r="S171" s="129">
        <f t="shared" si="60"/>
        <v>0</v>
      </c>
      <c r="T171" s="129">
        <f t="shared" si="61"/>
        <v>15</v>
      </c>
      <c r="U171" s="129">
        <f t="shared" si="62"/>
        <v>105</v>
      </c>
      <c r="V171" s="214">
        <f t="shared" si="63"/>
        <v>75</v>
      </c>
      <c r="W171" s="353">
        <f t="shared" si="64"/>
        <v>78.75</v>
      </c>
      <c r="X171" s="129">
        <f t="shared" si="65"/>
        <v>78.75</v>
      </c>
      <c r="Y171" s="129" t="str">
        <f t="shared" si="66"/>
        <v/>
      </c>
      <c r="Z171" s="145"/>
      <c r="BA171" s="75" t="e">
        <f t="shared" si="75"/>
        <v>#DIV/0!</v>
      </c>
      <c r="BB171" s="78"/>
      <c r="BC171" s="132"/>
      <c r="BD171" s="133"/>
      <c r="BE171" s="132"/>
      <c r="BF171" s="134"/>
      <c r="BG171" s="135"/>
      <c r="BH171" s="135"/>
      <c r="BI171" s="136"/>
      <c r="BJ171" s="136"/>
      <c r="BK171" s="136"/>
      <c r="BL171" s="136"/>
      <c r="BM171" s="137"/>
      <c r="BN171" s="137"/>
      <c r="BO171" s="75">
        <f>LOOKUP(D171,基础数据!A:D)</f>
        <v>3.53915880885741</v>
      </c>
      <c r="BP171" s="75">
        <f t="shared" si="77"/>
        <v>1.00524445538374</v>
      </c>
      <c r="BQ171" s="75">
        <f t="shared" si="67"/>
        <v>6</v>
      </c>
      <c r="BR171" s="272">
        <f t="shared" ref="BR171:BR190" si="83">ROUND(BQ171*1.13,0)</f>
        <v>7</v>
      </c>
      <c r="BS171" s="156">
        <f t="shared" si="68"/>
        <v>0.81</v>
      </c>
      <c r="BT171" s="1211">
        <v>0.06</v>
      </c>
      <c r="BU171" s="156">
        <f t="shared" si="69"/>
        <v>0.42</v>
      </c>
      <c r="BV171" s="156">
        <f t="shared" si="70"/>
        <v>0.03</v>
      </c>
      <c r="BW171" s="156">
        <f t="shared" si="76"/>
        <v>7</v>
      </c>
      <c r="BX171" s="156">
        <f t="shared" si="71"/>
        <v>7.58110882956879</v>
      </c>
      <c r="BY171" s="1207" t="s">
        <v>2806</v>
      </c>
      <c r="BZ171" s="272">
        <v>30</v>
      </c>
      <c r="CA171" s="186">
        <f t="shared" si="72"/>
        <v>0.75</v>
      </c>
      <c r="CB171" s="186">
        <f t="shared" si="73"/>
        <v>0.75</v>
      </c>
      <c r="CC171" s="186">
        <f t="shared" si="74"/>
        <v>0.75</v>
      </c>
      <c r="CD171" s="272"/>
      <c r="CF171" s="134"/>
      <c r="CG171" s="138"/>
      <c r="CH171" s="132"/>
      <c r="CI171" s="138"/>
      <c r="CJ171" s="132"/>
      <c r="CK171" s="132"/>
      <c r="CL171" s="134"/>
      <c r="CM171" s="146"/>
    </row>
    <row r="172" ht="15" hidden="1" customHeight="1" spans="1:91">
      <c r="A172" s="123">
        <f>IF(B172="","",COUNT(A$7:A171)+1)</f>
        <v>165</v>
      </c>
      <c r="B172" s="139" t="s">
        <v>2859</v>
      </c>
      <c r="C172" s="139" t="s">
        <v>2860</v>
      </c>
      <c r="D172" s="1209">
        <v>43100</v>
      </c>
      <c r="E172" s="1210">
        <v>12400</v>
      </c>
      <c r="F172" s="219" t="s">
        <v>2770</v>
      </c>
      <c r="G172" s="142"/>
      <c r="H172" s="127"/>
      <c r="I172" s="128"/>
      <c r="J172" s="128"/>
      <c r="K172" s="980">
        <v>40</v>
      </c>
      <c r="L172" s="143"/>
      <c r="M172" s="143"/>
      <c r="N172" s="144"/>
      <c r="O172" s="144"/>
      <c r="P172" s="144"/>
      <c r="Q172" s="353">
        <f t="shared" si="58"/>
        <v>40</v>
      </c>
      <c r="R172" s="129">
        <f t="shared" si="59"/>
        <v>0</v>
      </c>
      <c r="S172" s="129">
        <f t="shared" si="60"/>
        <v>0</v>
      </c>
      <c r="T172" s="129">
        <f t="shared" si="61"/>
        <v>40</v>
      </c>
      <c r="U172" s="129">
        <f t="shared" si="62"/>
        <v>13000</v>
      </c>
      <c r="V172" s="214">
        <f t="shared" si="63"/>
        <v>53</v>
      </c>
      <c r="W172" s="353">
        <f t="shared" si="64"/>
        <v>6890</v>
      </c>
      <c r="X172" s="129">
        <f t="shared" si="65"/>
        <v>6890</v>
      </c>
      <c r="Y172" s="129" t="str">
        <f t="shared" si="66"/>
        <v/>
      </c>
      <c r="Z172" s="145"/>
      <c r="BA172" s="75" t="e">
        <f t="shared" si="75"/>
        <v>#DIV/0!</v>
      </c>
      <c r="BB172" s="78"/>
      <c r="BC172" s="132"/>
      <c r="BD172" s="133"/>
      <c r="BE172" s="132"/>
      <c r="BF172" s="134"/>
      <c r="BG172" s="135"/>
      <c r="BH172" s="135"/>
      <c r="BI172" s="136"/>
      <c r="BJ172" s="136"/>
      <c r="BK172" s="136"/>
      <c r="BL172" s="136"/>
      <c r="BM172" s="137"/>
      <c r="BN172" s="137"/>
      <c r="BO172" s="75">
        <f>LOOKUP(D172,基础数据!A:D)</f>
        <v>3.53915880885741</v>
      </c>
      <c r="BP172" s="75">
        <f t="shared" si="77"/>
        <v>1.00524445538374</v>
      </c>
      <c r="BQ172" s="75">
        <f t="shared" si="67"/>
        <v>312</v>
      </c>
      <c r="BR172" s="272">
        <f t="shared" si="83"/>
        <v>353</v>
      </c>
      <c r="BS172" s="156">
        <f t="shared" si="68"/>
        <v>40.61</v>
      </c>
      <c r="BT172" s="186">
        <v>0.04</v>
      </c>
      <c r="BU172" s="156">
        <f t="shared" si="69"/>
        <v>14.12</v>
      </c>
      <c r="BV172" s="156">
        <f t="shared" si="70"/>
        <v>1.17</v>
      </c>
      <c r="BW172" s="156">
        <f t="shared" si="76"/>
        <v>325</v>
      </c>
      <c r="BX172" s="156">
        <f t="shared" si="71"/>
        <v>7.58110882956879</v>
      </c>
      <c r="BY172" s="1207" t="s">
        <v>2861</v>
      </c>
      <c r="BZ172" s="272">
        <v>16</v>
      </c>
      <c r="CA172" s="186">
        <f t="shared" si="72"/>
        <v>0.53</v>
      </c>
      <c r="CB172" s="186">
        <f t="shared" si="73"/>
        <v>0.53</v>
      </c>
      <c r="CC172" s="186">
        <f t="shared" si="74"/>
        <v>0.53</v>
      </c>
      <c r="CD172" s="272"/>
      <c r="CF172" s="134"/>
      <c r="CG172" s="138"/>
      <c r="CH172" s="132"/>
      <c r="CI172" s="138"/>
      <c r="CJ172" s="132"/>
      <c r="CK172" s="132"/>
      <c r="CL172" s="134"/>
      <c r="CM172" s="146"/>
    </row>
    <row r="173" ht="15" hidden="1" customHeight="1" spans="1:91">
      <c r="A173" s="123">
        <f>IF(B173="","",COUNT(A$7:A172)+1)</f>
        <v>166</v>
      </c>
      <c r="B173" s="139" t="s">
        <v>2862</v>
      </c>
      <c r="C173" s="139" t="s">
        <v>2863</v>
      </c>
      <c r="D173" s="1209">
        <v>43100</v>
      </c>
      <c r="E173" s="1210">
        <v>1140</v>
      </c>
      <c r="F173" s="219" t="s">
        <v>2864</v>
      </c>
      <c r="G173" s="142"/>
      <c r="H173" s="127"/>
      <c r="I173" s="128"/>
      <c r="J173" s="128"/>
      <c r="K173" s="980">
        <v>3</v>
      </c>
      <c r="L173" s="143"/>
      <c r="M173" s="143"/>
      <c r="N173" s="144"/>
      <c r="O173" s="144"/>
      <c r="P173" s="144"/>
      <c r="Q173" s="353">
        <f t="shared" si="58"/>
        <v>3</v>
      </c>
      <c r="R173" s="129">
        <f t="shared" si="59"/>
        <v>0</v>
      </c>
      <c r="S173" s="129">
        <f t="shared" si="60"/>
        <v>0</v>
      </c>
      <c r="T173" s="129">
        <f t="shared" si="61"/>
        <v>3</v>
      </c>
      <c r="U173" s="129">
        <f t="shared" si="62"/>
        <v>1146</v>
      </c>
      <c r="V173" s="214">
        <f t="shared" si="63"/>
        <v>53</v>
      </c>
      <c r="W173" s="353">
        <f t="shared" si="64"/>
        <v>607.38</v>
      </c>
      <c r="X173" s="129">
        <f t="shared" si="65"/>
        <v>607.38</v>
      </c>
      <c r="Y173" s="129" t="str">
        <f t="shared" si="66"/>
        <v/>
      </c>
      <c r="Z173" s="145"/>
      <c r="BA173" s="75" t="e">
        <f t="shared" si="75"/>
        <v>#DIV/0!</v>
      </c>
      <c r="BB173" s="78"/>
      <c r="BC173" s="132"/>
      <c r="BD173" s="133"/>
      <c r="BE173" s="132"/>
      <c r="BF173" s="134"/>
      <c r="BG173" s="135"/>
      <c r="BH173" s="135"/>
      <c r="BI173" s="136"/>
      <c r="BJ173" s="136"/>
      <c r="BK173" s="136"/>
      <c r="BL173" s="136"/>
      <c r="BM173" s="137"/>
      <c r="BN173" s="137"/>
      <c r="BO173" s="75">
        <f>LOOKUP(D173,基础数据!A:D)</f>
        <v>3.53915880885741</v>
      </c>
      <c r="BP173" s="75">
        <f t="shared" si="77"/>
        <v>1.00524445538374</v>
      </c>
      <c r="BQ173" s="75">
        <f t="shared" si="67"/>
        <v>382</v>
      </c>
      <c r="BR173" s="272">
        <f t="shared" si="83"/>
        <v>432</v>
      </c>
      <c r="BS173" s="156">
        <f t="shared" si="68"/>
        <v>49.7</v>
      </c>
      <c r="BT173" s="156"/>
      <c r="BU173" s="156">
        <f t="shared" si="69"/>
        <v>0</v>
      </c>
      <c r="BV173" s="156">
        <f t="shared" si="70"/>
        <v>0</v>
      </c>
      <c r="BW173" s="156">
        <f t="shared" si="76"/>
        <v>382</v>
      </c>
      <c r="BX173" s="156">
        <f t="shared" si="71"/>
        <v>7.58110882956879</v>
      </c>
      <c r="BY173" s="1207" t="s">
        <v>2861</v>
      </c>
      <c r="BZ173" s="272">
        <v>16</v>
      </c>
      <c r="CA173" s="186">
        <f t="shared" si="72"/>
        <v>0.53</v>
      </c>
      <c r="CB173" s="186">
        <f t="shared" si="73"/>
        <v>0.53</v>
      </c>
      <c r="CC173" s="186">
        <f t="shared" si="74"/>
        <v>0.53</v>
      </c>
      <c r="CD173" s="272"/>
      <c r="CF173" s="134"/>
      <c r="CG173" s="138"/>
      <c r="CH173" s="132"/>
      <c r="CI173" s="138"/>
      <c r="CJ173" s="132"/>
      <c r="CK173" s="132"/>
      <c r="CL173" s="134"/>
      <c r="CM173" s="146"/>
    </row>
    <row r="174" ht="15" hidden="1" customHeight="1" spans="1:91">
      <c r="A174" s="123">
        <f>IF(B174="","",COUNT(A$7:A173)+1)</f>
        <v>167</v>
      </c>
      <c r="B174" s="139" t="s">
        <v>2865</v>
      </c>
      <c r="C174" s="139" t="s">
        <v>2860</v>
      </c>
      <c r="D174" s="1209">
        <v>43100</v>
      </c>
      <c r="E174" s="1210">
        <v>180</v>
      </c>
      <c r="F174" s="219" t="s">
        <v>2866</v>
      </c>
      <c r="G174" s="142"/>
      <c r="H174" s="127"/>
      <c r="I174" s="128"/>
      <c r="J174" s="128"/>
      <c r="K174" s="980">
        <v>1</v>
      </c>
      <c r="L174" s="143"/>
      <c r="M174" s="143"/>
      <c r="N174" s="144"/>
      <c r="O174" s="144"/>
      <c r="P174" s="144"/>
      <c r="Q174" s="353">
        <f t="shared" si="58"/>
        <v>1</v>
      </c>
      <c r="R174" s="129">
        <f t="shared" si="59"/>
        <v>0</v>
      </c>
      <c r="S174" s="129">
        <f t="shared" si="60"/>
        <v>0</v>
      </c>
      <c r="T174" s="129">
        <f t="shared" si="61"/>
        <v>1</v>
      </c>
      <c r="U174" s="129">
        <f t="shared" si="62"/>
        <v>181</v>
      </c>
      <c r="V174" s="214">
        <f t="shared" si="63"/>
        <v>53</v>
      </c>
      <c r="W174" s="353">
        <f t="shared" si="64"/>
        <v>95.93</v>
      </c>
      <c r="X174" s="129">
        <f t="shared" si="65"/>
        <v>95.93</v>
      </c>
      <c r="Y174" s="129" t="str">
        <f t="shared" si="66"/>
        <v/>
      </c>
      <c r="Z174" s="145"/>
      <c r="BA174" s="75" t="e">
        <f t="shared" si="75"/>
        <v>#DIV/0!</v>
      </c>
      <c r="BB174" s="78"/>
      <c r="BC174" s="132"/>
      <c r="BD174" s="133"/>
      <c r="BE174" s="132"/>
      <c r="BF174" s="134"/>
      <c r="BG174" s="135"/>
      <c r="BH174" s="135"/>
      <c r="BI174" s="136"/>
      <c r="BJ174" s="136"/>
      <c r="BK174" s="136"/>
      <c r="BL174" s="136"/>
      <c r="BM174" s="137"/>
      <c r="BN174" s="137"/>
      <c r="BO174" s="75">
        <f>LOOKUP(D174,基础数据!A:D)</f>
        <v>3.53915880885741</v>
      </c>
      <c r="BP174" s="75">
        <f t="shared" si="77"/>
        <v>1.00524445538374</v>
      </c>
      <c r="BQ174" s="75">
        <f t="shared" si="67"/>
        <v>181</v>
      </c>
      <c r="BR174" s="272">
        <f t="shared" si="83"/>
        <v>205</v>
      </c>
      <c r="BS174" s="156">
        <f t="shared" si="68"/>
        <v>23.58</v>
      </c>
      <c r="BT174" s="156"/>
      <c r="BU174" s="156">
        <f t="shared" si="69"/>
        <v>0</v>
      </c>
      <c r="BV174" s="156">
        <f t="shared" si="70"/>
        <v>0</v>
      </c>
      <c r="BW174" s="156">
        <f t="shared" si="76"/>
        <v>181</v>
      </c>
      <c r="BX174" s="156">
        <f t="shared" si="71"/>
        <v>7.58110882956879</v>
      </c>
      <c r="BY174" s="1207" t="s">
        <v>2861</v>
      </c>
      <c r="BZ174" s="272">
        <v>16</v>
      </c>
      <c r="CA174" s="186">
        <f t="shared" si="72"/>
        <v>0.53</v>
      </c>
      <c r="CB174" s="186">
        <f t="shared" si="73"/>
        <v>0.53</v>
      </c>
      <c r="CC174" s="186">
        <f t="shared" si="74"/>
        <v>0.53</v>
      </c>
      <c r="CD174" s="272"/>
      <c r="CF174" s="134"/>
      <c r="CG174" s="138"/>
      <c r="CH174" s="132"/>
      <c r="CI174" s="138"/>
      <c r="CJ174" s="132"/>
      <c r="CK174" s="132"/>
      <c r="CL174" s="134"/>
      <c r="CM174" s="146"/>
    </row>
    <row r="175" ht="15" hidden="1" customHeight="1" spans="1:91">
      <c r="A175" s="123">
        <f>IF(B175="","",COUNT(A$7:A174)+1)</f>
        <v>168</v>
      </c>
      <c r="B175" s="139" t="s">
        <v>2859</v>
      </c>
      <c r="C175" s="139" t="s">
        <v>2867</v>
      </c>
      <c r="D175" s="1209">
        <v>43100</v>
      </c>
      <c r="E175" s="1210">
        <v>74460</v>
      </c>
      <c r="F175" s="219" t="s">
        <v>2770</v>
      </c>
      <c r="G175" s="142"/>
      <c r="H175" s="127"/>
      <c r="I175" s="128"/>
      <c r="J175" s="128"/>
      <c r="K175" s="980">
        <v>730</v>
      </c>
      <c r="L175" s="143"/>
      <c r="M175" s="143"/>
      <c r="N175" s="144"/>
      <c r="O175" s="144"/>
      <c r="P175" s="144"/>
      <c r="Q175" s="353">
        <f t="shared" si="58"/>
        <v>730</v>
      </c>
      <c r="R175" s="129">
        <f t="shared" si="59"/>
        <v>0</v>
      </c>
      <c r="S175" s="129">
        <f t="shared" si="60"/>
        <v>0</v>
      </c>
      <c r="T175" s="129">
        <f t="shared" si="61"/>
        <v>730</v>
      </c>
      <c r="U175" s="129">
        <f t="shared" si="62"/>
        <v>78110</v>
      </c>
      <c r="V175" s="214">
        <f t="shared" si="63"/>
        <v>53</v>
      </c>
      <c r="W175" s="353">
        <f t="shared" si="64"/>
        <v>41398.3</v>
      </c>
      <c r="X175" s="129">
        <f t="shared" si="65"/>
        <v>41398.3</v>
      </c>
      <c r="Y175" s="129" t="str">
        <f t="shared" si="66"/>
        <v/>
      </c>
      <c r="Z175" s="145"/>
      <c r="BA175" s="75" t="e">
        <f t="shared" si="75"/>
        <v>#DIV/0!</v>
      </c>
      <c r="BB175" s="78"/>
      <c r="BC175" s="132"/>
      <c r="BD175" s="133"/>
      <c r="BE175" s="132"/>
      <c r="BF175" s="134"/>
      <c r="BG175" s="135"/>
      <c r="BH175" s="135"/>
      <c r="BI175" s="136"/>
      <c r="BJ175" s="136"/>
      <c r="BK175" s="136"/>
      <c r="BL175" s="136"/>
      <c r="BM175" s="137"/>
      <c r="BN175" s="137"/>
      <c r="BO175" s="75">
        <f>LOOKUP(D175,基础数据!A:D)</f>
        <v>3.53915880885741</v>
      </c>
      <c r="BP175" s="75">
        <f t="shared" si="77"/>
        <v>1.00524445538374</v>
      </c>
      <c r="BQ175" s="75">
        <f t="shared" si="67"/>
        <v>103</v>
      </c>
      <c r="BR175" s="272">
        <f t="shared" si="83"/>
        <v>116</v>
      </c>
      <c r="BS175" s="156">
        <f t="shared" si="68"/>
        <v>13.35</v>
      </c>
      <c r="BT175" s="186">
        <v>0.04</v>
      </c>
      <c r="BU175" s="156">
        <f t="shared" si="69"/>
        <v>4.64</v>
      </c>
      <c r="BV175" s="156">
        <f t="shared" si="70"/>
        <v>0.38</v>
      </c>
      <c r="BW175" s="156">
        <f t="shared" si="76"/>
        <v>107</v>
      </c>
      <c r="BX175" s="156">
        <f t="shared" si="71"/>
        <v>7.58110882956879</v>
      </c>
      <c r="BY175" s="1207" t="s">
        <v>2861</v>
      </c>
      <c r="BZ175" s="272">
        <v>16</v>
      </c>
      <c r="CA175" s="186">
        <f t="shared" si="72"/>
        <v>0.53</v>
      </c>
      <c r="CB175" s="186">
        <f t="shared" si="73"/>
        <v>0.53</v>
      </c>
      <c r="CC175" s="186">
        <f t="shared" si="74"/>
        <v>0.53</v>
      </c>
      <c r="CD175" s="272"/>
      <c r="CF175" s="134"/>
      <c r="CG175" s="138"/>
      <c r="CH175" s="132"/>
      <c r="CI175" s="138"/>
      <c r="CJ175" s="132"/>
      <c r="CK175" s="132"/>
      <c r="CL175" s="134"/>
      <c r="CM175" s="146"/>
    </row>
    <row r="176" ht="15" hidden="1" customHeight="1" spans="1:91">
      <c r="A176" s="123">
        <f>IF(B176="","",COUNT(A$7:A175)+1)</f>
        <v>169</v>
      </c>
      <c r="B176" s="139" t="s">
        <v>2862</v>
      </c>
      <c r="C176" s="139" t="s">
        <v>2868</v>
      </c>
      <c r="D176" s="1209">
        <v>43100</v>
      </c>
      <c r="E176" s="1210">
        <v>4680</v>
      </c>
      <c r="F176" s="219" t="s">
        <v>2864</v>
      </c>
      <c r="G176" s="142"/>
      <c r="H176" s="127"/>
      <c r="I176" s="128"/>
      <c r="J176" s="128"/>
      <c r="K176" s="980">
        <v>72</v>
      </c>
      <c r="L176" s="143"/>
      <c r="M176" s="143"/>
      <c r="N176" s="144"/>
      <c r="O176" s="144"/>
      <c r="P176" s="144"/>
      <c r="Q176" s="353">
        <f t="shared" si="58"/>
        <v>72</v>
      </c>
      <c r="R176" s="129">
        <f t="shared" si="59"/>
        <v>0</v>
      </c>
      <c r="S176" s="129">
        <f t="shared" si="60"/>
        <v>0</v>
      </c>
      <c r="T176" s="129">
        <f t="shared" si="61"/>
        <v>72</v>
      </c>
      <c r="U176" s="129">
        <f t="shared" si="62"/>
        <v>4680</v>
      </c>
      <c r="V176" s="214">
        <f t="shared" si="63"/>
        <v>53</v>
      </c>
      <c r="W176" s="353">
        <f t="shared" si="64"/>
        <v>2480.4</v>
      </c>
      <c r="X176" s="129">
        <f t="shared" si="65"/>
        <v>2480.4</v>
      </c>
      <c r="Y176" s="129" t="str">
        <f t="shared" si="66"/>
        <v/>
      </c>
      <c r="Z176" s="145"/>
      <c r="BA176" s="75" t="e">
        <f t="shared" si="75"/>
        <v>#DIV/0!</v>
      </c>
      <c r="BB176" s="78"/>
      <c r="BC176" s="132"/>
      <c r="BD176" s="133"/>
      <c r="BE176" s="132"/>
      <c r="BF176" s="134"/>
      <c r="BG176" s="135"/>
      <c r="BH176" s="135"/>
      <c r="BI176" s="136"/>
      <c r="BJ176" s="136"/>
      <c r="BK176" s="136"/>
      <c r="BL176" s="136"/>
      <c r="BM176" s="137"/>
      <c r="BN176" s="137"/>
      <c r="BO176" s="75">
        <f>LOOKUP(D176,基础数据!A:D)</f>
        <v>3.53915880885741</v>
      </c>
      <c r="BP176" s="75">
        <f t="shared" si="77"/>
        <v>1.00524445538374</v>
      </c>
      <c r="BQ176" s="75">
        <f t="shared" si="67"/>
        <v>65</v>
      </c>
      <c r="BR176" s="272">
        <f t="shared" si="83"/>
        <v>73</v>
      </c>
      <c r="BS176" s="156">
        <f t="shared" si="68"/>
        <v>8.4</v>
      </c>
      <c r="BT176" s="156"/>
      <c r="BU176" s="156">
        <f t="shared" si="69"/>
        <v>0</v>
      </c>
      <c r="BV176" s="156">
        <f t="shared" si="70"/>
        <v>0</v>
      </c>
      <c r="BW176" s="156">
        <f t="shared" si="76"/>
        <v>65</v>
      </c>
      <c r="BX176" s="156">
        <f t="shared" si="71"/>
        <v>7.58110882956879</v>
      </c>
      <c r="BY176" s="1207" t="s">
        <v>2861</v>
      </c>
      <c r="BZ176" s="272">
        <v>16</v>
      </c>
      <c r="CA176" s="186">
        <f t="shared" si="72"/>
        <v>0.53</v>
      </c>
      <c r="CB176" s="186">
        <f t="shared" si="73"/>
        <v>0.53</v>
      </c>
      <c r="CC176" s="186">
        <f t="shared" si="74"/>
        <v>0.53</v>
      </c>
      <c r="CD176" s="272"/>
      <c r="CF176" s="134"/>
      <c r="CG176" s="138"/>
      <c r="CH176" s="132"/>
      <c r="CI176" s="138"/>
      <c r="CJ176" s="132"/>
      <c r="CK176" s="132"/>
      <c r="CL176" s="134"/>
      <c r="CM176" s="146"/>
    </row>
    <row r="177" ht="15" hidden="1" customHeight="1" spans="1:91">
      <c r="A177" s="123">
        <f>IF(B177="","",COUNT(A$7:A176)+1)</f>
        <v>170</v>
      </c>
      <c r="B177" s="139" t="s">
        <v>2869</v>
      </c>
      <c r="C177" s="139" t="s">
        <v>2870</v>
      </c>
      <c r="D177" s="1209">
        <v>43100</v>
      </c>
      <c r="E177" s="1210">
        <v>1497.6</v>
      </c>
      <c r="F177" s="219" t="s">
        <v>2871</v>
      </c>
      <c r="G177" s="142"/>
      <c r="H177" s="127"/>
      <c r="I177" s="128"/>
      <c r="J177" s="128"/>
      <c r="K177" s="980">
        <v>576</v>
      </c>
      <c r="L177" s="143"/>
      <c r="M177" s="143"/>
      <c r="N177" s="144"/>
      <c r="O177" s="144"/>
      <c r="P177" s="144"/>
      <c r="Q177" s="353">
        <f t="shared" si="58"/>
        <v>576</v>
      </c>
      <c r="R177" s="129">
        <f t="shared" si="59"/>
        <v>0</v>
      </c>
      <c r="S177" s="129">
        <f t="shared" si="60"/>
        <v>0</v>
      </c>
      <c r="T177" s="129">
        <f t="shared" si="61"/>
        <v>576</v>
      </c>
      <c r="U177" s="129">
        <f>ROUND(BW177*Q177,0)</f>
        <v>1728</v>
      </c>
      <c r="V177" s="214">
        <f t="shared" si="63"/>
        <v>53</v>
      </c>
      <c r="W177" s="353">
        <f t="shared" si="64"/>
        <v>915.84</v>
      </c>
      <c r="X177" s="129">
        <f t="shared" si="65"/>
        <v>915.84</v>
      </c>
      <c r="Y177" s="129" t="str">
        <f t="shared" si="66"/>
        <v/>
      </c>
      <c r="Z177" s="145"/>
      <c r="BA177" s="75" t="e">
        <f t="shared" si="75"/>
        <v>#DIV/0!</v>
      </c>
      <c r="BB177" s="78"/>
      <c r="BC177" s="132"/>
      <c r="BD177" s="133"/>
      <c r="BE177" s="132"/>
      <c r="BF177" s="134"/>
      <c r="BG177" s="135"/>
      <c r="BH177" s="135"/>
      <c r="BI177" s="136"/>
      <c r="BJ177" s="136"/>
      <c r="BK177" s="136"/>
      <c r="BL177" s="136"/>
      <c r="BM177" s="137"/>
      <c r="BN177" s="137"/>
      <c r="BO177" s="75">
        <f>LOOKUP(D177,基础数据!A:D)</f>
        <v>3.53915880885741</v>
      </c>
      <c r="BP177" s="75">
        <f t="shared" si="77"/>
        <v>1.00524445538374</v>
      </c>
      <c r="BQ177" s="75">
        <f t="shared" si="67"/>
        <v>3</v>
      </c>
      <c r="BR177" s="272">
        <f>ROUND(BQ177*1.13,1)</f>
        <v>3.4</v>
      </c>
      <c r="BS177" s="156">
        <f t="shared" si="68"/>
        <v>0.39</v>
      </c>
      <c r="BT177" s="186">
        <v>0.01</v>
      </c>
      <c r="BU177" s="156">
        <f t="shared" si="69"/>
        <v>0.03</v>
      </c>
      <c r="BV177" s="156">
        <f t="shared" si="70"/>
        <v>0</v>
      </c>
      <c r="BW177" s="156">
        <f>ROUND(BR177+BU177-BS177-BV177,1)</f>
        <v>3</v>
      </c>
      <c r="BX177" s="156">
        <f t="shared" si="71"/>
        <v>7.58110882956879</v>
      </c>
      <c r="BY177" s="1207" t="s">
        <v>2861</v>
      </c>
      <c r="BZ177" s="272">
        <v>16</v>
      </c>
      <c r="CA177" s="186">
        <f t="shared" si="72"/>
        <v>0.53</v>
      </c>
      <c r="CB177" s="186">
        <f t="shared" si="73"/>
        <v>0.53</v>
      </c>
      <c r="CC177" s="186">
        <f t="shared" si="74"/>
        <v>0.53</v>
      </c>
      <c r="CD177" s="272"/>
      <c r="CF177" s="134"/>
      <c r="CG177" s="138"/>
      <c r="CH177" s="132"/>
      <c r="CI177" s="138"/>
      <c r="CJ177" s="132"/>
      <c r="CK177" s="132"/>
      <c r="CL177" s="134"/>
      <c r="CM177" s="146"/>
    </row>
    <row r="178" ht="15" hidden="1" customHeight="1" spans="1:91">
      <c r="A178" s="123">
        <f>IF(B178="","",COUNT(A$7:A177)+1)</f>
        <v>171</v>
      </c>
      <c r="B178" s="139" t="s">
        <v>2872</v>
      </c>
      <c r="C178" s="139"/>
      <c r="D178" s="1209">
        <v>43100</v>
      </c>
      <c r="E178" s="1210">
        <v>3744</v>
      </c>
      <c r="F178" s="219" t="s">
        <v>2871</v>
      </c>
      <c r="G178" s="142"/>
      <c r="H178" s="127"/>
      <c r="I178" s="128"/>
      <c r="J178" s="128"/>
      <c r="K178" s="980">
        <v>72</v>
      </c>
      <c r="L178" s="143"/>
      <c r="M178" s="143"/>
      <c r="N178" s="144"/>
      <c r="O178" s="144"/>
      <c r="P178" s="144"/>
      <c r="Q178" s="353">
        <f t="shared" si="58"/>
        <v>72</v>
      </c>
      <c r="R178" s="129">
        <f t="shared" si="59"/>
        <v>0</v>
      </c>
      <c r="S178" s="129">
        <f t="shared" si="60"/>
        <v>0</v>
      </c>
      <c r="T178" s="129">
        <f t="shared" si="61"/>
        <v>72</v>
      </c>
      <c r="U178" s="129">
        <f t="shared" si="62"/>
        <v>3744</v>
      </c>
      <c r="V178" s="214">
        <f t="shared" si="63"/>
        <v>53</v>
      </c>
      <c r="W178" s="353">
        <f t="shared" si="64"/>
        <v>1984.32</v>
      </c>
      <c r="X178" s="129">
        <f t="shared" si="65"/>
        <v>1984.32</v>
      </c>
      <c r="Y178" s="129" t="str">
        <f t="shared" si="66"/>
        <v/>
      </c>
      <c r="Z178" s="145"/>
      <c r="BA178" s="75" t="e">
        <f t="shared" si="75"/>
        <v>#DIV/0!</v>
      </c>
      <c r="BB178" s="78"/>
      <c r="BC178" s="132"/>
      <c r="BD178" s="133"/>
      <c r="BE178" s="132"/>
      <c r="BF178" s="134"/>
      <c r="BG178" s="135"/>
      <c r="BH178" s="135"/>
      <c r="BI178" s="136"/>
      <c r="BJ178" s="136"/>
      <c r="BK178" s="136"/>
      <c r="BL178" s="136"/>
      <c r="BM178" s="137"/>
      <c r="BN178" s="137"/>
      <c r="BO178" s="75">
        <f>LOOKUP(D178,基础数据!A:D)</f>
        <v>3.53915880885741</v>
      </c>
      <c r="BP178" s="75">
        <f t="shared" si="77"/>
        <v>1.00524445538374</v>
      </c>
      <c r="BQ178" s="75">
        <f t="shared" si="67"/>
        <v>52</v>
      </c>
      <c r="BR178" s="272">
        <f t="shared" si="83"/>
        <v>59</v>
      </c>
      <c r="BS178" s="156">
        <f t="shared" si="68"/>
        <v>6.79</v>
      </c>
      <c r="BT178" s="156"/>
      <c r="BU178" s="156">
        <f t="shared" si="69"/>
        <v>0</v>
      </c>
      <c r="BV178" s="156">
        <f t="shared" si="70"/>
        <v>0</v>
      </c>
      <c r="BW178" s="156">
        <f t="shared" si="76"/>
        <v>52</v>
      </c>
      <c r="BX178" s="156">
        <f t="shared" si="71"/>
        <v>7.58110882956879</v>
      </c>
      <c r="BY178" s="1207" t="s">
        <v>2861</v>
      </c>
      <c r="BZ178" s="272">
        <v>16</v>
      </c>
      <c r="CA178" s="186">
        <f t="shared" si="72"/>
        <v>0.53</v>
      </c>
      <c r="CB178" s="186">
        <f t="shared" si="73"/>
        <v>0.53</v>
      </c>
      <c r="CC178" s="186">
        <f t="shared" si="74"/>
        <v>0.53</v>
      </c>
      <c r="CD178" s="272"/>
      <c r="CF178" s="134"/>
      <c r="CG178" s="138"/>
      <c r="CH178" s="132"/>
      <c r="CI178" s="138"/>
      <c r="CJ178" s="132"/>
      <c r="CK178" s="132"/>
      <c r="CL178" s="134"/>
      <c r="CM178" s="146"/>
    </row>
    <row r="179" ht="15" hidden="1" customHeight="1" spans="1:91">
      <c r="A179" s="123">
        <f>IF(B179="","",COUNT(A$7:A178)+1)</f>
        <v>172</v>
      </c>
      <c r="B179" s="139" t="s">
        <v>2873</v>
      </c>
      <c r="C179" s="139"/>
      <c r="D179" s="1209">
        <v>43100</v>
      </c>
      <c r="E179" s="1210">
        <v>2080</v>
      </c>
      <c r="F179" s="219" t="s">
        <v>2871</v>
      </c>
      <c r="G179" s="142"/>
      <c r="H179" s="127"/>
      <c r="I179" s="128"/>
      <c r="J179" s="128"/>
      <c r="K179" s="980">
        <v>8</v>
      </c>
      <c r="L179" s="143"/>
      <c r="M179" s="143"/>
      <c r="N179" s="144"/>
      <c r="O179" s="144"/>
      <c r="P179" s="144"/>
      <c r="Q179" s="353">
        <f t="shared" si="58"/>
        <v>8</v>
      </c>
      <c r="R179" s="129">
        <f t="shared" si="59"/>
        <v>0</v>
      </c>
      <c r="S179" s="129">
        <f t="shared" si="60"/>
        <v>0</v>
      </c>
      <c r="T179" s="129">
        <f t="shared" si="61"/>
        <v>8</v>
      </c>
      <c r="U179" s="129">
        <f t="shared" si="62"/>
        <v>2088</v>
      </c>
      <c r="V179" s="214">
        <f t="shared" si="63"/>
        <v>53</v>
      </c>
      <c r="W179" s="353">
        <f t="shared" si="64"/>
        <v>1106.64</v>
      </c>
      <c r="X179" s="129">
        <f t="shared" si="65"/>
        <v>1106.64</v>
      </c>
      <c r="Y179" s="129" t="str">
        <f t="shared" si="66"/>
        <v/>
      </c>
      <c r="Z179" s="145"/>
      <c r="BA179" s="75" t="e">
        <f t="shared" si="75"/>
        <v>#DIV/0!</v>
      </c>
      <c r="BB179" s="78"/>
      <c r="BC179" s="132"/>
      <c r="BD179" s="133"/>
      <c r="BE179" s="132"/>
      <c r="BF179" s="134"/>
      <c r="BG179" s="135"/>
      <c r="BH179" s="135"/>
      <c r="BI179" s="136"/>
      <c r="BJ179" s="136"/>
      <c r="BK179" s="136"/>
      <c r="BL179" s="136"/>
      <c r="BM179" s="137"/>
      <c r="BN179" s="137"/>
      <c r="BO179" s="75">
        <f>LOOKUP(D179,基础数据!A:D)</f>
        <v>3.53915880885741</v>
      </c>
      <c r="BP179" s="75">
        <f t="shared" si="77"/>
        <v>1.00524445538374</v>
      </c>
      <c r="BQ179" s="75">
        <f t="shared" si="67"/>
        <v>261</v>
      </c>
      <c r="BR179" s="272">
        <f t="shared" si="83"/>
        <v>295</v>
      </c>
      <c r="BS179" s="156">
        <f t="shared" si="68"/>
        <v>33.94</v>
      </c>
      <c r="BT179" s="156"/>
      <c r="BU179" s="156">
        <f t="shared" si="69"/>
        <v>0</v>
      </c>
      <c r="BV179" s="156">
        <f t="shared" si="70"/>
        <v>0</v>
      </c>
      <c r="BW179" s="156">
        <f t="shared" si="76"/>
        <v>261</v>
      </c>
      <c r="BX179" s="156">
        <f t="shared" si="71"/>
        <v>7.58110882956879</v>
      </c>
      <c r="BY179" s="1207" t="s">
        <v>2861</v>
      </c>
      <c r="BZ179" s="272">
        <v>16</v>
      </c>
      <c r="CA179" s="186">
        <f t="shared" si="72"/>
        <v>0.53</v>
      </c>
      <c r="CB179" s="186">
        <f t="shared" si="73"/>
        <v>0.53</v>
      </c>
      <c r="CC179" s="186">
        <f t="shared" si="74"/>
        <v>0.53</v>
      </c>
      <c r="CD179" s="272"/>
      <c r="CF179" s="134"/>
      <c r="CG179" s="138"/>
      <c r="CH179" s="132"/>
      <c r="CI179" s="138"/>
      <c r="CJ179" s="132"/>
      <c r="CK179" s="132"/>
      <c r="CL179" s="134"/>
      <c r="CM179" s="146"/>
    </row>
    <row r="180" ht="15" hidden="1" customHeight="1" spans="1:91">
      <c r="A180" s="123">
        <f>IF(B180="","",COUNT(A$7:A179)+1)</f>
        <v>173</v>
      </c>
      <c r="B180" s="139" t="s">
        <v>2859</v>
      </c>
      <c r="C180" s="139" t="s">
        <v>2867</v>
      </c>
      <c r="D180" s="1209">
        <v>43100</v>
      </c>
      <c r="E180" s="1210">
        <v>74460</v>
      </c>
      <c r="F180" s="219" t="s">
        <v>2770</v>
      </c>
      <c r="G180" s="142"/>
      <c r="H180" s="127"/>
      <c r="I180" s="128"/>
      <c r="J180" s="128"/>
      <c r="K180" s="980">
        <v>730</v>
      </c>
      <c r="L180" s="143"/>
      <c r="M180" s="143"/>
      <c r="N180" s="144"/>
      <c r="O180" s="144"/>
      <c r="P180" s="144"/>
      <c r="Q180" s="353">
        <f t="shared" si="58"/>
        <v>730</v>
      </c>
      <c r="R180" s="129">
        <f t="shared" si="59"/>
        <v>0</v>
      </c>
      <c r="S180" s="129">
        <f t="shared" si="60"/>
        <v>0</v>
      </c>
      <c r="T180" s="129">
        <f t="shared" si="61"/>
        <v>730</v>
      </c>
      <c r="U180" s="129">
        <f t="shared" si="62"/>
        <v>78110</v>
      </c>
      <c r="V180" s="214">
        <f t="shared" si="63"/>
        <v>53</v>
      </c>
      <c r="W180" s="353">
        <f t="shared" si="64"/>
        <v>41398.3</v>
      </c>
      <c r="X180" s="129">
        <f t="shared" si="65"/>
        <v>41398.3</v>
      </c>
      <c r="Y180" s="129" t="str">
        <f t="shared" si="66"/>
        <v/>
      </c>
      <c r="Z180" s="145"/>
      <c r="BA180" s="75" t="e">
        <f t="shared" si="75"/>
        <v>#DIV/0!</v>
      </c>
      <c r="BB180" s="78"/>
      <c r="BC180" s="132"/>
      <c r="BD180" s="133"/>
      <c r="BE180" s="132"/>
      <c r="BF180" s="134"/>
      <c r="BG180" s="135"/>
      <c r="BH180" s="135"/>
      <c r="BI180" s="136"/>
      <c r="BJ180" s="136"/>
      <c r="BK180" s="136"/>
      <c r="BL180" s="136"/>
      <c r="BM180" s="137"/>
      <c r="BN180" s="137"/>
      <c r="BO180" s="75">
        <f>LOOKUP(D180,基础数据!A:D)</f>
        <v>3.53915880885741</v>
      </c>
      <c r="BP180" s="75">
        <f t="shared" si="77"/>
        <v>1.00524445538374</v>
      </c>
      <c r="BQ180" s="75">
        <f t="shared" si="67"/>
        <v>103</v>
      </c>
      <c r="BR180" s="272">
        <f t="shared" si="83"/>
        <v>116</v>
      </c>
      <c r="BS180" s="156">
        <f t="shared" si="68"/>
        <v>13.35</v>
      </c>
      <c r="BT180" s="186">
        <v>0.04</v>
      </c>
      <c r="BU180" s="156">
        <f t="shared" si="69"/>
        <v>4.64</v>
      </c>
      <c r="BV180" s="156">
        <f t="shared" si="70"/>
        <v>0.38</v>
      </c>
      <c r="BW180" s="156">
        <f t="shared" si="76"/>
        <v>107</v>
      </c>
      <c r="BX180" s="156">
        <f t="shared" si="71"/>
        <v>7.58110882956879</v>
      </c>
      <c r="BY180" s="1207" t="s">
        <v>2861</v>
      </c>
      <c r="BZ180" s="272">
        <v>16</v>
      </c>
      <c r="CA180" s="186">
        <f t="shared" si="72"/>
        <v>0.53</v>
      </c>
      <c r="CB180" s="186">
        <f t="shared" si="73"/>
        <v>0.53</v>
      </c>
      <c r="CC180" s="186">
        <f t="shared" si="74"/>
        <v>0.53</v>
      </c>
      <c r="CD180" s="272"/>
      <c r="CF180" s="134"/>
      <c r="CG180" s="138"/>
      <c r="CH180" s="132"/>
      <c r="CI180" s="138"/>
      <c r="CJ180" s="132"/>
      <c r="CK180" s="132"/>
      <c r="CL180" s="134"/>
      <c r="CM180" s="146"/>
    </row>
    <row r="181" ht="15" hidden="1" customHeight="1" spans="1:91">
      <c r="A181" s="123">
        <f>IF(B181="","",COUNT(A$7:A180)+1)</f>
        <v>174</v>
      </c>
      <c r="B181" s="139" t="s">
        <v>2862</v>
      </c>
      <c r="C181" s="139"/>
      <c r="D181" s="1209">
        <v>43100</v>
      </c>
      <c r="E181" s="1210">
        <v>4680</v>
      </c>
      <c r="F181" s="219" t="s">
        <v>2871</v>
      </c>
      <c r="G181" s="142"/>
      <c r="H181" s="127"/>
      <c r="I181" s="128"/>
      <c r="J181" s="128"/>
      <c r="K181" s="980">
        <v>72</v>
      </c>
      <c r="L181" s="143"/>
      <c r="M181" s="143"/>
      <c r="N181" s="144"/>
      <c r="O181" s="144"/>
      <c r="P181" s="144"/>
      <c r="Q181" s="353">
        <f t="shared" si="58"/>
        <v>72</v>
      </c>
      <c r="R181" s="129">
        <f t="shared" si="59"/>
        <v>0</v>
      </c>
      <c r="S181" s="129">
        <f t="shared" si="60"/>
        <v>0</v>
      </c>
      <c r="T181" s="129">
        <f t="shared" si="61"/>
        <v>72</v>
      </c>
      <c r="U181" s="129">
        <f t="shared" si="62"/>
        <v>4680</v>
      </c>
      <c r="V181" s="214">
        <f t="shared" si="63"/>
        <v>53</v>
      </c>
      <c r="W181" s="353">
        <f t="shared" si="64"/>
        <v>2480.4</v>
      </c>
      <c r="X181" s="129">
        <f t="shared" si="65"/>
        <v>2480.4</v>
      </c>
      <c r="Y181" s="129" t="str">
        <f t="shared" si="66"/>
        <v/>
      </c>
      <c r="Z181" s="145"/>
      <c r="BA181" s="75" t="e">
        <f t="shared" si="75"/>
        <v>#DIV/0!</v>
      </c>
      <c r="BB181" s="78"/>
      <c r="BC181" s="132"/>
      <c r="BD181" s="133"/>
      <c r="BE181" s="132"/>
      <c r="BF181" s="134"/>
      <c r="BG181" s="135"/>
      <c r="BH181" s="135"/>
      <c r="BI181" s="136"/>
      <c r="BJ181" s="136"/>
      <c r="BK181" s="136"/>
      <c r="BL181" s="136"/>
      <c r="BM181" s="137"/>
      <c r="BN181" s="137"/>
      <c r="BO181" s="75">
        <f>LOOKUP(D181,基础数据!A:D)</f>
        <v>3.53915880885741</v>
      </c>
      <c r="BP181" s="75">
        <f t="shared" si="77"/>
        <v>1.00524445538374</v>
      </c>
      <c r="BQ181" s="75">
        <f t="shared" si="67"/>
        <v>65</v>
      </c>
      <c r="BR181" s="272">
        <f t="shared" si="83"/>
        <v>73</v>
      </c>
      <c r="BS181" s="156">
        <f t="shared" si="68"/>
        <v>8.4</v>
      </c>
      <c r="BT181" s="156"/>
      <c r="BU181" s="156">
        <f t="shared" si="69"/>
        <v>0</v>
      </c>
      <c r="BV181" s="156">
        <f t="shared" si="70"/>
        <v>0</v>
      </c>
      <c r="BW181" s="156">
        <f t="shared" si="76"/>
        <v>65</v>
      </c>
      <c r="BX181" s="156">
        <f t="shared" si="71"/>
        <v>7.58110882956879</v>
      </c>
      <c r="BY181" s="1207" t="s">
        <v>2861</v>
      </c>
      <c r="BZ181" s="272">
        <v>16</v>
      </c>
      <c r="CA181" s="186">
        <f t="shared" si="72"/>
        <v>0.53</v>
      </c>
      <c r="CB181" s="186">
        <f t="shared" si="73"/>
        <v>0.53</v>
      </c>
      <c r="CC181" s="186">
        <f t="shared" si="74"/>
        <v>0.53</v>
      </c>
      <c r="CD181" s="272"/>
      <c r="CF181" s="134"/>
      <c r="CG181" s="138"/>
      <c r="CH181" s="132"/>
      <c r="CI181" s="138"/>
      <c r="CJ181" s="132"/>
      <c r="CK181" s="132"/>
      <c r="CL181" s="134"/>
      <c r="CM181" s="146"/>
    </row>
    <row r="182" ht="15" hidden="1" customHeight="1" spans="1:91">
      <c r="A182" s="123">
        <f>IF(B182="","",COUNT(A$7:A181)+1)</f>
        <v>175</v>
      </c>
      <c r="B182" s="139" t="s">
        <v>2869</v>
      </c>
      <c r="C182" s="139" t="s">
        <v>2870</v>
      </c>
      <c r="D182" s="1209">
        <v>43100</v>
      </c>
      <c r="E182" s="1210">
        <v>1497.6</v>
      </c>
      <c r="F182" s="219" t="s">
        <v>2871</v>
      </c>
      <c r="G182" s="142"/>
      <c r="H182" s="127"/>
      <c r="I182" s="128"/>
      <c r="J182" s="128"/>
      <c r="K182" s="980">
        <v>576</v>
      </c>
      <c r="L182" s="143"/>
      <c r="M182" s="143"/>
      <c r="N182" s="144"/>
      <c r="O182" s="144"/>
      <c r="P182" s="144"/>
      <c r="Q182" s="353">
        <f t="shared" si="58"/>
        <v>576</v>
      </c>
      <c r="R182" s="129">
        <f t="shared" si="59"/>
        <v>0</v>
      </c>
      <c r="S182" s="129">
        <f t="shared" si="60"/>
        <v>0</v>
      </c>
      <c r="T182" s="129">
        <f t="shared" si="61"/>
        <v>576</v>
      </c>
      <c r="U182" s="129">
        <f>ROUND(BW182*Q182,0)</f>
        <v>1728</v>
      </c>
      <c r="V182" s="214">
        <f t="shared" si="63"/>
        <v>53</v>
      </c>
      <c r="W182" s="353">
        <f t="shared" si="64"/>
        <v>915.84</v>
      </c>
      <c r="X182" s="129">
        <f t="shared" si="65"/>
        <v>915.84</v>
      </c>
      <c r="Y182" s="129" t="str">
        <f t="shared" si="66"/>
        <v/>
      </c>
      <c r="Z182" s="145"/>
      <c r="BA182" s="75" t="e">
        <f t="shared" si="75"/>
        <v>#DIV/0!</v>
      </c>
      <c r="BB182" s="78"/>
      <c r="BC182" s="132"/>
      <c r="BD182" s="133"/>
      <c r="BE182" s="132"/>
      <c r="BF182" s="134"/>
      <c r="BG182" s="135"/>
      <c r="BH182" s="135"/>
      <c r="BI182" s="136"/>
      <c r="BJ182" s="136"/>
      <c r="BK182" s="136"/>
      <c r="BL182" s="136"/>
      <c r="BM182" s="137"/>
      <c r="BN182" s="137"/>
      <c r="BO182" s="75">
        <f>LOOKUP(D182,基础数据!A:D)</f>
        <v>3.53915880885741</v>
      </c>
      <c r="BP182" s="75">
        <f t="shared" si="77"/>
        <v>1.00524445538374</v>
      </c>
      <c r="BQ182" s="75">
        <f t="shared" si="67"/>
        <v>3</v>
      </c>
      <c r="BR182" s="272">
        <f>ROUND(BQ182*1.13,1)</f>
        <v>3.4</v>
      </c>
      <c r="BS182" s="156">
        <f t="shared" si="68"/>
        <v>0.39</v>
      </c>
      <c r="BT182" s="186">
        <v>0.01</v>
      </c>
      <c r="BU182" s="156">
        <f t="shared" si="69"/>
        <v>0.03</v>
      </c>
      <c r="BV182" s="156">
        <f t="shared" si="70"/>
        <v>0</v>
      </c>
      <c r="BW182" s="156">
        <f>ROUND(BR182+BU182-BS182-BV182,1)</f>
        <v>3</v>
      </c>
      <c r="BX182" s="156">
        <f t="shared" si="71"/>
        <v>7.58110882956879</v>
      </c>
      <c r="BY182" s="1207" t="s">
        <v>2861</v>
      </c>
      <c r="BZ182" s="272">
        <v>16</v>
      </c>
      <c r="CA182" s="186">
        <f t="shared" si="72"/>
        <v>0.53</v>
      </c>
      <c r="CB182" s="186">
        <f t="shared" si="73"/>
        <v>0.53</v>
      </c>
      <c r="CC182" s="186">
        <f t="shared" si="74"/>
        <v>0.53</v>
      </c>
      <c r="CD182" s="272"/>
      <c r="CF182" s="134"/>
      <c r="CG182" s="138"/>
      <c r="CH182" s="132"/>
      <c r="CI182" s="138"/>
      <c r="CJ182" s="132"/>
      <c r="CK182" s="132"/>
      <c r="CL182" s="134"/>
      <c r="CM182" s="146"/>
    </row>
    <row r="183" ht="15" hidden="1" customHeight="1" spans="1:91">
      <c r="A183" s="123">
        <f>IF(B183="","",COUNT(A$7:A182)+1)</f>
        <v>176</v>
      </c>
      <c r="B183" s="139" t="s">
        <v>2872</v>
      </c>
      <c r="C183" s="139"/>
      <c r="D183" s="1209">
        <v>43100</v>
      </c>
      <c r="E183" s="1210">
        <v>3744</v>
      </c>
      <c r="F183" s="219" t="s">
        <v>2871</v>
      </c>
      <c r="G183" s="142"/>
      <c r="H183" s="127"/>
      <c r="I183" s="128"/>
      <c r="J183" s="128"/>
      <c r="K183" s="980">
        <v>72</v>
      </c>
      <c r="L183" s="143"/>
      <c r="M183" s="143"/>
      <c r="N183" s="144"/>
      <c r="O183" s="144"/>
      <c r="P183" s="144"/>
      <c r="Q183" s="353">
        <f t="shared" si="58"/>
        <v>72</v>
      </c>
      <c r="R183" s="129">
        <f t="shared" si="59"/>
        <v>0</v>
      </c>
      <c r="S183" s="129">
        <f t="shared" si="60"/>
        <v>0</v>
      </c>
      <c r="T183" s="129">
        <f t="shared" si="61"/>
        <v>72</v>
      </c>
      <c r="U183" s="129">
        <f t="shared" si="62"/>
        <v>3744</v>
      </c>
      <c r="V183" s="214">
        <f t="shared" si="63"/>
        <v>53</v>
      </c>
      <c r="W183" s="353">
        <f t="shared" si="64"/>
        <v>1984.32</v>
      </c>
      <c r="X183" s="129">
        <f t="shared" si="65"/>
        <v>1984.32</v>
      </c>
      <c r="Y183" s="129" t="str">
        <f t="shared" si="66"/>
        <v/>
      </c>
      <c r="Z183" s="145"/>
      <c r="BA183" s="75" t="e">
        <f t="shared" si="75"/>
        <v>#DIV/0!</v>
      </c>
      <c r="BB183" s="78"/>
      <c r="BC183" s="132"/>
      <c r="BD183" s="133"/>
      <c r="BE183" s="132"/>
      <c r="BF183" s="134"/>
      <c r="BG183" s="135"/>
      <c r="BH183" s="135"/>
      <c r="BI183" s="136"/>
      <c r="BJ183" s="136"/>
      <c r="BK183" s="136"/>
      <c r="BL183" s="136"/>
      <c r="BM183" s="137"/>
      <c r="BN183" s="137"/>
      <c r="BO183" s="75">
        <f>LOOKUP(D183,基础数据!A:D)</f>
        <v>3.53915880885741</v>
      </c>
      <c r="BP183" s="75">
        <f t="shared" si="77"/>
        <v>1.00524445538374</v>
      </c>
      <c r="BQ183" s="75">
        <f t="shared" si="67"/>
        <v>52</v>
      </c>
      <c r="BR183" s="272">
        <f t="shared" si="83"/>
        <v>59</v>
      </c>
      <c r="BS183" s="156">
        <f t="shared" si="68"/>
        <v>6.79</v>
      </c>
      <c r="BT183" s="156"/>
      <c r="BU183" s="156">
        <f t="shared" si="69"/>
        <v>0</v>
      </c>
      <c r="BV183" s="156">
        <f t="shared" si="70"/>
        <v>0</v>
      </c>
      <c r="BW183" s="156">
        <f t="shared" si="76"/>
        <v>52</v>
      </c>
      <c r="BX183" s="156">
        <f t="shared" si="71"/>
        <v>7.58110882956879</v>
      </c>
      <c r="BY183" s="1207" t="s">
        <v>2861</v>
      </c>
      <c r="BZ183" s="272">
        <v>16</v>
      </c>
      <c r="CA183" s="186">
        <f t="shared" si="72"/>
        <v>0.53</v>
      </c>
      <c r="CB183" s="186">
        <f t="shared" si="73"/>
        <v>0.53</v>
      </c>
      <c r="CC183" s="186">
        <f t="shared" si="74"/>
        <v>0.53</v>
      </c>
      <c r="CD183" s="272"/>
      <c r="CF183" s="134"/>
      <c r="CG183" s="138"/>
      <c r="CH183" s="132"/>
      <c r="CI183" s="138"/>
      <c r="CJ183" s="132"/>
      <c r="CK183" s="132"/>
      <c r="CL183" s="134"/>
      <c r="CM183" s="146"/>
    </row>
    <row r="184" ht="15" hidden="1" customHeight="1" spans="1:91">
      <c r="A184" s="123">
        <f>IF(B184="","",COUNT(A$7:A183)+1)</f>
        <v>177</v>
      </c>
      <c r="B184" s="139" t="s">
        <v>2873</v>
      </c>
      <c r="C184" s="139"/>
      <c r="D184" s="1209">
        <v>43100</v>
      </c>
      <c r="E184" s="1210">
        <v>2080</v>
      </c>
      <c r="F184" s="219" t="s">
        <v>2871</v>
      </c>
      <c r="G184" s="142"/>
      <c r="H184" s="127"/>
      <c r="I184" s="128"/>
      <c r="J184" s="128"/>
      <c r="K184" s="980">
        <v>8</v>
      </c>
      <c r="L184" s="143"/>
      <c r="M184" s="143"/>
      <c r="N184" s="144"/>
      <c r="O184" s="144"/>
      <c r="P184" s="144"/>
      <c r="Q184" s="353">
        <f t="shared" si="58"/>
        <v>8</v>
      </c>
      <c r="R184" s="129">
        <f t="shared" si="59"/>
        <v>0</v>
      </c>
      <c r="S184" s="129">
        <f t="shared" si="60"/>
        <v>0</v>
      </c>
      <c r="T184" s="129">
        <f t="shared" si="61"/>
        <v>8</v>
      </c>
      <c r="U184" s="129">
        <f t="shared" si="62"/>
        <v>2088</v>
      </c>
      <c r="V184" s="214">
        <f t="shared" si="63"/>
        <v>53</v>
      </c>
      <c r="W184" s="353">
        <f t="shared" si="64"/>
        <v>1106.64</v>
      </c>
      <c r="X184" s="129">
        <f t="shared" si="65"/>
        <v>1106.64</v>
      </c>
      <c r="Y184" s="129" t="str">
        <f t="shared" si="66"/>
        <v/>
      </c>
      <c r="Z184" s="145"/>
      <c r="BA184" s="75" t="e">
        <f t="shared" si="75"/>
        <v>#DIV/0!</v>
      </c>
      <c r="BB184" s="78"/>
      <c r="BC184" s="132"/>
      <c r="BD184" s="133"/>
      <c r="BE184" s="132"/>
      <c r="BF184" s="134"/>
      <c r="BG184" s="135"/>
      <c r="BH184" s="135"/>
      <c r="BI184" s="136"/>
      <c r="BJ184" s="136"/>
      <c r="BK184" s="136"/>
      <c r="BL184" s="136"/>
      <c r="BM184" s="137"/>
      <c r="BN184" s="137"/>
      <c r="BO184" s="75">
        <f>LOOKUP(D184,基础数据!A:D)</f>
        <v>3.53915880885741</v>
      </c>
      <c r="BP184" s="75">
        <f t="shared" si="77"/>
        <v>1.00524445538374</v>
      </c>
      <c r="BQ184" s="75">
        <f t="shared" si="67"/>
        <v>261</v>
      </c>
      <c r="BR184" s="272">
        <f t="shared" si="83"/>
        <v>295</v>
      </c>
      <c r="BS184" s="156">
        <f t="shared" si="68"/>
        <v>33.94</v>
      </c>
      <c r="BT184" s="156"/>
      <c r="BU184" s="156">
        <f t="shared" si="69"/>
        <v>0</v>
      </c>
      <c r="BV184" s="156">
        <f t="shared" si="70"/>
        <v>0</v>
      </c>
      <c r="BW184" s="156">
        <f t="shared" si="76"/>
        <v>261</v>
      </c>
      <c r="BX184" s="156">
        <f t="shared" si="71"/>
        <v>7.58110882956879</v>
      </c>
      <c r="BY184" s="1207" t="s">
        <v>2861</v>
      </c>
      <c r="BZ184" s="272">
        <v>16</v>
      </c>
      <c r="CA184" s="186">
        <f t="shared" si="72"/>
        <v>0.53</v>
      </c>
      <c r="CB184" s="186">
        <f t="shared" si="73"/>
        <v>0.53</v>
      </c>
      <c r="CC184" s="186">
        <f t="shared" si="74"/>
        <v>0.53</v>
      </c>
      <c r="CD184" s="272"/>
      <c r="CF184" s="134"/>
      <c r="CG184" s="138"/>
      <c r="CH184" s="132"/>
      <c r="CI184" s="138"/>
      <c r="CJ184" s="132"/>
      <c r="CK184" s="132"/>
      <c r="CL184" s="134"/>
      <c r="CM184" s="146"/>
    </row>
    <row r="185" ht="15" hidden="1" customHeight="1" spans="1:91">
      <c r="A185" s="123">
        <f>IF(B185="","",COUNT(A$7:A184)+1)</f>
        <v>178</v>
      </c>
      <c r="B185" s="139" t="s">
        <v>2874</v>
      </c>
      <c r="C185" s="139" t="s">
        <v>2875</v>
      </c>
      <c r="D185" s="1209">
        <v>43100</v>
      </c>
      <c r="E185" s="1210">
        <v>92720</v>
      </c>
      <c r="F185" s="219" t="s">
        <v>2770</v>
      </c>
      <c r="G185" s="142"/>
      <c r="H185" s="127"/>
      <c r="I185" s="128"/>
      <c r="J185" s="128"/>
      <c r="K185" s="980">
        <v>760</v>
      </c>
      <c r="L185" s="143"/>
      <c r="M185" s="143"/>
      <c r="N185" s="144"/>
      <c r="O185" s="144"/>
      <c r="P185" s="144"/>
      <c r="Q185" s="353">
        <f t="shared" si="58"/>
        <v>760</v>
      </c>
      <c r="R185" s="129">
        <f t="shared" si="59"/>
        <v>0</v>
      </c>
      <c r="S185" s="129">
        <f t="shared" si="60"/>
        <v>0</v>
      </c>
      <c r="T185" s="129">
        <f t="shared" si="61"/>
        <v>760</v>
      </c>
      <c r="U185" s="129">
        <f t="shared" si="62"/>
        <v>97280</v>
      </c>
      <c r="V185" s="214">
        <f t="shared" si="63"/>
        <v>53</v>
      </c>
      <c r="W185" s="353">
        <f t="shared" si="64"/>
        <v>51558.4</v>
      </c>
      <c r="X185" s="129">
        <f t="shared" si="65"/>
        <v>51558.4</v>
      </c>
      <c r="Y185" s="129" t="str">
        <f t="shared" si="66"/>
        <v/>
      </c>
      <c r="Z185" s="145"/>
      <c r="BA185" s="75" t="e">
        <f t="shared" si="75"/>
        <v>#DIV/0!</v>
      </c>
      <c r="BB185" s="78"/>
      <c r="BC185" s="132"/>
      <c r="BD185" s="133"/>
      <c r="BE185" s="132"/>
      <c r="BF185" s="134"/>
      <c r="BG185" s="135"/>
      <c r="BH185" s="135"/>
      <c r="BI185" s="136"/>
      <c r="BJ185" s="136"/>
      <c r="BK185" s="136"/>
      <c r="BL185" s="136"/>
      <c r="BM185" s="137"/>
      <c r="BN185" s="137"/>
      <c r="BO185" s="75">
        <f>LOOKUP(D185,基础数据!A:D)</f>
        <v>3.53915880885741</v>
      </c>
      <c r="BP185" s="75">
        <f t="shared" si="77"/>
        <v>1.00524445538374</v>
      </c>
      <c r="BQ185" s="75">
        <f t="shared" si="67"/>
        <v>123</v>
      </c>
      <c r="BR185" s="272">
        <f t="shared" si="83"/>
        <v>139</v>
      </c>
      <c r="BS185" s="156">
        <f t="shared" si="68"/>
        <v>15.99</v>
      </c>
      <c r="BT185" s="186">
        <v>0.04</v>
      </c>
      <c r="BU185" s="156">
        <f t="shared" si="69"/>
        <v>5.56</v>
      </c>
      <c r="BV185" s="156">
        <f t="shared" si="70"/>
        <v>0.46</v>
      </c>
      <c r="BW185" s="156">
        <f t="shared" si="76"/>
        <v>128</v>
      </c>
      <c r="BX185" s="156">
        <f t="shared" si="71"/>
        <v>7.58110882956879</v>
      </c>
      <c r="BY185" s="1207" t="s">
        <v>2861</v>
      </c>
      <c r="BZ185" s="272">
        <v>16</v>
      </c>
      <c r="CA185" s="186">
        <f t="shared" si="72"/>
        <v>0.53</v>
      </c>
      <c r="CB185" s="186">
        <f t="shared" si="73"/>
        <v>0.53</v>
      </c>
      <c r="CC185" s="186">
        <f t="shared" si="74"/>
        <v>0.53</v>
      </c>
      <c r="CD185" s="272"/>
      <c r="CF185" s="134"/>
      <c r="CG185" s="138"/>
      <c r="CH185" s="132"/>
      <c r="CI185" s="138"/>
      <c r="CJ185" s="132"/>
      <c r="CK185" s="132"/>
      <c r="CL185" s="134"/>
      <c r="CM185" s="146"/>
    </row>
    <row r="186" ht="15" hidden="1" customHeight="1" spans="1:91">
      <c r="A186" s="123">
        <f>IF(B186="","",COUNT(A$7:A185)+1)</f>
        <v>179</v>
      </c>
      <c r="B186" s="139" t="s">
        <v>2876</v>
      </c>
      <c r="C186" s="139" t="s">
        <v>2877</v>
      </c>
      <c r="D186" s="1209">
        <v>43100</v>
      </c>
      <c r="E186" s="1210">
        <v>1064</v>
      </c>
      <c r="F186" s="219" t="s">
        <v>2866</v>
      </c>
      <c r="G186" s="142"/>
      <c r="H186" s="127"/>
      <c r="I186" s="128"/>
      <c r="J186" s="128"/>
      <c r="K186" s="980">
        <v>38</v>
      </c>
      <c r="L186" s="143"/>
      <c r="M186" s="143"/>
      <c r="N186" s="144"/>
      <c r="O186" s="144"/>
      <c r="P186" s="144"/>
      <c r="Q186" s="353">
        <f t="shared" si="58"/>
        <v>38</v>
      </c>
      <c r="R186" s="129">
        <f t="shared" si="59"/>
        <v>0</v>
      </c>
      <c r="S186" s="129">
        <f t="shared" si="60"/>
        <v>0</v>
      </c>
      <c r="T186" s="129">
        <f t="shared" si="61"/>
        <v>38</v>
      </c>
      <c r="U186" s="129">
        <f t="shared" si="62"/>
        <v>1064</v>
      </c>
      <c r="V186" s="214">
        <f t="shared" si="63"/>
        <v>15</v>
      </c>
      <c r="W186" s="353">
        <f t="shared" si="64"/>
        <v>159.6</v>
      </c>
      <c r="X186" s="129">
        <f t="shared" si="65"/>
        <v>159.6</v>
      </c>
      <c r="Y186" s="129" t="str">
        <f t="shared" si="66"/>
        <v/>
      </c>
      <c r="Z186" s="145"/>
      <c r="BA186" s="75" t="e">
        <f t="shared" si="75"/>
        <v>#DIV/0!</v>
      </c>
      <c r="BB186" s="78"/>
      <c r="BC186" s="132"/>
      <c r="BD186" s="133"/>
      <c r="BE186" s="132"/>
      <c r="BF186" s="134"/>
      <c r="BG186" s="135"/>
      <c r="BH186" s="135"/>
      <c r="BI186" s="136"/>
      <c r="BJ186" s="136"/>
      <c r="BK186" s="136"/>
      <c r="BL186" s="136"/>
      <c r="BM186" s="137"/>
      <c r="BN186" s="137"/>
      <c r="BO186" s="75">
        <f>LOOKUP(D186,基础数据!A:D)</f>
        <v>3.53915880885741</v>
      </c>
      <c r="BP186" s="75">
        <f t="shared" si="77"/>
        <v>1.00524445538374</v>
      </c>
      <c r="BQ186" s="75">
        <f t="shared" si="67"/>
        <v>28</v>
      </c>
      <c r="BR186" s="272">
        <f t="shared" si="83"/>
        <v>32</v>
      </c>
      <c r="BS186" s="156">
        <f t="shared" si="68"/>
        <v>3.68</v>
      </c>
      <c r="BT186" s="156"/>
      <c r="BU186" s="156">
        <f t="shared" si="69"/>
        <v>0</v>
      </c>
      <c r="BV186" s="156">
        <f t="shared" si="70"/>
        <v>0</v>
      </c>
      <c r="BW186" s="156">
        <f t="shared" si="76"/>
        <v>28</v>
      </c>
      <c r="BX186" s="156">
        <f t="shared" si="71"/>
        <v>7.58110882956879</v>
      </c>
      <c r="BY186" s="1207" t="s">
        <v>2878</v>
      </c>
      <c r="BZ186" s="272">
        <v>6</v>
      </c>
      <c r="CA186" s="186">
        <f t="shared" si="72"/>
        <v>-0.26</v>
      </c>
      <c r="CB186" s="186">
        <f t="shared" si="73"/>
        <v>-0.26</v>
      </c>
      <c r="CC186" s="186">
        <f t="shared" si="74"/>
        <v>-0.26</v>
      </c>
      <c r="CD186" s="272"/>
      <c r="CF186" s="134"/>
      <c r="CG186" s="138"/>
      <c r="CH186" s="132"/>
      <c r="CI186" s="138"/>
      <c r="CJ186" s="132"/>
      <c r="CK186" s="132"/>
      <c r="CL186" s="134"/>
      <c r="CM186" s="146"/>
    </row>
    <row r="187" ht="15" hidden="1" customHeight="1" spans="1:91">
      <c r="A187" s="123">
        <f>IF(B187="","",COUNT(A$7:A186)+1)</f>
        <v>180</v>
      </c>
      <c r="B187" s="139" t="s">
        <v>2879</v>
      </c>
      <c r="C187" s="139" t="s">
        <v>2880</v>
      </c>
      <c r="D187" s="1209">
        <v>43100</v>
      </c>
      <c r="E187" s="1210">
        <v>5600</v>
      </c>
      <c r="F187" s="219" t="s">
        <v>2866</v>
      </c>
      <c r="G187" s="142"/>
      <c r="H187" s="127"/>
      <c r="I187" s="128"/>
      <c r="J187" s="128"/>
      <c r="K187" s="980">
        <v>2</v>
      </c>
      <c r="L187" s="143"/>
      <c r="M187" s="143"/>
      <c r="N187" s="144"/>
      <c r="O187" s="144"/>
      <c r="P187" s="144"/>
      <c r="Q187" s="353">
        <f t="shared" si="58"/>
        <v>2</v>
      </c>
      <c r="R187" s="129">
        <f t="shared" si="59"/>
        <v>0</v>
      </c>
      <c r="S187" s="129">
        <f t="shared" si="60"/>
        <v>0</v>
      </c>
      <c r="T187" s="129">
        <f t="shared" si="61"/>
        <v>2</v>
      </c>
      <c r="U187" s="129">
        <f t="shared" si="62"/>
        <v>5630</v>
      </c>
      <c r="V187" s="214">
        <f t="shared" si="63"/>
        <v>53</v>
      </c>
      <c r="W187" s="353">
        <f t="shared" si="64"/>
        <v>2983.9</v>
      </c>
      <c r="X187" s="129">
        <f t="shared" si="65"/>
        <v>2983.9</v>
      </c>
      <c r="Y187" s="129" t="str">
        <f t="shared" si="66"/>
        <v/>
      </c>
      <c r="Z187" s="145"/>
      <c r="BA187" s="75" t="e">
        <f t="shared" si="75"/>
        <v>#DIV/0!</v>
      </c>
      <c r="BB187" s="78"/>
      <c r="BC187" s="132"/>
      <c r="BD187" s="133"/>
      <c r="BE187" s="132"/>
      <c r="BF187" s="134"/>
      <c r="BG187" s="135"/>
      <c r="BH187" s="135"/>
      <c r="BI187" s="136"/>
      <c r="BJ187" s="136"/>
      <c r="BK187" s="136"/>
      <c r="BL187" s="136"/>
      <c r="BM187" s="137"/>
      <c r="BN187" s="137"/>
      <c r="BO187" s="75">
        <f>LOOKUP(D187,基础数据!A:D)</f>
        <v>3.53915880885741</v>
      </c>
      <c r="BP187" s="75">
        <f t="shared" si="77"/>
        <v>1.00524445538374</v>
      </c>
      <c r="BQ187" s="75">
        <f t="shared" si="67"/>
        <v>2815</v>
      </c>
      <c r="BR187" s="272">
        <f t="shared" si="83"/>
        <v>3181</v>
      </c>
      <c r="BS187" s="156">
        <f t="shared" si="68"/>
        <v>365.96</v>
      </c>
      <c r="BT187" s="156"/>
      <c r="BU187" s="156">
        <f t="shared" si="69"/>
        <v>0</v>
      </c>
      <c r="BV187" s="156">
        <f t="shared" si="70"/>
        <v>0</v>
      </c>
      <c r="BW187" s="156">
        <f t="shared" si="76"/>
        <v>2815</v>
      </c>
      <c r="BX187" s="156">
        <f t="shared" si="71"/>
        <v>7.58110882956879</v>
      </c>
      <c r="BY187" s="1207" t="s">
        <v>2861</v>
      </c>
      <c r="BZ187" s="272">
        <v>16</v>
      </c>
      <c r="CA187" s="186">
        <f t="shared" si="72"/>
        <v>0.53</v>
      </c>
      <c r="CB187" s="186">
        <f t="shared" si="73"/>
        <v>0.53</v>
      </c>
      <c r="CC187" s="186">
        <f t="shared" si="74"/>
        <v>0.53</v>
      </c>
      <c r="CD187" s="272"/>
      <c r="CF187" s="134"/>
      <c r="CG187" s="138"/>
      <c r="CH187" s="132"/>
      <c r="CI187" s="138"/>
      <c r="CJ187" s="132"/>
      <c r="CK187" s="132"/>
      <c r="CL187" s="134"/>
      <c r="CM187" s="146"/>
    </row>
    <row r="188" ht="15" hidden="1" customHeight="1" spans="1:91">
      <c r="A188" s="123">
        <f>IF(B188="","",COUNT(A$7:A187)+1)</f>
        <v>181</v>
      </c>
      <c r="B188" s="139" t="s">
        <v>2881</v>
      </c>
      <c r="C188" s="139" t="s">
        <v>2880</v>
      </c>
      <c r="D188" s="1209">
        <v>43100</v>
      </c>
      <c r="E188" s="1210">
        <v>1600</v>
      </c>
      <c r="F188" s="219" t="s">
        <v>2866</v>
      </c>
      <c r="G188" s="142"/>
      <c r="H188" s="127"/>
      <c r="I188" s="128"/>
      <c r="J188" s="128"/>
      <c r="K188" s="980">
        <v>2</v>
      </c>
      <c r="L188" s="143"/>
      <c r="M188" s="143"/>
      <c r="N188" s="144"/>
      <c r="O188" s="144"/>
      <c r="P188" s="144"/>
      <c r="Q188" s="353">
        <f t="shared" si="58"/>
        <v>2</v>
      </c>
      <c r="R188" s="129">
        <f t="shared" si="59"/>
        <v>0</v>
      </c>
      <c r="S188" s="129">
        <f t="shared" si="60"/>
        <v>0</v>
      </c>
      <c r="T188" s="129">
        <f t="shared" si="61"/>
        <v>2</v>
      </c>
      <c r="U188" s="129">
        <f t="shared" si="62"/>
        <v>1608</v>
      </c>
      <c r="V188" s="214">
        <f t="shared" si="63"/>
        <v>53</v>
      </c>
      <c r="W188" s="353">
        <f t="shared" si="64"/>
        <v>852.24</v>
      </c>
      <c r="X188" s="129">
        <f t="shared" si="65"/>
        <v>852.24</v>
      </c>
      <c r="Y188" s="129" t="str">
        <f t="shared" si="66"/>
        <v/>
      </c>
      <c r="Z188" s="145"/>
      <c r="BA188" s="75" t="e">
        <f t="shared" si="75"/>
        <v>#DIV/0!</v>
      </c>
      <c r="BB188" s="78"/>
      <c r="BC188" s="132"/>
      <c r="BD188" s="133"/>
      <c r="BE188" s="132"/>
      <c r="BF188" s="134"/>
      <c r="BG188" s="135"/>
      <c r="BH188" s="135"/>
      <c r="BI188" s="136"/>
      <c r="BJ188" s="136"/>
      <c r="BK188" s="136"/>
      <c r="BL188" s="136"/>
      <c r="BM188" s="137"/>
      <c r="BN188" s="137"/>
      <c r="BO188" s="75">
        <f>LOOKUP(D188,基础数据!A:D)</f>
        <v>3.53915880885741</v>
      </c>
      <c r="BP188" s="75">
        <f t="shared" si="77"/>
        <v>1.00524445538374</v>
      </c>
      <c r="BQ188" s="75">
        <f t="shared" si="67"/>
        <v>804</v>
      </c>
      <c r="BR188" s="272">
        <f t="shared" si="83"/>
        <v>909</v>
      </c>
      <c r="BS188" s="156">
        <f t="shared" si="68"/>
        <v>104.58</v>
      </c>
      <c r="BT188" s="156"/>
      <c r="BU188" s="156">
        <f t="shared" si="69"/>
        <v>0</v>
      </c>
      <c r="BV188" s="156">
        <f t="shared" si="70"/>
        <v>0</v>
      </c>
      <c r="BW188" s="156">
        <f t="shared" si="76"/>
        <v>804</v>
      </c>
      <c r="BX188" s="156">
        <f t="shared" si="71"/>
        <v>7.58110882956879</v>
      </c>
      <c r="BY188" s="1207" t="s">
        <v>2861</v>
      </c>
      <c r="BZ188" s="272">
        <v>16</v>
      </c>
      <c r="CA188" s="186">
        <f t="shared" si="72"/>
        <v>0.53</v>
      </c>
      <c r="CB188" s="186">
        <f t="shared" si="73"/>
        <v>0.53</v>
      </c>
      <c r="CC188" s="186">
        <f t="shared" si="74"/>
        <v>0.53</v>
      </c>
      <c r="CD188" s="272"/>
      <c r="CF188" s="134"/>
      <c r="CG188" s="138"/>
      <c r="CH188" s="132"/>
      <c r="CI188" s="138"/>
      <c r="CJ188" s="132"/>
      <c r="CK188" s="132"/>
      <c r="CL188" s="134"/>
      <c r="CM188" s="146"/>
    </row>
    <row r="189" ht="15" hidden="1" customHeight="1" spans="1:91">
      <c r="A189" s="123">
        <f>IF(B189="","",COUNT(A$7:A188)+1)</f>
        <v>182</v>
      </c>
      <c r="B189" s="139" t="s">
        <v>2882</v>
      </c>
      <c r="C189" s="139" t="s">
        <v>2880</v>
      </c>
      <c r="D189" s="1209">
        <v>43100</v>
      </c>
      <c r="E189" s="1210">
        <v>112320</v>
      </c>
      <c r="F189" s="219" t="s">
        <v>2883</v>
      </c>
      <c r="G189" s="142"/>
      <c r="H189" s="127"/>
      <c r="I189" s="128"/>
      <c r="J189" s="128"/>
      <c r="K189" s="980">
        <v>144</v>
      </c>
      <c r="L189" s="143"/>
      <c r="M189" s="143"/>
      <c r="N189" s="144"/>
      <c r="O189" s="144"/>
      <c r="P189" s="144"/>
      <c r="Q189" s="353">
        <f t="shared" si="58"/>
        <v>144</v>
      </c>
      <c r="R189" s="129">
        <f t="shared" si="59"/>
        <v>0</v>
      </c>
      <c r="S189" s="129">
        <f t="shared" si="60"/>
        <v>0</v>
      </c>
      <c r="T189" s="129">
        <f t="shared" si="61"/>
        <v>144</v>
      </c>
      <c r="U189" s="129">
        <f t="shared" si="62"/>
        <v>112896</v>
      </c>
      <c r="V189" s="214">
        <f t="shared" si="63"/>
        <v>53</v>
      </c>
      <c r="W189" s="353">
        <f t="shared" si="64"/>
        <v>59834.88</v>
      </c>
      <c r="X189" s="129">
        <f t="shared" si="65"/>
        <v>59834.88</v>
      </c>
      <c r="Y189" s="129" t="str">
        <f t="shared" si="66"/>
        <v/>
      </c>
      <c r="Z189" s="145"/>
      <c r="BA189" s="75" t="e">
        <f t="shared" si="75"/>
        <v>#DIV/0!</v>
      </c>
      <c r="BB189" s="78"/>
      <c r="BC189" s="132"/>
      <c r="BD189" s="133"/>
      <c r="BE189" s="132"/>
      <c r="BF189" s="134"/>
      <c r="BG189" s="135"/>
      <c r="BH189" s="135"/>
      <c r="BI189" s="136"/>
      <c r="BJ189" s="136"/>
      <c r="BK189" s="136"/>
      <c r="BL189" s="136"/>
      <c r="BM189" s="137"/>
      <c r="BN189" s="137"/>
      <c r="BO189" s="75">
        <f>LOOKUP(D189,基础数据!A:D)</f>
        <v>3.53915880885741</v>
      </c>
      <c r="BP189" s="75">
        <f t="shared" si="77"/>
        <v>1.00524445538374</v>
      </c>
      <c r="BQ189" s="75">
        <f t="shared" si="67"/>
        <v>784</v>
      </c>
      <c r="BR189" s="272">
        <f t="shared" si="83"/>
        <v>886</v>
      </c>
      <c r="BS189" s="156">
        <f t="shared" si="68"/>
        <v>101.93</v>
      </c>
      <c r="BT189" s="156"/>
      <c r="BU189" s="156">
        <f t="shared" si="69"/>
        <v>0</v>
      </c>
      <c r="BV189" s="156">
        <f t="shared" si="70"/>
        <v>0</v>
      </c>
      <c r="BW189" s="156">
        <f t="shared" si="76"/>
        <v>784</v>
      </c>
      <c r="BX189" s="156">
        <f t="shared" si="71"/>
        <v>7.58110882956879</v>
      </c>
      <c r="BY189" s="1207" t="s">
        <v>2861</v>
      </c>
      <c r="BZ189" s="272">
        <v>16</v>
      </c>
      <c r="CA189" s="186">
        <f t="shared" si="72"/>
        <v>0.53</v>
      </c>
      <c r="CB189" s="186">
        <f t="shared" si="73"/>
        <v>0.53</v>
      </c>
      <c r="CC189" s="186">
        <f t="shared" si="74"/>
        <v>0.53</v>
      </c>
      <c r="CD189" s="272"/>
      <c r="CF189" s="134"/>
      <c r="CG189" s="138"/>
      <c r="CH189" s="132"/>
      <c r="CI189" s="138"/>
      <c r="CJ189" s="132"/>
      <c r="CK189" s="132"/>
      <c r="CL189" s="134"/>
      <c r="CM189" s="146"/>
    </row>
    <row r="190" ht="15" hidden="1" customHeight="1" spans="1:91">
      <c r="A190" s="123">
        <f>IF(B190="","",COUNT(A$7:A189)+1)</f>
        <v>183</v>
      </c>
      <c r="B190" s="139" t="s">
        <v>2884</v>
      </c>
      <c r="C190" s="139" t="s">
        <v>2885</v>
      </c>
      <c r="D190" s="1209">
        <v>43100</v>
      </c>
      <c r="E190" s="1210">
        <v>17280</v>
      </c>
      <c r="F190" s="219" t="s">
        <v>2866</v>
      </c>
      <c r="G190" s="142"/>
      <c r="H190" s="127"/>
      <c r="I190" s="128"/>
      <c r="J190" s="128"/>
      <c r="K190" s="980">
        <v>144</v>
      </c>
      <c r="L190" s="143"/>
      <c r="M190" s="143"/>
      <c r="N190" s="144"/>
      <c r="O190" s="144"/>
      <c r="P190" s="144"/>
      <c r="Q190" s="353">
        <f t="shared" si="58"/>
        <v>144</v>
      </c>
      <c r="R190" s="129">
        <f t="shared" si="59"/>
        <v>0</v>
      </c>
      <c r="S190" s="129">
        <f t="shared" si="60"/>
        <v>0</v>
      </c>
      <c r="T190" s="129">
        <f t="shared" si="61"/>
        <v>144</v>
      </c>
      <c r="U190" s="129">
        <f t="shared" si="62"/>
        <v>17424</v>
      </c>
      <c r="V190" s="214">
        <f t="shared" si="63"/>
        <v>53</v>
      </c>
      <c r="W190" s="353">
        <f t="shared" si="64"/>
        <v>9234.72</v>
      </c>
      <c r="X190" s="129">
        <f t="shared" si="65"/>
        <v>9234.72</v>
      </c>
      <c r="Y190" s="129" t="str">
        <f t="shared" si="66"/>
        <v/>
      </c>
      <c r="Z190" s="145"/>
      <c r="BA190" s="75" t="e">
        <f t="shared" si="75"/>
        <v>#DIV/0!</v>
      </c>
      <c r="BB190" s="78"/>
      <c r="BC190" s="132"/>
      <c r="BD190" s="133"/>
      <c r="BE190" s="132"/>
      <c r="BF190" s="134"/>
      <c r="BG190" s="135"/>
      <c r="BH190" s="135"/>
      <c r="BI190" s="136"/>
      <c r="BJ190" s="136"/>
      <c r="BK190" s="136"/>
      <c r="BL190" s="136"/>
      <c r="BM190" s="137"/>
      <c r="BN190" s="137"/>
      <c r="BO190" s="75">
        <f>LOOKUP(D190,基础数据!A:D)</f>
        <v>3.53915880885741</v>
      </c>
      <c r="BP190" s="75">
        <f t="shared" si="77"/>
        <v>1.00524445538374</v>
      </c>
      <c r="BQ190" s="75">
        <f t="shared" si="67"/>
        <v>121</v>
      </c>
      <c r="BR190" s="272">
        <f t="shared" si="83"/>
        <v>137</v>
      </c>
      <c r="BS190" s="156">
        <f t="shared" si="68"/>
        <v>15.76</v>
      </c>
      <c r="BT190" s="156"/>
      <c r="BU190" s="156">
        <f t="shared" si="69"/>
        <v>0</v>
      </c>
      <c r="BV190" s="156">
        <f t="shared" si="70"/>
        <v>0</v>
      </c>
      <c r="BW190" s="156">
        <f t="shared" si="76"/>
        <v>121</v>
      </c>
      <c r="BX190" s="156">
        <f t="shared" si="71"/>
        <v>7.58110882956879</v>
      </c>
      <c r="BY190" s="1207" t="s">
        <v>2861</v>
      </c>
      <c r="BZ190" s="272">
        <v>16</v>
      </c>
      <c r="CA190" s="186">
        <f t="shared" si="72"/>
        <v>0.53</v>
      </c>
      <c r="CB190" s="186">
        <f t="shared" si="73"/>
        <v>0.53</v>
      </c>
      <c r="CC190" s="186">
        <f t="shared" si="74"/>
        <v>0.53</v>
      </c>
      <c r="CD190" s="272"/>
      <c r="CF190" s="134"/>
      <c r="CG190" s="138"/>
      <c r="CH190" s="132"/>
      <c r="CI190" s="138"/>
      <c r="CJ190" s="132"/>
      <c r="CK190" s="132"/>
      <c r="CL190" s="134"/>
      <c r="CM190" s="146"/>
    </row>
    <row r="191" ht="15" hidden="1" customHeight="1" spans="1:91">
      <c r="A191" s="123">
        <f>IF(B191="","",COUNT(A$7:A190)+1)</f>
        <v>184</v>
      </c>
      <c r="B191" s="139" t="s">
        <v>2886</v>
      </c>
      <c r="C191" s="139" t="s">
        <v>2887</v>
      </c>
      <c r="D191" s="1209">
        <v>43100</v>
      </c>
      <c r="E191" s="1210">
        <v>360</v>
      </c>
      <c r="F191" s="219" t="s">
        <v>2866</v>
      </c>
      <c r="G191" s="142"/>
      <c r="H191" s="127"/>
      <c r="I191" s="128"/>
      <c r="J191" s="128"/>
      <c r="K191" s="980">
        <v>1</v>
      </c>
      <c r="L191" s="143"/>
      <c r="M191" s="143"/>
      <c r="N191" s="144"/>
      <c r="O191" s="144"/>
      <c r="P191" s="144"/>
      <c r="Q191" s="353">
        <f t="shared" si="58"/>
        <v>1</v>
      </c>
      <c r="R191" s="129">
        <f t="shared" si="59"/>
        <v>0</v>
      </c>
      <c r="S191" s="129">
        <f t="shared" si="60"/>
        <v>0</v>
      </c>
      <c r="T191" s="129">
        <f t="shared" si="61"/>
        <v>1</v>
      </c>
      <c r="U191" s="129">
        <f t="shared" si="62"/>
        <v>303</v>
      </c>
      <c r="V191" s="214">
        <f t="shared" si="63"/>
        <v>15</v>
      </c>
      <c r="W191" s="353">
        <f t="shared" si="64"/>
        <v>45.45</v>
      </c>
      <c r="X191" s="129">
        <f t="shared" si="65"/>
        <v>45.45</v>
      </c>
      <c r="Y191" s="129" t="str">
        <f t="shared" si="66"/>
        <v/>
      </c>
      <c r="Z191" s="145"/>
      <c r="BA191" s="75" t="e">
        <f t="shared" si="75"/>
        <v>#DIV/0!</v>
      </c>
      <c r="BB191" s="78"/>
      <c r="BC191" s="132"/>
      <c r="BD191" s="133"/>
      <c r="BE191" s="132"/>
      <c r="BF191" s="134"/>
      <c r="BG191" s="135"/>
      <c r="BH191" s="135"/>
      <c r="BI191" s="136"/>
      <c r="BJ191" s="136"/>
      <c r="BK191" s="136"/>
      <c r="BL191" s="136"/>
      <c r="BM191" s="137"/>
      <c r="BN191" s="137"/>
      <c r="BO191" s="75">
        <f>LOOKUP(D191,基础数据!A:D)</f>
        <v>3.53915880885741</v>
      </c>
      <c r="BP191" s="75">
        <f t="shared" si="77"/>
        <v>1.00524445538374</v>
      </c>
      <c r="BQ191" s="75">
        <f t="shared" si="67"/>
        <v>362</v>
      </c>
      <c r="BR191" s="272">
        <v>339</v>
      </c>
      <c r="BS191" s="156">
        <f t="shared" si="68"/>
        <v>39</v>
      </c>
      <c r="BT191" s="186">
        <v>0.01</v>
      </c>
      <c r="BU191" s="156">
        <f t="shared" si="69"/>
        <v>3.39</v>
      </c>
      <c r="BV191" s="156">
        <f t="shared" si="70"/>
        <v>0.28</v>
      </c>
      <c r="BW191" s="156">
        <f t="shared" si="76"/>
        <v>303</v>
      </c>
      <c r="BX191" s="156">
        <f t="shared" si="71"/>
        <v>7.58110882956879</v>
      </c>
      <c r="BY191" s="1207" t="s">
        <v>2888</v>
      </c>
      <c r="BZ191" s="272">
        <v>3</v>
      </c>
      <c r="CA191" s="186">
        <f t="shared" si="72"/>
        <v>-1.53</v>
      </c>
      <c r="CB191" s="186">
        <f t="shared" si="73"/>
        <v>-1.53</v>
      </c>
      <c r="CC191" s="186">
        <f t="shared" si="74"/>
        <v>-1.53</v>
      </c>
      <c r="CD191" s="1208" t="s">
        <v>2889</v>
      </c>
      <c r="CF191" s="134"/>
      <c r="CG191" s="138"/>
      <c r="CH191" s="132"/>
      <c r="CI191" s="138"/>
      <c r="CJ191" s="132"/>
      <c r="CK191" s="132"/>
      <c r="CL191" s="134"/>
      <c r="CM191" s="146"/>
    </row>
    <row r="192" ht="15" hidden="1" customHeight="1" spans="1:91">
      <c r="A192" s="123">
        <f>IF(B192="","",COUNT(A$7:A191)+1)</f>
        <v>185</v>
      </c>
      <c r="B192" s="139" t="s">
        <v>2886</v>
      </c>
      <c r="C192" s="139" t="s">
        <v>2887</v>
      </c>
      <c r="D192" s="1209">
        <v>43100</v>
      </c>
      <c r="E192" s="1210">
        <v>360</v>
      </c>
      <c r="F192" s="219" t="s">
        <v>2866</v>
      </c>
      <c r="G192" s="142"/>
      <c r="H192" s="127"/>
      <c r="I192" s="128"/>
      <c r="J192" s="128"/>
      <c r="K192" s="980">
        <v>1</v>
      </c>
      <c r="L192" s="143"/>
      <c r="M192" s="143"/>
      <c r="N192" s="144"/>
      <c r="O192" s="144"/>
      <c r="P192" s="144"/>
      <c r="Q192" s="353">
        <f t="shared" si="58"/>
        <v>1</v>
      </c>
      <c r="R192" s="129">
        <f t="shared" si="59"/>
        <v>0</v>
      </c>
      <c r="S192" s="129">
        <f t="shared" si="60"/>
        <v>0</v>
      </c>
      <c r="T192" s="129">
        <f t="shared" si="61"/>
        <v>1</v>
      </c>
      <c r="U192" s="129">
        <f t="shared" si="62"/>
        <v>303</v>
      </c>
      <c r="V192" s="214">
        <f t="shared" si="63"/>
        <v>15</v>
      </c>
      <c r="W192" s="353">
        <f t="shared" si="64"/>
        <v>45.45</v>
      </c>
      <c r="X192" s="129">
        <f t="shared" si="65"/>
        <v>45.45</v>
      </c>
      <c r="Y192" s="129" t="str">
        <f t="shared" si="66"/>
        <v/>
      </c>
      <c r="Z192" s="145"/>
      <c r="BA192" s="75" t="e">
        <f t="shared" si="75"/>
        <v>#DIV/0!</v>
      </c>
      <c r="BB192" s="78"/>
      <c r="BC192" s="132"/>
      <c r="BD192" s="133"/>
      <c r="BE192" s="132"/>
      <c r="BF192" s="134"/>
      <c r="BG192" s="135"/>
      <c r="BH192" s="135"/>
      <c r="BI192" s="136"/>
      <c r="BJ192" s="136"/>
      <c r="BK192" s="136"/>
      <c r="BL192" s="136"/>
      <c r="BM192" s="137"/>
      <c r="BN192" s="137"/>
      <c r="BO192" s="75">
        <f>LOOKUP(D192,基础数据!A:D)</f>
        <v>3.53915880885741</v>
      </c>
      <c r="BP192" s="75">
        <f t="shared" si="77"/>
        <v>1.00524445538374</v>
      </c>
      <c r="BQ192" s="75">
        <f t="shared" si="67"/>
        <v>362</v>
      </c>
      <c r="BR192" s="272">
        <v>339</v>
      </c>
      <c r="BS192" s="156">
        <f t="shared" si="68"/>
        <v>39</v>
      </c>
      <c r="BT192" s="186">
        <v>0.01</v>
      </c>
      <c r="BU192" s="156">
        <f t="shared" si="69"/>
        <v>3.39</v>
      </c>
      <c r="BV192" s="156">
        <f t="shared" si="70"/>
        <v>0.28</v>
      </c>
      <c r="BW192" s="156">
        <f t="shared" si="76"/>
        <v>303</v>
      </c>
      <c r="BX192" s="156">
        <f t="shared" si="71"/>
        <v>7.58110882956879</v>
      </c>
      <c r="BY192" s="1207" t="s">
        <v>2888</v>
      </c>
      <c r="BZ192" s="272">
        <v>3</v>
      </c>
      <c r="CA192" s="186">
        <f t="shared" si="72"/>
        <v>-1.53</v>
      </c>
      <c r="CB192" s="186">
        <f t="shared" si="73"/>
        <v>-1.53</v>
      </c>
      <c r="CC192" s="186">
        <f t="shared" si="74"/>
        <v>-1.53</v>
      </c>
      <c r="CD192" s="1208" t="s">
        <v>2889</v>
      </c>
      <c r="CF192" s="134"/>
      <c r="CG192" s="138"/>
      <c r="CH192" s="132"/>
      <c r="CI192" s="138"/>
      <c r="CJ192" s="132"/>
      <c r="CK192" s="132"/>
      <c r="CL192" s="134"/>
      <c r="CM192" s="146"/>
    </row>
    <row r="193" ht="15" hidden="1" customHeight="1" spans="1:91">
      <c r="A193" s="123">
        <f>IF(B193="","",COUNT(A$7:A192)+1)</f>
        <v>186</v>
      </c>
      <c r="B193" s="139" t="s">
        <v>2886</v>
      </c>
      <c r="C193" s="139" t="s">
        <v>2887</v>
      </c>
      <c r="D193" s="1209">
        <v>43100</v>
      </c>
      <c r="E193" s="1210">
        <v>360</v>
      </c>
      <c r="F193" s="219" t="s">
        <v>2866</v>
      </c>
      <c r="G193" s="142"/>
      <c r="H193" s="127"/>
      <c r="I193" s="128"/>
      <c r="J193" s="128"/>
      <c r="K193" s="980">
        <v>1</v>
      </c>
      <c r="L193" s="143"/>
      <c r="M193" s="143"/>
      <c r="N193" s="144"/>
      <c r="O193" s="144"/>
      <c r="P193" s="144"/>
      <c r="Q193" s="353">
        <f t="shared" si="58"/>
        <v>1</v>
      </c>
      <c r="R193" s="129">
        <f t="shared" si="59"/>
        <v>0</v>
      </c>
      <c r="S193" s="129">
        <f t="shared" si="60"/>
        <v>0</v>
      </c>
      <c r="T193" s="129">
        <f t="shared" si="61"/>
        <v>1</v>
      </c>
      <c r="U193" s="129">
        <f t="shared" si="62"/>
        <v>303</v>
      </c>
      <c r="V193" s="214">
        <f t="shared" si="63"/>
        <v>15</v>
      </c>
      <c r="W193" s="353">
        <f t="shared" si="64"/>
        <v>45.45</v>
      </c>
      <c r="X193" s="129">
        <f t="shared" si="65"/>
        <v>45.45</v>
      </c>
      <c r="Y193" s="129" t="str">
        <f t="shared" si="66"/>
        <v/>
      </c>
      <c r="Z193" s="145"/>
      <c r="BA193" s="75" t="e">
        <f t="shared" si="75"/>
        <v>#DIV/0!</v>
      </c>
      <c r="BB193" s="78"/>
      <c r="BC193" s="132"/>
      <c r="BD193" s="133"/>
      <c r="BE193" s="132"/>
      <c r="BF193" s="134"/>
      <c r="BG193" s="135"/>
      <c r="BH193" s="135"/>
      <c r="BI193" s="136"/>
      <c r="BJ193" s="136"/>
      <c r="BK193" s="136"/>
      <c r="BL193" s="136"/>
      <c r="BM193" s="137"/>
      <c r="BN193" s="137"/>
      <c r="BO193" s="75">
        <f>LOOKUP(D193,基础数据!A:D)</f>
        <v>3.53915880885741</v>
      </c>
      <c r="BP193" s="75">
        <f t="shared" si="77"/>
        <v>1.00524445538374</v>
      </c>
      <c r="BQ193" s="75">
        <f t="shared" si="67"/>
        <v>362</v>
      </c>
      <c r="BR193" s="272">
        <v>339</v>
      </c>
      <c r="BS193" s="156">
        <f t="shared" si="68"/>
        <v>39</v>
      </c>
      <c r="BT193" s="186">
        <v>0.01</v>
      </c>
      <c r="BU193" s="156">
        <f t="shared" si="69"/>
        <v>3.39</v>
      </c>
      <c r="BV193" s="156">
        <f t="shared" si="70"/>
        <v>0.28</v>
      </c>
      <c r="BW193" s="156">
        <f t="shared" si="76"/>
        <v>303</v>
      </c>
      <c r="BX193" s="156">
        <f t="shared" si="71"/>
        <v>7.58110882956879</v>
      </c>
      <c r="BY193" s="1207" t="s">
        <v>2888</v>
      </c>
      <c r="BZ193" s="272">
        <v>3</v>
      </c>
      <c r="CA193" s="186">
        <f t="shared" si="72"/>
        <v>-1.53</v>
      </c>
      <c r="CB193" s="186">
        <f t="shared" si="73"/>
        <v>-1.53</v>
      </c>
      <c r="CC193" s="186">
        <f t="shared" si="74"/>
        <v>-1.53</v>
      </c>
      <c r="CD193" s="1208" t="s">
        <v>2889</v>
      </c>
      <c r="CF193" s="134"/>
      <c r="CG193" s="138"/>
      <c r="CH193" s="132"/>
      <c r="CI193" s="138"/>
      <c r="CJ193" s="132"/>
      <c r="CK193" s="132"/>
      <c r="CL193" s="134"/>
      <c r="CM193" s="146"/>
    </row>
    <row r="194" ht="15" hidden="1" customHeight="1" spans="1:91">
      <c r="A194" s="123">
        <f>IF(B194="","",COUNT(A$7:A193)+1)</f>
        <v>187</v>
      </c>
      <c r="B194" s="139" t="s">
        <v>2886</v>
      </c>
      <c r="C194" s="139" t="s">
        <v>2887</v>
      </c>
      <c r="D194" s="1209">
        <v>43100</v>
      </c>
      <c r="E194" s="1210">
        <v>360</v>
      </c>
      <c r="F194" s="219" t="s">
        <v>2866</v>
      </c>
      <c r="G194" s="142"/>
      <c r="H194" s="127"/>
      <c r="I194" s="128"/>
      <c r="J194" s="128"/>
      <c r="K194" s="980">
        <v>1</v>
      </c>
      <c r="L194" s="143"/>
      <c r="M194" s="143"/>
      <c r="N194" s="144"/>
      <c r="O194" s="144"/>
      <c r="P194" s="144"/>
      <c r="Q194" s="353">
        <f t="shared" si="58"/>
        <v>1</v>
      </c>
      <c r="R194" s="129">
        <f t="shared" si="59"/>
        <v>0</v>
      </c>
      <c r="S194" s="129">
        <f t="shared" si="60"/>
        <v>0</v>
      </c>
      <c r="T194" s="129">
        <f t="shared" si="61"/>
        <v>1</v>
      </c>
      <c r="U194" s="129">
        <f t="shared" si="62"/>
        <v>303</v>
      </c>
      <c r="V194" s="214">
        <f t="shared" si="63"/>
        <v>15</v>
      </c>
      <c r="W194" s="353">
        <f t="shared" si="64"/>
        <v>45.45</v>
      </c>
      <c r="X194" s="129">
        <f t="shared" si="65"/>
        <v>45.45</v>
      </c>
      <c r="Y194" s="129" t="str">
        <f t="shared" si="66"/>
        <v/>
      </c>
      <c r="Z194" s="145"/>
      <c r="BA194" s="75" t="e">
        <f t="shared" si="75"/>
        <v>#DIV/0!</v>
      </c>
      <c r="BB194" s="78"/>
      <c r="BC194" s="132"/>
      <c r="BD194" s="133"/>
      <c r="BE194" s="132"/>
      <c r="BF194" s="134"/>
      <c r="BG194" s="135"/>
      <c r="BH194" s="135"/>
      <c r="BI194" s="136"/>
      <c r="BJ194" s="136"/>
      <c r="BK194" s="136"/>
      <c r="BL194" s="136"/>
      <c r="BM194" s="137"/>
      <c r="BN194" s="137"/>
      <c r="BO194" s="75">
        <f>LOOKUP(D194,基础数据!A:D)</f>
        <v>3.53915880885741</v>
      </c>
      <c r="BP194" s="75">
        <f t="shared" si="77"/>
        <v>1.00524445538374</v>
      </c>
      <c r="BQ194" s="75">
        <f t="shared" si="67"/>
        <v>362</v>
      </c>
      <c r="BR194" s="272">
        <v>339</v>
      </c>
      <c r="BS194" s="156">
        <f t="shared" si="68"/>
        <v>39</v>
      </c>
      <c r="BT194" s="186">
        <v>0.01</v>
      </c>
      <c r="BU194" s="156">
        <f t="shared" si="69"/>
        <v>3.39</v>
      </c>
      <c r="BV194" s="156">
        <f t="shared" si="70"/>
        <v>0.28</v>
      </c>
      <c r="BW194" s="156">
        <f t="shared" si="76"/>
        <v>303</v>
      </c>
      <c r="BX194" s="156">
        <f t="shared" si="71"/>
        <v>7.58110882956879</v>
      </c>
      <c r="BY194" s="1207" t="s">
        <v>2888</v>
      </c>
      <c r="BZ194" s="272">
        <v>3</v>
      </c>
      <c r="CA194" s="186">
        <f t="shared" si="72"/>
        <v>-1.53</v>
      </c>
      <c r="CB194" s="186">
        <f t="shared" si="73"/>
        <v>-1.53</v>
      </c>
      <c r="CC194" s="186">
        <f t="shared" si="74"/>
        <v>-1.53</v>
      </c>
      <c r="CD194" s="1208" t="s">
        <v>2889</v>
      </c>
      <c r="CF194" s="134"/>
      <c r="CG194" s="138"/>
      <c r="CH194" s="132"/>
      <c r="CI194" s="138"/>
      <c r="CJ194" s="132"/>
      <c r="CK194" s="132"/>
      <c r="CL194" s="134"/>
      <c r="CM194" s="146"/>
    </row>
    <row r="195" ht="15" hidden="1" customHeight="1" spans="1:91">
      <c r="A195" s="123">
        <f>IF(B195="","",COUNT(A$7:A194)+1)</f>
        <v>188</v>
      </c>
      <c r="B195" s="139" t="s">
        <v>2886</v>
      </c>
      <c r="C195" s="139" t="s">
        <v>2887</v>
      </c>
      <c r="D195" s="1209">
        <v>43100</v>
      </c>
      <c r="E195" s="1210">
        <v>360</v>
      </c>
      <c r="F195" s="219" t="s">
        <v>2866</v>
      </c>
      <c r="G195" s="142"/>
      <c r="H195" s="127"/>
      <c r="I195" s="128"/>
      <c r="J195" s="128"/>
      <c r="K195" s="980">
        <v>1</v>
      </c>
      <c r="L195" s="143"/>
      <c r="M195" s="143"/>
      <c r="N195" s="144"/>
      <c r="O195" s="144"/>
      <c r="P195" s="144"/>
      <c r="Q195" s="353">
        <f t="shared" si="58"/>
        <v>1</v>
      </c>
      <c r="R195" s="129">
        <f t="shared" si="59"/>
        <v>0</v>
      </c>
      <c r="S195" s="129">
        <f t="shared" si="60"/>
        <v>0</v>
      </c>
      <c r="T195" s="129">
        <f t="shared" si="61"/>
        <v>1</v>
      </c>
      <c r="U195" s="129">
        <f t="shared" si="62"/>
        <v>303</v>
      </c>
      <c r="V195" s="214">
        <f t="shared" si="63"/>
        <v>15</v>
      </c>
      <c r="W195" s="353">
        <f t="shared" si="64"/>
        <v>45.45</v>
      </c>
      <c r="X195" s="129">
        <f t="shared" si="65"/>
        <v>45.45</v>
      </c>
      <c r="Y195" s="129" t="str">
        <f t="shared" si="66"/>
        <v/>
      </c>
      <c r="Z195" s="145"/>
      <c r="BA195" s="75" t="e">
        <f t="shared" si="75"/>
        <v>#DIV/0!</v>
      </c>
      <c r="BB195" s="78"/>
      <c r="BC195" s="132"/>
      <c r="BD195" s="133"/>
      <c r="BE195" s="132"/>
      <c r="BF195" s="134"/>
      <c r="BG195" s="135"/>
      <c r="BH195" s="135"/>
      <c r="BI195" s="136"/>
      <c r="BJ195" s="136"/>
      <c r="BK195" s="136"/>
      <c r="BL195" s="136"/>
      <c r="BM195" s="137"/>
      <c r="BN195" s="137"/>
      <c r="BO195" s="75">
        <f>LOOKUP(D195,基础数据!A:D)</f>
        <v>3.53915880885741</v>
      </c>
      <c r="BP195" s="75">
        <f t="shared" si="77"/>
        <v>1.00524445538374</v>
      </c>
      <c r="BQ195" s="75">
        <f t="shared" si="67"/>
        <v>362</v>
      </c>
      <c r="BR195" s="272">
        <v>339</v>
      </c>
      <c r="BS195" s="156">
        <f t="shared" si="68"/>
        <v>39</v>
      </c>
      <c r="BT195" s="186">
        <v>0.01</v>
      </c>
      <c r="BU195" s="156">
        <f t="shared" si="69"/>
        <v>3.39</v>
      </c>
      <c r="BV195" s="156">
        <f t="shared" si="70"/>
        <v>0.28</v>
      </c>
      <c r="BW195" s="156">
        <f t="shared" si="76"/>
        <v>303</v>
      </c>
      <c r="BX195" s="156">
        <f t="shared" si="71"/>
        <v>7.58110882956879</v>
      </c>
      <c r="BY195" s="1207" t="s">
        <v>2888</v>
      </c>
      <c r="BZ195" s="272">
        <v>3</v>
      </c>
      <c r="CA195" s="186">
        <f t="shared" si="72"/>
        <v>-1.53</v>
      </c>
      <c r="CB195" s="186">
        <f t="shared" si="73"/>
        <v>-1.53</v>
      </c>
      <c r="CC195" s="186">
        <f t="shared" si="74"/>
        <v>-1.53</v>
      </c>
      <c r="CD195" s="1208" t="s">
        <v>2889</v>
      </c>
      <c r="CF195" s="134"/>
      <c r="CG195" s="138"/>
      <c r="CH195" s="132"/>
      <c r="CI195" s="138"/>
      <c r="CJ195" s="132"/>
      <c r="CK195" s="132"/>
      <c r="CL195" s="134"/>
      <c r="CM195" s="146"/>
    </row>
    <row r="196" ht="15" hidden="1" customHeight="1" spans="1:91">
      <c r="A196" s="123">
        <f>IF(B196="","",COUNT(A$7:A195)+1)</f>
        <v>189</v>
      </c>
      <c r="B196" s="139" t="s">
        <v>2886</v>
      </c>
      <c r="C196" s="139" t="s">
        <v>2887</v>
      </c>
      <c r="D196" s="1209">
        <v>43100</v>
      </c>
      <c r="E196" s="1210">
        <v>360</v>
      </c>
      <c r="F196" s="219" t="s">
        <v>2866</v>
      </c>
      <c r="G196" s="142"/>
      <c r="H196" s="127"/>
      <c r="I196" s="128"/>
      <c r="J196" s="128"/>
      <c r="K196" s="980">
        <v>1</v>
      </c>
      <c r="L196" s="143"/>
      <c r="M196" s="143"/>
      <c r="N196" s="144"/>
      <c r="O196" s="144"/>
      <c r="P196" s="144"/>
      <c r="Q196" s="353">
        <f t="shared" si="58"/>
        <v>1</v>
      </c>
      <c r="R196" s="129">
        <f t="shared" si="59"/>
        <v>0</v>
      </c>
      <c r="S196" s="129">
        <f t="shared" si="60"/>
        <v>0</v>
      </c>
      <c r="T196" s="129">
        <f t="shared" si="61"/>
        <v>1</v>
      </c>
      <c r="U196" s="129">
        <f t="shared" si="62"/>
        <v>303</v>
      </c>
      <c r="V196" s="214">
        <f t="shared" si="63"/>
        <v>15</v>
      </c>
      <c r="W196" s="353">
        <f t="shared" si="64"/>
        <v>45.45</v>
      </c>
      <c r="X196" s="129">
        <f t="shared" si="65"/>
        <v>45.45</v>
      </c>
      <c r="Y196" s="129" t="str">
        <f t="shared" si="66"/>
        <v/>
      </c>
      <c r="Z196" s="145"/>
      <c r="BA196" s="75" t="e">
        <f t="shared" si="75"/>
        <v>#DIV/0!</v>
      </c>
      <c r="BB196" s="78"/>
      <c r="BC196" s="132"/>
      <c r="BD196" s="133"/>
      <c r="BE196" s="132"/>
      <c r="BF196" s="134"/>
      <c r="BG196" s="135"/>
      <c r="BH196" s="135"/>
      <c r="BI196" s="136"/>
      <c r="BJ196" s="136"/>
      <c r="BK196" s="136"/>
      <c r="BL196" s="136"/>
      <c r="BM196" s="137"/>
      <c r="BN196" s="137"/>
      <c r="BO196" s="75">
        <f>LOOKUP(D196,基础数据!A:D)</f>
        <v>3.53915880885741</v>
      </c>
      <c r="BP196" s="75">
        <f t="shared" si="77"/>
        <v>1.00524445538374</v>
      </c>
      <c r="BQ196" s="75">
        <f t="shared" si="67"/>
        <v>362</v>
      </c>
      <c r="BR196" s="272">
        <v>339</v>
      </c>
      <c r="BS196" s="156">
        <f t="shared" si="68"/>
        <v>39</v>
      </c>
      <c r="BT196" s="186">
        <v>0.01</v>
      </c>
      <c r="BU196" s="156">
        <f t="shared" si="69"/>
        <v>3.39</v>
      </c>
      <c r="BV196" s="156">
        <f t="shared" si="70"/>
        <v>0.28</v>
      </c>
      <c r="BW196" s="156">
        <f t="shared" si="76"/>
        <v>303</v>
      </c>
      <c r="BX196" s="156">
        <f t="shared" si="71"/>
        <v>7.58110882956879</v>
      </c>
      <c r="BY196" s="1207" t="s">
        <v>2888</v>
      </c>
      <c r="BZ196" s="272">
        <v>3</v>
      </c>
      <c r="CA196" s="186">
        <f t="shared" si="72"/>
        <v>-1.53</v>
      </c>
      <c r="CB196" s="186">
        <f t="shared" si="73"/>
        <v>-1.53</v>
      </c>
      <c r="CC196" s="186">
        <f t="shared" si="74"/>
        <v>-1.53</v>
      </c>
      <c r="CD196" s="1208" t="s">
        <v>2889</v>
      </c>
      <c r="CF196" s="134"/>
      <c r="CG196" s="138"/>
      <c r="CH196" s="132"/>
      <c r="CI196" s="138"/>
      <c r="CJ196" s="132"/>
      <c r="CK196" s="132"/>
      <c r="CL196" s="134"/>
      <c r="CM196" s="146"/>
    </row>
    <row r="197" ht="15" hidden="1" customHeight="1" spans="1:91">
      <c r="A197" s="123">
        <f>IF(B197="","",COUNT(A$7:A196)+1)</f>
        <v>190</v>
      </c>
      <c r="B197" s="139" t="s">
        <v>2886</v>
      </c>
      <c r="C197" s="139" t="s">
        <v>2887</v>
      </c>
      <c r="D197" s="1209">
        <v>43100</v>
      </c>
      <c r="E197" s="1210">
        <v>360</v>
      </c>
      <c r="F197" s="219" t="s">
        <v>2866</v>
      </c>
      <c r="G197" s="142"/>
      <c r="H197" s="127"/>
      <c r="I197" s="128"/>
      <c r="J197" s="128"/>
      <c r="K197" s="980">
        <v>1</v>
      </c>
      <c r="L197" s="143"/>
      <c r="M197" s="143"/>
      <c r="N197" s="144"/>
      <c r="O197" s="144"/>
      <c r="P197" s="144"/>
      <c r="Q197" s="353">
        <f t="shared" si="58"/>
        <v>1</v>
      </c>
      <c r="R197" s="129">
        <f t="shared" si="59"/>
        <v>0</v>
      </c>
      <c r="S197" s="129">
        <f t="shared" si="60"/>
        <v>0</v>
      </c>
      <c r="T197" s="129">
        <f t="shared" si="61"/>
        <v>1</v>
      </c>
      <c r="U197" s="129">
        <f t="shared" si="62"/>
        <v>303</v>
      </c>
      <c r="V197" s="214">
        <f t="shared" si="63"/>
        <v>15</v>
      </c>
      <c r="W197" s="353">
        <f t="shared" si="64"/>
        <v>45.45</v>
      </c>
      <c r="X197" s="129">
        <f t="shared" si="65"/>
        <v>45.45</v>
      </c>
      <c r="Y197" s="129" t="str">
        <f t="shared" si="66"/>
        <v/>
      </c>
      <c r="Z197" s="145"/>
      <c r="BA197" s="75" t="e">
        <f t="shared" si="75"/>
        <v>#DIV/0!</v>
      </c>
      <c r="BB197" s="78"/>
      <c r="BC197" s="132"/>
      <c r="BD197" s="133"/>
      <c r="BE197" s="132"/>
      <c r="BF197" s="134"/>
      <c r="BG197" s="135"/>
      <c r="BH197" s="135"/>
      <c r="BI197" s="136"/>
      <c r="BJ197" s="136"/>
      <c r="BK197" s="136"/>
      <c r="BL197" s="136"/>
      <c r="BM197" s="137"/>
      <c r="BN197" s="137"/>
      <c r="BO197" s="75">
        <f>LOOKUP(D197,基础数据!A:D)</f>
        <v>3.53915880885741</v>
      </c>
      <c r="BP197" s="75">
        <f t="shared" si="77"/>
        <v>1.00524445538374</v>
      </c>
      <c r="BQ197" s="75">
        <f t="shared" si="67"/>
        <v>362</v>
      </c>
      <c r="BR197" s="272">
        <v>339</v>
      </c>
      <c r="BS197" s="156">
        <f t="shared" si="68"/>
        <v>39</v>
      </c>
      <c r="BT197" s="186">
        <v>0.01</v>
      </c>
      <c r="BU197" s="156">
        <f t="shared" si="69"/>
        <v>3.39</v>
      </c>
      <c r="BV197" s="156">
        <f t="shared" si="70"/>
        <v>0.28</v>
      </c>
      <c r="BW197" s="156">
        <f t="shared" si="76"/>
        <v>303</v>
      </c>
      <c r="BX197" s="156">
        <f t="shared" si="71"/>
        <v>7.58110882956879</v>
      </c>
      <c r="BY197" s="1207" t="s">
        <v>2888</v>
      </c>
      <c r="BZ197" s="272">
        <v>3</v>
      </c>
      <c r="CA197" s="186">
        <f t="shared" si="72"/>
        <v>-1.53</v>
      </c>
      <c r="CB197" s="186">
        <f t="shared" si="73"/>
        <v>-1.53</v>
      </c>
      <c r="CC197" s="186">
        <f t="shared" si="74"/>
        <v>-1.53</v>
      </c>
      <c r="CD197" s="1208" t="s">
        <v>2889</v>
      </c>
      <c r="CF197" s="134"/>
      <c r="CG197" s="138"/>
      <c r="CH197" s="132"/>
      <c r="CI197" s="138"/>
      <c r="CJ197" s="132"/>
      <c r="CK197" s="132"/>
      <c r="CL197" s="134"/>
      <c r="CM197" s="146"/>
    </row>
    <row r="198" ht="15" hidden="1" customHeight="1" spans="1:91">
      <c r="A198" s="123">
        <f>IF(B198="","",COUNT(A$7:A197)+1)</f>
        <v>191</v>
      </c>
      <c r="B198" s="139" t="s">
        <v>2886</v>
      </c>
      <c r="C198" s="139" t="s">
        <v>2887</v>
      </c>
      <c r="D198" s="1209">
        <v>43100</v>
      </c>
      <c r="E198" s="1210">
        <v>360</v>
      </c>
      <c r="F198" s="219" t="s">
        <v>2866</v>
      </c>
      <c r="G198" s="142"/>
      <c r="H198" s="127"/>
      <c r="I198" s="128"/>
      <c r="J198" s="128"/>
      <c r="K198" s="980">
        <v>1</v>
      </c>
      <c r="L198" s="143"/>
      <c r="M198" s="143"/>
      <c r="N198" s="144"/>
      <c r="O198" s="144"/>
      <c r="P198" s="144"/>
      <c r="Q198" s="353">
        <f t="shared" ref="Q198:Q261" si="84">IF(B198="","",K198+N198)</f>
        <v>1</v>
      </c>
      <c r="R198" s="129">
        <f t="shared" ref="R198:R261" si="85">IF(B198="","",L198+O198)</f>
        <v>0</v>
      </c>
      <c r="S198" s="129">
        <f t="shared" ref="S198:S261" si="86">IF(B198="","",M198+P198)</f>
        <v>0</v>
      </c>
      <c r="T198" s="129">
        <f t="shared" ref="T198:T261" si="87">IF(B198="","",IF(BC$3="是",Q198,""))</f>
        <v>1</v>
      </c>
      <c r="U198" s="129">
        <f t="shared" ref="U198:U261" si="88">IF(B198="","",IF(BC$3="是",IFERROR(ROUND(BW198,0)*T198,""),""))</f>
        <v>303</v>
      </c>
      <c r="V198" s="214">
        <f t="shared" ref="V198:V261" si="89">IF(B198="","",IF(BC$3="是",IF(B198="","",MAX(CA198,15%)*100),""))</f>
        <v>15</v>
      </c>
      <c r="W198" s="353">
        <f t="shared" ref="W198:W261" si="90">IFERROR(U198*V198/100,"")</f>
        <v>45.45</v>
      </c>
      <c r="X198" s="129">
        <f t="shared" ref="X198:X261" si="91">IFERROR(W198-(R198-S198),"")</f>
        <v>45.45</v>
      </c>
      <c r="Y198" s="129" t="str">
        <f t="shared" ref="Y198:Y261" si="92">IFERROR(X198/(R198-S198)*100,"")</f>
        <v/>
      </c>
      <c r="Z198" s="145"/>
      <c r="BA198" s="75" t="e">
        <f t="shared" si="75"/>
        <v>#DIV/0!</v>
      </c>
      <c r="BB198" s="78"/>
      <c r="BC198" s="132"/>
      <c r="BD198" s="133"/>
      <c r="BE198" s="132"/>
      <c r="BF198" s="134"/>
      <c r="BG198" s="135"/>
      <c r="BH198" s="135"/>
      <c r="BI198" s="136"/>
      <c r="BJ198" s="136"/>
      <c r="BK198" s="136"/>
      <c r="BL198" s="136"/>
      <c r="BM198" s="137"/>
      <c r="BN198" s="137"/>
      <c r="BO198" s="75">
        <f>LOOKUP(D198,基础数据!A:D)</f>
        <v>3.53915880885741</v>
      </c>
      <c r="BP198" s="75">
        <f t="shared" si="77"/>
        <v>1.00524445538374</v>
      </c>
      <c r="BQ198" s="75">
        <f t="shared" si="67"/>
        <v>362</v>
      </c>
      <c r="BR198" s="272">
        <v>339</v>
      </c>
      <c r="BS198" s="156">
        <f t="shared" ref="BS198:BS261" si="93">ROUND(BR198/(1+BS$6)*BS$6,2)</f>
        <v>39</v>
      </c>
      <c r="BT198" s="186">
        <v>0.01</v>
      </c>
      <c r="BU198" s="156">
        <f t="shared" ref="BU198:BU261" si="94">ROUND(BR198*BT198,2)</f>
        <v>3.39</v>
      </c>
      <c r="BV198" s="156">
        <f t="shared" ref="BV198:BV261" si="95">ROUND(BU198/(1+BV$6)*BV$6,2)</f>
        <v>0.28</v>
      </c>
      <c r="BW198" s="156">
        <f t="shared" si="76"/>
        <v>303</v>
      </c>
      <c r="BX198" s="156">
        <f t="shared" ref="BX198:BX261" si="96">(BX$6-D198)/365.25</f>
        <v>7.58110882956879</v>
      </c>
      <c r="BY198" s="1207" t="s">
        <v>2888</v>
      </c>
      <c r="BZ198" s="272">
        <v>3</v>
      </c>
      <c r="CA198" s="186">
        <f t="shared" ref="CA198:CA206" si="97">ROUND(IFERROR(1-(BX198/BZ198),0),2)</f>
        <v>-1.53</v>
      </c>
      <c r="CB198" s="186">
        <f t="shared" si="73"/>
        <v>-1.53</v>
      </c>
      <c r="CC198" s="186">
        <f t="shared" si="74"/>
        <v>-1.53</v>
      </c>
      <c r="CD198" s="1208" t="s">
        <v>2889</v>
      </c>
      <c r="CF198" s="134"/>
      <c r="CG198" s="138"/>
      <c r="CH198" s="132"/>
      <c r="CI198" s="138"/>
      <c r="CJ198" s="132"/>
      <c r="CK198" s="132"/>
      <c r="CL198" s="134"/>
      <c r="CM198" s="146"/>
    </row>
    <row r="199" ht="15" hidden="1" customHeight="1" spans="1:91">
      <c r="A199" s="123">
        <f>IF(B199="","",COUNT(A$7:A198)+1)</f>
        <v>192</v>
      </c>
      <c r="B199" s="139" t="s">
        <v>2886</v>
      </c>
      <c r="C199" s="139" t="s">
        <v>2887</v>
      </c>
      <c r="D199" s="1209">
        <v>43100</v>
      </c>
      <c r="E199" s="1210">
        <v>360</v>
      </c>
      <c r="F199" s="219" t="s">
        <v>2866</v>
      </c>
      <c r="G199" s="142"/>
      <c r="H199" s="127"/>
      <c r="I199" s="128"/>
      <c r="J199" s="128"/>
      <c r="K199" s="980">
        <v>1</v>
      </c>
      <c r="L199" s="143"/>
      <c r="M199" s="143"/>
      <c r="N199" s="144"/>
      <c r="O199" s="144"/>
      <c r="P199" s="144"/>
      <c r="Q199" s="353">
        <f t="shared" si="84"/>
        <v>1</v>
      </c>
      <c r="R199" s="129">
        <f t="shared" si="85"/>
        <v>0</v>
      </c>
      <c r="S199" s="129">
        <f t="shared" si="86"/>
        <v>0</v>
      </c>
      <c r="T199" s="129">
        <f t="shared" si="87"/>
        <v>1</v>
      </c>
      <c r="U199" s="129">
        <f t="shared" si="88"/>
        <v>303</v>
      </c>
      <c r="V199" s="214">
        <f t="shared" si="89"/>
        <v>15</v>
      </c>
      <c r="W199" s="353">
        <f t="shared" si="90"/>
        <v>45.45</v>
      </c>
      <c r="X199" s="129">
        <f t="shared" si="91"/>
        <v>45.45</v>
      </c>
      <c r="Y199" s="129" t="str">
        <f t="shared" si="92"/>
        <v/>
      </c>
      <c r="Z199" s="145"/>
      <c r="BA199" s="75" t="e">
        <f t="shared" ref="BA199:BA262" si="98">(U199-R199)/R199</f>
        <v>#DIV/0!</v>
      </c>
      <c r="BB199" s="78"/>
      <c r="BC199" s="132"/>
      <c r="BD199" s="133"/>
      <c r="BE199" s="132"/>
      <c r="BF199" s="134"/>
      <c r="BG199" s="135"/>
      <c r="BH199" s="135"/>
      <c r="BI199" s="136"/>
      <c r="BJ199" s="136"/>
      <c r="BK199" s="136"/>
      <c r="BL199" s="136"/>
      <c r="BM199" s="137"/>
      <c r="BN199" s="137"/>
      <c r="BO199" s="75">
        <f>LOOKUP(D199,基础数据!A:D)</f>
        <v>3.53915880885741</v>
      </c>
      <c r="BP199" s="75">
        <f t="shared" si="77"/>
        <v>1.00524445538374</v>
      </c>
      <c r="BQ199" s="75">
        <f t="shared" si="67"/>
        <v>362</v>
      </c>
      <c r="BR199" s="272">
        <v>339</v>
      </c>
      <c r="BS199" s="156">
        <f t="shared" si="93"/>
        <v>39</v>
      </c>
      <c r="BT199" s="186">
        <v>0.01</v>
      </c>
      <c r="BU199" s="156">
        <f t="shared" si="94"/>
        <v>3.39</v>
      </c>
      <c r="BV199" s="156">
        <f t="shared" si="95"/>
        <v>0.28</v>
      </c>
      <c r="BW199" s="156">
        <f t="shared" ref="BW199:BW262" si="99">ROUND(BR199+BU199-BS199-BV199,0)</f>
        <v>303</v>
      </c>
      <c r="BX199" s="156">
        <f t="shared" si="96"/>
        <v>7.58110882956879</v>
      </c>
      <c r="BY199" s="1207" t="s">
        <v>2888</v>
      </c>
      <c r="BZ199" s="272">
        <v>3</v>
      </c>
      <c r="CA199" s="186">
        <f t="shared" si="97"/>
        <v>-1.53</v>
      </c>
      <c r="CB199" s="186">
        <f t="shared" si="73"/>
        <v>-1.53</v>
      </c>
      <c r="CC199" s="186">
        <f t="shared" si="74"/>
        <v>-1.53</v>
      </c>
      <c r="CD199" s="1208" t="s">
        <v>2889</v>
      </c>
      <c r="CF199" s="134"/>
      <c r="CG199" s="138"/>
      <c r="CH199" s="132"/>
      <c r="CI199" s="138"/>
      <c r="CJ199" s="132"/>
      <c r="CK199" s="132"/>
      <c r="CL199" s="134"/>
      <c r="CM199" s="146"/>
    </row>
    <row r="200" ht="15" hidden="1" customHeight="1" spans="1:91">
      <c r="A200" s="123">
        <f>IF(B200="","",COUNT(A$7:A199)+1)</f>
        <v>193</v>
      </c>
      <c r="B200" s="139" t="s">
        <v>2886</v>
      </c>
      <c r="C200" s="139" t="s">
        <v>2887</v>
      </c>
      <c r="D200" s="1209">
        <v>43100</v>
      </c>
      <c r="E200" s="1210">
        <v>360</v>
      </c>
      <c r="F200" s="219" t="s">
        <v>2866</v>
      </c>
      <c r="G200" s="142"/>
      <c r="H200" s="127"/>
      <c r="I200" s="128"/>
      <c r="J200" s="128"/>
      <c r="K200" s="980">
        <v>1</v>
      </c>
      <c r="L200" s="143"/>
      <c r="M200" s="143"/>
      <c r="N200" s="144"/>
      <c r="O200" s="144"/>
      <c r="P200" s="144"/>
      <c r="Q200" s="353">
        <f t="shared" si="84"/>
        <v>1</v>
      </c>
      <c r="R200" s="129">
        <f t="shared" si="85"/>
        <v>0</v>
      </c>
      <c r="S200" s="129">
        <f t="shared" si="86"/>
        <v>0</v>
      </c>
      <c r="T200" s="129">
        <f t="shared" si="87"/>
        <v>1</v>
      </c>
      <c r="U200" s="129">
        <f t="shared" si="88"/>
        <v>303</v>
      </c>
      <c r="V200" s="214">
        <f t="shared" si="89"/>
        <v>15</v>
      </c>
      <c r="W200" s="353">
        <f t="shared" si="90"/>
        <v>45.45</v>
      </c>
      <c r="X200" s="129">
        <f t="shared" si="91"/>
        <v>45.45</v>
      </c>
      <c r="Y200" s="129" t="str">
        <f t="shared" si="92"/>
        <v/>
      </c>
      <c r="Z200" s="145"/>
      <c r="BA200" s="75" t="e">
        <f t="shared" si="98"/>
        <v>#DIV/0!</v>
      </c>
      <c r="BB200" s="78"/>
      <c r="BC200" s="132"/>
      <c r="BD200" s="133"/>
      <c r="BE200" s="132"/>
      <c r="BF200" s="134"/>
      <c r="BG200" s="135"/>
      <c r="BH200" s="135"/>
      <c r="BI200" s="136"/>
      <c r="BJ200" s="136"/>
      <c r="BK200" s="136"/>
      <c r="BL200" s="136"/>
      <c r="BM200" s="137"/>
      <c r="BN200" s="137"/>
      <c r="BO200" s="75">
        <f>LOOKUP(D200,基础数据!A:D)</f>
        <v>3.53915880885741</v>
      </c>
      <c r="BP200" s="75">
        <f t="shared" ref="BP200:BP263" si="100">BO$6/BO200</f>
        <v>1.00524445538374</v>
      </c>
      <c r="BQ200" s="75">
        <f t="shared" ref="BQ200:BQ263" si="101">ROUND(E200*BP200/Q200,0)</f>
        <v>362</v>
      </c>
      <c r="BR200" s="272">
        <v>339</v>
      </c>
      <c r="BS200" s="156">
        <f t="shared" si="93"/>
        <v>39</v>
      </c>
      <c r="BT200" s="186">
        <v>0.01</v>
      </c>
      <c r="BU200" s="156">
        <f t="shared" si="94"/>
        <v>3.39</v>
      </c>
      <c r="BV200" s="156">
        <f t="shared" si="95"/>
        <v>0.28</v>
      </c>
      <c r="BW200" s="156">
        <f t="shared" si="99"/>
        <v>303</v>
      </c>
      <c r="BX200" s="156">
        <f t="shared" si="96"/>
        <v>7.58110882956879</v>
      </c>
      <c r="BY200" s="1207" t="s">
        <v>2888</v>
      </c>
      <c r="BZ200" s="272">
        <v>3</v>
      </c>
      <c r="CA200" s="186">
        <f t="shared" si="97"/>
        <v>-1.53</v>
      </c>
      <c r="CB200" s="186">
        <f t="shared" ref="CB200:CB263" si="102">CA200</f>
        <v>-1.53</v>
      </c>
      <c r="CC200" s="186">
        <f t="shared" ref="CC200:CC263" si="103">CA200*CA$6+CB200*CB$6</f>
        <v>-1.53</v>
      </c>
      <c r="CD200" s="1208" t="s">
        <v>2889</v>
      </c>
      <c r="CF200" s="134"/>
      <c r="CG200" s="138"/>
      <c r="CH200" s="132"/>
      <c r="CI200" s="138"/>
      <c r="CJ200" s="132"/>
      <c r="CK200" s="132"/>
      <c r="CL200" s="134"/>
      <c r="CM200" s="146"/>
    </row>
    <row r="201" ht="15" hidden="1" customHeight="1" spans="1:91">
      <c r="A201" s="123">
        <f>IF(B201="","",COUNT(A$7:A200)+1)</f>
        <v>194</v>
      </c>
      <c r="B201" s="139" t="s">
        <v>2886</v>
      </c>
      <c r="C201" s="139" t="s">
        <v>2887</v>
      </c>
      <c r="D201" s="1209">
        <v>43100</v>
      </c>
      <c r="E201" s="1210">
        <v>360</v>
      </c>
      <c r="F201" s="219" t="s">
        <v>2866</v>
      </c>
      <c r="G201" s="142"/>
      <c r="H201" s="127"/>
      <c r="I201" s="128"/>
      <c r="J201" s="128"/>
      <c r="K201" s="980">
        <v>1</v>
      </c>
      <c r="L201" s="143"/>
      <c r="M201" s="143"/>
      <c r="N201" s="144"/>
      <c r="O201" s="144"/>
      <c r="P201" s="144"/>
      <c r="Q201" s="353">
        <f t="shared" si="84"/>
        <v>1</v>
      </c>
      <c r="R201" s="129">
        <f t="shared" si="85"/>
        <v>0</v>
      </c>
      <c r="S201" s="129">
        <f t="shared" si="86"/>
        <v>0</v>
      </c>
      <c r="T201" s="129">
        <f t="shared" si="87"/>
        <v>1</v>
      </c>
      <c r="U201" s="129">
        <f t="shared" si="88"/>
        <v>303</v>
      </c>
      <c r="V201" s="214">
        <f t="shared" si="89"/>
        <v>15</v>
      </c>
      <c r="W201" s="353">
        <f t="shared" si="90"/>
        <v>45.45</v>
      </c>
      <c r="X201" s="129">
        <f t="shared" si="91"/>
        <v>45.45</v>
      </c>
      <c r="Y201" s="129" t="str">
        <f t="shared" si="92"/>
        <v/>
      </c>
      <c r="Z201" s="145"/>
      <c r="BA201" s="75" t="e">
        <f t="shared" si="98"/>
        <v>#DIV/0!</v>
      </c>
      <c r="BB201" s="78"/>
      <c r="BC201" s="132"/>
      <c r="BD201" s="133"/>
      <c r="BE201" s="132"/>
      <c r="BF201" s="134"/>
      <c r="BG201" s="135"/>
      <c r="BH201" s="135"/>
      <c r="BI201" s="136"/>
      <c r="BJ201" s="136"/>
      <c r="BK201" s="136"/>
      <c r="BL201" s="136"/>
      <c r="BM201" s="137"/>
      <c r="BN201" s="137"/>
      <c r="BO201" s="75">
        <f>LOOKUP(D201,基础数据!A:D)</f>
        <v>3.53915880885741</v>
      </c>
      <c r="BP201" s="75">
        <f t="shared" si="100"/>
        <v>1.00524445538374</v>
      </c>
      <c r="BQ201" s="75">
        <f t="shared" si="101"/>
        <v>362</v>
      </c>
      <c r="BR201" s="272">
        <v>339</v>
      </c>
      <c r="BS201" s="156">
        <f t="shared" si="93"/>
        <v>39</v>
      </c>
      <c r="BT201" s="186">
        <v>0.01</v>
      </c>
      <c r="BU201" s="156">
        <f t="shared" si="94"/>
        <v>3.39</v>
      </c>
      <c r="BV201" s="156">
        <f t="shared" si="95"/>
        <v>0.28</v>
      </c>
      <c r="BW201" s="156">
        <f t="shared" si="99"/>
        <v>303</v>
      </c>
      <c r="BX201" s="156">
        <f t="shared" si="96"/>
        <v>7.58110882956879</v>
      </c>
      <c r="BY201" s="1207" t="s">
        <v>2888</v>
      </c>
      <c r="BZ201" s="272">
        <v>3</v>
      </c>
      <c r="CA201" s="186">
        <f t="shared" si="97"/>
        <v>-1.53</v>
      </c>
      <c r="CB201" s="186">
        <f t="shared" si="102"/>
        <v>-1.53</v>
      </c>
      <c r="CC201" s="186">
        <f t="shared" si="103"/>
        <v>-1.53</v>
      </c>
      <c r="CD201" s="1208" t="s">
        <v>2889</v>
      </c>
      <c r="CF201" s="134"/>
      <c r="CG201" s="138"/>
      <c r="CH201" s="132"/>
      <c r="CI201" s="138"/>
      <c r="CJ201" s="132"/>
      <c r="CK201" s="132"/>
      <c r="CL201" s="134"/>
      <c r="CM201" s="146"/>
    </row>
    <row r="202" ht="15" hidden="1" customHeight="1" spans="1:91">
      <c r="A202" s="123">
        <f>IF(B202="","",COUNT(A$7:A201)+1)</f>
        <v>195</v>
      </c>
      <c r="B202" s="139" t="s">
        <v>2886</v>
      </c>
      <c r="C202" s="139" t="s">
        <v>2887</v>
      </c>
      <c r="D202" s="1209">
        <v>43100</v>
      </c>
      <c r="E202" s="1210">
        <v>360</v>
      </c>
      <c r="F202" s="219" t="s">
        <v>2866</v>
      </c>
      <c r="G202" s="142"/>
      <c r="H202" s="127"/>
      <c r="I202" s="128"/>
      <c r="J202" s="128"/>
      <c r="K202" s="980">
        <v>1</v>
      </c>
      <c r="L202" s="143"/>
      <c r="M202" s="143"/>
      <c r="N202" s="144"/>
      <c r="O202" s="144"/>
      <c r="P202" s="144"/>
      <c r="Q202" s="353">
        <f t="shared" si="84"/>
        <v>1</v>
      </c>
      <c r="R202" s="129">
        <f t="shared" si="85"/>
        <v>0</v>
      </c>
      <c r="S202" s="129">
        <f t="shared" si="86"/>
        <v>0</v>
      </c>
      <c r="T202" s="129">
        <f t="shared" si="87"/>
        <v>1</v>
      </c>
      <c r="U202" s="129">
        <f t="shared" si="88"/>
        <v>303</v>
      </c>
      <c r="V202" s="214">
        <f t="shared" si="89"/>
        <v>15</v>
      </c>
      <c r="W202" s="353">
        <f t="shared" si="90"/>
        <v>45.45</v>
      </c>
      <c r="X202" s="129">
        <f t="shared" si="91"/>
        <v>45.45</v>
      </c>
      <c r="Y202" s="129" t="str">
        <f t="shared" si="92"/>
        <v/>
      </c>
      <c r="Z202" s="145"/>
      <c r="BA202" s="75" t="e">
        <f t="shared" si="98"/>
        <v>#DIV/0!</v>
      </c>
      <c r="BB202" s="78"/>
      <c r="BC202" s="132"/>
      <c r="BD202" s="133"/>
      <c r="BE202" s="132"/>
      <c r="BF202" s="134"/>
      <c r="BG202" s="135"/>
      <c r="BH202" s="135"/>
      <c r="BI202" s="136"/>
      <c r="BJ202" s="136"/>
      <c r="BK202" s="136"/>
      <c r="BL202" s="136"/>
      <c r="BM202" s="137"/>
      <c r="BN202" s="137"/>
      <c r="BO202" s="75">
        <f>LOOKUP(D202,基础数据!A:D)</f>
        <v>3.53915880885741</v>
      </c>
      <c r="BP202" s="75">
        <f t="shared" si="100"/>
        <v>1.00524445538374</v>
      </c>
      <c r="BQ202" s="75">
        <f t="shared" si="101"/>
        <v>362</v>
      </c>
      <c r="BR202" s="272">
        <v>339</v>
      </c>
      <c r="BS202" s="156">
        <f t="shared" si="93"/>
        <v>39</v>
      </c>
      <c r="BT202" s="186">
        <v>0.01</v>
      </c>
      <c r="BU202" s="156">
        <f t="shared" si="94"/>
        <v>3.39</v>
      </c>
      <c r="BV202" s="156">
        <f t="shared" si="95"/>
        <v>0.28</v>
      </c>
      <c r="BW202" s="156">
        <f t="shared" si="99"/>
        <v>303</v>
      </c>
      <c r="BX202" s="156">
        <f t="shared" si="96"/>
        <v>7.58110882956879</v>
      </c>
      <c r="BY202" s="1207" t="s">
        <v>2888</v>
      </c>
      <c r="BZ202" s="272">
        <v>3</v>
      </c>
      <c r="CA202" s="186">
        <f t="shared" si="97"/>
        <v>-1.53</v>
      </c>
      <c r="CB202" s="186">
        <f t="shared" si="102"/>
        <v>-1.53</v>
      </c>
      <c r="CC202" s="186">
        <f t="shared" si="103"/>
        <v>-1.53</v>
      </c>
      <c r="CD202" s="1208" t="s">
        <v>2889</v>
      </c>
      <c r="CF202" s="134"/>
      <c r="CG202" s="138"/>
      <c r="CH202" s="132"/>
      <c r="CI202" s="138"/>
      <c r="CJ202" s="132"/>
      <c r="CK202" s="132"/>
      <c r="CL202" s="134"/>
      <c r="CM202" s="146"/>
    </row>
    <row r="203" ht="15" hidden="1" customHeight="1" spans="1:91">
      <c r="A203" s="123">
        <f>IF(B203="","",COUNT(A$7:A202)+1)</f>
        <v>196</v>
      </c>
      <c r="B203" s="139" t="s">
        <v>2886</v>
      </c>
      <c r="C203" s="139" t="s">
        <v>2890</v>
      </c>
      <c r="D203" s="1209">
        <v>43100</v>
      </c>
      <c r="E203" s="1210">
        <v>360</v>
      </c>
      <c r="F203" s="219" t="s">
        <v>2866</v>
      </c>
      <c r="G203" s="142"/>
      <c r="H203" s="127"/>
      <c r="I203" s="128"/>
      <c r="J203" s="128"/>
      <c r="K203" s="980">
        <v>1</v>
      </c>
      <c r="L203" s="143"/>
      <c r="M203" s="143"/>
      <c r="N203" s="144"/>
      <c r="O203" s="144"/>
      <c r="P203" s="144"/>
      <c r="Q203" s="353">
        <f t="shared" si="84"/>
        <v>1</v>
      </c>
      <c r="R203" s="129">
        <f t="shared" si="85"/>
        <v>0</v>
      </c>
      <c r="S203" s="129">
        <f t="shared" si="86"/>
        <v>0</v>
      </c>
      <c r="T203" s="129">
        <f t="shared" si="87"/>
        <v>1</v>
      </c>
      <c r="U203" s="129">
        <f t="shared" si="88"/>
        <v>303</v>
      </c>
      <c r="V203" s="214">
        <f t="shared" si="89"/>
        <v>15</v>
      </c>
      <c r="W203" s="353">
        <f t="shared" si="90"/>
        <v>45.45</v>
      </c>
      <c r="X203" s="129">
        <f t="shared" si="91"/>
        <v>45.45</v>
      </c>
      <c r="Y203" s="129" t="str">
        <f t="shared" si="92"/>
        <v/>
      </c>
      <c r="Z203" s="145"/>
      <c r="BA203" s="75" t="e">
        <f t="shared" si="98"/>
        <v>#DIV/0!</v>
      </c>
      <c r="BB203" s="78"/>
      <c r="BC203" s="132"/>
      <c r="BD203" s="133"/>
      <c r="BE203" s="132"/>
      <c r="BF203" s="134"/>
      <c r="BG203" s="135"/>
      <c r="BH203" s="135"/>
      <c r="BI203" s="136"/>
      <c r="BJ203" s="136"/>
      <c r="BK203" s="136"/>
      <c r="BL203" s="136"/>
      <c r="BM203" s="137"/>
      <c r="BN203" s="137"/>
      <c r="BO203" s="75">
        <f>LOOKUP(D203,基础数据!A:D)</f>
        <v>3.53915880885741</v>
      </c>
      <c r="BP203" s="75">
        <f t="shared" si="100"/>
        <v>1.00524445538374</v>
      </c>
      <c r="BQ203" s="75">
        <f t="shared" si="101"/>
        <v>362</v>
      </c>
      <c r="BR203" s="272">
        <v>339</v>
      </c>
      <c r="BS203" s="156">
        <f t="shared" si="93"/>
        <v>39</v>
      </c>
      <c r="BT203" s="186">
        <v>0.01</v>
      </c>
      <c r="BU203" s="156">
        <f t="shared" si="94"/>
        <v>3.39</v>
      </c>
      <c r="BV203" s="156">
        <f t="shared" si="95"/>
        <v>0.28</v>
      </c>
      <c r="BW203" s="156">
        <f t="shared" si="99"/>
        <v>303</v>
      </c>
      <c r="BX203" s="156">
        <f t="shared" si="96"/>
        <v>7.58110882956879</v>
      </c>
      <c r="BY203" s="1207" t="s">
        <v>2888</v>
      </c>
      <c r="BZ203" s="272">
        <v>3</v>
      </c>
      <c r="CA203" s="186">
        <f t="shared" si="97"/>
        <v>-1.53</v>
      </c>
      <c r="CB203" s="186">
        <f t="shared" si="102"/>
        <v>-1.53</v>
      </c>
      <c r="CC203" s="186">
        <f t="shared" si="103"/>
        <v>-1.53</v>
      </c>
      <c r="CD203" s="1212" t="s">
        <v>2889</v>
      </c>
      <c r="CF203" s="134"/>
      <c r="CG203" s="138"/>
      <c r="CH203" s="132"/>
      <c r="CI203" s="138"/>
      <c r="CJ203" s="132"/>
      <c r="CK203" s="132"/>
      <c r="CL203" s="134"/>
      <c r="CM203" s="146"/>
    </row>
    <row r="204" ht="15" hidden="1" customHeight="1" spans="1:91">
      <c r="A204" s="123">
        <f>IF(B204="","",COUNT(A$7:A203)+1)</f>
        <v>197</v>
      </c>
      <c r="B204" s="139" t="s">
        <v>2886</v>
      </c>
      <c r="C204" s="139" t="s">
        <v>2890</v>
      </c>
      <c r="D204" s="1209">
        <v>43100</v>
      </c>
      <c r="E204" s="1210">
        <v>360</v>
      </c>
      <c r="F204" s="219" t="s">
        <v>2866</v>
      </c>
      <c r="G204" s="142"/>
      <c r="H204" s="127"/>
      <c r="I204" s="128"/>
      <c r="J204" s="128"/>
      <c r="K204" s="980">
        <v>1</v>
      </c>
      <c r="L204" s="143"/>
      <c r="M204" s="143"/>
      <c r="N204" s="144"/>
      <c r="O204" s="144"/>
      <c r="P204" s="144"/>
      <c r="Q204" s="353">
        <f t="shared" si="84"/>
        <v>1</v>
      </c>
      <c r="R204" s="129">
        <f t="shared" si="85"/>
        <v>0</v>
      </c>
      <c r="S204" s="129">
        <f t="shared" si="86"/>
        <v>0</v>
      </c>
      <c r="T204" s="129">
        <f t="shared" si="87"/>
        <v>1</v>
      </c>
      <c r="U204" s="129">
        <f t="shared" si="88"/>
        <v>303</v>
      </c>
      <c r="V204" s="214">
        <f t="shared" si="89"/>
        <v>15</v>
      </c>
      <c r="W204" s="353">
        <f t="shared" si="90"/>
        <v>45.45</v>
      </c>
      <c r="X204" s="129">
        <f t="shared" si="91"/>
        <v>45.45</v>
      </c>
      <c r="Y204" s="129" t="str">
        <f t="shared" si="92"/>
        <v/>
      </c>
      <c r="Z204" s="145"/>
      <c r="BA204" s="75" t="e">
        <f t="shared" si="98"/>
        <v>#DIV/0!</v>
      </c>
      <c r="BB204" s="78"/>
      <c r="BC204" s="132"/>
      <c r="BD204" s="133"/>
      <c r="BE204" s="132"/>
      <c r="BF204" s="134"/>
      <c r="BG204" s="135"/>
      <c r="BH204" s="135"/>
      <c r="BI204" s="136"/>
      <c r="BJ204" s="136"/>
      <c r="BK204" s="136"/>
      <c r="BL204" s="136"/>
      <c r="BM204" s="137"/>
      <c r="BN204" s="137"/>
      <c r="BO204" s="75">
        <f>LOOKUP(D204,基础数据!A:D)</f>
        <v>3.53915880885741</v>
      </c>
      <c r="BP204" s="75">
        <f t="shared" si="100"/>
        <v>1.00524445538374</v>
      </c>
      <c r="BQ204" s="75">
        <f t="shared" si="101"/>
        <v>362</v>
      </c>
      <c r="BR204" s="272">
        <v>339</v>
      </c>
      <c r="BS204" s="156">
        <f t="shared" si="93"/>
        <v>39</v>
      </c>
      <c r="BT204" s="186">
        <v>0.01</v>
      </c>
      <c r="BU204" s="156">
        <f t="shared" si="94"/>
        <v>3.39</v>
      </c>
      <c r="BV204" s="156">
        <f t="shared" si="95"/>
        <v>0.28</v>
      </c>
      <c r="BW204" s="156">
        <f t="shared" si="99"/>
        <v>303</v>
      </c>
      <c r="BX204" s="156">
        <f t="shared" si="96"/>
        <v>7.58110882956879</v>
      </c>
      <c r="BY204" s="1207" t="s">
        <v>2888</v>
      </c>
      <c r="BZ204" s="272">
        <v>3</v>
      </c>
      <c r="CA204" s="186">
        <f t="shared" si="97"/>
        <v>-1.53</v>
      </c>
      <c r="CB204" s="186">
        <f t="shared" si="102"/>
        <v>-1.53</v>
      </c>
      <c r="CC204" s="186">
        <f t="shared" si="103"/>
        <v>-1.53</v>
      </c>
      <c r="CD204" s="1208" t="s">
        <v>2889</v>
      </c>
      <c r="CF204" s="134"/>
      <c r="CG204" s="138"/>
      <c r="CH204" s="132"/>
      <c r="CI204" s="138"/>
      <c r="CJ204" s="132"/>
      <c r="CK204" s="132"/>
      <c r="CL204" s="134"/>
      <c r="CM204" s="146"/>
    </row>
    <row r="205" ht="15" hidden="1" customHeight="1" spans="1:91">
      <c r="A205" s="123">
        <f>IF(B205="","",COUNT(A$7:A204)+1)</f>
        <v>198</v>
      </c>
      <c r="B205" s="139" t="s">
        <v>2886</v>
      </c>
      <c r="C205" s="139" t="s">
        <v>2890</v>
      </c>
      <c r="D205" s="1209">
        <v>43100</v>
      </c>
      <c r="E205" s="1210">
        <v>360</v>
      </c>
      <c r="F205" s="219" t="s">
        <v>2866</v>
      </c>
      <c r="G205" s="142"/>
      <c r="H205" s="127"/>
      <c r="I205" s="128"/>
      <c r="J205" s="128"/>
      <c r="K205" s="980">
        <v>1</v>
      </c>
      <c r="L205" s="143"/>
      <c r="M205" s="143"/>
      <c r="N205" s="144"/>
      <c r="O205" s="144"/>
      <c r="P205" s="144"/>
      <c r="Q205" s="353">
        <f t="shared" si="84"/>
        <v>1</v>
      </c>
      <c r="R205" s="129">
        <f t="shared" si="85"/>
        <v>0</v>
      </c>
      <c r="S205" s="129">
        <f t="shared" si="86"/>
        <v>0</v>
      </c>
      <c r="T205" s="129">
        <f t="shared" si="87"/>
        <v>1</v>
      </c>
      <c r="U205" s="129">
        <f t="shared" si="88"/>
        <v>303</v>
      </c>
      <c r="V205" s="214">
        <f t="shared" si="89"/>
        <v>15</v>
      </c>
      <c r="W205" s="353">
        <f t="shared" si="90"/>
        <v>45.45</v>
      </c>
      <c r="X205" s="129">
        <f t="shared" si="91"/>
        <v>45.45</v>
      </c>
      <c r="Y205" s="129" t="str">
        <f t="shared" si="92"/>
        <v/>
      </c>
      <c r="Z205" s="145"/>
      <c r="BA205" s="75" t="e">
        <f t="shared" si="98"/>
        <v>#DIV/0!</v>
      </c>
      <c r="BB205" s="78"/>
      <c r="BC205" s="132"/>
      <c r="BD205" s="133"/>
      <c r="BE205" s="132"/>
      <c r="BF205" s="134"/>
      <c r="BG205" s="135"/>
      <c r="BH205" s="135"/>
      <c r="BI205" s="136"/>
      <c r="BJ205" s="136"/>
      <c r="BK205" s="136"/>
      <c r="BL205" s="136"/>
      <c r="BM205" s="137"/>
      <c r="BN205" s="137"/>
      <c r="BO205" s="75">
        <f>LOOKUP(D205,基础数据!A:D)</f>
        <v>3.53915880885741</v>
      </c>
      <c r="BP205" s="75">
        <f t="shared" si="100"/>
        <v>1.00524445538374</v>
      </c>
      <c r="BQ205" s="75">
        <f t="shared" si="101"/>
        <v>362</v>
      </c>
      <c r="BR205" s="272">
        <v>339</v>
      </c>
      <c r="BS205" s="156">
        <f t="shared" si="93"/>
        <v>39</v>
      </c>
      <c r="BT205" s="186">
        <v>0.01</v>
      </c>
      <c r="BU205" s="156">
        <f t="shared" si="94"/>
        <v>3.39</v>
      </c>
      <c r="BV205" s="156">
        <f t="shared" si="95"/>
        <v>0.28</v>
      </c>
      <c r="BW205" s="156">
        <f t="shared" si="99"/>
        <v>303</v>
      </c>
      <c r="BX205" s="156">
        <f t="shared" si="96"/>
        <v>7.58110882956879</v>
      </c>
      <c r="BY205" s="1207" t="s">
        <v>2888</v>
      </c>
      <c r="BZ205" s="272">
        <v>3</v>
      </c>
      <c r="CA205" s="186">
        <f t="shared" si="97"/>
        <v>-1.53</v>
      </c>
      <c r="CB205" s="186">
        <f t="shared" si="102"/>
        <v>-1.53</v>
      </c>
      <c r="CC205" s="186">
        <f t="shared" si="103"/>
        <v>-1.53</v>
      </c>
      <c r="CD205" s="1208" t="s">
        <v>2889</v>
      </c>
      <c r="CF205" s="134"/>
      <c r="CG205" s="138"/>
      <c r="CH205" s="132"/>
      <c r="CI205" s="138"/>
      <c r="CJ205" s="132"/>
      <c r="CK205" s="132"/>
      <c r="CL205" s="134"/>
      <c r="CM205" s="146"/>
    </row>
    <row r="206" ht="15" hidden="1" customHeight="1" spans="1:91">
      <c r="A206" s="123">
        <f>IF(B206="","",COUNT(A$7:A205)+1)</f>
        <v>199</v>
      </c>
      <c r="B206" s="139" t="s">
        <v>2886</v>
      </c>
      <c r="C206" s="139" t="s">
        <v>2890</v>
      </c>
      <c r="D206" s="1209">
        <v>43100</v>
      </c>
      <c r="E206" s="1210">
        <v>360</v>
      </c>
      <c r="F206" s="219" t="s">
        <v>2866</v>
      </c>
      <c r="G206" s="142"/>
      <c r="H206" s="127"/>
      <c r="I206" s="128"/>
      <c r="J206" s="128"/>
      <c r="K206" s="980">
        <v>1</v>
      </c>
      <c r="L206" s="143"/>
      <c r="M206" s="143"/>
      <c r="N206" s="144"/>
      <c r="O206" s="144"/>
      <c r="P206" s="144"/>
      <c r="Q206" s="353">
        <f t="shared" si="84"/>
        <v>1</v>
      </c>
      <c r="R206" s="129">
        <f t="shared" si="85"/>
        <v>0</v>
      </c>
      <c r="S206" s="129">
        <f t="shared" si="86"/>
        <v>0</v>
      </c>
      <c r="T206" s="129">
        <f t="shared" si="87"/>
        <v>1</v>
      </c>
      <c r="U206" s="129">
        <f t="shared" si="88"/>
        <v>303</v>
      </c>
      <c r="V206" s="214">
        <f t="shared" si="89"/>
        <v>15</v>
      </c>
      <c r="W206" s="353">
        <f t="shared" si="90"/>
        <v>45.45</v>
      </c>
      <c r="X206" s="129">
        <f t="shared" si="91"/>
        <v>45.45</v>
      </c>
      <c r="Y206" s="129" t="str">
        <f t="shared" si="92"/>
        <v/>
      </c>
      <c r="Z206" s="145"/>
      <c r="BA206" s="75" t="e">
        <f t="shared" si="98"/>
        <v>#DIV/0!</v>
      </c>
      <c r="BB206" s="78"/>
      <c r="BC206" s="132"/>
      <c r="BD206" s="133"/>
      <c r="BE206" s="132"/>
      <c r="BF206" s="134"/>
      <c r="BG206" s="135"/>
      <c r="BH206" s="135"/>
      <c r="BI206" s="136"/>
      <c r="BJ206" s="136"/>
      <c r="BK206" s="136"/>
      <c r="BL206" s="136"/>
      <c r="BM206" s="137"/>
      <c r="BN206" s="137"/>
      <c r="BO206" s="75">
        <f>LOOKUP(D206,基础数据!A:D)</f>
        <v>3.53915880885741</v>
      </c>
      <c r="BP206" s="75">
        <f t="shared" si="100"/>
        <v>1.00524445538374</v>
      </c>
      <c r="BQ206" s="75">
        <f t="shared" si="101"/>
        <v>362</v>
      </c>
      <c r="BR206" s="272">
        <v>339</v>
      </c>
      <c r="BS206" s="156">
        <f t="shared" si="93"/>
        <v>39</v>
      </c>
      <c r="BT206" s="186">
        <v>0.01</v>
      </c>
      <c r="BU206" s="156">
        <f t="shared" si="94"/>
        <v>3.39</v>
      </c>
      <c r="BV206" s="156">
        <f t="shared" si="95"/>
        <v>0.28</v>
      </c>
      <c r="BW206" s="156">
        <f t="shared" si="99"/>
        <v>303</v>
      </c>
      <c r="BX206" s="156">
        <f t="shared" si="96"/>
        <v>7.58110882956879</v>
      </c>
      <c r="BY206" s="1207" t="s">
        <v>2888</v>
      </c>
      <c r="BZ206" s="272">
        <v>3</v>
      </c>
      <c r="CA206" s="186">
        <f t="shared" si="97"/>
        <v>-1.53</v>
      </c>
      <c r="CB206" s="186">
        <f t="shared" si="102"/>
        <v>-1.53</v>
      </c>
      <c r="CC206" s="186">
        <f t="shared" si="103"/>
        <v>-1.53</v>
      </c>
      <c r="CD206" s="1208" t="s">
        <v>2889</v>
      </c>
      <c r="CF206" s="134"/>
      <c r="CG206" s="138"/>
      <c r="CH206" s="132"/>
      <c r="CI206" s="138"/>
      <c r="CJ206" s="132"/>
      <c r="CK206" s="132"/>
      <c r="CL206" s="134"/>
      <c r="CM206" s="146"/>
    </row>
    <row r="207" ht="15" hidden="1" customHeight="1" spans="1:91">
      <c r="A207" s="123">
        <f>IF(B207="","",COUNT(A$7:A206)+1)</f>
        <v>200</v>
      </c>
      <c r="B207" s="139" t="s">
        <v>2891</v>
      </c>
      <c r="C207" s="139" t="s">
        <v>2892</v>
      </c>
      <c r="D207" s="1209">
        <v>45001</v>
      </c>
      <c r="E207" s="1210">
        <v>16000</v>
      </c>
      <c r="F207" s="219" t="s">
        <v>2866</v>
      </c>
      <c r="G207" s="142"/>
      <c r="H207" s="127"/>
      <c r="I207" s="128"/>
      <c r="J207" s="128"/>
      <c r="K207" s="980">
        <v>1</v>
      </c>
      <c r="L207" s="143"/>
      <c r="M207" s="143"/>
      <c r="N207" s="144"/>
      <c r="O207" s="144"/>
      <c r="P207" s="144"/>
      <c r="Q207" s="353">
        <f t="shared" si="84"/>
        <v>1</v>
      </c>
      <c r="R207" s="129">
        <f t="shared" si="85"/>
        <v>0</v>
      </c>
      <c r="S207" s="129">
        <f t="shared" si="86"/>
        <v>0</v>
      </c>
      <c r="T207" s="129">
        <f t="shared" si="87"/>
        <v>1</v>
      </c>
      <c r="U207" s="129">
        <f t="shared" si="88"/>
        <v>14945</v>
      </c>
      <c r="V207" s="214">
        <f t="shared" si="89"/>
        <v>60</v>
      </c>
      <c r="W207" s="353">
        <f t="shared" si="90"/>
        <v>8967</v>
      </c>
      <c r="X207" s="129">
        <f t="shared" si="91"/>
        <v>8967</v>
      </c>
      <c r="Y207" s="129" t="str">
        <f t="shared" si="92"/>
        <v/>
      </c>
      <c r="Z207" s="145"/>
      <c r="BA207" s="75" t="e">
        <f t="shared" si="98"/>
        <v>#DIV/0!</v>
      </c>
      <c r="BB207" s="78"/>
      <c r="BC207" s="132"/>
      <c r="BD207" s="133"/>
      <c r="BE207" s="132"/>
      <c r="BF207" s="134"/>
      <c r="BG207" s="135"/>
      <c r="BH207" s="135"/>
      <c r="BI207" s="136"/>
      <c r="BJ207" s="136"/>
      <c r="BK207" s="136"/>
      <c r="BL207" s="136"/>
      <c r="BM207" s="137"/>
      <c r="BN207" s="137"/>
      <c r="BO207" s="75">
        <f>LOOKUP(D207,基础数据!A:D)</f>
        <v>3.80882053463966</v>
      </c>
      <c r="BP207" s="75">
        <f t="shared" si="100"/>
        <v>0.9340738785066</v>
      </c>
      <c r="BQ207" s="75">
        <f t="shared" si="101"/>
        <v>14945</v>
      </c>
      <c r="BR207" s="272">
        <f t="shared" ref="BR207:BR219" si="104">ROUND(BQ207*1.13,0)</f>
        <v>16888</v>
      </c>
      <c r="BS207" s="156">
        <f t="shared" si="93"/>
        <v>1942.87</v>
      </c>
      <c r="BT207" s="156"/>
      <c r="BU207" s="156">
        <f t="shared" si="94"/>
        <v>0</v>
      </c>
      <c r="BV207" s="156">
        <f t="shared" si="95"/>
        <v>0</v>
      </c>
      <c r="BW207" s="156">
        <f t="shared" si="99"/>
        <v>14945</v>
      </c>
      <c r="BX207" s="156">
        <f t="shared" si="96"/>
        <v>2.37645448323066</v>
      </c>
      <c r="BY207" s="1207" t="s">
        <v>2878</v>
      </c>
      <c r="BZ207" s="272">
        <v>6</v>
      </c>
      <c r="CA207" s="186">
        <f t="shared" ref="CA207:CA261" si="105">ROUND(IFERROR(1-(BX207/BZ207),0),2)</f>
        <v>0.6</v>
      </c>
      <c r="CB207" s="186">
        <f t="shared" si="102"/>
        <v>0.6</v>
      </c>
      <c r="CC207" s="186">
        <f t="shared" si="103"/>
        <v>0.6</v>
      </c>
      <c r="CD207" s="272"/>
      <c r="CF207" s="134"/>
      <c r="CG207" s="138"/>
      <c r="CH207" s="132"/>
      <c r="CI207" s="138"/>
      <c r="CJ207" s="132"/>
      <c r="CK207" s="132"/>
      <c r="CL207" s="134"/>
      <c r="CM207" s="146"/>
    </row>
    <row r="208" ht="15" hidden="1" customHeight="1" spans="1:91">
      <c r="A208" s="123">
        <f>IF(B208="","",COUNT(A$7:A207)+1)</f>
        <v>201</v>
      </c>
      <c r="B208" s="139" t="s">
        <v>2891</v>
      </c>
      <c r="C208" s="139" t="s">
        <v>2892</v>
      </c>
      <c r="D208" s="1209">
        <v>45001</v>
      </c>
      <c r="E208" s="1210">
        <v>16000</v>
      </c>
      <c r="F208" s="219" t="s">
        <v>2866</v>
      </c>
      <c r="G208" s="142"/>
      <c r="H208" s="127"/>
      <c r="I208" s="128"/>
      <c r="J208" s="128"/>
      <c r="K208" s="980">
        <v>1</v>
      </c>
      <c r="L208" s="143"/>
      <c r="M208" s="143"/>
      <c r="N208" s="144"/>
      <c r="O208" s="144"/>
      <c r="P208" s="144"/>
      <c r="Q208" s="353">
        <f t="shared" si="84"/>
        <v>1</v>
      </c>
      <c r="R208" s="129">
        <f t="shared" si="85"/>
        <v>0</v>
      </c>
      <c r="S208" s="129">
        <f t="shared" si="86"/>
        <v>0</v>
      </c>
      <c r="T208" s="129">
        <f t="shared" si="87"/>
        <v>1</v>
      </c>
      <c r="U208" s="129">
        <f t="shared" si="88"/>
        <v>14945</v>
      </c>
      <c r="V208" s="214">
        <f t="shared" si="89"/>
        <v>60</v>
      </c>
      <c r="W208" s="353">
        <f t="shared" si="90"/>
        <v>8967</v>
      </c>
      <c r="X208" s="129">
        <f t="shared" si="91"/>
        <v>8967</v>
      </c>
      <c r="Y208" s="129" t="str">
        <f t="shared" si="92"/>
        <v/>
      </c>
      <c r="Z208" s="145"/>
      <c r="BA208" s="75" t="e">
        <f t="shared" si="98"/>
        <v>#DIV/0!</v>
      </c>
      <c r="BB208" s="78"/>
      <c r="BC208" s="132"/>
      <c r="BD208" s="133"/>
      <c r="BE208" s="132"/>
      <c r="BF208" s="134"/>
      <c r="BG208" s="135"/>
      <c r="BH208" s="135"/>
      <c r="BI208" s="136"/>
      <c r="BJ208" s="136"/>
      <c r="BK208" s="136"/>
      <c r="BL208" s="136"/>
      <c r="BM208" s="137"/>
      <c r="BN208" s="137"/>
      <c r="BO208" s="75">
        <f>LOOKUP(D208,基础数据!A:D)</f>
        <v>3.80882053463966</v>
      </c>
      <c r="BP208" s="75">
        <f t="shared" si="100"/>
        <v>0.9340738785066</v>
      </c>
      <c r="BQ208" s="75">
        <f t="shared" si="101"/>
        <v>14945</v>
      </c>
      <c r="BR208" s="272">
        <f t="shared" si="104"/>
        <v>16888</v>
      </c>
      <c r="BS208" s="156">
        <f t="shared" si="93"/>
        <v>1942.87</v>
      </c>
      <c r="BT208" s="156"/>
      <c r="BU208" s="156">
        <f t="shared" si="94"/>
        <v>0</v>
      </c>
      <c r="BV208" s="156">
        <f t="shared" si="95"/>
        <v>0</v>
      </c>
      <c r="BW208" s="156">
        <f t="shared" si="99"/>
        <v>14945</v>
      </c>
      <c r="BX208" s="156">
        <f t="shared" si="96"/>
        <v>2.37645448323066</v>
      </c>
      <c r="BY208" s="1207" t="s">
        <v>2878</v>
      </c>
      <c r="BZ208" s="272">
        <v>6</v>
      </c>
      <c r="CA208" s="186">
        <f t="shared" si="105"/>
        <v>0.6</v>
      </c>
      <c r="CB208" s="186">
        <f t="shared" si="102"/>
        <v>0.6</v>
      </c>
      <c r="CC208" s="186">
        <f t="shared" si="103"/>
        <v>0.6</v>
      </c>
      <c r="CD208" s="272"/>
      <c r="CF208" s="134"/>
      <c r="CG208" s="138"/>
      <c r="CH208" s="132"/>
      <c r="CI208" s="138"/>
      <c r="CJ208" s="132"/>
      <c r="CK208" s="132"/>
      <c r="CL208" s="134"/>
      <c r="CM208" s="146"/>
    </row>
    <row r="209" ht="15" hidden="1" customHeight="1" spans="1:91">
      <c r="A209" s="123">
        <f>IF(B209="","",COUNT(A$7:A208)+1)</f>
        <v>202</v>
      </c>
      <c r="B209" s="139" t="s">
        <v>2891</v>
      </c>
      <c r="C209" s="139" t="s">
        <v>2892</v>
      </c>
      <c r="D209" s="1209">
        <v>45001</v>
      </c>
      <c r="E209" s="1210">
        <v>16000</v>
      </c>
      <c r="F209" s="219" t="s">
        <v>2866</v>
      </c>
      <c r="G209" s="142"/>
      <c r="H209" s="127"/>
      <c r="I209" s="128"/>
      <c r="J209" s="128"/>
      <c r="K209" s="980">
        <v>1</v>
      </c>
      <c r="L209" s="143"/>
      <c r="M209" s="143"/>
      <c r="N209" s="144"/>
      <c r="O209" s="144"/>
      <c r="P209" s="144"/>
      <c r="Q209" s="353">
        <f t="shared" si="84"/>
        <v>1</v>
      </c>
      <c r="R209" s="129">
        <f t="shared" si="85"/>
        <v>0</v>
      </c>
      <c r="S209" s="129">
        <f t="shared" si="86"/>
        <v>0</v>
      </c>
      <c r="T209" s="129">
        <f t="shared" si="87"/>
        <v>1</v>
      </c>
      <c r="U209" s="129">
        <f t="shared" si="88"/>
        <v>14945</v>
      </c>
      <c r="V209" s="214">
        <f t="shared" si="89"/>
        <v>60</v>
      </c>
      <c r="W209" s="353">
        <f t="shared" si="90"/>
        <v>8967</v>
      </c>
      <c r="X209" s="129">
        <f t="shared" si="91"/>
        <v>8967</v>
      </c>
      <c r="Y209" s="129" t="str">
        <f t="shared" si="92"/>
        <v/>
      </c>
      <c r="Z209" s="145"/>
      <c r="BA209" s="75" t="e">
        <f t="shared" si="98"/>
        <v>#DIV/0!</v>
      </c>
      <c r="BB209" s="78"/>
      <c r="BC209" s="132"/>
      <c r="BD209" s="133"/>
      <c r="BE209" s="132"/>
      <c r="BF209" s="134"/>
      <c r="BG209" s="135"/>
      <c r="BH209" s="135"/>
      <c r="BI209" s="136"/>
      <c r="BJ209" s="136"/>
      <c r="BK209" s="136"/>
      <c r="BL209" s="136"/>
      <c r="BM209" s="137"/>
      <c r="BN209" s="137"/>
      <c r="BO209" s="75">
        <f>LOOKUP(D209,基础数据!A:D)</f>
        <v>3.80882053463966</v>
      </c>
      <c r="BP209" s="75">
        <f t="shared" si="100"/>
        <v>0.9340738785066</v>
      </c>
      <c r="BQ209" s="75">
        <f t="shared" si="101"/>
        <v>14945</v>
      </c>
      <c r="BR209" s="272">
        <f t="shared" si="104"/>
        <v>16888</v>
      </c>
      <c r="BS209" s="156">
        <f t="shared" si="93"/>
        <v>1942.87</v>
      </c>
      <c r="BT209" s="156"/>
      <c r="BU209" s="156">
        <f t="shared" si="94"/>
        <v>0</v>
      </c>
      <c r="BV209" s="156">
        <f t="shared" si="95"/>
        <v>0</v>
      </c>
      <c r="BW209" s="156">
        <f t="shared" si="99"/>
        <v>14945</v>
      </c>
      <c r="BX209" s="156">
        <f t="shared" si="96"/>
        <v>2.37645448323066</v>
      </c>
      <c r="BY209" s="1207" t="s">
        <v>2878</v>
      </c>
      <c r="BZ209" s="272">
        <v>6</v>
      </c>
      <c r="CA209" s="186">
        <f t="shared" si="105"/>
        <v>0.6</v>
      </c>
      <c r="CB209" s="186">
        <f t="shared" si="102"/>
        <v>0.6</v>
      </c>
      <c r="CC209" s="186">
        <f t="shared" si="103"/>
        <v>0.6</v>
      </c>
      <c r="CD209" s="272"/>
      <c r="CF209" s="134"/>
      <c r="CG209" s="138"/>
      <c r="CH209" s="132"/>
      <c r="CI209" s="138"/>
      <c r="CJ209" s="132"/>
      <c r="CK209" s="132"/>
      <c r="CL209" s="134"/>
      <c r="CM209" s="146"/>
    </row>
    <row r="210" ht="15" hidden="1" customHeight="1" spans="1:91">
      <c r="A210" s="123">
        <f>IF(B210="","",COUNT(A$7:A209)+1)</f>
        <v>203</v>
      </c>
      <c r="B210" s="139" t="s">
        <v>2891</v>
      </c>
      <c r="C210" s="139" t="s">
        <v>2892</v>
      </c>
      <c r="D210" s="1209">
        <v>45001</v>
      </c>
      <c r="E210" s="1210">
        <v>16000</v>
      </c>
      <c r="F210" s="219" t="s">
        <v>2866</v>
      </c>
      <c r="G210" s="142"/>
      <c r="H210" s="127"/>
      <c r="I210" s="128"/>
      <c r="J210" s="128"/>
      <c r="K210" s="980">
        <v>1</v>
      </c>
      <c r="L210" s="143"/>
      <c r="M210" s="143"/>
      <c r="N210" s="144"/>
      <c r="O210" s="144"/>
      <c r="P210" s="144"/>
      <c r="Q210" s="353">
        <f t="shared" si="84"/>
        <v>1</v>
      </c>
      <c r="R210" s="129">
        <f t="shared" si="85"/>
        <v>0</v>
      </c>
      <c r="S210" s="129">
        <f t="shared" si="86"/>
        <v>0</v>
      </c>
      <c r="T210" s="129">
        <f t="shared" si="87"/>
        <v>1</v>
      </c>
      <c r="U210" s="129">
        <f t="shared" si="88"/>
        <v>14945</v>
      </c>
      <c r="V210" s="214">
        <f t="shared" si="89"/>
        <v>60</v>
      </c>
      <c r="W210" s="353">
        <f t="shared" si="90"/>
        <v>8967</v>
      </c>
      <c r="X210" s="129">
        <f t="shared" si="91"/>
        <v>8967</v>
      </c>
      <c r="Y210" s="129" t="str">
        <f t="shared" si="92"/>
        <v/>
      </c>
      <c r="Z210" s="145"/>
      <c r="BA210" s="75" t="e">
        <f t="shared" si="98"/>
        <v>#DIV/0!</v>
      </c>
      <c r="BB210" s="78"/>
      <c r="BC210" s="132"/>
      <c r="BD210" s="133"/>
      <c r="BE210" s="132"/>
      <c r="BF210" s="134"/>
      <c r="BG210" s="135"/>
      <c r="BH210" s="135"/>
      <c r="BI210" s="136"/>
      <c r="BJ210" s="136"/>
      <c r="BK210" s="136"/>
      <c r="BL210" s="136"/>
      <c r="BM210" s="137"/>
      <c r="BN210" s="137"/>
      <c r="BO210" s="75">
        <f>LOOKUP(D210,基础数据!A:D)</f>
        <v>3.80882053463966</v>
      </c>
      <c r="BP210" s="75">
        <f t="shared" si="100"/>
        <v>0.9340738785066</v>
      </c>
      <c r="BQ210" s="75">
        <f t="shared" si="101"/>
        <v>14945</v>
      </c>
      <c r="BR210" s="272">
        <f t="shared" si="104"/>
        <v>16888</v>
      </c>
      <c r="BS210" s="156">
        <f t="shared" si="93"/>
        <v>1942.87</v>
      </c>
      <c r="BT210" s="156"/>
      <c r="BU210" s="156">
        <f t="shared" si="94"/>
        <v>0</v>
      </c>
      <c r="BV210" s="156">
        <f t="shared" si="95"/>
        <v>0</v>
      </c>
      <c r="BW210" s="156">
        <f t="shared" si="99"/>
        <v>14945</v>
      </c>
      <c r="BX210" s="156">
        <f t="shared" si="96"/>
        <v>2.37645448323066</v>
      </c>
      <c r="BY210" s="1207" t="s">
        <v>2878</v>
      </c>
      <c r="BZ210" s="272">
        <v>6</v>
      </c>
      <c r="CA210" s="186">
        <f t="shared" si="105"/>
        <v>0.6</v>
      </c>
      <c r="CB210" s="186">
        <f t="shared" si="102"/>
        <v>0.6</v>
      </c>
      <c r="CC210" s="186">
        <f t="shared" si="103"/>
        <v>0.6</v>
      </c>
      <c r="CD210" s="272"/>
      <c r="CF210" s="134"/>
      <c r="CG210" s="138"/>
      <c r="CH210" s="132"/>
      <c r="CI210" s="138"/>
      <c r="CJ210" s="132"/>
      <c r="CK210" s="132"/>
      <c r="CL210" s="134"/>
      <c r="CM210" s="146"/>
    </row>
    <row r="211" ht="15" hidden="1" customHeight="1" spans="1:91">
      <c r="A211" s="123">
        <f>IF(B211="","",COUNT(A$7:A210)+1)</f>
        <v>204</v>
      </c>
      <c r="B211" s="139" t="s">
        <v>2891</v>
      </c>
      <c r="C211" s="139" t="s">
        <v>2892</v>
      </c>
      <c r="D211" s="1209">
        <v>45001</v>
      </c>
      <c r="E211" s="1210">
        <v>16000</v>
      </c>
      <c r="F211" s="219" t="s">
        <v>2866</v>
      </c>
      <c r="G211" s="142"/>
      <c r="H211" s="127"/>
      <c r="I211" s="128"/>
      <c r="J211" s="128"/>
      <c r="K211" s="980">
        <v>1</v>
      </c>
      <c r="L211" s="143"/>
      <c r="M211" s="143"/>
      <c r="N211" s="144"/>
      <c r="O211" s="144"/>
      <c r="P211" s="144"/>
      <c r="Q211" s="353">
        <f t="shared" si="84"/>
        <v>1</v>
      </c>
      <c r="R211" s="129">
        <f t="shared" si="85"/>
        <v>0</v>
      </c>
      <c r="S211" s="129">
        <f t="shared" si="86"/>
        <v>0</v>
      </c>
      <c r="T211" s="129">
        <f t="shared" si="87"/>
        <v>1</v>
      </c>
      <c r="U211" s="129">
        <f t="shared" si="88"/>
        <v>14945</v>
      </c>
      <c r="V211" s="214">
        <f t="shared" si="89"/>
        <v>60</v>
      </c>
      <c r="W211" s="353">
        <f t="shared" si="90"/>
        <v>8967</v>
      </c>
      <c r="X211" s="129">
        <f t="shared" si="91"/>
        <v>8967</v>
      </c>
      <c r="Y211" s="129" t="str">
        <f t="shared" si="92"/>
        <v/>
      </c>
      <c r="Z211" s="145"/>
      <c r="BA211" s="75" t="e">
        <f t="shared" si="98"/>
        <v>#DIV/0!</v>
      </c>
      <c r="BB211" s="78"/>
      <c r="BC211" s="132"/>
      <c r="BD211" s="133"/>
      <c r="BE211" s="132"/>
      <c r="BF211" s="134"/>
      <c r="BG211" s="135"/>
      <c r="BH211" s="135"/>
      <c r="BI211" s="136"/>
      <c r="BJ211" s="136"/>
      <c r="BK211" s="136"/>
      <c r="BL211" s="136"/>
      <c r="BM211" s="137"/>
      <c r="BN211" s="137"/>
      <c r="BO211" s="75">
        <f>LOOKUP(D211,基础数据!A:D)</f>
        <v>3.80882053463966</v>
      </c>
      <c r="BP211" s="75">
        <f t="shared" si="100"/>
        <v>0.9340738785066</v>
      </c>
      <c r="BQ211" s="75">
        <f t="shared" si="101"/>
        <v>14945</v>
      </c>
      <c r="BR211" s="272">
        <f t="shared" si="104"/>
        <v>16888</v>
      </c>
      <c r="BS211" s="156">
        <f t="shared" si="93"/>
        <v>1942.87</v>
      </c>
      <c r="BT211" s="156"/>
      <c r="BU211" s="156">
        <f t="shared" si="94"/>
        <v>0</v>
      </c>
      <c r="BV211" s="156">
        <f t="shared" si="95"/>
        <v>0</v>
      </c>
      <c r="BW211" s="156">
        <f t="shared" si="99"/>
        <v>14945</v>
      </c>
      <c r="BX211" s="156">
        <f t="shared" si="96"/>
        <v>2.37645448323066</v>
      </c>
      <c r="BY211" s="1207" t="s">
        <v>2878</v>
      </c>
      <c r="BZ211" s="272">
        <v>6</v>
      </c>
      <c r="CA211" s="186">
        <f t="shared" si="105"/>
        <v>0.6</v>
      </c>
      <c r="CB211" s="186">
        <f t="shared" si="102"/>
        <v>0.6</v>
      </c>
      <c r="CC211" s="186">
        <f t="shared" si="103"/>
        <v>0.6</v>
      </c>
      <c r="CD211" s="272"/>
      <c r="CF211" s="134"/>
      <c r="CG211" s="138"/>
      <c r="CH211" s="132"/>
      <c r="CI211" s="138"/>
      <c r="CJ211" s="132"/>
      <c r="CK211" s="132"/>
      <c r="CL211" s="134"/>
      <c r="CM211" s="146"/>
    </row>
    <row r="212" ht="15" hidden="1" customHeight="1" spans="1:91">
      <c r="A212" s="123">
        <f>IF(B212="","",COUNT(A$7:A211)+1)</f>
        <v>205</v>
      </c>
      <c r="B212" s="139" t="s">
        <v>2891</v>
      </c>
      <c r="C212" s="139" t="s">
        <v>2892</v>
      </c>
      <c r="D212" s="1209">
        <v>45001</v>
      </c>
      <c r="E212" s="1210">
        <v>16000</v>
      </c>
      <c r="F212" s="219" t="s">
        <v>2866</v>
      </c>
      <c r="G212" s="142"/>
      <c r="H212" s="127"/>
      <c r="I212" s="128"/>
      <c r="J212" s="128"/>
      <c r="K212" s="980">
        <v>1</v>
      </c>
      <c r="L212" s="143"/>
      <c r="M212" s="143"/>
      <c r="N212" s="144"/>
      <c r="O212" s="144"/>
      <c r="P212" s="144"/>
      <c r="Q212" s="353">
        <f t="shared" si="84"/>
        <v>1</v>
      </c>
      <c r="R212" s="129">
        <f t="shared" si="85"/>
        <v>0</v>
      </c>
      <c r="S212" s="129">
        <f t="shared" si="86"/>
        <v>0</v>
      </c>
      <c r="T212" s="129">
        <f t="shared" si="87"/>
        <v>1</v>
      </c>
      <c r="U212" s="129">
        <f t="shared" si="88"/>
        <v>14945</v>
      </c>
      <c r="V212" s="214">
        <f t="shared" si="89"/>
        <v>60</v>
      </c>
      <c r="W212" s="353">
        <f t="shared" si="90"/>
        <v>8967</v>
      </c>
      <c r="X212" s="129">
        <f t="shared" si="91"/>
        <v>8967</v>
      </c>
      <c r="Y212" s="129" t="str">
        <f t="shared" si="92"/>
        <v/>
      </c>
      <c r="Z212" s="145"/>
      <c r="BA212" s="75" t="e">
        <f t="shared" si="98"/>
        <v>#DIV/0!</v>
      </c>
      <c r="BB212" s="78"/>
      <c r="BC212" s="132"/>
      <c r="BD212" s="133"/>
      <c r="BE212" s="132"/>
      <c r="BF212" s="134"/>
      <c r="BG212" s="135"/>
      <c r="BH212" s="135"/>
      <c r="BI212" s="136"/>
      <c r="BJ212" s="136"/>
      <c r="BK212" s="136"/>
      <c r="BL212" s="136"/>
      <c r="BM212" s="137"/>
      <c r="BN212" s="137"/>
      <c r="BO212" s="75">
        <f>LOOKUP(D212,基础数据!A:D)</f>
        <v>3.80882053463966</v>
      </c>
      <c r="BP212" s="75">
        <f t="shared" si="100"/>
        <v>0.9340738785066</v>
      </c>
      <c r="BQ212" s="75">
        <f t="shared" si="101"/>
        <v>14945</v>
      </c>
      <c r="BR212" s="272">
        <f t="shared" si="104"/>
        <v>16888</v>
      </c>
      <c r="BS212" s="156">
        <f t="shared" si="93"/>
        <v>1942.87</v>
      </c>
      <c r="BT212" s="156"/>
      <c r="BU212" s="156">
        <f t="shared" si="94"/>
        <v>0</v>
      </c>
      <c r="BV212" s="156">
        <f t="shared" si="95"/>
        <v>0</v>
      </c>
      <c r="BW212" s="156">
        <f t="shared" si="99"/>
        <v>14945</v>
      </c>
      <c r="BX212" s="156">
        <f t="shared" si="96"/>
        <v>2.37645448323066</v>
      </c>
      <c r="BY212" s="1207" t="s">
        <v>2878</v>
      </c>
      <c r="BZ212" s="272">
        <v>6</v>
      </c>
      <c r="CA212" s="186">
        <f t="shared" si="105"/>
        <v>0.6</v>
      </c>
      <c r="CB212" s="186">
        <f t="shared" si="102"/>
        <v>0.6</v>
      </c>
      <c r="CC212" s="186">
        <f t="shared" si="103"/>
        <v>0.6</v>
      </c>
      <c r="CD212" s="272"/>
      <c r="CF212" s="134"/>
      <c r="CG212" s="138"/>
      <c r="CH212" s="132"/>
      <c r="CI212" s="138"/>
      <c r="CJ212" s="132"/>
      <c r="CK212" s="132"/>
      <c r="CL212" s="134"/>
      <c r="CM212" s="146"/>
    </row>
    <row r="213" ht="15" hidden="1" customHeight="1" spans="1:91">
      <c r="A213" s="123">
        <f>IF(B213="","",COUNT(A$7:A212)+1)</f>
        <v>206</v>
      </c>
      <c r="B213" s="139" t="s">
        <v>2891</v>
      </c>
      <c r="C213" s="139" t="s">
        <v>2892</v>
      </c>
      <c r="D213" s="1209">
        <v>45001</v>
      </c>
      <c r="E213" s="1210">
        <v>16000</v>
      </c>
      <c r="F213" s="219" t="s">
        <v>2866</v>
      </c>
      <c r="G213" s="142"/>
      <c r="H213" s="127"/>
      <c r="I213" s="128"/>
      <c r="J213" s="128"/>
      <c r="K213" s="980">
        <v>1</v>
      </c>
      <c r="L213" s="143"/>
      <c r="M213" s="143"/>
      <c r="N213" s="144"/>
      <c r="O213" s="144"/>
      <c r="P213" s="144"/>
      <c r="Q213" s="353">
        <f t="shared" si="84"/>
        <v>1</v>
      </c>
      <c r="R213" s="129">
        <f t="shared" si="85"/>
        <v>0</v>
      </c>
      <c r="S213" s="129">
        <f t="shared" si="86"/>
        <v>0</v>
      </c>
      <c r="T213" s="129">
        <f t="shared" si="87"/>
        <v>1</v>
      </c>
      <c r="U213" s="129">
        <f t="shared" si="88"/>
        <v>14945</v>
      </c>
      <c r="V213" s="214">
        <f t="shared" si="89"/>
        <v>60</v>
      </c>
      <c r="W213" s="353">
        <f t="shared" si="90"/>
        <v>8967</v>
      </c>
      <c r="X213" s="129">
        <f t="shared" si="91"/>
        <v>8967</v>
      </c>
      <c r="Y213" s="129" t="str">
        <f t="shared" si="92"/>
        <v/>
      </c>
      <c r="Z213" s="145"/>
      <c r="BA213" s="75" t="e">
        <f t="shared" si="98"/>
        <v>#DIV/0!</v>
      </c>
      <c r="BB213" s="78"/>
      <c r="BC213" s="132"/>
      <c r="BD213" s="133"/>
      <c r="BE213" s="132"/>
      <c r="BF213" s="134"/>
      <c r="BG213" s="135"/>
      <c r="BH213" s="135"/>
      <c r="BI213" s="136"/>
      <c r="BJ213" s="136"/>
      <c r="BK213" s="136"/>
      <c r="BL213" s="136"/>
      <c r="BM213" s="137"/>
      <c r="BN213" s="137"/>
      <c r="BO213" s="75">
        <f>LOOKUP(D213,基础数据!A:D)</f>
        <v>3.80882053463966</v>
      </c>
      <c r="BP213" s="75">
        <f t="shared" si="100"/>
        <v>0.9340738785066</v>
      </c>
      <c r="BQ213" s="75">
        <f t="shared" si="101"/>
        <v>14945</v>
      </c>
      <c r="BR213" s="272">
        <f t="shared" si="104"/>
        <v>16888</v>
      </c>
      <c r="BS213" s="156">
        <f t="shared" si="93"/>
        <v>1942.87</v>
      </c>
      <c r="BT213" s="156"/>
      <c r="BU213" s="156">
        <f t="shared" si="94"/>
        <v>0</v>
      </c>
      <c r="BV213" s="156">
        <f t="shared" si="95"/>
        <v>0</v>
      </c>
      <c r="BW213" s="156">
        <f t="shared" si="99"/>
        <v>14945</v>
      </c>
      <c r="BX213" s="156">
        <f t="shared" si="96"/>
        <v>2.37645448323066</v>
      </c>
      <c r="BY213" s="1207" t="s">
        <v>2878</v>
      </c>
      <c r="BZ213" s="272">
        <v>6</v>
      </c>
      <c r="CA213" s="186">
        <f t="shared" si="105"/>
        <v>0.6</v>
      </c>
      <c r="CB213" s="186">
        <f t="shared" si="102"/>
        <v>0.6</v>
      </c>
      <c r="CC213" s="186">
        <f t="shared" si="103"/>
        <v>0.6</v>
      </c>
      <c r="CD213" s="272"/>
      <c r="CF213" s="134"/>
      <c r="CG213" s="138"/>
      <c r="CH213" s="132"/>
      <c r="CI213" s="138"/>
      <c r="CJ213" s="132"/>
      <c r="CK213" s="132"/>
      <c r="CL213" s="134"/>
      <c r="CM213" s="146"/>
    </row>
    <row r="214" ht="15" hidden="1" customHeight="1" spans="1:91">
      <c r="A214" s="123">
        <f>IF(B214="","",COUNT(A$7:A213)+1)</f>
        <v>207</v>
      </c>
      <c r="B214" s="139" t="s">
        <v>2893</v>
      </c>
      <c r="C214" s="139" t="s">
        <v>2894</v>
      </c>
      <c r="D214" s="1209">
        <v>43100</v>
      </c>
      <c r="E214" s="1210">
        <v>255</v>
      </c>
      <c r="F214" s="219" t="s">
        <v>2866</v>
      </c>
      <c r="G214" s="142"/>
      <c r="H214" s="127"/>
      <c r="I214" s="128"/>
      <c r="J214" s="128"/>
      <c r="K214" s="980">
        <v>1</v>
      </c>
      <c r="L214" s="143"/>
      <c r="M214" s="143"/>
      <c r="N214" s="144"/>
      <c r="O214" s="144"/>
      <c r="P214" s="144"/>
      <c r="Q214" s="353">
        <f t="shared" si="84"/>
        <v>1</v>
      </c>
      <c r="R214" s="129">
        <f t="shared" si="85"/>
        <v>0</v>
      </c>
      <c r="S214" s="129">
        <f t="shared" si="86"/>
        <v>0</v>
      </c>
      <c r="T214" s="129">
        <f t="shared" si="87"/>
        <v>1</v>
      </c>
      <c r="U214" s="129">
        <f t="shared" si="88"/>
        <v>256</v>
      </c>
      <c r="V214" s="214">
        <f t="shared" si="89"/>
        <v>15</v>
      </c>
      <c r="W214" s="353">
        <f t="shared" si="90"/>
        <v>38.4</v>
      </c>
      <c r="X214" s="129">
        <f t="shared" si="91"/>
        <v>38.4</v>
      </c>
      <c r="Y214" s="129" t="str">
        <f t="shared" si="92"/>
        <v/>
      </c>
      <c r="Z214" s="145"/>
      <c r="BA214" s="75" t="e">
        <f t="shared" si="98"/>
        <v>#DIV/0!</v>
      </c>
      <c r="BB214" s="78"/>
      <c r="BC214" s="132"/>
      <c r="BD214" s="133"/>
      <c r="BE214" s="132"/>
      <c r="BF214" s="134"/>
      <c r="BG214" s="135"/>
      <c r="BH214" s="135"/>
      <c r="BI214" s="136"/>
      <c r="BJ214" s="136"/>
      <c r="BK214" s="136"/>
      <c r="BL214" s="136"/>
      <c r="BM214" s="137"/>
      <c r="BN214" s="137"/>
      <c r="BO214" s="75">
        <f>LOOKUP(D214,基础数据!A:D)</f>
        <v>3.53915880885741</v>
      </c>
      <c r="BP214" s="75">
        <f t="shared" si="100"/>
        <v>1.00524445538374</v>
      </c>
      <c r="BQ214" s="75">
        <f t="shared" si="101"/>
        <v>256</v>
      </c>
      <c r="BR214" s="272">
        <f t="shared" si="104"/>
        <v>289</v>
      </c>
      <c r="BS214" s="156">
        <f t="shared" si="93"/>
        <v>33.25</v>
      </c>
      <c r="BT214" s="156"/>
      <c r="BU214" s="156">
        <f t="shared" si="94"/>
        <v>0</v>
      </c>
      <c r="BV214" s="156">
        <f t="shared" si="95"/>
        <v>0</v>
      </c>
      <c r="BW214" s="156">
        <f t="shared" si="99"/>
        <v>256</v>
      </c>
      <c r="BX214" s="156">
        <f t="shared" si="96"/>
        <v>7.58110882956879</v>
      </c>
      <c r="BY214" s="1207" t="s">
        <v>2878</v>
      </c>
      <c r="BZ214" s="272">
        <v>6</v>
      </c>
      <c r="CA214" s="186">
        <f t="shared" si="105"/>
        <v>-0.26</v>
      </c>
      <c r="CB214" s="186">
        <f t="shared" si="102"/>
        <v>-0.26</v>
      </c>
      <c r="CC214" s="186">
        <f t="shared" si="103"/>
        <v>-0.26</v>
      </c>
      <c r="CD214" s="272"/>
      <c r="CF214" s="134"/>
      <c r="CG214" s="138"/>
      <c r="CH214" s="132"/>
      <c r="CI214" s="138"/>
      <c r="CJ214" s="132"/>
      <c r="CK214" s="132"/>
      <c r="CL214" s="134"/>
      <c r="CM214" s="146"/>
    </row>
    <row r="215" ht="15" hidden="1" customHeight="1" spans="1:91">
      <c r="A215" s="123">
        <f>IF(B215="","",COUNT(A$7:A214)+1)</f>
        <v>208</v>
      </c>
      <c r="B215" s="139" t="s">
        <v>2893</v>
      </c>
      <c r="C215" s="139" t="s">
        <v>2894</v>
      </c>
      <c r="D215" s="1209">
        <v>43100</v>
      </c>
      <c r="E215" s="1210">
        <v>255</v>
      </c>
      <c r="F215" s="219" t="s">
        <v>2866</v>
      </c>
      <c r="G215" s="142"/>
      <c r="H215" s="127"/>
      <c r="I215" s="128"/>
      <c r="J215" s="128"/>
      <c r="K215" s="980">
        <v>1</v>
      </c>
      <c r="L215" s="143"/>
      <c r="M215" s="143"/>
      <c r="N215" s="144"/>
      <c r="O215" s="144"/>
      <c r="P215" s="144"/>
      <c r="Q215" s="353">
        <f t="shared" si="84"/>
        <v>1</v>
      </c>
      <c r="R215" s="129">
        <f t="shared" si="85"/>
        <v>0</v>
      </c>
      <c r="S215" s="129">
        <f t="shared" si="86"/>
        <v>0</v>
      </c>
      <c r="T215" s="129">
        <f t="shared" si="87"/>
        <v>1</v>
      </c>
      <c r="U215" s="129">
        <f t="shared" si="88"/>
        <v>256</v>
      </c>
      <c r="V215" s="214">
        <f t="shared" si="89"/>
        <v>15</v>
      </c>
      <c r="W215" s="353">
        <f t="shared" si="90"/>
        <v>38.4</v>
      </c>
      <c r="X215" s="129">
        <f t="shared" si="91"/>
        <v>38.4</v>
      </c>
      <c r="Y215" s="129" t="str">
        <f t="shared" si="92"/>
        <v/>
      </c>
      <c r="Z215" s="145"/>
      <c r="BA215" s="75" t="e">
        <f t="shared" si="98"/>
        <v>#DIV/0!</v>
      </c>
      <c r="BB215" s="78"/>
      <c r="BC215" s="132"/>
      <c r="BD215" s="133"/>
      <c r="BE215" s="132"/>
      <c r="BF215" s="134"/>
      <c r="BG215" s="135"/>
      <c r="BH215" s="135"/>
      <c r="BI215" s="136"/>
      <c r="BJ215" s="136"/>
      <c r="BK215" s="136"/>
      <c r="BL215" s="136"/>
      <c r="BM215" s="137"/>
      <c r="BN215" s="137"/>
      <c r="BO215" s="75">
        <f>LOOKUP(D215,基础数据!A:D)</f>
        <v>3.53915880885741</v>
      </c>
      <c r="BP215" s="75">
        <f t="shared" si="100"/>
        <v>1.00524445538374</v>
      </c>
      <c r="BQ215" s="75">
        <f t="shared" si="101"/>
        <v>256</v>
      </c>
      <c r="BR215" s="272">
        <f t="shared" si="104"/>
        <v>289</v>
      </c>
      <c r="BS215" s="156">
        <f t="shared" si="93"/>
        <v>33.25</v>
      </c>
      <c r="BT215" s="156"/>
      <c r="BU215" s="156">
        <f t="shared" si="94"/>
        <v>0</v>
      </c>
      <c r="BV215" s="156">
        <f t="shared" si="95"/>
        <v>0</v>
      </c>
      <c r="BW215" s="156">
        <f t="shared" si="99"/>
        <v>256</v>
      </c>
      <c r="BX215" s="156">
        <f t="shared" si="96"/>
        <v>7.58110882956879</v>
      </c>
      <c r="BY215" s="1207" t="s">
        <v>2878</v>
      </c>
      <c r="BZ215" s="272">
        <v>6</v>
      </c>
      <c r="CA215" s="186">
        <f t="shared" si="105"/>
        <v>-0.26</v>
      </c>
      <c r="CB215" s="186">
        <f t="shared" si="102"/>
        <v>-0.26</v>
      </c>
      <c r="CC215" s="186">
        <f t="shared" si="103"/>
        <v>-0.26</v>
      </c>
      <c r="CD215" s="272"/>
      <c r="CF215" s="134"/>
      <c r="CG215" s="138"/>
      <c r="CH215" s="132"/>
      <c r="CI215" s="138"/>
      <c r="CJ215" s="132"/>
      <c r="CK215" s="132"/>
      <c r="CL215" s="134"/>
      <c r="CM215" s="146"/>
    </row>
    <row r="216" ht="15" hidden="1" customHeight="1" spans="1:91">
      <c r="A216" s="123">
        <f>IF(B216="","",COUNT(A$7:A215)+1)</f>
        <v>209</v>
      </c>
      <c r="B216" s="139" t="s">
        <v>2895</v>
      </c>
      <c r="C216" s="139" t="s">
        <v>2896</v>
      </c>
      <c r="D216" s="1209">
        <v>43100</v>
      </c>
      <c r="E216" s="1210">
        <v>980</v>
      </c>
      <c r="F216" s="219" t="s">
        <v>2866</v>
      </c>
      <c r="G216" s="142"/>
      <c r="H216" s="127"/>
      <c r="I216" s="128"/>
      <c r="J216" s="128"/>
      <c r="K216" s="980">
        <v>1</v>
      </c>
      <c r="L216" s="143"/>
      <c r="M216" s="143"/>
      <c r="N216" s="144"/>
      <c r="O216" s="144"/>
      <c r="P216" s="144"/>
      <c r="Q216" s="353">
        <f t="shared" si="84"/>
        <v>1</v>
      </c>
      <c r="R216" s="129">
        <f t="shared" si="85"/>
        <v>0</v>
      </c>
      <c r="S216" s="129">
        <f t="shared" si="86"/>
        <v>0</v>
      </c>
      <c r="T216" s="129">
        <f t="shared" si="87"/>
        <v>1</v>
      </c>
      <c r="U216" s="129">
        <f t="shared" si="88"/>
        <v>985</v>
      </c>
      <c r="V216" s="214">
        <f t="shared" si="89"/>
        <v>15</v>
      </c>
      <c r="W216" s="353">
        <f t="shared" si="90"/>
        <v>147.75</v>
      </c>
      <c r="X216" s="129">
        <f t="shared" si="91"/>
        <v>147.75</v>
      </c>
      <c r="Y216" s="129" t="str">
        <f t="shared" si="92"/>
        <v/>
      </c>
      <c r="Z216" s="145"/>
      <c r="BA216" s="75" t="e">
        <f t="shared" si="98"/>
        <v>#DIV/0!</v>
      </c>
      <c r="BB216" s="78"/>
      <c r="BC216" s="132"/>
      <c r="BD216" s="133"/>
      <c r="BE216" s="132"/>
      <c r="BF216" s="134"/>
      <c r="BG216" s="135"/>
      <c r="BH216" s="135"/>
      <c r="BI216" s="136"/>
      <c r="BJ216" s="136"/>
      <c r="BK216" s="136"/>
      <c r="BL216" s="136"/>
      <c r="BM216" s="137"/>
      <c r="BN216" s="137"/>
      <c r="BO216" s="75">
        <f>LOOKUP(D216,基础数据!A:D)</f>
        <v>3.53915880885741</v>
      </c>
      <c r="BP216" s="75">
        <f t="shared" si="100"/>
        <v>1.00524445538374</v>
      </c>
      <c r="BQ216" s="75">
        <f t="shared" si="101"/>
        <v>985</v>
      </c>
      <c r="BR216" s="272">
        <f t="shared" si="104"/>
        <v>1113</v>
      </c>
      <c r="BS216" s="156">
        <f t="shared" si="93"/>
        <v>128.04</v>
      </c>
      <c r="BT216" s="156"/>
      <c r="BU216" s="156">
        <f t="shared" si="94"/>
        <v>0</v>
      </c>
      <c r="BV216" s="156">
        <f t="shared" si="95"/>
        <v>0</v>
      </c>
      <c r="BW216" s="156">
        <f t="shared" si="99"/>
        <v>985</v>
      </c>
      <c r="BX216" s="156">
        <f t="shared" si="96"/>
        <v>7.58110882956879</v>
      </c>
      <c r="BY216" s="1207" t="s">
        <v>2878</v>
      </c>
      <c r="BZ216" s="272">
        <v>6</v>
      </c>
      <c r="CA216" s="186">
        <f t="shared" si="105"/>
        <v>-0.26</v>
      </c>
      <c r="CB216" s="186">
        <f t="shared" si="102"/>
        <v>-0.26</v>
      </c>
      <c r="CC216" s="186">
        <f t="shared" si="103"/>
        <v>-0.26</v>
      </c>
      <c r="CD216" s="272"/>
      <c r="CF216" s="134"/>
      <c r="CG216" s="138"/>
      <c r="CH216" s="132"/>
      <c r="CI216" s="138"/>
      <c r="CJ216" s="132"/>
      <c r="CK216" s="132"/>
      <c r="CL216" s="134"/>
      <c r="CM216" s="146"/>
    </row>
    <row r="217" ht="15" hidden="1" customHeight="1" spans="1:91">
      <c r="A217" s="123">
        <f>IF(B217="","",COUNT(A$7:A216)+1)</f>
        <v>210</v>
      </c>
      <c r="B217" s="139" t="s">
        <v>2897</v>
      </c>
      <c r="C217" s="139" t="s">
        <v>2898</v>
      </c>
      <c r="D217" s="1209">
        <v>45001</v>
      </c>
      <c r="E217" s="1210">
        <v>395</v>
      </c>
      <c r="F217" s="219" t="s">
        <v>2866</v>
      </c>
      <c r="G217" s="142"/>
      <c r="H217" s="127"/>
      <c r="I217" s="128"/>
      <c r="J217" s="128"/>
      <c r="K217" s="980">
        <v>1</v>
      </c>
      <c r="L217" s="143"/>
      <c r="M217" s="143"/>
      <c r="N217" s="144"/>
      <c r="O217" s="144"/>
      <c r="P217" s="144"/>
      <c r="Q217" s="353">
        <f t="shared" si="84"/>
        <v>1</v>
      </c>
      <c r="R217" s="129">
        <f t="shared" si="85"/>
        <v>0</v>
      </c>
      <c r="S217" s="129">
        <f t="shared" si="86"/>
        <v>0</v>
      </c>
      <c r="T217" s="129">
        <f t="shared" si="87"/>
        <v>1</v>
      </c>
      <c r="U217" s="129">
        <f t="shared" si="88"/>
        <v>369</v>
      </c>
      <c r="V217" s="214">
        <f t="shared" si="89"/>
        <v>60</v>
      </c>
      <c r="W217" s="353">
        <f t="shared" si="90"/>
        <v>221.4</v>
      </c>
      <c r="X217" s="129">
        <f t="shared" si="91"/>
        <v>221.4</v>
      </c>
      <c r="Y217" s="129" t="str">
        <f t="shared" si="92"/>
        <v/>
      </c>
      <c r="Z217" s="145"/>
      <c r="BA217" s="75" t="e">
        <f t="shared" si="98"/>
        <v>#DIV/0!</v>
      </c>
      <c r="BB217" s="78"/>
      <c r="BC217" s="132"/>
      <c r="BD217" s="133"/>
      <c r="BE217" s="132"/>
      <c r="BF217" s="134"/>
      <c r="BG217" s="135"/>
      <c r="BH217" s="135"/>
      <c r="BI217" s="136"/>
      <c r="BJ217" s="136"/>
      <c r="BK217" s="136"/>
      <c r="BL217" s="136"/>
      <c r="BM217" s="137"/>
      <c r="BN217" s="137"/>
      <c r="BO217" s="75">
        <f>LOOKUP(D217,基础数据!A:D)</f>
        <v>3.80882053463966</v>
      </c>
      <c r="BP217" s="75">
        <f t="shared" si="100"/>
        <v>0.9340738785066</v>
      </c>
      <c r="BQ217" s="75">
        <f t="shared" si="101"/>
        <v>369</v>
      </c>
      <c r="BR217" s="272">
        <f t="shared" si="104"/>
        <v>417</v>
      </c>
      <c r="BS217" s="156">
        <f t="shared" si="93"/>
        <v>47.97</v>
      </c>
      <c r="BT217" s="156"/>
      <c r="BU217" s="156">
        <f t="shared" si="94"/>
        <v>0</v>
      </c>
      <c r="BV217" s="156">
        <f t="shared" si="95"/>
        <v>0</v>
      </c>
      <c r="BW217" s="156">
        <f t="shared" si="99"/>
        <v>369</v>
      </c>
      <c r="BX217" s="156">
        <f t="shared" si="96"/>
        <v>2.37645448323066</v>
      </c>
      <c r="BY217" s="1207" t="s">
        <v>2878</v>
      </c>
      <c r="BZ217" s="272">
        <v>6</v>
      </c>
      <c r="CA217" s="186">
        <f t="shared" si="105"/>
        <v>0.6</v>
      </c>
      <c r="CB217" s="186">
        <f t="shared" si="102"/>
        <v>0.6</v>
      </c>
      <c r="CC217" s="186">
        <f t="shared" si="103"/>
        <v>0.6</v>
      </c>
      <c r="CD217" s="272"/>
      <c r="CF217" s="134"/>
      <c r="CG217" s="138"/>
      <c r="CH217" s="132"/>
      <c r="CI217" s="138"/>
      <c r="CJ217" s="132"/>
      <c r="CK217" s="132"/>
      <c r="CL217" s="134"/>
      <c r="CM217" s="146"/>
    </row>
    <row r="218" ht="15" hidden="1" customHeight="1" spans="1:91">
      <c r="A218" s="123">
        <f>IF(B218="","",COUNT(A$7:A217)+1)</f>
        <v>211</v>
      </c>
      <c r="B218" s="139" t="s">
        <v>2897</v>
      </c>
      <c r="C218" s="139" t="s">
        <v>2898</v>
      </c>
      <c r="D218" s="1209">
        <v>45001</v>
      </c>
      <c r="E218" s="1210">
        <v>395</v>
      </c>
      <c r="F218" s="219" t="s">
        <v>2866</v>
      </c>
      <c r="G218" s="142"/>
      <c r="H218" s="127"/>
      <c r="I218" s="128"/>
      <c r="J218" s="128"/>
      <c r="K218" s="980">
        <v>1</v>
      </c>
      <c r="L218" s="143"/>
      <c r="M218" s="143"/>
      <c r="N218" s="144"/>
      <c r="O218" s="144"/>
      <c r="P218" s="144"/>
      <c r="Q218" s="353">
        <f t="shared" si="84"/>
        <v>1</v>
      </c>
      <c r="R218" s="129">
        <f t="shared" si="85"/>
        <v>0</v>
      </c>
      <c r="S218" s="129">
        <f t="shared" si="86"/>
        <v>0</v>
      </c>
      <c r="T218" s="129">
        <f t="shared" si="87"/>
        <v>1</v>
      </c>
      <c r="U218" s="129">
        <f t="shared" si="88"/>
        <v>369</v>
      </c>
      <c r="V218" s="214">
        <f t="shared" si="89"/>
        <v>60</v>
      </c>
      <c r="W218" s="353">
        <f t="shared" si="90"/>
        <v>221.4</v>
      </c>
      <c r="X218" s="129">
        <f t="shared" si="91"/>
        <v>221.4</v>
      </c>
      <c r="Y218" s="129" t="str">
        <f t="shared" si="92"/>
        <v/>
      </c>
      <c r="Z218" s="145"/>
      <c r="BA218" s="75" t="e">
        <f t="shared" si="98"/>
        <v>#DIV/0!</v>
      </c>
      <c r="BB218" s="78"/>
      <c r="BC218" s="132"/>
      <c r="BD218" s="133"/>
      <c r="BE218" s="132"/>
      <c r="BF218" s="134"/>
      <c r="BG218" s="135"/>
      <c r="BH218" s="135"/>
      <c r="BI218" s="136"/>
      <c r="BJ218" s="136"/>
      <c r="BK218" s="136"/>
      <c r="BL218" s="136"/>
      <c r="BM218" s="137"/>
      <c r="BN218" s="137"/>
      <c r="BO218" s="75">
        <f>LOOKUP(D218,基础数据!A:D)</f>
        <v>3.80882053463966</v>
      </c>
      <c r="BP218" s="75">
        <f t="shared" si="100"/>
        <v>0.9340738785066</v>
      </c>
      <c r="BQ218" s="75">
        <f t="shared" si="101"/>
        <v>369</v>
      </c>
      <c r="BR218" s="272">
        <f t="shared" si="104"/>
        <v>417</v>
      </c>
      <c r="BS218" s="156">
        <f t="shared" si="93"/>
        <v>47.97</v>
      </c>
      <c r="BT218" s="156"/>
      <c r="BU218" s="156">
        <f t="shared" si="94"/>
        <v>0</v>
      </c>
      <c r="BV218" s="156">
        <f t="shared" si="95"/>
        <v>0</v>
      </c>
      <c r="BW218" s="156">
        <f t="shared" si="99"/>
        <v>369</v>
      </c>
      <c r="BX218" s="156">
        <f t="shared" si="96"/>
        <v>2.37645448323066</v>
      </c>
      <c r="BY218" s="1207" t="s">
        <v>2878</v>
      </c>
      <c r="BZ218" s="272">
        <v>6</v>
      </c>
      <c r="CA218" s="186">
        <f t="shared" si="105"/>
        <v>0.6</v>
      </c>
      <c r="CB218" s="186">
        <f t="shared" si="102"/>
        <v>0.6</v>
      </c>
      <c r="CC218" s="186">
        <f t="shared" si="103"/>
        <v>0.6</v>
      </c>
      <c r="CD218" s="272"/>
      <c r="CF218" s="134"/>
      <c r="CG218" s="138"/>
      <c r="CH218" s="132"/>
      <c r="CI218" s="138"/>
      <c r="CJ218" s="132"/>
      <c r="CK218" s="132"/>
      <c r="CL218" s="134"/>
      <c r="CM218" s="146"/>
    </row>
    <row r="219" ht="15" hidden="1" customHeight="1" spans="1:91">
      <c r="A219" s="123">
        <f>IF(B219="","",COUNT(A$7:A218)+1)</f>
        <v>212</v>
      </c>
      <c r="B219" s="139" t="s">
        <v>2897</v>
      </c>
      <c r="C219" s="139" t="s">
        <v>2898</v>
      </c>
      <c r="D219" s="1209">
        <v>45001</v>
      </c>
      <c r="E219" s="1210">
        <v>395</v>
      </c>
      <c r="F219" s="219" t="s">
        <v>2866</v>
      </c>
      <c r="G219" s="142"/>
      <c r="H219" s="127"/>
      <c r="I219" s="128"/>
      <c r="J219" s="128"/>
      <c r="K219" s="980">
        <v>1</v>
      </c>
      <c r="L219" s="143"/>
      <c r="M219" s="143"/>
      <c r="N219" s="144"/>
      <c r="O219" s="144"/>
      <c r="P219" s="144"/>
      <c r="Q219" s="353">
        <f t="shared" si="84"/>
        <v>1</v>
      </c>
      <c r="R219" s="129">
        <f t="shared" si="85"/>
        <v>0</v>
      </c>
      <c r="S219" s="129">
        <f t="shared" si="86"/>
        <v>0</v>
      </c>
      <c r="T219" s="129">
        <f t="shared" si="87"/>
        <v>1</v>
      </c>
      <c r="U219" s="129">
        <f t="shared" si="88"/>
        <v>369</v>
      </c>
      <c r="V219" s="214">
        <f t="shared" si="89"/>
        <v>60</v>
      </c>
      <c r="W219" s="353">
        <f t="shared" si="90"/>
        <v>221.4</v>
      </c>
      <c r="X219" s="129">
        <f t="shared" si="91"/>
        <v>221.4</v>
      </c>
      <c r="Y219" s="129" t="str">
        <f t="shared" si="92"/>
        <v/>
      </c>
      <c r="Z219" s="145"/>
      <c r="BA219" s="75" t="e">
        <f t="shared" si="98"/>
        <v>#DIV/0!</v>
      </c>
      <c r="BB219" s="78"/>
      <c r="BC219" s="132"/>
      <c r="BD219" s="133"/>
      <c r="BE219" s="132"/>
      <c r="BF219" s="134"/>
      <c r="BG219" s="135"/>
      <c r="BH219" s="135"/>
      <c r="BI219" s="136"/>
      <c r="BJ219" s="136"/>
      <c r="BK219" s="136"/>
      <c r="BL219" s="136"/>
      <c r="BM219" s="137"/>
      <c r="BN219" s="137"/>
      <c r="BO219" s="75">
        <f>LOOKUP(D219,基础数据!A:D)</f>
        <v>3.80882053463966</v>
      </c>
      <c r="BP219" s="75">
        <f t="shared" si="100"/>
        <v>0.9340738785066</v>
      </c>
      <c r="BQ219" s="75">
        <f t="shared" si="101"/>
        <v>369</v>
      </c>
      <c r="BR219" s="272">
        <f t="shared" si="104"/>
        <v>417</v>
      </c>
      <c r="BS219" s="156">
        <f t="shared" si="93"/>
        <v>47.97</v>
      </c>
      <c r="BT219" s="156"/>
      <c r="BU219" s="156">
        <f t="shared" si="94"/>
        <v>0</v>
      </c>
      <c r="BV219" s="156">
        <f t="shared" si="95"/>
        <v>0</v>
      </c>
      <c r="BW219" s="156">
        <f t="shared" si="99"/>
        <v>369</v>
      </c>
      <c r="BX219" s="156">
        <f t="shared" si="96"/>
        <v>2.37645448323066</v>
      </c>
      <c r="BY219" s="1207" t="s">
        <v>2878</v>
      </c>
      <c r="BZ219" s="272">
        <v>6</v>
      </c>
      <c r="CA219" s="186">
        <f t="shared" si="105"/>
        <v>0.6</v>
      </c>
      <c r="CB219" s="186">
        <f t="shared" si="102"/>
        <v>0.6</v>
      </c>
      <c r="CC219" s="186">
        <f t="shared" si="103"/>
        <v>0.6</v>
      </c>
      <c r="CD219" s="272"/>
      <c r="CF219" s="134"/>
      <c r="CG219" s="138"/>
      <c r="CH219" s="132"/>
      <c r="CI219" s="138"/>
      <c r="CJ219" s="132"/>
      <c r="CK219" s="132"/>
      <c r="CL219" s="134"/>
      <c r="CM219" s="146"/>
    </row>
    <row r="220" ht="15" hidden="1" customHeight="1" spans="1:91">
      <c r="A220" s="123">
        <f>IF(B220="","",COUNT(A$7:A219)+1)</f>
        <v>213</v>
      </c>
      <c r="B220" s="139" t="s">
        <v>2899</v>
      </c>
      <c r="C220" s="139" t="s">
        <v>2890</v>
      </c>
      <c r="D220" s="1209">
        <v>43100</v>
      </c>
      <c r="E220" s="1210">
        <v>1400</v>
      </c>
      <c r="F220" s="219" t="s">
        <v>2866</v>
      </c>
      <c r="G220" s="142"/>
      <c r="H220" s="127"/>
      <c r="I220" s="128"/>
      <c r="J220" s="128"/>
      <c r="K220" s="980">
        <v>1</v>
      </c>
      <c r="L220" s="143"/>
      <c r="M220" s="143"/>
      <c r="N220" s="144"/>
      <c r="O220" s="144"/>
      <c r="P220" s="144"/>
      <c r="Q220" s="353">
        <f t="shared" si="84"/>
        <v>1</v>
      </c>
      <c r="R220" s="129">
        <f t="shared" si="85"/>
        <v>0</v>
      </c>
      <c r="S220" s="129">
        <f t="shared" si="86"/>
        <v>0</v>
      </c>
      <c r="T220" s="129">
        <f t="shared" si="87"/>
        <v>1</v>
      </c>
      <c r="U220" s="129">
        <f t="shared" si="88"/>
        <v>303</v>
      </c>
      <c r="V220" s="214">
        <f t="shared" si="89"/>
        <v>15</v>
      </c>
      <c r="W220" s="353">
        <f t="shared" si="90"/>
        <v>45.45</v>
      </c>
      <c r="X220" s="129">
        <f t="shared" si="91"/>
        <v>45.45</v>
      </c>
      <c r="Y220" s="129" t="str">
        <f t="shared" si="92"/>
        <v/>
      </c>
      <c r="Z220" s="145"/>
      <c r="BA220" s="75" t="e">
        <f t="shared" si="98"/>
        <v>#DIV/0!</v>
      </c>
      <c r="BB220" s="78"/>
      <c r="BC220" s="132"/>
      <c r="BD220" s="133"/>
      <c r="BE220" s="132"/>
      <c r="BF220" s="134"/>
      <c r="BG220" s="135"/>
      <c r="BH220" s="135"/>
      <c r="BI220" s="136"/>
      <c r="BJ220" s="136"/>
      <c r="BK220" s="136"/>
      <c r="BL220" s="136"/>
      <c r="BM220" s="137"/>
      <c r="BN220" s="137"/>
      <c r="BO220" s="75">
        <f>LOOKUP(D220,基础数据!A:D)</f>
        <v>3.53915880885741</v>
      </c>
      <c r="BP220" s="75">
        <f t="shared" si="100"/>
        <v>1.00524445538374</v>
      </c>
      <c r="BQ220" s="75">
        <f t="shared" si="101"/>
        <v>1407</v>
      </c>
      <c r="BR220" s="272">
        <v>339</v>
      </c>
      <c r="BS220" s="156">
        <f t="shared" si="93"/>
        <v>39</v>
      </c>
      <c r="BT220" s="186">
        <v>0.01</v>
      </c>
      <c r="BU220" s="156">
        <f t="shared" si="94"/>
        <v>3.39</v>
      </c>
      <c r="BV220" s="156">
        <f t="shared" si="95"/>
        <v>0.28</v>
      </c>
      <c r="BW220" s="156">
        <f t="shared" si="99"/>
        <v>303</v>
      </c>
      <c r="BX220" s="156">
        <f t="shared" si="96"/>
        <v>7.58110882956879</v>
      </c>
      <c r="BY220" s="1207" t="s">
        <v>2888</v>
      </c>
      <c r="BZ220" s="272">
        <v>3</v>
      </c>
      <c r="CA220" s="186">
        <f t="shared" si="105"/>
        <v>-1.53</v>
      </c>
      <c r="CB220" s="186">
        <f t="shared" si="102"/>
        <v>-1.53</v>
      </c>
      <c r="CC220" s="186">
        <f t="shared" si="103"/>
        <v>-1.53</v>
      </c>
      <c r="CD220" s="1208" t="s">
        <v>2889</v>
      </c>
      <c r="CF220" s="134"/>
      <c r="CG220" s="138"/>
      <c r="CH220" s="132"/>
      <c r="CI220" s="138"/>
      <c r="CJ220" s="132"/>
      <c r="CK220" s="132"/>
      <c r="CL220" s="134"/>
      <c r="CM220" s="146"/>
    </row>
    <row r="221" ht="15" hidden="1" customHeight="1" spans="1:91">
      <c r="A221" s="123">
        <f>IF(B221="","",COUNT(A$7:A220)+1)</f>
        <v>214</v>
      </c>
      <c r="B221" s="139" t="s">
        <v>2899</v>
      </c>
      <c r="C221" s="139" t="s">
        <v>2890</v>
      </c>
      <c r="D221" s="1209">
        <v>43100</v>
      </c>
      <c r="E221" s="1210">
        <v>1400</v>
      </c>
      <c r="F221" s="219" t="s">
        <v>2866</v>
      </c>
      <c r="G221" s="142"/>
      <c r="H221" s="127"/>
      <c r="I221" s="128"/>
      <c r="J221" s="128"/>
      <c r="K221" s="980">
        <v>1</v>
      </c>
      <c r="L221" s="143"/>
      <c r="M221" s="143"/>
      <c r="N221" s="144"/>
      <c r="O221" s="144"/>
      <c r="P221" s="144"/>
      <c r="Q221" s="353">
        <f t="shared" si="84"/>
        <v>1</v>
      </c>
      <c r="R221" s="129">
        <f t="shared" si="85"/>
        <v>0</v>
      </c>
      <c r="S221" s="129">
        <f t="shared" si="86"/>
        <v>0</v>
      </c>
      <c r="T221" s="129">
        <f t="shared" si="87"/>
        <v>1</v>
      </c>
      <c r="U221" s="129">
        <f t="shared" si="88"/>
        <v>303</v>
      </c>
      <c r="V221" s="214">
        <f t="shared" si="89"/>
        <v>15</v>
      </c>
      <c r="W221" s="353">
        <f t="shared" si="90"/>
        <v>45.45</v>
      </c>
      <c r="X221" s="129">
        <f t="shared" si="91"/>
        <v>45.45</v>
      </c>
      <c r="Y221" s="129" t="str">
        <f t="shared" si="92"/>
        <v/>
      </c>
      <c r="Z221" s="145"/>
      <c r="BA221" s="75" t="e">
        <f t="shared" si="98"/>
        <v>#DIV/0!</v>
      </c>
      <c r="BB221" s="78"/>
      <c r="BC221" s="132"/>
      <c r="BD221" s="133"/>
      <c r="BE221" s="132"/>
      <c r="BF221" s="134"/>
      <c r="BG221" s="135"/>
      <c r="BH221" s="135"/>
      <c r="BI221" s="136"/>
      <c r="BJ221" s="136"/>
      <c r="BK221" s="136"/>
      <c r="BL221" s="136"/>
      <c r="BM221" s="137"/>
      <c r="BN221" s="137"/>
      <c r="BO221" s="75">
        <f>LOOKUP(D221,基础数据!A:D)</f>
        <v>3.53915880885741</v>
      </c>
      <c r="BP221" s="75">
        <f t="shared" si="100"/>
        <v>1.00524445538374</v>
      </c>
      <c r="BQ221" s="75">
        <f t="shared" si="101"/>
        <v>1407</v>
      </c>
      <c r="BR221" s="272">
        <v>339</v>
      </c>
      <c r="BS221" s="156">
        <f t="shared" si="93"/>
        <v>39</v>
      </c>
      <c r="BT221" s="186">
        <v>0.01</v>
      </c>
      <c r="BU221" s="156">
        <f t="shared" si="94"/>
        <v>3.39</v>
      </c>
      <c r="BV221" s="156">
        <f t="shared" si="95"/>
        <v>0.28</v>
      </c>
      <c r="BW221" s="156">
        <f t="shared" si="99"/>
        <v>303</v>
      </c>
      <c r="BX221" s="156">
        <f t="shared" si="96"/>
        <v>7.58110882956879</v>
      </c>
      <c r="BY221" s="1207" t="s">
        <v>2888</v>
      </c>
      <c r="BZ221" s="272">
        <v>3</v>
      </c>
      <c r="CA221" s="186">
        <f t="shared" si="105"/>
        <v>-1.53</v>
      </c>
      <c r="CB221" s="186">
        <f t="shared" si="102"/>
        <v>-1.53</v>
      </c>
      <c r="CC221" s="186">
        <f t="shared" si="103"/>
        <v>-1.53</v>
      </c>
      <c r="CD221" s="1208" t="s">
        <v>2889</v>
      </c>
      <c r="CF221" s="134"/>
      <c r="CG221" s="138"/>
      <c r="CH221" s="132"/>
      <c r="CI221" s="138"/>
      <c r="CJ221" s="132"/>
      <c r="CK221" s="132"/>
      <c r="CL221" s="134"/>
      <c r="CM221" s="146"/>
    </row>
    <row r="222" ht="15" hidden="1" customHeight="1" spans="1:91">
      <c r="A222" s="123">
        <f>IF(B222="","",COUNT(A$7:A221)+1)</f>
        <v>215</v>
      </c>
      <c r="B222" s="139" t="s">
        <v>2899</v>
      </c>
      <c r="C222" s="139" t="s">
        <v>2890</v>
      </c>
      <c r="D222" s="1209">
        <v>43100</v>
      </c>
      <c r="E222" s="1210">
        <v>1400</v>
      </c>
      <c r="F222" s="219" t="s">
        <v>2866</v>
      </c>
      <c r="G222" s="142"/>
      <c r="H222" s="127"/>
      <c r="I222" s="128"/>
      <c r="J222" s="128"/>
      <c r="K222" s="980">
        <v>1</v>
      </c>
      <c r="L222" s="143"/>
      <c r="M222" s="143"/>
      <c r="N222" s="144"/>
      <c r="O222" s="144"/>
      <c r="P222" s="144"/>
      <c r="Q222" s="353">
        <f t="shared" si="84"/>
        <v>1</v>
      </c>
      <c r="R222" s="129">
        <f t="shared" si="85"/>
        <v>0</v>
      </c>
      <c r="S222" s="129">
        <f t="shared" si="86"/>
        <v>0</v>
      </c>
      <c r="T222" s="129">
        <f t="shared" si="87"/>
        <v>1</v>
      </c>
      <c r="U222" s="129">
        <f t="shared" si="88"/>
        <v>303</v>
      </c>
      <c r="V222" s="214">
        <f t="shared" si="89"/>
        <v>15</v>
      </c>
      <c r="W222" s="353">
        <f t="shared" si="90"/>
        <v>45.45</v>
      </c>
      <c r="X222" s="129">
        <f t="shared" si="91"/>
        <v>45.45</v>
      </c>
      <c r="Y222" s="129" t="str">
        <f t="shared" si="92"/>
        <v/>
      </c>
      <c r="Z222" s="145"/>
      <c r="BA222" s="75" t="e">
        <f t="shared" si="98"/>
        <v>#DIV/0!</v>
      </c>
      <c r="BB222" s="78"/>
      <c r="BC222" s="132"/>
      <c r="BD222" s="133"/>
      <c r="BE222" s="132"/>
      <c r="BF222" s="134"/>
      <c r="BG222" s="135"/>
      <c r="BH222" s="135"/>
      <c r="BI222" s="136"/>
      <c r="BJ222" s="136"/>
      <c r="BK222" s="136"/>
      <c r="BL222" s="136"/>
      <c r="BM222" s="137"/>
      <c r="BN222" s="137"/>
      <c r="BO222" s="75">
        <f>LOOKUP(D222,基础数据!A:D)</f>
        <v>3.53915880885741</v>
      </c>
      <c r="BP222" s="75">
        <f t="shared" si="100"/>
        <v>1.00524445538374</v>
      </c>
      <c r="BQ222" s="75">
        <f t="shared" si="101"/>
        <v>1407</v>
      </c>
      <c r="BR222" s="272">
        <v>339</v>
      </c>
      <c r="BS222" s="156">
        <f t="shared" si="93"/>
        <v>39</v>
      </c>
      <c r="BT222" s="186">
        <v>0.01</v>
      </c>
      <c r="BU222" s="156">
        <f t="shared" si="94"/>
        <v>3.39</v>
      </c>
      <c r="BV222" s="156">
        <f t="shared" si="95"/>
        <v>0.28</v>
      </c>
      <c r="BW222" s="156">
        <f t="shared" si="99"/>
        <v>303</v>
      </c>
      <c r="BX222" s="156">
        <f t="shared" si="96"/>
        <v>7.58110882956879</v>
      </c>
      <c r="BY222" s="1207" t="s">
        <v>2888</v>
      </c>
      <c r="BZ222" s="272">
        <v>3</v>
      </c>
      <c r="CA222" s="186">
        <f t="shared" si="105"/>
        <v>-1.53</v>
      </c>
      <c r="CB222" s="186">
        <f t="shared" si="102"/>
        <v>-1.53</v>
      </c>
      <c r="CC222" s="186">
        <f t="shared" si="103"/>
        <v>-1.53</v>
      </c>
      <c r="CD222" s="1208" t="s">
        <v>2889</v>
      </c>
      <c r="CF222" s="134"/>
      <c r="CG222" s="138"/>
      <c r="CH222" s="132"/>
      <c r="CI222" s="138"/>
      <c r="CJ222" s="132"/>
      <c r="CK222" s="132"/>
      <c r="CL222" s="134"/>
      <c r="CM222" s="146"/>
    </row>
    <row r="223" ht="15" hidden="1" customHeight="1" spans="1:91">
      <c r="A223" s="123">
        <f>IF(B223="","",COUNT(A$7:A222)+1)</f>
        <v>216</v>
      </c>
      <c r="B223" s="139" t="s">
        <v>2899</v>
      </c>
      <c r="C223" s="139" t="s">
        <v>2890</v>
      </c>
      <c r="D223" s="1209">
        <v>43100</v>
      </c>
      <c r="E223" s="1210">
        <v>1400</v>
      </c>
      <c r="F223" s="219" t="s">
        <v>2866</v>
      </c>
      <c r="G223" s="142"/>
      <c r="H223" s="127"/>
      <c r="I223" s="128"/>
      <c r="J223" s="128"/>
      <c r="K223" s="980">
        <v>1</v>
      </c>
      <c r="L223" s="143"/>
      <c r="M223" s="143"/>
      <c r="N223" s="144"/>
      <c r="O223" s="144"/>
      <c r="P223" s="144"/>
      <c r="Q223" s="353">
        <f t="shared" si="84"/>
        <v>1</v>
      </c>
      <c r="R223" s="129">
        <f t="shared" si="85"/>
        <v>0</v>
      </c>
      <c r="S223" s="129">
        <f t="shared" si="86"/>
        <v>0</v>
      </c>
      <c r="T223" s="129">
        <f t="shared" si="87"/>
        <v>1</v>
      </c>
      <c r="U223" s="129">
        <f t="shared" si="88"/>
        <v>303</v>
      </c>
      <c r="V223" s="214">
        <f t="shared" si="89"/>
        <v>15</v>
      </c>
      <c r="W223" s="353">
        <f t="shared" si="90"/>
        <v>45.45</v>
      </c>
      <c r="X223" s="129">
        <f t="shared" si="91"/>
        <v>45.45</v>
      </c>
      <c r="Y223" s="129" t="str">
        <f t="shared" si="92"/>
        <v/>
      </c>
      <c r="Z223" s="145"/>
      <c r="BA223" s="75" t="e">
        <f t="shared" si="98"/>
        <v>#DIV/0!</v>
      </c>
      <c r="BB223" s="78"/>
      <c r="BC223" s="132"/>
      <c r="BD223" s="133"/>
      <c r="BE223" s="132"/>
      <c r="BF223" s="134"/>
      <c r="BG223" s="135"/>
      <c r="BH223" s="135"/>
      <c r="BI223" s="136"/>
      <c r="BJ223" s="136"/>
      <c r="BK223" s="136"/>
      <c r="BL223" s="136"/>
      <c r="BM223" s="137"/>
      <c r="BN223" s="137"/>
      <c r="BO223" s="75">
        <f>LOOKUP(D223,基础数据!A:D)</f>
        <v>3.53915880885741</v>
      </c>
      <c r="BP223" s="75">
        <f t="shared" si="100"/>
        <v>1.00524445538374</v>
      </c>
      <c r="BQ223" s="75">
        <f t="shared" si="101"/>
        <v>1407</v>
      </c>
      <c r="BR223" s="272">
        <v>339</v>
      </c>
      <c r="BS223" s="156">
        <f t="shared" si="93"/>
        <v>39</v>
      </c>
      <c r="BT223" s="186">
        <v>0.01</v>
      </c>
      <c r="BU223" s="156">
        <f t="shared" si="94"/>
        <v>3.39</v>
      </c>
      <c r="BV223" s="156">
        <f t="shared" si="95"/>
        <v>0.28</v>
      </c>
      <c r="BW223" s="156">
        <f t="shared" si="99"/>
        <v>303</v>
      </c>
      <c r="BX223" s="156">
        <f t="shared" si="96"/>
        <v>7.58110882956879</v>
      </c>
      <c r="BY223" s="1207" t="s">
        <v>2888</v>
      </c>
      <c r="BZ223" s="272">
        <v>3</v>
      </c>
      <c r="CA223" s="186">
        <f t="shared" si="105"/>
        <v>-1.53</v>
      </c>
      <c r="CB223" s="186">
        <f t="shared" si="102"/>
        <v>-1.53</v>
      </c>
      <c r="CC223" s="186">
        <f t="shared" si="103"/>
        <v>-1.53</v>
      </c>
      <c r="CD223" s="1208" t="s">
        <v>2889</v>
      </c>
      <c r="CF223" s="134"/>
      <c r="CG223" s="138"/>
      <c r="CH223" s="132"/>
      <c r="CI223" s="138"/>
      <c r="CJ223" s="132"/>
      <c r="CK223" s="132"/>
      <c r="CL223" s="134"/>
      <c r="CM223" s="146"/>
    </row>
    <row r="224" ht="15" hidden="1" customHeight="1" spans="1:91">
      <c r="A224" s="123">
        <f>IF(B224="","",COUNT(A$7:A223)+1)</f>
        <v>217</v>
      </c>
      <c r="B224" s="139" t="s">
        <v>2891</v>
      </c>
      <c r="C224" s="139" t="s">
        <v>2892</v>
      </c>
      <c r="D224" s="1209">
        <v>45001</v>
      </c>
      <c r="E224" s="1210">
        <v>16000</v>
      </c>
      <c r="F224" s="219" t="s">
        <v>2866</v>
      </c>
      <c r="G224" s="142"/>
      <c r="H224" s="127"/>
      <c r="I224" s="128"/>
      <c r="J224" s="128"/>
      <c r="K224" s="980">
        <v>1</v>
      </c>
      <c r="L224" s="143"/>
      <c r="M224" s="143"/>
      <c r="N224" s="144"/>
      <c r="O224" s="144"/>
      <c r="P224" s="144"/>
      <c r="Q224" s="353">
        <f t="shared" si="84"/>
        <v>1</v>
      </c>
      <c r="R224" s="129">
        <f t="shared" si="85"/>
        <v>0</v>
      </c>
      <c r="S224" s="129">
        <f t="shared" si="86"/>
        <v>0</v>
      </c>
      <c r="T224" s="129">
        <f t="shared" si="87"/>
        <v>1</v>
      </c>
      <c r="U224" s="129">
        <f t="shared" si="88"/>
        <v>14945</v>
      </c>
      <c r="V224" s="214">
        <f t="shared" si="89"/>
        <v>60</v>
      </c>
      <c r="W224" s="353">
        <f t="shared" si="90"/>
        <v>8967</v>
      </c>
      <c r="X224" s="129">
        <f t="shared" si="91"/>
        <v>8967</v>
      </c>
      <c r="Y224" s="129" t="str">
        <f t="shared" si="92"/>
        <v/>
      </c>
      <c r="Z224" s="145"/>
      <c r="BA224" s="75" t="e">
        <f t="shared" si="98"/>
        <v>#DIV/0!</v>
      </c>
      <c r="BB224" s="78"/>
      <c r="BC224" s="132"/>
      <c r="BD224" s="133"/>
      <c r="BE224" s="132"/>
      <c r="BF224" s="134"/>
      <c r="BG224" s="135"/>
      <c r="BH224" s="135"/>
      <c r="BI224" s="136"/>
      <c r="BJ224" s="136"/>
      <c r="BK224" s="136"/>
      <c r="BL224" s="136"/>
      <c r="BM224" s="137"/>
      <c r="BN224" s="137"/>
      <c r="BO224" s="75">
        <f>LOOKUP(D224,基础数据!A:D)</f>
        <v>3.80882053463966</v>
      </c>
      <c r="BP224" s="75">
        <f t="shared" si="100"/>
        <v>0.9340738785066</v>
      </c>
      <c r="BQ224" s="75">
        <f t="shared" si="101"/>
        <v>14945</v>
      </c>
      <c r="BR224" s="272">
        <f t="shared" ref="BR224:BR226" si="106">ROUND(BQ224*1.13,0)</f>
        <v>16888</v>
      </c>
      <c r="BS224" s="156">
        <f t="shared" si="93"/>
        <v>1942.87</v>
      </c>
      <c r="BT224" s="156"/>
      <c r="BU224" s="156">
        <f t="shared" si="94"/>
        <v>0</v>
      </c>
      <c r="BV224" s="156">
        <f t="shared" si="95"/>
        <v>0</v>
      </c>
      <c r="BW224" s="156">
        <f t="shared" si="99"/>
        <v>14945</v>
      </c>
      <c r="BX224" s="156">
        <f t="shared" si="96"/>
        <v>2.37645448323066</v>
      </c>
      <c r="BY224" s="1207" t="s">
        <v>2878</v>
      </c>
      <c r="BZ224" s="272">
        <v>6</v>
      </c>
      <c r="CA224" s="186">
        <f t="shared" si="105"/>
        <v>0.6</v>
      </c>
      <c r="CB224" s="186">
        <f t="shared" si="102"/>
        <v>0.6</v>
      </c>
      <c r="CC224" s="186">
        <f t="shared" si="103"/>
        <v>0.6</v>
      </c>
      <c r="CD224" s="272"/>
      <c r="CF224" s="134"/>
      <c r="CG224" s="138"/>
      <c r="CH224" s="132"/>
      <c r="CI224" s="138"/>
      <c r="CJ224" s="132"/>
      <c r="CK224" s="132"/>
      <c r="CL224" s="134"/>
      <c r="CM224" s="146"/>
    </row>
    <row r="225" ht="15" hidden="1" customHeight="1" spans="1:91">
      <c r="A225" s="123">
        <f>IF(B225="","",COUNT(A$7:A224)+1)</f>
        <v>218</v>
      </c>
      <c r="B225" s="139" t="s">
        <v>2891</v>
      </c>
      <c r="C225" s="139" t="s">
        <v>2892</v>
      </c>
      <c r="D225" s="1209">
        <v>45001</v>
      </c>
      <c r="E225" s="1210">
        <v>16000</v>
      </c>
      <c r="F225" s="219" t="s">
        <v>2866</v>
      </c>
      <c r="G225" s="142"/>
      <c r="H225" s="127"/>
      <c r="I225" s="128"/>
      <c r="J225" s="128"/>
      <c r="K225" s="980">
        <v>1</v>
      </c>
      <c r="L225" s="143"/>
      <c r="M225" s="143"/>
      <c r="N225" s="144"/>
      <c r="O225" s="144"/>
      <c r="P225" s="144"/>
      <c r="Q225" s="353">
        <f t="shared" si="84"/>
        <v>1</v>
      </c>
      <c r="R225" s="129">
        <f t="shared" si="85"/>
        <v>0</v>
      </c>
      <c r="S225" s="129">
        <f t="shared" si="86"/>
        <v>0</v>
      </c>
      <c r="T225" s="129">
        <f t="shared" si="87"/>
        <v>1</v>
      </c>
      <c r="U225" s="129">
        <f t="shared" si="88"/>
        <v>14945</v>
      </c>
      <c r="V225" s="214">
        <f t="shared" si="89"/>
        <v>60</v>
      </c>
      <c r="W225" s="353">
        <f t="shared" si="90"/>
        <v>8967</v>
      </c>
      <c r="X225" s="129">
        <f t="shared" si="91"/>
        <v>8967</v>
      </c>
      <c r="Y225" s="129" t="str">
        <f t="shared" si="92"/>
        <v/>
      </c>
      <c r="Z225" s="145"/>
      <c r="BA225" s="75" t="e">
        <f t="shared" si="98"/>
        <v>#DIV/0!</v>
      </c>
      <c r="BB225" s="78"/>
      <c r="BC225" s="132"/>
      <c r="BD225" s="133"/>
      <c r="BE225" s="132"/>
      <c r="BF225" s="134"/>
      <c r="BG225" s="135"/>
      <c r="BH225" s="135"/>
      <c r="BI225" s="136"/>
      <c r="BJ225" s="136"/>
      <c r="BK225" s="136"/>
      <c r="BL225" s="136"/>
      <c r="BM225" s="137"/>
      <c r="BN225" s="137"/>
      <c r="BO225" s="75">
        <f>LOOKUP(D225,基础数据!A:D)</f>
        <v>3.80882053463966</v>
      </c>
      <c r="BP225" s="75">
        <f t="shared" si="100"/>
        <v>0.9340738785066</v>
      </c>
      <c r="BQ225" s="75">
        <f t="shared" si="101"/>
        <v>14945</v>
      </c>
      <c r="BR225" s="272">
        <f t="shared" si="106"/>
        <v>16888</v>
      </c>
      <c r="BS225" s="156">
        <f t="shared" si="93"/>
        <v>1942.87</v>
      </c>
      <c r="BT225" s="156"/>
      <c r="BU225" s="156">
        <f t="shared" si="94"/>
        <v>0</v>
      </c>
      <c r="BV225" s="156">
        <f t="shared" si="95"/>
        <v>0</v>
      </c>
      <c r="BW225" s="156">
        <f t="shared" si="99"/>
        <v>14945</v>
      </c>
      <c r="BX225" s="156">
        <f t="shared" si="96"/>
        <v>2.37645448323066</v>
      </c>
      <c r="BY225" s="1207" t="s">
        <v>2878</v>
      </c>
      <c r="BZ225" s="272">
        <v>6</v>
      </c>
      <c r="CA225" s="186">
        <f t="shared" si="105"/>
        <v>0.6</v>
      </c>
      <c r="CB225" s="186">
        <f t="shared" si="102"/>
        <v>0.6</v>
      </c>
      <c r="CC225" s="186">
        <f t="shared" si="103"/>
        <v>0.6</v>
      </c>
      <c r="CD225" s="272"/>
      <c r="CF225" s="134"/>
      <c r="CG225" s="138"/>
      <c r="CH225" s="132"/>
      <c r="CI225" s="138"/>
      <c r="CJ225" s="132"/>
      <c r="CK225" s="132"/>
      <c r="CL225" s="134"/>
      <c r="CM225" s="146"/>
    </row>
    <row r="226" ht="15" hidden="1" customHeight="1" spans="1:91">
      <c r="A226" s="123">
        <f>IF(B226="","",COUNT(A$7:A225)+1)</f>
        <v>219</v>
      </c>
      <c r="B226" s="139" t="s">
        <v>2893</v>
      </c>
      <c r="C226" s="139" t="s">
        <v>2900</v>
      </c>
      <c r="D226" s="1209">
        <v>43100</v>
      </c>
      <c r="E226" s="1210">
        <v>255</v>
      </c>
      <c r="F226" s="219" t="s">
        <v>2866</v>
      </c>
      <c r="G226" s="142"/>
      <c r="H226" s="127"/>
      <c r="I226" s="128"/>
      <c r="J226" s="128"/>
      <c r="K226" s="980">
        <v>1</v>
      </c>
      <c r="L226" s="143"/>
      <c r="M226" s="143"/>
      <c r="N226" s="144"/>
      <c r="O226" s="144"/>
      <c r="P226" s="144"/>
      <c r="Q226" s="353">
        <f t="shared" si="84"/>
        <v>1</v>
      </c>
      <c r="R226" s="129">
        <f t="shared" si="85"/>
        <v>0</v>
      </c>
      <c r="S226" s="129">
        <f t="shared" si="86"/>
        <v>0</v>
      </c>
      <c r="T226" s="129">
        <f t="shared" si="87"/>
        <v>1</v>
      </c>
      <c r="U226" s="129">
        <f t="shared" si="88"/>
        <v>256</v>
      </c>
      <c r="V226" s="214">
        <f t="shared" si="89"/>
        <v>15</v>
      </c>
      <c r="W226" s="353">
        <f t="shared" si="90"/>
        <v>38.4</v>
      </c>
      <c r="X226" s="129">
        <f t="shared" si="91"/>
        <v>38.4</v>
      </c>
      <c r="Y226" s="129" t="str">
        <f t="shared" si="92"/>
        <v/>
      </c>
      <c r="Z226" s="145"/>
      <c r="BA226" s="75" t="e">
        <f t="shared" si="98"/>
        <v>#DIV/0!</v>
      </c>
      <c r="BB226" s="78"/>
      <c r="BC226" s="132"/>
      <c r="BD226" s="133"/>
      <c r="BE226" s="132"/>
      <c r="BF226" s="134"/>
      <c r="BG226" s="135"/>
      <c r="BH226" s="135"/>
      <c r="BI226" s="136"/>
      <c r="BJ226" s="136"/>
      <c r="BK226" s="136"/>
      <c r="BL226" s="136"/>
      <c r="BM226" s="137"/>
      <c r="BN226" s="137"/>
      <c r="BO226" s="75">
        <f>LOOKUP(D226,基础数据!A:D)</f>
        <v>3.53915880885741</v>
      </c>
      <c r="BP226" s="75">
        <f t="shared" si="100"/>
        <v>1.00524445538374</v>
      </c>
      <c r="BQ226" s="75">
        <f t="shared" si="101"/>
        <v>256</v>
      </c>
      <c r="BR226" s="272">
        <f t="shared" si="106"/>
        <v>289</v>
      </c>
      <c r="BS226" s="156">
        <f t="shared" si="93"/>
        <v>33.25</v>
      </c>
      <c r="BT226" s="156"/>
      <c r="BU226" s="156">
        <f t="shared" si="94"/>
        <v>0</v>
      </c>
      <c r="BV226" s="156">
        <f t="shared" si="95"/>
        <v>0</v>
      </c>
      <c r="BW226" s="156">
        <f t="shared" si="99"/>
        <v>256</v>
      </c>
      <c r="BX226" s="156">
        <f t="shared" si="96"/>
        <v>7.58110882956879</v>
      </c>
      <c r="BY226" s="1207" t="s">
        <v>2878</v>
      </c>
      <c r="BZ226" s="272">
        <v>6</v>
      </c>
      <c r="CA226" s="186">
        <f t="shared" si="105"/>
        <v>-0.26</v>
      </c>
      <c r="CB226" s="186">
        <f t="shared" si="102"/>
        <v>-0.26</v>
      </c>
      <c r="CC226" s="186">
        <f t="shared" si="103"/>
        <v>-0.26</v>
      </c>
      <c r="CD226" s="272"/>
      <c r="CF226" s="134"/>
      <c r="CG226" s="138"/>
      <c r="CH226" s="132"/>
      <c r="CI226" s="138"/>
      <c r="CJ226" s="132"/>
      <c r="CK226" s="132"/>
      <c r="CL226" s="134"/>
      <c r="CM226" s="146"/>
    </row>
    <row r="227" ht="15" hidden="1" customHeight="1" spans="1:91">
      <c r="A227" s="123">
        <f>IF(B227="","",COUNT(A$7:A226)+1)</f>
        <v>220</v>
      </c>
      <c r="B227" s="139" t="s">
        <v>2886</v>
      </c>
      <c r="C227" s="139" t="s">
        <v>2887</v>
      </c>
      <c r="D227" s="1209">
        <v>43100</v>
      </c>
      <c r="E227" s="1210">
        <v>360</v>
      </c>
      <c r="F227" s="219" t="s">
        <v>2866</v>
      </c>
      <c r="G227" s="142"/>
      <c r="H227" s="127"/>
      <c r="I227" s="128"/>
      <c r="J227" s="128"/>
      <c r="K227" s="980">
        <v>1</v>
      </c>
      <c r="L227" s="143"/>
      <c r="M227" s="143"/>
      <c r="N227" s="144"/>
      <c r="O227" s="144"/>
      <c r="P227" s="144"/>
      <c r="Q227" s="353">
        <f t="shared" si="84"/>
        <v>1</v>
      </c>
      <c r="R227" s="129">
        <f t="shared" si="85"/>
        <v>0</v>
      </c>
      <c r="S227" s="129">
        <f t="shared" si="86"/>
        <v>0</v>
      </c>
      <c r="T227" s="129">
        <f t="shared" si="87"/>
        <v>1</v>
      </c>
      <c r="U227" s="129">
        <f t="shared" si="88"/>
        <v>303</v>
      </c>
      <c r="V227" s="214">
        <f t="shared" si="89"/>
        <v>15</v>
      </c>
      <c r="W227" s="353">
        <f t="shared" si="90"/>
        <v>45.45</v>
      </c>
      <c r="X227" s="129">
        <f t="shared" si="91"/>
        <v>45.45</v>
      </c>
      <c r="Y227" s="129" t="str">
        <f t="shared" si="92"/>
        <v/>
      </c>
      <c r="Z227" s="145"/>
      <c r="BA227" s="75" t="e">
        <f t="shared" si="98"/>
        <v>#DIV/0!</v>
      </c>
      <c r="BB227" s="78"/>
      <c r="BC227" s="132"/>
      <c r="BD227" s="133"/>
      <c r="BE227" s="132"/>
      <c r="BF227" s="134"/>
      <c r="BG227" s="135"/>
      <c r="BH227" s="135"/>
      <c r="BI227" s="136"/>
      <c r="BJ227" s="136"/>
      <c r="BK227" s="136"/>
      <c r="BL227" s="136"/>
      <c r="BM227" s="137"/>
      <c r="BN227" s="137"/>
      <c r="BO227" s="75">
        <f>LOOKUP(D227,基础数据!A:D)</f>
        <v>3.53915880885741</v>
      </c>
      <c r="BP227" s="75">
        <f t="shared" si="100"/>
        <v>1.00524445538374</v>
      </c>
      <c r="BQ227" s="75">
        <f t="shared" si="101"/>
        <v>362</v>
      </c>
      <c r="BR227" s="272">
        <v>339</v>
      </c>
      <c r="BS227" s="156">
        <f t="shared" si="93"/>
        <v>39</v>
      </c>
      <c r="BT227" s="186">
        <v>0.01</v>
      </c>
      <c r="BU227" s="156">
        <f t="shared" si="94"/>
        <v>3.39</v>
      </c>
      <c r="BV227" s="156">
        <f t="shared" si="95"/>
        <v>0.28</v>
      </c>
      <c r="BW227" s="156">
        <f t="shared" si="99"/>
        <v>303</v>
      </c>
      <c r="BX227" s="156">
        <f t="shared" si="96"/>
        <v>7.58110882956879</v>
      </c>
      <c r="BY227" s="1207" t="s">
        <v>2888</v>
      </c>
      <c r="BZ227" s="272">
        <v>3</v>
      </c>
      <c r="CA227" s="186">
        <f t="shared" si="105"/>
        <v>-1.53</v>
      </c>
      <c r="CB227" s="186">
        <f t="shared" si="102"/>
        <v>-1.53</v>
      </c>
      <c r="CC227" s="186">
        <f t="shared" si="103"/>
        <v>-1.53</v>
      </c>
      <c r="CD227" s="1208" t="s">
        <v>2889</v>
      </c>
      <c r="CF227" s="134"/>
      <c r="CG227" s="138"/>
      <c r="CH227" s="132"/>
      <c r="CI227" s="138"/>
      <c r="CJ227" s="132"/>
      <c r="CK227" s="132"/>
      <c r="CL227" s="134"/>
      <c r="CM227" s="146"/>
    </row>
    <row r="228" ht="15" hidden="1" customHeight="1" spans="1:91">
      <c r="A228" s="123">
        <f>IF(B228="","",COUNT(A$7:A227)+1)</f>
        <v>221</v>
      </c>
      <c r="B228" s="139" t="s">
        <v>2901</v>
      </c>
      <c r="C228" s="139"/>
      <c r="D228" s="1209">
        <v>43100</v>
      </c>
      <c r="E228" s="1210">
        <v>160</v>
      </c>
      <c r="F228" s="219" t="s">
        <v>2866</v>
      </c>
      <c r="G228" s="142"/>
      <c r="H228" s="127"/>
      <c r="I228" s="128"/>
      <c r="J228" s="128"/>
      <c r="K228" s="980">
        <v>1</v>
      </c>
      <c r="L228" s="143"/>
      <c r="M228" s="143"/>
      <c r="N228" s="144"/>
      <c r="O228" s="144"/>
      <c r="P228" s="144"/>
      <c r="Q228" s="353">
        <f t="shared" si="84"/>
        <v>1</v>
      </c>
      <c r="R228" s="129">
        <f t="shared" si="85"/>
        <v>0</v>
      </c>
      <c r="S228" s="129">
        <f t="shared" si="86"/>
        <v>0</v>
      </c>
      <c r="T228" s="129">
        <f t="shared" si="87"/>
        <v>1</v>
      </c>
      <c r="U228" s="129">
        <f t="shared" si="88"/>
        <v>163</v>
      </c>
      <c r="V228" s="214">
        <f t="shared" si="89"/>
        <v>15</v>
      </c>
      <c r="W228" s="353">
        <f t="shared" si="90"/>
        <v>24.45</v>
      </c>
      <c r="X228" s="129">
        <f t="shared" si="91"/>
        <v>24.45</v>
      </c>
      <c r="Y228" s="129" t="str">
        <f t="shared" si="92"/>
        <v/>
      </c>
      <c r="Z228" s="145"/>
      <c r="BA228" s="75" t="e">
        <f t="shared" si="98"/>
        <v>#DIV/0!</v>
      </c>
      <c r="BB228" s="78"/>
      <c r="BC228" s="132"/>
      <c r="BD228" s="133"/>
      <c r="BE228" s="132"/>
      <c r="BF228" s="134"/>
      <c r="BG228" s="135"/>
      <c r="BH228" s="135"/>
      <c r="BI228" s="136"/>
      <c r="BJ228" s="136"/>
      <c r="BK228" s="136"/>
      <c r="BL228" s="136"/>
      <c r="BM228" s="137"/>
      <c r="BN228" s="137"/>
      <c r="BO228" s="75">
        <f>LOOKUP(D228,基础数据!A:D)</f>
        <v>3.53915880885741</v>
      </c>
      <c r="BP228" s="75">
        <f t="shared" si="100"/>
        <v>1.00524445538374</v>
      </c>
      <c r="BQ228" s="75">
        <f t="shared" si="101"/>
        <v>161</v>
      </c>
      <c r="BR228" s="272">
        <f t="shared" ref="BR228:BR238" si="107">ROUND(BQ228*1.13,0)</f>
        <v>182</v>
      </c>
      <c r="BS228" s="156">
        <f t="shared" si="93"/>
        <v>20.94</v>
      </c>
      <c r="BT228" s="186">
        <v>0.01</v>
      </c>
      <c r="BU228" s="156">
        <f t="shared" si="94"/>
        <v>1.82</v>
      </c>
      <c r="BV228" s="156">
        <f t="shared" si="95"/>
        <v>0.15</v>
      </c>
      <c r="BW228" s="156">
        <f t="shared" si="99"/>
        <v>163</v>
      </c>
      <c r="BX228" s="156">
        <f t="shared" si="96"/>
        <v>7.58110882956879</v>
      </c>
      <c r="BY228" s="1207" t="s">
        <v>2888</v>
      </c>
      <c r="BZ228" s="272">
        <v>3</v>
      </c>
      <c r="CA228" s="186">
        <f t="shared" si="105"/>
        <v>-1.53</v>
      </c>
      <c r="CB228" s="186">
        <f t="shared" si="102"/>
        <v>-1.53</v>
      </c>
      <c r="CC228" s="186">
        <f t="shared" si="103"/>
        <v>-1.53</v>
      </c>
      <c r="CD228" s="272"/>
      <c r="CF228" s="134"/>
      <c r="CG228" s="138"/>
      <c r="CH228" s="132"/>
      <c r="CI228" s="138"/>
      <c r="CJ228" s="132"/>
      <c r="CK228" s="132"/>
      <c r="CL228" s="134"/>
      <c r="CM228" s="146"/>
    </row>
    <row r="229" ht="15" hidden="1" customHeight="1" spans="1:91">
      <c r="A229" s="123">
        <f>IF(B229="","",COUNT(A$7:A228)+1)</f>
        <v>222</v>
      </c>
      <c r="B229" s="139" t="s">
        <v>2891</v>
      </c>
      <c r="C229" s="139" t="s">
        <v>2892</v>
      </c>
      <c r="D229" s="1209">
        <v>45001</v>
      </c>
      <c r="E229" s="1210">
        <v>16000</v>
      </c>
      <c r="F229" s="219" t="s">
        <v>2866</v>
      </c>
      <c r="G229" s="142"/>
      <c r="H229" s="127"/>
      <c r="I229" s="128"/>
      <c r="J229" s="128"/>
      <c r="K229" s="980">
        <v>1</v>
      </c>
      <c r="L229" s="143"/>
      <c r="M229" s="143"/>
      <c r="N229" s="144"/>
      <c r="O229" s="144"/>
      <c r="P229" s="144"/>
      <c r="Q229" s="353">
        <f t="shared" si="84"/>
        <v>1</v>
      </c>
      <c r="R229" s="129">
        <f t="shared" si="85"/>
        <v>0</v>
      </c>
      <c r="S229" s="129">
        <f t="shared" si="86"/>
        <v>0</v>
      </c>
      <c r="T229" s="129">
        <f t="shared" si="87"/>
        <v>1</v>
      </c>
      <c r="U229" s="129">
        <f t="shared" si="88"/>
        <v>14945</v>
      </c>
      <c r="V229" s="214">
        <f t="shared" si="89"/>
        <v>60</v>
      </c>
      <c r="W229" s="353">
        <f t="shared" si="90"/>
        <v>8967</v>
      </c>
      <c r="X229" s="129">
        <f t="shared" si="91"/>
        <v>8967</v>
      </c>
      <c r="Y229" s="129" t="str">
        <f t="shared" si="92"/>
        <v/>
      </c>
      <c r="Z229" s="145"/>
      <c r="BA229" s="75" t="e">
        <f t="shared" si="98"/>
        <v>#DIV/0!</v>
      </c>
      <c r="BB229" s="78"/>
      <c r="BC229" s="132"/>
      <c r="BD229" s="133"/>
      <c r="BE229" s="132"/>
      <c r="BF229" s="134"/>
      <c r="BG229" s="135"/>
      <c r="BH229" s="135"/>
      <c r="BI229" s="136"/>
      <c r="BJ229" s="136"/>
      <c r="BK229" s="136"/>
      <c r="BL229" s="136"/>
      <c r="BM229" s="137"/>
      <c r="BN229" s="137"/>
      <c r="BO229" s="75">
        <f>LOOKUP(D229,基础数据!A:D)</f>
        <v>3.80882053463966</v>
      </c>
      <c r="BP229" s="75">
        <f t="shared" si="100"/>
        <v>0.9340738785066</v>
      </c>
      <c r="BQ229" s="75">
        <f t="shared" si="101"/>
        <v>14945</v>
      </c>
      <c r="BR229" s="272">
        <f t="shared" si="107"/>
        <v>16888</v>
      </c>
      <c r="BS229" s="156">
        <f t="shared" si="93"/>
        <v>1942.87</v>
      </c>
      <c r="BT229" s="156"/>
      <c r="BU229" s="156">
        <f t="shared" si="94"/>
        <v>0</v>
      </c>
      <c r="BV229" s="156">
        <f t="shared" si="95"/>
        <v>0</v>
      </c>
      <c r="BW229" s="156">
        <f t="shared" si="99"/>
        <v>14945</v>
      </c>
      <c r="BX229" s="156">
        <f t="shared" si="96"/>
        <v>2.37645448323066</v>
      </c>
      <c r="BY229" s="1207" t="s">
        <v>2878</v>
      </c>
      <c r="BZ229" s="272">
        <v>6</v>
      </c>
      <c r="CA229" s="186">
        <f t="shared" si="105"/>
        <v>0.6</v>
      </c>
      <c r="CB229" s="186">
        <f t="shared" si="102"/>
        <v>0.6</v>
      </c>
      <c r="CC229" s="186">
        <f t="shared" si="103"/>
        <v>0.6</v>
      </c>
      <c r="CD229" s="272"/>
      <c r="CF229" s="134"/>
      <c r="CG229" s="138"/>
      <c r="CH229" s="132"/>
      <c r="CI229" s="138"/>
      <c r="CJ229" s="132"/>
      <c r="CK229" s="132"/>
      <c r="CL229" s="134"/>
      <c r="CM229" s="146"/>
    </row>
    <row r="230" ht="15" hidden="1" customHeight="1" spans="1:91">
      <c r="A230" s="123">
        <f>IF(B230="","",COUNT(A$7:A229)+1)</f>
        <v>223</v>
      </c>
      <c r="B230" s="139" t="s">
        <v>2902</v>
      </c>
      <c r="C230" s="139" t="s">
        <v>2903</v>
      </c>
      <c r="D230" s="1209">
        <v>43100</v>
      </c>
      <c r="E230" s="1210">
        <v>360</v>
      </c>
      <c r="F230" s="219" t="s">
        <v>2866</v>
      </c>
      <c r="G230" s="142"/>
      <c r="H230" s="127"/>
      <c r="I230" s="128"/>
      <c r="J230" s="128"/>
      <c r="K230" s="980">
        <v>1</v>
      </c>
      <c r="L230" s="143"/>
      <c r="M230" s="143"/>
      <c r="N230" s="144"/>
      <c r="O230" s="144"/>
      <c r="P230" s="144"/>
      <c r="Q230" s="353">
        <f t="shared" si="84"/>
        <v>1</v>
      </c>
      <c r="R230" s="129">
        <f t="shared" si="85"/>
        <v>0</v>
      </c>
      <c r="S230" s="129">
        <f t="shared" si="86"/>
        <v>0</v>
      </c>
      <c r="T230" s="129">
        <f t="shared" si="87"/>
        <v>1</v>
      </c>
      <c r="U230" s="129">
        <f t="shared" si="88"/>
        <v>362</v>
      </c>
      <c r="V230" s="214">
        <f t="shared" si="89"/>
        <v>15</v>
      </c>
      <c r="W230" s="353">
        <f t="shared" si="90"/>
        <v>54.3</v>
      </c>
      <c r="X230" s="129">
        <f t="shared" si="91"/>
        <v>54.3</v>
      </c>
      <c r="Y230" s="129" t="str">
        <f t="shared" si="92"/>
        <v/>
      </c>
      <c r="Z230" s="145"/>
      <c r="BA230" s="75" t="e">
        <f t="shared" si="98"/>
        <v>#DIV/0!</v>
      </c>
      <c r="BB230" s="78"/>
      <c r="BC230" s="132"/>
      <c r="BD230" s="133"/>
      <c r="BE230" s="132"/>
      <c r="BF230" s="134"/>
      <c r="BG230" s="135"/>
      <c r="BH230" s="135"/>
      <c r="BI230" s="136"/>
      <c r="BJ230" s="136"/>
      <c r="BK230" s="136"/>
      <c r="BL230" s="136"/>
      <c r="BM230" s="137"/>
      <c r="BN230" s="137"/>
      <c r="BO230" s="75">
        <f>LOOKUP(D230,基础数据!A:D)</f>
        <v>3.53915880885741</v>
      </c>
      <c r="BP230" s="75">
        <f t="shared" si="100"/>
        <v>1.00524445538374</v>
      </c>
      <c r="BQ230" s="75">
        <f t="shared" si="101"/>
        <v>362</v>
      </c>
      <c r="BR230" s="272">
        <f t="shared" si="107"/>
        <v>409</v>
      </c>
      <c r="BS230" s="156">
        <f t="shared" si="93"/>
        <v>47.05</v>
      </c>
      <c r="BT230" s="156"/>
      <c r="BU230" s="156">
        <f t="shared" si="94"/>
        <v>0</v>
      </c>
      <c r="BV230" s="156">
        <f t="shared" si="95"/>
        <v>0</v>
      </c>
      <c r="BW230" s="156">
        <f t="shared" si="99"/>
        <v>362</v>
      </c>
      <c r="BX230" s="156">
        <f t="shared" si="96"/>
        <v>7.58110882956879</v>
      </c>
      <c r="BY230" s="1207" t="s">
        <v>2878</v>
      </c>
      <c r="BZ230" s="272">
        <v>6</v>
      </c>
      <c r="CA230" s="186">
        <f t="shared" si="105"/>
        <v>-0.26</v>
      </c>
      <c r="CB230" s="186">
        <f t="shared" si="102"/>
        <v>-0.26</v>
      </c>
      <c r="CC230" s="186">
        <f t="shared" si="103"/>
        <v>-0.26</v>
      </c>
      <c r="CD230" s="272"/>
      <c r="CF230" s="134"/>
      <c r="CG230" s="138"/>
      <c r="CH230" s="132"/>
      <c r="CI230" s="138"/>
      <c r="CJ230" s="132"/>
      <c r="CK230" s="132"/>
      <c r="CL230" s="134"/>
      <c r="CM230" s="146"/>
    </row>
    <row r="231" ht="15" hidden="1" customHeight="1" spans="1:91">
      <c r="A231" s="123">
        <f>IF(B231="","",COUNT(A$7:A230)+1)</f>
        <v>224</v>
      </c>
      <c r="B231" s="139" t="s">
        <v>2895</v>
      </c>
      <c r="C231" s="139" t="s">
        <v>2896</v>
      </c>
      <c r="D231" s="1209">
        <v>43100</v>
      </c>
      <c r="E231" s="1210">
        <v>980</v>
      </c>
      <c r="F231" s="219" t="s">
        <v>2866</v>
      </c>
      <c r="G231" s="142"/>
      <c r="H231" s="127"/>
      <c r="I231" s="128"/>
      <c r="J231" s="128"/>
      <c r="K231" s="980">
        <v>1</v>
      </c>
      <c r="L231" s="143"/>
      <c r="M231" s="143"/>
      <c r="N231" s="144"/>
      <c r="O231" s="144"/>
      <c r="P231" s="144"/>
      <c r="Q231" s="353">
        <f t="shared" si="84"/>
        <v>1</v>
      </c>
      <c r="R231" s="129">
        <f t="shared" si="85"/>
        <v>0</v>
      </c>
      <c r="S231" s="129">
        <f t="shared" si="86"/>
        <v>0</v>
      </c>
      <c r="T231" s="129">
        <f t="shared" si="87"/>
        <v>1</v>
      </c>
      <c r="U231" s="129">
        <f t="shared" si="88"/>
        <v>985</v>
      </c>
      <c r="V231" s="214">
        <f t="shared" si="89"/>
        <v>15</v>
      </c>
      <c r="W231" s="353">
        <f t="shared" si="90"/>
        <v>147.75</v>
      </c>
      <c r="X231" s="129">
        <f t="shared" si="91"/>
        <v>147.75</v>
      </c>
      <c r="Y231" s="129" t="str">
        <f t="shared" si="92"/>
        <v/>
      </c>
      <c r="Z231" s="145"/>
      <c r="BA231" s="75" t="e">
        <f t="shared" si="98"/>
        <v>#DIV/0!</v>
      </c>
      <c r="BB231" s="78"/>
      <c r="BC231" s="132"/>
      <c r="BD231" s="133"/>
      <c r="BE231" s="132"/>
      <c r="BF231" s="134"/>
      <c r="BG231" s="135"/>
      <c r="BH231" s="135"/>
      <c r="BI231" s="136"/>
      <c r="BJ231" s="136"/>
      <c r="BK231" s="136"/>
      <c r="BL231" s="136"/>
      <c r="BM231" s="137"/>
      <c r="BN231" s="137"/>
      <c r="BO231" s="75">
        <f>LOOKUP(D231,基础数据!A:D)</f>
        <v>3.53915880885741</v>
      </c>
      <c r="BP231" s="75">
        <f t="shared" si="100"/>
        <v>1.00524445538374</v>
      </c>
      <c r="BQ231" s="75">
        <f t="shared" si="101"/>
        <v>985</v>
      </c>
      <c r="BR231" s="272">
        <f t="shared" si="107"/>
        <v>1113</v>
      </c>
      <c r="BS231" s="156">
        <f t="shared" si="93"/>
        <v>128.04</v>
      </c>
      <c r="BT231" s="156"/>
      <c r="BU231" s="156">
        <f t="shared" si="94"/>
        <v>0</v>
      </c>
      <c r="BV231" s="156">
        <f t="shared" si="95"/>
        <v>0</v>
      </c>
      <c r="BW231" s="156">
        <f t="shared" si="99"/>
        <v>985</v>
      </c>
      <c r="BX231" s="156">
        <f t="shared" si="96"/>
        <v>7.58110882956879</v>
      </c>
      <c r="BY231" s="1207" t="s">
        <v>2878</v>
      </c>
      <c r="BZ231" s="272">
        <v>6</v>
      </c>
      <c r="CA231" s="186">
        <f t="shared" si="105"/>
        <v>-0.26</v>
      </c>
      <c r="CB231" s="186">
        <f t="shared" si="102"/>
        <v>-0.26</v>
      </c>
      <c r="CC231" s="186">
        <f t="shared" si="103"/>
        <v>-0.26</v>
      </c>
      <c r="CD231" s="272"/>
      <c r="CF231" s="134"/>
      <c r="CG231" s="138"/>
      <c r="CH231" s="132"/>
      <c r="CI231" s="138"/>
      <c r="CJ231" s="132"/>
      <c r="CK231" s="132"/>
      <c r="CL231" s="134"/>
      <c r="CM231" s="146"/>
    </row>
    <row r="232" ht="15" hidden="1" customHeight="1" spans="1:91">
      <c r="A232" s="123">
        <f>IF(B232="","",COUNT(A$7:A231)+1)</f>
        <v>225</v>
      </c>
      <c r="B232" s="139" t="s">
        <v>2897</v>
      </c>
      <c r="C232" s="139" t="s">
        <v>2898</v>
      </c>
      <c r="D232" s="1209">
        <v>45001</v>
      </c>
      <c r="E232" s="1210">
        <v>395</v>
      </c>
      <c r="F232" s="219" t="s">
        <v>2866</v>
      </c>
      <c r="G232" s="142"/>
      <c r="H232" s="127"/>
      <c r="I232" s="128"/>
      <c r="J232" s="128"/>
      <c r="K232" s="980">
        <v>1</v>
      </c>
      <c r="L232" s="143"/>
      <c r="M232" s="143"/>
      <c r="N232" s="144"/>
      <c r="O232" s="144"/>
      <c r="P232" s="144"/>
      <c r="Q232" s="353">
        <f t="shared" si="84"/>
        <v>1</v>
      </c>
      <c r="R232" s="129">
        <f t="shared" si="85"/>
        <v>0</v>
      </c>
      <c r="S232" s="129">
        <f t="shared" si="86"/>
        <v>0</v>
      </c>
      <c r="T232" s="129">
        <f t="shared" si="87"/>
        <v>1</v>
      </c>
      <c r="U232" s="129">
        <f t="shared" si="88"/>
        <v>369</v>
      </c>
      <c r="V232" s="214">
        <f t="shared" si="89"/>
        <v>60</v>
      </c>
      <c r="W232" s="353">
        <f t="shared" si="90"/>
        <v>221.4</v>
      </c>
      <c r="X232" s="129">
        <f t="shared" si="91"/>
        <v>221.4</v>
      </c>
      <c r="Y232" s="129" t="str">
        <f t="shared" si="92"/>
        <v/>
      </c>
      <c r="Z232" s="145"/>
      <c r="BA232" s="75" t="e">
        <f t="shared" si="98"/>
        <v>#DIV/0!</v>
      </c>
      <c r="BB232" s="78"/>
      <c r="BC232" s="132"/>
      <c r="BD232" s="133"/>
      <c r="BE232" s="132"/>
      <c r="BF232" s="134"/>
      <c r="BG232" s="135"/>
      <c r="BH232" s="135"/>
      <c r="BI232" s="136"/>
      <c r="BJ232" s="136"/>
      <c r="BK232" s="136"/>
      <c r="BL232" s="136"/>
      <c r="BM232" s="137"/>
      <c r="BN232" s="137"/>
      <c r="BO232" s="75">
        <f>LOOKUP(D232,基础数据!A:D)</f>
        <v>3.80882053463966</v>
      </c>
      <c r="BP232" s="75">
        <f t="shared" si="100"/>
        <v>0.9340738785066</v>
      </c>
      <c r="BQ232" s="75">
        <f t="shared" si="101"/>
        <v>369</v>
      </c>
      <c r="BR232" s="272">
        <f t="shared" si="107"/>
        <v>417</v>
      </c>
      <c r="BS232" s="156">
        <f t="shared" si="93"/>
        <v>47.97</v>
      </c>
      <c r="BT232" s="156"/>
      <c r="BU232" s="156">
        <f t="shared" si="94"/>
        <v>0</v>
      </c>
      <c r="BV232" s="156">
        <f t="shared" si="95"/>
        <v>0</v>
      </c>
      <c r="BW232" s="156">
        <f t="shared" si="99"/>
        <v>369</v>
      </c>
      <c r="BX232" s="156">
        <f t="shared" si="96"/>
        <v>2.37645448323066</v>
      </c>
      <c r="BY232" s="1207" t="s">
        <v>2878</v>
      </c>
      <c r="BZ232" s="272">
        <v>6</v>
      </c>
      <c r="CA232" s="186">
        <f t="shared" si="105"/>
        <v>0.6</v>
      </c>
      <c r="CB232" s="186">
        <f t="shared" si="102"/>
        <v>0.6</v>
      </c>
      <c r="CC232" s="186">
        <f t="shared" si="103"/>
        <v>0.6</v>
      </c>
      <c r="CD232" s="272"/>
      <c r="CF232" s="134"/>
      <c r="CG232" s="138"/>
      <c r="CH232" s="132"/>
      <c r="CI232" s="138"/>
      <c r="CJ232" s="132"/>
      <c r="CK232" s="132"/>
      <c r="CL232" s="134"/>
      <c r="CM232" s="146"/>
    </row>
    <row r="233" ht="15" hidden="1" customHeight="1" spans="1:91">
      <c r="A233" s="123">
        <f>IF(B233="","",COUNT(A$7:A232)+1)</f>
        <v>226</v>
      </c>
      <c r="B233" s="139" t="s">
        <v>2897</v>
      </c>
      <c r="C233" s="139" t="s">
        <v>2898</v>
      </c>
      <c r="D233" s="1209">
        <v>45001</v>
      </c>
      <c r="E233" s="1210">
        <v>395</v>
      </c>
      <c r="F233" s="219" t="s">
        <v>2866</v>
      </c>
      <c r="G233" s="142"/>
      <c r="H233" s="127"/>
      <c r="I233" s="128"/>
      <c r="J233" s="128"/>
      <c r="K233" s="980">
        <v>1</v>
      </c>
      <c r="L233" s="143"/>
      <c r="M233" s="143"/>
      <c r="N233" s="144"/>
      <c r="O233" s="144"/>
      <c r="P233" s="144"/>
      <c r="Q233" s="353">
        <f t="shared" si="84"/>
        <v>1</v>
      </c>
      <c r="R233" s="129">
        <f t="shared" si="85"/>
        <v>0</v>
      </c>
      <c r="S233" s="129">
        <f t="shared" si="86"/>
        <v>0</v>
      </c>
      <c r="T233" s="129">
        <f t="shared" si="87"/>
        <v>1</v>
      </c>
      <c r="U233" s="129">
        <f t="shared" si="88"/>
        <v>369</v>
      </c>
      <c r="V233" s="214">
        <f t="shared" si="89"/>
        <v>60</v>
      </c>
      <c r="W233" s="353">
        <f t="shared" si="90"/>
        <v>221.4</v>
      </c>
      <c r="X233" s="129">
        <f t="shared" si="91"/>
        <v>221.4</v>
      </c>
      <c r="Y233" s="129" t="str">
        <f t="shared" si="92"/>
        <v/>
      </c>
      <c r="Z233" s="145"/>
      <c r="BA233" s="75" t="e">
        <f t="shared" si="98"/>
        <v>#DIV/0!</v>
      </c>
      <c r="BB233" s="78"/>
      <c r="BC233" s="132"/>
      <c r="BD233" s="133"/>
      <c r="BE233" s="132"/>
      <c r="BF233" s="134"/>
      <c r="BG233" s="135"/>
      <c r="BH233" s="135"/>
      <c r="BI233" s="136"/>
      <c r="BJ233" s="136"/>
      <c r="BK233" s="136"/>
      <c r="BL233" s="136"/>
      <c r="BM233" s="137"/>
      <c r="BN233" s="137"/>
      <c r="BO233" s="75">
        <f>LOOKUP(D233,基础数据!A:D)</f>
        <v>3.80882053463966</v>
      </c>
      <c r="BP233" s="75">
        <f t="shared" si="100"/>
        <v>0.9340738785066</v>
      </c>
      <c r="BQ233" s="75">
        <f t="shared" si="101"/>
        <v>369</v>
      </c>
      <c r="BR233" s="272">
        <f t="shared" si="107"/>
        <v>417</v>
      </c>
      <c r="BS233" s="156">
        <f t="shared" si="93"/>
        <v>47.97</v>
      </c>
      <c r="BT233" s="156"/>
      <c r="BU233" s="156">
        <f t="shared" si="94"/>
        <v>0</v>
      </c>
      <c r="BV233" s="156">
        <f t="shared" si="95"/>
        <v>0</v>
      </c>
      <c r="BW233" s="156">
        <f t="shared" si="99"/>
        <v>369</v>
      </c>
      <c r="BX233" s="156">
        <f t="shared" si="96"/>
        <v>2.37645448323066</v>
      </c>
      <c r="BY233" s="1207" t="s">
        <v>2878</v>
      </c>
      <c r="BZ233" s="272">
        <v>6</v>
      </c>
      <c r="CA233" s="186">
        <f t="shared" si="105"/>
        <v>0.6</v>
      </c>
      <c r="CB233" s="186">
        <f t="shared" si="102"/>
        <v>0.6</v>
      </c>
      <c r="CC233" s="186">
        <f t="shared" si="103"/>
        <v>0.6</v>
      </c>
      <c r="CD233" s="272"/>
      <c r="CF233" s="134"/>
      <c r="CG233" s="138"/>
      <c r="CH233" s="132"/>
      <c r="CI233" s="138"/>
      <c r="CJ233" s="132"/>
      <c r="CK233" s="132"/>
      <c r="CL233" s="134"/>
      <c r="CM233" s="146"/>
    </row>
    <row r="234" ht="15" hidden="1" customHeight="1" spans="1:91">
      <c r="A234" s="123">
        <f>IF(B234="","",COUNT(A$7:A233)+1)</f>
        <v>227</v>
      </c>
      <c r="B234" s="139" t="s">
        <v>2893</v>
      </c>
      <c r="C234" s="139" t="s">
        <v>2894</v>
      </c>
      <c r="D234" s="1209">
        <v>43100</v>
      </c>
      <c r="E234" s="1210">
        <v>255</v>
      </c>
      <c r="F234" s="219" t="s">
        <v>2866</v>
      </c>
      <c r="G234" s="142"/>
      <c r="H234" s="127"/>
      <c r="I234" s="128"/>
      <c r="J234" s="128"/>
      <c r="K234" s="980">
        <v>1</v>
      </c>
      <c r="L234" s="143"/>
      <c r="M234" s="143"/>
      <c r="N234" s="144"/>
      <c r="O234" s="144"/>
      <c r="P234" s="144"/>
      <c r="Q234" s="353">
        <f t="shared" si="84"/>
        <v>1</v>
      </c>
      <c r="R234" s="129">
        <f t="shared" si="85"/>
        <v>0</v>
      </c>
      <c r="S234" s="129">
        <f t="shared" si="86"/>
        <v>0</v>
      </c>
      <c r="T234" s="129">
        <f t="shared" si="87"/>
        <v>1</v>
      </c>
      <c r="U234" s="129">
        <f t="shared" si="88"/>
        <v>256</v>
      </c>
      <c r="V234" s="214">
        <f t="shared" si="89"/>
        <v>15</v>
      </c>
      <c r="W234" s="353">
        <f t="shared" si="90"/>
        <v>38.4</v>
      </c>
      <c r="X234" s="129">
        <f t="shared" si="91"/>
        <v>38.4</v>
      </c>
      <c r="Y234" s="129" t="str">
        <f t="shared" si="92"/>
        <v/>
      </c>
      <c r="Z234" s="145"/>
      <c r="BA234" s="75" t="e">
        <f t="shared" si="98"/>
        <v>#DIV/0!</v>
      </c>
      <c r="BB234" s="78"/>
      <c r="BC234" s="132"/>
      <c r="BD234" s="133"/>
      <c r="BE234" s="132"/>
      <c r="BF234" s="134"/>
      <c r="BG234" s="135"/>
      <c r="BH234" s="135"/>
      <c r="BI234" s="136"/>
      <c r="BJ234" s="136"/>
      <c r="BK234" s="136"/>
      <c r="BL234" s="136"/>
      <c r="BM234" s="137"/>
      <c r="BN234" s="137"/>
      <c r="BO234" s="75">
        <f>LOOKUP(D234,基础数据!A:D)</f>
        <v>3.53915880885741</v>
      </c>
      <c r="BP234" s="75">
        <f t="shared" si="100"/>
        <v>1.00524445538374</v>
      </c>
      <c r="BQ234" s="75">
        <f t="shared" si="101"/>
        <v>256</v>
      </c>
      <c r="BR234" s="272">
        <f t="shared" si="107"/>
        <v>289</v>
      </c>
      <c r="BS234" s="156">
        <f t="shared" si="93"/>
        <v>33.25</v>
      </c>
      <c r="BT234" s="156"/>
      <c r="BU234" s="156">
        <f t="shared" si="94"/>
        <v>0</v>
      </c>
      <c r="BV234" s="156">
        <f t="shared" si="95"/>
        <v>0</v>
      </c>
      <c r="BW234" s="156">
        <f t="shared" si="99"/>
        <v>256</v>
      </c>
      <c r="BX234" s="156">
        <f t="shared" si="96"/>
        <v>7.58110882956879</v>
      </c>
      <c r="BY234" s="1207" t="s">
        <v>2878</v>
      </c>
      <c r="BZ234" s="272">
        <v>6</v>
      </c>
      <c r="CA234" s="186">
        <f t="shared" si="105"/>
        <v>-0.26</v>
      </c>
      <c r="CB234" s="186">
        <f t="shared" si="102"/>
        <v>-0.26</v>
      </c>
      <c r="CC234" s="186">
        <f t="shared" si="103"/>
        <v>-0.26</v>
      </c>
      <c r="CD234" s="272"/>
      <c r="CF234" s="134"/>
      <c r="CG234" s="138"/>
      <c r="CH234" s="132"/>
      <c r="CI234" s="138"/>
      <c r="CJ234" s="132"/>
      <c r="CK234" s="132"/>
      <c r="CL234" s="134"/>
      <c r="CM234" s="146"/>
    </row>
    <row r="235" ht="15" hidden="1" customHeight="1" spans="1:91">
      <c r="A235" s="123">
        <f>IF(B235="","",COUNT(A$7:A234)+1)</f>
        <v>228</v>
      </c>
      <c r="B235" s="139" t="s">
        <v>2904</v>
      </c>
      <c r="C235" s="139" t="s">
        <v>2905</v>
      </c>
      <c r="D235" s="1209">
        <v>43100</v>
      </c>
      <c r="E235" s="1210">
        <v>485</v>
      </c>
      <c r="F235" s="219" t="s">
        <v>2866</v>
      </c>
      <c r="G235" s="142"/>
      <c r="H235" s="127"/>
      <c r="I235" s="128"/>
      <c r="J235" s="128"/>
      <c r="K235" s="980">
        <v>1</v>
      </c>
      <c r="L235" s="143"/>
      <c r="M235" s="143"/>
      <c r="N235" s="144"/>
      <c r="O235" s="144"/>
      <c r="P235" s="144"/>
      <c r="Q235" s="353">
        <f t="shared" si="84"/>
        <v>1</v>
      </c>
      <c r="R235" s="129">
        <f t="shared" si="85"/>
        <v>0</v>
      </c>
      <c r="S235" s="129">
        <f t="shared" si="86"/>
        <v>0</v>
      </c>
      <c r="T235" s="129">
        <f t="shared" si="87"/>
        <v>1</v>
      </c>
      <c r="U235" s="129">
        <f t="shared" si="88"/>
        <v>488</v>
      </c>
      <c r="V235" s="214">
        <f t="shared" si="89"/>
        <v>15</v>
      </c>
      <c r="W235" s="353">
        <f t="shared" si="90"/>
        <v>73.2</v>
      </c>
      <c r="X235" s="129">
        <f t="shared" si="91"/>
        <v>73.2</v>
      </c>
      <c r="Y235" s="129" t="str">
        <f t="shared" si="92"/>
        <v/>
      </c>
      <c r="Z235" s="145"/>
      <c r="BA235" s="75" t="e">
        <f t="shared" si="98"/>
        <v>#DIV/0!</v>
      </c>
      <c r="BB235" s="78"/>
      <c r="BC235" s="132"/>
      <c r="BD235" s="133"/>
      <c r="BE235" s="132"/>
      <c r="BF235" s="134"/>
      <c r="BG235" s="135"/>
      <c r="BH235" s="135"/>
      <c r="BI235" s="136"/>
      <c r="BJ235" s="136"/>
      <c r="BK235" s="136"/>
      <c r="BL235" s="136"/>
      <c r="BM235" s="137"/>
      <c r="BN235" s="137"/>
      <c r="BO235" s="75">
        <f>LOOKUP(D235,基础数据!A:D)</f>
        <v>3.53915880885741</v>
      </c>
      <c r="BP235" s="75">
        <f t="shared" si="100"/>
        <v>1.00524445538374</v>
      </c>
      <c r="BQ235" s="75">
        <f t="shared" si="101"/>
        <v>488</v>
      </c>
      <c r="BR235" s="272">
        <f t="shared" si="107"/>
        <v>551</v>
      </c>
      <c r="BS235" s="156">
        <f t="shared" si="93"/>
        <v>63.39</v>
      </c>
      <c r="BT235" s="156"/>
      <c r="BU235" s="156">
        <f t="shared" si="94"/>
        <v>0</v>
      </c>
      <c r="BV235" s="156">
        <f t="shared" si="95"/>
        <v>0</v>
      </c>
      <c r="BW235" s="156">
        <f t="shared" si="99"/>
        <v>488</v>
      </c>
      <c r="BX235" s="156">
        <f t="shared" si="96"/>
        <v>7.58110882956879</v>
      </c>
      <c r="BY235" s="1207" t="s">
        <v>2878</v>
      </c>
      <c r="BZ235" s="272">
        <v>6</v>
      </c>
      <c r="CA235" s="186">
        <f t="shared" si="105"/>
        <v>-0.26</v>
      </c>
      <c r="CB235" s="186">
        <f t="shared" si="102"/>
        <v>-0.26</v>
      </c>
      <c r="CC235" s="186">
        <f t="shared" si="103"/>
        <v>-0.26</v>
      </c>
      <c r="CD235" s="272"/>
      <c r="CF235" s="134"/>
      <c r="CG235" s="138"/>
      <c r="CH235" s="132"/>
      <c r="CI235" s="138"/>
      <c r="CJ235" s="132"/>
      <c r="CK235" s="132"/>
      <c r="CL235" s="134"/>
      <c r="CM235" s="146"/>
    </row>
    <row r="236" ht="15" hidden="1" customHeight="1" spans="1:91">
      <c r="A236" s="123">
        <f>IF(B236="","",COUNT(A$7:A235)+1)</f>
        <v>229</v>
      </c>
      <c r="B236" s="139" t="s">
        <v>2906</v>
      </c>
      <c r="C236" s="139" t="s">
        <v>2907</v>
      </c>
      <c r="D236" s="1209">
        <v>43100</v>
      </c>
      <c r="E236" s="1210">
        <v>7800</v>
      </c>
      <c r="F236" s="219" t="s">
        <v>2866</v>
      </c>
      <c r="G236" s="142"/>
      <c r="H236" s="127"/>
      <c r="I236" s="128"/>
      <c r="J236" s="128"/>
      <c r="K236" s="980">
        <v>1</v>
      </c>
      <c r="L236" s="143"/>
      <c r="M236" s="143"/>
      <c r="N236" s="144"/>
      <c r="O236" s="144"/>
      <c r="P236" s="144"/>
      <c r="Q236" s="353">
        <f t="shared" si="84"/>
        <v>1</v>
      </c>
      <c r="R236" s="129">
        <f t="shared" si="85"/>
        <v>0</v>
      </c>
      <c r="S236" s="129">
        <f t="shared" si="86"/>
        <v>0</v>
      </c>
      <c r="T236" s="129">
        <f t="shared" si="87"/>
        <v>1</v>
      </c>
      <c r="U236" s="129">
        <f t="shared" si="88"/>
        <v>7841</v>
      </c>
      <c r="V236" s="214">
        <f t="shared" si="89"/>
        <v>15</v>
      </c>
      <c r="W236" s="353">
        <f t="shared" si="90"/>
        <v>1176.15</v>
      </c>
      <c r="X236" s="129">
        <f t="shared" si="91"/>
        <v>1176.15</v>
      </c>
      <c r="Y236" s="129" t="str">
        <f t="shared" si="92"/>
        <v/>
      </c>
      <c r="Z236" s="145"/>
      <c r="BA236" s="75" t="e">
        <f t="shared" si="98"/>
        <v>#DIV/0!</v>
      </c>
      <c r="BB236" s="78"/>
      <c r="BC236" s="132"/>
      <c r="BD236" s="133"/>
      <c r="BE236" s="132"/>
      <c r="BF236" s="134"/>
      <c r="BG236" s="135"/>
      <c r="BH236" s="135"/>
      <c r="BI236" s="136"/>
      <c r="BJ236" s="136"/>
      <c r="BK236" s="136"/>
      <c r="BL236" s="136"/>
      <c r="BM236" s="137"/>
      <c r="BN236" s="137"/>
      <c r="BO236" s="75">
        <f>LOOKUP(D236,基础数据!A:D)</f>
        <v>3.53915880885741</v>
      </c>
      <c r="BP236" s="75">
        <f t="shared" si="100"/>
        <v>1.00524445538374</v>
      </c>
      <c r="BQ236" s="75">
        <f t="shared" si="101"/>
        <v>7841</v>
      </c>
      <c r="BR236" s="272">
        <f t="shared" si="107"/>
        <v>8860</v>
      </c>
      <c r="BS236" s="156">
        <f t="shared" si="93"/>
        <v>1019.29</v>
      </c>
      <c r="BT236" s="156"/>
      <c r="BU236" s="156">
        <f t="shared" si="94"/>
        <v>0</v>
      </c>
      <c r="BV236" s="156">
        <f t="shared" si="95"/>
        <v>0</v>
      </c>
      <c r="BW236" s="156">
        <f t="shared" si="99"/>
        <v>7841</v>
      </c>
      <c r="BX236" s="156">
        <f t="shared" si="96"/>
        <v>7.58110882956879</v>
      </c>
      <c r="BY236" s="1207" t="s">
        <v>2878</v>
      </c>
      <c r="BZ236" s="272">
        <v>6</v>
      </c>
      <c r="CA236" s="186">
        <f t="shared" si="105"/>
        <v>-0.26</v>
      </c>
      <c r="CB236" s="186">
        <f t="shared" si="102"/>
        <v>-0.26</v>
      </c>
      <c r="CC236" s="186">
        <f t="shared" si="103"/>
        <v>-0.26</v>
      </c>
      <c r="CD236" s="272"/>
      <c r="CF236" s="134"/>
      <c r="CG236" s="138"/>
      <c r="CH236" s="132"/>
      <c r="CI236" s="138"/>
      <c r="CJ236" s="132"/>
      <c r="CK236" s="132"/>
      <c r="CL236" s="134"/>
      <c r="CM236" s="146"/>
    </row>
    <row r="237" ht="15" hidden="1" customHeight="1" spans="1:91">
      <c r="A237" s="123">
        <f>IF(B237="","",COUNT(A$7:A236)+1)</f>
        <v>230</v>
      </c>
      <c r="B237" s="139" t="s">
        <v>2893</v>
      </c>
      <c r="C237" s="139" t="s">
        <v>2900</v>
      </c>
      <c r="D237" s="1209">
        <v>43100</v>
      </c>
      <c r="E237" s="1210">
        <v>255</v>
      </c>
      <c r="F237" s="219" t="s">
        <v>2866</v>
      </c>
      <c r="G237" s="142"/>
      <c r="H237" s="127"/>
      <c r="I237" s="128"/>
      <c r="J237" s="128"/>
      <c r="K237" s="980">
        <v>1</v>
      </c>
      <c r="L237" s="143"/>
      <c r="M237" s="143"/>
      <c r="N237" s="144"/>
      <c r="O237" s="144"/>
      <c r="P237" s="144"/>
      <c r="Q237" s="353">
        <f t="shared" si="84"/>
        <v>1</v>
      </c>
      <c r="R237" s="129">
        <f t="shared" si="85"/>
        <v>0</v>
      </c>
      <c r="S237" s="129">
        <f t="shared" si="86"/>
        <v>0</v>
      </c>
      <c r="T237" s="129">
        <f t="shared" si="87"/>
        <v>1</v>
      </c>
      <c r="U237" s="129">
        <f t="shared" si="88"/>
        <v>256</v>
      </c>
      <c r="V237" s="214">
        <f t="shared" si="89"/>
        <v>15</v>
      </c>
      <c r="W237" s="353">
        <f t="shared" si="90"/>
        <v>38.4</v>
      </c>
      <c r="X237" s="129">
        <f t="shared" si="91"/>
        <v>38.4</v>
      </c>
      <c r="Y237" s="129" t="str">
        <f t="shared" si="92"/>
        <v/>
      </c>
      <c r="Z237" s="145"/>
      <c r="BA237" s="75" t="e">
        <f t="shared" si="98"/>
        <v>#DIV/0!</v>
      </c>
      <c r="BB237" s="78"/>
      <c r="BC237" s="132"/>
      <c r="BD237" s="133"/>
      <c r="BE237" s="132"/>
      <c r="BF237" s="134"/>
      <c r="BG237" s="135"/>
      <c r="BH237" s="135"/>
      <c r="BI237" s="136"/>
      <c r="BJ237" s="136"/>
      <c r="BK237" s="136"/>
      <c r="BL237" s="136"/>
      <c r="BM237" s="137"/>
      <c r="BN237" s="137"/>
      <c r="BO237" s="75">
        <f>LOOKUP(D237,基础数据!A:D)</f>
        <v>3.53915880885741</v>
      </c>
      <c r="BP237" s="75">
        <f t="shared" si="100"/>
        <v>1.00524445538374</v>
      </c>
      <c r="BQ237" s="75">
        <f t="shared" si="101"/>
        <v>256</v>
      </c>
      <c r="BR237" s="272">
        <f t="shared" si="107"/>
        <v>289</v>
      </c>
      <c r="BS237" s="156">
        <f t="shared" si="93"/>
        <v>33.25</v>
      </c>
      <c r="BT237" s="156"/>
      <c r="BU237" s="156">
        <f t="shared" si="94"/>
        <v>0</v>
      </c>
      <c r="BV237" s="156">
        <f t="shared" si="95"/>
        <v>0</v>
      </c>
      <c r="BW237" s="156">
        <f t="shared" si="99"/>
        <v>256</v>
      </c>
      <c r="BX237" s="156">
        <f t="shared" si="96"/>
        <v>7.58110882956879</v>
      </c>
      <c r="BY237" s="1207" t="s">
        <v>2878</v>
      </c>
      <c r="BZ237" s="272">
        <v>6</v>
      </c>
      <c r="CA237" s="186">
        <f t="shared" si="105"/>
        <v>-0.26</v>
      </c>
      <c r="CB237" s="186">
        <f t="shared" si="102"/>
        <v>-0.26</v>
      </c>
      <c r="CC237" s="186">
        <f t="shared" si="103"/>
        <v>-0.26</v>
      </c>
      <c r="CD237" s="272"/>
      <c r="CF237" s="134"/>
      <c r="CG237" s="138"/>
      <c r="CH237" s="132"/>
      <c r="CI237" s="138"/>
      <c r="CJ237" s="132"/>
      <c r="CK237" s="132"/>
      <c r="CL237" s="134"/>
      <c r="CM237" s="146"/>
    </row>
    <row r="238" ht="15" hidden="1" customHeight="1" spans="1:91">
      <c r="A238" s="123">
        <f>IF(B238="","",COUNT(A$7:A237)+1)</f>
        <v>231</v>
      </c>
      <c r="B238" s="139" t="s">
        <v>2901</v>
      </c>
      <c r="C238" s="139"/>
      <c r="D238" s="1209">
        <v>43100</v>
      </c>
      <c r="E238" s="1210">
        <v>160</v>
      </c>
      <c r="F238" s="219" t="s">
        <v>2866</v>
      </c>
      <c r="G238" s="142"/>
      <c r="H238" s="127"/>
      <c r="I238" s="128"/>
      <c r="J238" s="128"/>
      <c r="K238" s="980">
        <v>1</v>
      </c>
      <c r="L238" s="143"/>
      <c r="M238" s="143"/>
      <c r="N238" s="144"/>
      <c r="O238" s="144"/>
      <c r="P238" s="144"/>
      <c r="Q238" s="353">
        <f t="shared" si="84"/>
        <v>1</v>
      </c>
      <c r="R238" s="129">
        <f t="shared" si="85"/>
        <v>0</v>
      </c>
      <c r="S238" s="129">
        <f t="shared" si="86"/>
        <v>0</v>
      </c>
      <c r="T238" s="129">
        <f t="shared" si="87"/>
        <v>1</v>
      </c>
      <c r="U238" s="129">
        <f t="shared" si="88"/>
        <v>163</v>
      </c>
      <c r="V238" s="214">
        <f t="shared" si="89"/>
        <v>15</v>
      </c>
      <c r="W238" s="353">
        <f t="shared" si="90"/>
        <v>24.45</v>
      </c>
      <c r="X238" s="129">
        <f t="shared" si="91"/>
        <v>24.45</v>
      </c>
      <c r="Y238" s="129" t="str">
        <f t="shared" si="92"/>
        <v/>
      </c>
      <c r="Z238" s="145"/>
      <c r="BA238" s="75" t="e">
        <f t="shared" si="98"/>
        <v>#DIV/0!</v>
      </c>
      <c r="BB238" s="78"/>
      <c r="BC238" s="132"/>
      <c r="BD238" s="133"/>
      <c r="BE238" s="132"/>
      <c r="BF238" s="134"/>
      <c r="BG238" s="135"/>
      <c r="BH238" s="135"/>
      <c r="BI238" s="136"/>
      <c r="BJ238" s="136"/>
      <c r="BK238" s="136"/>
      <c r="BL238" s="136"/>
      <c r="BM238" s="137"/>
      <c r="BN238" s="137"/>
      <c r="BO238" s="75">
        <f>LOOKUP(D238,基础数据!A:D)</f>
        <v>3.53915880885741</v>
      </c>
      <c r="BP238" s="75">
        <f t="shared" si="100"/>
        <v>1.00524445538374</v>
      </c>
      <c r="BQ238" s="75">
        <f t="shared" si="101"/>
        <v>161</v>
      </c>
      <c r="BR238" s="272">
        <f t="shared" si="107"/>
        <v>182</v>
      </c>
      <c r="BS238" s="156">
        <f t="shared" si="93"/>
        <v>20.94</v>
      </c>
      <c r="BT238" s="186">
        <v>0.01</v>
      </c>
      <c r="BU238" s="156">
        <f t="shared" si="94"/>
        <v>1.82</v>
      </c>
      <c r="BV238" s="156">
        <f t="shared" si="95"/>
        <v>0.15</v>
      </c>
      <c r="BW238" s="156">
        <f t="shared" si="99"/>
        <v>163</v>
      </c>
      <c r="BX238" s="156">
        <f t="shared" si="96"/>
        <v>7.58110882956879</v>
      </c>
      <c r="BY238" s="1207" t="s">
        <v>2888</v>
      </c>
      <c r="BZ238" s="272">
        <v>3</v>
      </c>
      <c r="CA238" s="186">
        <f t="shared" si="105"/>
        <v>-1.53</v>
      </c>
      <c r="CB238" s="186">
        <f t="shared" si="102"/>
        <v>-1.53</v>
      </c>
      <c r="CC238" s="186">
        <f t="shared" si="103"/>
        <v>-1.53</v>
      </c>
      <c r="CD238" s="272"/>
      <c r="CF238" s="134"/>
      <c r="CG238" s="138"/>
      <c r="CH238" s="132"/>
      <c r="CI238" s="138"/>
      <c r="CJ238" s="132"/>
      <c r="CK238" s="132"/>
      <c r="CL238" s="134"/>
      <c r="CM238" s="146"/>
    </row>
    <row r="239" ht="15" hidden="1" customHeight="1" spans="1:91">
      <c r="A239" s="123">
        <f>IF(B239="","",COUNT(A$7:A238)+1)</f>
        <v>232</v>
      </c>
      <c r="B239" s="139" t="s">
        <v>2886</v>
      </c>
      <c r="C239" s="139" t="s">
        <v>2887</v>
      </c>
      <c r="D239" s="1209">
        <v>43100</v>
      </c>
      <c r="E239" s="1210">
        <v>360</v>
      </c>
      <c r="F239" s="219" t="s">
        <v>2866</v>
      </c>
      <c r="G239" s="142"/>
      <c r="H239" s="127"/>
      <c r="I239" s="128"/>
      <c r="J239" s="128"/>
      <c r="K239" s="980">
        <v>1</v>
      </c>
      <c r="L239" s="143"/>
      <c r="M239" s="143"/>
      <c r="N239" s="144"/>
      <c r="O239" s="144"/>
      <c r="P239" s="144"/>
      <c r="Q239" s="353">
        <f t="shared" si="84"/>
        <v>1</v>
      </c>
      <c r="R239" s="129">
        <f t="shared" si="85"/>
        <v>0</v>
      </c>
      <c r="S239" s="129">
        <f t="shared" si="86"/>
        <v>0</v>
      </c>
      <c r="T239" s="129">
        <f t="shared" si="87"/>
        <v>1</v>
      </c>
      <c r="U239" s="129">
        <f t="shared" si="88"/>
        <v>303</v>
      </c>
      <c r="V239" s="214">
        <f t="shared" si="89"/>
        <v>15</v>
      </c>
      <c r="W239" s="353">
        <f t="shared" si="90"/>
        <v>45.45</v>
      </c>
      <c r="X239" s="129">
        <f t="shared" si="91"/>
        <v>45.45</v>
      </c>
      <c r="Y239" s="129" t="str">
        <f t="shared" si="92"/>
        <v/>
      </c>
      <c r="Z239" s="145"/>
      <c r="BA239" s="75" t="e">
        <f t="shared" si="98"/>
        <v>#DIV/0!</v>
      </c>
      <c r="BB239" s="78"/>
      <c r="BC239" s="132"/>
      <c r="BD239" s="133"/>
      <c r="BE239" s="132"/>
      <c r="BF239" s="134"/>
      <c r="BG239" s="135"/>
      <c r="BH239" s="135"/>
      <c r="BI239" s="136"/>
      <c r="BJ239" s="136"/>
      <c r="BK239" s="136"/>
      <c r="BL239" s="136"/>
      <c r="BM239" s="137"/>
      <c r="BN239" s="137"/>
      <c r="BO239" s="75">
        <f>LOOKUP(D239,基础数据!A:D)</f>
        <v>3.53915880885741</v>
      </c>
      <c r="BP239" s="75">
        <f t="shared" si="100"/>
        <v>1.00524445538374</v>
      </c>
      <c r="BQ239" s="75">
        <f t="shared" si="101"/>
        <v>362</v>
      </c>
      <c r="BR239" s="272">
        <v>339</v>
      </c>
      <c r="BS239" s="156">
        <f t="shared" si="93"/>
        <v>39</v>
      </c>
      <c r="BT239" s="186">
        <v>0.01</v>
      </c>
      <c r="BU239" s="156">
        <f t="shared" si="94"/>
        <v>3.39</v>
      </c>
      <c r="BV239" s="156">
        <f t="shared" si="95"/>
        <v>0.28</v>
      </c>
      <c r="BW239" s="156">
        <f t="shared" si="99"/>
        <v>303</v>
      </c>
      <c r="BX239" s="156">
        <f t="shared" si="96"/>
        <v>7.58110882956879</v>
      </c>
      <c r="BY239" s="1207" t="s">
        <v>2888</v>
      </c>
      <c r="BZ239" s="272">
        <v>3</v>
      </c>
      <c r="CA239" s="186">
        <f t="shared" si="105"/>
        <v>-1.53</v>
      </c>
      <c r="CB239" s="186">
        <f t="shared" si="102"/>
        <v>-1.53</v>
      </c>
      <c r="CC239" s="186">
        <f t="shared" si="103"/>
        <v>-1.53</v>
      </c>
      <c r="CD239" s="1208" t="s">
        <v>2889</v>
      </c>
      <c r="CF239" s="134"/>
      <c r="CG239" s="138"/>
      <c r="CH239" s="132"/>
      <c r="CI239" s="138"/>
      <c r="CJ239" s="132"/>
      <c r="CK239" s="132"/>
      <c r="CL239" s="134"/>
      <c r="CM239" s="146"/>
    </row>
    <row r="240" ht="15" hidden="1" customHeight="1" spans="1:91">
      <c r="A240" s="123">
        <f>IF(B240="","",COUNT(A$7:A239)+1)</f>
        <v>233</v>
      </c>
      <c r="B240" s="139" t="s">
        <v>2891</v>
      </c>
      <c r="C240" s="139" t="s">
        <v>2892</v>
      </c>
      <c r="D240" s="1209">
        <v>45001</v>
      </c>
      <c r="E240" s="1210">
        <v>16000</v>
      </c>
      <c r="F240" s="219" t="s">
        <v>2866</v>
      </c>
      <c r="G240" s="142"/>
      <c r="H240" s="127"/>
      <c r="I240" s="128"/>
      <c r="J240" s="128"/>
      <c r="K240" s="980">
        <v>1</v>
      </c>
      <c r="L240" s="143"/>
      <c r="M240" s="143"/>
      <c r="N240" s="144"/>
      <c r="O240" s="144"/>
      <c r="P240" s="144"/>
      <c r="Q240" s="353">
        <f t="shared" si="84"/>
        <v>1</v>
      </c>
      <c r="R240" s="129">
        <f t="shared" si="85"/>
        <v>0</v>
      </c>
      <c r="S240" s="129">
        <f t="shared" si="86"/>
        <v>0</v>
      </c>
      <c r="T240" s="129">
        <f t="shared" si="87"/>
        <v>1</v>
      </c>
      <c r="U240" s="129">
        <f t="shared" si="88"/>
        <v>14945</v>
      </c>
      <c r="V240" s="214">
        <f t="shared" si="89"/>
        <v>60</v>
      </c>
      <c r="W240" s="353">
        <f t="shared" si="90"/>
        <v>8967</v>
      </c>
      <c r="X240" s="129">
        <f t="shared" si="91"/>
        <v>8967</v>
      </c>
      <c r="Y240" s="129" t="str">
        <f t="shared" si="92"/>
        <v/>
      </c>
      <c r="Z240" s="145"/>
      <c r="BA240" s="75" t="e">
        <f t="shared" si="98"/>
        <v>#DIV/0!</v>
      </c>
      <c r="BB240" s="78"/>
      <c r="BC240" s="132"/>
      <c r="BD240" s="133"/>
      <c r="BE240" s="132"/>
      <c r="BF240" s="134"/>
      <c r="BG240" s="135"/>
      <c r="BH240" s="135"/>
      <c r="BI240" s="136"/>
      <c r="BJ240" s="136"/>
      <c r="BK240" s="136"/>
      <c r="BL240" s="136"/>
      <c r="BM240" s="137"/>
      <c r="BN240" s="137"/>
      <c r="BO240" s="75">
        <f>LOOKUP(D240,基础数据!A:D)</f>
        <v>3.80882053463966</v>
      </c>
      <c r="BP240" s="75">
        <f t="shared" si="100"/>
        <v>0.9340738785066</v>
      </c>
      <c r="BQ240" s="75">
        <f t="shared" si="101"/>
        <v>14945</v>
      </c>
      <c r="BR240" s="272">
        <f t="shared" ref="BR240:BR247" si="108">ROUND(BQ240*1.13,0)</f>
        <v>16888</v>
      </c>
      <c r="BS240" s="156">
        <f t="shared" si="93"/>
        <v>1942.87</v>
      </c>
      <c r="BT240" s="156"/>
      <c r="BU240" s="156">
        <f t="shared" si="94"/>
        <v>0</v>
      </c>
      <c r="BV240" s="156">
        <f t="shared" si="95"/>
        <v>0</v>
      </c>
      <c r="BW240" s="156">
        <f t="shared" si="99"/>
        <v>14945</v>
      </c>
      <c r="BX240" s="156">
        <f t="shared" si="96"/>
        <v>2.37645448323066</v>
      </c>
      <c r="BY240" s="1207" t="s">
        <v>2878</v>
      </c>
      <c r="BZ240" s="272">
        <v>6</v>
      </c>
      <c r="CA240" s="186">
        <f t="shared" si="105"/>
        <v>0.6</v>
      </c>
      <c r="CB240" s="186">
        <f t="shared" si="102"/>
        <v>0.6</v>
      </c>
      <c r="CC240" s="186">
        <f t="shared" si="103"/>
        <v>0.6</v>
      </c>
      <c r="CD240" s="272"/>
      <c r="CF240" s="134"/>
      <c r="CG240" s="138"/>
      <c r="CH240" s="132"/>
      <c r="CI240" s="138"/>
      <c r="CJ240" s="132"/>
      <c r="CK240" s="132"/>
      <c r="CL240" s="134"/>
      <c r="CM240" s="146"/>
    </row>
    <row r="241" ht="15" hidden="1" customHeight="1" spans="1:91">
      <c r="A241" s="123">
        <f>IF(B241="","",COUNT(A$7:A240)+1)</f>
        <v>234</v>
      </c>
      <c r="B241" s="139" t="s">
        <v>2893</v>
      </c>
      <c r="C241" s="139" t="s">
        <v>2894</v>
      </c>
      <c r="D241" s="1209">
        <v>43100</v>
      </c>
      <c r="E241" s="1210">
        <v>255</v>
      </c>
      <c r="F241" s="219" t="s">
        <v>2866</v>
      </c>
      <c r="G241" s="142"/>
      <c r="H241" s="127"/>
      <c r="I241" s="128"/>
      <c r="J241" s="128"/>
      <c r="K241" s="980">
        <v>1</v>
      </c>
      <c r="L241" s="143"/>
      <c r="M241" s="143"/>
      <c r="N241" s="144"/>
      <c r="O241" s="144"/>
      <c r="P241" s="144"/>
      <c r="Q241" s="353">
        <f t="shared" si="84"/>
        <v>1</v>
      </c>
      <c r="R241" s="129">
        <f t="shared" si="85"/>
        <v>0</v>
      </c>
      <c r="S241" s="129">
        <f t="shared" si="86"/>
        <v>0</v>
      </c>
      <c r="T241" s="129">
        <f t="shared" si="87"/>
        <v>1</v>
      </c>
      <c r="U241" s="129">
        <f t="shared" si="88"/>
        <v>256</v>
      </c>
      <c r="V241" s="214">
        <f t="shared" si="89"/>
        <v>15</v>
      </c>
      <c r="W241" s="353">
        <f t="shared" si="90"/>
        <v>38.4</v>
      </c>
      <c r="X241" s="129">
        <f t="shared" si="91"/>
        <v>38.4</v>
      </c>
      <c r="Y241" s="129" t="str">
        <f t="shared" si="92"/>
        <v/>
      </c>
      <c r="Z241" s="145"/>
      <c r="BA241" s="75" t="e">
        <f t="shared" si="98"/>
        <v>#DIV/0!</v>
      </c>
      <c r="BB241" s="78"/>
      <c r="BC241" s="132"/>
      <c r="BD241" s="133"/>
      <c r="BE241" s="132"/>
      <c r="BF241" s="134"/>
      <c r="BG241" s="135"/>
      <c r="BH241" s="135"/>
      <c r="BI241" s="136"/>
      <c r="BJ241" s="136"/>
      <c r="BK241" s="136"/>
      <c r="BL241" s="136"/>
      <c r="BM241" s="137"/>
      <c r="BN241" s="137"/>
      <c r="BO241" s="75">
        <f>LOOKUP(D241,基础数据!A:D)</f>
        <v>3.53915880885741</v>
      </c>
      <c r="BP241" s="75">
        <f t="shared" si="100"/>
        <v>1.00524445538374</v>
      </c>
      <c r="BQ241" s="75">
        <f t="shared" si="101"/>
        <v>256</v>
      </c>
      <c r="BR241" s="272">
        <f t="shared" si="108"/>
        <v>289</v>
      </c>
      <c r="BS241" s="156">
        <f t="shared" si="93"/>
        <v>33.25</v>
      </c>
      <c r="BT241" s="156"/>
      <c r="BU241" s="156">
        <f t="shared" si="94"/>
        <v>0</v>
      </c>
      <c r="BV241" s="156">
        <f t="shared" si="95"/>
        <v>0</v>
      </c>
      <c r="BW241" s="156">
        <f t="shared" si="99"/>
        <v>256</v>
      </c>
      <c r="BX241" s="156">
        <f t="shared" si="96"/>
        <v>7.58110882956879</v>
      </c>
      <c r="BY241" s="1207" t="s">
        <v>2878</v>
      </c>
      <c r="BZ241" s="272">
        <v>6</v>
      </c>
      <c r="CA241" s="186">
        <f t="shared" si="105"/>
        <v>-0.26</v>
      </c>
      <c r="CB241" s="186">
        <f t="shared" si="102"/>
        <v>-0.26</v>
      </c>
      <c r="CC241" s="186">
        <f t="shared" si="103"/>
        <v>-0.26</v>
      </c>
      <c r="CD241" s="272"/>
      <c r="CF241" s="134"/>
      <c r="CG241" s="138"/>
      <c r="CH241" s="132"/>
      <c r="CI241" s="138"/>
      <c r="CJ241" s="132"/>
      <c r="CK241" s="132"/>
      <c r="CL241" s="134"/>
      <c r="CM241" s="146"/>
    </row>
    <row r="242" ht="15" hidden="1" customHeight="1" spans="1:91">
      <c r="A242" s="123">
        <f>IF(B242="","",COUNT(A$7:A241)+1)</f>
        <v>235</v>
      </c>
      <c r="B242" s="139" t="s">
        <v>2902</v>
      </c>
      <c r="C242" s="139" t="s">
        <v>2903</v>
      </c>
      <c r="D242" s="1209">
        <v>43100</v>
      </c>
      <c r="E242" s="1210">
        <v>360</v>
      </c>
      <c r="F242" s="219" t="s">
        <v>2866</v>
      </c>
      <c r="G242" s="142"/>
      <c r="H242" s="127"/>
      <c r="I242" s="128"/>
      <c r="J242" s="128"/>
      <c r="K242" s="980">
        <v>1</v>
      </c>
      <c r="L242" s="143"/>
      <c r="M242" s="143"/>
      <c r="N242" s="144"/>
      <c r="O242" s="144"/>
      <c r="P242" s="144"/>
      <c r="Q242" s="353">
        <f t="shared" si="84"/>
        <v>1</v>
      </c>
      <c r="R242" s="129">
        <f t="shared" si="85"/>
        <v>0</v>
      </c>
      <c r="S242" s="129">
        <f t="shared" si="86"/>
        <v>0</v>
      </c>
      <c r="T242" s="129">
        <f t="shared" si="87"/>
        <v>1</v>
      </c>
      <c r="U242" s="129">
        <f t="shared" si="88"/>
        <v>362</v>
      </c>
      <c r="V242" s="214">
        <f t="shared" si="89"/>
        <v>15</v>
      </c>
      <c r="W242" s="353">
        <f t="shared" si="90"/>
        <v>54.3</v>
      </c>
      <c r="X242" s="129">
        <f t="shared" si="91"/>
        <v>54.3</v>
      </c>
      <c r="Y242" s="129" t="str">
        <f t="shared" si="92"/>
        <v/>
      </c>
      <c r="Z242" s="145"/>
      <c r="BA242" s="75" t="e">
        <f t="shared" si="98"/>
        <v>#DIV/0!</v>
      </c>
      <c r="BB242" s="78"/>
      <c r="BC242" s="132"/>
      <c r="BD242" s="133"/>
      <c r="BE242" s="132"/>
      <c r="BF242" s="134"/>
      <c r="BG242" s="135"/>
      <c r="BH242" s="135"/>
      <c r="BI242" s="136"/>
      <c r="BJ242" s="136"/>
      <c r="BK242" s="136"/>
      <c r="BL242" s="136"/>
      <c r="BM242" s="137"/>
      <c r="BN242" s="137"/>
      <c r="BO242" s="75">
        <f>LOOKUP(D242,基础数据!A:D)</f>
        <v>3.53915880885741</v>
      </c>
      <c r="BP242" s="75">
        <f t="shared" si="100"/>
        <v>1.00524445538374</v>
      </c>
      <c r="BQ242" s="75">
        <f t="shared" si="101"/>
        <v>362</v>
      </c>
      <c r="BR242" s="272">
        <f t="shared" si="108"/>
        <v>409</v>
      </c>
      <c r="BS242" s="156">
        <f t="shared" si="93"/>
        <v>47.05</v>
      </c>
      <c r="BT242" s="156"/>
      <c r="BU242" s="156">
        <f t="shared" si="94"/>
        <v>0</v>
      </c>
      <c r="BV242" s="156">
        <f t="shared" si="95"/>
        <v>0</v>
      </c>
      <c r="BW242" s="156">
        <f t="shared" si="99"/>
        <v>362</v>
      </c>
      <c r="BX242" s="156">
        <f t="shared" si="96"/>
        <v>7.58110882956879</v>
      </c>
      <c r="BY242" s="1207" t="s">
        <v>2878</v>
      </c>
      <c r="BZ242" s="272">
        <v>6</v>
      </c>
      <c r="CA242" s="186">
        <f t="shared" si="105"/>
        <v>-0.26</v>
      </c>
      <c r="CB242" s="186">
        <f t="shared" si="102"/>
        <v>-0.26</v>
      </c>
      <c r="CC242" s="186">
        <f t="shared" si="103"/>
        <v>-0.26</v>
      </c>
      <c r="CD242" s="272"/>
      <c r="CF242" s="134"/>
      <c r="CG242" s="138"/>
      <c r="CH242" s="132"/>
      <c r="CI242" s="138"/>
      <c r="CJ242" s="132"/>
      <c r="CK242" s="132"/>
      <c r="CL242" s="134"/>
      <c r="CM242" s="146"/>
    </row>
    <row r="243" ht="15" hidden="1" customHeight="1" spans="1:91">
      <c r="A243" s="123">
        <f>IF(B243="","",COUNT(A$7:A242)+1)</f>
        <v>236</v>
      </c>
      <c r="B243" s="139" t="s">
        <v>2895</v>
      </c>
      <c r="C243" s="139" t="s">
        <v>2896</v>
      </c>
      <c r="D243" s="1209">
        <v>43100</v>
      </c>
      <c r="E243" s="1210">
        <v>980</v>
      </c>
      <c r="F243" s="219" t="s">
        <v>2866</v>
      </c>
      <c r="G243" s="142"/>
      <c r="H243" s="127"/>
      <c r="I243" s="128"/>
      <c r="J243" s="128"/>
      <c r="K243" s="980">
        <v>1</v>
      </c>
      <c r="L243" s="143"/>
      <c r="M243" s="143"/>
      <c r="N243" s="144"/>
      <c r="O243" s="144"/>
      <c r="P243" s="144"/>
      <c r="Q243" s="353">
        <f t="shared" si="84"/>
        <v>1</v>
      </c>
      <c r="R243" s="129">
        <f t="shared" si="85"/>
        <v>0</v>
      </c>
      <c r="S243" s="129">
        <f t="shared" si="86"/>
        <v>0</v>
      </c>
      <c r="T243" s="129">
        <f t="shared" si="87"/>
        <v>1</v>
      </c>
      <c r="U243" s="129">
        <f t="shared" si="88"/>
        <v>985</v>
      </c>
      <c r="V243" s="214">
        <f t="shared" si="89"/>
        <v>15</v>
      </c>
      <c r="W243" s="353">
        <f t="shared" si="90"/>
        <v>147.75</v>
      </c>
      <c r="X243" s="129">
        <f t="shared" si="91"/>
        <v>147.75</v>
      </c>
      <c r="Y243" s="129" t="str">
        <f t="shared" si="92"/>
        <v/>
      </c>
      <c r="Z243" s="145"/>
      <c r="BA243" s="75" t="e">
        <f t="shared" si="98"/>
        <v>#DIV/0!</v>
      </c>
      <c r="BB243" s="78"/>
      <c r="BC243" s="132"/>
      <c r="BD243" s="133"/>
      <c r="BE243" s="132"/>
      <c r="BF243" s="134"/>
      <c r="BG243" s="135"/>
      <c r="BH243" s="135"/>
      <c r="BI243" s="136"/>
      <c r="BJ243" s="136"/>
      <c r="BK243" s="136"/>
      <c r="BL243" s="136"/>
      <c r="BM243" s="137"/>
      <c r="BN243" s="137"/>
      <c r="BO243" s="75">
        <f>LOOKUP(D243,基础数据!A:D)</f>
        <v>3.53915880885741</v>
      </c>
      <c r="BP243" s="75">
        <f t="shared" si="100"/>
        <v>1.00524445538374</v>
      </c>
      <c r="BQ243" s="75">
        <f t="shared" si="101"/>
        <v>985</v>
      </c>
      <c r="BR243" s="272">
        <f t="shared" si="108"/>
        <v>1113</v>
      </c>
      <c r="BS243" s="156">
        <f t="shared" si="93"/>
        <v>128.04</v>
      </c>
      <c r="BT243" s="156"/>
      <c r="BU243" s="156">
        <f t="shared" si="94"/>
        <v>0</v>
      </c>
      <c r="BV243" s="156">
        <f t="shared" si="95"/>
        <v>0</v>
      </c>
      <c r="BW243" s="156">
        <f t="shared" si="99"/>
        <v>985</v>
      </c>
      <c r="BX243" s="156">
        <f t="shared" si="96"/>
        <v>7.58110882956879</v>
      </c>
      <c r="BY243" s="1207" t="s">
        <v>2878</v>
      </c>
      <c r="BZ243" s="272">
        <v>6</v>
      </c>
      <c r="CA243" s="186">
        <f t="shared" si="105"/>
        <v>-0.26</v>
      </c>
      <c r="CB243" s="186">
        <f t="shared" si="102"/>
        <v>-0.26</v>
      </c>
      <c r="CC243" s="186">
        <f t="shared" si="103"/>
        <v>-0.26</v>
      </c>
      <c r="CD243" s="272"/>
      <c r="CF243" s="134"/>
      <c r="CG243" s="138"/>
      <c r="CH243" s="132"/>
      <c r="CI243" s="138"/>
      <c r="CJ243" s="132"/>
      <c r="CK243" s="132"/>
      <c r="CL243" s="134"/>
      <c r="CM243" s="146"/>
    </row>
    <row r="244" ht="15" hidden="1" customHeight="1" spans="1:91">
      <c r="A244" s="123">
        <f>IF(B244="","",COUNT(A$7:A243)+1)</f>
        <v>237</v>
      </c>
      <c r="B244" s="139" t="s">
        <v>2897</v>
      </c>
      <c r="C244" s="139" t="s">
        <v>2898</v>
      </c>
      <c r="D244" s="1209">
        <v>45001</v>
      </c>
      <c r="E244" s="1210">
        <v>395</v>
      </c>
      <c r="F244" s="219" t="s">
        <v>2866</v>
      </c>
      <c r="G244" s="142"/>
      <c r="H244" s="127"/>
      <c r="I244" s="128"/>
      <c r="J244" s="128"/>
      <c r="K244" s="980">
        <v>1</v>
      </c>
      <c r="L244" s="143"/>
      <c r="M244" s="143"/>
      <c r="N244" s="144"/>
      <c r="O244" s="144"/>
      <c r="P244" s="144"/>
      <c r="Q244" s="353">
        <f t="shared" si="84"/>
        <v>1</v>
      </c>
      <c r="R244" s="129">
        <f t="shared" si="85"/>
        <v>0</v>
      </c>
      <c r="S244" s="129">
        <f t="shared" si="86"/>
        <v>0</v>
      </c>
      <c r="T244" s="129">
        <f t="shared" si="87"/>
        <v>1</v>
      </c>
      <c r="U244" s="129">
        <f t="shared" si="88"/>
        <v>369</v>
      </c>
      <c r="V244" s="214">
        <f t="shared" si="89"/>
        <v>60</v>
      </c>
      <c r="W244" s="353">
        <f t="shared" si="90"/>
        <v>221.4</v>
      </c>
      <c r="X244" s="129">
        <f t="shared" si="91"/>
        <v>221.4</v>
      </c>
      <c r="Y244" s="129" t="str">
        <f t="shared" si="92"/>
        <v/>
      </c>
      <c r="Z244" s="145"/>
      <c r="BA244" s="75" t="e">
        <f t="shared" si="98"/>
        <v>#DIV/0!</v>
      </c>
      <c r="BB244" s="78"/>
      <c r="BC244" s="132"/>
      <c r="BD244" s="133"/>
      <c r="BE244" s="132"/>
      <c r="BF244" s="134"/>
      <c r="BG244" s="135"/>
      <c r="BH244" s="135"/>
      <c r="BI244" s="136"/>
      <c r="BJ244" s="136"/>
      <c r="BK244" s="136"/>
      <c r="BL244" s="136"/>
      <c r="BM244" s="137"/>
      <c r="BN244" s="137"/>
      <c r="BO244" s="75">
        <f>LOOKUP(D244,基础数据!A:D)</f>
        <v>3.80882053463966</v>
      </c>
      <c r="BP244" s="75">
        <f t="shared" si="100"/>
        <v>0.9340738785066</v>
      </c>
      <c r="BQ244" s="75">
        <f t="shared" si="101"/>
        <v>369</v>
      </c>
      <c r="BR244" s="272">
        <f t="shared" si="108"/>
        <v>417</v>
      </c>
      <c r="BS244" s="156">
        <f t="shared" si="93"/>
        <v>47.97</v>
      </c>
      <c r="BT244" s="156"/>
      <c r="BU244" s="156">
        <f t="shared" si="94"/>
        <v>0</v>
      </c>
      <c r="BV244" s="156">
        <f t="shared" si="95"/>
        <v>0</v>
      </c>
      <c r="BW244" s="156">
        <f t="shared" si="99"/>
        <v>369</v>
      </c>
      <c r="BX244" s="156">
        <f t="shared" si="96"/>
        <v>2.37645448323066</v>
      </c>
      <c r="BY244" s="1207" t="s">
        <v>2878</v>
      </c>
      <c r="BZ244" s="272">
        <v>6</v>
      </c>
      <c r="CA244" s="186">
        <f t="shared" si="105"/>
        <v>0.6</v>
      </c>
      <c r="CB244" s="186">
        <f t="shared" si="102"/>
        <v>0.6</v>
      </c>
      <c r="CC244" s="186">
        <f t="shared" si="103"/>
        <v>0.6</v>
      </c>
      <c r="CD244" s="272"/>
      <c r="CF244" s="134"/>
      <c r="CG244" s="138"/>
      <c r="CH244" s="132"/>
      <c r="CI244" s="138"/>
      <c r="CJ244" s="132"/>
      <c r="CK244" s="132"/>
      <c r="CL244" s="134"/>
      <c r="CM244" s="146"/>
    </row>
    <row r="245" ht="15" hidden="1" customHeight="1" spans="1:91">
      <c r="A245" s="123">
        <f>IF(B245="","",COUNT(A$7:A244)+1)</f>
        <v>238</v>
      </c>
      <c r="B245" s="139" t="s">
        <v>2897</v>
      </c>
      <c r="C245" s="139" t="s">
        <v>2898</v>
      </c>
      <c r="D245" s="1209">
        <v>45001</v>
      </c>
      <c r="E245" s="1210">
        <v>395</v>
      </c>
      <c r="F245" s="219" t="s">
        <v>2866</v>
      </c>
      <c r="G245" s="142"/>
      <c r="H245" s="127"/>
      <c r="I245" s="128"/>
      <c r="J245" s="128"/>
      <c r="K245" s="980">
        <v>1</v>
      </c>
      <c r="L245" s="143"/>
      <c r="M245" s="143"/>
      <c r="N245" s="144"/>
      <c r="O245" s="144"/>
      <c r="P245" s="144"/>
      <c r="Q245" s="353">
        <f t="shared" si="84"/>
        <v>1</v>
      </c>
      <c r="R245" s="129">
        <f t="shared" si="85"/>
        <v>0</v>
      </c>
      <c r="S245" s="129">
        <f t="shared" si="86"/>
        <v>0</v>
      </c>
      <c r="T245" s="129">
        <f t="shared" si="87"/>
        <v>1</v>
      </c>
      <c r="U245" s="129">
        <f t="shared" si="88"/>
        <v>369</v>
      </c>
      <c r="V245" s="214">
        <f t="shared" si="89"/>
        <v>60</v>
      </c>
      <c r="W245" s="353">
        <f t="shared" si="90"/>
        <v>221.4</v>
      </c>
      <c r="X245" s="129">
        <f t="shared" si="91"/>
        <v>221.4</v>
      </c>
      <c r="Y245" s="129" t="str">
        <f t="shared" si="92"/>
        <v/>
      </c>
      <c r="Z245" s="145"/>
      <c r="BA245" s="75" t="e">
        <f t="shared" si="98"/>
        <v>#DIV/0!</v>
      </c>
      <c r="BB245" s="78"/>
      <c r="BC245" s="132"/>
      <c r="BD245" s="133"/>
      <c r="BE245" s="132"/>
      <c r="BF245" s="134"/>
      <c r="BG245" s="135"/>
      <c r="BH245" s="135"/>
      <c r="BI245" s="136"/>
      <c r="BJ245" s="136"/>
      <c r="BK245" s="136"/>
      <c r="BL245" s="136"/>
      <c r="BM245" s="137"/>
      <c r="BN245" s="137"/>
      <c r="BO245" s="75">
        <f>LOOKUP(D245,基础数据!A:D)</f>
        <v>3.80882053463966</v>
      </c>
      <c r="BP245" s="75">
        <f t="shared" si="100"/>
        <v>0.9340738785066</v>
      </c>
      <c r="BQ245" s="75">
        <f t="shared" si="101"/>
        <v>369</v>
      </c>
      <c r="BR245" s="272">
        <f t="shared" si="108"/>
        <v>417</v>
      </c>
      <c r="BS245" s="156">
        <f t="shared" si="93"/>
        <v>47.97</v>
      </c>
      <c r="BT245" s="156"/>
      <c r="BU245" s="156">
        <f t="shared" si="94"/>
        <v>0</v>
      </c>
      <c r="BV245" s="156">
        <f t="shared" si="95"/>
        <v>0</v>
      </c>
      <c r="BW245" s="156">
        <f t="shared" si="99"/>
        <v>369</v>
      </c>
      <c r="BX245" s="156">
        <f t="shared" si="96"/>
        <v>2.37645448323066</v>
      </c>
      <c r="BY245" s="1207" t="s">
        <v>2878</v>
      </c>
      <c r="BZ245" s="272">
        <v>6</v>
      </c>
      <c r="CA245" s="186">
        <f t="shared" si="105"/>
        <v>0.6</v>
      </c>
      <c r="CB245" s="186">
        <f t="shared" si="102"/>
        <v>0.6</v>
      </c>
      <c r="CC245" s="186">
        <f t="shared" si="103"/>
        <v>0.6</v>
      </c>
      <c r="CD245" s="272"/>
      <c r="CF245" s="134"/>
      <c r="CG245" s="138"/>
      <c r="CH245" s="132"/>
      <c r="CI245" s="138"/>
      <c r="CJ245" s="132"/>
      <c r="CK245" s="132"/>
      <c r="CL245" s="134"/>
      <c r="CM245" s="146"/>
    </row>
    <row r="246" ht="15" hidden="1" customHeight="1" spans="1:91">
      <c r="A246" s="123">
        <f>IF(B246="","",COUNT(A$7:A245)+1)</f>
        <v>239</v>
      </c>
      <c r="B246" s="139" t="s">
        <v>2904</v>
      </c>
      <c r="C246" s="139" t="s">
        <v>2905</v>
      </c>
      <c r="D246" s="1209">
        <v>43100</v>
      </c>
      <c r="E246" s="1210">
        <v>485</v>
      </c>
      <c r="F246" s="219" t="s">
        <v>2866</v>
      </c>
      <c r="G246" s="142"/>
      <c r="H246" s="127"/>
      <c r="I246" s="128"/>
      <c r="J246" s="128"/>
      <c r="K246" s="980">
        <v>1</v>
      </c>
      <c r="L246" s="143"/>
      <c r="M246" s="143"/>
      <c r="N246" s="144"/>
      <c r="O246" s="144"/>
      <c r="P246" s="144"/>
      <c r="Q246" s="353">
        <f t="shared" si="84"/>
        <v>1</v>
      </c>
      <c r="R246" s="129">
        <f t="shared" si="85"/>
        <v>0</v>
      </c>
      <c r="S246" s="129">
        <f t="shared" si="86"/>
        <v>0</v>
      </c>
      <c r="T246" s="129">
        <f t="shared" si="87"/>
        <v>1</v>
      </c>
      <c r="U246" s="129">
        <f t="shared" si="88"/>
        <v>488</v>
      </c>
      <c r="V246" s="214">
        <f t="shared" si="89"/>
        <v>15</v>
      </c>
      <c r="W246" s="353">
        <f t="shared" si="90"/>
        <v>73.2</v>
      </c>
      <c r="X246" s="129">
        <f t="shared" si="91"/>
        <v>73.2</v>
      </c>
      <c r="Y246" s="129" t="str">
        <f t="shared" si="92"/>
        <v/>
      </c>
      <c r="Z246" s="145"/>
      <c r="BA246" s="75" t="e">
        <f t="shared" si="98"/>
        <v>#DIV/0!</v>
      </c>
      <c r="BB246" s="78"/>
      <c r="BC246" s="132"/>
      <c r="BD246" s="133"/>
      <c r="BE246" s="132"/>
      <c r="BF246" s="134"/>
      <c r="BG246" s="135"/>
      <c r="BH246" s="135"/>
      <c r="BI246" s="136"/>
      <c r="BJ246" s="136"/>
      <c r="BK246" s="136"/>
      <c r="BL246" s="136"/>
      <c r="BM246" s="137"/>
      <c r="BN246" s="137"/>
      <c r="BO246" s="75">
        <f>LOOKUP(D246,基础数据!A:D)</f>
        <v>3.53915880885741</v>
      </c>
      <c r="BP246" s="75">
        <f t="shared" si="100"/>
        <v>1.00524445538374</v>
      </c>
      <c r="BQ246" s="75">
        <f t="shared" si="101"/>
        <v>488</v>
      </c>
      <c r="BR246" s="272">
        <f t="shared" si="108"/>
        <v>551</v>
      </c>
      <c r="BS246" s="156">
        <f t="shared" si="93"/>
        <v>63.39</v>
      </c>
      <c r="BT246" s="156"/>
      <c r="BU246" s="156">
        <f t="shared" si="94"/>
        <v>0</v>
      </c>
      <c r="BV246" s="156">
        <f t="shared" si="95"/>
        <v>0</v>
      </c>
      <c r="BW246" s="156">
        <f t="shared" si="99"/>
        <v>488</v>
      </c>
      <c r="BX246" s="156">
        <f t="shared" si="96"/>
        <v>7.58110882956879</v>
      </c>
      <c r="BY246" s="1207" t="s">
        <v>2878</v>
      </c>
      <c r="BZ246" s="272">
        <v>6</v>
      </c>
      <c r="CA246" s="186">
        <f t="shared" si="105"/>
        <v>-0.26</v>
      </c>
      <c r="CB246" s="186">
        <f t="shared" si="102"/>
        <v>-0.26</v>
      </c>
      <c r="CC246" s="186">
        <f t="shared" si="103"/>
        <v>-0.26</v>
      </c>
      <c r="CD246" s="272"/>
      <c r="CF246" s="134"/>
      <c r="CG246" s="138"/>
      <c r="CH246" s="132"/>
      <c r="CI246" s="138"/>
      <c r="CJ246" s="132"/>
      <c r="CK246" s="132"/>
      <c r="CL246" s="134"/>
      <c r="CM246" s="146"/>
    </row>
    <row r="247" ht="15" hidden="1" customHeight="1" spans="1:91">
      <c r="A247" s="123">
        <f>IF(B247="","",COUNT(A$7:A246)+1)</f>
        <v>240</v>
      </c>
      <c r="B247" s="139" t="s">
        <v>2906</v>
      </c>
      <c r="C247" s="139" t="s">
        <v>2907</v>
      </c>
      <c r="D247" s="1209">
        <v>43100</v>
      </c>
      <c r="E247" s="1210">
        <v>7800</v>
      </c>
      <c r="F247" s="219" t="s">
        <v>2866</v>
      </c>
      <c r="G247" s="142"/>
      <c r="H247" s="127"/>
      <c r="I247" s="128"/>
      <c r="J247" s="128"/>
      <c r="K247" s="980">
        <v>1</v>
      </c>
      <c r="L247" s="143"/>
      <c r="M247" s="143"/>
      <c r="N247" s="144"/>
      <c r="O247" s="144"/>
      <c r="P247" s="144"/>
      <c r="Q247" s="353">
        <f t="shared" si="84"/>
        <v>1</v>
      </c>
      <c r="R247" s="129">
        <f t="shared" si="85"/>
        <v>0</v>
      </c>
      <c r="S247" s="129">
        <f t="shared" si="86"/>
        <v>0</v>
      </c>
      <c r="T247" s="129">
        <f t="shared" si="87"/>
        <v>1</v>
      </c>
      <c r="U247" s="129">
        <f t="shared" si="88"/>
        <v>7841</v>
      </c>
      <c r="V247" s="214">
        <f t="shared" si="89"/>
        <v>15</v>
      </c>
      <c r="W247" s="353">
        <f t="shared" si="90"/>
        <v>1176.15</v>
      </c>
      <c r="X247" s="129">
        <f t="shared" si="91"/>
        <v>1176.15</v>
      </c>
      <c r="Y247" s="129" t="str">
        <f t="shared" si="92"/>
        <v/>
      </c>
      <c r="Z247" s="145"/>
      <c r="BA247" s="75" t="e">
        <f t="shared" si="98"/>
        <v>#DIV/0!</v>
      </c>
      <c r="BB247" s="78"/>
      <c r="BC247" s="132"/>
      <c r="BD247" s="133"/>
      <c r="BE247" s="132"/>
      <c r="BF247" s="134"/>
      <c r="BG247" s="135"/>
      <c r="BH247" s="135"/>
      <c r="BI247" s="136"/>
      <c r="BJ247" s="136"/>
      <c r="BK247" s="136"/>
      <c r="BL247" s="136"/>
      <c r="BM247" s="137"/>
      <c r="BN247" s="137"/>
      <c r="BO247" s="75">
        <f>LOOKUP(D247,基础数据!A:D)</f>
        <v>3.53915880885741</v>
      </c>
      <c r="BP247" s="75">
        <f t="shared" si="100"/>
        <v>1.00524445538374</v>
      </c>
      <c r="BQ247" s="75">
        <f t="shared" si="101"/>
        <v>7841</v>
      </c>
      <c r="BR247" s="272">
        <f t="shared" si="108"/>
        <v>8860</v>
      </c>
      <c r="BS247" s="156">
        <f t="shared" si="93"/>
        <v>1019.29</v>
      </c>
      <c r="BT247" s="156"/>
      <c r="BU247" s="156">
        <f t="shared" si="94"/>
        <v>0</v>
      </c>
      <c r="BV247" s="156">
        <f t="shared" si="95"/>
        <v>0</v>
      </c>
      <c r="BW247" s="156">
        <f t="shared" si="99"/>
        <v>7841</v>
      </c>
      <c r="BX247" s="156">
        <f t="shared" si="96"/>
        <v>7.58110882956879</v>
      </c>
      <c r="BY247" s="1207" t="s">
        <v>2878</v>
      </c>
      <c r="BZ247" s="272">
        <v>6</v>
      </c>
      <c r="CA247" s="186">
        <f t="shared" si="105"/>
        <v>-0.26</v>
      </c>
      <c r="CB247" s="186">
        <f t="shared" si="102"/>
        <v>-0.26</v>
      </c>
      <c r="CC247" s="186">
        <f t="shared" si="103"/>
        <v>-0.26</v>
      </c>
      <c r="CD247" s="272"/>
      <c r="CF247" s="134"/>
      <c r="CG247" s="138"/>
      <c r="CH247" s="132"/>
      <c r="CI247" s="138"/>
      <c r="CJ247" s="132"/>
      <c r="CK247" s="132"/>
      <c r="CL247" s="134"/>
      <c r="CM247" s="146"/>
    </row>
    <row r="248" ht="15" hidden="1" customHeight="1" spans="1:91">
      <c r="A248" s="123">
        <f>IF(B248="","",COUNT(A$7:A247)+1)</f>
        <v>241</v>
      </c>
      <c r="B248" s="139" t="s">
        <v>2886</v>
      </c>
      <c r="C248" s="139" t="s">
        <v>2887</v>
      </c>
      <c r="D248" s="1209">
        <v>43100</v>
      </c>
      <c r="E248" s="1210">
        <v>360</v>
      </c>
      <c r="F248" s="219" t="s">
        <v>2866</v>
      </c>
      <c r="G248" s="142"/>
      <c r="H248" s="127"/>
      <c r="I248" s="128"/>
      <c r="J248" s="128"/>
      <c r="K248" s="980">
        <v>1</v>
      </c>
      <c r="L248" s="143"/>
      <c r="M248" s="143"/>
      <c r="N248" s="144"/>
      <c r="O248" s="144"/>
      <c r="P248" s="144"/>
      <c r="Q248" s="353">
        <f t="shared" si="84"/>
        <v>1</v>
      </c>
      <c r="R248" s="129">
        <f t="shared" si="85"/>
        <v>0</v>
      </c>
      <c r="S248" s="129">
        <f t="shared" si="86"/>
        <v>0</v>
      </c>
      <c r="T248" s="129">
        <f t="shared" si="87"/>
        <v>1</v>
      </c>
      <c r="U248" s="129">
        <f t="shared" si="88"/>
        <v>303</v>
      </c>
      <c r="V248" s="214">
        <f t="shared" si="89"/>
        <v>15</v>
      </c>
      <c r="W248" s="353">
        <f t="shared" si="90"/>
        <v>45.45</v>
      </c>
      <c r="X248" s="129">
        <f t="shared" si="91"/>
        <v>45.45</v>
      </c>
      <c r="Y248" s="129" t="str">
        <f t="shared" si="92"/>
        <v/>
      </c>
      <c r="Z248" s="145"/>
      <c r="BA248" s="75" t="e">
        <f t="shared" si="98"/>
        <v>#DIV/0!</v>
      </c>
      <c r="BB248" s="78"/>
      <c r="BC248" s="132"/>
      <c r="BD248" s="133"/>
      <c r="BE248" s="132"/>
      <c r="BF248" s="134"/>
      <c r="BG248" s="135"/>
      <c r="BH248" s="135"/>
      <c r="BI248" s="136"/>
      <c r="BJ248" s="136"/>
      <c r="BK248" s="136"/>
      <c r="BL248" s="136"/>
      <c r="BM248" s="137"/>
      <c r="BN248" s="137"/>
      <c r="BO248" s="75">
        <f>LOOKUP(D248,基础数据!A:D)</f>
        <v>3.53915880885741</v>
      </c>
      <c r="BP248" s="75">
        <f t="shared" si="100"/>
        <v>1.00524445538374</v>
      </c>
      <c r="BQ248" s="75">
        <f t="shared" si="101"/>
        <v>362</v>
      </c>
      <c r="BR248" s="272">
        <v>339</v>
      </c>
      <c r="BS248" s="156">
        <f t="shared" si="93"/>
        <v>39</v>
      </c>
      <c r="BT248" s="186">
        <v>0.01</v>
      </c>
      <c r="BU248" s="156">
        <f t="shared" si="94"/>
        <v>3.39</v>
      </c>
      <c r="BV248" s="156">
        <f t="shared" si="95"/>
        <v>0.28</v>
      </c>
      <c r="BW248" s="156">
        <f t="shared" si="99"/>
        <v>303</v>
      </c>
      <c r="BX248" s="156">
        <f t="shared" si="96"/>
        <v>7.58110882956879</v>
      </c>
      <c r="BY248" s="1207" t="s">
        <v>2888</v>
      </c>
      <c r="BZ248" s="272">
        <v>3</v>
      </c>
      <c r="CA248" s="186">
        <f t="shared" si="105"/>
        <v>-1.53</v>
      </c>
      <c r="CB248" s="186">
        <f t="shared" si="102"/>
        <v>-1.53</v>
      </c>
      <c r="CC248" s="186">
        <f t="shared" si="103"/>
        <v>-1.53</v>
      </c>
      <c r="CD248" s="1208" t="s">
        <v>2889</v>
      </c>
      <c r="CF248" s="134"/>
      <c r="CG248" s="138"/>
      <c r="CH248" s="132"/>
      <c r="CI248" s="138"/>
      <c r="CJ248" s="132"/>
      <c r="CK248" s="132"/>
      <c r="CL248" s="134"/>
      <c r="CM248" s="146"/>
    </row>
    <row r="249" ht="15" hidden="1" customHeight="1" spans="1:91">
      <c r="A249" s="123">
        <f>IF(B249="","",COUNT(A$7:A248)+1)</f>
        <v>242</v>
      </c>
      <c r="B249" s="139" t="s">
        <v>2908</v>
      </c>
      <c r="C249" s="139" t="s">
        <v>2909</v>
      </c>
      <c r="D249" s="1209">
        <v>43100</v>
      </c>
      <c r="E249" s="1210">
        <v>650</v>
      </c>
      <c r="F249" s="219" t="s">
        <v>2866</v>
      </c>
      <c r="G249" s="142"/>
      <c r="H249" s="127"/>
      <c r="I249" s="128"/>
      <c r="J249" s="128"/>
      <c r="K249" s="980">
        <v>1</v>
      </c>
      <c r="L249" s="143"/>
      <c r="M249" s="143"/>
      <c r="N249" s="144"/>
      <c r="O249" s="144"/>
      <c r="P249" s="144"/>
      <c r="Q249" s="353">
        <f t="shared" si="84"/>
        <v>1</v>
      </c>
      <c r="R249" s="129">
        <f t="shared" si="85"/>
        <v>0</v>
      </c>
      <c r="S249" s="129">
        <f t="shared" si="86"/>
        <v>0</v>
      </c>
      <c r="T249" s="129">
        <f t="shared" si="87"/>
        <v>1</v>
      </c>
      <c r="U249" s="129">
        <f t="shared" si="88"/>
        <v>660</v>
      </c>
      <c r="V249" s="214">
        <f t="shared" si="89"/>
        <v>15</v>
      </c>
      <c r="W249" s="353">
        <f t="shared" si="90"/>
        <v>99</v>
      </c>
      <c r="X249" s="129">
        <f t="shared" si="91"/>
        <v>99</v>
      </c>
      <c r="Y249" s="129" t="str">
        <f t="shared" si="92"/>
        <v/>
      </c>
      <c r="Z249" s="145"/>
      <c r="BA249" s="75" t="e">
        <f t="shared" si="98"/>
        <v>#DIV/0!</v>
      </c>
      <c r="BB249" s="78"/>
      <c r="BC249" s="132"/>
      <c r="BD249" s="133"/>
      <c r="BE249" s="132"/>
      <c r="BF249" s="134"/>
      <c r="BG249" s="135"/>
      <c r="BH249" s="135"/>
      <c r="BI249" s="136"/>
      <c r="BJ249" s="136"/>
      <c r="BK249" s="136"/>
      <c r="BL249" s="136"/>
      <c r="BM249" s="137"/>
      <c r="BN249" s="137"/>
      <c r="BO249" s="75">
        <f>LOOKUP(D249,基础数据!A:D)</f>
        <v>3.53915880885741</v>
      </c>
      <c r="BP249" s="75">
        <f t="shared" si="100"/>
        <v>1.00524445538374</v>
      </c>
      <c r="BQ249" s="75">
        <f t="shared" si="101"/>
        <v>653</v>
      </c>
      <c r="BR249" s="272">
        <f t="shared" ref="BR249:BR302" si="109">ROUND(BQ249*1.13,0)</f>
        <v>738</v>
      </c>
      <c r="BS249" s="156">
        <f t="shared" si="93"/>
        <v>84.9</v>
      </c>
      <c r="BT249" s="186">
        <v>0.01</v>
      </c>
      <c r="BU249" s="156">
        <f t="shared" si="94"/>
        <v>7.38</v>
      </c>
      <c r="BV249" s="156">
        <f t="shared" si="95"/>
        <v>0.61</v>
      </c>
      <c r="BW249" s="156">
        <f t="shared" si="99"/>
        <v>660</v>
      </c>
      <c r="BX249" s="156">
        <f t="shared" si="96"/>
        <v>7.58110882956879</v>
      </c>
      <c r="BY249" s="1207" t="s">
        <v>2888</v>
      </c>
      <c r="BZ249" s="272">
        <v>3</v>
      </c>
      <c r="CA249" s="186">
        <f t="shared" si="105"/>
        <v>-1.53</v>
      </c>
      <c r="CB249" s="186">
        <f t="shared" si="102"/>
        <v>-1.53</v>
      </c>
      <c r="CC249" s="186">
        <f t="shared" si="103"/>
        <v>-1.53</v>
      </c>
      <c r="CD249" s="272"/>
      <c r="CF249" s="134"/>
      <c r="CG249" s="138"/>
      <c r="CH249" s="132"/>
      <c r="CI249" s="138"/>
      <c r="CJ249" s="132"/>
      <c r="CK249" s="132"/>
      <c r="CL249" s="134"/>
      <c r="CM249" s="146"/>
    </row>
    <row r="250" ht="15" hidden="1" customHeight="1" spans="1:91">
      <c r="A250" s="123">
        <f>IF(B250="","",COUNT(A$7:A249)+1)</f>
        <v>243</v>
      </c>
      <c r="B250" s="139" t="s">
        <v>2908</v>
      </c>
      <c r="C250" s="139" t="s">
        <v>2909</v>
      </c>
      <c r="D250" s="1209">
        <v>43100</v>
      </c>
      <c r="E250" s="1210">
        <v>650</v>
      </c>
      <c r="F250" s="219" t="s">
        <v>2866</v>
      </c>
      <c r="G250" s="142"/>
      <c r="H250" s="127"/>
      <c r="I250" s="128"/>
      <c r="J250" s="128"/>
      <c r="K250" s="980">
        <v>1</v>
      </c>
      <c r="L250" s="143"/>
      <c r="M250" s="143"/>
      <c r="N250" s="144"/>
      <c r="O250" s="144"/>
      <c r="P250" s="144"/>
      <c r="Q250" s="353">
        <f t="shared" si="84"/>
        <v>1</v>
      </c>
      <c r="R250" s="129">
        <f t="shared" si="85"/>
        <v>0</v>
      </c>
      <c r="S250" s="129">
        <f t="shared" si="86"/>
        <v>0</v>
      </c>
      <c r="T250" s="129">
        <f t="shared" si="87"/>
        <v>1</v>
      </c>
      <c r="U250" s="129">
        <f t="shared" si="88"/>
        <v>660</v>
      </c>
      <c r="V250" s="214">
        <f t="shared" si="89"/>
        <v>15</v>
      </c>
      <c r="W250" s="353">
        <f t="shared" si="90"/>
        <v>99</v>
      </c>
      <c r="X250" s="129">
        <f t="shared" si="91"/>
        <v>99</v>
      </c>
      <c r="Y250" s="129" t="str">
        <f t="shared" si="92"/>
        <v/>
      </c>
      <c r="Z250" s="145"/>
      <c r="BA250" s="75" t="e">
        <f t="shared" si="98"/>
        <v>#DIV/0!</v>
      </c>
      <c r="BB250" s="78"/>
      <c r="BC250" s="132"/>
      <c r="BD250" s="133"/>
      <c r="BE250" s="132"/>
      <c r="BF250" s="134"/>
      <c r="BG250" s="135"/>
      <c r="BH250" s="135"/>
      <c r="BI250" s="136"/>
      <c r="BJ250" s="136"/>
      <c r="BK250" s="136"/>
      <c r="BL250" s="136"/>
      <c r="BM250" s="137"/>
      <c r="BN250" s="137"/>
      <c r="BO250" s="75">
        <f>LOOKUP(D250,基础数据!A:D)</f>
        <v>3.53915880885741</v>
      </c>
      <c r="BP250" s="75">
        <f t="shared" si="100"/>
        <v>1.00524445538374</v>
      </c>
      <c r="BQ250" s="75">
        <f t="shared" si="101"/>
        <v>653</v>
      </c>
      <c r="BR250" s="272">
        <f t="shared" si="109"/>
        <v>738</v>
      </c>
      <c r="BS250" s="156">
        <f t="shared" si="93"/>
        <v>84.9</v>
      </c>
      <c r="BT250" s="186">
        <v>0.01</v>
      </c>
      <c r="BU250" s="156">
        <f t="shared" si="94"/>
        <v>7.38</v>
      </c>
      <c r="BV250" s="156">
        <f t="shared" si="95"/>
        <v>0.61</v>
      </c>
      <c r="BW250" s="156">
        <f t="shared" si="99"/>
        <v>660</v>
      </c>
      <c r="BX250" s="156">
        <f t="shared" si="96"/>
        <v>7.58110882956879</v>
      </c>
      <c r="BY250" s="1207" t="s">
        <v>2888</v>
      </c>
      <c r="BZ250" s="272">
        <v>3</v>
      </c>
      <c r="CA250" s="186">
        <f t="shared" si="105"/>
        <v>-1.53</v>
      </c>
      <c r="CB250" s="186">
        <f t="shared" si="102"/>
        <v>-1.53</v>
      </c>
      <c r="CC250" s="186">
        <f t="shared" si="103"/>
        <v>-1.53</v>
      </c>
      <c r="CD250" s="272"/>
      <c r="CF250" s="134"/>
      <c r="CG250" s="138"/>
      <c r="CH250" s="132"/>
      <c r="CI250" s="138"/>
      <c r="CJ250" s="132"/>
      <c r="CK250" s="132"/>
      <c r="CL250" s="134"/>
      <c r="CM250" s="146"/>
    </row>
    <row r="251" ht="15" hidden="1" customHeight="1" spans="1:91">
      <c r="A251" s="123">
        <f>IF(B251="","",COUNT(A$7:A250)+1)</f>
        <v>244</v>
      </c>
      <c r="B251" s="139" t="s">
        <v>2891</v>
      </c>
      <c r="C251" s="139" t="s">
        <v>2892</v>
      </c>
      <c r="D251" s="1209">
        <v>45001</v>
      </c>
      <c r="E251" s="1210">
        <v>16000</v>
      </c>
      <c r="F251" s="219" t="s">
        <v>2866</v>
      </c>
      <c r="G251" s="142"/>
      <c r="H251" s="127"/>
      <c r="I251" s="128"/>
      <c r="J251" s="128"/>
      <c r="K251" s="980">
        <v>1</v>
      </c>
      <c r="L251" s="143"/>
      <c r="M251" s="143"/>
      <c r="N251" s="144"/>
      <c r="O251" s="144"/>
      <c r="P251" s="144"/>
      <c r="Q251" s="353">
        <f t="shared" si="84"/>
        <v>1</v>
      </c>
      <c r="R251" s="129">
        <f t="shared" si="85"/>
        <v>0</v>
      </c>
      <c r="S251" s="129">
        <f t="shared" si="86"/>
        <v>0</v>
      </c>
      <c r="T251" s="129">
        <f t="shared" si="87"/>
        <v>1</v>
      </c>
      <c r="U251" s="129">
        <f t="shared" si="88"/>
        <v>14945</v>
      </c>
      <c r="V251" s="214">
        <f t="shared" si="89"/>
        <v>60</v>
      </c>
      <c r="W251" s="353">
        <f t="shared" si="90"/>
        <v>8967</v>
      </c>
      <c r="X251" s="129">
        <f t="shared" si="91"/>
        <v>8967</v>
      </c>
      <c r="Y251" s="129" t="str">
        <f t="shared" si="92"/>
        <v/>
      </c>
      <c r="Z251" s="145"/>
      <c r="BA251" s="75" t="e">
        <f t="shared" si="98"/>
        <v>#DIV/0!</v>
      </c>
      <c r="BB251" s="78"/>
      <c r="BC251" s="132"/>
      <c r="BD251" s="133"/>
      <c r="BE251" s="132"/>
      <c r="BF251" s="134"/>
      <c r="BG251" s="135"/>
      <c r="BH251" s="135"/>
      <c r="BI251" s="136"/>
      <c r="BJ251" s="136"/>
      <c r="BK251" s="136"/>
      <c r="BL251" s="136"/>
      <c r="BM251" s="137"/>
      <c r="BN251" s="137"/>
      <c r="BO251" s="75">
        <f>LOOKUP(D251,基础数据!A:D)</f>
        <v>3.80882053463966</v>
      </c>
      <c r="BP251" s="75">
        <f t="shared" si="100"/>
        <v>0.9340738785066</v>
      </c>
      <c r="BQ251" s="75">
        <f t="shared" si="101"/>
        <v>14945</v>
      </c>
      <c r="BR251" s="272">
        <f t="shared" si="109"/>
        <v>16888</v>
      </c>
      <c r="BS251" s="156">
        <f t="shared" si="93"/>
        <v>1942.87</v>
      </c>
      <c r="BT251" s="156"/>
      <c r="BU251" s="156">
        <f t="shared" si="94"/>
        <v>0</v>
      </c>
      <c r="BV251" s="156">
        <f t="shared" si="95"/>
        <v>0</v>
      </c>
      <c r="BW251" s="156">
        <f t="shared" si="99"/>
        <v>14945</v>
      </c>
      <c r="BX251" s="156">
        <f t="shared" si="96"/>
        <v>2.37645448323066</v>
      </c>
      <c r="BY251" s="1207" t="s">
        <v>2878</v>
      </c>
      <c r="BZ251" s="272">
        <v>6</v>
      </c>
      <c r="CA251" s="186">
        <f t="shared" si="105"/>
        <v>0.6</v>
      </c>
      <c r="CB251" s="186">
        <f t="shared" si="102"/>
        <v>0.6</v>
      </c>
      <c r="CC251" s="186">
        <f t="shared" si="103"/>
        <v>0.6</v>
      </c>
      <c r="CD251" s="272"/>
      <c r="CF251" s="134"/>
      <c r="CG251" s="138"/>
      <c r="CH251" s="132"/>
      <c r="CI251" s="138"/>
      <c r="CJ251" s="132"/>
      <c r="CK251" s="132"/>
      <c r="CL251" s="134"/>
      <c r="CM251" s="146"/>
    </row>
    <row r="252" ht="15" hidden="1" customHeight="1" spans="1:91">
      <c r="A252" s="123">
        <f>IF(B252="","",COUNT(A$7:A251)+1)</f>
        <v>245</v>
      </c>
      <c r="B252" s="139" t="s">
        <v>2891</v>
      </c>
      <c r="C252" s="139" t="s">
        <v>2892</v>
      </c>
      <c r="D252" s="1209">
        <v>45001</v>
      </c>
      <c r="E252" s="1210">
        <v>16000</v>
      </c>
      <c r="F252" s="219" t="s">
        <v>2866</v>
      </c>
      <c r="G252" s="142"/>
      <c r="H252" s="127"/>
      <c r="I252" s="128"/>
      <c r="J252" s="128"/>
      <c r="K252" s="980">
        <v>1</v>
      </c>
      <c r="L252" s="143"/>
      <c r="M252" s="143"/>
      <c r="N252" s="144"/>
      <c r="O252" s="144"/>
      <c r="P252" s="144"/>
      <c r="Q252" s="353">
        <f t="shared" si="84"/>
        <v>1</v>
      </c>
      <c r="R252" s="129">
        <f t="shared" si="85"/>
        <v>0</v>
      </c>
      <c r="S252" s="129">
        <f t="shared" si="86"/>
        <v>0</v>
      </c>
      <c r="T252" s="129">
        <f t="shared" si="87"/>
        <v>1</v>
      </c>
      <c r="U252" s="129">
        <f t="shared" si="88"/>
        <v>14945</v>
      </c>
      <c r="V252" s="214">
        <f t="shared" si="89"/>
        <v>60</v>
      </c>
      <c r="W252" s="353">
        <f t="shared" si="90"/>
        <v>8967</v>
      </c>
      <c r="X252" s="129">
        <f t="shared" si="91"/>
        <v>8967</v>
      </c>
      <c r="Y252" s="129" t="str">
        <f t="shared" si="92"/>
        <v/>
      </c>
      <c r="Z252" s="145"/>
      <c r="BA252" s="75" t="e">
        <f t="shared" si="98"/>
        <v>#DIV/0!</v>
      </c>
      <c r="BB252" s="78"/>
      <c r="BC252" s="132"/>
      <c r="BD252" s="133"/>
      <c r="BE252" s="132"/>
      <c r="BF252" s="134"/>
      <c r="BG252" s="135"/>
      <c r="BH252" s="135"/>
      <c r="BI252" s="136"/>
      <c r="BJ252" s="136"/>
      <c r="BK252" s="136"/>
      <c r="BL252" s="136"/>
      <c r="BM252" s="137"/>
      <c r="BN252" s="137"/>
      <c r="BO252" s="75">
        <f>LOOKUP(D252,基础数据!A:D)</f>
        <v>3.80882053463966</v>
      </c>
      <c r="BP252" s="75">
        <f t="shared" si="100"/>
        <v>0.9340738785066</v>
      </c>
      <c r="BQ252" s="75">
        <f t="shared" si="101"/>
        <v>14945</v>
      </c>
      <c r="BR252" s="272">
        <f t="shared" si="109"/>
        <v>16888</v>
      </c>
      <c r="BS252" s="156">
        <f t="shared" si="93"/>
        <v>1942.87</v>
      </c>
      <c r="BT252" s="156"/>
      <c r="BU252" s="156">
        <f t="shared" si="94"/>
        <v>0</v>
      </c>
      <c r="BV252" s="156">
        <f t="shared" si="95"/>
        <v>0</v>
      </c>
      <c r="BW252" s="156">
        <f t="shared" si="99"/>
        <v>14945</v>
      </c>
      <c r="BX252" s="156">
        <f t="shared" si="96"/>
        <v>2.37645448323066</v>
      </c>
      <c r="BY252" s="1207" t="s">
        <v>2878</v>
      </c>
      <c r="BZ252" s="272">
        <v>6</v>
      </c>
      <c r="CA252" s="186">
        <f t="shared" si="105"/>
        <v>0.6</v>
      </c>
      <c r="CB252" s="186">
        <f t="shared" si="102"/>
        <v>0.6</v>
      </c>
      <c r="CC252" s="186">
        <f t="shared" si="103"/>
        <v>0.6</v>
      </c>
      <c r="CD252" s="272"/>
      <c r="CF252" s="134"/>
      <c r="CG252" s="138"/>
      <c r="CH252" s="132"/>
      <c r="CI252" s="138"/>
      <c r="CJ252" s="132"/>
      <c r="CK252" s="132"/>
      <c r="CL252" s="134"/>
      <c r="CM252" s="146"/>
    </row>
    <row r="253" ht="15" hidden="1" customHeight="1" spans="1:91">
      <c r="A253" s="123">
        <f>IF(B253="","",COUNT(A$7:A252)+1)</f>
        <v>246</v>
      </c>
      <c r="B253" s="139" t="s">
        <v>2904</v>
      </c>
      <c r="C253" s="139" t="s">
        <v>2905</v>
      </c>
      <c r="D253" s="1209">
        <v>43100</v>
      </c>
      <c r="E253" s="1210">
        <v>485</v>
      </c>
      <c r="F253" s="219" t="s">
        <v>2866</v>
      </c>
      <c r="G253" s="142"/>
      <c r="H253" s="127"/>
      <c r="I253" s="128"/>
      <c r="J253" s="128"/>
      <c r="K253" s="980">
        <v>1</v>
      </c>
      <c r="L253" s="143"/>
      <c r="M253" s="143"/>
      <c r="N253" s="144"/>
      <c r="O253" s="144"/>
      <c r="P253" s="144"/>
      <c r="Q253" s="353">
        <f t="shared" si="84"/>
        <v>1</v>
      </c>
      <c r="R253" s="129">
        <f t="shared" si="85"/>
        <v>0</v>
      </c>
      <c r="S253" s="129">
        <f t="shared" si="86"/>
        <v>0</v>
      </c>
      <c r="T253" s="129">
        <f t="shared" si="87"/>
        <v>1</v>
      </c>
      <c r="U253" s="129">
        <f t="shared" si="88"/>
        <v>488</v>
      </c>
      <c r="V253" s="214">
        <f t="shared" si="89"/>
        <v>15</v>
      </c>
      <c r="W253" s="353">
        <f t="shared" si="90"/>
        <v>73.2</v>
      </c>
      <c r="X253" s="129">
        <f t="shared" si="91"/>
        <v>73.2</v>
      </c>
      <c r="Y253" s="129" t="str">
        <f t="shared" si="92"/>
        <v/>
      </c>
      <c r="Z253" s="145"/>
      <c r="BA253" s="75" t="e">
        <f t="shared" si="98"/>
        <v>#DIV/0!</v>
      </c>
      <c r="BB253" s="78"/>
      <c r="BC253" s="132"/>
      <c r="BD253" s="133"/>
      <c r="BE253" s="132"/>
      <c r="BF253" s="134"/>
      <c r="BG253" s="135"/>
      <c r="BH253" s="135"/>
      <c r="BI253" s="136"/>
      <c r="BJ253" s="136"/>
      <c r="BK253" s="136"/>
      <c r="BL253" s="136"/>
      <c r="BM253" s="137"/>
      <c r="BN253" s="137"/>
      <c r="BO253" s="75">
        <f>LOOKUP(D253,基础数据!A:D)</f>
        <v>3.53915880885741</v>
      </c>
      <c r="BP253" s="75">
        <f t="shared" si="100"/>
        <v>1.00524445538374</v>
      </c>
      <c r="BQ253" s="75">
        <f t="shared" si="101"/>
        <v>488</v>
      </c>
      <c r="BR253" s="272">
        <f t="shared" si="109"/>
        <v>551</v>
      </c>
      <c r="BS253" s="156">
        <f t="shared" si="93"/>
        <v>63.39</v>
      </c>
      <c r="BT253" s="156"/>
      <c r="BU253" s="156">
        <f t="shared" si="94"/>
        <v>0</v>
      </c>
      <c r="BV253" s="156">
        <f t="shared" si="95"/>
        <v>0</v>
      </c>
      <c r="BW253" s="156">
        <f t="shared" si="99"/>
        <v>488</v>
      </c>
      <c r="BX253" s="156">
        <f t="shared" si="96"/>
        <v>7.58110882956879</v>
      </c>
      <c r="BY253" s="1207" t="s">
        <v>2878</v>
      </c>
      <c r="BZ253" s="272">
        <v>6</v>
      </c>
      <c r="CA253" s="186">
        <f t="shared" si="105"/>
        <v>-0.26</v>
      </c>
      <c r="CB253" s="186">
        <f t="shared" si="102"/>
        <v>-0.26</v>
      </c>
      <c r="CC253" s="186">
        <f t="shared" si="103"/>
        <v>-0.26</v>
      </c>
      <c r="CD253" s="272"/>
      <c r="CF253" s="134"/>
      <c r="CG253" s="138"/>
      <c r="CH253" s="132"/>
      <c r="CI253" s="138"/>
      <c r="CJ253" s="132"/>
      <c r="CK253" s="132"/>
      <c r="CL253" s="134"/>
      <c r="CM253" s="146"/>
    </row>
    <row r="254" ht="15" hidden="1" customHeight="1" spans="1:91">
      <c r="A254" s="123">
        <f>IF(B254="","",COUNT(A$7:A253)+1)</f>
        <v>247</v>
      </c>
      <c r="B254" s="139" t="s">
        <v>2904</v>
      </c>
      <c r="C254" s="139" t="s">
        <v>2905</v>
      </c>
      <c r="D254" s="1209">
        <v>43100</v>
      </c>
      <c r="E254" s="1210">
        <v>485</v>
      </c>
      <c r="F254" s="219" t="s">
        <v>2866</v>
      </c>
      <c r="G254" s="142"/>
      <c r="H254" s="127"/>
      <c r="I254" s="128"/>
      <c r="J254" s="128"/>
      <c r="K254" s="980">
        <v>1</v>
      </c>
      <c r="L254" s="143"/>
      <c r="M254" s="143"/>
      <c r="N254" s="144"/>
      <c r="O254" s="144"/>
      <c r="P254" s="144"/>
      <c r="Q254" s="353">
        <f t="shared" si="84"/>
        <v>1</v>
      </c>
      <c r="R254" s="129">
        <f t="shared" si="85"/>
        <v>0</v>
      </c>
      <c r="S254" s="129">
        <f t="shared" si="86"/>
        <v>0</v>
      </c>
      <c r="T254" s="129">
        <f t="shared" si="87"/>
        <v>1</v>
      </c>
      <c r="U254" s="129">
        <f t="shared" si="88"/>
        <v>488</v>
      </c>
      <c r="V254" s="214">
        <f t="shared" si="89"/>
        <v>15</v>
      </c>
      <c r="W254" s="353">
        <f t="shared" si="90"/>
        <v>73.2</v>
      </c>
      <c r="X254" s="129">
        <f t="shared" si="91"/>
        <v>73.2</v>
      </c>
      <c r="Y254" s="129" t="str">
        <f t="shared" si="92"/>
        <v/>
      </c>
      <c r="Z254" s="145"/>
      <c r="BA254" s="75" t="e">
        <f t="shared" si="98"/>
        <v>#DIV/0!</v>
      </c>
      <c r="BB254" s="78"/>
      <c r="BC254" s="132"/>
      <c r="BD254" s="133"/>
      <c r="BE254" s="132"/>
      <c r="BF254" s="134"/>
      <c r="BG254" s="135"/>
      <c r="BH254" s="135"/>
      <c r="BI254" s="136"/>
      <c r="BJ254" s="136"/>
      <c r="BK254" s="136"/>
      <c r="BL254" s="136"/>
      <c r="BM254" s="137"/>
      <c r="BN254" s="137"/>
      <c r="BO254" s="75">
        <f>LOOKUP(D254,基础数据!A:D)</f>
        <v>3.53915880885741</v>
      </c>
      <c r="BP254" s="75">
        <f t="shared" si="100"/>
        <v>1.00524445538374</v>
      </c>
      <c r="BQ254" s="75">
        <f t="shared" si="101"/>
        <v>488</v>
      </c>
      <c r="BR254" s="272">
        <f t="shared" si="109"/>
        <v>551</v>
      </c>
      <c r="BS254" s="156">
        <f t="shared" si="93"/>
        <v>63.39</v>
      </c>
      <c r="BT254" s="156"/>
      <c r="BU254" s="156">
        <f t="shared" si="94"/>
        <v>0</v>
      </c>
      <c r="BV254" s="156">
        <f t="shared" si="95"/>
        <v>0</v>
      </c>
      <c r="BW254" s="156">
        <f t="shared" si="99"/>
        <v>488</v>
      </c>
      <c r="BX254" s="156">
        <f t="shared" si="96"/>
        <v>7.58110882956879</v>
      </c>
      <c r="BY254" s="1207" t="s">
        <v>2878</v>
      </c>
      <c r="BZ254" s="272">
        <v>6</v>
      </c>
      <c r="CA254" s="186">
        <f t="shared" si="105"/>
        <v>-0.26</v>
      </c>
      <c r="CB254" s="186">
        <f t="shared" si="102"/>
        <v>-0.26</v>
      </c>
      <c r="CC254" s="186">
        <f t="shared" si="103"/>
        <v>-0.26</v>
      </c>
      <c r="CD254" s="272"/>
      <c r="CF254" s="134"/>
      <c r="CG254" s="138"/>
      <c r="CH254" s="132"/>
      <c r="CI254" s="138"/>
      <c r="CJ254" s="132"/>
      <c r="CK254" s="132"/>
      <c r="CL254" s="134"/>
      <c r="CM254" s="146"/>
    </row>
    <row r="255" ht="15" hidden="1" customHeight="1" spans="1:91">
      <c r="A255" s="123">
        <f>IF(B255="","",COUNT(A$7:A254)+1)</f>
        <v>248</v>
      </c>
      <c r="B255" s="139" t="s">
        <v>2910</v>
      </c>
      <c r="C255" s="139"/>
      <c r="D255" s="1209">
        <v>43100</v>
      </c>
      <c r="E255" s="1210">
        <v>960</v>
      </c>
      <c r="F255" s="219" t="s">
        <v>2866</v>
      </c>
      <c r="G255" s="142"/>
      <c r="H255" s="127"/>
      <c r="I255" s="128"/>
      <c r="J255" s="128"/>
      <c r="K255" s="980">
        <v>1</v>
      </c>
      <c r="L255" s="143"/>
      <c r="M255" s="143"/>
      <c r="N255" s="144"/>
      <c r="O255" s="144"/>
      <c r="P255" s="144"/>
      <c r="Q255" s="353">
        <f t="shared" si="84"/>
        <v>1</v>
      </c>
      <c r="R255" s="129">
        <f t="shared" si="85"/>
        <v>0</v>
      </c>
      <c r="S255" s="129">
        <f t="shared" si="86"/>
        <v>0</v>
      </c>
      <c r="T255" s="129">
        <f t="shared" si="87"/>
        <v>1</v>
      </c>
      <c r="U255" s="129">
        <f t="shared" si="88"/>
        <v>985</v>
      </c>
      <c r="V255" s="214">
        <f t="shared" si="89"/>
        <v>15</v>
      </c>
      <c r="W255" s="353">
        <f t="shared" si="90"/>
        <v>147.75</v>
      </c>
      <c r="X255" s="129">
        <f t="shared" si="91"/>
        <v>147.75</v>
      </c>
      <c r="Y255" s="129" t="str">
        <f t="shared" si="92"/>
        <v/>
      </c>
      <c r="Z255" s="145"/>
      <c r="BA255" s="75" t="e">
        <f t="shared" si="98"/>
        <v>#DIV/0!</v>
      </c>
      <c r="BB255" s="78"/>
      <c r="BC255" s="132"/>
      <c r="BD255" s="133"/>
      <c r="BE255" s="132"/>
      <c r="BF255" s="134"/>
      <c r="BG255" s="135"/>
      <c r="BH255" s="135"/>
      <c r="BI255" s="136"/>
      <c r="BJ255" s="136"/>
      <c r="BK255" s="136"/>
      <c r="BL255" s="136"/>
      <c r="BM255" s="137"/>
      <c r="BN255" s="137"/>
      <c r="BO255" s="75">
        <f>LOOKUP(D255,基础数据!A:D)</f>
        <v>3.53915880885741</v>
      </c>
      <c r="BP255" s="75">
        <f t="shared" si="100"/>
        <v>1.00524445538374</v>
      </c>
      <c r="BQ255" s="75">
        <f t="shared" si="101"/>
        <v>965</v>
      </c>
      <c r="BR255" s="272">
        <f t="shared" si="109"/>
        <v>1090</v>
      </c>
      <c r="BS255" s="156">
        <f t="shared" si="93"/>
        <v>125.4</v>
      </c>
      <c r="BT255" s="186">
        <v>0.02</v>
      </c>
      <c r="BU255" s="156">
        <f t="shared" si="94"/>
        <v>21.8</v>
      </c>
      <c r="BV255" s="156">
        <f t="shared" si="95"/>
        <v>1.8</v>
      </c>
      <c r="BW255" s="156">
        <f t="shared" si="99"/>
        <v>985</v>
      </c>
      <c r="BX255" s="156">
        <f t="shared" si="96"/>
        <v>7.58110882956879</v>
      </c>
      <c r="BY255" s="1207" t="s">
        <v>2911</v>
      </c>
      <c r="BZ255" s="272">
        <v>7</v>
      </c>
      <c r="CA255" s="186">
        <f t="shared" si="105"/>
        <v>-0.08</v>
      </c>
      <c r="CB255" s="186">
        <f t="shared" si="102"/>
        <v>-0.08</v>
      </c>
      <c r="CC255" s="186">
        <f t="shared" si="103"/>
        <v>-0.08</v>
      </c>
      <c r="CD255" s="272"/>
      <c r="CF255" s="134"/>
      <c r="CG255" s="138"/>
      <c r="CH255" s="132"/>
      <c r="CI255" s="138"/>
      <c r="CJ255" s="132"/>
      <c r="CK255" s="132"/>
      <c r="CL255" s="134"/>
      <c r="CM255" s="146"/>
    </row>
    <row r="256" ht="15" hidden="1" customHeight="1" spans="1:91">
      <c r="A256" s="123">
        <f>IF(B256="","",COUNT(A$7:A255)+1)</f>
        <v>249</v>
      </c>
      <c r="B256" s="139" t="s">
        <v>2910</v>
      </c>
      <c r="C256" s="139"/>
      <c r="D256" s="1209">
        <v>43100</v>
      </c>
      <c r="E256" s="1210">
        <v>960</v>
      </c>
      <c r="F256" s="219" t="s">
        <v>2866</v>
      </c>
      <c r="G256" s="142"/>
      <c r="H256" s="127"/>
      <c r="I256" s="128"/>
      <c r="J256" s="128"/>
      <c r="K256" s="980">
        <v>1</v>
      </c>
      <c r="L256" s="143"/>
      <c r="M256" s="143"/>
      <c r="N256" s="144"/>
      <c r="O256" s="144"/>
      <c r="P256" s="144"/>
      <c r="Q256" s="353">
        <f t="shared" si="84"/>
        <v>1</v>
      </c>
      <c r="R256" s="129">
        <f t="shared" si="85"/>
        <v>0</v>
      </c>
      <c r="S256" s="129">
        <f t="shared" si="86"/>
        <v>0</v>
      </c>
      <c r="T256" s="129">
        <f t="shared" si="87"/>
        <v>1</v>
      </c>
      <c r="U256" s="129">
        <f t="shared" si="88"/>
        <v>985</v>
      </c>
      <c r="V256" s="214">
        <f t="shared" si="89"/>
        <v>15</v>
      </c>
      <c r="W256" s="353">
        <f t="shared" si="90"/>
        <v>147.75</v>
      </c>
      <c r="X256" s="129">
        <f t="shared" si="91"/>
        <v>147.75</v>
      </c>
      <c r="Y256" s="129" t="str">
        <f t="shared" si="92"/>
        <v/>
      </c>
      <c r="Z256" s="145"/>
      <c r="BA256" s="75" t="e">
        <f t="shared" si="98"/>
        <v>#DIV/0!</v>
      </c>
      <c r="BB256" s="78"/>
      <c r="BC256" s="132"/>
      <c r="BD256" s="133"/>
      <c r="BE256" s="132"/>
      <c r="BF256" s="134"/>
      <c r="BG256" s="135"/>
      <c r="BH256" s="135"/>
      <c r="BI256" s="136"/>
      <c r="BJ256" s="136"/>
      <c r="BK256" s="136"/>
      <c r="BL256" s="136"/>
      <c r="BM256" s="137"/>
      <c r="BN256" s="137"/>
      <c r="BO256" s="75">
        <f>LOOKUP(D256,基础数据!A:D)</f>
        <v>3.53915880885741</v>
      </c>
      <c r="BP256" s="75">
        <f t="shared" si="100"/>
        <v>1.00524445538374</v>
      </c>
      <c r="BQ256" s="75">
        <f t="shared" si="101"/>
        <v>965</v>
      </c>
      <c r="BR256" s="272">
        <f t="shared" si="109"/>
        <v>1090</v>
      </c>
      <c r="BS256" s="156">
        <f t="shared" si="93"/>
        <v>125.4</v>
      </c>
      <c r="BT256" s="186">
        <v>0.02</v>
      </c>
      <c r="BU256" s="156">
        <f t="shared" si="94"/>
        <v>21.8</v>
      </c>
      <c r="BV256" s="156">
        <f t="shared" si="95"/>
        <v>1.8</v>
      </c>
      <c r="BW256" s="156">
        <f t="shared" si="99"/>
        <v>985</v>
      </c>
      <c r="BX256" s="156">
        <f t="shared" si="96"/>
        <v>7.58110882956879</v>
      </c>
      <c r="BY256" s="1207" t="s">
        <v>2911</v>
      </c>
      <c r="BZ256" s="272">
        <v>7</v>
      </c>
      <c r="CA256" s="186">
        <f t="shared" si="105"/>
        <v>-0.08</v>
      </c>
      <c r="CB256" s="186">
        <f t="shared" si="102"/>
        <v>-0.08</v>
      </c>
      <c r="CC256" s="186">
        <f t="shared" si="103"/>
        <v>-0.08</v>
      </c>
      <c r="CD256" s="272"/>
      <c r="CF256" s="134"/>
      <c r="CG256" s="138"/>
      <c r="CH256" s="132"/>
      <c r="CI256" s="138"/>
      <c r="CJ256" s="132"/>
      <c r="CK256" s="132"/>
      <c r="CL256" s="134"/>
      <c r="CM256" s="146"/>
    </row>
    <row r="257" ht="15" hidden="1" customHeight="1" spans="1:91">
      <c r="A257" s="123">
        <f>IF(B257="","",COUNT(A$7:A256)+1)</f>
        <v>250</v>
      </c>
      <c r="B257" s="139" t="s">
        <v>2895</v>
      </c>
      <c r="C257" s="139" t="s">
        <v>2912</v>
      </c>
      <c r="D257" s="1209">
        <v>43100</v>
      </c>
      <c r="E257" s="1210">
        <v>980</v>
      </c>
      <c r="F257" s="219" t="s">
        <v>2866</v>
      </c>
      <c r="G257" s="142"/>
      <c r="H257" s="127"/>
      <c r="I257" s="128"/>
      <c r="J257" s="128"/>
      <c r="K257" s="980">
        <v>1</v>
      </c>
      <c r="L257" s="143"/>
      <c r="M257" s="143"/>
      <c r="N257" s="144"/>
      <c r="O257" s="144"/>
      <c r="P257" s="144"/>
      <c r="Q257" s="353">
        <f t="shared" si="84"/>
        <v>1</v>
      </c>
      <c r="R257" s="129">
        <f t="shared" si="85"/>
        <v>0</v>
      </c>
      <c r="S257" s="129">
        <f t="shared" si="86"/>
        <v>0</v>
      </c>
      <c r="T257" s="129">
        <f t="shared" si="87"/>
        <v>1</v>
      </c>
      <c r="U257" s="129">
        <f t="shared" si="88"/>
        <v>985</v>
      </c>
      <c r="V257" s="214">
        <f t="shared" si="89"/>
        <v>15</v>
      </c>
      <c r="W257" s="353">
        <f t="shared" si="90"/>
        <v>147.75</v>
      </c>
      <c r="X257" s="129">
        <f t="shared" si="91"/>
        <v>147.75</v>
      </c>
      <c r="Y257" s="129" t="str">
        <f t="shared" si="92"/>
        <v/>
      </c>
      <c r="Z257" s="145"/>
      <c r="BA257" s="75" t="e">
        <f t="shared" si="98"/>
        <v>#DIV/0!</v>
      </c>
      <c r="BB257" s="78"/>
      <c r="BC257" s="132"/>
      <c r="BD257" s="133"/>
      <c r="BE257" s="132"/>
      <c r="BF257" s="134"/>
      <c r="BG257" s="135"/>
      <c r="BH257" s="135"/>
      <c r="BI257" s="136"/>
      <c r="BJ257" s="136"/>
      <c r="BK257" s="136"/>
      <c r="BL257" s="136"/>
      <c r="BM257" s="137"/>
      <c r="BN257" s="137"/>
      <c r="BO257" s="75">
        <f>LOOKUP(D257,基础数据!A:D)</f>
        <v>3.53915880885741</v>
      </c>
      <c r="BP257" s="75">
        <f t="shared" si="100"/>
        <v>1.00524445538374</v>
      </c>
      <c r="BQ257" s="75">
        <f t="shared" si="101"/>
        <v>985</v>
      </c>
      <c r="BR257" s="272">
        <f t="shared" si="109"/>
        <v>1113</v>
      </c>
      <c r="BS257" s="156">
        <f t="shared" si="93"/>
        <v>128.04</v>
      </c>
      <c r="BT257" s="156"/>
      <c r="BU257" s="156">
        <f t="shared" si="94"/>
        <v>0</v>
      </c>
      <c r="BV257" s="156">
        <f t="shared" si="95"/>
        <v>0</v>
      </c>
      <c r="BW257" s="156">
        <f t="shared" si="99"/>
        <v>985</v>
      </c>
      <c r="BX257" s="156">
        <f t="shared" si="96"/>
        <v>7.58110882956879</v>
      </c>
      <c r="BY257" s="1207" t="s">
        <v>2878</v>
      </c>
      <c r="BZ257" s="272">
        <v>6</v>
      </c>
      <c r="CA257" s="186">
        <f t="shared" si="105"/>
        <v>-0.26</v>
      </c>
      <c r="CB257" s="186">
        <f t="shared" si="102"/>
        <v>-0.26</v>
      </c>
      <c r="CC257" s="186">
        <f t="shared" si="103"/>
        <v>-0.26</v>
      </c>
      <c r="CD257" s="272"/>
      <c r="CF257" s="134"/>
      <c r="CG257" s="138"/>
      <c r="CH257" s="132"/>
      <c r="CI257" s="138"/>
      <c r="CJ257" s="132"/>
      <c r="CK257" s="132"/>
      <c r="CL257" s="134"/>
      <c r="CM257" s="146"/>
    </row>
    <row r="258" ht="15" hidden="1" customHeight="1" spans="1:91">
      <c r="A258" s="123">
        <f>IF(B258="","",COUNT(A$7:A257)+1)</f>
        <v>251</v>
      </c>
      <c r="B258" s="139" t="s">
        <v>2913</v>
      </c>
      <c r="C258" s="139" t="s">
        <v>2914</v>
      </c>
      <c r="D258" s="1209">
        <v>44872</v>
      </c>
      <c r="E258" s="1210">
        <v>780</v>
      </c>
      <c r="F258" s="219" t="s">
        <v>2866</v>
      </c>
      <c r="G258" s="142"/>
      <c r="H258" s="127"/>
      <c r="I258" s="128"/>
      <c r="J258" s="128"/>
      <c r="K258" s="980">
        <v>1</v>
      </c>
      <c r="L258" s="143"/>
      <c r="M258" s="143"/>
      <c r="N258" s="144"/>
      <c r="O258" s="144"/>
      <c r="P258" s="144"/>
      <c r="Q258" s="353">
        <f t="shared" si="84"/>
        <v>1</v>
      </c>
      <c r="R258" s="129">
        <f t="shared" si="85"/>
        <v>0</v>
      </c>
      <c r="S258" s="129">
        <f t="shared" si="86"/>
        <v>0</v>
      </c>
      <c r="T258" s="129">
        <f t="shared" si="87"/>
        <v>1</v>
      </c>
      <c r="U258" s="129">
        <f t="shared" si="88"/>
        <v>738</v>
      </c>
      <c r="V258" s="214">
        <f t="shared" si="89"/>
        <v>61</v>
      </c>
      <c r="W258" s="353">
        <f t="shared" si="90"/>
        <v>450.18</v>
      </c>
      <c r="X258" s="129">
        <f t="shared" si="91"/>
        <v>450.18</v>
      </c>
      <c r="Y258" s="129" t="str">
        <f t="shared" si="92"/>
        <v/>
      </c>
      <c r="Z258" s="145"/>
      <c r="BA258" s="75" t="e">
        <f t="shared" si="98"/>
        <v>#DIV/0!</v>
      </c>
      <c r="BB258" s="78"/>
      <c r="BC258" s="132"/>
      <c r="BD258" s="133"/>
      <c r="BE258" s="132"/>
      <c r="BF258" s="134"/>
      <c r="BG258" s="135"/>
      <c r="BH258" s="135"/>
      <c r="BI258" s="136"/>
      <c r="BJ258" s="136"/>
      <c r="BK258" s="136"/>
      <c r="BL258" s="136"/>
      <c r="BM258" s="137"/>
      <c r="BN258" s="137"/>
      <c r="BO258" s="75">
        <f>LOOKUP(D258,基础数据!A:D)</f>
        <v>3.83949417682846</v>
      </c>
      <c r="BP258" s="75">
        <f t="shared" si="100"/>
        <v>0.926611580972688</v>
      </c>
      <c r="BQ258" s="75">
        <f t="shared" si="101"/>
        <v>723</v>
      </c>
      <c r="BR258" s="272">
        <f t="shared" si="109"/>
        <v>817</v>
      </c>
      <c r="BS258" s="156">
        <f t="shared" si="93"/>
        <v>93.99</v>
      </c>
      <c r="BT258" s="186">
        <v>0.02</v>
      </c>
      <c r="BU258" s="156">
        <f t="shared" si="94"/>
        <v>16.34</v>
      </c>
      <c r="BV258" s="156">
        <f t="shared" si="95"/>
        <v>1.35</v>
      </c>
      <c r="BW258" s="156">
        <f t="shared" si="99"/>
        <v>738</v>
      </c>
      <c r="BX258" s="156">
        <f t="shared" si="96"/>
        <v>2.7296372347707</v>
      </c>
      <c r="BY258" s="1207" t="s">
        <v>2911</v>
      </c>
      <c r="BZ258" s="272">
        <v>7</v>
      </c>
      <c r="CA258" s="186">
        <f t="shared" si="105"/>
        <v>0.61</v>
      </c>
      <c r="CB258" s="186">
        <f t="shared" si="102"/>
        <v>0.61</v>
      </c>
      <c r="CC258" s="186">
        <f t="shared" si="103"/>
        <v>0.61</v>
      </c>
      <c r="CD258" s="272"/>
      <c r="CF258" s="134"/>
      <c r="CG258" s="138"/>
      <c r="CH258" s="132"/>
      <c r="CI258" s="138"/>
      <c r="CJ258" s="132"/>
      <c r="CK258" s="132"/>
      <c r="CL258" s="134"/>
      <c r="CM258" s="146"/>
    </row>
    <row r="259" ht="15" hidden="1" customHeight="1" spans="1:91">
      <c r="A259" s="123">
        <f>IF(B259="","",COUNT(A$7:A258)+1)</f>
        <v>252</v>
      </c>
      <c r="B259" s="139" t="s">
        <v>2913</v>
      </c>
      <c r="C259" s="139" t="s">
        <v>2914</v>
      </c>
      <c r="D259" s="1209">
        <v>44872</v>
      </c>
      <c r="E259" s="1210">
        <v>780</v>
      </c>
      <c r="F259" s="219" t="s">
        <v>2866</v>
      </c>
      <c r="G259" s="142"/>
      <c r="H259" s="127"/>
      <c r="I259" s="128"/>
      <c r="J259" s="128"/>
      <c r="K259" s="980">
        <v>1</v>
      </c>
      <c r="L259" s="143"/>
      <c r="M259" s="143"/>
      <c r="N259" s="144"/>
      <c r="O259" s="144"/>
      <c r="P259" s="144"/>
      <c r="Q259" s="353">
        <f t="shared" si="84"/>
        <v>1</v>
      </c>
      <c r="R259" s="129">
        <f t="shared" si="85"/>
        <v>0</v>
      </c>
      <c r="S259" s="129">
        <f t="shared" si="86"/>
        <v>0</v>
      </c>
      <c r="T259" s="129">
        <f t="shared" si="87"/>
        <v>1</v>
      </c>
      <c r="U259" s="129">
        <f t="shared" si="88"/>
        <v>738</v>
      </c>
      <c r="V259" s="214">
        <f t="shared" si="89"/>
        <v>61</v>
      </c>
      <c r="W259" s="353">
        <f t="shared" si="90"/>
        <v>450.18</v>
      </c>
      <c r="X259" s="129">
        <f t="shared" si="91"/>
        <v>450.18</v>
      </c>
      <c r="Y259" s="129" t="str">
        <f t="shared" si="92"/>
        <v/>
      </c>
      <c r="Z259" s="145"/>
      <c r="BA259" s="75" t="e">
        <f t="shared" si="98"/>
        <v>#DIV/0!</v>
      </c>
      <c r="BB259" s="78"/>
      <c r="BC259" s="132"/>
      <c r="BD259" s="133"/>
      <c r="BE259" s="132"/>
      <c r="BF259" s="134"/>
      <c r="BG259" s="135"/>
      <c r="BH259" s="135"/>
      <c r="BI259" s="136"/>
      <c r="BJ259" s="136"/>
      <c r="BK259" s="136"/>
      <c r="BL259" s="136"/>
      <c r="BM259" s="137"/>
      <c r="BN259" s="137"/>
      <c r="BO259" s="75">
        <f>LOOKUP(D259,基础数据!A:D)</f>
        <v>3.83949417682846</v>
      </c>
      <c r="BP259" s="75">
        <f t="shared" si="100"/>
        <v>0.926611580972688</v>
      </c>
      <c r="BQ259" s="75">
        <f t="shared" si="101"/>
        <v>723</v>
      </c>
      <c r="BR259" s="272">
        <f t="shared" si="109"/>
        <v>817</v>
      </c>
      <c r="BS259" s="156">
        <f t="shared" si="93"/>
        <v>93.99</v>
      </c>
      <c r="BT259" s="186">
        <v>0.02</v>
      </c>
      <c r="BU259" s="156">
        <f t="shared" si="94"/>
        <v>16.34</v>
      </c>
      <c r="BV259" s="156">
        <f t="shared" si="95"/>
        <v>1.35</v>
      </c>
      <c r="BW259" s="156">
        <f t="shared" si="99"/>
        <v>738</v>
      </c>
      <c r="BX259" s="156">
        <f t="shared" si="96"/>
        <v>2.7296372347707</v>
      </c>
      <c r="BY259" s="1207" t="s">
        <v>2911</v>
      </c>
      <c r="BZ259" s="272">
        <v>7</v>
      </c>
      <c r="CA259" s="186">
        <f t="shared" si="105"/>
        <v>0.61</v>
      </c>
      <c r="CB259" s="186">
        <f t="shared" si="102"/>
        <v>0.61</v>
      </c>
      <c r="CC259" s="186">
        <f t="shared" si="103"/>
        <v>0.61</v>
      </c>
      <c r="CD259" s="272"/>
      <c r="CF259" s="134"/>
      <c r="CG259" s="138"/>
      <c r="CH259" s="132"/>
      <c r="CI259" s="138"/>
      <c r="CJ259" s="132"/>
      <c r="CK259" s="132"/>
      <c r="CL259" s="134"/>
      <c r="CM259" s="146"/>
    </row>
    <row r="260" ht="15" hidden="1" customHeight="1" spans="1:91">
      <c r="A260" s="123">
        <f>IF(B260="","",COUNT(A$7:A259)+1)</f>
        <v>253</v>
      </c>
      <c r="B260" s="139" t="s">
        <v>2902</v>
      </c>
      <c r="C260" s="139" t="s">
        <v>2903</v>
      </c>
      <c r="D260" s="1209">
        <v>43100</v>
      </c>
      <c r="E260" s="1210">
        <v>360</v>
      </c>
      <c r="F260" s="219" t="s">
        <v>2866</v>
      </c>
      <c r="G260" s="142"/>
      <c r="H260" s="127"/>
      <c r="I260" s="128"/>
      <c r="J260" s="128"/>
      <c r="K260" s="980">
        <v>1</v>
      </c>
      <c r="L260" s="143"/>
      <c r="M260" s="143"/>
      <c r="N260" s="144"/>
      <c r="O260" s="144"/>
      <c r="P260" s="144"/>
      <c r="Q260" s="353">
        <f t="shared" si="84"/>
        <v>1</v>
      </c>
      <c r="R260" s="129">
        <f t="shared" si="85"/>
        <v>0</v>
      </c>
      <c r="S260" s="129">
        <f t="shared" si="86"/>
        <v>0</v>
      </c>
      <c r="T260" s="129">
        <f t="shared" si="87"/>
        <v>1</v>
      </c>
      <c r="U260" s="129">
        <f t="shared" si="88"/>
        <v>362</v>
      </c>
      <c r="V260" s="214">
        <f t="shared" si="89"/>
        <v>15</v>
      </c>
      <c r="W260" s="353">
        <f t="shared" si="90"/>
        <v>54.3</v>
      </c>
      <c r="X260" s="129">
        <f t="shared" si="91"/>
        <v>54.3</v>
      </c>
      <c r="Y260" s="129" t="str">
        <f t="shared" si="92"/>
        <v/>
      </c>
      <c r="Z260" s="145"/>
      <c r="BA260" s="75" t="e">
        <f t="shared" si="98"/>
        <v>#DIV/0!</v>
      </c>
      <c r="BB260" s="78"/>
      <c r="BC260" s="132"/>
      <c r="BD260" s="133"/>
      <c r="BE260" s="132"/>
      <c r="BF260" s="134"/>
      <c r="BG260" s="135"/>
      <c r="BH260" s="135"/>
      <c r="BI260" s="136"/>
      <c r="BJ260" s="136"/>
      <c r="BK260" s="136"/>
      <c r="BL260" s="136"/>
      <c r="BM260" s="137"/>
      <c r="BN260" s="137"/>
      <c r="BO260" s="75">
        <f>LOOKUP(D260,基础数据!A:D)</f>
        <v>3.53915880885741</v>
      </c>
      <c r="BP260" s="75">
        <f t="shared" si="100"/>
        <v>1.00524445538374</v>
      </c>
      <c r="BQ260" s="75">
        <f t="shared" si="101"/>
        <v>362</v>
      </c>
      <c r="BR260" s="272">
        <f t="shared" si="109"/>
        <v>409</v>
      </c>
      <c r="BS260" s="156">
        <f t="shared" si="93"/>
        <v>47.05</v>
      </c>
      <c r="BT260" s="156"/>
      <c r="BU260" s="156">
        <f t="shared" si="94"/>
        <v>0</v>
      </c>
      <c r="BV260" s="156">
        <f t="shared" si="95"/>
        <v>0</v>
      </c>
      <c r="BW260" s="156">
        <f t="shared" si="99"/>
        <v>362</v>
      </c>
      <c r="BX260" s="156">
        <f t="shared" si="96"/>
        <v>7.58110882956879</v>
      </c>
      <c r="BY260" s="1207" t="s">
        <v>2878</v>
      </c>
      <c r="BZ260" s="272">
        <v>6</v>
      </c>
      <c r="CA260" s="186">
        <f t="shared" si="105"/>
        <v>-0.26</v>
      </c>
      <c r="CB260" s="186">
        <f t="shared" si="102"/>
        <v>-0.26</v>
      </c>
      <c r="CC260" s="186">
        <f t="shared" si="103"/>
        <v>-0.26</v>
      </c>
      <c r="CD260" s="272"/>
      <c r="CF260" s="134"/>
      <c r="CG260" s="138"/>
      <c r="CH260" s="132"/>
      <c r="CI260" s="138"/>
      <c r="CJ260" s="132"/>
      <c r="CK260" s="132"/>
      <c r="CL260" s="134"/>
      <c r="CM260" s="146"/>
    </row>
    <row r="261" ht="15" hidden="1" customHeight="1" spans="1:91">
      <c r="A261" s="123">
        <f>IF(B261="","",COUNT(A$7:A260)+1)</f>
        <v>254</v>
      </c>
      <c r="B261" s="139" t="s">
        <v>2915</v>
      </c>
      <c r="C261" s="139"/>
      <c r="D261" s="1209">
        <v>43100</v>
      </c>
      <c r="E261" s="1210">
        <v>2480</v>
      </c>
      <c r="F261" s="219" t="s">
        <v>2866</v>
      </c>
      <c r="G261" s="142"/>
      <c r="H261" s="127"/>
      <c r="I261" s="128"/>
      <c r="J261" s="128"/>
      <c r="K261" s="980">
        <v>1</v>
      </c>
      <c r="L261" s="143"/>
      <c r="M261" s="143"/>
      <c r="N261" s="144"/>
      <c r="O261" s="144"/>
      <c r="P261" s="144"/>
      <c r="Q261" s="353">
        <f t="shared" si="84"/>
        <v>1</v>
      </c>
      <c r="R261" s="129">
        <f t="shared" si="85"/>
        <v>0</v>
      </c>
      <c r="S261" s="129">
        <f t="shared" si="86"/>
        <v>0</v>
      </c>
      <c r="T261" s="129">
        <f t="shared" si="87"/>
        <v>1</v>
      </c>
      <c r="U261" s="129">
        <f t="shared" si="88"/>
        <v>2493</v>
      </c>
      <c r="V261" s="214">
        <f t="shared" si="89"/>
        <v>15</v>
      </c>
      <c r="W261" s="353">
        <f t="shared" si="90"/>
        <v>373.95</v>
      </c>
      <c r="X261" s="129">
        <f t="shared" si="91"/>
        <v>373.95</v>
      </c>
      <c r="Y261" s="129" t="str">
        <f t="shared" si="92"/>
        <v/>
      </c>
      <c r="Z261" s="145"/>
      <c r="BA261" s="75" t="e">
        <f t="shared" si="98"/>
        <v>#DIV/0!</v>
      </c>
      <c r="BB261" s="78"/>
      <c r="BC261" s="132"/>
      <c r="BD261" s="133"/>
      <c r="BE261" s="132"/>
      <c r="BF261" s="134"/>
      <c r="BG261" s="135"/>
      <c r="BH261" s="135"/>
      <c r="BI261" s="136"/>
      <c r="BJ261" s="136"/>
      <c r="BK261" s="136"/>
      <c r="BL261" s="136"/>
      <c r="BM261" s="137"/>
      <c r="BN261" s="137"/>
      <c r="BO261" s="75">
        <f>LOOKUP(D261,基础数据!A:D)</f>
        <v>3.53915880885741</v>
      </c>
      <c r="BP261" s="75">
        <f t="shared" si="100"/>
        <v>1.00524445538374</v>
      </c>
      <c r="BQ261" s="75">
        <f t="shared" si="101"/>
        <v>2493</v>
      </c>
      <c r="BR261" s="272">
        <f t="shared" si="109"/>
        <v>2817</v>
      </c>
      <c r="BS261" s="156">
        <f t="shared" si="93"/>
        <v>324.08</v>
      </c>
      <c r="BT261" s="156"/>
      <c r="BU261" s="156">
        <f t="shared" si="94"/>
        <v>0</v>
      </c>
      <c r="BV261" s="156">
        <f t="shared" si="95"/>
        <v>0</v>
      </c>
      <c r="BW261" s="156">
        <f t="shared" si="99"/>
        <v>2493</v>
      </c>
      <c r="BX261" s="156">
        <f t="shared" si="96"/>
        <v>7.58110882956879</v>
      </c>
      <c r="BY261" s="1207" t="s">
        <v>2878</v>
      </c>
      <c r="BZ261" s="272">
        <v>6</v>
      </c>
      <c r="CA261" s="186">
        <f t="shared" si="105"/>
        <v>-0.26</v>
      </c>
      <c r="CB261" s="186">
        <f t="shared" si="102"/>
        <v>-0.26</v>
      </c>
      <c r="CC261" s="186">
        <f t="shared" si="103"/>
        <v>-0.26</v>
      </c>
      <c r="CD261" s="272"/>
      <c r="CF261" s="134"/>
      <c r="CG261" s="138"/>
      <c r="CH261" s="132"/>
      <c r="CI261" s="138"/>
      <c r="CJ261" s="132"/>
      <c r="CK261" s="132"/>
      <c r="CL261" s="134"/>
      <c r="CM261" s="146"/>
    </row>
    <row r="262" ht="15" hidden="1" customHeight="1" spans="1:91">
      <c r="A262" s="123">
        <f>IF(B262="","",COUNT(A$7:A261)+1)</f>
        <v>255</v>
      </c>
      <c r="B262" s="139" t="s">
        <v>2916</v>
      </c>
      <c r="C262" s="139" t="s">
        <v>2905</v>
      </c>
      <c r="D262" s="1209">
        <v>43100</v>
      </c>
      <c r="E262" s="1210">
        <v>485</v>
      </c>
      <c r="F262" s="219" t="s">
        <v>2866</v>
      </c>
      <c r="G262" s="142"/>
      <c r="H262" s="127"/>
      <c r="I262" s="128"/>
      <c r="J262" s="128"/>
      <c r="K262" s="980">
        <v>1</v>
      </c>
      <c r="L262" s="143"/>
      <c r="M262" s="143"/>
      <c r="N262" s="144"/>
      <c r="O262" s="144"/>
      <c r="P262" s="144"/>
      <c r="Q262" s="353">
        <f t="shared" ref="Q262:Q325" si="110">IF(B262="","",K262+N262)</f>
        <v>1</v>
      </c>
      <c r="R262" s="129">
        <f t="shared" ref="R262:R325" si="111">IF(B262="","",L262+O262)</f>
        <v>0</v>
      </c>
      <c r="S262" s="129">
        <f t="shared" ref="S262:S325" si="112">IF(B262="","",M262+P262)</f>
        <v>0</v>
      </c>
      <c r="T262" s="129">
        <f t="shared" ref="T262:T325" si="113">IF(B262="","",IF(BC$3="是",Q262,""))</f>
        <v>1</v>
      </c>
      <c r="U262" s="129">
        <f t="shared" ref="U262:U325" si="114">IF(B262="","",IF(BC$3="是",IFERROR(ROUND(BW262,0)*T262,""),""))</f>
        <v>488</v>
      </c>
      <c r="V262" s="214">
        <f t="shared" ref="V262:V325" si="115">IF(B262="","",IF(BC$3="是",IF(B262="","",MAX(CA262,15%)*100),""))</f>
        <v>15</v>
      </c>
      <c r="W262" s="353">
        <f t="shared" ref="W262:W325" si="116">IFERROR(U262*V262/100,"")</f>
        <v>73.2</v>
      </c>
      <c r="X262" s="129">
        <f t="shared" ref="X262:X325" si="117">IFERROR(W262-(R262-S262),"")</f>
        <v>73.2</v>
      </c>
      <c r="Y262" s="129" t="str">
        <f t="shared" ref="Y262:Y325" si="118">IFERROR(X262/(R262-S262)*100,"")</f>
        <v/>
      </c>
      <c r="Z262" s="145"/>
      <c r="BA262" s="75" t="e">
        <f t="shared" si="98"/>
        <v>#DIV/0!</v>
      </c>
      <c r="BB262" s="78"/>
      <c r="BC262" s="132"/>
      <c r="BD262" s="133"/>
      <c r="BE262" s="132"/>
      <c r="BF262" s="134"/>
      <c r="BG262" s="135"/>
      <c r="BH262" s="135"/>
      <c r="BI262" s="136"/>
      <c r="BJ262" s="136"/>
      <c r="BK262" s="136"/>
      <c r="BL262" s="136"/>
      <c r="BM262" s="137"/>
      <c r="BN262" s="137"/>
      <c r="BO262" s="75">
        <f>LOOKUP(D262,基础数据!A:D)</f>
        <v>3.53915880885741</v>
      </c>
      <c r="BP262" s="75">
        <f t="shared" si="100"/>
        <v>1.00524445538374</v>
      </c>
      <c r="BQ262" s="75">
        <f t="shared" si="101"/>
        <v>488</v>
      </c>
      <c r="BR262" s="272">
        <f t="shared" si="109"/>
        <v>551</v>
      </c>
      <c r="BS262" s="156">
        <f t="shared" ref="BS262:BS325" si="119">ROUND(BR262/(1+BS$6)*BS$6,2)</f>
        <v>63.39</v>
      </c>
      <c r="BT262" s="156"/>
      <c r="BU262" s="156">
        <f t="shared" ref="BU262:BU271" si="120">ROUND(BR262*BT262,2)</f>
        <v>0</v>
      </c>
      <c r="BV262" s="156">
        <f t="shared" ref="BV262:BV271" si="121">ROUND(BU262/(1+BV$6)*BV$6,2)</f>
        <v>0</v>
      </c>
      <c r="BW262" s="156">
        <f t="shared" si="99"/>
        <v>488</v>
      </c>
      <c r="BX262" s="156">
        <f t="shared" ref="BX262:BX325" si="122">(BX$6-D262)/365.25</f>
        <v>7.58110882956879</v>
      </c>
      <c r="BY262" s="1207" t="s">
        <v>2878</v>
      </c>
      <c r="BZ262" s="272">
        <v>6</v>
      </c>
      <c r="CA262" s="186">
        <f t="shared" ref="CA262:CA325" si="123">ROUND(IFERROR(1-(BX262/BZ262),0),2)</f>
        <v>-0.26</v>
      </c>
      <c r="CB262" s="186">
        <f t="shared" si="102"/>
        <v>-0.26</v>
      </c>
      <c r="CC262" s="186">
        <f t="shared" si="103"/>
        <v>-0.26</v>
      </c>
      <c r="CD262" s="272"/>
      <c r="CF262" s="134"/>
      <c r="CG262" s="138"/>
      <c r="CH262" s="132"/>
      <c r="CI262" s="138"/>
      <c r="CJ262" s="132"/>
      <c r="CK262" s="132"/>
      <c r="CL262" s="134"/>
      <c r="CM262" s="146"/>
    </row>
    <row r="263" ht="15" hidden="1" customHeight="1" spans="1:91">
      <c r="A263" s="123">
        <f>IF(B263="","",COUNT(A$7:A262)+1)</f>
        <v>256</v>
      </c>
      <c r="B263" s="139" t="s">
        <v>2916</v>
      </c>
      <c r="C263" s="139" t="s">
        <v>2905</v>
      </c>
      <c r="D263" s="1209">
        <v>43100</v>
      </c>
      <c r="E263" s="1210">
        <v>485</v>
      </c>
      <c r="F263" s="219" t="s">
        <v>2866</v>
      </c>
      <c r="G263" s="142"/>
      <c r="H263" s="127"/>
      <c r="I263" s="128"/>
      <c r="J263" s="128"/>
      <c r="K263" s="980">
        <v>1</v>
      </c>
      <c r="L263" s="143"/>
      <c r="M263" s="143"/>
      <c r="N263" s="144"/>
      <c r="O263" s="144"/>
      <c r="P263" s="144"/>
      <c r="Q263" s="353">
        <f t="shared" si="110"/>
        <v>1</v>
      </c>
      <c r="R263" s="129">
        <f t="shared" si="111"/>
        <v>0</v>
      </c>
      <c r="S263" s="129">
        <f t="shared" si="112"/>
        <v>0</v>
      </c>
      <c r="T263" s="129">
        <f t="shared" si="113"/>
        <v>1</v>
      </c>
      <c r="U263" s="129">
        <f t="shared" si="114"/>
        <v>488</v>
      </c>
      <c r="V263" s="214">
        <f t="shared" si="115"/>
        <v>15</v>
      </c>
      <c r="W263" s="353">
        <f t="shared" si="116"/>
        <v>73.2</v>
      </c>
      <c r="X263" s="129">
        <f t="shared" si="117"/>
        <v>73.2</v>
      </c>
      <c r="Y263" s="129" t="str">
        <f t="shared" si="118"/>
        <v/>
      </c>
      <c r="Z263" s="145"/>
      <c r="BA263" s="75" t="e">
        <f t="shared" ref="BA263:BA326" si="124">(U263-R263)/R263</f>
        <v>#DIV/0!</v>
      </c>
      <c r="BB263" s="78"/>
      <c r="BC263" s="132"/>
      <c r="BD263" s="133"/>
      <c r="BE263" s="132"/>
      <c r="BF263" s="134"/>
      <c r="BG263" s="135"/>
      <c r="BH263" s="135"/>
      <c r="BI263" s="136"/>
      <c r="BJ263" s="136"/>
      <c r="BK263" s="136"/>
      <c r="BL263" s="136"/>
      <c r="BM263" s="137"/>
      <c r="BN263" s="137"/>
      <c r="BO263" s="75">
        <f>LOOKUP(D263,基础数据!A:D)</f>
        <v>3.53915880885741</v>
      </c>
      <c r="BP263" s="75">
        <f t="shared" si="100"/>
        <v>1.00524445538374</v>
      </c>
      <c r="BQ263" s="75">
        <f t="shared" si="101"/>
        <v>488</v>
      </c>
      <c r="BR263" s="272">
        <f t="shared" si="109"/>
        <v>551</v>
      </c>
      <c r="BS263" s="156">
        <f t="shared" si="119"/>
        <v>63.39</v>
      </c>
      <c r="BT263" s="156"/>
      <c r="BU263" s="156">
        <f t="shared" si="120"/>
        <v>0</v>
      </c>
      <c r="BV263" s="156">
        <f t="shared" si="121"/>
        <v>0</v>
      </c>
      <c r="BW263" s="156">
        <f t="shared" ref="BW263:BW326" si="125">ROUND(BR263+BU263-BS263-BV263,0)</f>
        <v>488</v>
      </c>
      <c r="BX263" s="156">
        <f t="shared" si="122"/>
        <v>7.58110882956879</v>
      </c>
      <c r="BY263" s="1207" t="s">
        <v>2878</v>
      </c>
      <c r="BZ263" s="272">
        <v>6</v>
      </c>
      <c r="CA263" s="186">
        <f t="shared" si="123"/>
        <v>-0.26</v>
      </c>
      <c r="CB263" s="186">
        <f t="shared" si="102"/>
        <v>-0.26</v>
      </c>
      <c r="CC263" s="186">
        <f t="shared" si="103"/>
        <v>-0.26</v>
      </c>
      <c r="CD263" s="272"/>
      <c r="CF263" s="134"/>
      <c r="CG263" s="138"/>
      <c r="CH263" s="132"/>
      <c r="CI263" s="138"/>
      <c r="CJ263" s="132"/>
      <c r="CK263" s="132"/>
      <c r="CL263" s="134"/>
      <c r="CM263" s="146"/>
    </row>
    <row r="264" ht="15" hidden="1" customHeight="1" spans="1:91">
      <c r="A264" s="123">
        <f>IF(B264="","",COUNT(A$7:A263)+1)</f>
        <v>257</v>
      </c>
      <c r="B264" s="139" t="s">
        <v>2917</v>
      </c>
      <c r="C264" s="139" t="s">
        <v>2918</v>
      </c>
      <c r="D264" s="1209">
        <v>43100</v>
      </c>
      <c r="E264" s="1210">
        <v>160</v>
      </c>
      <c r="F264" s="219" t="s">
        <v>2866</v>
      </c>
      <c r="G264" s="142"/>
      <c r="H264" s="127"/>
      <c r="I264" s="128"/>
      <c r="J264" s="128"/>
      <c r="K264" s="980">
        <v>1</v>
      </c>
      <c r="L264" s="143"/>
      <c r="M264" s="143"/>
      <c r="N264" s="144"/>
      <c r="O264" s="144"/>
      <c r="P264" s="144"/>
      <c r="Q264" s="353">
        <f t="shared" si="110"/>
        <v>1</v>
      </c>
      <c r="R264" s="129">
        <f t="shared" si="111"/>
        <v>0</v>
      </c>
      <c r="S264" s="129">
        <f t="shared" si="112"/>
        <v>0</v>
      </c>
      <c r="T264" s="129">
        <f t="shared" si="113"/>
        <v>1</v>
      </c>
      <c r="U264" s="129">
        <f t="shared" si="114"/>
        <v>171</v>
      </c>
      <c r="V264" s="214">
        <f t="shared" si="115"/>
        <v>58</v>
      </c>
      <c r="W264" s="353">
        <f t="shared" si="116"/>
        <v>99.18</v>
      </c>
      <c r="X264" s="129">
        <f t="shared" si="117"/>
        <v>99.18</v>
      </c>
      <c r="Y264" s="129" t="str">
        <f t="shared" si="118"/>
        <v/>
      </c>
      <c r="Z264" s="145"/>
      <c r="BA264" s="75" t="e">
        <f t="shared" si="124"/>
        <v>#DIV/0!</v>
      </c>
      <c r="BB264" s="78"/>
      <c r="BC264" s="132"/>
      <c r="BD264" s="133"/>
      <c r="BE264" s="132"/>
      <c r="BF264" s="134"/>
      <c r="BG264" s="135"/>
      <c r="BH264" s="135"/>
      <c r="BI264" s="136"/>
      <c r="BJ264" s="136"/>
      <c r="BK264" s="136"/>
      <c r="BL264" s="136"/>
      <c r="BM264" s="137"/>
      <c r="BN264" s="137"/>
      <c r="BO264" s="75">
        <f>LOOKUP(D264,基础数据!A:D)</f>
        <v>3.53915880885741</v>
      </c>
      <c r="BP264" s="75">
        <f t="shared" ref="BP264:BP327" si="126">BO$6/BO264</f>
        <v>1.00524445538374</v>
      </c>
      <c r="BQ264" s="75">
        <f t="shared" ref="BQ264:BQ327" si="127">ROUND(E264*BP264/Q264,0)</f>
        <v>161</v>
      </c>
      <c r="BR264" s="272">
        <f t="shared" si="109"/>
        <v>182</v>
      </c>
      <c r="BS264" s="156">
        <f t="shared" si="119"/>
        <v>20.94</v>
      </c>
      <c r="BT264" s="186">
        <v>0.06</v>
      </c>
      <c r="BU264" s="156">
        <f t="shared" si="120"/>
        <v>10.92</v>
      </c>
      <c r="BV264" s="156">
        <f t="shared" si="121"/>
        <v>0.9</v>
      </c>
      <c r="BW264" s="156">
        <f t="shared" si="125"/>
        <v>171</v>
      </c>
      <c r="BX264" s="156">
        <f t="shared" si="122"/>
        <v>7.58110882956879</v>
      </c>
      <c r="BY264" s="1207" t="s">
        <v>2919</v>
      </c>
      <c r="BZ264" s="272">
        <v>18</v>
      </c>
      <c r="CA264" s="186">
        <f t="shared" si="123"/>
        <v>0.58</v>
      </c>
      <c r="CB264" s="186">
        <f t="shared" ref="CB264:CB327" si="128">CA264</f>
        <v>0.58</v>
      </c>
      <c r="CC264" s="186">
        <f t="shared" ref="CC264:CC327" si="129">CA264*CA$6+CB264*CB$6</f>
        <v>0.58</v>
      </c>
      <c r="CD264" s="272"/>
      <c r="CF264" s="134"/>
      <c r="CG264" s="138"/>
      <c r="CH264" s="132"/>
      <c r="CI264" s="138"/>
      <c r="CJ264" s="132"/>
      <c r="CK264" s="132"/>
      <c r="CL264" s="134"/>
      <c r="CM264" s="146"/>
    </row>
    <row r="265" ht="15" hidden="1" customHeight="1" spans="1:91">
      <c r="A265" s="123">
        <f>IF(B265="","",COUNT(A$7:A264)+1)</f>
        <v>258</v>
      </c>
      <c r="B265" s="139" t="s">
        <v>2920</v>
      </c>
      <c r="C265" s="139" t="s">
        <v>2921</v>
      </c>
      <c r="D265" s="1209">
        <v>43100</v>
      </c>
      <c r="E265" s="1210">
        <v>2040</v>
      </c>
      <c r="F265" s="219" t="s">
        <v>2866</v>
      </c>
      <c r="G265" s="142"/>
      <c r="H265" s="127"/>
      <c r="I265" s="128"/>
      <c r="J265" s="128"/>
      <c r="K265" s="980">
        <v>3</v>
      </c>
      <c r="L265" s="143"/>
      <c r="M265" s="143"/>
      <c r="N265" s="144"/>
      <c r="O265" s="144"/>
      <c r="P265" s="144"/>
      <c r="Q265" s="353">
        <f t="shared" si="110"/>
        <v>3</v>
      </c>
      <c r="R265" s="129">
        <f t="shared" si="111"/>
        <v>0</v>
      </c>
      <c r="S265" s="129">
        <f t="shared" si="112"/>
        <v>0</v>
      </c>
      <c r="T265" s="129">
        <f t="shared" si="113"/>
        <v>3</v>
      </c>
      <c r="U265" s="129">
        <f t="shared" si="114"/>
        <v>2073</v>
      </c>
      <c r="V265" s="214">
        <f t="shared" si="115"/>
        <v>15</v>
      </c>
      <c r="W265" s="353">
        <f t="shared" si="116"/>
        <v>310.95</v>
      </c>
      <c r="X265" s="129">
        <f t="shared" si="117"/>
        <v>310.95</v>
      </c>
      <c r="Y265" s="129" t="str">
        <f t="shared" si="118"/>
        <v/>
      </c>
      <c r="Z265" s="145"/>
      <c r="BA265" s="75" t="e">
        <f t="shared" si="124"/>
        <v>#DIV/0!</v>
      </c>
      <c r="BB265" s="78"/>
      <c r="BC265" s="132"/>
      <c r="BD265" s="133"/>
      <c r="BE265" s="132"/>
      <c r="BF265" s="134"/>
      <c r="BG265" s="135"/>
      <c r="BH265" s="135"/>
      <c r="BI265" s="136"/>
      <c r="BJ265" s="136"/>
      <c r="BK265" s="136"/>
      <c r="BL265" s="136"/>
      <c r="BM265" s="137"/>
      <c r="BN265" s="137"/>
      <c r="BO265" s="75">
        <f>LOOKUP(D265,基础数据!A:D)</f>
        <v>3.53915880885741</v>
      </c>
      <c r="BP265" s="75">
        <f t="shared" si="126"/>
        <v>1.00524445538374</v>
      </c>
      <c r="BQ265" s="75">
        <f t="shared" si="127"/>
        <v>684</v>
      </c>
      <c r="BR265" s="272">
        <f t="shared" si="109"/>
        <v>773</v>
      </c>
      <c r="BS265" s="156">
        <f t="shared" si="119"/>
        <v>88.93</v>
      </c>
      <c r="BT265" s="186">
        <v>0.01</v>
      </c>
      <c r="BU265" s="156">
        <f t="shared" si="120"/>
        <v>7.73</v>
      </c>
      <c r="BV265" s="156">
        <f t="shared" si="121"/>
        <v>0.64</v>
      </c>
      <c r="BW265" s="156">
        <f t="shared" si="125"/>
        <v>691</v>
      </c>
      <c r="BX265" s="156">
        <f t="shared" si="122"/>
        <v>7.58110882956879</v>
      </c>
      <c r="BY265" s="1207" t="s">
        <v>2888</v>
      </c>
      <c r="BZ265" s="272">
        <v>3</v>
      </c>
      <c r="CA265" s="186">
        <f t="shared" si="123"/>
        <v>-1.53</v>
      </c>
      <c r="CB265" s="186">
        <f t="shared" si="128"/>
        <v>-1.53</v>
      </c>
      <c r="CC265" s="186">
        <f t="shared" si="129"/>
        <v>-1.53</v>
      </c>
      <c r="CD265" s="272"/>
      <c r="CF265" s="134"/>
      <c r="CG265" s="138"/>
      <c r="CH265" s="132"/>
      <c r="CI265" s="138"/>
      <c r="CJ265" s="132"/>
      <c r="CK265" s="132"/>
      <c r="CL265" s="134"/>
      <c r="CM265" s="146"/>
    </row>
    <row r="266" ht="15" hidden="1" customHeight="1" spans="1:91">
      <c r="A266" s="123">
        <f>IF(B266="","",COUNT(A$7:A265)+1)</f>
        <v>259</v>
      </c>
      <c r="B266" s="139" t="s">
        <v>2922</v>
      </c>
      <c r="C266" s="139" t="s">
        <v>2923</v>
      </c>
      <c r="D266" s="1209">
        <v>43100</v>
      </c>
      <c r="E266" s="1210">
        <v>380</v>
      </c>
      <c r="F266" s="219" t="s">
        <v>2866</v>
      </c>
      <c r="G266" s="142"/>
      <c r="H266" s="127"/>
      <c r="I266" s="128"/>
      <c r="J266" s="128"/>
      <c r="K266" s="980">
        <v>1</v>
      </c>
      <c r="L266" s="143"/>
      <c r="M266" s="143"/>
      <c r="N266" s="144"/>
      <c r="O266" s="144"/>
      <c r="P266" s="144"/>
      <c r="Q266" s="353">
        <f t="shared" si="110"/>
        <v>1</v>
      </c>
      <c r="R266" s="129">
        <f t="shared" si="111"/>
        <v>0</v>
      </c>
      <c r="S266" s="129">
        <f t="shared" si="112"/>
        <v>0</v>
      </c>
      <c r="T266" s="129">
        <f t="shared" si="113"/>
        <v>1</v>
      </c>
      <c r="U266" s="129">
        <f t="shared" si="114"/>
        <v>382</v>
      </c>
      <c r="V266" s="214">
        <f t="shared" si="115"/>
        <v>24</v>
      </c>
      <c r="W266" s="353">
        <f t="shared" si="116"/>
        <v>91.68</v>
      </c>
      <c r="X266" s="129">
        <f t="shared" si="117"/>
        <v>91.68</v>
      </c>
      <c r="Y266" s="129" t="str">
        <f t="shared" si="118"/>
        <v/>
      </c>
      <c r="Z266" s="145"/>
      <c r="BA266" s="75" t="e">
        <f t="shared" si="124"/>
        <v>#DIV/0!</v>
      </c>
      <c r="BB266" s="78"/>
      <c r="BC266" s="132"/>
      <c r="BD266" s="133"/>
      <c r="BE266" s="132"/>
      <c r="BF266" s="134"/>
      <c r="BG266" s="135"/>
      <c r="BH266" s="135"/>
      <c r="BI266" s="136"/>
      <c r="BJ266" s="136"/>
      <c r="BK266" s="136"/>
      <c r="BL266" s="136"/>
      <c r="BM266" s="137"/>
      <c r="BN266" s="137"/>
      <c r="BO266" s="75">
        <f>LOOKUP(D266,基础数据!A:D)</f>
        <v>3.53915880885741</v>
      </c>
      <c r="BP266" s="75">
        <f t="shared" si="126"/>
        <v>1.00524445538374</v>
      </c>
      <c r="BQ266" s="75">
        <f t="shared" si="127"/>
        <v>382</v>
      </c>
      <c r="BR266" s="272">
        <f t="shared" si="109"/>
        <v>432</v>
      </c>
      <c r="BS266" s="156">
        <f t="shared" si="119"/>
        <v>49.7</v>
      </c>
      <c r="BT266" s="156"/>
      <c r="BU266" s="156">
        <f t="shared" si="120"/>
        <v>0</v>
      </c>
      <c r="BV266" s="156">
        <f t="shared" si="121"/>
        <v>0</v>
      </c>
      <c r="BW266" s="156">
        <f t="shared" si="125"/>
        <v>382</v>
      </c>
      <c r="BX266" s="156">
        <f t="shared" si="122"/>
        <v>7.58110882956879</v>
      </c>
      <c r="BY266" s="1207" t="s">
        <v>2924</v>
      </c>
      <c r="BZ266" s="272">
        <v>10</v>
      </c>
      <c r="CA266" s="186">
        <f t="shared" si="123"/>
        <v>0.24</v>
      </c>
      <c r="CB266" s="186">
        <f t="shared" si="128"/>
        <v>0.24</v>
      </c>
      <c r="CC266" s="186">
        <f t="shared" si="129"/>
        <v>0.24</v>
      </c>
      <c r="CD266" s="272"/>
      <c r="CF266" s="134"/>
      <c r="CG266" s="138"/>
      <c r="CH266" s="132"/>
      <c r="CI266" s="138"/>
      <c r="CJ266" s="132"/>
      <c r="CK266" s="132"/>
      <c r="CL266" s="134"/>
      <c r="CM266" s="146"/>
    </row>
    <row r="267" ht="15" hidden="1" customHeight="1" spans="1:91">
      <c r="A267" s="123">
        <f>IF(B267="","",COUNT(A$7:A266)+1)</f>
        <v>260</v>
      </c>
      <c r="B267" s="139" t="s">
        <v>2925</v>
      </c>
      <c r="C267" s="139" t="s">
        <v>2926</v>
      </c>
      <c r="D267" s="1209">
        <v>43100</v>
      </c>
      <c r="E267" s="1210">
        <v>78</v>
      </c>
      <c r="F267" s="219" t="s">
        <v>2866</v>
      </c>
      <c r="G267" s="142"/>
      <c r="H267" s="127"/>
      <c r="I267" s="128"/>
      <c r="J267" s="128"/>
      <c r="K267" s="980">
        <v>1</v>
      </c>
      <c r="L267" s="143"/>
      <c r="M267" s="143"/>
      <c r="N267" s="144"/>
      <c r="O267" s="144"/>
      <c r="P267" s="144"/>
      <c r="Q267" s="353">
        <f t="shared" si="110"/>
        <v>1</v>
      </c>
      <c r="R267" s="129">
        <f t="shared" si="111"/>
        <v>0</v>
      </c>
      <c r="S267" s="129">
        <f t="shared" si="112"/>
        <v>0</v>
      </c>
      <c r="T267" s="129">
        <f t="shared" si="113"/>
        <v>1</v>
      </c>
      <c r="U267" s="129">
        <f t="shared" si="114"/>
        <v>79</v>
      </c>
      <c r="V267" s="214">
        <f t="shared" si="115"/>
        <v>15</v>
      </c>
      <c r="W267" s="353">
        <f t="shared" si="116"/>
        <v>11.85</v>
      </c>
      <c r="X267" s="129">
        <f t="shared" si="117"/>
        <v>11.85</v>
      </c>
      <c r="Y267" s="129" t="str">
        <f t="shared" si="118"/>
        <v/>
      </c>
      <c r="Z267" s="145"/>
      <c r="BA267" s="75" t="e">
        <f t="shared" si="124"/>
        <v>#DIV/0!</v>
      </c>
      <c r="BB267" s="78"/>
      <c r="BC267" s="132"/>
      <c r="BD267" s="133"/>
      <c r="BE267" s="132"/>
      <c r="BF267" s="134"/>
      <c r="BG267" s="135"/>
      <c r="BH267" s="135"/>
      <c r="BI267" s="136"/>
      <c r="BJ267" s="136"/>
      <c r="BK267" s="136"/>
      <c r="BL267" s="136"/>
      <c r="BM267" s="137"/>
      <c r="BN267" s="137"/>
      <c r="BO267" s="75">
        <f>LOOKUP(D267,基础数据!A:D)</f>
        <v>3.53915880885741</v>
      </c>
      <c r="BP267" s="75">
        <f t="shared" si="126"/>
        <v>1.00524445538374</v>
      </c>
      <c r="BQ267" s="75">
        <f t="shared" si="127"/>
        <v>78</v>
      </c>
      <c r="BR267" s="272">
        <f t="shared" si="109"/>
        <v>88</v>
      </c>
      <c r="BS267" s="156">
        <f t="shared" si="119"/>
        <v>10.12</v>
      </c>
      <c r="BT267" s="186">
        <v>0.01</v>
      </c>
      <c r="BU267" s="156">
        <f t="shared" si="120"/>
        <v>0.88</v>
      </c>
      <c r="BV267" s="156">
        <f t="shared" si="121"/>
        <v>0.07</v>
      </c>
      <c r="BW267" s="156">
        <f t="shared" si="125"/>
        <v>79</v>
      </c>
      <c r="BX267" s="156">
        <f t="shared" si="122"/>
        <v>7.58110882956879</v>
      </c>
      <c r="BY267" s="1207" t="s">
        <v>2888</v>
      </c>
      <c r="BZ267" s="272">
        <v>3</v>
      </c>
      <c r="CA267" s="186">
        <f t="shared" si="123"/>
        <v>-1.53</v>
      </c>
      <c r="CB267" s="186">
        <f t="shared" si="128"/>
        <v>-1.53</v>
      </c>
      <c r="CC267" s="186">
        <f t="shared" si="129"/>
        <v>-1.53</v>
      </c>
      <c r="CD267" s="272"/>
      <c r="CF267" s="134"/>
      <c r="CG267" s="138"/>
      <c r="CH267" s="132"/>
      <c r="CI267" s="138"/>
      <c r="CJ267" s="132"/>
      <c r="CK267" s="132"/>
      <c r="CL267" s="134"/>
      <c r="CM267" s="146"/>
    </row>
    <row r="268" ht="15" hidden="1" customHeight="1" spans="1:91">
      <c r="A268" s="123">
        <f>IF(B268="","",COUNT(A$7:A267)+1)</f>
        <v>261</v>
      </c>
      <c r="B268" s="139" t="s">
        <v>2927</v>
      </c>
      <c r="C268" s="139"/>
      <c r="D268" s="1209">
        <v>43100</v>
      </c>
      <c r="E268" s="1210">
        <v>58</v>
      </c>
      <c r="F268" s="219" t="s">
        <v>2866</v>
      </c>
      <c r="G268" s="142"/>
      <c r="H268" s="127"/>
      <c r="I268" s="128"/>
      <c r="J268" s="128"/>
      <c r="K268" s="980">
        <v>1</v>
      </c>
      <c r="L268" s="143"/>
      <c r="M268" s="143"/>
      <c r="N268" s="144"/>
      <c r="O268" s="144"/>
      <c r="P268" s="144"/>
      <c r="Q268" s="353">
        <f t="shared" si="110"/>
        <v>1</v>
      </c>
      <c r="R268" s="129">
        <f t="shared" si="111"/>
        <v>0</v>
      </c>
      <c r="S268" s="129">
        <f t="shared" si="112"/>
        <v>0</v>
      </c>
      <c r="T268" s="129">
        <f t="shared" si="113"/>
        <v>1</v>
      </c>
      <c r="U268" s="129">
        <f t="shared" si="114"/>
        <v>59</v>
      </c>
      <c r="V268" s="214">
        <f t="shared" si="115"/>
        <v>15</v>
      </c>
      <c r="W268" s="353">
        <f t="shared" si="116"/>
        <v>8.85</v>
      </c>
      <c r="X268" s="129">
        <f t="shared" si="117"/>
        <v>8.85</v>
      </c>
      <c r="Y268" s="129" t="str">
        <f t="shared" si="118"/>
        <v/>
      </c>
      <c r="Z268" s="145"/>
      <c r="BA268" s="75" t="e">
        <f t="shared" si="124"/>
        <v>#DIV/0!</v>
      </c>
      <c r="BB268" s="78"/>
      <c r="BC268" s="132"/>
      <c r="BD268" s="133"/>
      <c r="BE268" s="132"/>
      <c r="BF268" s="134"/>
      <c r="BG268" s="135"/>
      <c r="BH268" s="135"/>
      <c r="BI268" s="136"/>
      <c r="BJ268" s="136"/>
      <c r="BK268" s="136"/>
      <c r="BL268" s="136"/>
      <c r="BM268" s="137"/>
      <c r="BN268" s="137"/>
      <c r="BO268" s="75">
        <f>LOOKUP(D268,基础数据!A:D)</f>
        <v>3.53915880885741</v>
      </c>
      <c r="BP268" s="75">
        <f t="shared" si="126"/>
        <v>1.00524445538374</v>
      </c>
      <c r="BQ268" s="75">
        <f t="shared" si="127"/>
        <v>58</v>
      </c>
      <c r="BR268" s="272">
        <f t="shared" si="109"/>
        <v>66</v>
      </c>
      <c r="BS268" s="156">
        <f t="shared" si="119"/>
        <v>7.59</v>
      </c>
      <c r="BT268" s="186">
        <v>0.01</v>
      </c>
      <c r="BU268" s="156">
        <f t="shared" si="120"/>
        <v>0.66</v>
      </c>
      <c r="BV268" s="156">
        <f t="shared" si="121"/>
        <v>0.05</v>
      </c>
      <c r="BW268" s="156">
        <f t="shared" si="125"/>
        <v>59</v>
      </c>
      <c r="BX268" s="156">
        <f t="shared" si="122"/>
        <v>7.58110882956879</v>
      </c>
      <c r="BY268" s="1207" t="s">
        <v>2888</v>
      </c>
      <c r="BZ268" s="272">
        <v>3</v>
      </c>
      <c r="CA268" s="186">
        <f t="shared" si="123"/>
        <v>-1.53</v>
      </c>
      <c r="CB268" s="186">
        <f t="shared" si="128"/>
        <v>-1.53</v>
      </c>
      <c r="CC268" s="186">
        <f t="shared" si="129"/>
        <v>-1.53</v>
      </c>
      <c r="CD268" s="272"/>
      <c r="CF268" s="134"/>
      <c r="CG268" s="138"/>
      <c r="CH268" s="132"/>
      <c r="CI268" s="138"/>
      <c r="CJ268" s="132"/>
      <c r="CK268" s="132"/>
      <c r="CL268" s="134"/>
      <c r="CM268" s="146"/>
    </row>
    <row r="269" ht="15" hidden="1" customHeight="1" spans="1:91">
      <c r="A269" s="123">
        <f>IF(B269="","",COUNT(A$7:A268)+1)</f>
        <v>262</v>
      </c>
      <c r="B269" s="139" t="s">
        <v>2920</v>
      </c>
      <c r="C269" s="139" t="s">
        <v>2921</v>
      </c>
      <c r="D269" s="1209">
        <v>43100</v>
      </c>
      <c r="E269" s="1210">
        <v>1360</v>
      </c>
      <c r="F269" s="219" t="s">
        <v>2866</v>
      </c>
      <c r="G269" s="142"/>
      <c r="H269" s="127"/>
      <c r="I269" s="128"/>
      <c r="J269" s="128"/>
      <c r="K269" s="980">
        <v>2</v>
      </c>
      <c r="L269" s="143"/>
      <c r="M269" s="143"/>
      <c r="N269" s="144"/>
      <c r="O269" s="144"/>
      <c r="P269" s="144"/>
      <c r="Q269" s="353">
        <f t="shared" si="110"/>
        <v>2</v>
      </c>
      <c r="R269" s="129">
        <f t="shared" si="111"/>
        <v>0</v>
      </c>
      <c r="S269" s="129">
        <f t="shared" si="112"/>
        <v>0</v>
      </c>
      <c r="T269" s="129">
        <f t="shared" si="113"/>
        <v>2</v>
      </c>
      <c r="U269" s="129">
        <f t="shared" si="114"/>
        <v>1382</v>
      </c>
      <c r="V269" s="214">
        <f t="shared" si="115"/>
        <v>15</v>
      </c>
      <c r="W269" s="353">
        <f t="shared" si="116"/>
        <v>207.3</v>
      </c>
      <c r="X269" s="129">
        <f t="shared" si="117"/>
        <v>207.3</v>
      </c>
      <c r="Y269" s="129" t="str">
        <f t="shared" si="118"/>
        <v/>
      </c>
      <c r="Z269" s="145"/>
      <c r="BA269" s="75" t="e">
        <f t="shared" si="124"/>
        <v>#DIV/0!</v>
      </c>
      <c r="BB269" s="78"/>
      <c r="BC269" s="132"/>
      <c r="BD269" s="133"/>
      <c r="BE269" s="132"/>
      <c r="BF269" s="134"/>
      <c r="BG269" s="135"/>
      <c r="BH269" s="135"/>
      <c r="BI269" s="136"/>
      <c r="BJ269" s="136"/>
      <c r="BK269" s="136"/>
      <c r="BL269" s="136"/>
      <c r="BM269" s="137"/>
      <c r="BN269" s="137"/>
      <c r="BO269" s="75">
        <f>LOOKUP(D269,基础数据!A:D)</f>
        <v>3.53915880885741</v>
      </c>
      <c r="BP269" s="75">
        <f t="shared" si="126"/>
        <v>1.00524445538374</v>
      </c>
      <c r="BQ269" s="75">
        <f t="shared" si="127"/>
        <v>684</v>
      </c>
      <c r="BR269" s="272">
        <f t="shared" si="109"/>
        <v>773</v>
      </c>
      <c r="BS269" s="156">
        <f t="shared" si="119"/>
        <v>88.93</v>
      </c>
      <c r="BT269" s="186">
        <v>0.01</v>
      </c>
      <c r="BU269" s="156">
        <f t="shared" si="120"/>
        <v>7.73</v>
      </c>
      <c r="BV269" s="156">
        <f t="shared" si="121"/>
        <v>0.64</v>
      </c>
      <c r="BW269" s="156">
        <f t="shared" si="125"/>
        <v>691</v>
      </c>
      <c r="BX269" s="156">
        <f t="shared" si="122"/>
        <v>7.58110882956879</v>
      </c>
      <c r="BY269" s="1207" t="s">
        <v>2888</v>
      </c>
      <c r="BZ269" s="272">
        <v>3</v>
      </c>
      <c r="CA269" s="186">
        <f t="shared" si="123"/>
        <v>-1.53</v>
      </c>
      <c r="CB269" s="186">
        <f t="shared" si="128"/>
        <v>-1.53</v>
      </c>
      <c r="CC269" s="186">
        <f t="shared" si="129"/>
        <v>-1.53</v>
      </c>
      <c r="CD269" s="272"/>
      <c r="CF269" s="134"/>
      <c r="CG269" s="138"/>
      <c r="CH269" s="132"/>
      <c r="CI269" s="138"/>
      <c r="CJ269" s="132"/>
      <c r="CK269" s="132"/>
      <c r="CL269" s="134"/>
      <c r="CM269" s="146"/>
    </row>
    <row r="270" ht="15" hidden="1" customHeight="1" spans="1:91">
      <c r="A270" s="123">
        <f>IF(B270="","",COUNT(A$7:A269)+1)</f>
        <v>263</v>
      </c>
      <c r="B270" s="139" t="s">
        <v>2928</v>
      </c>
      <c r="C270" s="139"/>
      <c r="D270" s="1209">
        <v>43100</v>
      </c>
      <c r="E270" s="1210">
        <v>360</v>
      </c>
      <c r="F270" s="219" t="s">
        <v>2866</v>
      </c>
      <c r="G270" s="142"/>
      <c r="H270" s="127"/>
      <c r="I270" s="128"/>
      <c r="J270" s="128"/>
      <c r="K270" s="980">
        <v>1</v>
      </c>
      <c r="L270" s="143"/>
      <c r="M270" s="143"/>
      <c r="N270" s="144"/>
      <c r="O270" s="144"/>
      <c r="P270" s="144"/>
      <c r="Q270" s="353">
        <f t="shared" si="110"/>
        <v>1</v>
      </c>
      <c r="R270" s="129">
        <f t="shared" si="111"/>
        <v>0</v>
      </c>
      <c r="S270" s="129">
        <f t="shared" si="112"/>
        <v>0</v>
      </c>
      <c r="T270" s="129">
        <f t="shared" si="113"/>
        <v>1</v>
      </c>
      <c r="U270" s="129">
        <f t="shared" si="114"/>
        <v>362</v>
      </c>
      <c r="V270" s="214">
        <f t="shared" si="115"/>
        <v>15</v>
      </c>
      <c r="W270" s="353">
        <f t="shared" si="116"/>
        <v>54.3</v>
      </c>
      <c r="X270" s="129">
        <f t="shared" si="117"/>
        <v>54.3</v>
      </c>
      <c r="Y270" s="129" t="str">
        <f t="shared" si="118"/>
        <v/>
      </c>
      <c r="Z270" s="145"/>
      <c r="BA270" s="75" t="e">
        <f t="shared" si="124"/>
        <v>#DIV/0!</v>
      </c>
      <c r="BB270" s="78"/>
      <c r="BC270" s="132"/>
      <c r="BD270" s="133"/>
      <c r="BE270" s="132"/>
      <c r="BF270" s="134"/>
      <c r="BG270" s="135"/>
      <c r="BH270" s="135"/>
      <c r="BI270" s="136"/>
      <c r="BJ270" s="136"/>
      <c r="BK270" s="136"/>
      <c r="BL270" s="136"/>
      <c r="BM270" s="137"/>
      <c r="BN270" s="137"/>
      <c r="BO270" s="75">
        <f>LOOKUP(D270,基础数据!A:D)</f>
        <v>3.53915880885741</v>
      </c>
      <c r="BP270" s="75">
        <f t="shared" si="126"/>
        <v>1.00524445538374</v>
      </c>
      <c r="BQ270" s="75">
        <f t="shared" si="127"/>
        <v>362</v>
      </c>
      <c r="BR270" s="272">
        <f t="shared" si="109"/>
        <v>409</v>
      </c>
      <c r="BS270" s="156">
        <f t="shared" si="119"/>
        <v>47.05</v>
      </c>
      <c r="BT270" s="156"/>
      <c r="BU270" s="156">
        <f t="shared" si="120"/>
        <v>0</v>
      </c>
      <c r="BV270" s="156">
        <f t="shared" si="121"/>
        <v>0</v>
      </c>
      <c r="BW270" s="156">
        <f t="shared" si="125"/>
        <v>362</v>
      </c>
      <c r="BX270" s="156">
        <f t="shared" si="122"/>
        <v>7.58110882956879</v>
      </c>
      <c r="BY270" s="1207" t="s">
        <v>2878</v>
      </c>
      <c r="BZ270" s="272">
        <v>6</v>
      </c>
      <c r="CA270" s="186">
        <f t="shared" si="123"/>
        <v>-0.26</v>
      </c>
      <c r="CB270" s="186">
        <f t="shared" si="128"/>
        <v>-0.26</v>
      </c>
      <c r="CC270" s="186">
        <f t="shared" si="129"/>
        <v>-0.26</v>
      </c>
      <c r="CD270" s="272"/>
      <c r="CF270" s="134"/>
      <c r="CG270" s="138"/>
      <c r="CH270" s="132"/>
      <c r="CI270" s="138"/>
      <c r="CJ270" s="132"/>
      <c r="CK270" s="132"/>
      <c r="CL270" s="134"/>
      <c r="CM270" s="146"/>
    </row>
    <row r="271" ht="15" hidden="1" customHeight="1" spans="1:91">
      <c r="A271" s="123">
        <f>IF(B271="","",COUNT(A$7:A270)+1)</f>
        <v>264</v>
      </c>
      <c r="B271" s="139" t="s">
        <v>2929</v>
      </c>
      <c r="C271" s="139" t="s">
        <v>2930</v>
      </c>
      <c r="D271" s="1209">
        <v>43100</v>
      </c>
      <c r="E271" s="1210">
        <v>485</v>
      </c>
      <c r="F271" s="219" t="s">
        <v>2866</v>
      </c>
      <c r="G271" s="142"/>
      <c r="H271" s="127"/>
      <c r="I271" s="128"/>
      <c r="J271" s="128"/>
      <c r="K271" s="980">
        <v>1</v>
      </c>
      <c r="L271" s="143"/>
      <c r="M271" s="143"/>
      <c r="N271" s="144"/>
      <c r="O271" s="144"/>
      <c r="P271" s="144"/>
      <c r="Q271" s="353">
        <f t="shared" si="110"/>
        <v>1</v>
      </c>
      <c r="R271" s="129">
        <f t="shared" si="111"/>
        <v>0</v>
      </c>
      <c r="S271" s="129">
        <f t="shared" si="112"/>
        <v>0</v>
      </c>
      <c r="T271" s="129">
        <f t="shared" si="113"/>
        <v>1</v>
      </c>
      <c r="U271" s="129">
        <f t="shared" si="114"/>
        <v>488</v>
      </c>
      <c r="V271" s="214">
        <f t="shared" si="115"/>
        <v>15</v>
      </c>
      <c r="W271" s="353">
        <f t="shared" si="116"/>
        <v>73.2</v>
      </c>
      <c r="X271" s="129">
        <f t="shared" si="117"/>
        <v>73.2</v>
      </c>
      <c r="Y271" s="129" t="str">
        <f t="shared" si="118"/>
        <v/>
      </c>
      <c r="Z271" s="145"/>
      <c r="BA271" s="75" t="e">
        <f t="shared" si="124"/>
        <v>#DIV/0!</v>
      </c>
      <c r="BB271" s="78"/>
      <c r="BC271" s="132"/>
      <c r="BD271" s="133"/>
      <c r="BE271" s="132"/>
      <c r="BF271" s="134"/>
      <c r="BG271" s="135"/>
      <c r="BH271" s="135"/>
      <c r="BI271" s="136"/>
      <c r="BJ271" s="136"/>
      <c r="BK271" s="136"/>
      <c r="BL271" s="136"/>
      <c r="BM271" s="137"/>
      <c r="BN271" s="137"/>
      <c r="BO271" s="75">
        <f>LOOKUP(D271,基础数据!A:D)</f>
        <v>3.53915880885741</v>
      </c>
      <c r="BP271" s="75">
        <f t="shared" si="126"/>
        <v>1.00524445538374</v>
      </c>
      <c r="BQ271" s="75">
        <f t="shared" si="127"/>
        <v>488</v>
      </c>
      <c r="BR271" s="272">
        <f t="shared" si="109"/>
        <v>551</v>
      </c>
      <c r="BS271" s="156">
        <f t="shared" si="119"/>
        <v>63.39</v>
      </c>
      <c r="BT271" s="156"/>
      <c r="BU271" s="156">
        <f t="shared" si="120"/>
        <v>0</v>
      </c>
      <c r="BV271" s="156">
        <f t="shared" si="121"/>
        <v>0</v>
      </c>
      <c r="BW271" s="156">
        <f t="shared" si="125"/>
        <v>488</v>
      </c>
      <c r="BX271" s="156">
        <f t="shared" si="122"/>
        <v>7.58110882956879</v>
      </c>
      <c r="BY271" s="1207" t="s">
        <v>2878</v>
      </c>
      <c r="BZ271" s="272">
        <v>6</v>
      </c>
      <c r="CA271" s="186">
        <f t="shared" si="123"/>
        <v>-0.26</v>
      </c>
      <c r="CB271" s="186">
        <f t="shared" si="128"/>
        <v>-0.26</v>
      </c>
      <c r="CC271" s="186">
        <f t="shared" si="129"/>
        <v>-0.26</v>
      </c>
      <c r="CD271" s="272"/>
      <c r="CF271" s="134"/>
      <c r="CG271" s="138"/>
      <c r="CH271" s="132"/>
      <c r="CI271" s="138"/>
      <c r="CJ271" s="132"/>
      <c r="CK271" s="132"/>
      <c r="CL271" s="134"/>
      <c r="CM271" s="146"/>
    </row>
    <row r="272" ht="15" hidden="1" customHeight="1" spans="1:91">
      <c r="A272" s="123">
        <f>IF(B272="","",COUNT(A$7:A271)+1)</f>
        <v>265</v>
      </c>
      <c r="B272" s="139" t="s">
        <v>2917</v>
      </c>
      <c r="C272" s="139" t="s">
        <v>2931</v>
      </c>
      <c r="D272" s="1209">
        <v>43100</v>
      </c>
      <c r="E272" s="1210">
        <v>160</v>
      </c>
      <c r="F272" s="219" t="s">
        <v>2866</v>
      </c>
      <c r="G272" s="142"/>
      <c r="H272" s="127"/>
      <c r="I272" s="128"/>
      <c r="J272" s="128"/>
      <c r="K272" s="980">
        <v>1</v>
      </c>
      <c r="L272" s="143"/>
      <c r="M272" s="143"/>
      <c r="N272" s="144"/>
      <c r="O272" s="144"/>
      <c r="P272" s="144"/>
      <c r="Q272" s="353">
        <f t="shared" si="110"/>
        <v>1</v>
      </c>
      <c r="R272" s="129">
        <f t="shared" si="111"/>
        <v>0</v>
      </c>
      <c r="S272" s="129">
        <f t="shared" si="112"/>
        <v>0</v>
      </c>
      <c r="T272" s="129">
        <f t="shared" si="113"/>
        <v>1</v>
      </c>
      <c r="U272" s="129">
        <f t="shared" si="114"/>
        <v>171</v>
      </c>
      <c r="V272" s="214">
        <f t="shared" si="115"/>
        <v>58</v>
      </c>
      <c r="W272" s="353">
        <f t="shared" si="116"/>
        <v>99.18</v>
      </c>
      <c r="X272" s="129">
        <f t="shared" si="117"/>
        <v>99.18</v>
      </c>
      <c r="Y272" s="129" t="str">
        <f t="shared" si="118"/>
        <v/>
      </c>
      <c r="Z272" s="145"/>
      <c r="BA272" s="75" t="e">
        <f t="shared" si="124"/>
        <v>#DIV/0!</v>
      </c>
      <c r="BB272" s="78"/>
      <c r="BC272" s="132"/>
      <c r="BD272" s="133"/>
      <c r="BE272" s="132"/>
      <c r="BF272" s="134"/>
      <c r="BG272" s="135"/>
      <c r="BH272" s="135"/>
      <c r="BI272" s="136"/>
      <c r="BJ272" s="136"/>
      <c r="BK272" s="136"/>
      <c r="BL272" s="136"/>
      <c r="BM272" s="137"/>
      <c r="BN272" s="137"/>
      <c r="BO272" s="75">
        <f>LOOKUP(D272,基础数据!A:D)</f>
        <v>3.53915880885741</v>
      </c>
      <c r="BP272" s="75">
        <f t="shared" si="126"/>
        <v>1.00524445538374</v>
      </c>
      <c r="BQ272" s="75">
        <f t="shared" si="127"/>
        <v>161</v>
      </c>
      <c r="BR272" s="272">
        <f t="shared" si="109"/>
        <v>182</v>
      </c>
      <c r="BS272" s="156">
        <f t="shared" si="119"/>
        <v>20.94</v>
      </c>
      <c r="BT272" s="186">
        <v>0.06</v>
      </c>
      <c r="BU272" s="156">
        <f t="shared" ref="BU272:BU335" si="130">ROUND(BR272*BT272,2)</f>
        <v>10.92</v>
      </c>
      <c r="BV272" s="156">
        <f t="shared" ref="BV272:BV335" si="131">ROUND(BU272/(1+BV$6)*BV$6,2)</f>
        <v>0.9</v>
      </c>
      <c r="BW272" s="156">
        <f t="shared" si="125"/>
        <v>171</v>
      </c>
      <c r="BX272" s="156">
        <f t="shared" si="122"/>
        <v>7.58110882956879</v>
      </c>
      <c r="BY272" s="1207" t="s">
        <v>2919</v>
      </c>
      <c r="BZ272" s="272">
        <v>18</v>
      </c>
      <c r="CA272" s="186">
        <f t="shared" si="123"/>
        <v>0.58</v>
      </c>
      <c r="CB272" s="186">
        <f t="shared" si="128"/>
        <v>0.58</v>
      </c>
      <c r="CC272" s="186">
        <f t="shared" si="129"/>
        <v>0.58</v>
      </c>
      <c r="CD272" s="272"/>
      <c r="CF272" s="134"/>
      <c r="CG272" s="138"/>
      <c r="CH272" s="132"/>
      <c r="CI272" s="138"/>
      <c r="CJ272" s="132"/>
      <c r="CK272" s="132"/>
      <c r="CL272" s="134"/>
      <c r="CM272" s="146"/>
    </row>
    <row r="273" ht="15" hidden="1" customHeight="1" spans="1:91">
      <c r="A273" s="123">
        <f>IF(B273="","",COUNT(A$7:A272)+1)</f>
        <v>266</v>
      </c>
      <c r="B273" s="139" t="s">
        <v>2929</v>
      </c>
      <c r="C273" s="139" t="s">
        <v>2930</v>
      </c>
      <c r="D273" s="1209">
        <v>43100</v>
      </c>
      <c r="E273" s="1210">
        <v>485</v>
      </c>
      <c r="F273" s="219" t="s">
        <v>2866</v>
      </c>
      <c r="G273" s="142"/>
      <c r="H273" s="127"/>
      <c r="I273" s="128"/>
      <c r="J273" s="128"/>
      <c r="K273" s="980">
        <v>1</v>
      </c>
      <c r="L273" s="143"/>
      <c r="M273" s="143"/>
      <c r="N273" s="144"/>
      <c r="O273" s="144"/>
      <c r="P273" s="144"/>
      <c r="Q273" s="353">
        <f t="shared" si="110"/>
        <v>1</v>
      </c>
      <c r="R273" s="129">
        <f t="shared" si="111"/>
        <v>0</v>
      </c>
      <c r="S273" s="129">
        <f t="shared" si="112"/>
        <v>0</v>
      </c>
      <c r="T273" s="129">
        <f t="shared" si="113"/>
        <v>1</v>
      </c>
      <c r="U273" s="129">
        <f t="shared" si="114"/>
        <v>488</v>
      </c>
      <c r="V273" s="214">
        <f t="shared" si="115"/>
        <v>15</v>
      </c>
      <c r="W273" s="353">
        <f t="shared" si="116"/>
        <v>73.2</v>
      </c>
      <c r="X273" s="129">
        <f t="shared" si="117"/>
        <v>73.2</v>
      </c>
      <c r="Y273" s="129" t="str">
        <f t="shared" si="118"/>
        <v/>
      </c>
      <c r="Z273" s="145"/>
      <c r="BA273" s="75" t="e">
        <f t="shared" si="124"/>
        <v>#DIV/0!</v>
      </c>
      <c r="BB273" s="78"/>
      <c r="BC273" s="132"/>
      <c r="BD273" s="133"/>
      <c r="BE273" s="132"/>
      <c r="BF273" s="134"/>
      <c r="BG273" s="135"/>
      <c r="BH273" s="135"/>
      <c r="BI273" s="136"/>
      <c r="BJ273" s="136"/>
      <c r="BK273" s="136"/>
      <c r="BL273" s="136"/>
      <c r="BM273" s="137"/>
      <c r="BN273" s="137"/>
      <c r="BO273" s="75">
        <f>LOOKUP(D273,基础数据!A:D)</f>
        <v>3.53915880885741</v>
      </c>
      <c r="BP273" s="75">
        <f t="shared" si="126"/>
        <v>1.00524445538374</v>
      </c>
      <c r="BQ273" s="75">
        <f t="shared" si="127"/>
        <v>488</v>
      </c>
      <c r="BR273" s="272">
        <f t="shared" si="109"/>
        <v>551</v>
      </c>
      <c r="BS273" s="156">
        <f t="shared" si="119"/>
        <v>63.39</v>
      </c>
      <c r="BT273" s="156"/>
      <c r="BU273" s="156">
        <f t="shared" si="130"/>
        <v>0</v>
      </c>
      <c r="BV273" s="156">
        <f t="shared" si="131"/>
        <v>0</v>
      </c>
      <c r="BW273" s="156">
        <f t="shared" si="125"/>
        <v>488</v>
      </c>
      <c r="BX273" s="156">
        <f t="shared" si="122"/>
        <v>7.58110882956879</v>
      </c>
      <c r="BY273" s="1207" t="s">
        <v>2878</v>
      </c>
      <c r="BZ273" s="272">
        <v>6</v>
      </c>
      <c r="CA273" s="186">
        <f t="shared" si="123"/>
        <v>-0.26</v>
      </c>
      <c r="CB273" s="186">
        <f t="shared" si="128"/>
        <v>-0.26</v>
      </c>
      <c r="CC273" s="186">
        <f t="shared" si="129"/>
        <v>-0.26</v>
      </c>
      <c r="CD273" s="272"/>
      <c r="CF273" s="134"/>
      <c r="CG273" s="138"/>
      <c r="CH273" s="132"/>
      <c r="CI273" s="138"/>
      <c r="CJ273" s="132"/>
      <c r="CK273" s="132"/>
      <c r="CL273" s="134"/>
      <c r="CM273" s="146"/>
    </row>
    <row r="274" ht="15" hidden="1" customHeight="1" spans="1:91">
      <c r="A274" s="123">
        <f>IF(B274="","",COUNT(A$7:A273)+1)</f>
        <v>267</v>
      </c>
      <c r="B274" s="139" t="s">
        <v>2920</v>
      </c>
      <c r="C274" s="139" t="s">
        <v>2921</v>
      </c>
      <c r="D274" s="1209">
        <v>43100</v>
      </c>
      <c r="E274" s="1210">
        <v>1360</v>
      </c>
      <c r="F274" s="219" t="s">
        <v>2866</v>
      </c>
      <c r="G274" s="142"/>
      <c r="H274" s="127"/>
      <c r="I274" s="128"/>
      <c r="J274" s="128"/>
      <c r="K274" s="980">
        <v>2</v>
      </c>
      <c r="L274" s="143"/>
      <c r="M274" s="143"/>
      <c r="N274" s="144"/>
      <c r="O274" s="144"/>
      <c r="P274" s="144"/>
      <c r="Q274" s="353">
        <f t="shared" si="110"/>
        <v>2</v>
      </c>
      <c r="R274" s="129">
        <f t="shared" si="111"/>
        <v>0</v>
      </c>
      <c r="S274" s="129">
        <f t="shared" si="112"/>
        <v>0</v>
      </c>
      <c r="T274" s="129">
        <f t="shared" si="113"/>
        <v>2</v>
      </c>
      <c r="U274" s="129">
        <f t="shared" si="114"/>
        <v>1382</v>
      </c>
      <c r="V274" s="214">
        <f t="shared" si="115"/>
        <v>15</v>
      </c>
      <c r="W274" s="353">
        <f t="shared" si="116"/>
        <v>207.3</v>
      </c>
      <c r="X274" s="129">
        <f t="shared" si="117"/>
        <v>207.3</v>
      </c>
      <c r="Y274" s="129" t="str">
        <f t="shared" si="118"/>
        <v/>
      </c>
      <c r="Z274" s="145"/>
      <c r="BA274" s="75" t="e">
        <f t="shared" si="124"/>
        <v>#DIV/0!</v>
      </c>
      <c r="BB274" s="78"/>
      <c r="BC274" s="132"/>
      <c r="BD274" s="133"/>
      <c r="BE274" s="132"/>
      <c r="BF274" s="134"/>
      <c r="BG274" s="135"/>
      <c r="BH274" s="135"/>
      <c r="BI274" s="136"/>
      <c r="BJ274" s="136"/>
      <c r="BK274" s="136"/>
      <c r="BL274" s="136"/>
      <c r="BM274" s="137"/>
      <c r="BN274" s="137"/>
      <c r="BO274" s="75">
        <f>LOOKUP(D274,基础数据!A:D)</f>
        <v>3.53915880885741</v>
      </c>
      <c r="BP274" s="75">
        <f t="shared" si="126"/>
        <v>1.00524445538374</v>
      </c>
      <c r="BQ274" s="75">
        <f t="shared" si="127"/>
        <v>684</v>
      </c>
      <c r="BR274" s="272">
        <f t="shared" si="109"/>
        <v>773</v>
      </c>
      <c r="BS274" s="156">
        <f t="shared" si="119"/>
        <v>88.93</v>
      </c>
      <c r="BT274" s="186">
        <v>0.01</v>
      </c>
      <c r="BU274" s="156">
        <f t="shared" si="130"/>
        <v>7.73</v>
      </c>
      <c r="BV274" s="156">
        <f t="shared" si="131"/>
        <v>0.64</v>
      </c>
      <c r="BW274" s="156">
        <f t="shared" si="125"/>
        <v>691</v>
      </c>
      <c r="BX274" s="156">
        <f t="shared" si="122"/>
        <v>7.58110882956879</v>
      </c>
      <c r="BY274" s="1207" t="s">
        <v>2888</v>
      </c>
      <c r="BZ274" s="272">
        <v>3</v>
      </c>
      <c r="CA274" s="186">
        <f t="shared" si="123"/>
        <v>-1.53</v>
      </c>
      <c r="CB274" s="186">
        <f t="shared" si="128"/>
        <v>-1.53</v>
      </c>
      <c r="CC274" s="186">
        <f t="shared" si="129"/>
        <v>-1.53</v>
      </c>
      <c r="CD274" s="272"/>
      <c r="CF274" s="134"/>
      <c r="CG274" s="138"/>
      <c r="CH274" s="132"/>
      <c r="CI274" s="138"/>
      <c r="CJ274" s="132"/>
      <c r="CK274" s="132"/>
      <c r="CL274" s="134"/>
      <c r="CM274" s="146"/>
    </row>
    <row r="275" ht="15" hidden="1" customHeight="1" spans="1:91">
      <c r="A275" s="123">
        <f>IF(B275="","",COUNT(A$7:A274)+1)</f>
        <v>268</v>
      </c>
      <c r="B275" s="139" t="s">
        <v>2928</v>
      </c>
      <c r="C275" s="139"/>
      <c r="D275" s="1209">
        <v>43100</v>
      </c>
      <c r="E275" s="1210">
        <v>360</v>
      </c>
      <c r="F275" s="219" t="s">
        <v>2866</v>
      </c>
      <c r="G275" s="142"/>
      <c r="H275" s="127"/>
      <c r="I275" s="128"/>
      <c r="J275" s="128"/>
      <c r="K275" s="980">
        <v>1</v>
      </c>
      <c r="L275" s="143"/>
      <c r="M275" s="143"/>
      <c r="N275" s="144"/>
      <c r="O275" s="144"/>
      <c r="P275" s="144"/>
      <c r="Q275" s="353">
        <f t="shared" si="110"/>
        <v>1</v>
      </c>
      <c r="R275" s="129">
        <f t="shared" si="111"/>
        <v>0</v>
      </c>
      <c r="S275" s="129">
        <f t="shared" si="112"/>
        <v>0</v>
      </c>
      <c r="T275" s="129">
        <f t="shared" si="113"/>
        <v>1</v>
      </c>
      <c r="U275" s="129">
        <f t="shared" si="114"/>
        <v>362</v>
      </c>
      <c r="V275" s="214">
        <f t="shared" si="115"/>
        <v>15</v>
      </c>
      <c r="W275" s="353">
        <f t="shared" si="116"/>
        <v>54.3</v>
      </c>
      <c r="X275" s="129">
        <f t="shared" si="117"/>
        <v>54.3</v>
      </c>
      <c r="Y275" s="129" t="str">
        <f t="shared" si="118"/>
        <v/>
      </c>
      <c r="Z275" s="145"/>
      <c r="BA275" s="75" t="e">
        <f t="shared" si="124"/>
        <v>#DIV/0!</v>
      </c>
      <c r="BB275" s="78"/>
      <c r="BC275" s="132"/>
      <c r="BD275" s="133"/>
      <c r="BE275" s="132"/>
      <c r="BF275" s="134"/>
      <c r="BG275" s="135"/>
      <c r="BH275" s="135"/>
      <c r="BI275" s="136"/>
      <c r="BJ275" s="136"/>
      <c r="BK275" s="136"/>
      <c r="BL275" s="136"/>
      <c r="BM275" s="137"/>
      <c r="BN275" s="137"/>
      <c r="BO275" s="75">
        <f>LOOKUP(D275,基础数据!A:D)</f>
        <v>3.53915880885741</v>
      </c>
      <c r="BP275" s="75">
        <f t="shared" si="126"/>
        <v>1.00524445538374</v>
      </c>
      <c r="BQ275" s="75">
        <f t="shared" si="127"/>
        <v>362</v>
      </c>
      <c r="BR275" s="272">
        <f t="shared" si="109"/>
        <v>409</v>
      </c>
      <c r="BS275" s="156">
        <f t="shared" si="119"/>
        <v>47.05</v>
      </c>
      <c r="BT275" s="156"/>
      <c r="BU275" s="156">
        <f t="shared" si="130"/>
        <v>0</v>
      </c>
      <c r="BV275" s="156">
        <f t="shared" si="131"/>
        <v>0</v>
      </c>
      <c r="BW275" s="156">
        <f t="shared" si="125"/>
        <v>362</v>
      </c>
      <c r="BX275" s="156">
        <f t="shared" si="122"/>
        <v>7.58110882956879</v>
      </c>
      <c r="BY275" s="1207" t="s">
        <v>2878</v>
      </c>
      <c r="BZ275" s="272">
        <v>6</v>
      </c>
      <c r="CA275" s="186">
        <f t="shared" si="123"/>
        <v>-0.26</v>
      </c>
      <c r="CB275" s="186">
        <f t="shared" si="128"/>
        <v>-0.26</v>
      </c>
      <c r="CC275" s="186">
        <f t="shared" si="129"/>
        <v>-0.26</v>
      </c>
      <c r="CD275" s="272"/>
      <c r="CF275" s="134"/>
      <c r="CG275" s="138"/>
      <c r="CH275" s="132"/>
      <c r="CI275" s="138"/>
      <c r="CJ275" s="132"/>
      <c r="CK275" s="132"/>
      <c r="CL275" s="134"/>
      <c r="CM275" s="146"/>
    </row>
    <row r="276" ht="15" hidden="1" customHeight="1" spans="1:91">
      <c r="A276" s="123">
        <f>IF(B276="","",COUNT(A$7:A275)+1)</f>
        <v>269</v>
      </c>
      <c r="B276" s="139" t="s">
        <v>2917</v>
      </c>
      <c r="C276" s="139" t="s">
        <v>2918</v>
      </c>
      <c r="D276" s="1209">
        <v>43100</v>
      </c>
      <c r="E276" s="1210">
        <v>160</v>
      </c>
      <c r="F276" s="219" t="s">
        <v>2866</v>
      </c>
      <c r="G276" s="142"/>
      <c r="H276" s="127"/>
      <c r="I276" s="128"/>
      <c r="J276" s="128"/>
      <c r="K276" s="980">
        <v>1</v>
      </c>
      <c r="L276" s="143"/>
      <c r="M276" s="143"/>
      <c r="N276" s="144"/>
      <c r="O276" s="144"/>
      <c r="P276" s="144"/>
      <c r="Q276" s="353">
        <f t="shared" si="110"/>
        <v>1</v>
      </c>
      <c r="R276" s="129">
        <f t="shared" si="111"/>
        <v>0</v>
      </c>
      <c r="S276" s="129">
        <f t="shared" si="112"/>
        <v>0</v>
      </c>
      <c r="T276" s="129">
        <f t="shared" si="113"/>
        <v>1</v>
      </c>
      <c r="U276" s="129">
        <f t="shared" si="114"/>
        <v>171</v>
      </c>
      <c r="V276" s="214">
        <f t="shared" si="115"/>
        <v>58</v>
      </c>
      <c r="W276" s="353">
        <f t="shared" si="116"/>
        <v>99.18</v>
      </c>
      <c r="X276" s="129">
        <f t="shared" si="117"/>
        <v>99.18</v>
      </c>
      <c r="Y276" s="129" t="str">
        <f t="shared" si="118"/>
        <v/>
      </c>
      <c r="Z276" s="145"/>
      <c r="BA276" s="75" t="e">
        <f t="shared" si="124"/>
        <v>#DIV/0!</v>
      </c>
      <c r="BB276" s="78"/>
      <c r="BC276" s="132"/>
      <c r="BD276" s="133"/>
      <c r="BE276" s="132"/>
      <c r="BF276" s="134"/>
      <c r="BG276" s="135"/>
      <c r="BH276" s="135"/>
      <c r="BI276" s="136"/>
      <c r="BJ276" s="136"/>
      <c r="BK276" s="136"/>
      <c r="BL276" s="136"/>
      <c r="BM276" s="137"/>
      <c r="BN276" s="137"/>
      <c r="BO276" s="75">
        <f>LOOKUP(D276,基础数据!A:D)</f>
        <v>3.53915880885741</v>
      </c>
      <c r="BP276" s="75">
        <f t="shared" si="126"/>
        <v>1.00524445538374</v>
      </c>
      <c r="BQ276" s="75">
        <f t="shared" si="127"/>
        <v>161</v>
      </c>
      <c r="BR276" s="272">
        <f t="shared" si="109"/>
        <v>182</v>
      </c>
      <c r="BS276" s="156">
        <f t="shared" si="119"/>
        <v>20.94</v>
      </c>
      <c r="BT276" s="186">
        <v>0.06</v>
      </c>
      <c r="BU276" s="156">
        <f t="shared" si="130"/>
        <v>10.92</v>
      </c>
      <c r="BV276" s="156">
        <f t="shared" si="131"/>
        <v>0.9</v>
      </c>
      <c r="BW276" s="156">
        <f t="shared" si="125"/>
        <v>171</v>
      </c>
      <c r="BX276" s="156">
        <f t="shared" si="122"/>
        <v>7.58110882956879</v>
      </c>
      <c r="BY276" s="1207" t="s">
        <v>2919</v>
      </c>
      <c r="BZ276" s="272">
        <v>18</v>
      </c>
      <c r="CA276" s="186">
        <f t="shared" si="123"/>
        <v>0.58</v>
      </c>
      <c r="CB276" s="186">
        <f t="shared" si="128"/>
        <v>0.58</v>
      </c>
      <c r="CC276" s="186">
        <f t="shared" si="129"/>
        <v>0.58</v>
      </c>
      <c r="CD276" s="272"/>
      <c r="CF276" s="134"/>
      <c r="CG276" s="138"/>
      <c r="CH276" s="132"/>
      <c r="CI276" s="138"/>
      <c r="CJ276" s="132"/>
      <c r="CK276" s="132"/>
      <c r="CL276" s="134"/>
      <c r="CM276" s="146"/>
    </row>
    <row r="277" ht="15" hidden="1" customHeight="1" spans="1:91">
      <c r="A277" s="123">
        <f>IF(B277="","",COUNT(A$7:A276)+1)</f>
        <v>270</v>
      </c>
      <c r="B277" s="139" t="s">
        <v>2920</v>
      </c>
      <c r="C277" s="139" t="s">
        <v>2921</v>
      </c>
      <c r="D277" s="1209">
        <v>43100</v>
      </c>
      <c r="E277" s="1210">
        <v>2040</v>
      </c>
      <c r="F277" s="219" t="s">
        <v>2866</v>
      </c>
      <c r="G277" s="142"/>
      <c r="H277" s="127"/>
      <c r="I277" s="128"/>
      <c r="J277" s="128"/>
      <c r="K277" s="980">
        <v>3</v>
      </c>
      <c r="L277" s="143"/>
      <c r="M277" s="143"/>
      <c r="N277" s="144"/>
      <c r="O277" s="144"/>
      <c r="P277" s="144"/>
      <c r="Q277" s="353">
        <f t="shared" si="110"/>
        <v>3</v>
      </c>
      <c r="R277" s="129">
        <f t="shared" si="111"/>
        <v>0</v>
      </c>
      <c r="S277" s="129">
        <f t="shared" si="112"/>
        <v>0</v>
      </c>
      <c r="T277" s="129">
        <f t="shared" si="113"/>
        <v>3</v>
      </c>
      <c r="U277" s="129">
        <f t="shared" si="114"/>
        <v>2073</v>
      </c>
      <c r="V277" s="214">
        <f t="shared" si="115"/>
        <v>15</v>
      </c>
      <c r="W277" s="353">
        <f t="shared" si="116"/>
        <v>310.95</v>
      </c>
      <c r="X277" s="129">
        <f t="shared" si="117"/>
        <v>310.95</v>
      </c>
      <c r="Y277" s="129" t="str">
        <f t="shared" si="118"/>
        <v/>
      </c>
      <c r="Z277" s="145"/>
      <c r="BA277" s="75" t="e">
        <f t="shared" si="124"/>
        <v>#DIV/0!</v>
      </c>
      <c r="BB277" s="78"/>
      <c r="BC277" s="132"/>
      <c r="BD277" s="133"/>
      <c r="BE277" s="132"/>
      <c r="BF277" s="134"/>
      <c r="BG277" s="135"/>
      <c r="BH277" s="135"/>
      <c r="BI277" s="136"/>
      <c r="BJ277" s="136"/>
      <c r="BK277" s="136"/>
      <c r="BL277" s="136"/>
      <c r="BM277" s="137"/>
      <c r="BN277" s="137"/>
      <c r="BO277" s="75">
        <f>LOOKUP(D277,基础数据!A:D)</f>
        <v>3.53915880885741</v>
      </c>
      <c r="BP277" s="75">
        <f t="shared" si="126"/>
        <v>1.00524445538374</v>
      </c>
      <c r="BQ277" s="75">
        <f t="shared" si="127"/>
        <v>684</v>
      </c>
      <c r="BR277" s="272">
        <f t="shared" si="109"/>
        <v>773</v>
      </c>
      <c r="BS277" s="156">
        <f t="shared" si="119"/>
        <v>88.93</v>
      </c>
      <c r="BT277" s="186">
        <v>0.01</v>
      </c>
      <c r="BU277" s="156">
        <f t="shared" si="130"/>
        <v>7.73</v>
      </c>
      <c r="BV277" s="156">
        <f t="shared" si="131"/>
        <v>0.64</v>
      </c>
      <c r="BW277" s="156">
        <f t="shared" si="125"/>
        <v>691</v>
      </c>
      <c r="BX277" s="156">
        <f t="shared" si="122"/>
        <v>7.58110882956879</v>
      </c>
      <c r="BY277" s="1207" t="s">
        <v>2888</v>
      </c>
      <c r="BZ277" s="272">
        <v>3</v>
      </c>
      <c r="CA277" s="186">
        <f t="shared" si="123"/>
        <v>-1.53</v>
      </c>
      <c r="CB277" s="186">
        <f t="shared" si="128"/>
        <v>-1.53</v>
      </c>
      <c r="CC277" s="186">
        <f t="shared" si="129"/>
        <v>-1.53</v>
      </c>
      <c r="CD277" s="272"/>
      <c r="CF277" s="134"/>
      <c r="CG277" s="138"/>
      <c r="CH277" s="132"/>
      <c r="CI277" s="138"/>
      <c r="CJ277" s="132"/>
      <c r="CK277" s="132"/>
      <c r="CL277" s="134"/>
      <c r="CM277" s="146"/>
    </row>
    <row r="278" ht="15" hidden="1" customHeight="1" spans="1:91">
      <c r="A278" s="123">
        <f>IF(B278="","",COUNT(A$7:A277)+1)</f>
        <v>271</v>
      </c>
      <c r="B278" s="139" t="s">
        <v>2922</v>
      </c>
      <c r="C278" s="139" t="s">
        <v>2923</v>
      </c>
      <c r="D278" s="1209">
        <v>43100</v>
      </c>
      <c r="E278" s="1210">
        <v>380</v>
      </c>
      <c r="F278" s="219" t="s">
        <v>2866</v>
      </c>
      <c r="G278" s="142"/>
      <c r="H278" s="127"/>
      <c r="I278" s="128"/>
      <c r="J278" s="128"/>
      <c r="K278" s="980">
        <v>1</v>
      </c>
      <c r="L278" s="143"/>
      <c r="M278" s="143"/>
      <c r="N278" s="144"/>
      <c r="O278" s="144"/>
      <c r="P278" s="144"/>
      <c r="Q278" s="353">
        <f t="shared" si="110"/>
        <v>1</v>
      </c>
      <c r="R278" s="129">
        <f t="shared" si="111"/>
        <v>0</v>
      </c>
      <c r="S278" s="129">
        <f t="shared" si="112"/>
        <v>0</v>
      </c>
      <c r="T278" s="129">
        <f t="shared" si="113"/>
        <v>1</v>
      </c>
      <c r="U278" s="129">
        <f t="shared" si="114"/>
        <v>382</v>
      </c>
      <c r="V278" s="214">
        <f t="shared" si="115"/>
        <v>24</v>
      </c>
      <c r="W278" s="353">
        <f t="shared" si="116"/>
        <v>91.68</v>
      </c>
      <c r="X278" s="129">
        <f t="shared" si="117"/>
        <v>91.68</v>
      </c>
      <c r="Y278" s="129" t="str">
        <f t="shared" si="118"/>
        <v/>
      </c>
      <c r="Z278" s="145"/>
      <c r="BA278" s="75" t="e">
        <f t="shared" si="124"/>
        <v>#DIV/0!</v>
      </c>
      <c r="BB278" s="78"/>
      <c r="BC278" s="132"/>
      <c r="BD278" s="133"/>
      <c r="BE278" s="132"/>
      <c r="BF278" s="134"/>
      <c r="BG278" s="135"/>
      <c r="BH278" s="135"/>
      <c r="BI278" s="136"/>
      <c r="BJ278" s="136"/>
      <c r="BK278" s="136"/>
      <c r="BL278" s="136"/>
      <c r="BM278" s="137"/>
      <c r="BN278" s="137"/>
      <c r="BO278" s="75">
        <f>LOOKUP(D278,基础数据!A:D)</f>
        <v>3.53915880885741</v>
      </c>
      <c r="BP278" s="75">
        <f t="shared" si="126"/>
        <v>1.00524445538374</v>
      </c>
      <c r="BQ278" s="75">
        <f t="shared" si="127"/>
        <v>382</v>
      </c>
      <c r="BR278" s="272">
        <f t="shared" si="109"/>
        <v>432</v>
      </c>
      <c r="BS278" s="156">
        <f t="shared" si="119"/>
        <v>49.7</v>
      </c>
      <c r="BT278" s="156"/>
      <c r="BU278" s="156">
        <f t="shared" si="130"/>
        <v>0</v>
      </c>
      <c r="BV278" s="156">
        <f t="shared" si="131"/>
        <v>0</v>
      </c>
      <c r="BW278" s="156">
        <f t="shared" si="125"/>
        <v>382</v>
      </c>
      <c r="BX278" s="156">
        <f t="shared" si="122"/>
        <v>7.58110882956879</v>
      </c>
      <c r="BY278" s="1207" t="s">
        <v>2924</v>
      </c>
      <c r="BZ278" s="272">
        <v>10</v>
      </c>
      <c r="CA278" s="186">
        <f t="shared" si="123"/>
        <v>0.24</v>
      </c>
      <c r="CB278" s="186">
        <f t="shared" si="128"/>
        <v>0.24</v>
      </c>
      <c r="CC278" s="186">
        <f t="shared" si="129"/>
        <v>0.24</v>
      </c>
      <c r="CD278" s="272"/>
      <c r="CF278" s="134"/>
      <c r="CG278" s="138"/>
      <c r="CH278" s="132"/>
      <c r="CI278" s="138"/>
      <c r="CJ278" s="132"/>
      <c r="CK278" s="132"/>
      <c r="CL278" s="134"/>
      <c r="CM278" s="146"/>
    </row>
    <row r="279" ht="15" hidden="1" customHeight="1" spans="1:91">
      <c r="A279" s="123">
        <f>IF(B279="","",COUNT(A$7:A278)+1)</f>
        <v>272</v>
      </c>
      <c r="B279" s="139" t="s">
        <v>2925</v>
      </c>
      <c r="C279" s="139" t="s">
        <v>2926</v>
      </c>
      <c r="D279" s="1209">
        <v>43100</v>
      </c>
      <c r="E279" s="1210">
        <v>156</v>
      </c>
      <c r="F279" s="219" t="s">
        <v>2866</v>
      </c>
      <c r="G279" s="142"/>
      <c r="H279" s="127"/>
      <c r="I279" s="128"/>
      <c r="J279" s="128"/>
      <c r="K279" s="980">
        <v>2</v>
      </c>
      <c r="L279" s="143"/>
      <c r="M279" s="143"/>
      <c r="N279" s="144"/>
      <c r="O279" s="144"/>
      <c r="P279" s="144"/>
      <c r="Q279" s="353">
        <f t="shared" si="110"/>
        <v>2</v>
      </c>
      <c r="R279" s="129">
        <f t="shared" si="111"/>
        <v>0</v>
      </c>
      <c r="S279" s="129">
        <f t="shared" si="112"/>
        <v>0</v>
      </c>
      <c r="T279" s="129">
        <f t="shared" si="113"/>
        <v>2</v>
      </c>
      <c r="U279" s="129">
        <f t="shared" si="114"/>
        <v>158</v>
      </c>
      <c r="V279" s="214">
        <f t="shared" si="115"/>
        <v>15</v>
      </c>
      <c r="W279" s="353">
        <f t="shared" si="116"/>
        <v>23.7</v>
      </c>
      <c r="X279" s="129">
        <f t="shared" si="117"/>
        <v>23.7</v>
      </c>
      <c r="Y279" s="129" t="str">
        <f t="shared" si="118"/>
        <v/>
      </c>
      <c r="Z279" s="145"/>
      <c r="BA279" s="75" t="e">
        <f t="shared" si="124"/>
        <v>#DIV/0!</v>
      </c>
      <c r="BB279" s="78"/>
      <c r="BC279" s="132"/>
      <c r="BD279" s="133"/>
      <c r="BE279" s="132"/>
      <c r="BF279" s="134"/>
      <c r="BG279" s="135"/>
      <c r="BH279" s="135"/>
      <c r="BI279" s="136"/>
      <c r="BJ279" s="136"/>
      <c r="BK279" s="136"/>
      <c r="BL279" s="136"/>
      <c r="BM279" s="137"/>
      <c r="BN279" s="137"/>
      <c r="BO279" s="75">
        <f>LOOKUP(D279,基础数据!A:D)</f>
        <v>3.53915880885741</v>
      </c>
      <c r="BP279" s="75">
        <f t="shared" si="126"/>
        <v>1.00524445538374</v>
      </c>
      <c r="BQ279" s="75">
        <f t="shared" si="127"/>
        <v>78</v>
      </c>
      <c r="BR279" s="272">
        <f t="shared" si="109"/>
        <v>88</v>
      </c>
      <c r="BS279" s="156">
        <f t="shared" si="119"/>
        <v>10.12</v>
      </c>
      <c r="BT279" s="186">
        <v>0.01</v>
      </c>
      <c r="BU279" s="156">
        <f t="shared" si="130"/>
        <v>0.88</v>
      </c>
      <c r="BV279" s="156">
        <f t="shared" si="131"/>
        <v>0.07</v>
      </c>
      <c r="BW279" s="156">
        <f t="shared" si="125"/>
        <v>79</v>
      </c>
      <c r="BX279" s="156">
        <f t="shared" si="122"/>
        <v>7.58110882956879</v>
      </c>
      <c r="BY279" s="1207" t="s">
        <v>2888</v>
      </c>
      <c r="BZ279" s="272">
        <v>3</v>
      </c>
      <c r="CA279" s="186">
        <f t="shared" si="123"/>
        <v>-1.53</v>
      </c>
      <c r="CB279" s="186">
        <f t="shared" si="128"/>
        <v>-1.53</v>
      </c>
      <c r="CC279" s="186">
        <f t="shared" si="129"/>
        <v>-1.53</v>
      </c>
      <c r="CD279" s="272"/>
      <c r="CF279" s="134"/>
      <c r="CG279" s="138"/>
      <c r="CH279" s="132"/>
      <c r="CI279" s="138"/>
      <c r="CJ279" s="132"/>
      <c r="CK279" s="132"/>
      <c r="CL279" s="134"/>
      <c r="CM279" s="146"/>
    </row>
    <row r="280" ht="15" hidden="1" customHeight="1" spans="1:91">
      <c r="A280" s="123">
        <f>IF(B280="","",COUNT(A$7:A279)+1)</f>
        <v>273</v>
      </c>
      <c r="B280" s="139" t="s">
        <v>2932</v>
      </c>
      <c r="C280" s="139"/>
      <c r="D280" s="1209">
        <v>45145</v>
      </c>
      <c r="E280" s="1210">
        <v>910</v>
      </c>
      <c r="F280" s="219" t="s">
        <v>2866</v>
      </c>
      <c r="G280" s="142"/>
      <c r="H280" s="127"/>
      <c r="I280" s="128"/>
      <c r="J280" s="128"/>
      <c r="K280" s="980">
        <v>1</v>
      </c>
      <c r="L280" s="143"/>
      <c r="M280" s="143"/>
      <c r="N280" s="144"/>
      <c r="O280" s="144"/>
      <c r="P280" s="144"/>
      <c r="Q280" s="353">
        <f t="shared" si="110"/>
        <v>1</v>
      </c>
      <c r="R280" s="129">
        <f t="shared" si="111"/>
        <v>0</v>
      </c>
      <c r="S280" s="129">
        <f t="shared" si="112"/>
        <v>0</v>
      </c>
      <c r="T280" s="129">
        <f t="shared" si="113"/>
        <v>1</v>
      </c>
      <c r="U280" s="129">
        <f t="shared" si="114"/>
        <v>889</v>
      </c>
      <c r="V280" s="214">
        <f t="shared" si="115"/>
        <v>72</v>
      </c>
      <c r="W280" s="353">
        <f t="shared" si="116"/>
        <v>640.08</v>
      </c>
      <c r="X280" s="129">
        <f t="shared" si="117"/>
        <v>640.08</v>
      </c>
      <c r="Y280" s="129" t="str">
        <f t="shared" si="118"/>
        <v/>
      </c>
      <c r="Z280" s="145"/>
      <c r="BA280" s="75" t="e">
        <f t="shared" si="124"/>
        <v>#DIV/0!</v>
      </c>
      <c r="BB280" s="78"/>
      <c r="BC280" s="132"/>
      <c r="BD280" s="133"/>
      <c r="BE280" s="132"/>
      <c r="BF280" s="134"/>
      <c r="BG280" s="135"/>
      <c r="BH280" s="135"/>
      <c r="BI280" s="136"/>
      <c r="BJ280" s="136"/>
      <c r="BK280" s="136"/>
      <c r="BL280" s="136"/>
      <c r="BM280" s="137"/>
      <c r="BN280" s="137"/>
      <c r="BO280" s="75">
        <f>LOOKUP(D280,基础数据!A:D)</f>
        <v>3.71817185033308</v>
      </c>
      <c r="BP280" s="75">
        <f t="shared" si="126"/>
        <v>0.956846512892551</v>
      </c>
      <c r="BQ280" s="75">
        <f t="shared" si="127"/>
        <v>871</v>
      </c>
      <c r="BR280" s="272">
        <f t="shared" si="109"/>
        <v>984</v>
      </c>
      <c r="BS280" s="156">
        <f t="shared" si="119"/>
        <v>113.2</v>
      </c>
      <c r="BT280" s="186">
        <v>0.02</v>
      </c>
      <c r="BU280" s="156">
        <f t="shared" si="130"/>
        <v>19.68</v>
      </c>
      <c r="BV280" s="156">
        <f t="shared" si="131"/>
        <v>1.62</v>
      </c>
      <c r="BW280" s="156">
        <f t="shared" si="125"/>
        <v>889</v>
      </c>
      <c r="BX280" s="156">
        <f t="shared" si="122"/>
        <v>1.98220396988364</v>
      </c>
      <c r="BY280" s="1207" t="s">
        <v>2911</v>
      </c>
      <c r="BZ280" s="272">
        <v>7</v>
      </c>
      <c r="CA280" s="186">
        <f t="shared" si="123"/>
        <v>0.72</v>
      </c>
      <c r="CB280" s="186">
        <f t="shared" si="128"/>
        <v>0.72</v>
      </c>
      <c r="CC280" s="186">
        <f t="shared" si="129"/>
        <v>0.72</v>
      </c>
      <c r="CD280" s="272"/>
      <c r="CF280" s="134"/>
      <c r="CG280" s="138"/>
      <c r="CH280" s="132"/>
      <c r="CI280" s="138"/>
      <c r="CJ280" s="132"/>
      <c r="CK280" s="132"/>
      <c r="CL280" s="134"/>
      <c r="CM280" s="146"/>
    </row>
    <row r="281" ht="15" hidden="1" customHeight="1" spans="1:91">
      <c r="A281" s="123">
        <f>IF(B281="","",COUNT(A$7:A280)+1)</f>
        <v>274</v>
      </c>
      <c r="B281" s="139" t="s">
        <v>2927</v>
      </c>
      <c r="C281" s="139"/>
      <c r="D281" s="1209">
        <v>43100</v>
      </c>
      <c r="E281" s="1210">
        <v>116</v>
      </c>
      <c r="F281" s="219" t="s">
        <v>2866</v>
      </c>
      <c r="G281" s="142"/>
      <c r="H281" s="127"/>
      <c r="I281" s="128"/>
      <c r="J281" s="128"/>
      <c r="K281" s="980">
        <v>2</v>
      </c>
      <c r="L281" s="143"/>
      <c r="M281" s="143"/>
      <c r="N281" s="144"/>
      <c r="O281" s="144"/>
      <c r="P281" s="144"/>
      <c r="Q281" s="353">
        <f t="shared" si="110"/>
        <v>2</v>
      </c>
      <c r="R281" s="129">
        <f t="shared" si="111"/>
        <v>0</v>
      </c>
      <c r="S281" s="129">
        <f t="shared" si="112"/>
        <v>0</v>
      </c>
      <c r="T281" s="129">
        <f t="shared" si="113"/>
        <v>2</v>
      </c>
      <c r="U281" s="129">
        <f t="shared" si="114"/>
        <v>118</v>
      </c>
      <c r="V281" s="214">
        <f t="shared" si="115"/>
        <v>15</v>
      </c>
      <c r="W281" s="353">
        <f t="shared" si="116"/>
        <v>17.7</v>
      </c>
      <c r="X281" s="129">
        <f t="shared" si="117"/>
        <v>17.7</v>
      </c>
      <c r="Y281" s="129" t="str">
        <f t="shared" si="118"/>
        <v/>
      </c>
      <c r="Z281" s="145"/>
      <c r="BA281" s="75" t="e">
        <f t="shared" si="124"/>
        <v>#DIV/0!</v>
      </c>
      <c r="BB281" s="78"/>
      <c r="BC281" s="132"/>
      <c r="BD281" s="133"/>
      <c r="BE281" s="132"/>
      <c r="BF281" s="134"/>
      <c r="BG281" s="135"/>
      <c r="BH281" s="135"/>
      <c r="BI281" s="136"/>
      <c r="BJ281" s="136"/>
      <c r="BK281" s="136"/>
      <c r="BL281" s="136"/>
      <c r="BM281" s="137"/>
      <c r="BN281" s="137"/>
      <c r="BO281" s="75">
        <f>LOOKUP(D281,基础数据!A:D)</f>
        <v>3.53915880885741</v>
      </c>
      <c r="BP281" s="75">
        <f t="shared" si="126"/>
        <v>1.00524445538374</v>
      </c>
      <c r="BQ281" s="75">
        <f t="shared" si="127"/>
        <v>58</v>
      </c>
      <c r="BR281" s="272">
        <f t="shared" si="109"/>
        <v>66</v>
      </c>
      <c r="BS281" s="156">
        <f t="shared" si="119"/>
        <v>7.59</v>
      </c>
      <c r="BT281" s="186">
        <v>0.01</v>
      </c>
      <c r="BU281" s="156">
        <f t="shared" si="130"/>
        <v>0.66</v>
      </c>
      <c r="BV281" s="156">
        <f t="shared" si="131"/>
        <v>0.05</v>
      </c>
      <c r="BW281" s="156">
        <f t="shared" si="125"/>
        <v>59</v>
      </c>
      <c r="BX281" s="156">
        <f t="shared" si="122"/>
        <v>7.58110882956879</v>
      </c>
      <c r="BY281" s="1207" t="s">
        <v>2888</v>
      </c>
      <c r="BZ281" s="272">
        <v>3</v>
      </c>
      <c r="CA281" s="186">
        <f t="shared" si="123"/>
        <v>-1.53</v>
      </c>
      <c r="CB281" s="186">
        <f t="shared" si="128"/>
        <v>-1.53</v>
      </c>
      <c r="CC281" s="186">
        <f t="shared" si="129"/>
        <v>-1.53</v>
      </c>
      <c r="CD281" s="272"/>
      <c r="CF281" s="134"/>
      <c r="CG281" s="138"/>
      <c r="CH281" s="132"/>
      <c r="CI281" s="138"/>
      <c r="CJ281" s="132"/>
      <c r="CK281" s="132"/>
      <c r="CL281" s="134"/>
      <c r="CM281" s="146"/>
    </row>
    <row r="282" ht="15" hidden="1" customHeight="1" spans="1:91">
      <c r="A282" s="123">
        <f>IF(B282="","",COUNT(A$7:A281)+1)</f>
        <v>275</v>
      </c>
      <c r="B282" s="139" t="s">
        <v>2927</v>
      </c>
      <c r="C282" s="139"/>
      <c r="D282" s="1209">
        <v>43100</v>
      </c>
      <c r="E282" s="1210">
        <v>116</v>
      </c>
      <c r="F282" s="219" t="s">
        <v>2866</v>
      </c>
      <c r="G282" s="142"/>
      <c r="H282" s="127"/>
      <c r="I282" s="128"/>
      <c r="J282" s="128"/>
      <c r="K282" s="980">
        <v>2</v>
      </c>
      <c r="L282" s="143"/>
      <c r="M282" s="143"/>
      <c r="N282" s="144"/>
      <c r="O282" s="144"/>
      <c r="P282" s="144"/>
      <c r="Q282" s="353">
        <f t="shared" si="110"/>
        <v>2</v>
      </c>
      <c r="R282" s="129">
        <f t="shared" si="111"/>
        <v>0</v>
      </c>
      <c r="S282" s="129">
        <f t="shared" si="112"/>
        <v>0</v>
      </c>
      <c r="T282" s="129">
        <f t="shared" si="113"/>
        <v>2</v>
      </c>
      <c r="U282" s="129">
        <f t="shared" si="114"/>
        <v>118</v>
      </c>
      <c r="V282" s="214">
        <f t="shared" si="115"/>
        <v>15</v>
      </c>
      <c r="W282" s="353">
        <f t="shared" si="116"/>
        <v>17.7</v>
      </c>
      <c r="X282" s="129">
        <f t="shared" si="117"/>
        <v>17.7</v>
      </c>
      <c r="Y282" s="129" t="str">
        <f t="shared" si="118"/>
        <v/>
      </c>
      <c r="Z282" s="145"/>
      <c r="BA282" s="75" t="e">
        <f t="shared" si="124"/>
        <v>#DIV/0!</v>
      </c>
      <c r="BB282" s="78"/>
      <c r="BC282" s="132"/>
      <c r="BD282" s="133"/>
      <c r="BE282" s="132"/>
      <c r="BF282" s="134"/>
      <c r="BG282" s="135"/>
      <c r="BH282" s="135"/>
      <c r="BI282" s="136"/>
      <c r="BJ282" s="136"/>
      <c r="BK282" s="136"/>
      <c r="BL282" s="136"/>
      <c r="BM282" s="137"/>
      <c r="BN282" s="137"/>
      <c r="BO282" s="75">
        <f>LOOKUP(D282,基础数据!A:D)</f>
        <v>3.53915880885741</v>
      </c>
      <c r="BP282" s="75">
        <f t="shared" si="126"/>
        <v>1.00524445538374</v>
      </c>
      <c r="BQ282" s="75">
        <f t="shared" si="127"/>
        <v>58</v>
      </c>
      <c r="BR282" s="272">
        <f t="shared" si="109"/>
        <v>66</v>
      </c>
      <c r="BS282" s="156">
        <f t="shared" si="119"/>
        <v>7.59</v>
      </c>
      <c r="BT282" s="186">
        <v>0.01</v>
      </c>
      <c r="BU282" s="156">
        <f t="shared" si="130"/>
        <v>0.66</v>
      </c>
      <c r="BV282" s="156">
        <f t="shared" si="131"/>
        <v>0.05</v>
      </c>
      <c r="BW282" s="156">
        <f t="shared" si="125"/>
        <v>59</v>
      </c>
      <c r="BX282" s="156">
        <f t="shared" si="122"/>
        <v>7.58110882956879</v>
      </c>
      <c r="BY282" s="1207" t="s">
        <v>2888</v>
      </c>
      <c r="BZ282" s="272">
        <v>3</v>
      </c>
      <c r="CA282" s="186">
        <f t="shared" si="123"/>
        <v>-1.53</v>
      </c>
      <c r="CB282" s="186">
        <f t="shared" si="128"/>
        <v>-1.53</v>
      </c>
      <c r="CC282" s="186">
        <f t="shared" si="129"/>
        <v>-1.53</v>
      </c>
      <c r="CD282" s="272"/>
      <c r="CF282" s="134"/>
      <c r="CG282" s="138"/>
      <c r="CH282" s="132"/>
      <c r="CI282" s="138"/>
      <c r="CJ282" s="132"/>
      <c r="CK282" s="132"/>
      <c r="CL282" s="134"/>
      <c r="CM282" s="146"/>
    </row>
    <row r="283" ht="15" hidden="1" customHeight="1" spans="1:91">
      <c r="A283" s="123">
        <f>IF(B283="","",COUNT(A$7:A282)+1)</f>
        <v>276</v>
      </c>
      <c r="B283" s="139" t="s">
        <v>2927</v>
      </c>
      <c r="C283" s="139"/>
      <c r="D283" s="1209">
        <v>43100</v>
      </c>
      <c r="E283" s="1210">
        <v>58</v>
      </c>
      <c r="F283" s="219" t="s">
        <v>2866</v>
      </c>
      <c r="G283" s="142"/>
      <c r="H283" s="127"/>
      <c r="I283" s="128"/>
      <c r="J283" s="128"/>
      <c r="K283" s="980">
        <v>1</v>
      </c>
      <c r="L283" s="143"/>
      <c r="M283" s="143"/>
      <c r="N283" s="144"/>
      <c r="O283" s="144"/>
      <c r="P283" s="144"/>
      <c r="Q283" s="353">
        <f t="shared" si="110"/>
        <v>1</v>
      </c>
      <c r="R283" s="129">
        <f t="shared" si="111"/>
        <v>0</v>
      </c>
      <c r="S283" s="129">
        <f t="shared" si="112"/>
        <v>0</v>
      </c>
      <c r="T283" s="129">
        <f t="shared" si="113"/>
        <v>1</v>
      </c>
      <c r="U283" s="129">
        <f t="shared" si="114"/>
        <v>59</v>
      </c>
      <c r="V283" s="214">
        <f t="shared" si="115"/>
        <v>15</v>
      </c>
      <c r="W283" s="353">
        <f t="shared" si="116"/>
        <v>8.85</v>
      </c>
      <c r="X283" s="129">
        <f t="shared" si="117"/>
        <v>8.85</v>
      </c>
      <c r="Y283" s="129" t="str">
        <f t="shared" si="118"/>
        <v/>
      </c>
      <c r="Z283" s="145"/>
      <c r="BA283" s="75" t="e">
        <f t="shared" si="124"/>
        <v>#DIV/0!</v>
      </c>
      <c r="BB283" s="78"/>
      <c r="BC283" s="132"/>
      <c r="BD283" s="133"/>
      <c r="BE283" s="132"/>
      <c r="BF283" s="134"/>
      <c r="BG283" s="135"/>
      <c r="BH283" s="135"/>
      <c r="BI283" s="136"/>
      <c r="BJ283" s="136"/>
      <c r="BK283" s="136"/>
      <c r="BL283" s="136"/>
      <c r="BM283" s="137"/>
      <c r="BN283" s="137"/>
      <c r="BO283" s="75">
        <f>LOOKUP(D283,基础数据!A:D)</f>
        <v>3.53915880885741</v>
      </c>
      <c r="BP283" s="75">
        <f t="shared" si="126"/>
        <v>1.00524445538374</v>
      </c>
      <c r="BQ283" s="75">
        <f t="shared" si="127"/>
        <v>58</v>
      </c>
      <c r="BR283" s="272">
        <f t="shared" si="109"/>
        <v>66</v>
      </c>
      <c r="BS283" s="156">
        <f t="shared" si="119"/>
        <v>7.59</v>
      </c>
      <c r="BT283" s="186">
        <v>0.01</v>
      </c>
      <c r="BU283" s="156">
        <f t="shared" si="130"/>
        <v>0.66</v>
      </c>
      <c r="BV283" s="156">
        <f t="shared" si="131"/>
        <v>0.05</v>
      </c>
      <c r="BW283" s="156">
        <f t="shared" si="125"/>
        <v>59</v>
      </c>
      <c r="BX283" s="156">
        <f t="shared" si="122"/>
        <v>7.58110882956879</v>
      </c>
      <c r="BY283" s="1207" t="s">
        <v>2888</v>
      </c>
      <c r="BZ283" s="272">
        <v>3</v>
      </c>
      <c r="CA283" s="186">
        <f t="shared" si="123"/>
        <v>-1.53</v>
      </c>
      <c r="CB283" s="186">
        <f t="shared" si="128"/>
        <v>-1.53</v>
      </c>
      <c r="CC283" s="186">
        <f t="shared" si="129"/>
        <v>-1.53</v>
      </c>
      <c r="CD283" s="272"/>
      <c r="CF283" s="134"/>
      <c r="CG283" s="138"/>
      <c r="CH283" s="132"/>
      <c r="CI283" s="138"/>
      <c r="CJ283" s="132"/>
      <c r="CK283" s="132"/>
      <c r="CL283" s="134"/>
      <c r="CM283" s="146"/>
    </row>
    <row r="284" ht="15" hidden="1" customHeight="1" spans="1:91">
      <c r="A284" s="123">
        <f>IF(B284="","",COUNT(A$7:A283)+1)</f>
        <v>277</v>
      </c>
      <c r="B284" s="139" t="s">
        <v>2922</v>
      </c>
      <c r="C284" s="139" t="s">
        <v>2923</v>
      </c>
      <c r="D284" s="1209">
        <v>43100</v>
      </c>
      <c r="E284" s="1210">
        <v>760</v>
      </c>
      <c r="F284" s="219" t="s">
        <v>2866</v>
      </c>
      <c r="G284" s="142"/>
      <c r="H284" s="127"/>
      <c r="I284" s="128"/>
      <c r="J284" s="128"/>
      <c r="K284" s="980">
        <v>2</v>
      </c>
      <c r="L284" s="143"/>
      <c r="M284" s="143"/>
      <c r="N284" s="144"/>
      <c r="O284" s="144"/>
      <c r="P284" s="144"/>
      <c r="Q284" s="353">
        <f t="shared" si="110"/>
        <v>2</v>
      </c>
      <c r="R284" s="129">
        <f t="shared" si="111"/>
        <v>0</v>
      </c>
      <c r="S284" s="129">
        <f t="shared" si="112"/>
        <v>0</v>
      </c>
      <c r="T284" s="129">
        <f t="shared" si="113"/>
        <v>2</v>
      </c>
      <c r="U284" s="129">
        <f t="shared" si="114"/>
        <v>764</v>
      </c>
      <c r="V284" s="214">
        <f t="shared" si="115"/>
        <v>24</v>
      </c>
      <c r="W284" s="353">
        <f t="shared" si="116"/>
        <v>183.36</v>
      </c>
      <c r="X284" s="129">
        <f t="shared" si="117"/>
        <v>183.36</v>
      </c>
      <c r="Y284" s="129" t="str">
        <f t="shared" si="118"/>
        <v/>
      </c>
      <c r="Z284" s="145"/>
      <c r="BA284" s="75" t="e">
        <f t="shared" si="124"/>
        <v>#DIV/0!</v>
      </c>
      <c r="BB284" s="78"/>
      <c r="BC284" s="132"/>
      <c r="BD284" s="133"/>
      <c r="BE284" s="132"/>
      <c r="BF284" s="134"/>
      <c r="BG284" s="135"/>
      <c r="BH284" s="135"/>
      <c r="BI284" s="136"/>
      <c r="BJ284" s="136"/>
      <c r="BK284" s="136"/>
      <c r="BL284" s="136"/>
      <c r="BM284" s="137"/>
      <c r="BN284" s="137"/>
      <c r="BO284" s="75">
        <f>LOOKUP(D284,基础数据!A:D)</f>
        <v>3.53915880885741</v>
      </c>
      <c r="BP284" s="75">
        <f t="shared" si="126"/>
        <v>1.00524445538374</v>
      </c>
      <c r="BQ284" s="75">
        <f t="shared" si="127"/>
        <v>382</v>
      </c>
      <c r="BR284" s="272">
        <f t="shared" si="109"/>
        <v>432</v>
      </c>
      <c r="BS284" s="156">
        <f t="shared" si="119"/>
        <v>49.7</v>
      </c>
      <c r="BT284" s="156"/>
      <c r="BU284" s="156">
        <f t="shared" si="130"/>
        <v>0</v>
      </c>
      <c r="BV284" s="156">
        <f t="shared" si="131"/>
        <v>0</v>
      </c>
      <c r="BW284" s="156">
        <f t="shared" si="125"/>
        <v>382</v>
      </c>
      <c r="BX284" s="156">
        <f t="shared" si="122"/>
        <v>7.58110882956879</v>
      </c>
      <c r="BY284" s="1207" t="s">
        <v>2924</v>
      </c>
      <c r="BZ284" s="272">
        <v>10</v>
      </c>
      <c r="CA284" s="186">
        <f t="shared" si="123"/>
        <v>0.24</v>
      </c>
      <c r="CB284" s="186">
        <f t="shared" si="128"/>
        <v>0.24</v>
      </c>
      <c r="CC284" s="186">
        <f t="shared" si="129"/>
        <v>0.24</v>
      </c>
      <c r="CD284" s="272"/>
      <c r="CF284" s="134"/>
      <c r="CG284" s="138"/>
      <c r="CH284" s="132"/>
      <c r="CI284" s="138"/>
      <c r="CJ284" s="132"/>
      <c r="CK284" s="132"/>
      <c r="CL284" s="134"/>
      <c r="CM284" s="146"/>
    </row>
    <row r="285" ht="15" hidden="1" customHeight="1" spans="1:91">
      <c r="A285" s="123">
        <f>IF(B285="","",COUNT(A$7:A284)+1)</f>
        <v>278</v>
      </c>
      <c r="B285" s="139" t="s">
        <v>2920</v>
      </c>
      <c r="C285" s="139" t="s">
        <v>2921</v>
      </c>
      <c r="D285" s="1209">
        <v>43100</v>
      </c>
      <c r="E285" s="1210">
        <v>1360</v>
      </c>
      <c r="F285" s="219" t="s">
        <v>2866</v>
      </c>
      <c r="G285" s="142"/>
      <c r="H285" s="127"/>
      <c r="I285" s="128"/>
      <c r="J285" s="128"/>
      <c r="K285" s="980">
        <v>2</v>
      </c>
      <c r="L285" s="143"/>
      <c r="M285" s="143"/>
      <c r="N285" s="144"/>
      <c r="O285" s="144"/>
      <c r="P285" s="144"/>
      <c r="Q285" s="353">
        <f t="shared" si="110"/>
        <v>2</v>
      </c>
      <c r="R285" s="129">
        <f t="shared" si="111"/>
        <v>0</v>
      </c>
      <c r="S285" s="129">
        <f t="shared" si="112"/>
        <v>0</v>
      </c>
      <c r="T285" s="129">
        <f t="shared" si="113"/>
        <v>2</v>
      </c>
      <c r="U285" s="129">
        <f t="shared" si="114"/>
        <v>1382</v>
      </c>
      <c r="V285" s="214">
        <f t="shared" si="115"/>
        <v>15</v>
      </c>
      <c r="W285" s="353">
        <f t="shared" si="116"/>
        <v>207.3</v>
      </c>
      <c r="X285" s="129">
        <f t="shared" si="117"/>
        <v>207.3</v>
      </c>
      <c r="Y285" s="129" t="str">
        <f t="shared" si="118"/>
        <v/>
      </c>
      <c r="Z285" s="145"/>
      <c r="BA285" s="75" t="e">
        <f t="shared" si="124"/>
        <v>#DIV/0!</v>
      </c>
      <c r="BB285" s="78"/>
      <c r="BC285" s="132"/>
      <c r="BD285" s="133"/>
      <c r="BE285" s="132"/>
      <c r="BF285" s="134"/>
      <c r="BG285" s="135"/>
      <c r="BH285" s="135"/>
      <c r="BI285" s="136"/>
      <c r="BJ285" s="136"/>
      <c r="BK285" s="136"/>
      <c r="BL285" s="136"/>
      <c r="BM285" s="137"/>
      <c r="BN285" s="137"/>
      <c r="BO285" s="75">
        <f>LOOKUP(D285,基础数据!A:D)</f>
        <v>3.53915880885741</v>
      </c>
      <c r="BP285" s="75">
        <f t="shared" si="126"/>
        <v>1.00524445538374</v>
      </c>
      <c r="BQ285" s="75">
        <f t="shared" si="127"/>
        <v>684</v>
      </c>
      <c r="BR285" s="272">
        <f t="shared" si="109"/>
        <v>773</v>
      </c>
      <c r="BS285" s="156">
        <f t="shared" si="119"/>
        <v>88.93</v>
      </c>
      <c r="BT285" s="186">
        <v>0.01</v>
      </c>
      <c r="BU285" s="156">
        <f t="shared" si="130"/>
        <v>7.73</v>
      </c>
      <c r="BV285" s="156">
        <f t="shared" si="131"/>
        <v>0.64</v>
      </c>
      <c r="BW285" s="156">
        <f t="shared" si="125"/>
        <v>691</v>
      </c>
      <c r="BX285" s="156">
        <f t="shared" si="122"/>
        <v>7.58110882956879</v>
      </c>
      <c r="BY285" s="1207" t="s">
        <v>2888</v>
      </c>
      <c r="BZ285" s="272">
        <v>3</v>
      </c>
      <c r="CA285" s="186">
        <f t="shared" si="123"/>
        <v>-1.53</v>
      </c>
      <c r="CB285" s="186">
        <f t="shared" si="128"/>
        <v>-1.53</v>
      </c>
      <c r="CC285" s="186">
        <f t="shared" si="129"/>
        <v>-1.53</v>
      </c>
      <c r="CD285" s="272"/>
      <c r="CF285" s="134"/>
      <c r="CG285" s="138"/>
      <c r="CH285" s="132"/>
      <c r="CI285" s="138"/>
      <c r="CJ285" s="132"/>
      <c r="CK285" s="132"/>
      <c r="CL285" s="134"/>
      <c r="CM285" s="146"/>
    </row>
    <row r="286" ht="15" hidden="1" customHeight="1" spans="1:91">
      <c r="A286" s="123">
        <f>IF(B286="","",COUNT(A$7:A285)+1)</f>
        <v>279</v>
      </c>
      <c r="B286" s="139" t="s">
        <v>2917</v>
      </c>
      <c r="C286" s="139" t="s">
        <v>2933</v>
      </c>
      <c r="D286" s="1209">
        <v>43100</v>
      </c>
      <c r="E286" s="1210">
        <v>160</v>
      </c>
      <c r="F286" s="219" t="s">
        <v>2866</v>
      </c>
      <c r="G286" s="142"/>
      <c r="H286" s="127"/>
      <c r="I286" s="128"/>
      <c r="J286" s="128"/>
      <c r="K286" s="980">
        <v>1</v>
      </c>
      <c r="L286" s="143"/>
      <c r="M286" s="143"/>
      <c r="N286" s="144"/>
      <c r="O286" s="144"/>
      <c r="P286" s="144"/>
      <c r="Q286" s="353">
        <f t="shared" si="110"/>
        <v>1</v>
      </c>
      <c r="R286" s="129">
        <f t="shared" si="111"/>
        <v>0</v>
      </c>
      <c r="S286" s="129">
        <f t="shared" si="112"/>
        <v>0</v>
      </c>
      <c r="T286" s="129">
        <f t="shared" si="113"/>
        <v>1</v>
      </c>
      <c r="U286" s="129">
        <f t="shared" si="114"/>
        <v>171</v>
      </c>
      <c r="V286" s="214">
        <f t="shared" si="115"/>
        <v>58</v>
      </c>
      <c r="W286" s="353">
        <f t="shared" si="116"/>
        <v>99.18</v>
      </c>
      <c r="X286" s="129">
        <f t="shared" si="117"/>
        <v>99.18</v>
      </c>
      <c r="Y286" s="129" t="str">
        <f t="shared" si="118"/>
        <v/>
      </c>
      <c r="Z286" s="145"/>
      <c r="BA286" s="75" t="e">
        <f t="shared" si="124"/>
        <v>#DIV/0!</v>
      </c>
      <c r="BB286" s="78"/>
      <c r="BC286" s="132"/>
      <c r="BD286" s="133"/>
      <c r="BE286" s="132"/>
      <c r="BF286" s="134"/>
      <c r="BG286" s="135"/>
      <c r="BH286" s="135"/>
      <c r="BI286" s="136"/>
      <c r="BJ286" s="136"/>
      <c r="BK286" s="136"/>
      <c r="BL286" s="136"/>
      <c r="BM286" s="137"/>
      <c r="BN286" s="137"/>
      <c r="BO286" s="75">
        <f>LOOKUP(D286,基础数据!A:D)</f>
        <v>3.53915880885741</v>
      </c>
      <c r="BP286" s="75">
        <f t="shared" si="126"/>
        <v>1.00524445538374</v>
      </c>
      <c r="BQ286" s="75">
        <f t="shared" si="127"/>
        <v>161</v>
      </c>
      <c r="BR286" s="272">
        <f t="shared" si="109"/>
        <v>182</v>
      </c>
      <c r="BS286" s="156">
        <f t="shared" si="119"/>
        <v>20.94</v>
      </c>
      <c r="BT286" s="186">
        <v>0.06</v>
      </c>
      <c r="BU286" s="156">
        <f t="shared" si="130"/>
        <v>10.92</v>
      </c>
      <c r="BV286" s="156">
        <f t="shared" si="131"/>
        <v>0.9</v>
      </c>
      <c r="BW286" s="156">
        <f t="shared" si="125"/>
        <v>171</v>
      </c>
      <c r="BX286" s="156">
        <f t="shared" si="122"/>
        <v>7.58110882956879</v>
      </c>
      <c r="BY286" s="1207" t="s">
        <v>2919</v>
      </c>
      <c r="BZ286" s="272">
        <v>18</v>
      </c>
      <c r="CA286" s="186">
        <f t="shared" si="123"/>
        <v>0.58</v>
      </c>
      <c r="CB286" s="186">
        <f t="shared" si="128"/>
        <v>0.58</v>
      </c>
      <c r="CC286" s="186">
        <f t="shared" si="129"/>
        <v>0.58</v>
      </c>
      <c r="CD286" s="272"/>
      <c r="CF286" s="134"/>
      <c r="CG286" s="138"/>
      <c r="CH286" s="132"/>
      <c r="CI286" s="138"/>
      <c r="CJ286" s="132"/>
      <c r="CK286" s="132"/>
      <c r="CL286" s="134"/>
      <c r="CM286" s="146"/>
    </row>
    <row r="287" ht="15" hidden="1" customHeight="1" spans="1:91">
      <c r="A287" s="123">
        <f>IF(B287="","",COUNT(A$7:A286)+1)</f>
        <v>280</v>
      </c>
      <c r="B287" s="139" t="s">
        <v>2917</v>
      </c>
      <c r="C287" s="139" t="s">
        <v>2934</v>
      </c>
      <c r="D287" s="1209">
        <v>43100</v>
      </c>
      <c r="E287" s="1210">
        <v>120</v>
      </c>
      <c r="F287" s="219" t="s">
        <v>2866</v>
      </c>
      <c r="G287" s="142"/>
      <c r="H287" s="127"/>
      <c r="I287" s="128"/>
      <c r="J287" s="128"/>
      <c r="K287" s="980">
        <v>1</v>
      </c>
      <c r="L287" s="143"/>
      <c r="M287" s="143"/>
      <c r="N287" s="144"/>
      <c r="O287" s="144"/>
      <c r="P287" s="144"/>
      <c r="Q287" s="353">
        <f t="shared" si="110"/>
        <v>1</v>
      </c>
      <c r="R287" s="129">
        <f t="shared" si="111"/>
        <v>0</v>
      </c>
      <c r="S287" s="129">
        <f t="shared" si="112"/>
        <v>0</v>
      </c>
      <c r="T287" s="129">
        <f t="shared" si="113"/>
        <v>1</v>
      </c>
      <c r="U287" s="129">
        <f t="shared" si="114"/>
        <v>129</v>
      </c>
      <c r="V287" s="214">
        <f t="shared" si="115"/>
        <v>58</v>
      </c>
      <c r="W287" s="353">
        <f t="shared" si="116"/>
        <v>74.82</v>
      </c>
      <c r="X287" s="129">
        <f t="shared" si="117"/>
        <v>74.82</v>
      </c>
      <c r="Y287" s="129" t="str">
        <f t="shared" si="118"/>
        <v/>
      </c>
      <c r="Z287" s="145"/>
      <c r="BA287" s="75" t="e">
        <f t="shared" si="124"/>
        <v>#DIV/0!</v>
      </c>
      <c r="BB287" s="78"/>
      <c r="BC287" s="132"/>
      <c r="BD287" s="133"/>
      <c r="BE287" s="132"/>
      <c r="BF287" s="134"/>
      <c r="BG287" s="135"/>
      <c r="BH287" s="135"/>
      <c r="BI287" s="136"/>
      <c r="BJ287" s="136"/>
      <c r="BK287" s="136"/>
      <c r="BL287" s="136"/>
      <c r="BM287" s="137"/>
      <c r="BN287" s="137"/>
      <c r="BO287" s="75">
        <f>LOOKUP(D287,基础数据!A:D)</f>
        <v>3.53915880885741</v>
      </c>
      <c r="BP287" s="75">
        <f t="shared" si="126"/>
        <v>1.00524445538374</v>
      </c>
      <c r="BQ287" s="75">
        <f t="shared" si="127"/>
        <v>121</v>
      </c>
      <c r="BR287" s="272">
        <f t="shared" si="109"/>
        <v>137</v>
      </c>
      <c r="BS287" s="156">
        <f t="shared" si="119"/>
        <v>15.76</v>
      </c>
      <c r="BT287" s="186">
        <v>0.06</v>
      </c>
      <c r="BU287" s="156">
        <f t="shared" si="130"/>
        <v>8.22</v>
      </c>
      <c r="BV287" s="156">
        <f t="shared" si="131"/>
        <v>0.68</v>
      </c>
      <c r="BW287" s="156">
        <f t="shared" si="125"/>
        <v>129</v>
      </c>
      <c r="BX287" s="156">
        <f t="shared" si="122"/>
        <v>7.58110882956879</v>
      </c>
      <c r="BY287" s="1207" t="s">
        <v>2919</v>
      </c>
      <c r="BZ287" s="272">
        <v>18</v>
      </c>
      <c r="CA287" s="186">
        <f t="shared" si="123"/>
        <v>0.58</v>
      </c>
      <c r="CB287" s="186">
        <f t="shared" si="128"/>
        <v>0.58</v>
      </c>
      <c r="CC287" s="186">
        <f t="shared" si="129"/>
        <v>0.58</v>
      </c>
      <c r="CD287" s="272"/>
      <c r="CF287" s="134"/>
      <c r="CG287" s="138"/>
      <c r="CH287" s="132"/>
      <c r="CI287" s="138"/>
      <c r="CJ287" s="132"/>
      <c r="CK287" s="132"/>
      <c r="CL287" s="134"/>
      <c r="CM287" s="146"/>
    </row>
    <row r="288" ht="15" hidden="1" customHeight="1" spans="1:91">
      <c r="A288" s="123">
        <f>IF(B288="","",COUNT(A$7:A287)+1)</f>
        <v>281</v>
      </c>
      <c r="B288" s="139" t="s">
        <v>2920</v>
      </c>
      <c r="C288" s="139" t="s">
        <v>2935</v>
      </c>
      <c r="D288" s="1209">
        <v>43100</v>
      </c>
      <c r="E288" s="1210">
        <v>960</v>
      </c>
      <c r="F288" s="219" t="s">
        <v>2866</v>
      </c>
      <c r="G288" s="142"/>
      <c r="H288" s="127"/>
      <c r="I288" s="128"/>
      <c r="J288" s="128"/>
      <c r="K288" s="980">
        <v>2</v>
      </c>
      <c r="L288" s="143"/>
      <c r="M288" s="143"/>
      <c r="N288" s="144"/>
      <c r="O288" s="144"/>
      <c r="P288" s="144"/>
      <c r="Q288" s="353">
        <f t="shared" si="110"/>
        <v>2</v>
      </c>
      <c r="R288" s="129">
        <f t="shared" si="111"/>
        <v>0</v>
      </c>
      <c r="S288" s="129">
        <f t="shared" si="112"/>
        <v>0</v>
      </c>
      <c r="T288" s="129">
        <f t="shared" si="113"/>
        <v>2</v>
      </c>
      <c r="U288" s="129">
        <f t="shared" si="114"/>
        <v>976</v>
      </c>
      <c r="V288" s="214">
        <f t="shared" si="115"/>
        <v>15</v>
      </c>
      <c r="W288" s="353">
        <f t="shared" si="116"/>
        <v>146.4</v>
      </c>
      <c r="X288" s="129">
        <f t="shared" si="117"/>
        <v>146.4</v>
      </c>
      <c r="Y288" s="129" t="str">
        <f t="shared" si="118"/>
        <v/>
      </c>
      <c r="Z288" s="145"/>
      <c r="BA288" s="75" t="e">
        <f t="shared" si="124"/>
        <v>#DIV/0!</v>
      </c>
      <c r="BB288" s="78"/>
      <c r="BC288" s="132"/>
      <c r="BD288" s="133"/>
      <c r="BE288" s="132"/>
      <c r="BF288" s="134"/>
      <c r="BG288" s="135"/>
      <c r="BH288" s="135"/>
      <c r="BI288" s="136"/>
      <c r="BJ288" s="136"/>
      <c r="BK288" s="136"/>
      <c r="BL288" s="136"/>
      <c r="BM288" s="137"/>
      <c r="BN288" s="137"/>
      <c r="BO288" s="75">
        <f>LOOKUP(D288,基础数据!A:D)</f>
        <v>3.53915880885741</v>
      </c>
      <c r="BP288" s="75">
        <f t="shared" si="126"/>
        <v>1.00524445538374</v>
      </c>
      <c r="BQ288" s="75">
        <f t="shared" si="127"/>
        <v>483</v>
      </c>
      <c r="BR288" s="272">
        <f t="shared" si="109"/>
        <v>546</v>
      </c>
      <c r="BS288" s="156">
        <f t="shared" si="119"/>
        <v>62.81</v>
      </c>
      <c r="BT288" s="186">
        <v>0.01</v>
      </c>
      <c r="BU288" s="156">
        <f t="shared" si="130"/>
        <v>5.46</v>
      </c>
      <c r="BV288" s="156">
        <f t="shared" si="131"/>
        <v>0.45</v>
      </c>
      <c r="BW288" s="156">
        <f t="shared" si="125"/>
        <v>488</v>
      </c>
      <c r="BX288" s="156">
        <f t="shared" si="122"/>
        <v>7.58110882956879</v>
      </c>
      <c r="BY288" s="1207" t="s">
        <v>2888</v>
      </c>
      <c r="BZ288" s="272">
        <v>3</v>
      </c>
      <c r="CA288" s="186">
        <f t="shared" si="123"/>
        <v>-1.53</v>
      </c>
      <c r="CB288" s="186">
        <f t="shared" si="128"/>
        <v>-1.53</v>
      </c>
      <c r="CC288" s="186">
        <f t="shared" si="129"/>
        <v>-1.53</v>
      </c>
      <c r="CD288" s="272"/>
      <c r="CF288" s="134"/>
      <c r="CG288" s="138"/>
      <c r="CH288" s="132"/>
      <c r="CI288" s="138"/>
      <c r="CJ288" s="132"/>
      <c r="CK288" s="132"/>
      <c r="CL288" s="134"/>
      <c r="CM288" s="146"/>
    </row>
    <row r="289" ht="15" hidden="1" customHeight="1" spans="1:91">
      <c r="A289" s="123">
        <f>IF(B289="","",COUNT(A$7:A288)+1)</f>
        <v>282</v>
      </c>
      <c r="B289" s="139" t="s">
        <v>2917</v>
      </c>
      <c r="C289" s="139" t="s">
        <v>2931</v>
      </c>
      <c r="D289" s="1209">
        <v>43100</v>
      </c>
      <c r="E289" s="1210">
        <v>160</v>
      </c>
      <c r="F289" s="219" t="s">
        <v>2866</v>
      </c>
      <c r="G289" s="142"/>
      <c r="H289" s="127"/>
      <c r="I289" s="128"/>
      <c r="J289" s="128"/>
      <c r="K289" s="980">
        <v>1</v>
      </c>
      <c r="L289" s="143"/>
      <c r="M289" s="143"/>
      <c r="N289" s="144"/>
      <c r="O289" s="144"/>
      <c r="P289" s="144"/>
      <c r="Q289" s="353">
        <f t="shared" si="110"/>
        <v>1</v>
      </c>
      <c r="R289" s="129">
        <f t="shared" si="111"/>
        <v>0</v>
      </c>
      <c r="S289" s="129">
        <f t="shared" si="112"/>
        <v>0</v>
      </c>
      <c r="T289" s="129">
        <f t="shared" si="113"/>
        <v>1</v>
      </c>
      <c r="U289" s="129">
        <f t="shared" si="114"/>
        <v>171</v>
      </c>
      <c r="V289" s="214">
        <f t="shared" si="115"/>
        <v>58</v>
      </c>
      <c r="W289" s="353">
        <f t="shared" si="116"/>
        <v>99.18</v>
      </c>
      <c r="X289" s="129">
        <f t="shared" si="117"/>
        <v>99.18</v>
      </c>
      <c r="Y289" s="129" t="str">
        <f t="shared" si="118"/>
        <v/>
      </c>
      <c r="Z289" s="145"/>
      <c r="BA289" s="75" t="e">
        <f t="shared" si="124"/>
        <v>#DIV/0!</v>
      </c>
      <c r="BB289" s="78"/>
      <c r="BC289" s="132"/>
      <c r="BD289" s="133"/>
      <c r="BE289" s="132"/>
      <c r="BF289" s="134"/>
      <c r="BG289" s="135"/>
      <c r="BH289" s="135"/>
      <c r="BI289" s="136"/>
      <c r="BJ289" s="136"/>
      <c r="BK289" s="136"/>
      <c r="BL289" s="136"/>
      <c r="BM289" s="137"/>
      <c r="BN289" s="137"/>
      <c r="BO289" s="75">
        <f>LOOKUP(D289,基础数据!A:D)</f>
        <v>3.53915880885741</v>
      </c>
      <c r="BP289" s="75">
        <f t="shared" si="126"/>
        <v>1.00524445538374</v>
      </c>
      <c r="BQ289" s="75">
        <f t="shared" si="127"/>
        <v>161</v>
      </c>
      <c r="BR289" s="272">
        <f t="shared" si="109"/>
        <v>182</v>
      </c>
      <c r="BS289" s="156">
        <f t="shared" si="119"/>
        <v>20.94</v>
      </c>
      <c r="BT289" s="186">
        <v>0.06</v>
      </c>
      <c r="BU289" s="156">
        <f t="shared" si="130"/>
        <v>10.92</v>
      </c>
      <c r="BV289" s="156">
        <f t="shared" si="131"/>
        <v>0.9</v>
      </c>
      <c r="BW289" s="156">
        <f t="shared" si="125"/>
        <v>171</v>
      </c>
      <c r="BX289" s="156">
        <f t="shared" si="122"/>
        <v>7.58110882956879</v>
      </c>
      <c r="BY289" s="1207" t="s">
        <v>2919</v>
      </c>
      <c r="BZ289" s="272">
        <v>18</v>
      </c>
      <c r="CA289" s="186">
        <f t="shared" si="123"/>
        <v>0.58</v>
      </c>
      <c r="CB289" s="186">
        <f t="shared" si="128"/>
        <v>0.58</v>
      </c>
      <c r="CC289" s="186">
        <f t="shared" si="129"/>
        <v>0.58</v>
      </c>
      <c r="CD289" s="272"/>
      <c r="CF289" s="134"/>
      <c r="CG289" s="138"/>
      <c r="CH289" s="132"/>
      <c r="CI289" s="138"/>
      <c r="CJ289" s="132"/>
      <c r="CK289" s="132"/>
      <c r="CL289" s="134"/>
      <c r="CM289" s="146"/>
    </row>
    <row r="290" ht="15" hidden="1" customHeight="1" spans="1:91">
      <c r="A290" s="123">
        <f>IF(B290="","",COUNT(A$7:A289)+1)</f>
        <v>283</v>
      </c>
      <c r="B290" s="139" t="s">
        <v>2936</v>
      </c>
      <c r="C290" s="139" t="s">
        <v>2937</v>
      </c>
      <c r="D290" s="1209">
        <v>43100</v>
      </c>
      <c r="E290" s="1210">
        <v>960</v>
      </c>
      <c r="F290" s="219" t="s">
        <v>2866</v>
      </c>
      <c r="G290" s="142"/>
      <c r="H290" s="127"/>
      <c r="I290" s="128"/>
      <c r="J290" s="128"/>
      <c r="K290" s="980">
        <v>1</v>
      </c>
      <c r="L290" s="143"/>
      <c r="M290" s="143"/>
      <c r="N290" s="144"/>
      <c r="O290" s="144"/>
      <c r="P290" s="144"/>
      <c r="Q290" s="353">
        <f t="shared" si="110"/>
        <v>1</v>
      </c>
      <c r="R290" s="129">
        <f t="shared" si="111"/>
        <v>0</v>
      </c>
      <c r="S290" s="129">
        <f t="shared" si="112"/>
        <v>0</v>
      </c>
      <c r="T290" s="129">
        <f t="shared" si="113"/>
        <v>1</v>
      </c>
      <c r="U290" s="129">
        <f t="shared" si="114"/>
        <v>1025</v>
      </c>
      <c r="V290" s="214">
        <f t="shared" si="115"/>
        <v>58</v>
      </c>
      <c r="W290" s="353">
        <f t="shared" si="116"/>
        <v>594.5</v>
      </c>
      <c r="X290" s="129">
        <f t="shared" si="117"/>
        <v>594.5</v>
      </c>
      <c r="Y290" s="129" t="str">
        <f t="shared" si="118"/>
        <v/>
      </c>
      <c r="Z290" s="145"/>
      <c r="BA290" s="75" t="e">
        <f t="shared" si="124"/>
        <v>#DIV/0!</v>
      </c>
      <c r="BB290" s="78"/>
      <c r="BC290" s="132"/>
      <c r="BD290" s="133"/>
      <c r="BE290" s="132"/>
      <c r="BF290" s="134"/>
      <c r="BG290" s="135"/>
      <c r="BH290" s="135"/>
      <c r="BI290" s="136"/>
      <c r="BJ290" s="136"/>
      <c r="BK290" s="136"/>
      <c r="BL290" s="136"/>
      <c r="BM290" s="137"/>
      <c r="BN290" s="137"/>
      <c r="BO290" s="75">
        <f>LOOKUP(D290,基础数据!A:D)</f>
        <v>3.53915880885741</v>
      </c>
      <c r="BP290" s="75">
        <f t="shared" si="126"/>
        <v>1.00524445538374</v>
      </c>
      <c r="BQ290" s="75">
        <f t="shared" si="127"/>
        <v>965</v>
      </c>
      <c r="BR290" s="272">
        <f t="shared" si="109"/>
        <v>1090</v>
      </c>
      <c r="BS290" s="156">
        <f t="shared" si="119"/>
        <v>125.4</v>
      </c>
      <c r="BT290" s="186">
        <v>0.06</v>
      </c>
      <c r="BU290" s="156">
        <f t="shared" si="130"/>
        <v>65.4</v>
      </c>
      <c r="BV290" s="156">
        <f t="shared" si="131"/>
        <v>5.4</v>
      </c>
      <c r="BW290" s="156">
        <f t="shared" si="125"/>
        <v>1025</v>
      </c>
      <c r="BX290" s="156">
        <f t="shared" si="122"/>
        <v>7.58110882956879</v>
      </c>
      <c r="BY290" s="1207" t="s">
        <v>2919</v>
      </c>
      <c r="BZ290" s="272">
        <v>18</v>
      </c>
      <c r="CA290" s="186">
        <f t="shared" si="123"/>
        <v>0.58</v>
      </c>
      <c r="CB290" s="186">
        <f t="shared" si="128"/>
        <v>0.58</v>
      </c>
      <c r="CC290" s="186">
        <f t="shared" si="129"/>
        <v>0.58</v>
      </c>
      <c r="CD290" s="272"/>
      <c r="CF290" s="134"/>
      <c r="CG290" s="138"/>
      <c r="CH290" s="132"/>
      <c r="CI290" s="138"/>
      <c r="CJ290" s="132"/>
      <c r="CK290" s="132"/>
      <c r="CL290" s="134"/>
      <c r="CM290" s="146"/>
    </row>
    <row r="291" ht="15" hidden="1" customHeight="1" spans="1:91">
      <c r="A291" s="123">
        <f>IF(B291="","",COUNT(A$7:A290)+1)</f>
        <v>284</v>
      </c>
      <c r="B291" s="139" t="s">
        <v>2938</v>
      </c>
      <c r="C291" s="139"/>
      <c r="D291" s="1209">
        <v>43100</v>
      </c>
      <c r="E291" s="1210">
        <v>1080</v>
      </c>
      <c r="F291" s="219" t="s">
        <v>2866</v>
      </c>
      <c r="G291" s="142"/>
      <c r="H291" s="127"/>
      <c r="I291" s="128"/>
      <c r="J291" s="128"/>
      <c r="K291" s="980">
        <v>9</v>
      </c>
      <c r="L291" s="143"/>
      <c r="M291" s="143"/>
      <c r="N291" s="144"/>
      <c r="O291" s="144"/>
      <c r="P291" s="144"/>
      <c r="Q291" s="353">
        <f t="shared" si="110"/>
        <v>9</v>
      </c>
      <c r="R291" s="129">
        <f t="shared" si="111"/>
        <v>0</v>
      </c>
      <c r="S291" s="129">
        <f t="shared" si="112"/>
        <v>0</v>
      </c>
      <c r="T291" s="129">
        <f t="shared" si="113"/>
        <v>9</v>
      </c>
      <c r="U291" s="129">
        <f t="shared" si="114"/>
        <v>1107</v>
      </c>
      <c r="V291" s="214">
        <f t="shared" si="115"/>
        <v>15</v>
      </c>
      <c r="W291" s="353">
        <f t="shared" si="116"/>
        <v>166.05</v>
      </c>
      <c r="X291" s="129">
        <f t="shared" si="117"/>
        <v>166.05</v>
      </c>
      <c r="Y291" s="129" t="str">
        <f t="shared" si="118"/>
        <v/>
      </c>
      <c r="Z291" s="145"/>
      <c r="BA291" s="75" t="e">
        <f t="shared" si="124"/>
        <v>#DIV/0!</v>
      </c>
      <c r="BB291" s="78"/>
      <c r="BC291" s="132"/>
      <c r="BD291" s="133"/>
      <c r="BE291" s="132"/>
      <c r="BF291" s="134"/>
      <c r="BG291" s="135"/>
      <c r="BH291" s="135"/>
      <c r="BI291" s="136"/>
      <c r="BJ291" s="136"/>
      <c r="BK291" s="136"/>
      <c r="BL291" s="136"/>
      <c r="BM291" s="137"/>
      <c r="BN291" s="137"/>
      <c r="BO291" s="75">
        <f>LOOKUP(D291,基础数据!A:D)</f>
        <v>3.53915880885741</v>
      </c>
      <c r="BP291" s="75">
        <f t="shared" si="126"/>
        <v>1.00524445538374</v>
      </c>
      <c r="BQ291" s="75">
        <f t="shared" si="127"/>
        <v>121</v>
      </c>
      <c r="BR291" s="272">
        <f t="shared" si="109"/>
        <v>137</v>
      </c>
      <c r="BS291" s="156">
        <f t="shared" si="119"/>
        <v>15.76</v>
      </c>
      <c r="BT291" s="186">
        <v>0.01</v>
      </c>
      <c r="BU291" s="156">
        <f t="shared" si="130"/>
        <v>1.37</v>
      </c>
      <c r="BV291" s="156">
        <f t="shared" si="131"/>
        <v>0.11</v>
      </c>
      <c r="BW291" s="156">
        <f t="shared" si="125"/>
        <v>123</v>
      </c>
      <c r="BX291" s="156">
        <f t="shared" si="122"/>
        <v>7.58110882956879</v>
      </c>
      <c r="BY291" s="1207" t="s">
        <v>2888</v>
      </c>
      <c r="BZ291" s="272">
        <v>3</v>
      </c>
      <c r="CA291" s="186">
        <f t="shared" si="123"/>
        <v>-1.53</v>
      </c>
      <c r="CB291" s="186">
        <f t="shared" si="128"/>
        <v>-1.53</v>
      </c>
      <c r="CC291" s="186">
        <f t="shared" si="129"/>
        <v>-1.53</v>
      </c>
      <c r="CD291" s="272"/>
      <c r="CF291" s="134"/>
      <c r="CG291" s="138"/>
      <c r="CH291" s="132"/>
      <c r="CI291" s="138"/>
      <c r="CJ291" s="132"/>
      <c r="CK291" s="132"/>
      <c r="CL291" s="134"/>
      <c r="CM291" s="146"/>
    </row>
    <row r="292" ht="15" hidden="1" customHeight="1" spans="1:91">
      <c r="A292" s="123">
        <f>IF(B292="","",COUNT(A$7:A291)+1)</f>
        <v>285</v>
      </c>
      <c r="B292" s="139" t="s">
        <v>2927</v>
      </c>
      <c r="C292" s="139"/>
      <c r="D292" s="1209">
        <v>43100</v>
      </c>
      <c r="E292" s="1210">
        <v>58</v>
      </c>
      <c r="F292" s="219" t="s">
        <v>2866</v>
      </c>
      <c r="G292" s="142"/>
      <c r="H292" s="127"/>
      <c r="I292" s="128"/>
      <c r="J292" s="128"/>
      <c r="K292" s="980">
        <v>1</v>
      </c>
      <c r="L292" s="143"/>
      <c r="M292" s="143"/>
      <c r="N292" s="144"/>
      <c r="O292" s="144"/>
      <c r="P292" s="144"/>
      <c r="Q292" s="353">
        <f t="shared" si="110"/>
        <v>1</v>
      </c>
      <c r="R292" s="129">
        <f t="shared" si="111"/>
        <v>0</v>
      </c>
      <c r="S292" s="129">
        <f t="shared" si="112"/>
        <v>0</v>
      </c>
      <c r="T292" s="129">
        <f t="shared" si="113"/>
        <v>1</v>
      </c>
      <c r="U292" s="129">
        <f t="shared" si="114"/>
        <v>59</v>
      </c>
      <c r="V292" s="214">
        <f t="shared" si="115"/>
        <v>15</v>
      </c>
      <c r="W292" s="353">
        <f t="shared" si="116"/>
        <v>8.85</v>
      </c>
      <c r="X292" s="129">
        <f t="shared" si="117"/>
        <v>8.85</v>
      </c>
      <c r="Y292" s="129" t="str">
        <f t="shared" si="118"/>
        <v/>
      </c>
      <c r="Z292" s="145"/>
      <c r="BA292" s="75" t="e">
        <f t="shared" si="124"/>
        <v>#DIV/0!</v>
      </c>
      <c r="BB292" s="78"/>
      <c r="BC292" s="132"/>
      <c r="BD292" s="133"/>
      <c r="BE292" s="132"/>
      <c r="BF292" s="134"/>
      <c r="BG292" s="135"/>
      <c r="BH292" s="135"/>
      <c r="BI292" s="136"/>
      <c r="BJ292" s="136"/>
      <c r="BK292" s="136"/>
      <c r="BL292" s="136"/>
      <c r="BM292" s="137"/>
      <c r="BN292" s="137"/>
      <c r="BO292" s="75">
        <f>LOOKUP(D292,基础数据!A:D)</f>
        <v>3.53915880885741</v>
      </c>
      <c r="BP292" s="75">
        <f t="shared" si="126"/>
        <v>1.00524445538374</v>
      </c>
      <c r="BQ292" s="75">
        <f t="shared" si="127"/>
        <v>58</v>
      </c>
      <c r="BR292" s="272">
        <f t="shared" si="109"/>
        <v>66</v>
      </c>
      <c r="BS292" s="156">
        <f t="shared" si="119"/>
        <v>7.59</v>
      </c>
      <c r="BT292" s="186">
        <v>0.01</v>
      </c>
      <c r="BU292" s="156">
        <f t="shared" si="130"/>
        <v>0.66</v>
      </c>
      <c r="BV292" s="156">
        <f t="shared" si="131"/>
        <v>0.05</v>
      </c>
      <c r="BW292" s="156">
        <f t="shared" si="125"/>
        <v>59</v>
      </c>
      <c r="BX292" s="156">
        <f t="shared" si="122"/>
        <v>7.58110882956879</v>
      </c>
      <c r="BY292" s="1207" t="s">
        <v>2888</v>
      </c>
      <c r="BZ292" s="272">
        <v>3</v>
      </c>
      <c r="CA292" s="186">
        <f t="shared" si="123"/>
        <v>-1.53</v>
      </c>
      <c r="CB292" s="186">
        <f t="shared" si="128"/>
        <v>-1.53</v>
      </c>
      <c r="CC292" s="186">
        <f t="shared" si="129"/>
        <v>-1.53</v>
      </c>
      <c r="CD292" s="272"/>
      <c r="CF292" s="134"/>
      <c r="CG292" s="138"/>
      <c r="CH292" s="132"/>
      <c r="CI292" s="138"/>
      <c r="CJ292" s="132"/>
      <c r="CK292" s="132"/>
      <c r="CL292" s="134"/>
      <c r="CM292" s="146"/>
    </row>
    <row r="293" ht="15" hidden="1" customHeight="1" spans="1:91">
      <c r="A293" s="123">
        <f>IF(B293="","",COUNT(A$7:A292)+1)</f>
        <v>286</v>
      </c>
      <c r="B293" s="139" t="s">
        <v>2939</v>
      </c>
      <c r="C293" s="139"/>
      <c r="D293" s="1209">
        <v>43100</v>
      </c>
      <c r="E293" s="1210">
        <v>6000</v>
      </c>
      <c r="F293" s="219" t="s">
        <v>2871</v>
      </c>
      <c r="G293" s="142"/>
      <c r="H293" s="127"/>
      <c r="I293" s="128"/>
      <c r="J293" s="128"/>
      <c r="K293" s="980">
        <v>1</v>
      </c>
      <c r="L293" s="143"/>
      <c r="M293" s="143"/>
      <c r="N293" s="144"/>
      <c r="O293" s="144"/>
      <c r="P293" s="144"/>
      <c r="Q293" s="353">
        <f t="shared" si="110"/>
        <v>1</v>
      </c>
      <c r="R293" s="129">
        <f t="shared" si="111"/>
        <v>0</v>
      </c>
      <c r="S293" s="129">
        <f t="shared" si="112"/>
        <v>0</v>
      </c>
      <c r="T293" s="129">
        <f t="shared" si="113"/>
        <v>1</v>
      </c>
      <c r="U293" s="129">
        <f t="shared" si="114"/>
        <v>6031</v>
      </c>
      <c r="V293" s="214">
        <f t="shared" si="115"/>
        <v>24</v>
      </c>
      <c r="W293" s="353">
        <f t="shared" si="116"/>
        <v>1447.44</v>
      </c>
      <c r="X293" s="129">
        <f t="shared" si="117"/>
        <v>1447.44</v>
      </c>
      <c r="Y293" s="129" t="str">
        <f t="shared" si="118"/>
        <v/>
      </c>
      <c r="Z293" s="145"/>
      <c r="BA293" s="75" t="e">
        <f t="shared" si="124"/>
        <v>#DIV/0!</v>
      </c>
      <c r="BB293" s="78"/>
      <c r="BC293" s="132"/>
      <c r="BD293" s="133"/>
      <c r="BE293" s="132"/>
      <c r="BF293" s="134"/>
      <c r="BG293" s="135"/>
      <c r="BH293" s="135"/>
      <c r="BI293" s="136"/>
      <c r="BJ293" s="136"/>
      <c r="BK293" s="136"/>
      <c r="BL293" s="136"/>
      <c r="BM293" s="137"/>
      <c r="BN293" s="137"/>
      <c r="BO293" s="75">
        <f>LOOKUP(D293,基础数据!A:D)</f>
        <v>3.53915880885741</v>
      </c>
      <c r="BP293" s="75">
        <f t="shared" si="126"/>
        <v>1.00524445538374</v>
      </c>
      <c r="BQ293" s="75">
        <f t="shared" si="127"/>
        <v>6031</v>
      </c>
      <c r="BR293" s="272">
        <f t="shared" si="109"/>
        <v>6815</v>
      </c>
      <c r="BS293" s="156">
        <f t="shared" si="119"/>
        <v>784.03</v>
      </c>
      <c r="BT293" s="156"/>
      <c r="BU293" s="156">
        <f t="shared" si="130"/>
        <v>0</v>
      </c>
      <c r="BV293" s="156">
        <f t="shared" si="131"/>
        <v>0</v>
      </c>
      <c r="BW293" s="156">
        <f t="shared" si="125"/>
        <v>6031</v>
      </c>
      <c r="BX293" s="156">
        <f t="shared" si="122"/>
        <v>7.58110882956879</v>
      </c>
      <c r="BY293" s="1207" t="s">
        <v>2924</v>
      </c>
      <c r="BZ293" s="272">
        <v>10</v>
      </c>
      <c r="CA293" s="186">
        <f t="shared" si="123"/>
        <v>0.24</v>
      </c>
      <c r="CB293" s="186">
        <f t="shared" si="128"/>
        <v>0.24</v>
      </c>
      <c r="CC293" s="186">
        <f t="shared" si="129"/>
        <v>0.24</v>
      </c>
      <c r="CD293" s="272"/>
      <c r="CF293" s="134"/>
      <c r="CG293" s="138"/>
      <c r="CH293" s="132"/>
      <c r="CI293" s="138"/>
      <c r="CJ293" s="132"/>
      <c r="CK293" s="132"/>
      <c r="CL293" s="134"/>
      <c r="CM293" s="146"/>
    </row>
    <row r="294" ht="15" hidden="1" customHeight="1" spans="1:91">
      <c r="A294" s="123">
        <f>IF(B294="","",COUNT(A$7:A293)+1)</f>
        <v>287</v>
      </c>
      <c r="B294" s="139" t="s">
        <v>2940</v>
      </c>
      <c r="C294" s="139" t="s">
        <v>2941</v>
      </c>
      <c r="D294" s="1209">
        <v>43100</v>
      </c>
      <c r="E294" s="1210">
        <v>4500</v>
      </c>
      <c r="F294" s="219" t="s">
        <v>2942</v>
      </c>
      <c r="G294" s="142"/>
      <c r="H294" s="127"/>
      <c r="I294" s="128"/>
      <c r="J294" s="128"/>
      <c r="K294" s="980">
        <v>1</v>
      </c>
      <c r="L294" s="143"/>
      <c r="M294" s="143"/>
      <c r="N294" s="144"/>
      <c r="O294" s="144"/>
      <c r="P294" s="144"/>
      <c r="Q294" s="353">
        <f t="shared" si="110"/>
        <v>1</v>
      </c>
      <c r="R294" s="129">
        <f t="shared" si="111"/>
        <v>0</v>
      </c>
      <c r="S294" s="129">
        <f t="shared" si="112"/>
        <v>0</v>
      </c>
      <c r="T294" s="129">
        <f t="shared" si="113"/>
        <v>1</v>
      </c>
      <c r="U294" s="129">
        <f t="shared" si="114"/>
        <v>4524</v>
      </c>
      <c r="V294" s="214">
        <f t="shared" si="115"/>
        <v>15</v>
      </c>
      <c r="W294" s="353">
        <f t="shared" si="116"/>
        <v>678.6</v>
      </c>
      <c r="X294" s="129">
        <f t="shared" si="117"/>
        <v>678.6</v>
      </c>
      <c r="Y294" s="129" t="str">
        <f t="shared" si="118"/>
        <v/>
      </c>
      <c r="Z294" s="145"/>
      <c r="BA294" s="75" t="e">
        <f t="shared" si="124"/>
        <v>#DIV/0!</v>
      </c>
      <c r="BB294" s="78"/>
      <c r="BC294" s="132"/>
      <c r="BD294" s="133"/>
      <c r="BE294" s="132"/>
      <c r="BF294" s="134"/>
      <c r="BG294" s="135"/>
      <c r="BH294" s="135"/>
      <c r="BI294" s="136"/>
      <c r="BJ294" s="136"/>
      <c r="BK294" s="136"/>
      <c r="BL294" s="136"/>
      <c r="BM294" s="137"/>
      <c r="BN294" s="137"/>
      <c r="BO294" s="75">
        <f>LOOKUP(D294,基础数据!A:D)</f>
        <v>3.53915880885741</v>
      </c>
      <c r="BP294" s="75">
        <f t="shared" si="126"/>
        <v>1.00524445538374</v>
      </c>
      <c r="BQ294" s="75">
        <f t="shared" si="127"/>
        <v>4524</v>
      </c>
      <c r="BR294" s="272">
        <f t="shared" si="109"/>
        <v>5112</v>
      </c>
      <c r="BS294" s="156">
        <f t="shared" si="119"/>
        <v>588.11</v>
      </c>
      <c r="BT294" s="156"/>
      <c r="BU294" s="156">
        <f t="shared" si="130"/>
        <v>0</v>
      </c>
      <c r="BV294" s="156">
        <f t="shared" si="131"/>
        <v>0</v>
      </c>
      <c r="BW294" s="156">
        <f t="shared" si="125"/>
        <v>4524</v>
      </c>
      <c r="BX294" s="156">
        <f t="shared" si="122"/>
        <v>7.58110882956879</v>
      </c>
      <c r="BY294" s="1207" t="s">
        <v>2943</v>
      </c>
      <c r="BZ294" s="272">
        <v>6</v>
      </c>
      <c r="CA294" s="186">
        <f t="shared" si="123"/>
        <v>-0.26</v>
      </c>
      <c r="CB294" s="186">
        <f t="shared" si="128"/>
        <v>-0.26</v>
      </c>
      <c r="CC294" s="186">
        <f t="shared" si="129"/>
        <v>-0.26</v>
      </c>
      <c r="CD294" s="272"/>
      <c r="CF294" s="134"/>
      <c r="CG294" s="138"/>
      <c r="CH294" s="132"/>
      <c r="CI294" s="138"/>
      <c r="CJ294" s="132"/>
      <c r="CK294" s="132"/>
      <c r="CL294" s="134"/>
      <c r="CM294" s="146"/>
    </row>
    <row r="295" ht="15" hidden="1" customHeight="1" spans="1:91">
      <c r="A295" s="123">
        <f>IF(B295="","",COUNT(A$7:A294)+1)</f>
        <v>288</v>
      </c>
      <c r="B295" s="139" t="s">
        <v>2944</v>
      </c>
      <c r="C295" s="139" t="s">
        <v>2945</v>
      </c>
      <c r="D295" s="1209">
        <v>43100</v>
      </c>
      <c r="E295" s="1210">
        <v>4680</v>
      </c>
      <c r="F295" s="219" t="s">
        <v>2866</v>
      </c>
      <c r="G295" s="142"/>
      <c r="H295" s="127"/>
      <c r="I295" s="128"/>
      <c r="J295" s="128"/>
      <c r="K295" s="980">
        <v>6</v>
      </c>
      <c r="L295" s="143"/>
      <c r="M295" s="143"/>
      <c r="N295" s="144"/>
      <c r="O295" s="144"/>
      <c r="P295" s="144"/>
      <c r="Q295" s="353">
        <f t="shared" si="110"/>
        <v>6</v>
      </c>
      <c r="R295" s="129">
        <f t="shared" si="111"/>
        <v>0</v>
      </c>
      <c r="S295" s="129">
        <f t="shared" si="112"/>
        <v>0</v>
      </c>
      <c r="T295" s="129">
        <f t="shared" si="113"/>
        <v>6</v>
      </c>
      <c r="U295" s="129">
        <f t="shared" si="114"/>
        <v>4704</v>
      </c>
      <c r="V295" s="214">
        <f t="shared" si="115"/>
        <v>24</v>
      </c>
      <c r="W295" s="353">
        <f t="shared" si="116"/>
        <v>1128.96</v>
      </c>
      <c r="X295" s="129">
        <f t="shared" si="117"/>
        <v>1128.96</v>
      </c>
      <c r="Y295" s="129" t="str">
        <f t="shared" si="118"/>
        <v/>
      </c>
      <c r="Z295" s="145"/>
      <c r="BA295" s="75" t="e">
        <f t="shared" si="124"/>
        <v>#DIV/0!</v>
      </c>
      <c r="BB295" s="78"/>
      <c r="BC295" s="132"/>
      <c r="BD295" s="133"/>
      <c r="BE295" s="132"/>
      <c r="BF295" s="134"/>
      <c r="BG295" s="135"/>
      <c r="BH295" s="135"/>
      <c r="BI295" s="136"/>
      <c r="BJ295" s="136"/>
      <c r="BK295" s="136"/>
      <c r="BL295" s="136"/>
      <c r="BM295" s="137"/>
      <c r="BN295" s="137"/>
      <c r="BO295" s="75">
        <f>LOOKUP(D295,基础数据!A:D)</f>
        <v>3.53915880885741</v>
      </c>
      <c r="BP295" s="75">
        <f t="shared" si="126"/>
        <v>1.00524445538374</v>
      </c>
      <c r="BQ295" s="75">
        <f t="shared" si="127"/>
        <v>784</v>
      </c>
      <c r="BR295" s="272">
        <f t="shared" si="109"/>
        <v>886</v>
      </c>
      <c r="BS295" s="156">
        <f t="shared" si="119"/>
        <v>101.93</v>
      </c>
      <c r="BT295" s="156"/>
      <c r="BU295" s="156">
        <f t="shared" si="130"/>
        <v>0</v>
      </c>
      <c r="BV295" s="156">
        <f t="shared" si="131"/>
        <v>0</v>
      </c>
      <c r="BW295" s="156">
        <f t="shared" si="125"/>
        <v>784</v>
      </c>
      <c r="BX295" s="156">
        <f t="shared" si="122"/>
        <v>7.58110882956879</v>
      </c>
      <c r="BY295" s="1207" t="s">
        <v>2924</v>
      </c>
      <c r="BZ295" s="272">
        <v>10</v>
      </c>
      <c r="CA295" s="186">
        <f t="shared" si="123"/>
        <v>0.24</v>
      </c>
      <c r="CB295" s="186">
        <f t="shared" si="128"/>
        <v>0.24</v>
      </c>
      <c r="CC295" s="186">
        <f t="shared" si="129"/>
        <v>0.24</v>
      </c>
      <c r="CD295" s="272"/>
      <c r="CF295" s="134"/>
      <c r="CG295" s="138"/>
      <c r="CH295" s="132"/>
      <c r="CI295" s="138"/>
      <c r="CJ295" s="132"/>
      <c r="CK295" s="132"/>
      <c r="CL295" s="134"/>
      <c r="CM295" s="146"/>
    </row>
    <row r="296" ht="15" hidden="1" customHeight="1" spans="1:91">
      <c r="A296" s="123">
        <f>IF(B296="","",COUNT(A$7:A295)+1)</f>
        <v>289</v>
      </c>
      <c r="B296" s="139" t="s">
        <v>2946</v>
      </c>
      <c r="C296" s="139"/>
      <c r="D296" s="1209">
        <v>43100</v>
      </c>
      <c r="E296" s="1210">
        <v>3250</v>
      </c>
      <c r="F296" s="219" t="s">
        <v>2866</v>
      </c>
      <c r="G296" s="142"/>
      <c r="H296" s="127"/>
      <c r="I296" s="128"/>
      <c r="J296" s="128"/>
      <c r="K296" s="980">
        <v>5</v>
      </c>
      <c r="L296" s="143"/>
      <c r="M296" s="143"/>
      <c r="N296" s="144"/>
      <c r="O296" s="144"/>
      <c r="P296" s="144"/>
      <c r="Q296" s="353">
        <f t="shared" si="110"/>
        <v>5</v>
      </c>
      <c r="R296" s="129">
        <f t="shared" si="111"/>
        <v>0</v>
      </c>
      <c r="S296" s="129">
        <f t="shared" si="112"/>
        <v>0</v>
      </c>
      <c r="T296" s="129">
        <f t="shared" si="113"/>
        <v>5</v>
      </c>
      <c r="U296" s="129">
        <f t="shared" si="114"/>
        <v>3265</v>
      </c>
      <c r="V296" s="214">
        <f t="shared" si="115"/>
        <v>24</v>
      </c>
      <c r="W296" s="353">
        <f t="shared" si="116"/>
        <v>783.6</v>
      </c>
      <c r="X296" s="129">
        <f t="shared" si="117"/>
        <v>783.6</v>
      </c>
      <c r="Y296" s="129" t="str">
        <f t="shared" si="118"/>
        <v/>
      </c>
      <c r="Z296" s="145"/>
      <c r="BA296" s="75" t="e">
        <f t="shared" si="124"/>
        <v>#DIV/0!</v>
      </c>
      <c r="BB296" s="78"/>
      <c r="BC296" s="132"/>
      <c r="BD296" s="133"/>
      <c r="BE296" s="132"/>
      <c r="BF296" s="134"/>
      <c r="BG296" s="135"/>
      <c r="BH296" s="135"/>
      <c r="BI296" s="136"/>
      <c r="BJ296" s="136"/>
      <c r="BK296" s="136"/>
      <c r="BL296" s="136"/>
      <c r="BM296" s="137"/>
      <c r="BN296" s="137"/>
      <c r="BO296" s="75">
        <f>LOOKUP(D296,基础数据!A:D)</f>
        <v>3.53915880885741</v>
      </c>
      <c r="BP296" s="75">
        <f t="shared" si="126"/>
        <v>1.00524445538374</v>
      </c>
      <c r="BQ296" s="75">
        <f t="shared" si="127"/>
        <v>653</v>
      </c>
      <c r="BR296" s="272">
        <f t="shared" si="109"/>
        <v>738</v>
      </c>
      <c r="BS296" s="156">
        <f t="shared" si="119"/>
        <v>84.9</v>
      </c>
      <c r="BT296" s="156"/>
      <c r="BU296" s="156">
        <f t="shared" si="130"/>
        <v>0</v>
      </c>
      <c r="BV296" s="156">
        <f t="shared" si="131"/>
        <v>0</v>
      </c>
      <c r="BW296" s="156">
        <f t="shared" si="125"/>
        <v>653</v>
      </c>
      <c r="BX296" s="156">
        <f t="shared" si="122"/>
        <v>7.58110882956879</v>
      </c>
      <c r="BY296" s="1207" t="s">
        <v>2924</v>
      </c>
      <c r="BZ296" s="272">
        <v>10</v>
      </c>
      <c r="CA296" s="186">
        <f t="shared" si="123"/>
        <v>0.24</v>
      </c>
      <c r="CB296" s="186">
        <f t="shared" si="128"/>
        <v>0.24</v>
      </c>
      <c r="CC296" s="186">
        <f t="shared" si="129"/>
        <v>0.24</v>
      </c>
      <c r="CD296" s="272"/>
      <c r="CF296" s="134"/>
      <c r="CG296" s="138"/>
      <c r="CH296" s="132"/>
      <c r="CI296" s="138"/>
      <c r="CJ296" s="132"/>
      <c r="CK296" s="132"/>
      <c r="CL296" s="134"/>
      <c r="CM296" s="146"/>
    </row>
    <row r="297" ht="15" hidden="1" customHeight="1" spans="1:91">
      <c r="A297" s="123">
        <f>IF(B297="","",COUNT(A$7:A296)+1)</f>
        <v>290</v>
      </c>
      <c r="B297" s="139" t="s">
        <v>2947</v>
      </c>
      <c r="C297" s="139" t="s">
        <v>2948</v>
      </c>
      <c r="D297" s="1209">
        <v>45001</v>
      </c>
      <c r="E297" s="1210">
        <v>34920</v>
      </c>
      <c r="F297" s="219" t="s">
        <v>2866</v>
      </c>
      <c r="G297" s="142"/>
      <c r="H297" s="127"/>
      <c r="I297" s="128"/>
      <c r="J297" s="128"/>
      <c r="K297" s="980">
        <v>18</v>
      </c>
      <c r="L297" s="143"/>
      <c r="M297" s="143"/>
      <c r="N297" s="144"/>
      <c r="O297" s="144"/>
      <c r="P297" s="144"/>
      <c r="Q297" s="353">
        <f t="shared" si="110"/>
        <v>18</v>
      </c>
      <c r="R297" s="129">
        <f t="shared" si="111"/>
        <v>0</v>
      </c>
      <c r="S297" s="129">
        <f t="shared" si="112"/>
        <v>0</v>
      </c>
      <c r="T297" s="129">
        <f t="shared" si="113"/>
        <v>18</v>
      </c>
      <c r="U297" s="129">
        <f t="shared" si="114"/>
        <v>32616</v>
      </c>
      <c r="V297" s="214">
        <f t="shared" si="115"/>
        <v>60</v>
      </c>
      <c r="W297" s="353">
        <f t="shared" si="116"/>
        <v>19569.6</v>
      </c>
      <c r="X297" s="129">
        <f t="shared" si="117"/>
        <v>19569.6</v>
      </c>
      <c r="Y297" s="129" t="str">
        <f t="shared" si="118"/>
        <v/>
      </c>
      <c r="Z297" s="145"/>
      <c r="BA297" s="75" t="e">
        <f t="shared" si="124"/>
        <v>#DIV/0!</v>
      </c>
      <c r="BB297" s="78"/>
      <c r="BC297" s="132"/>
      <c r="BD297" s="133"/>
      <c r="BE297" s="132"/>
      <c r="BF297" s="134"/>
      <c r="BG297" s="135"/>
      <c r="BH297" s="135"/>
      <c r="BI297" s="136"/>
      <c r="BJ297" s="136"/>
      <c r="BK297" s="136"/>
      <c r="BL297" s="136"/>
      <c r="BM297" s="137"/>
      <c r="BN297" s="137"/>
      <c r="BO297" s="75">
        <f>LOOKUP(D297,基础数据!A:D)</f>
        <v>3.80882053463966</v>
      </c>
      <c r="BP297" s="75">
        <f t="shared" si="126"/>
        <v>0.9340738785066</v>
      </c>
      <c r="BQ297" s="75">
        <f t="shared" si="127"/>
        <v>1812</v>
      </c>
      <c r="BR297" s="272">
        <f t="shared" si="109"/>
        <v>2048</v>
      </c>
      <c r="BS297" s="156">
        <f t="shared" si="119"/>
        <v>235.61</v>
      </c>
      <c r="BT297" s="156"/>
      <c r="BU297" s="156">
        <f t="shared" si="130"/>
        <v>0</v>
      </c>
      <c r="BV297" s="156">
        <f t="shared" si="131"/>
        <v>0</v>
      </c>
      <c r="BW297" s="156">
        <f t="shared" si="125"/>
        <v>1812</v>
      </c>
      <c r="BX297" s="156">
        <f t="shared" si="122"/>
        <v>2.37645448323066</v>
      </c>
      <c r="BY297" s="1207" t="s">
        <v>2878</v>
      </c>
      <c r="BZ297" s="272">
        <v>6</v>
      </c>
      <c r="CA297" s="186">
        <f t="shared" si="123"/>
        <v>0.6</v>
      </c>
      <c r="CB297" s="186">
        <f t="shared" si="128"/>
        <v>0.6</v>
      </c>
      <c r="CC297" s="186">
        <f t="shared" si="129"/>
        <v>0.6</v>
      </c>
      <c r="CD297" s="272"/>
      <c r="CF297" s="134"/>
      <c r="CG297" s="138"/>
      <c r="CH297" s="132"/>
      <c r="CI297" s="138"/>
      <c r="CJ297" s="132"/>
      <c r="CK297" s="132"/>
      <c r="CL297" s="134"/>
      <c r="CM297" s="146"/>
    </row>
    <row r="298" ht="15" hidden="1" customHeight="1" spans="1:91">
      <c r="A298" s="123">
        <f>IF(B298="","",COUNT(A$7:A297)+1)</f>
        <v>291</v>
      </c>
      <c r="B298" s="139" t="s">
        <v>2857</v>
      </c>
      <c r="C298" s="139" t="s">
        <v>2949</v>
      </c>
      <c r="D298" s="1209">
        <v>43100</v>
      </c>
      <c r="E298" s="1210">
        <v>13000</v>
      </c>
      <c r="F298" s="219" t="s">
        <v>2770</v>
      </c>
      <c r="G298" s="142"/>
      <c r="H298" s="127"/>
      <c r="I298" s="128"/>
      <c r="J298" s="128"/>
      <c r="K298" s="980">
        <v>2000</v>
      </c>
      <c r="L298" s="143"/>
      <c r="M298" s="143"/>
      <c r="N298" s="144"/>
      <c r="O298" s="144"/>
      <c r="P298" s="144"/>
      <c r="Q298" s="353">
        <f t="shared" si="110"/>
        <v>2000</v>
      </c>
      <c r="R298" s="129">
        <f t="shared" si="111"/>
        <v>0</v>
      </c>
      <c r="S298" s="129">
        <f t="shared" si="112"/>
        <v>0</v>
      </c>
      <c r="T298" s="129">
        <f t="shared" si="113"/>
        <v>2000</v>
      </c>
      <c r="U298" s="129">
        <f t="shared" si="114"/>
        <v>14000</v>
      </c>
      <c r="V298" s="214">
        <f t="shared" si="115"/>
        <v>49</v>
      </c>
      <c r="W298" s="353">
        <f t="shared" si="116"/>
        <v>6860</v>
      </c>
      <c r="X298" s="129">
        <f t="shared" si="117"/>
        <v>6860</v>
      </c>
      <c r="Y298" s="129" t="str">
        <f t="shared" si="118"/>
        <v/>
      </c>
      <c r="Z298" s="145"/>
      <c r="BA298" s="75" t="e">
        <f t="shared" si="124"/>
        <v>#DIV/0!</v>
      </c>
      <c r="BB298" s="78"/>
      <c r="BC298" s="132"/>
      <c r="BD298" s="133"/>
      <c r="BE298" s="132"/>
      <c r="BF298" s="134"/>
      <c r="BG298" s="135"/>
      <c r="BH298" s="135"/>
      <c r="BI298" s="136"/>
      <c r="BJ298" s="136"/>
      <c r="BK298" s="136"/>
      <c r="BL298" s="136"/>
      <c r="BM298" s="137"/>
      <c r="BN298" s="137"/>
      <c r="BO298" s="75">
        <f>LOOKUP(D298,基础数据!A:D)</f>
        <v>3.53915880885741</v>
      </c>
      <c r="BP298" s="75">
        <f t="shared" si="126"/>
        <v>1.00524445538374</v>
      </c>
      <c r="BQ298" s="75">
        <f t="shared" si="127"/>
        <v>7</v>
      </c>
      <c r="BR298" s="272">
        <f t="shared" si="109"/>
        <v>8</v>
      </c>
      <c r="BS298" s="156">
        <f t="shared" si="119"/>
        <v>0.92</v>
      </c>
      <c r="BT298" s="156"/>
      <c r="BU298" s="156">
        <f t="shared" si="130"/>
        <v>0</v>
      </c>
      <c r="BV298" s="156">
        <f t="shared" si="131"/>
        <v>0</v>
      </c>
      <c r="BW298" s="156">
        <f t="shared" si="125"/>
        <v>7</v>
      </c>
      <c r="BX298" s="156">
        <f t="shared" si="122"/>
        <v>7.58110882956879</v>
      </c>
      <c r="BY298" s="1207" t="s">
        <v>2857</v>
      </c>
      <c r="BZ298" s="272">
        <v>15</v>
      </c>
      <c r="CA298" s="186">
        <f t="shared" si="123"/>
        <v>0.49</v>
      </c>
      <c r="CB298" s="186">
        <f t="shared" si="128"/>
        <v>0.49</v>
      </c>
      <c r="CC298" s="186">
        <f t="shared" si="129"/>
        <v>0.49</v>
      </c>
      <c r="CD298" s="272"/>
      <c r="CF298" s="134"/>
      <c r="CG298" s="138"/>
      <c r="CH298" s="132"/>
      <c r="CI298" s="138"/>
      <c r="CJ298" s="132"/>
      <c r="CK298" s="132"/>
      <c r="CL298" s="134"/>
      <c r="CM298" s="146"/>
    </row>
    <row r="299" ht="15" hidden="1" customHeight="1" spans="1:91">
      <c r="A299" s="123">
        <f>IF(B299="","",COUNT(A$7:A298)+1)</f>
        <v>292</v>
      </c>
      <c r="B299" s="139" t="s">
        <v>2940</v>
      </c>
      <c r="C299" s="139" t="s">
        <v>2950</v>
      </c>
      <c r="D299" s="1209">
        <v>43100</v>
      </c>
      <c r="E299" s="1210">
        <v>850</v>
      </c>
      <c r="F299" s="219" t="s">
        <v>2942</v>
      </c>
      <c r="G299" s="142"/>
      <c r="H299" s="127"/>
      <c r="I299" s="128"/>
      <c r="J299" s="128"/>
      <c r="K299" s="980">
        <v>1</v>
      </c>
      <c r="L299" s="143"/>
      <c r="M299" s="143"/>
      <c r="N299" s="144"/>
      <c r="O299" s="144"/>
      <c r="P299" s="144"/>
      <c r="Q299" s="353">
        <f t="shared" si="110"/>
        <v>1</v>
      </c>
      <c r="R299" s="129">
        <f t="shared" si="111"/>
        <v>0</v>
      </c>
      <c r="S299" s="129">
        <f t="shared" si="112"/>
        <v>0</v>
      </c>
      <c r="T299" s="129">
        <f t="shared" si="113"/>
        <v>1</v>
      </c>
      <c r="U299" s="129">
        <f t="shared" si="114"/>
        <v>854</v>
      </c>
      <c r="V299" s="214">
        <f t="shared" si="115"/>
        <v>15</v>
      </c>
      <c r="W299" s="353">
        <f t="shared" si="116"/>
        <v>128.1</v>
      </c>
      <c r="X299" s="129">
        <f t="shared" si="117"/>
        <v>128.1</v>
      </c>
      <c r="Y299" s="129" t="str">
        <f t="shared" si="118"/>
        <v/>
      </c>
      <c r="Z299" s="145"/>
      <c r="BA299" s="75" t="e">
        <f t="shared" si="124"/>
        <v>#DIV/0!</v>
      </c>
      <c r="BB299" s="78"/>
      <c r="BC299" s="132"/>
      <c r="BD299" s="133"/>
      <c r="BE299" s="132"/>
      <c r="BF299" s="134"/>
      <c r="BG299" s="135"/>
      <c r="BH299" s="135"/>
      <c r="BI299" s="136"/>
      <c r="BJ299" s="136"/>
      <c r="BK299" s="136"/>
      <c r="BL299" s="136"/>
      <c r="BM299" s="137"/>
      <c r="BN299" s="137"/>
      <c r="BO299" s="75">
        <f>LOOKUP(D299,基础数据!A:D)</f>
        <v>3.53915880885741</v>
      </c>
      <c r="BP299" s="75">
        <f t="shared" si="126"/>
        <v>1.00524445538374</v>
      </c>
      <c r="BQ299" s="75">
        <f t="shared" si="127"/>
        <v>854</v>
      </c>
      <c r="BR299" s="272">
        <f t="shared" si="109"/>
        <v>965</v>
      </c>
      <c r="BS299" s="156">
        <f t="shared" si="119"/>
        <v>111.02</v>
      </c>
      <c r="BT299" s="156"/>
      <c r="BU299" s="156">
        <f t="shared" si="130"/>
        <v>0</v>
      </c>
      <c r="BV299" s="156">
        <f t="shared" si="131"/>
        <v>0</v>
      </c>
      <c r="BW299" s="156">
        <f t="shared" si="125"/>
        <v>854</v>
      </c>
      <c r="BX299" s="156">
        <f t="shared" si="122"/>
        <v>7.58110882956879</v>
      </c>
      <c r="BY299" s="1207" t="s">
        <v>2943</v>
      </c>
      <c r="BZ299" s="272">
        <v>6</v>
      </c>
      <c r="CA299" s="186">
        <f t="shared" si="123"/>
        <v>-0.26</v>
      </c>
      <c r="CB299" s="186">
        <f t="shared" si="128"/>
        <v>-0.26</v>
      </c>
      <c r="CC299" s="186">
        <f t="shared" si="129"/>
        <v>-0.26</v>
      </c>
      <c r="CD299" s="272"/>
      <c r="CF299" s="134"/>
      <c r="CG299" s="138"/>
      <c r="CH299" s="132"/>
      <c r="CI299" s="138"/>
      <c r="CJ299" s="132"/>
      <c r="CK299" s="132"/>
      <c r="CL299" s="134"/>
      <c r="CM299" s="146"/>
    </row>
    <row r="300" ht="15" hidden="1" customHeight="1" spans="1:91">
      <c r="A300" s="123">
        <f>IF(B300="","",COUNT(A$7:A299)+1)</f>
        <v>293</v>
      </c>
      <c r="B300" s="139" t="s">
        <v>2940</v>
      </c>
      <c r="C300" s="139" t="s">
        <v>2950</v>
      </c>
      <c r="D300" s="1209">
        <v>43100</v>
      </c>
      <c r="E300" s="1210">
        <v>850</v>
      </c>
      <c r="F300" s="219" t="s">
        <v>2942</v>
      </c>
      <c r="G300" s="142"/>
      <c r="H300" s="127"/>
      <c r="I300" s="128"/>
      <c r="J300" s="128"/>
      <c r="K300" s="980">
        <v>1</v>
      </c>
      <c r="L300" s="143"/>
      <c r="M300" s="143"/>
      <c r="N300" s="144"/>
      <c r="O300" s="144"/>
      <c r="P300" s="144"/>
      <c r="Q300" s="353">
        <f t="shared" si="110"/>
        <v>1</v>
      </c>
      <c r="R300" s="129">
        <f t="shared" si="111"/>
        <v>0</v>
      </c>
      <c r="S300" s="129">
        <f t="shared" si="112"/>
        <v>0</v>
      </c>
      <c r="T300" s="129">
        <f t="shared" si="113"/>
        <v>1</v>
      </c>
      <c r="U300" s="129">
        <f t="shared" si="114"/>
        <v>854</v>
      </c>
      <c r="V300" s="214">
        <f t="shared" si="115"/>
        <v>15</v>
      </c>
      <c r="W300" s="353">
        <f t="shared" si="116"/>
        <v>128.1</v>
      </c>
      <c r="X300" s="129">
        <f t="shared" si="117"/>
        <v>128.1</v>
      </c>
      <c r="Y300" s="129" t="str">
        <f t="shared" si="118"/>
        <v/>
      </c>
      <c r="Z300" s="145"/>
      <c r="BA300" s="75" t="e">
        <f t="shared" si="124"/>
        <v>#DIV/0!</v>
      </c>
      <c r="BB300" s="78"/>
      <c r="BC300" s="132"/>
      <c r="BD300" s="133"/>
      <c r="BE300" s="132"/>
      <c r="BF300" s="134"/>
      <c r="BG300" s="135"/>
      <c r="BH300" s="135"/>
      <c r="BI300" s="136"/>
      <c r="BJ300" s="136"/>
      <c r="BK300" s="136"/>
      <c r="BL300" s="136"/>
      <c r="BM300" s="137"/>
      <c r="BN300" s="137"/>
      <c r="BO300" s="75">
        <f>LOOKUP(D300,基础数据!A:D)</f>
        <v>3.53915880885741</v>
      </c>
      <c r="BP300" s="75">
        <f t="shared" si="126"/>
        <v>1.00524445538374</v>
      </c>
      <c r="BQ300" s="75">
        <f t="shared" si="127"/>
        <v>854</v>
      </c>
      <c r="BR300" s="272">
        <f t="shared" si="109"/>
        <v>965</v>
      </c>
      <c r="BS300" s="156">
        <f t="shared" si="119"/>
        <v>111.02</v>
      </c>
      <c r="BT300" s="156"/>
      <c r="BU300" s="156">
        <f t="shared" si="130"/>
        <v>0</v>
      </c>
      <c r="BV300" s="156">
        <f t="shared" si="131"/>
        <v>0</v>
      </c>
      <c r="BW300" s="156">
        <f t="shared" si="125"/>
        <v>854</v>
      </c>
      <c r="BX300" s="156">
        <f t="shared" si="122"/>
        <v>7.58110882956879</v>
      </c>
      <c r="BY300" s="1207" t="s">
        <v>2943</v>
      </c>
      <c r="BZ300" s="272">
        <v>6</v>
      </c>
      <c r="CA300" s="186">
        <f t="shared" si="123"/>
        <v>-0.26</v>
      </c>
      <c r="CB300" s="186">
        <f t="shared" si="128"/>
        <v>-0.26</v>
      </c>
      <c r="CC300" s="186">
        <f t="shared" si="129"/>
        <v>-0.26</v>
      </c>
      <c r="CD300" s="272"/>
      <c r="CF300" s="134"/>
      <c r="CG300" s="138"/>
      <c r="CH300" s="132"/>
      <c r="CI300" s="138"/>
      <c r="CJ300" s="132"/>
      <c r="CK300" s="132"/>
      <c r="CL300" s="134"/>
      <c r="CM300" s="146"/>
    </row>
    <row r="301" ht="15" hidden="1" customHeight="1" spans="1:91">
      <c r="A301" s="123">
        <f>IF(B301="","",COUNT(A$7:A300)+1)</f>
        <v>294</v>
      </c>
      <c r="B301" s="139" t="s">
        <v>2940</v>
      </c>
      <c r="C301" s="139" t="s">
        <v>2950</v>
      </c>
      <c r="D301" s="1209">
        <v>43100</v>
      </c>
      <c r="E301" s="1210">
        <v>850</v>
      </c>
      <c r="F301" s="219" t="s">
        <v>2942</v>
      </c>
      <c r="G301" s="142"/>
      <c r="H301" s="127"/>
      <c r="I301" s="128"/>
      <c r="J301" s="128"/>
      <c r="K301" s="980">
        <v>1</v>
      </c>
      <c r="L301" s="143"/>
      <c r="M301" s="143"/>
      <c r="N301" s="144"/>
      <c r="O301" s="144"/>
      <c r="P301" s="144"/>
      <c r="Q301" s="353">
        <f t="shared" si="110"/>
        <v>1</v>
      </c>
      <c r="R301" s="129">
        <f t="shared" si="111"/>
        <v>0</v>
      </c>
      <c r="S301" s="129">
        <f t="shared" si="112"/>
        <v>0</v>
      </c>
      <c r="T301" s="129">
        <f t="shared" si="113"/>
        <v>1</v>
      </c>
      <c r="U301" s="129">
        <f t="shared" si="114"/>
        <v>854</v>
      </c>
      <c r="V301" s="214">
        <f t="shared" si="115"/>
        <v>15</v>
      </c>
      <c r="W301" s="353">
        <f t="shared" si="116"/>
        <v>128.1</v>
      </c>
      <c r="X301" s="129">
        <f t="shared" si="117"/>
        <v>128.1</v>
      </c>
      <c r="Y301" s="129" t="str">
        <f t="shared" si="118"/>
        <v/>
      </c>
      <c r="Z301" s="145"/>
      <c r="BA301" s="75" t="e">
        <f t="shared" si="124"/>
        <v>#DIV/0!</v>
      </c>
      <c r="BB301" s="78"/>
      <c r="BC301" s="132"/>
      <c r="BD301" s="133"/>
      <c r="BE301" s="132"/>
      <c r="BF301" s="134"/>
      <c r="BG301" s="135"/>
      <c r="BH301" s="135"/>
      <c r="BI301" s="136"/>
      <c r="BJ301" s="136"/>
      <c r="BK301" s="136"/>
      <c r="BL301" s="136"/>
      <c r="BM301" s="137"/>
      <c r="BN301" s="137"/>
      <c r="BO301" s="75">
        <f>LOOKUP(D301,基础数据!A:D)</f>
        <v>3.53915880885741</v>
      </c>
      <c r="BP301" s="75">
        <f t="shared" si="126"/>
        <v>1.00524445538374</v>
      </c>
      <c r="BQ301" s="75">
        <f t="shared" si="127"/>
        <v>854</v>
      </c>
      <c r="BR301" s="272">
        <f t="shared" si="109"/>
        <v>965</v>
      </c>
      <c r="BS301" s="156">
        <f t="shared" si="119"/>
        <v>111.02</v>
      </c>
      <c r="BT301" s="156"/>
      <c r="BU301" s="156">
        <f t="shared" si="130"/>
        <v>0</v>
      </c>
      <c r="BV301" s="156">
        <f t="shared" si="131"/>
        <v>0</v>
      </c>
      <c r="BW301" s="156">
        <f t="shared" si="125"/>
        <v>854</v>
      </c>
      <c r="BX301" s="156">
        <f t="shared" si="122"/>
        <v>7.58110882956879</v>
      </c>
      <c r="BY301" s="1207" t="s">
        <v>2943</v>
      </c>
      <c r="BZ301" s="272">
        <v>6</v>
      </c>
      <c r="CA301" s="186">
        <f t="shared" si="123"/>
        <v>-0.26</v>
      </c>
      <c r="CB301" s="186">
        <f t="shared" si="128"/>
        <v>-0.26</v>
      </c>
      <c r="CC301" s="186">
        <f t="shared" si="129"/>
        <v>-0.26</v>
      </c>
      <c r="CD301" s="272"/>
      <c r="CF301" s="134"/>
      <c r="CG301" s="138"/>
      <c r="CH301" s="132"/>
      <c r="CI301" s="138"/>
      <c r="CJ301" s="132"/>
      <c r="CK301" s="132"/>
      <c r="CL301" s="134"/>
      <c r="CM301" s="146"/>
    </row>
    <row r="302" ht="15" hidden="1" customHeight="1" spans="1:91">
      <c r="A302" s="123">
        <f>IF(B302="","",COUNT(A$7:A301)+1)</f>
        <v>295</v>
      </c>
      <c r="B302" s="139" t="s">
        <v>2940</v>
      </c>
      <c r="C302" s="139" t="s">
        <v>2950</v>
      </c>
      <c r="D302" s="1209">
        <v>43100</v>
      </c>
      <c r="E302" s="1210">
        <v>850</v>
      </c>
      <c r="F302" s="219" t="s">
        <v>2942</v>
      </c>
      <c r="G302" s="142"/>
      <c r="H302" s="127"/>
      <c r="I302" s="128"/>
      <c r="J302" s="128"/>
      <c r="K302" s="980">
        <v>1</v>
      </c>
      <c r="L302" s="143"/>
      <c r="M302" s="143"/>
      <c r="N302" s="144"/>
      <c r="O302" s="144"/>
      <c r="P302" s="144"/>
      <c r="Q302" s="353">
        <f t="shared" si="110"/>
        <v>1</v>
      </c>
      <c r="R302" s="129">
        <f t="shared" si="111"/>
        <v>0</v>
      </c>
      <c r="S302" s="129">
        <f t="shared" si="112"/>
        <v>0</v>
      </c>
      <c r="T302" s="129">
        <f t="shared" si="113"/>
        <v>1</v>
      </c>
      <c r="U302" s="129">
        <f t="shared" si="114"/>
        <v>854</v>
      </c>
      <c r="V302" s="214">
        <f t="shared" si="115"/>
        <v>15</v>
      </c>
      <c r="W302" s="353">
        <f t="shared" si="116"/>
        <v>128.1</v>
      </c>
      <c r="X302" s="129">
        <f t="shared" si="117"/>
        <v>128.1</v>
      </c>
      <c r="Y302" s="129" t="str">
        <f t="shared" si="118"/>
        <v/>
      </c>
      <c r="Z302" s="145"/>
      <c r="BA302" s="75" t="e">
        <f t="shared" si="124"/>
        <v>#DIV/0!</v>
      </c>
      <c r="BB302" s="78"/>
      <c r="BC302" s="132"/>
      <c r="BD302" s="133"/>
      <c r="BE302" s="132"/>
      <c r="BF302" s="134"/>
      <c r="BG302" s="135"/>
      <c r="BH302" s="135"/>
      <c r="BI302" s="136"/>
      <c r="BJ302" s="136"/>
      <c r="BK302" s="136"/>
      <c r="BL302" s="136"/>
      <c r="BM302" s="137"/>
      <c r="BN302" s="137"/>
      <c r="BO302" s="75">
        <f>LOOKUP(D302,基础数据!A:D)</f>
        <v>3.53915880885741</v>
      </c>
      <c r="BP302" s="75">
        <f t="shared" si="126"/>
        <v>1.00524445538374</v>
      </c>
      <c r="BQ302" s="75">
        <f t="shared" si="127"/>
        <v>854</v>
      </c>
      <c r="BR302" s="272">
        <f t="shared" si="109"/>
        <v>965</v>
      </c>
      <c r="BS302" s="156">
        <f t="shared" si="119"/>
        <v>111.02</v>
      </c>
      <c r="BT302" s="156"/>
      <c r="BU302" s="156">
        <f t="shared" si="130"/>
        <v>0</v>
      </c>
      <c r="BV302" s="156">
        <f t="shared" si="131"/>
        <v>0</v>
      </c>
      <c r="BW302" s="156">
        <f t="shared" si="125"/>
        <v>854</v>
      </c>
      <c r="BX302" s="156">
        <f t="shared" si="122"/>
        <v>7.58110882956879</v>
      </c>
      <c r="BY302" s="1207" t="s">
        <v>2943</v>
      </c>
      <c r="BZ302" s="272">
        <v>6</v>
      </c>
      <c r="CA302" s="186">
        <f t="shared" si="123"/>
        <v>-0.26</v>
      </c>
      <c r="CB302" s="186">
        <f t="shared" si="128"/>
        <v>-0.26</v>
      </c>
      <c r="CC302" s="186">
        <f t="shared" si="129"/>
        <v>-0.26</v>
      </c>
      <c r="CD302" s="272"/>
      <c r="CF302" s="134"/>
      <c r="CG302" s="138"/>
      <c r="CH302" s="132"/>
      <c r="CI302" s="138"/>
      <c r="CJ302" s="132"/>
      <c r="CK302" s="132"/>
      <c r="CL302" s="134"/>
      <c r="CM302" s="146"/>
    </row>
    <row r="303" ht="15" hidden="1" customHeight="1" spans="1:91">
      <c r="A303" s="123">
        <f>IF(B303="","",COUNT(A$7:A302)+1)</f>
        <v>296</v>
      </c>
      <c r="B303" s="139" t="s">
        <v>2951</v>
      </c>
      <c r="C303" s="139" t="s">
        <v>2952</v>
      </c>
      <c r="D303" s="1209">
        <v>43100</v>
      </c>
      <c r="E303" s="1210">
        <v>19600</v>
      </c>
      <c r="F303" s="219" t="s">
        <v>2942</v>
      </c>
      <c r="G303" s="142"/>
      <c r="H303" s="127"/>
      <c r="I303" s="128"/>
      <c r="J303" s="128"/>
      <c r="K303" s="980">
        <v>2</v>
      </c>
      <c r="L303" s="143"/>
      <c r="M303" s="143"/>
      <c r="N303" s="144"/>
      <c r="O303" s="144"/>
      <c r="P303" s="144"/>
      <c r="Q303" s="353">
        <f t="shared" si="110"/>
        <v>2</v>
      </c>
      <c r="R303" s="129">
        <f t="shared" si="111"/>
        <v>0</v>
      </c>
      <c r="S303" s="129">
        <f t="shared" si="112"/>
        <v>0</v>
      </c>
      <c r="T303" s="129">
        <f t="shared" si="113"/>
        <v>2</v>
      </c>
      <c r="U303" s="129">
        <f t="shared" si="114"/>
        <v>13550</v>
      </c>
      <c r="V303" s="214">
        <f t="shared" si="115"/>
        <v>15</v>
      </c>
      <c r="W303" s="353">
        <f t="shared" si="116"/>
        <v>2032.5</v>
      </c>
      <c r="X303" s="129">
        <f t="shared" si="117"/>
        <v>2032.5</v>
      </c>
      <c r="Y303" s="129" t="str">
        <f t="shared" si="118"/>
        <v/>
      </c>
      <c r="Z303" s="145"/>
      <c r="BA303" s="75" t="e">
        <f t="shared" si="124"/>
        <v>#DIV/0!</v>
      </c>
      <c r="BB303" s="78"/>
      <c r="BC303" s="132"/>
      <c r="BD303" s="133"/>
      <c r="BE303" s="132"/>
      <c r="BF303" s="134"/>
      <c r="BG303" s="135"/>
      <c r="BH303" s="135"/>
      <c r="BI303" s="136"/>
      <c r="BJ303" s="136"/>
      <c r="BK303" s="136"/>
      <c r="BL303" s="136"/>
      <c r="BM303" s="137"/>
      <c r="BN303" s="137"/>
      <c r="BO303" s="75">
        <f>LOOKUP(D303,基础数据!A:D)</f>
        <v>3.53915880885741</v>
      </c>
      <c r="BP303" s="75">
        <f t="shared" si="126"/>
        <v>1.00524445538374</v>
      </c>
      <c r="BQ303" s="75">
        <f t="shared" si="127"/>
        <v>9851</v>
      </c>
      <c r="BR303" s="272">
        <v>7500</v>
      </c>
      <c r="BS303" s="156">
        <f t="shared" si="119"/>
        <v>862.83</v>
      </c>
      <c r="BT303" s="186">
        <v>0.02</v>
      </c>
      <c r="BU303" s="156">
        <f t="shared" si="130"/>
        <v>150</v>
      </c>
      <c r="BV303" s="156">
        <f t="shared" si="131"/>
        <v>12.39</v>
      </c>
      <c r="BW303" s="156">
        <f t="shared" si="125"/>
        <v>6775</v>
      </c>
      <c r="BX303" s="156">
        <f t="shared" si="122"/>
        <v>7.58110882956879</v>
      </c>
      <c r="BY303" s="1207" t="s">
        <v>2911</v>
      </c>
      <c r="BZ303" s="272">
        <v>7</v>
      </c>
      <c r="CA303" s="186">
        <f t="shared" si="123"/>
        <v>-0.08</v>
      </c>
      <c r="CB303" s="186">
        <f t="shared" si="128"/>
        <v>-0.08</v>
      </c>
      <c r="CC303" s="186">
        <f t="shared" si="129"/>
        <v>-0.08</v>
      </c>
      <c r="CD303" s="1208" t="s">
        <v>2953</v>
      </c>
      <c r="CF303" s="134"/>
      <c r="CG303" s="138"/>
      <c r="CH303" s="132"/>
      <c r="CI303" s="138"/>
      <c r="CJ303" s="132"/>
      <c r="CK303" s="132"/>
      <c r="CL303" s="134"/>
      <c r="CM303" s="146"/>
    </row>
    <row r="304" ht="15" hidden="1" customHeight="1" spans="1:91">
      <c r="A304" s="123">
        <f>IF(B304="","",COUNT(A$7:A303)+1)</f>
        <v>297</v>
      </c>
      <c r="B304" s="139" t="s">
        <v>2940</v>
      </c>
      <c r="C304" s="139" t="s">
        <v>2954</v>
      </c>
      <c r="D304" s="1209">
        <v>44882</v>
      </c>
      <c r="E304" s="1210">
        <v>650</v>
      </c>
      <c r="F304" s="219" t="s">
        <v>2942</v>
      </c>
      <c r="G304" s="142"/>
      <c r="H304" s="127"/>
      <c r="I304" s="128"/>
      <c r="J304" s="128"/>
      <c r="K304" s="980">
        <v>1</v>
      </c>
      <c r="L304" s="143"/>
      <c r="M304" s="143"/>
      <c r="N304" s="144"/>
      <c r="O304" s="144"/>
      <c r="P304" s="144"/>
      <c r="Q304" s="353">
        <f t="shared" si="110"/>
        <v>1</v>
      </c>
      <c r="R304" s="129">
        <f t="shared" si="111"/>
        <v>0</v>
      </c>
      <c r="S304" s="129">
        <f t="shared" si="112"/>
        <v>0</v>
      </c>
      <c r="T304" s="129">
        <f t="shared" si="113"/>
        <v>1</v>
      </c>
      <c r="U304" s="129">
        <f t="shared" si="114"/>
        <v>602</v>
      </c>
      <c r="V304" s="214">
        <f t="shared" si="115"/>
        <v>55</v>
      </c>
      <c r="W304" s="353">
        <f t="shared" si="116"/>
        <v>331.1</v>
      </c>
      <c r="X304" s="129">
        <f t="shared" si="117"/>
        <v>331.1</v>
      </c>
      <c r="Y304" s="129" t="str">
        <f t="shared" si="118"/>
        <v/>
      </c>
      <c r="Z304" s="145"/>
      <c r="BA304" s="75" t="e">
        <f t="shared" si="124"/>
        <v>#DIV/0!</v>
      </c>
      <c r="BB304" s="78"/>
      <c r="BC304" s="132"/>
      <c r="BD304" s="133"/>
      <c r="BE304" s="132"/>
      <c r="BF304" s="134"/>
      <c r="BG304" s="135"/>
      <c r="BH304" s="135"/>
      <c r="BI304" s="136"/>
      <c r="BJ304" s="136"/>
      <c r="BK304" s="136"/>
      <c r="BL304" s="136"/>
      <c r="BM304" s="137"/>
      <c r="BN304" s="137"/>
      <c r="BO304" s="75">
        <f>LOOKUP(D304,基础数据!A:D)</f>
        <v>3.83949417682846</v>
      </c>
      <c r="BP304" s="75">
        <f t="shared" si="126"/>
        <v>0.926611580972688</v>
      </c>
      <c r="BQ304" s="75">
        <f t="shared" si="127"/>
        <v>602</v>
      </c>
      <c r="BR304" s="272">
        <f t="shared" ref="BR304:BR314" si="132">ROUND(BQ304*1.13,0)</f>
        <v>680</v>
      </c>
      <c r="BS304" s="156">
        <f t="shared" si="119"/>
        <v>78.23</v>
      </c>
      <c r="BT304" s="156"/>
      <c r="BU304" s="156">
        <f t="shared" si="130"/>
        <v>0</v>
      </c>
      <c r="BV304" s="156">
        <f t="shared" si="131"/>
        <v>0</v>
      </c>
      <c r="BW304" s="156">
        <f t="shared" si="125"/>
        <v>602</v>
      </c>
      <c r="BX304" s="156">
        <f t="shared" si="122"/>
        <v>2.70225872689938</v>
      </c>
      <c r="BY304" s="1207" t="s">
        <v>2943</v>
      </c>
      <c r="BZ304" s="272">
        <v>6</v>
      </c>
      <c r="CA304" s="186">
        <f t="shared" si="123"/>
        <v>0.55</v>
      </c>
      <c r="CB304" s="186">
        <f t="shared" si="128"/>
        <v>0.55</v>
      </c>
      <c r="CC304" s="186">
        <f t="shared" si="129"/>
        <v>0.55</v>
      </c>
      <c r="CD304" s="272"/>
      <c r="CF304" s="134"/>
      <c r="CG304" s="138"/>
      <c r="CH304" s="132"/>
      <c r="CI304" s="138"/>
      <c r="CJ304" s="132"/>
      <c r="CK304" s="132"/>
      <c r="CL304" s="134"/>
      <c r="CM304" s="146"/>
    </row>
    <row r="305" ht="15" hidden="1" customHeight="1" spans="1:91">
      <c r="A305" s="123">
        <f>IF(B305="","",COUNT(A$7:A304)+1)</f>
        <v>298</v>
      </c>
      <c r="B305" s="139" t="s">
        <v>2940</v>
      </c>
      <c r="C305" s="139" t="s">
        <v>2955</v>
      </c>
      <c r="D305" s="1209">
        <v>44882</v>
      </c>
      <c r="E305" s="1210">
        <v>650</v>
      </c>
      <c r="F305" s="219" t="s">
        <v>2942</v>
      </c>
      <c r="G305" s="142"/>
      <c r="H305" s="127"/>
      <c r="I305" s="128"/>
      <c r="J305" s="128"/>
      <c r="K305" s="980">
        <v>1</v>
      </c>
      <c r="L305" s="143"/>
      <c r="M305" s="143"/>
      <c r="N305" s="144"/>
      <c r="O305" s="144"/>
      <c r="P305" s="144"/>
      <c r="Q305" s="353">
        <f t="shared" si="110"/>
        <v>1</v>
      </c>
      <c r="R305" s="129">
        <f t="shared" si="111"/>
        <v>0</v>
      </c>
      <c r="S305" s="129">
        <f t="shared" si="112"/>
        <v>0</v>
      </c>
      <c r="T305" s="129">
        <f t="shared" si="113"/>
        <v>1</v>
      </c>
      <c r="U305" s="129">
        <f t="shared" si="114"/>
        <v>602</v>
      </c>
      <c r="V305" s="214">
        <f t="shared" si="115"/>
        <v>55</v>
      </c>
      <c r="W305" s="353">
        <f t="shared" si="116"/>
        <v>331.1</v>
      </c>
      <c r="X305" s="129">
        <f t="shared" si="117"/>
        <v>331.1</v>
      </c>
      <c r="Y305" s="129" t="str">
        <f t="shared" si="118"/>
        <v/>
      </c>
      <c r="Z305" s="145"/>
      <c r="BA305" s="75" t="e">
        <f t="shared" si="124"/>
        <v>#DIV/0!</v>
      </c>
      <c r="BB305" s="78"/>
      <c r="BC305" s="132"/>
      <c r="BD305" s="133"/>
      <c r="BE305" s="132"/>
      <c r="BF305" s="134"/>
      <c r="BG305" s="135"/>
      <c r="BH305" s="135"/>
      <c r="BI305" s="136"/>
      <c r="BJ305" s="136"/>
      <c r="BK305" s="136"/>
      <c r="BL305" s="136"/>
      <c r="BM305" s="137"/>
      <c r="BN305" s="137"/>
      <c r="BO305" s="75">
        <f>LOOKUP(D305,基础数据!A:D)</f>
        <v>3.83949417682846</v>
      </c>
      <c r="BP305" s="75">
        <f t="shared" si="126"/>
        <v>0.926611580972688</v>
      </c>
      <c r="BQ305" s="75">
        <f t="shared" si="127"/>
        <v>602</v>
      </c>
      <c r="BR305" s="272">
        <f t="shared" si="132"/>
        <v>680</v>
      </c>
      <c r="BS305" s="156">
        <f t="shared" si="119"/>
        <v>78.23</v>
      </c>
      <c r="BT305" s="156"/>
      <c r="BU305" s="156">
        <f t="shared" si="130"/>
        <v>0</v>
      </c>
      <c r="BV305" s="156">
        <f t="shared" si="131"/>
        <v>0</v>
      </c>
      <c r="BW305" s="156">
        <f t="shared" si="125"/>
        <v>602</v>
      </c>
      <c r="BX305" s="156">
        <f t="shared" si="122"/>
        <v>2.70225872689938</v>
      </c>
      <c r="BY305" s="1207" t="s">
        <v>2943</v>
      </c>
      <c r="BZ305" s="272">
        <v>6</v>
      </c>
      <c r="CA305" s="186">
        <f t="shared" si="123"/>
        <v>0.55</v>
      </c>
      <c r="CB305" s="186">
        <f t="shared" si="128"/>
        <v>0.55</v>
      </c>
      <c r="CC305" s="186">
        <f t="shared" si="129"/>
        <v>0.55</v>
      </c>
      <c r="CD305" s="272"/>
      <c r="CF305" s="134"/>
      <c r="CG305" s="138"/>
      <c r="CH305" s="132"/>
      <c r="CI305" s="138"/>
      <c r="CJ305" s="132"/>
      <c r="CK305" s="132"/>
      <c r="CL305" s="134"/>
      <c r="CM305" s="146"/>
    </row>
    <row r="306" ht="15" hidden="1" customHeight="1" spans="1:91">
      <c r="A306" s="123">
        <f>IF(B306="","",COUNT(A$7:A305)+1)</f>
        <v>299</v>
      </c>
      <c r="B306" s="139" t="s">
        <v>2944</v>
      </c>
      <c r="C306" s="139" t="s">
        <v>2956</v>
      </c>
      <c r="D306" s="1209">
        <v>43100</v>
      </c>
      <c r="E306" s="1210">
        <v>1600</v>
      </c>
      <c r="F306" s="219" t="s">
        <v>2942</v>
      </c>
      <c r="G306" s="142"/>
      <c r="H306" s="127"/>
      <c r="I306" s="128"/>
      <c r="J306" s="128"/>
      <c r="K306" s="980">
        <v>1</v>
      </c>
      <c r="L306" s="143"/>
      <c r="M306" s="143"/>
      <c r="N306" s="144"/>
      <c r="O306" s="144"/>
      <c r="P306" s="144"/>
      <c r="Q306" s="353">
        <f t="shared" si="110"/>
        <v>1</v>
      </c>
      <c r="R306" s="129">
        <f t="shared" si="111"/>
        <v>0</v>
      </c>
      <c r="S306" s="129">
        <f t="shared" si="112"/>
        <v>0</v>
      </c>
      <c r="T306" s="129">
        <f t="shared" si="113"/>
        <v>1</v>
      </c>
      <c r="U306" s="129">
        <f t="shared" si="114"/>
        <v>1608</v>
      </c>
      <c r="V306" s="214">
        <f t="shared" si="115"/>
        <v>24</v>
      </c>
      <c r="W306" s="353">
        <f t="shared" si="116"/>
        <v>385.92</v>
      </c>
      <c r="X306" s="129">
        <f t="shared" si="117"/>
        <v>385.92</v>
      </c>
      <c r="Y306" s="129" t="str">
        <f t="shared" si="118"/>
        <v/>
      </c>
      <c r="Z306" s="145"/>
      <c r="BA306" s="75" t="e">
        <f t="shared" si="124"/>
        <v>#DIV/0!</v>
      </c>
      <c r="BB306" s="78"/>
      <c r="BC306" s="132"/>
      <c r="BD306" s="133"/>
      <c r="BE306" s="132"/>
      <c r="BF306" s="134"/>
      <c r="BG306" s="135"/>
      <c r="BH306" s="135"/>
      <c r="BI306" s="136"/>
      <c r="BJ306" s="136"/>
      <c r="BK306" s="136"/>
      <c r="BL306" s="136"/>
      <c r="BM306" s="137"/>
      <c r="BN306" s="137"/>
      <c r="BO306" s="75">
        <f>LOOKUP(D306,基础数据!A:D)</f>
        <v>3.53915880885741</v>
      </c>
      <c r="BP306" s="75">
        <f t="shared" si="126"/>
        <v>1.00524445538374</v>
      </c>
      <c r="BQ306" s="75">
        <f t="shared" si="127"/>
        <v>1608</v>
      </c>
      <c r="BR306" s="272">
        <f t="shared" si="132"/>
        <v>1817</v>
      </c>
      <c r="BS306" s="156">
        <f t="shared" si="119"/>
        <v>209.04</v>
      </c>
      <c r="BT306" s="156"/>
      <c r="BU306" s="156">
        <f t="shared" si="130"/>
        <v>0</v>
      </c>
      <c r="BV306" s="156">
        <f t="shared" si="131"/>
        <v>0</v>
      </c>
      <c r="BW306" s="156">
        <f t="shared" si="125"/>
        <v>1608</v>
      </c>
      <c r="BX306" s="156">
        <f t="shared" si="122"/>
        <v>7.58110882956879</v>
      </c>
      <c r="BY306" s="1207" t="s">
        <v>2924</v>
      </c>
      <c r="BZ306" s="272">
        <v>10</v>
      </c>
      <c r="CA306" s="186">
        <f t="shared" si="123"/>
        <v>0.24</v>
      </c>
      <c r="CB306" s="186">
        <f t="shared" si="128"/>
        <v>0.24</v>
      </c>
      <c r="CC306" s="186">
        <f t="shared" si="129"/>
        <v>0.24</v>
      </c>
      <c r="CD306" s="272"/>
      <c r="CF306" s="134"/>
      <c r="CG306" s="138"/>
      <c r="CH306" s="132"/>
      <c r="CI306" s="138"/>
      <c r="CJ306" s="132"/>
      <c r="CK306" s="132"/>
      <c r="CL306" s="134"/>
      <c r="CM306" s="146"/>
    </row>
    <row r="307" ht="15" hidden="1" customHeight="1" spans="1:91">
      <c r="A307" s="123">
        <f>IF(B307="","",COUNT(A$7:A306)+1)</f>
        <v>300</v>
      </c>
      <c r="B307" s="139" t="s">
        <v>2944</v>
      </c>
      <c r="C307" s="139" t="s">
        <v>2956</v>
      </c>
      <c r="D307" s="1209">
        <v>43100</v>
      </c>
      <c r="E307" s="1210">
        <v>1600</v>
      </c>
      <c r="F307" s="219" t="s">
        <v>2942</v>
      </c>
      <c r="G307" s="142"/>
      <c r="H307" s="127"/>
      <c r="I307" s="128"/>
      <c r="J307" s="128"/>
      <c r="K307" s="980">
        <v>1</v>
      </c>
      <c r="L307" s="143"/>
      <c r="M307" s="143"/>
      <c r="N307" s="144"/>
      <c r="O307" s="144"/>
      <c r="P307" s="144"/>
      <c r="Q307" s="353">
        <f t="shared" si="110"/>
        <v>1</v>
      </c>
      <c r="R307" s="129">
        <f t="shared" si="111"/>
        <v>0</v>
      </c>
      <c r="S307" s="129">
        <f t="shared" si="112"/>
        <v>0</v>
      </c>
      <c r="T307" s="129">
        <f t="shared" si="113"/>
        <v>1</v>
      </c>
      <c r="U307" s="129">
        <f t="shared" si="114"/>
        <v>1608</v>
      </c>
      <c r="V307" s="214">
        <f t="shared" si="115"/>
        <v>24</v>
      </c>
      <c r="W307" s="353">
        <f t="shared" si="116"/>
        <v>385.92</v>
      </c>
      <c r="X307" s="129">
        <f t="shared" si="117"/>
        <v>385.92</v>
      </c>
      <c r="Y307" s="129" t="str">
        <f t="shared" si="118"/>
        <v/>
      </c>
      <c r="Z307" s="145"/>
      <c r="BA307" s="75" t="e">
        <f t="shared" si="124"/>
        <v>#DIV/0!</v>
      </c>
      <c r="BB307" s="78"/>
      <c r="BC307" s="132"/>
      <c r="BD307" s="133"/>
      <c r="BE307" s="132"/>
      <c r="BF307" s="134"/>
      <c r="BG307" s="135"/>
      <c r="BH307" s="135"/>
      <c r="BI307" s="136"/>
      <c r="BJ307" s="136"/>
      <c r="BK307" s="136"/>
      <c r="BL307" s="136"/>
      <c r="BM307" s="137"/>
      <c r="BN307" s="137"/>
      <c r="BO307" s="75">
        <f>LOOKUP(D307,基础数据!A:D)</f>
        <v>3.53915880885741</v>
      </c>
      <c r="BP307" s="75">
        <f t="shared" si="126"/>
        <v>1.00524445538374</v>
      </c>
      <c r="BQ307" s="75">
        <f t="shared" si="127"/>
        <v>1608</v>
      </c>
      <c r="BR307" s="272">
        <f t="shared" si="132"/>
        <v>1817</v>
      </c>
      <c r="BS307" s="156">
        <f t="shared" si="119"/>
        <v>209.04</v>
      </c>
      <c r="BT307" s="156"/>
      <c r="BU307" s="156">
        <f t="shared" si="130"/>
        <v>0</v>
      </c>
      <c r="BV307" s="156">
        <f t="shared" si="131"/>
        <v>0</v>
      </c>
      <c r="BW307" s="156">
        <f t="shared" si="125"/>
        <v>1608</v>
      </c>
      <c r="BX307" s="156">
        <f t="shared" si="122"/>
        <v>7.58110882956879</v>
      </c>
      <c r="BY307" s="1207" t="s">
        <v>2924</v>
      </c>
      <c r="BZ307" s="272">
        <v>10</v>
      </c>
      <c r="CA307" s="186">
        <f t="shared" si="123"/>
        <v>0.24</v>
      </c>
      <c r="CB307" s="186">
        <f t="shared" si="128"/>
        <v>0.24</v>
      </c>
      <c r="CC307" s="186">
        <f t="shared" si="129"/>
        <v>0.24</v>
      </c>
      <c r="CD307" s="272"/>
      <c r="CF307" s="134"/>
      <c r="CG307" s="138"/>
      <c r="CH307" s="132"/>
      <c r="CI307" s="138"/>
      <c r="CJ307" s="132"/>
      <c r="CK307" s="132"/>
      <c r="CL307" s="134"/>
      <c r="CM307" s="146"/>
    </row>
    <row r="308" ht="15" hidden="1" customHeight="1" spans="1:91">
      <c r="A308" s="123">
        <f>IF(B308="","",COUNT(A$7:A307)+1)</f>
        <v>301</v>
      </c>
      <c r="B308" s="139" t="s">
        <v>2957</v>
      </c>
      <c r="C308" s="139" t="s">
        <v>2958</v>
      </c>
      <c r="D308" s="1209">
        <v>45145</v>
      </c>
      <c r="E308" s="1210">
        <v>3195</v>
      </c>
      <c r="F308" s="219" t="s">
        <v>2942</v>
      </c>
      <c r="G308" s="142"/>
      <c r="H308" s="127"/>
      <c r="I308" s="128"/>
      <c r="J308" s="128"/>
      <c r="K308" s="980">
        <v>1</v>
      </c>
      <c r="L308" s="143"/>
      <c r="M308" s="143"/>
      <c r="N308" s="144"/>
      <c r="O308" s="144"/>
      <c r="P308" s="144"/>
      <c r="Q308" s="353">
        <f t="shared" si="110"/>
        <v>1</v>
      </c>
      <c r="R308" s="129">
        <f t="shared" si="111"/>
        <v>0</v>
      </c>
      <c r="S308" s="129">
        <f t="shared" si="112"/>
        <v>0</v>
      </c>
      <c r="T308" s="129">
        <f t="shared" si="113"/>
        <v>1</v>
      </c>
      <c r="U308" s="129">
        <f t="shared" si="114"/>
        <v>3057</v>
      </c>
      <c r="V308" s="214">
        <f t="shared" si="115"/>
        <v>67</v>
      </c>
      <c r="W308" s="353">
        <f t="shared" si="116"/>
        <v>2048.19</v>
      </c>
      <c r="X308" s="129">
        <f t="shared" si="117"/>
        <v>2048.19</v>
      </c>
      <c r="Y308" s="129" t="str">
        <f t="shared" si="118"/>
        <v/>
      </c>
      <c r="Z308" s="145"/>
      <c r="BA308" s="75" t="e">
        <f t="shared" si="124"/>
        <v>#DIV/0!</v>
      </c>
      <c r="BB308" s="78"/>
      <c r="BC308" s="132"/>
      <c r="BD308" s="133"/>
      <c r="BE308" s="132"/>
      <c r="BF308" s="134"/>
      <c r="BG308" s="135"/>
      <c r="BH308" s="135"/>
      <c r="BI308" s="136"/>
      <c r="BJ308" s="136"/>
      <c r="BK308" s="136"/>
      <c r="BL308" s="136"/>
      <c r="BM308" s="137"/>
      <c r="BN308" s="137"/>
      <c r="BO308" s="75">
        <f>LOOKUP(D308,基础数据!A:D)</f>
        <v>3.71817185033308</v>
      </c>
      <c r="BP308" s="75">
        <f t="shared" si="126"/>
        <v>0.956846512892551</v>
      </c>
      <c r="BQ308" s="75">
        <f t="shared" si="127"/>
        <v>3057</v>
      </c>
      <c r="BR308" s="272">
        <f t="shared" si="132"/>
        <v>3454</v>
      </c>
      <c r="BS308" s="156">
        <f t="shared" si="119"/>
        <v>397.36</v>
      </c>
      <c r="BT308" s="156"/>
      <c r="BU308" s="156">
        <f t="shared" si="130"/>
        <v>0</v>
      </c>
      <c r="BV308" s="156">
        <f t="shared" si="131"/>
        <v>0</v>
      </c>
      <c r="BW308" s="156">
        <f t="shared" si="125"/>
        <v>3057</v>
      </c>
      <c r="BX308" s="156">
        <f t="shared" si="122"/>
        <v>1.98220396988364</v>
      </c>
      <c r="BY308" s="1207" t="s">
        <v>2878</v>
      </c>
      <c r="BZ308" s="272">
        <v>6</v>
      </c>
      <c r="CA308" s="186">
        <f t="shared" si="123"/>
        <v>0.67</v>
      </c>
      <c r="CB308" s="186">
        <f t="shared" si="128"/>
        <v>0.67</v>
      </c>
      <c r="CC308" s="186">
        <f t="shared" si="129"/>
        <v>0.67</v>
      </c>
      <c r="CD308" s="272"/>
      <c r="CF308" s="134"/>
      <c r="CG308" s="138"/>
      <c r="CH308" s="132"/>
      <c r="CI308" s="138"/>
      <c r="CJ308" s="132"/>
      <c r="CK308" s="132"/>
      <c r="CL308" s="134"/>
      <c r="CM308" s="146"/>
    </row>
    <row r="309" ht="15" hidden="1" customHeight="1" spans="1:91">
      <c r="A309" s="123">
        <f>IF(B309="","",COUNT(A$7:A308)+1)</f>
        <v>302</v>
      </c>
      <c r="B309" s="139" t="s">
        <v>2959</v>
      </c>
      <c r="C309" s="139" t="s">
        <v>2960</v>
      </c>
      <c r="D309" s="1209">
        <v>43100</v>
      </c>
      <c r="E309" s="1210">
        <v>2480</v>
      </c>
      <c r="F309" s="219" t="s">
        <v>2942</v>
      </c>
      <c r="G309" s="142"/>
      <c r="H309" s="127"/>
      <c r="I309" s="128"/>
      <c r="J309" s="128"/>
      <c r="K309" s="980">
        <v>1</v>
      </c>
      <c r="L309" s="143"/>
      <c r="M309" s="143"/>
      <c r="N309" s="144"/>
      <c r="O309" s="144"/>
      <c r="P309" s="144"/>
      <c r="Q309" s="353">
        <f t="shared" si="110"/>
        <v>1</v>
      </c>
      <c r="R309" s="129">
        <f t="shared" si="111"/>
        <v>0</v>
      </c>
      <c r="S309" s="129">
        <f t="shared" si="112"/>
        <v>0</v>
      </c>
      <c r="T309" s="129">
        <f t="shared" si="113"/>
        <v>1</v>
      </c>
      <c r="U309" s="129">
        <f t="shared" si="114"/>
        <v>2493</v>
      </c>
      <c r="V309" s="214">
        <f t="shared" si="115"/>
        <v>15</v>
      </c>
      <c r="W309" s="353">
        <f t="shared" si="116"/>
        <v>373.95</v>
      </c>
      <c r="X309" s="129">
        <f t="shared" si="117"/>
        <v>373.95</v>
      </c>
      <c r="Y309" s="129" t="str">
        <f t="shared" si="118"/>
        <v/>
      </c>
      <c r="Z309" s="145"/>
      <c r="BA309" s="75" t="e">
        <f t="shared" si="124"/>
        <v>#DIV/0!</v>
      </c>
      <c r="BB309" s="78"/>
      <c r="BC309" s="132"/>
      <c r="BD309" s="133"/>
      <c r="BE309" s="132"/>
      <c r="BF309" s="134"/>
      <c r="BG309" s="135"/>
      <c r="BH309" s="135"/>
      <c r="BI309" s="136"/>
      <c r="BJ309" s="136"/>
      <c r="BK309" s="136"/>
      <c r="BL309" s="136"/>
      <c r="BM309" s="137"/>
      <c r="BN309" s="137"/>
      <c r="BO309" s="75">
        <f>LOOKUP(D309,基础数据!A:D)</f>
        <v>3.53915880885741</v>
      </c>
      <c r="BP309" s="75">
        <f t="shared" si="126"/>
        <v>1.00524445538374</v>
      </c>
      <c r="BQ309" s="75">
        <f t="shared" si="127"/>
        <v>2493</v>
      </c>
      <c r="BR309" s="272">
        <f t="shared" si="132"/>
        <v>2817</v>
      </c>
      <c r="BS309" s="156">
        <f t="shared" si="119"/>
        <v>324.08</v>
      </c>
      <c r="BT309" s="156"/>
      <c r="BU309" s="156">
        <f t="shared" si="130"/>
        <v>0</v>
      </c>
      <c r="BV309" s="156">
        <f t="shared" si="131"/>
        <v>0</v>
      </c>
      <c r="BW309" s="156">
        <f t="shared" si="125"/>
        <v>2493</v>
      </c>
      <c r="BX309" s="156">
        <f t="shared" si="122"/>
        <v>7.58110882956879</v>
      </c>
      <c r="BY309" s="1207" t="s">
        <v>2878</v>
      </c>
      <c r="BZ309" s="272">
        <v>6</v>
      </c>
      <c r="CA309" s="186">
        <f t="shared" si="123"/>
        <v>-0.26</v>
      </c>
      <c r="CB309" s="186">
        <f t="shared" si="128"/>
        <v>-0.26</v>
      </c>
      <c r="CC309" s="186">
        <f t="shared" si="129"/>
        <v>-0.26</v>
      </c>
      <c r="CD309" s="272"/>
      <c r="CF309" s="134"/>
      <c r="CG309" s="138"/>
      <c r="CH309" s="132"/>
      <c r="CI309" s="138"/>
      <c r="CJ309" s="132"/>
      <c r="CK309" s="132"/>
      <c r="CL309" s="134"/>
      <c r="CM309" s="146"/>
    </row>
    <row r="310" ht="15" hidden="1" customHeight="1" spans="1:91">
      <c r="A310" s="123">
        <f>IF(B310="","",COUNT(A$7:A309)+1)</f>
        <v>303</v>
      </c>
      <c r="B310" s="139" t="s">
        <v>2961</v>
      </c>
      <c r="C310" s="139" t="s">
        <v>2962</v>
      </c>
      <c r="D310" s="1209">
        <v>43100</v>
      </c>
      <c r="E310" s="1210">
        <v>6300</v>
      </c>
      <c r="F310" s="219" t="s">
        <v>2942</v>
      </c>
      <c r="G310" s="142"/>
      <c r="H310" s="127"/>
      <c r="I310" s="128"/>
      <c r="J310" s="128"/>
      <c r="K310" s="980">
        <v>1</v>
      </c>
      <c r="L310" s="143"/>
      <c r="M310" s="143"/>
      <c r="N310" s="144"/>
      <c r="O310" s="144"/>
      <c r="P310" s="144"/>
      <c r="Q310" s="353">
        <f t="shared" si="110"/>
        <v>1</v>
      </c>
      <c r="R310" s="129">
        <f t="shared" si="111"/>
        <v>0</v>
      </c>
      <c r="S310" s="129">
        <f t="shared" si="112"/>
        <v>0</v>
      </c>
      <c r="T310" s="129">
        <f t="shared" si="113"/>
        <v>1</v>
      </c>
      <c r="U310" s="129">
        <f t="shared" si="114"/>
        <v>6464</v>
      </c>
      <c r="V310" s="214">
        <f t="shared" si="115"/>
        <v>15</v>
      </c>
      <c r="W310" s="353">
        <f t="shared" si="116"/>
        <v>969.6</v>
      </c>
      <c r="X310" s="129">
        <f t="shared" si="117"/>
        <v>969.6</v>
      </c>
      <c r="Y310" s="129" t="str">
        <f t="shared" si="118"/>
        <v/>
      </c>
      <c r="Z310" s="145"/>
      <c r="BA310" s="75" t="e">
        <f t="shared" si="124"/>
        <v>#DIV/0!</v>
      </c>
      <c r="BB310" s="78"/>
      <c r="BC310" s="132"/>
      <c r="BD310" s="133"/>
      <c r="BE310" s="132"/>
      <c r="BF310" s="134"/>
      <c r="BG310" s="135"/>
      <c r="BH310" s="135"/>
      <c r="BI310" s="136"/>
      <c r="BJ310" s="136"/>
      <c r="BK310" s="136"/>
      <c r="BL310" s="136"/>
      <c r="BM310" s="137"/>
      <c r="BN310" s="137"/>
      <c r="BO310" s="75">
        <f>LOOKUP(D310,基础数据!A:D)</f>
        <v>3.53915880885741</v>
      </c>
      <c r="BP310" s="75">
        <f t="shared" si="126"/>
        <v>1.00524445538374</v>
      </c>
      <c r="BQ310" s="75">
        <f t="shared" si="127"/>
        <v>6333</v>
      </c>
      <c r="BR310" s="272">
        <f t="shared" si="132"/>
        <v>7156</v>
      </c>
      <c r="BS310" s="156">
        <f t="shared" si="119"/>
        <v>823.26</v>
      </c>
      <c r="BT310" s="186">
        <v>0.02</v>
      </c>
      <c r="BU310" s="156">
        <f t="shared" si="130"/>
        <v>143.12</v>
      </c>
      <c r="BV310" s="156">
        <f t="shared" si="131"/>
        <v>11.82</v>
      </c>
      <c r="BW310" s="156">
        <f t="shared" si="125"/>
        <v>6464</v>
      </c>
      <c r="BX310" s="156">
        <f t="shared" si="122"/>
        <v>7.58110882956879</v>
      </c>
      <c r="BY310" s="1207" t="s">
        <v>2911</v>
      </c>
      <c r="BZ310" s="272">
        <v>7</v>
      </c>
      <c r="CA310" s="186">
        <f t="shared" si="123"/>
        <v>-0.08</v>
      </c>
      <c r="CB310" s="186">
        <f t="shared" si="128"/>
        <v>-0.08</v>
      </c>
      <c r="CC310" s="186">
        <f t="shared" si="129"/>
        <v>-0.08</v>
      </c>
      <c r="CD310" s="272"/>
      <c r="CF310" s="134"/>
      <c r="CG310" s="138"/>
      <c r="CH310" s="132"/>
      <c r="CI310" s="138"/>
      <c r="CJ310" s="132"/>
      <c r="CK310" s="132"/>
      <c r="CL310" s="134"/>
      <c r="CM310" s="146"/>
    </row>
    <row r="311" ht="15" hidden="1" customHeight="1" spans="1:91">
      <c r="A311" s="123">
        <f>IF(B311="","",COUNT(A$7:A310)+1)</f>
        <v>304</v>
      </c>
      <c r="B311" s="139" t="s">
        <v>2963</v>
      </c>
      <c r="C311" s="139" t="s">
        <v>2964</v>
      </c>
      <c r="D311" s="1209">
        <v>45145</v>
      </c>
      <c r="E311" s="1210">
        <v>6500</v>
      </c>
      <c r="F311" s="219" t="s">
        <v>2942</v>
      </c>
      <c r="G311" s="142"/>
      <c r="H311" s="127"/>
      <c r="I311" s="128"/>
      <c r="J311" s="128"/>
      <c r="K311" s="980">
        <v>1</v>
      </c>
      <c r="L311" s="143"/>
      <c r="M311" s="143"/>
      <c r="N311" s="144"/>
      <c r="O311" s="144"/>
      <c r="P311" s="144"/>
      <c r="Q311" s="353">
        <f t="shared" si="110"/>
        <v>1</v>
      </c>
      <c r="R311" s="129">
        <f t="shared" si="111"/>
        <v>0</v>
      </c>
      <c r="S311" s="129">
        <f t="shared" si="112"/>
        <v>0</v>
      </c>
      <c r="T311" s="129">
        <f t="shared" si="113"/>
        <v>1</v>
      </c>
      <c r="U311" s="129">
        <f t="shared" si="114"/>
        <v>6478</v>
      </c>
      <c r="V311" s="214">
        <f t="shared" si="115"/>
        <v>90</v>
      </c>
      <c r="W311" s="353">
        <f t="shared" si="116"/>
        <v>5830.2</v>
      </c>
      <c r="X311" s="129">
        <f t="shared" si="117"/>
        <v>5830.2</v>
      </c>
      <c r="Y311" s="129" t="str">
        <f t="shared" si="118"/>
        <v/>
      </c>
      <c r="Z311" s="145"/>
      <c r="BA311" s="75" t="e">
        <f t="shared" si="124"/>
        <v>#DIV/0!</v>
      </c>
      <c r="BB311" s="78"/>
      <c r="BC311" s="132"/>
      <c r="BD311" s="133"/>
      <c r="BE311" s="132"/>
      <c r="BF311" s="134"/>
      <c r="BG311" s="135"/>
      <c r="BH311" s="135"/>
      <c r="BI311" s="136"/>
      <c r="BJ311" s="136"/>
      <c r="BK311" s="136"/>
      <c r="BL311" s="136"/>
      <c r="BM311" s="137"/>
      <c r="BN311" s="137"/>
      <c r="BO311" s="75">
        <f>LOOKUP(D311,基础数据!A:D)</f>
        <v>3.71817185033308</v>
      </c>
      <c r="BP311" s="75">
        <f t="shared" si="126"/>
        <v>0.956846512892551</v>
      </c>
      <c r="BQ311" s="75">
        <f t="shared" si="127"/>
        <v>6220</v>
      </c>
      <c r="BR311" s="272">
        <f t="shared" si="132"/>
        <v>7029</v>
      </c>
      <c r="BS311" s="156">
        <f t="shared" si="119"/>
        <v>808.65</v>
      </c>
      <c r="BT311" s="186">
        <v>0.04</v>
      </c>
      <c r="BU311" s="156">
        <f t="shared" si="130"/>
        <v>281.16</v>
      </c>
      <c r="BV311" s="156">
        <f t="shared" si="131"/>
        <v>23.22</v>
      </c>
      <c r="BW311" s="156">
        <f t="shared" si="125"/>
        <v>6478</v>
      </c>
      <c r="BX311" s="156">
        <f t="shared" si="122"/>
        <v>1.98220396988364</v>
      </c>
      <c r="BY311" s="1207" t="s">
        <v>2965</v>
      </c>
      <c r="BZ311" s="272">
        <v>20</v>
      </c>
      <c r="CA311" s="186">
        <f t="shared" si="123"/>
        <v>0.9</v>
      </c>
      <c r="CB311" s="186">
        <f t="shared" si="128"/>
        <v>0.9</v>
      </c>
      <c r="CC311" s="186">
        <f t="shared" si="129"/>
        <v>0.9</v>
      </c>
      <c r="CD311" s="272"/>
      <c r="CF311" s="134"/>
      <c r="CG311" s="138"/>
      <c r="CH311" s="132"/>
      <c r="CI311" s="138"/>
      <c r="CJ311" s="132"/>
      <c r="CK311" s="132"/>
      <c r="CL311" s="134"/>
      <c r="CM311" s="146"/>
    </row>
    <row r="312" ht="15" hidden="1" customHeight="1" spans="1:91">
      <c r="A312" s="123">
        <f>IF(B312="","",COUNT(A$7:A311)+1)</f>
        <v>305</v>
      </c>
      <c r="B312" s="139" t="s">
        <v>2966</v>
      </c>
      <c r="C312" s="139" t="s">
        <v>2967</v>
      </c>
      <c r="D312" s="1209">
        <v>43100</v>
      </c>
      <c r="E312" s="1210">
        <v>3200</v>
      </c>
      <c r="F312" s="219" t="s">
        <v>2942</v>
      </c>
      <c r="G312" s="142"/>
      <c r="H312" s="127"/>
      <c r="I312" s="128"/>
      <c r="J312" s="128"/>
      <c r="K312" s="980">
        <v>1</v>
      </c>
      <c r="L312" s="143"/>
      <c r="M312" s="143"/>
      <c r="N312" s="144"/>
      <c r="O312" s="144"/>
      <c r="P312" s="144"/>
      <c r="Q312" s="353">
        <f t="shared" si="110"/>
        <v>1</v>
      </c>
      <c r="R312" s="129">
        <f t="shared" si="111"/>
        <v>0</v>
      </c>
      <c r="S312" s="129">
        <f t="shared" si="112"/>
        <v>0</v>
      </c>
      <c r="T312" s="129">
        <f t="shared" si="113"/>
        <v>1</v>
      </c>
      <c r="U312" s="129">
        <f t="shared" si="114"/>
        <v>3217</v>
      </c>
      <c r="V312" s="214">
        <f t="shared" si="115"/>
        <v>15</v>
      </c>
      <c r="W312" s="353">
        <f t="shared" si="116"/>
        <v>482.55</v>
      </c>
      <c r="X312" s="129">
        <f t="shared" si="117"/>
        <v>482.55</v>
      </c>
      <c r="Y312" s="129" t="str">
        <f t="shared" si="118"/>
        <v/>
      </c>
      <c r="Z312" s="145"/>
      <c r="BA312" s="75" t="e">
        <f t="shared" si="124"/>
        <v>#DIV/0!</v>
      </c>
      <c r="BB312" s="78"/>
      <c r="BC312" s="132"/>
      <c r="BD312" s="133"/>
      <c r="BE312" s="132"/>
      <c r="BF312" s="134"/>
      <c r="BG312" s="135"/>
      <c r="BH312" s="135"/>
      <c r="BI312" s="136"/>
      <c r="BJ312" s="136"/>
      <c r="BK312" s="136"/>
      <c r="BL312" s="136"/>
      <c r="BM312" s="137"/>
      <c r="BN312" s="137"/>
      <c r="BO312" s="75">
        <f>LOOKUP(D312,基础数据!A:D)</f>
        <v>3.53915880885741</v>
      </c>
      <c r="BP312" s="75">
        <f t="shared" si="126"/>
        <v>1.00524445538374</v>
      </c>
      <c r="BQ312" s="75">
        <f t="shared" si="127"/>
        <v>3217</v>
      </c>
      <c r="BR312" s="272">
        <f t="shared" si="132"/>
        <v>3635</v>
      </c>
      <c r="BS312" s="156">
        <f t="shared" si="119"/>
        <v>418.19</v>
      </c>
      <c r="BT312" s="156"/>
      <c r="BU312" s="156">
        <f t="shared" si="130"/>
        <v>0</v>
      </c>
      <c r="BV312" s="156">
        <f t="shared" si="131"/>
        <v>0</v>
      </c>
      <c r="BW312" s="156">
        <f t="shared" si="125"/>
        <v>3217</v>
      </c>
      <c r="BX312" s="156">
        <f t="shared" si="122"/>
        <v>7.58110882956879</v>
      </c>
      <c r="BY312" s="156" t="s">
        <v>2878</v>
      </c>
      <c r="BZ312" s="272">
        <v>6</v>
      </c>
      <c r="CA312" s="186">
        <f t="shared" si="123"/>
        <v>-0.26</v>
      </c>
      <c r="CB312" s="186">
        <f t="shared" si="128"/>
        <v>-0.26</v>
      </c>
      <c r="CC312" s="186">
        <f t="shared" si="129"/>
        <v>-0.26</v>
      </c>
      <c r="CD312" s="272"/>
      <c r="CF312" s="134"/>
      <c r="CG312" s="138"/>
      <c r="CH312" s="132"/>
      <c r="CI312" s="138"/>
      <c r="CJ312" s="132"/>
      <c r="CK312" s="132"/>
      <c r="CL312" s="134"/>
      <c r="CM312" s="146"/>
    </row>
    <row r="313" ht="15" hidden="1" customHeight="1" spans="1:91">
      <c r="A313" s="123">
        <f>IF(B313="","",COUNT(A$7:A312)+1)</f>
        <v>306</v>
      </c>
      <c r="B313" s="139" t="s">
        <v>2968</v>
      </c>
      <c r="C313" s="139" t="s">
        <v>2969</v>
      </c>
      <c r="D313" s="1209">
        <v>44882</v>
      </c>
      <c r="E313" s="1210">
        <v>2120</v>
      </c>
      <c r="F313" s="219" t="s">
        <v>2942</v>
      </c>
      <c r="G313" s="142"/>
      <c r="H313" s="127"/>
      <c r="I313" s="128"/>
      <c r="J313" s="128"/>
      <c r="K313" s="980">
        <v>1</v>
      </c>
      <c r="L313" s="143"/>
      <c r="M313" s="143"/>
      <c r="N313" s="144"/>
      <c r="O313" s="144"/>
      <c r="P313" s="144"/>
      <c r="Q313" s="353">
        <f t="shared" si="110"/>
        <v>1</v>
      </c>
      <c r="R313" s="129">
        <f t="shared" si="111"/>
        <v>0</v>
      </c>
      <c r="S313" s="129">
        <f t="shared" si="112"/>
        <v>0</v>
      </c>
      <c r="T313" s="129">
        <f t="shared" si="113"/>
        <v>1</v>
      </c>
      <c r="U313" s="129">
        <f t="shared" si="114"/>
        <v>1964</v>
      </c>
      <c r="V313" s="214">
        <f t="shared" si="115"/>
        <v>55</v>
      </c>
      <c r="W313" s="353">
        <f t="shared" si="116"/>
        <v>1080.2</v>
      </c>
      <c r="X313" s="129">
        <f t="shared" si="117"/>
        <v>1080.2</v>
      </c>
      <c r="Y313" s="129" t="str">
        <f t="shared" si="118"/>
        <v/>
      </c>
      <c r="Z313" s="145"/>
      <c r="BA313" s="75" t="e">
        <f t="shared" si="124"/>
        <v>#DIV/0!</v>
      </c>
      <c r="BB313" s="78"/>
      <c r="BC313" s="132"/>
      <c r="BD313" s="133"/>
      <c r="BE313" s="132"/>
      <c r="BF313" s="134"/>
      <c r="BG313" s="135"/>
      <c r="BH313" s="135"/>
      <c r="BI313" s="136"/>
      <c r="BJ313" s="136"/>
      <c r="BK313" s="136"/>
      <c r="BL313" s="136"/>
      <c r="BM313" s="137"/>
      <c r="BN313" s="137"/>
      <c r="BO313" s="75">
        <f>LOOKUP(D313,基础数据!A:D)</f>
        <v>3.83949417682846</v>
      </c>
      <c r="BP313" s="75">
        <f t="shared" si="126"/>
        <v>0.926611580972688</v>
      </c>
      <c r="BQ313" s="75">
        <f t="shared" si="127"/>
        <v>1964</v>
      </c>
      <c r="BR313" s="272">
        <f t="shared" si="132"/>
        <v>2219</v>
      </c>
      <c r="BS313" s="156">
        <f t="shared" si="119"/>
        <v>255.28</v>
      </c>
      <c r="BT313" s="156"/>
      <c r="BU313" s="156">
        <f t="shared" si="130"/>
        <v>0</v>
      </c>
      <c r="BV313" s="156">
        <f t="shared" si="131"/>
        <v>0</v>
      </c>
      <c r="BW313" s="156">
        <f t="shared" si="125"/>
        <v>1964</v>
      </c>
      <c r="BX313" s="156">
        <f t="shared" si="122"/>
        <v>2.70225872689938</v>
      </c>
      <c r="BY313" s="1207" t="s">
        <v>2878</v>
      </c>
      <c r="BZ313" s="272">
        <v>6</v>
      </c>
      <c r="CA313" s="186">
        <f t="shared" si="123"/>
        <v>0.55</v>
      </c>
      <c r="CB313" s="186">
        <f t="shared" si="128"/>
        <v>0.55</v>
      </c>
      <c r="CC313" s="186">
        <f t="shared" si="129"/>
        <v>0.55</v>
      </c>
      <c r="CD313" s="272"/>
      <c r="CF313" s="134"/>
      <c r="CG313" s="138"/>
      <c r="CH313" s="132"/>
      <c r="CI313" s="138"/>
      <c r="CJ313" s="132"/>
      <c r="CK313" s="132"/>
      <c r="CL313" s="134"/>
      <c r="CM313" s="146"/>
    </row>
    <row r="314" ht="15" hidden="1" customHeight="1" spans="1:91">
      <c r="A314" s="123">
        <f>IF(B314="","",COUNT(A$7:A313)+1)</f>
        <v>307</v>
      </c>
      <c r="B314" s="139" t="s">
        <v>2970</v>
      </c>
      <c r="C314" s="139" t="s">
        <v>2971</v>
      </c>
      <c r="D314" s="1209">
        <v>43100</v>
      </c>
      <c r="E314" s="1210">
        <v>720</v>
      </c>
      <c r="F314" s="219" t="s">
        <v>2942</v>
      </c>
      <c r="G314" s="142"/>
      <c r="H314" s="127"/>
      <c r="I314" s="128"/>
      <c r="J314" s="128"/>
      <c r="K314" s="980">
        <v>1</v>
      </c>
      <c r="L314" s="143"/>
      <c r="M314" s="143"/>
      <c r="N314" s="144"/>
      <c r="O314" s="144"/>
      <c r="P314" s="144"/>
      <c r="Q314" s="353">
        <f t="shared" si="110"/>
        <v>1</v>
      </c>
      <c r="R314" s="129">
        <f t="shared" si="111"/>
        <v>0</v>
      </c>
      <c r="S314" s="129">
        <f t="shared" si="112"/>
        <v>0</v>
      </c>
      <c r="T314" s="129">
        <f t="shared" si="113"/>
        <v>1</v>
      </c>
      <c r="U314" s="129">
        <f t="shared" si="114"/>
        <v>724</v>
      </c>
      <c r="V314" s="214">
        <f t="shared" si="115"/>
        <v>15</v>
      </c>
      <c r="W314" s="353">
        <f t="shared" si="116"/>
        <v>108.6</v>
      </c>
      <c r="X314" s="129">
        <f t="shared" si="117"/>
        <v>108.6</v>
      </c>
      <c r="Y314" s="129" t="str">
        <f t="shared" si="118"/>
        <v/>
      </c>
      <c r="Z314" s="145"/>
      <c r="BA314" s="75" t="e">
        <f t="shared" si="124"/>
        <v>#DIV/0!</v>
      </c>
      <c r="BB314" s="78"/>
      <c r="BC314" s="132"/>
      <c r="BD314" s="133"/>
      <c r="BE314" s="132"/>
      <c r="BF314" s="134"/>
      <c r="BG314" s="135"/>
      <c r="BH314" s="135"/>
      <c r="BI314" s="136"/>
      <c r="BJ314" s="136"/>
      <c r="BK314" s="136"/>
      <c r="BL314" s="136"/>
      <c r="BM314" s="137"/>
      <c r="BN314" s="137"/>
      <c r="BO314" s="75">
        <f>LOOKUP(D314,基础数据!A:D)</f>
        <v>3.53915880885741</v>
      </c>
      <c r="BP314" s="75">
        <f t="shared" si="126"/>
        <v>1.00524445538374</v>
      </c>
      <c r="BQ314" s="75">
        <f t="shared" si="127"/>
        <v>724</v>
      </c>
      <c r="BR314" s="272">
        <f t="shared" si="132"/>
        <v>818</v>
      </c>
      <c r="BS314" s="156">
        <f t="shared" si="119"/>
        <v>94.11</v>
      </c>
      <c r="BT314" s="156"/>
      <c r="BU314" s="156">
        <f t="shared" si="130"/>
        <v>0</v>
      </c>
      <c r="BV314" s="156">
        <f t="shared" si="131"/>
        <v>0</v>
      </c>
      <c r="BW314" s="156">
        <f t="shared" si="125"/>
        <v>724</v>
      </c>
      <c r="BX314" s="156">
        <f t="shared" si="122"/>
        <v>7.58110882956879</v>
      </c>
      <c r="BY314" s="1207" t="s">
        <v>2878</v>
      </c>
      <c r="BZ314" s="272">
        <v>6</v>
      </c>
      <c r="CA314" s="186">
        <f t="shared" si="123"/>
        <v>-0.26</v>
      </c>
      <c r="CB314" s="186">
        <f t="shared" si="128"/>
        <v>-0.26</v>
      </c>
      <c r="CC314" s="186">
        <f t="shared" si="129"/>
        <v>-0.26</v>
      </c>
      <c r="CD314" s="272"/>
      <c r="CF314" s="134"/>
      <c r="CG314" s="138"/>
      <c r="CH314" s="132"/>
      <c r="CI314" s="138"/>
      <c r="CJ314" s="132"/>
      <c r="CK314" s="132"/>
      <c r="CL314" s="134"/>
      <c r="CM314" s="146"/>
    </row>
    <row r="315" ht="15" hidden="1" customHeight="1" spans="1:91">
      <c r="A315" s="123">
        <f>IF(B315="","",COUNT(A$7:A314)+1)</f>
        <v>308</v>
      </c>
      <c r="B315" s="139" t="s">
        <v>2972</v>
      </c>
      <c r="C315" s="139" t="s">
        <v>2973</v>
      </c>
      <c r="D315" s="1209">
        <v>44882</v>
      </c>
      <c r="E315" s="1210">
        <v>6760</v>
      </c>
      <c r="F315" s="219" t="s">
        <v>2942</v>
      </c>
      <c r="G315" s="142"/>
      <c r="H315" s="127"/>
      <c r="I315" s="128"/>
      <c r="J315" s="128"/>
      <c r="K315" s="980">
        <v>2</v>
      </c>
      <c r="L315" s="143"/>
      <c r="M315" s="143"/>
      <c r="N315" s="144"/>
      <c r="O315" s="144"/>
      <c r="P315" s="144"/>
      <c r="Q315" s="353">
        <f t="shared" si="110"/>
        <v>2</v>
      </c>
      <c r="R315" s="129">
        <f t="shared" si="111"/>
        <v>0</v>
      </c>
      <c r="S315" s="129">
        <f t="shared" si="112"/>
        <v>0</v>
      </c>
      <c r="T315" s="129">
        <f t="shared" si="113"/>
        <v>2</v>
      </c>
      <c r="U315" s="129">
        <f t="shared" si="114"/>
        <v>4834</v>
      </c>
      <c r="V315" s="214">
        <f t="shared" si="115"/>
        <v>55</v>
      </c>
      <c r="W315" s="353">
        <f t="shared" si="116"/>
        <v>2658.7</v>
      </c>
      <c r="X315" s="129">
        <f t="shared" si="117"/>
        <v>2658.7</v>
      </c>
      <c r="Y315" s="129" t="str">
        <f t="shared" si="118"/>
        <v/>
      </c>
      <c r="Z315" s="145"/>
      <c r="BA315" s="75" t="e">
        <f t="shared" si="124"/>
        <v>#DIV/0!</v>
      </c>
      <c r="BB315" s="78"/>
      <c r="BC315" s="132"/>
      <c r="BD315" s="133"/>
      <c r="BE315" s="132"/>
      <c r="BF315" s="134"/>
      <c r="BG315" s="135"/>
      <c r="BH315" s="135"/>
      <c r="BI315" s="136"/>
      <c r="BJ315" s="136"/>
      <c r="BK315" s="136"/>
      <c r="BL315" s="136"/>
      <c r="BM315" s="137"/>
      <c r="BN315" s="137"/>
      <c r="BO315" s="75">
        <f>LOOKUP(D315,基础数据!A:D)</f>
        <v>3.83949417682846</v>
      </c>
      <c r="BP315" s="75">
        <f t="shared" si="126"/>
        <v>0.926611580972688</v>
      </c>
      <c r="BQ315" s="75">
        <f t="shared" si="127"/>
        <v>3132</v>
      </c>
      <c r="BR315" s="272">
        <v>2731</v>
      </c>
      <c r="BS315" s="156">
        <f t="shared" si="119"/>
        <v>314.19</v>
      </c>
      <c r="BT315" s="156"/>
      <c r="BU315" s="156">
        <f t="shared" si="130"/>
        <v>0</v>
      </c>
      <c r="BV315" s="156">
        <f t="shared" si="131"/>
        <v>0</v>
      </c>
      <c r="BW315" s="156">
        <f t="shared" si="125"/>
        <v>2417</v>
      </c>
      <c r="BX315" s="156">
        <f t="shared" si="122"/>
        <v>2.70225872689938</v>
      </c>
      <c r="BY315" s="1207" t="s">
        <v>2878</v>
      </c>
      <c r="BZ315" s="272">
        <v>6</v>
      </c>
      <c r="CA315" s="186">
        <f t="shared" si="123"/>
        <v>0.55</v>
      </c>
      <c r="CB315" s="186">
        <f t="shared" si="128"/>
        <v>0.55</v>
      </c>
      <c r="CC315" s="186">
        <f t="shared" si="129"/>
        <v>0.55</v>
      </c>
      <c r="CD315" s="1208" t="s">
        <v>2974</v>
      </c>
      <c r="CF315" s="134"/>
      <c r="CG315" s="138"/>
      <c r="CH315" s="132"/>
      <c r="CI315" s="138"/>
      <c r="CJ315" s="132"/>
      <c r="CK315" s="132"/>
      <c r="CL315" s="134"/>
      <c r="CM315" s="146"/>
    </row>
    <row r="316" ht="15" hidden="1" customHeight="1" spans="1:91">
      <c r="A316" s="123">
        <f>IF(B316="","",COUNT(A$7:A315)+1)</f>
        <v>309</v>
      </c>
      <c r="B316" s="139" t="s">
        <v>2975</v>
      </c>
      <c r="C316" s="139" t="s">
        <v>2969</v>
      </c>
      <c r="D316" s="1209">
        <v>44882</v>
      </c>
      <c r="E316" s="1210">
        <v>25440</v>
      </c>
      <c r="F316" s="219" t="s">
        <v>2942</v>
      </c>
      <c r="G316" s="142"/>
      <c r="H316" s="127"/>
      <c r="I316" s="128"/>
      <c r="J316" s="128"/>
      <c r="K316" s="980">
        <v>12</v>
      </c>
      <c r="L316" s="143"/>
      <c r="M316" s="143"/>
      <c r="N316" s="144"/>
      <c r="O316" s="144"/>
      <c r="P316" s="144"/>
      <c r="Q316" s="353">
        <f t="shared" si="110"/>
        <v>12</v>
      </c>
      <c r="R316" s="129">
        <f t="shared" si="111"/>
        <v>0</v>
      </c>
      <c r="S316" s="129">
        <f t="shared" si="112"/>
        <v>0</v>
      </c>
      <c r="T316" s="129">
        <f t="shared" si="113"/>
        <v>12</v>
      </c>
      <c r="U316" s="129">
        <f t="shared" si="114"/>
        <v>23568</v>
      </c>
      <c r="V316" s="214">
        <f t="shared" si="115"/>
        <v>55</v>
      </c>
      <c r="W316" s="353">
        <f t="shared" si="116"/>
        <v>12962.4</v>
      </c>
      <c r="X316" s="129">
        <f t="shared" si="117"/>
        <v>12962.4</v>
      </c>
      <c r="Y316" s="129" t="str">
        <f t="shared" si="118"/>
        <v/>
      </c>
      <c r="Z316" s="145"/>
      <c r="BA316" s="75" t="e">
        <f t="shared" si="124"/>
        <v>#DIV/0!</v>
      </c>
      <c r="BB316" s="78"/>
      <c r="BC316" s="132"/>
      <c r="BD316" s="133"/>
      <c r="BE316" s="132"/>
      <c r="BF316" s="134"/>
      <c r="BG316" s="135"/>
      <c r="BH316" s="135"/>
      <c r="BI316" s="136"/>
      <c r="BJ316" s="136"/>
      <c r="BK316" s="136"/>
      <c r="BL316" s="136"/>
      <c r="BM316" s="137"/>
      <c r="BN316" s="137"/>
      <c r="BO316" s="75">
        <f>LOOKUP(D316,基础数据!A:D)</f>
        <v>3.83949417682846</v>
      </c>
      <c r="BP316" s="75">
        <f t="shared" si="126"/>
        <v>0.926611580972688</v>
      </c>
      <c r="BQ316" s="75">
        <f t="shared" si="127"/>
        <v>1964</v>
      </c>
      <c r="BR316" s="272">
        <f t="shared" ref="BR316:BR366" si="133">ROUND(BQ316*1.13,0)</f>
        <v>2219</v>
      </c>
      <c r="BS316" s="156">
        <f t="shared" si="119"/>
        <v>255.28</v>
      </c>
      <c r="BT316" s="156"/>
      <c r="BU316" s="156">
        <f t="shared" si="130"/>
        <v>0</v>
      </c>
      <c r="BV316" s="156">
        <f t="shared" si="131"/>
        <v>0</v>
      </c>
      <c r="BW316" s="156">
        <f t="shared" si="125"/>
        <v>1964</v>
      </c>
      <c r="BX316" s="156">
        <f t="shared" si="122"/>
        <v>2.70225872689938</v>
      </c>
      <c r="BY316" s="1207" t="s">
        <v>2878</v>
      </c>
      <c r="BZ316" s="272">
        <v>6</v>
      </c>
      <c r="CA316" s="186">
        <f t="shared" si="123"/>
        <v>0.55</v>
      </c>
      <c r="CB316" s="186">
        <f t="shared" si="128"/>
        <v>0.55</v>
      </c>
      <c r="CC316" s="186">
        <f t="shared" si="129"/>
        <v>0.55</v>
      </c>
      <c r="CD316" s="272"/>
      <c r="CF316" s="134"/>
      <c r="CG316" s="138"/>
      <c r="CH316" s="132"/>
      <c r="CI316" s="138"/>
      <c r="CJ316" s="132"/>
      <c r="CK316" s="132"/>
      <c r="CL316" s="134"/>
      <c r="CM316" s="146"/>
    </row>
    <row r="317" ht="15" hidden="1" customHeight="1" spans="1:91">
      <c r="A317" s="123">
        <f>IF(B317="","",COUNT(A$7:A316)+1)</f>
        <v>310</v>
      </c>
      <c r="B317" s="139" t="s">
        <v>2970</v>
      </c>
      <c r="C317" s="139" t="s">
        <v>2971</v>
      </c>
      <c r="D317" s="1209">
        <v>43100</v>
      </c>
      <c r="E317" s="1210">
        <v>2160</v>
      </c>
      <c r="F317" s="219" t="s">
        <v>2942</v>
      </c>
      <c r="G317" s="142"/>
      <c r="H317" s="127"/>
      <c r="I317" s="128"/>
      <c r="J317" s="128"/>
      <c r="K317" s="980">
        <v>3</v>
      </c>
      <c r="L317" s="143"/>
      <c r="M317" s="143"/>
      <c r="N317" s="144"/>
      <c r="O317" s="144"/>
      <c r="P317" s="144"/>
      <c r="Q317" s="353">
        <f t="shared" si="110"/>
        <v>3</v>
      </c>
      <c r="R317" s="129">
        <f t="shared" si="111"/>
        <v>0</v>
      </c>
      <c r="S317" s="129">
        <f t="shared" si="112"/>
        <v>0</v>
      </c>
      <c r="T317" s="129">
        <f t="shared" si="113"/>
        <v>3</v>
      </c>
      <c r="U317" s="129">
        <f t="shared" si="114"/>
        <v>2172</v>
      </c>
      <c r="V317" s="214">
        <f t="shared" si="115"/>
        <v>15</v>
      </c>
      <c r="W317" s="353">
        <f t="shared" si="116"/>
        <v>325.8</v>
      </c>
      <c r="X317" s="129">
        <f t="shared" si="117"/>
        <v>325.8</v>
      </c>
      <c r="Y317" s="129" t="str">
        <f t="shared" si="118"/>
        <v/>
      </c>
      <c r="Z317" s="145"/>
      <c r="BA317" s="75" t="e">
        <f t="shared" si="124"/>
        <v>#DIV/0!</v>
      </c>
      <c r="BB317" s="78"/>
      <c r="BC317" s="132"/>
      <c r="BD317" s="133"/>
      <c r="BE317" s="132"/>
      <c r="BF317" s="134"/>
      <c r="BG317" s="135"/>
      <c r="BH317" s="135"/>
      <c r="BI317" s="136"/>
      <c r="BJ317" s="136"/>
      <c r="BK317" s="136"/>
      <c r="BL317" s="136"/>
      <c r="BM317" s="137"/>
      <c r="BN317" s="137"/>
      <c r="BO317" s="75">
        <f>LOOKUP(D317,基础数据!A:D)</f>
        <v>3.53915880885741</v>
      </c>
      <c r="BP317" s="75">
        <f t="shared" si="126"/>
        <v>1.00524445538374</v>
      </c>
      <c r="BQ317" s="75">
        <f t="shared" si="127"/>
        <v>724</v>
      </c>
      <c r="BR317" s="272">
        <f t="shared" si="133"/>
        <v>818</v>
      </c>
      <c r="BS317" s="156">
        <f t="shared" si="119"/>
        <v>94.11</v>
      </c>
      <c r="BT317" s="156"/>
      <c r="BU317" s="156">
        <f t="shared" si="130"/>
        <v>0</v>
      </c>
      <c r="BV317" s="156">
        <f t="shared" si="131"/>
        <v>0</v>
      </c>
      <c r="BW317" s="156">
        <f t="shared" si="125"/>
        <v>724</v>
      </c>
      <c r="BX317" s="156">
        <f t="shared" si="122"/>
        <v>7.58110882956879</v>
      </c>
      <c r="BY317" s="1207" t="s">
        <v>2878</v>
      </c>
      <c r="BZ317" s="272">
        <v>6</v>
      </c>
      <c r="CA317" s="186">
        <f t="shared" si="123"/>
        <v>-0.26</v>
      </c>
      <c r="CB317" s="186">
        <f t="shared" si="128"/>
        <v>-0.26</v>
      </c>
      <c r="CC317" s="186">
        <f t="shared" si="129"/>
        <v>-0.26</v>
      </c>
      <c r="CD317" s="272"/>
      <c r="CF317" s="134"/>
      <c r="CG317" s="138"/>
      <c r="CH317" s="132"/>
      <c r="CI317" s="138"/>
      <c r="CJ317" s="132"/>
      <c r="CK317" s="132"/>
      <c r="CL317" s="134"/>
      <c r="CM317" s="146"/>
    </row>
    <row r="318" ht="15" hidden="1" customHeight="1" spans="1:91">
      <c r="A318" s="123">
        <f>IF(B318="","",COUNT(A$7:A317)+1)</f>
        <v>311</v>
      </c>
      <c r="B318" s="139" t="s">
        <v>2972</v>
      </c>
      <c r="C318" s="139" t="s">
        <v>2973</v>
      </c>
      <c r="D318" s="1209">
        <v>44882</v>
      </c>
      <c r="E318" s="1210">
        <v>50700</v>
      </c>
      <c r="F318" s="219" t="s">
        <v>2942</v>
      </c>
      <c r="G318" s="142"/>
      <c r="H318" s="127"/>
      <c r="I318" s="128"/>
      <c r="J318" s="128"/>
      <c r="K318" s="980">
        <v>15</v>
      </c>
      <c r="L318" s="143"/>
      <c r="M318" s="143"/>
      <c r="N318" s="144"/>
      <c r="O318" s="144"/>
      <c r="P318" s="144"/>
      <c r="Q318" s="353">
        <f t="shared" si="110"/>
        <v>15</v>
      </c>
      <c r="R318" s="129">
        <f t="shared" si="111"/>
        <v>0</v>
      </c>
      <c r="S318" s="129">
        <f t="shared" si="112"/>
        <v>0</v>
      </c>
      <c r="T318" s="129">
        <f t="shared" si="113"/>
        <v>15</v>
      </c>
      <c r="U318" s="129">
        <f t="shared" si="114"/>
        <v>36255</v>
      </c>
      <c r="V318" s="214">
        <f t="shared" si="115"/>
        <v>55</v>
      </c>
      <c r="W318" s="353">
        <f t="shared" si="116"/>
        <v>19940.25</v>
      </c>
      <c r="X318" s="129">
        <f t="shared" si="117"/>
        <v>19940.25</v>
      </c>
      <c r="Y318" s="129" t="str">
        <f t="shared" si="118"/>
        <v/>
      </c>
      <c r="Z318" s="145"/>
      <c r="BA318" s="75" t="e">
        <f t="shared" si="124"/>
        <v>#DIV/0!</v>
      </c>
      <c r="BB318" s="78"/>
      <c r="BC318" s="132"/>
      <c r="BD318" s="133"/>
      <c r="BE318" s="132"/>
      <c r="BF318" s="134"/>
      <c r="BG318" s="135"/>
      <c r="BH318" s="135"/>
      <c r="BI318" s="136"/>
      <c r="BJ318" s="136"/>
      <c r="BK318" s="136"/>
      <c r="BL318" s="136"/>
      <c r="BM318" s="137"/>
      <c r="BN318" s="137"/>
      <c r="BO318" s="75">
        <f>LOOKUP(D318,基础数据!A:D)</f>
        <v>3.83949417682846</v>
      </c>
      <c r="BP318" s="75">
        <f t="shared" si="126"/>
        <v>0.926611580972688</v>
      </c>
      <c r="BQ318" s="75">
        <f t="shared" si="127"/>
        <v>3132</v>
      </c>
      <c r="BR318" s="272">
        <v>2731</v>
      </c>
      <c r="BS318" s="156">
        <f t="shared" si="119"/>
        <v>314.19</v>
      </c>
      <c r="BT318" s="156"/>
      <c r="BU318" s="156">
        <f t="shared" si="130"/>
        <v>0</v>
      </c>
      <c r="BV318" s="156">
        <f t="shared" si="131"/>
        <v>0</v>
      </c>
      <c r="BW318" s="156">
        <f t="shared" si="125"/>
        <v>2417</v>
      </c>
      <c r="BX318" s="156">
        <f t="shared" si="122"/>
        <v>2.70225872689938</v>
      </c>
      <c r="BY318" s="1207" t="s">
        <v>2878</v>
      </c>
      <c r="BZ318" s="272">
        <v>6</v>
      </c>
      <c r="CA318" s="186">
        <f t="shared" ref="CA318" si="134">ROUND(IFERROR(1-(BX318/BZ318),0),2)</f>
        <v>0.55</v>
      </c>
      <c r="CB318" s="186">
        <f t="shared" si="128"/>
        <v>0.55</v>
      </c>
      <c r="CC318" s="186">
        <f t="shared" si="129"/>
        <v>0.55</v>
      </c>
      <c r="CD318" s="1208" t="s">
        <v>2974</v>
      </c>
      <c r="CF318" s="134"/>
      <c r="CG318" s="138"/>
      <c r="CH318" s="132"/>
      <c r="CI318" s="138"/>
      <c r="CJ318" s="132"/>
      <c r="CK318" s="132"/>
      <c r="CL318" s="134"/>
      <c r="CM318" s="146"/>
    </row>
    <row r="319" ht="15" hidden="1" customHeight="1" spans="1:91">
      <c r="A319" s="123">
        <f>IF(B319="","",COUNT(A$7:A318)+1)</f>
        <v>312</v>
      </c>
      <c r="B319" s="139" t="s">
        <v>2976</v>
      </c>
      <c r="C319" s="139" t="s">
        <v>2977</v>
      </c>
      <c r="D319" s="1209">
        <v>45145</v>
      </c>
      <c r="E319" s="1210">
        <v>10580</v>
      </c>
      <c r="F319" s="219" t="s">
        <v>2942</v>
      </c>
      <c r="G319" s="142"/>
      <c r="H319" s="127"/>
      <c r="I319" s="128"/>
      <c r="J319" s="128"/>
      <c r="K319" s="980">
        <v>23</v>
      </c>
      <c r="L319" s="143"/>
      <c r="M319" s="143"/>
      <c r="N319" s="144"/>
      <c r="O319" s="144"/>
      <c r="P319" s="144"/>
      <c r="Q319" s="353">
        <f t="shared" si="110"/>
        <v>23</v>
      </c>
      <c r="R319" s="129">
        <f t="shared" si="111"/>
        <v>0</v>
      </c>
      <c r="S319" s="129">
        <f t="shared" si="112"/>
        <v>0</v>
      </c>
      <c r="T319" s="129">
        <f t="shared" si="113"/>
        <v>23</v>
      </c>
      <c r="U319" s="129">
        <f t="shared" si="114"/>
        <v>10120</v>
      </c>
      <c r="V319" s="214">
        <f t="shared" si="115"/>
        <v>67</v>
      </c>
      <c r="W319" s="353">
        <f t="shared" si="116"/>
        <v>6780.4</v>
      </c>
      <c r="X319" s="129">
        <f t="shared" si="117"/>
        <v>6780.4</v>
      </c>
      <c r="Y319" s="129" t="str">
        <f t="shared" si="118"/>
        <v/>
      </c>
      <c r="Z319" s="145"/>
      <c r="BA319" s="75" t="e">
        <f t="shared" si="124"/>
        <v>#DIV/0!</v>
      </c>
      <c r="BB319" s="78"/>
      <c r="BC319" s="132"/>
      <c r="BD319" s="133"/>
      <c r="BE319" s="132"/>
      <c r="BF319" s="134"/>
      <c r="BG319" s="135"/>
      <c r="BH319" s="135"/>
      <c r="BI319" s="136"/>
      <c r="BJ319" s="136"/>
      <c r="BK319" s="136"/>
      <c r="BL319" s="136"/>
      <c r="BM319" s="137"/>
      <c r="BN319" s="137"/>
      <c r="BO319" s="75">
        <f>LOOKUP(D319,基础数据!A:D)</f>
        <v>3.71817185033308</v>
      </c>
      <c r="BP319" s="75">
        <f t="shared" si="126"/>
        <v>0.956846512892551</v>
      </c>
      <c r="BQ319" s="75">
        <f t="shared" si="127"/>
        <v>440</v>
      </c>
      <c r="BR319" s="272">
        <f t="shared" si="133"/>
        <v>497</v>
      </c>
      <c r="BS319" s="156">
        <f t="shared" si="119"/>
        <v>57.18</v>
      </c>
      <c r="BT319" s="156"/>
      <c r="BU319" s="156">
        <f t="shared" si="130"/>
        <v>0</v>
      </c>
      <c r="BV319" s="156">
        <f t="shared" si="131"/>
        <v>0</v>
      </c>
      <c r="BW319" s="156">
        <f t="shared" si="125"/>
        <v>440</v>
      </c>
      <c r="BX319" s="156">
        <f t="shared" si="122"/>
        <v>1.98220396988364</v>
      </c>
      <c r="BY319" s="1207" t="s">
        <v>2878</v>
      </c>
      <c r="BZ319" s="272">
        <v>6</v>
      </c>
      <c r="CA319" s="186">
        <f t="shared" si="123"/>
        <v>0.67</v>
      </c>
      <c r="CB319" s="186">
        <f t="shared" si="128"/>
        <v>0.67</v>
      </c>
      <c r="CC319" s="186">
        <f t="shared" si="129"/>
        <v>0.67</v>
      </c>
      <c r="CD319" s="272"/>
      <c r="CF319" s="134"/>
      <c r="CG319" s="138"/>
      <c r="CH319" s="132"/>
      <c r="CI319" s="138"/>
      <c r="CJ319" s="132"/>
      <c r="CK319" s="132"/>
      <c r="CL319" s="134"/>
      <c r="CM319" s="146"/>
    </row>
    <row r="320" ht="15" hidden="1" customHeight="1" spans="1:91">
      <c r="A320" s="123">
        <f>IF(B320="","",COUNT(A$7:A319)+1)</f>
        <v>313</v>
      </c>
      <c r="B320" s="139" t="s">
        <v>2978</v>
      </c>
      <c r="C320" s="139" t="s">
        <v>2979</v>
      </c>
      <c r="D320" s="1209">
        <v>45145</v>
      </c>
      <c r="E320" s="1210">
        <v>960</v>
      </c>
      <c r="F320" s="219" t="s">
        <v>2942</v>
      </c>
      <c r="G320" s="142"/>
      <c r="H320" s="127"/>
      <c r="I320" s="128"/>
      <c r="J320" s="128"/>
      <c r="K320" s="980">
        <v>2</v>
      </c>
      <c r="L320" s="143"/>
      <c r="M320" s="143"/>
      <c r="N320" s="144"/>
      <c r="O320" s="144"/>
      <c r="P320" s="144"/>
      <c r="Q320" s="353">
        <f t="shared" si="110"/>
        <v>2</v>
      </c>
      <c r="R320" s="129">
        <f t="shared" si="111"/>
        <v>0</v>
      </c>
      <c r="S320" s="129">
        <f t="shared" si="112"/>
        <v>0</v>
      </c>
      <c r="T320" s="129">
        <f t="shared" si="113"/>
        <v>2</v>
      </c>
      <c r="U320" s="129">
        <f t="shared" si="114"/>
        <v>918</v>
      </c>
      <c r="V320" s="214">
        <f t="shared" si="115"/>
        <v>67</v>
      </c>
      <c r="W320" s="353">
        <f t="shared" si="116"/>
        <v>615.06</v>
      </c>
      <c r="X320" s="129">
        <f t="shared" si="117"/>
        <v>615.06</v>
      </c>
      <c r="Y320" s="129" t="str">
        <f t="shared" si="118"/>
        <v/>
      </c>
      <c r="Z320" s="145"/>
      <c r="BA320" s="75" t="e">
        <f t="shared" si="124"/>
        <v>#DIV/0!</v>
      </c>
      <c r="BB320" s="78"/>
      <c r="BC320" s="132"/>
      <c r="BD320" s="133"/>
      <c r="BE320" s="132"/>
      <c r="BF320" s="134"/>
      <c r="BG320" s="135"/>
      <c r="BH320" s="135"/>
      <c r="BI320" s="136"/>
      <c r="BJ320" s="136"/>
      <c r="BK320" s="136"/>
      <c r="BL320" s="136"/>
      <c r="BM320" s="137"/>
      <c r="BN320" s="137"/>
      <c r="BO320" s="75">
        <f>LOOKUP(D320,基础数据!A:D)</f>
        <v>3.71817185033308</v>
      </c>
      <c r="BP320" s="75">
        <f t="shared" si="126"/>
        <v>0.956846512892551</v>
      </c>
      <c r="BQ320" s="75">
        <f t="shared" si="127"/>
        <v>459</v>
      </c>
      <c r="BR320" s="272">
        <f t="shared" si="133"/>
        <v>519</v>
      </c>
      <c r="BS320" s="156">
        <f t="shared" si="119"/>
        <v>59.71</v>
      </c>
      <c r="BT320" s="156"/>
      <c r="BU320" s="156">
        <f t="shared" si="130"/>
        <v>0</v>
      </c>
      <c r="BV320" s="156">
        <f t="shared" si="131"/>
        <v>0</v>
      </c>
      <c r="BW320" s="156">
        <f t="shared" si="125"/>
        <v>459</v>
      </c>
      <c r="BX320" s="156">
        <f t="shared" si="122"/>
        <v>1.98220396988364</v>
      </c>
      <c r="BY320" s="1207" t="s">
        <v>2878</v>
      </c>
      <c r="BZ320" s="272">
        <v>6</v>
      </c>
      <c r="CA320" s="186">
        <f t="shared" si="123"/>
        <v>0.67</v>
      </c>
      <c r="CB320" s="186">
        <f t="shared" si="128"/>
        <v>0.67</v>
      </c>
      <c r="CC320" s="186">
        <f t="shared" si="129"/>
        <v>0.67</v>
      </c>
      <c r="CD320" s="272"/>
      <c r="CF320" s="134"/>
      <c r="CG320" s="138"/>
      <c r="CH320" s="132"/>
      <c r="CI320" s="138"/>
      <c r="CJ320" s="132"/>
      <c r="CK320" s="132"/>
      <c r="CL320" s="134"/>
      <c r="CM320" s="146"/>
    </row>
    <row r="321" ht="15" hidden="1" customHeight="1" spans="1:91">
      <c r="A321" s="123">
        <f>IF(B321="","",COUNT(A$7:A320)+1)</f>
        <v>314</v>
      </c>
      <c r="B321" s="139" t="s">
        <v>2980</v>
      </c>
      <c r="C321" s="139" t="s">
        <v>2981</v>
      </c>
      <c r="D321" s="1209">
        <v>44882</v>
      </c>
      <c r="E321" s="1210">
        <v>3680</v>
      </c>
      <c r="F321" s="219" t="s">
        <v>2942</v>
      </c>
      <c r="G321" s="142"/>
      <c r="H321" s="127"/>
      <c r="I321" s="128"/>
      <c r="J321" s="128"/>
      <c r="K321" s="980">
        <v>4</v>
      </c>
      <c r="L321" s="143"/>
      <c r="M321" s="143"/>
      <c r="N321" s="144"/>
      <c r="O321" s="144"/>
      <c r="P321" s="144"/>
      <c r="Q321" s="353">
        <f t="shared" si="110"/>
        <v>4</v>
      </c>
      <c r="R321" s="129">
        <f t="shared" si="111"/>
        <v>0</v>
      </c>
      <c r="S321" s="129">
        <f t="shared" si="112"/>
        <v>0</v>
      </c>
      <c r="T321" s="129">
        <f t="shared" si="113"/>
        <v>4</v>
      </c>
      <c r="U321" s="129">
        <f t="shared" si="114"/>
        <v>3408</v>
      </c>
      <c r="V321" s="214">
        <f t="shared" si="115"/>
        <v>55</v>
      </c>
      <c r="W321" s="353">
        <f t="shared" si="116"/>
        <v>1874.4</v>
      </c>
      <c r="X321" s="129">
        <f t="shared" si="117"/>
        <v>1874.4</v>
      </c>
      <c r="Y321" s="129" t="str">
        <f t="shared" si="118"/>
        <v/>
      </c>
      <c r="Z321" s="145"/>
      <c r="BA321" s="75" t="e">
        <f t="shared" si="124"/>
        <v>#DIV/0!</v>
      </c>
      <c r="BB321" s="78"/>
      <c r="BC321" s="132"/>
      <c r="BD321" s="133"/>
      <c r="BE321" s="132"/>
      <c r="BF321" s="134"/>
      <c r="BG321" s="135"/>
      <c r="BH321" s="135"/>
      <c r="BI321" s="136"/>
      <c r="BJ321" s="136"/>
      <c r="BK321" s="136"/>
      <c r="BL321" s="136"/>
      <c r="BM321" s="137"/>
      <c r="BN321" s="137"/>
      <c r="BO321" s="75">
        <f>LOOKUP(D321,基础数据!A:D)</f>
        <v>3.83949417682846</v>
      </c>
      <c r="BP321" s="75">
        <f t="shared" si="126"/>
        <v>0.926611580972688</v>
      </c>
      <c r="BQ321" s="75">
        <f t="shared" si="127"/>
        <v>852</v>
      </c>
      <c r="BR321" s="272">
        <f t="shared" si="133"/>
        <v>963</v>
      </c>
      <c r="BS321" s="156">
        <f t="shared" si="119"/>
        <v>110.79</v>
      </c>
      <c r="BT321" s="156"/>
      <c r="BU321" s="156">
        <f t="shared" si="130"/>
        <v>0</v>
      </c>
      <c r="BV321" s="156">
        <f t="shared" si="131"/>
        <v>0</v>
      </c>
      <c r="BW321" s="156">
        <f t="shared" si="125"/>
        <v>852</v>
      </c>
      <c r="BX321" s="156">
        <f t="shared" si="122"/>
        <v>2.70225872689938</v>
      </c>
      <c r="BY321" s="1207" t="s">
        <v>2878</v>
      </c>
      <c r="BZ321" s="272">
        <v>6</v>
      </c>
      <c r="CA321" s="186">
        <f t="shared" si="123"/>
        <v>0.55</v>
      </c>
      <c r="CB321" s="186">
        <f t="shared" si="128"/>
        <v>0.55</v>
      </c>
      <c r="CC321" s="186">
        <f t="shared" si="129"/>
        <v>0.55</v>
      </c>
      <c r="CD321" s="272"/>
      <c r="CF321" s="134"/>
      <c r="CG321" s="138"/>
      <c r="CH321" s="132"/>
      <c r="CI321" s="138"/>
      <c r="CJ321" s="132"/>
      <c r="CK321" s="132"/>
      <c r="CL321" s="134"/>
      <c r="CM321" s="146"/>
    </row>
    <row r="322" ht="15" hidden="1" customHeight="1" spans="1:91">
      <c r="A322" s="123">
        <f>IF(B322="","",COUNT(A$7:A321)+1)</f>
        <v>315</v>
      </c>
      <c r="B322" s="139" t="s">
        <v>2982</v>
      </c>
      <c r="C322" s="139" t="s">
        <v>2983</v>
      </c>
      <c r="D322" s="1209">
        <v>43100</v>
      </c>
      <c r="E322" s="1210">
        <v>690</v>
      </c>
      <c r="F322" s="219" t="s">
        <v>2942</v>
      </c>
      <c r="G322" s="142"/>
      <c r="H322" s="127"/>
      <c r="I322" s="128"/>
      <c r="J322" s="128"/>
      <c r="K322" s="980">
        <v>1</v>
      </c>
      <c r="L322" s="143"/>
      <c r="M322" s="143"/>
      <c r="N322" s="144"/>
      <c r="O322" s="144"/>
      <c r="P322" s="144"/>
      <c r="Q322" s="353">
        <f t="shared" si="110"/>
        <v>1</v>
      </c>
      <c r="R322" s="129">
        <f t="shared" si="111"/>
        <v>0</v>
      </c>
      <c r="S322" s="129">
        <f t="shared" si="112"/>
        <v>0</v>
      </c>
      <c r="T322" s="129">
        <f t="shared" si="113"/>
        <v>1</v>
      </c>
      <c r="U322" s="129">
        <f t="shared" si="114"/>
        <v>694</v>
      </c>
      <c r="V322" s="214">
        <f t="shared" si="115"/>
        <v>15</v>
      </c>
      <c r="W322" s="353">
        <f t="shared" si="116"/>
        <v>104.1</v>
      </c>
      <c r="X322" s="129">
        <f t="shared" si="117"/>
        <v>104.1</v>
      </c>
      <c r="Y322" s="129" t="str">
        <f t="shared" si="118"/>
        <v/>
      </c>
      <c r="Z322" s="145"/>
      <c r="BA322" s="75" t="e">
        <f t="shared" si="124"/>
        <v>#DIV/0!</v>
      </c>
      <c r="BB322" s="78"/>
      <c r="BC322" s="132"/>
      <c r="BD322" s="133"/>
      <c r="BE322" s="132"/>
      <c r="BF322" s="134"/>
      <c r="BG322" s="135"/>
      <c r="BH322" s="135"/>
      <c r="BI322" s="136"/>
      <c r="BJ322" s="136"/>
      <c r="BK322" s="136"/>
      <c r="BL322" s="136"/>
      <c r="BM322" s="137"/>
      <c r="BN322" s="137"/>
      <c r="BO322" s="75">
        <f>LOOKUP(D322,基础数据!A:D)</f>
        <v>3.53915880885741</v>
      </c>
      <c r="BP322" s="75">
        <f t="shared" si="126"/>
        <v>1.00524445538374</v>
      </c>
      <c r="BQ322" s="75">
        <f t="shared" si="127"/>
        <v>694</v>
      </c>
      <c r="BR322" s="272">
        <f t="shared" si="133"/>
        <v>784</v>
      </c>
      <c r="BS322" s="156">
        <f t="shared" si="119"/>
        <v>90.19</v>
      </c>
      <c r="BT322" s="156"/>
      <c r="BU322" s="156">
        <f t="shared" si="130"/>
        <v>0</v>
      </c>
      <c r="BV322" s="156">
        <f t="shared" si="131"/>
        <v>0</v>
      </c>
      <c r="BW322" s="156">
        <f t="shared" si="125"/>
        <v>694</v>
      </c>
      <c r="BX322" s="156">
        <f t="shared" si="122"/>
        <v>7.58110882956879</v>
      </c>
      <c r="BY322" s="1207" t="s">
        <v>2878</v>
      </c>
      <c r="BZ322" s="272">
        <v>6</v>
      </c>
      <c r="CA322" s="186">
        <f t="shared" si="123"/>
        <v>-0.26</v>
      </c>
      <c r="CB322" s="186">
        <f t="shared" si="128"/>
        <v>-0.26</v>
      </c>
      <c r="CC322" s="186">
        <f t="shared" si="129"/>
        <v>-0.26</v>
      </c>
      <c r="CD322" s="272"/>
      <c r="CF322" s="134"/>
      <c r="CG322" s="138"/>
      <c r="CH322" s="132"/>
      <c r="CI322" s="138"/>
      <c r="CJ322" s="132"/>
      <c r="CK322" s="132"/>
      <c r="CL322" s="134"/>
      <c r="CM322" s="146"/>
    </row>
    <row r="323" ht="15" hidden="1" customHeight="1" spans="1:91">
      <c r="A323" s="123">
        <f>IF(B323="","",COUNT(A$7:A322)+1)</f>
        <v>316</v>
      </c>
      <c r="B323" s="139" t="s">
        <v>2982</v>
      </c>
      <c r="C323" s="139" t="s">
        <v>2984</v>
      </c>
      <c r="D323" s="1209">
        <v>43100</v>
      </c>
      <c r="E323" s="1210">
        <v>690</v>
      </c>
      <c r="F323" s="219" t="s">
        <v>2942</v>
      </c>
      <c r="G323" s="142"/>
      <c r="H323" s="127"/>
      <c r="I323" s="128"/>
      <c r="J323" s="128"/>
      <c r="K323" s="980">
        <v>1</v>
      </c>
      <c r="L323" s="143"/>
      <c r="M323" s="143"/>
      <c r="N323" s="144"/>
      <c r="O323" s="144"/>
      <c r="P323" s="144"/>
      <c r="Q323" s="353">
        <f t="shared" si="110"/>
        <v>1</v>
      </c>
      <c r="R323" s="129">
        <f t="shared" si="111"/>
        <v>0</v>
      </c>
      <c r="S323" s="129">
        <f t="shared" si="112"/>
        <v>0</v>
      </c>
      <c r="T323" s="129">
        <f t="shared" si="113"/>
        <v>1</v>
      </c>
      <c r="U323" s="129">
        <f t="shared" si="114"/>
        <v>694</v>
      </c>
      <c r="V323" s="214">
        <f t="shared" si="115"/>
        <v>15</v>
      </c>
      <c r="W323" s="353">
        <f t="shared" si="116"/>
        <v>104.1</v>
      </c>
      <c r="X323" s="129">
        <f t="shared" si="117"/>
        <v>104.1</v>
      </c>
      <c r="Y323" s="129" t="str">
        <f t="shared" si="118"/>
        <v/>
      </c>
      <c r="Z323" s="145"/>
      <c r="BA323" s="75" t="e">
        <f t="shared" si="124"/>
        <v>#DIV/0!</v>
      </c>
      <c r="BB323" s="78"/>
      <c r="BC323" s="132"/>
      <c r="BD323" s="133"/>
      <c r="BE323" s="132"/>
      <c r="BF323" s="134"/>
      <c r="BG323" s="135"/>
      <c r="BH323" s="135"/>
      <c r="BI323" s="136"/>
      <c r="BJ323" s="136"/>
      <c r="BK323" s="136"/>
      <c r="BL323" s="136"/>
      <c r="BM323" s="137"/>
      <c r="BN323" s="137"/>
      <c r="BO323" s="75">
        <f>LOOKUP(D323,基础数据!A:D)</f>
        <v>3.53915880885741</v>
      </c>
      <c r="BP323" s="75">
        <f t="shared" si="126"/>
        <v>1.00524445538374</v>
      </c>
      <c r="BQ323" s="75">
        <f t="shared" si="127"/>
        <v>694</v>
      </c>
      <c r="BR323" s="272">
        <f t="shared" si="133"/>
        <v>784</v>
      </c>
      <c r="BS323" s="156">
        <f t="shared" si="119"/>
        <v>90.19</v>
      </c>
      <c r="BT323" s="156"/>
      <c r="BU323" s="156">
        <f t="shared" si="130"/>
        <v>0</v>
      </c>
      <c r="BV323" s="156">
        <f t="shared" si="131"/>
        <v>0</v>
      </c>
      <c r="BW323" s="156">
        <f t="shared" si="125"/>
        <v>694</v>
      </c>
      <c r="BX323" s="156">
        <f t="shared" si="122"/>
        <v>7.58110882956879</v>
      </c>
      <c r="BY323" s="1207" t="s">
        <v>2878</v>
      </c>
      <c r="BZ323" s="272">
        <v>6</v>
      </c>
      <c r="CA323" s="186">
        <f t="shared" si="123"/>
        <v>-0.26</v>
      </c>
      <c r="CB323" s="186">
        <f t="shared" si="128"/>
        <v>-0.26</v>
      </c>
      <c r="CC323" s="186">
        <f t="shared" si="129"/>
        <v>-0.26</v>
      </c>
      <c r="CD323" s="272"/>
      <c r="CF323" s="134"/>
      <c r="CG323" s="138"/>
      <c r="CH323" s="132"/>
      <c r="CI323" s="138"/>
      <c r="CJ323" s="132"/>
      <c r="CK323" s="132"/>
      <c r="CL323" s="134"/>
      <c r="CM323" s="146"/>
    </row>
    <row r="324" ht="15" hidden="1" customHeight="1" spans="1:91">
      <c r="A324" s="123">
        <f>IF(B324="","",COUNT(A$7:A323)+1)</f>
        <v>317</v>
      </c>
      <c r="B324" s="139" t="s">
        <v>2982</v>
      </c>
      <c r="C324" s="139" t="s">
        <v>2985</v>
      </c>
      <c r="D324" s="1209">
        <v>43100</v>
      </c>
      <c r="E324" s="1210">
        <v>690</v>
      </c>
      <c r="F324" s="219" t="s">
        <v>2942</v>
      </c>
      <c r="G324" s="142"/>
      <c r="H324" s="127"/>
      <c r="I324" s="128"/>
      <c r="J324" s="128"/>
      <c r="K324" s="980">
        <v>1</v>
      </c>
      <c r="L324" s="143"/>
      <c r="M324" s="143"/>
      <c r="N324" s="144"/>
      <c r="O324" s="144"/>
      <c r="P324" s="144"/>
      <c r="Q324" s="353">
        <f t="shared" si="110"/>
        <v>1</v>
      </c>
      <c r="R324" s="129">
        <f t="shared" si="111"/>
        <v>0</v>
      </c>
      <c r="S324" s="129">
        <f t="shared" si="112"/>
        <v>0</v>
      </c>
      <c r="T324" s="129">
        <f t="shared" si="113"/>
        <v>1</v>
      </c>
      <c r="U324" s="129">
        <f t="shared" si="114"/>
        <v>694</v>
      </c>
      <c r="V324" s="214">
        <f t="shared" si="115"/>
        <v>15</v>
      </c>
      <c r="W324" s="353">
        <f t="shared" si="116"/>
        <v>104.1</v>
      </c>
      <c r="X324" s="129">
        <f t="shared" si="117"/>
        <v>104.1</v>
      </c>
      <c r="Y324" s="129" t="str">
        <f t="shared" si="118"/>
        <v/>
      </c>
      <c r="Z324" s="145"/>
      <c r="BA324" s="75" t="e">
        <f t="shared" si="124"/>
        <v>#DIV/0!</v>
      </c>
      <c r="BB324" s="78"/>
      <c r="BC324" s="132"/>
      <c r="BD324" s="133"/>
      <c r="BE324" s="132"/>
      <c r="BF324" s="134"/>
      <c r="BG324" s="135"/>
      <c r="BH324" s="135"/>
      <c r="BI324" s="136"/>
      <c r="BJ324" s="136"/>
      <c r="BK324" s="136"/>
      <c r="BL324" s="136"/>
      <c r="BM324" s="137"/>
      <c r="BN324" s="137"/>
      <c r="BO324" s="75">
        <f>LOOKUP(D324,基础数据!A:D)</f>
        <v>3.53915880885741</v>
      </c>
      <c r="BP324" s="75">
        <f t="shared" si="126"/>
        <v>1.00524445538374</v>
      </c>
      <c r="BQ324" s="75">
        <f t="shared" si="127"/>
        <v>694</v>
      </c>
      <c r="BR324" s="272">
        <f t="shared" si="133"/>
        <v>784</v>
      </c>
      <c r="BS324" s="156">
        <f t="shared" si="119"/>
        <v>90.19</v>
      </c>
      <c r="BT324" s="156"/>
      <c r="BU324" s="156">
        <f t="shared" si="130"/>
        <v>0</v>
      </c>
      <c r="BV324" s="156">
        <f t="shared" si="131"/>
        <v>0</v>
      </c>
      <c r="BW324" s="156">
        <f t="shared" si="125"/>
        <v>694</v>
      </c>
      <c r="BX324" s="156">
        <f t="shared" si="122"/>
        <v>7.58110882956879</v>
      </c>
      <c r="BY324" s="1207" t="s">
        <v>2878</v>
      </c>
      <c r="BZ324" s="272">
        <v>6</v>
      </c>
      <c r="CA324" s="186">
        <f t="shared" si="123"/>
        <v>-0.26</v>
      </c>
      <c r="CB324" s="186">
        <f t="shared" si="128"/>
        <v>-0.26</v>
      </c>
      <c r="CC324" s="186">
        <f t="shared" si="129"/>
        <v>-0.26</v>
      </c>
      <c r="CD324" s="272"/>
      <c r="CF324" s="134"/>
      <c r="CG324" s="138"/>
      <c r="CH324" s="132"/>
      <c r="CI324" s="138"/>
      <c r="CJ324" s="132"/>
      <c r="CK324" s="132"/>
      <c r="CL324" s="134"/>
      <c r="CM324" s="146"/>
    </row>
    <row r="325" ht="15" hidden="1" customHeight="1" spans="1:91">
      <c r="A325" s="123">
        <f>IF(B325="","",COUNT(A$7:A324)+1)</f>
        <v>318</v>
      </c>
      <c r="B325" s="139" t="s">
        <v>2986</v>
      </c>
      <c r="C325" s="139"/>
      <c r="D325" s="1209">
        <v>43100</v>
      </c>
      <c r="E325" s="1210">
        <v>163044.95</v>
      </c>
      <c r="F325" s="219" t="s">
        <v>2871</v>
      </c>
      <c r="G325" s="142"/>
      <c r="H325" s="127"/>
      <c r="I325" s="128"/>
      <c r="J325" s="128"/>
      <c r="K325" s="980">
        <v>1</v>
      </c>
      <c r="L325" s="143"/>
      <c r="M325" s="143"/>
      <c r="N325" s="144"/>
      <c r="O325" s="144"/>
      <c r="P325" s="144"/>
      <c r="Q325" s="353">
        <f t="shared" si="110"/>
        <v>1</v>
      </c>
      <c r="R325" s="129">
        <f t="shared" si="111"/>
        <v>0</v>
      </c>
      <c r="S325" s="129">
        <f t="shared" si="112"/>
        <v>0</v>
      </c>
      <c r="T325" s="129">
        <f t="shared" si="113"/>
        <v>1</v>
      </c>
      <c r="U325" s="129">
        <f t="shared" si="114"/>
        <v>167298</v>
      </c>
      <c r="V325" s="214">
        <f t="shared" si="115"/>
        <v>15</v>
      </c>
      <c r="W325" s="353">
        <f t="shared" si="116"/>
        <v>25094.7</v>
      </c>
      <c r="X325" s="129">
        <f t="shared" si="117"/>
        <v>25094.7</v>
      </c>
      <c r="Y325" s="129" t="str">
        <f t="shared" si="118"/>
        <v/>
      </c>
      <c r="Z325" s="145"/>
      <c r="BA325" s="75" t="e">
        <f t="shared" si="124"/>
        <v>#DIV/0!</v>
      </c>
      <c r="BB325" s="78"/>
      <c r="BC325" s="132"/>
      <c r="BD325" s="133"/>
      <c r="BE325" s="132"/>
      <c r="BF325" s="134"/>
      <c r="BG325" s="135"/>
      <c r="BH325" s="135"/>
      <c r="BI325" s="136"/>
      <c r="BJ325" s="136"/>
      <c r="BK325" s="136"/>
      <c r="BL325" s="136"/>
      <c r="BM325" s="137"/>
      <c r="BN325" s="137"/>
      <c r="BO325" s="75">
        <f>LOOKUP(D325,基础数据!A:D)</f>
        <v>3.53915880885741</v>
      </c>
      <c r="BP325" s="75">
        <f t="shared" si="126"/>
        <v>1.00524445538374</v>
      </c>
      <c r="BQ325" s="75">
        <f t="shared" si="127"/>
        <v>163900</v>
      </c>
      <c r="BR325" s="272">
        <f t="shared" si="133"/>
        <v>185207</v>
      </c>
      <c r="BS325" s="156">
        <f t="shared" si="119"/>
        <v>21307</v>
      </c>
      <c r="BT325" s="186">
        <v>0.02</v>
      </c>
      <c r="BU325" s="156">
        <f t="shared" si="130"/>
        <v>3704.14</v>
      </c>
      <c r="BV325" s="156">
        <f t="shared" si="131"/>
        <v>305.85</v>
      </c>
      <c r="BW325" s="156">
        <f t="shared" si="125"/>
        <v>167298</v>
      </c>
      <c r="BX325" s="156">
        <f t="shared" si="122"/>
        <v>7.58110882956879</v>
      </c>
      <c r="BY325" s="1207" t="s">
        <v>2911</v>
      </c>
      <c r="BZ325" s="272">
        <v>7</v>
      </c>
      <c r="CA325" s="186">
        <f t="shared" si="123"/>
        <v>-0.08</v>
      </c>
      <c r="CB325" s="186">
        <f t="shared" si="128"/>
        <v>-0.08</v>
      </c>
      <c r="CC325" s="186">
        <f t="shared" si="129"/>
        <v>-0.08</v>
      </c>
      <c r="CD325" s="272"/>
      <c r="CF325" s="134"/>
      <c r="CG325" s="138"/>
      <c r="CH325" s="132"/>
      <c r="CI325" s="138"/>
      <c r="CJ325" s="132"/>
      <c r="CK325" s="132"/>
      <c r="CL325" s="134"/>
      <c r="CM325" s="146"/>
    </row>
    <row r="326" ht="15" hidden="1" customHeight="1" spans="1:91">
      <c r="A326" s="123">
        <f>IF(B326="","",COUNT(A$7:A325)+1)</f>
        <v>319</v>
      </c>
      <c r="B326" s="798" t="s">
        <v>2987</v>
      </c>
      <c r="C326" s="139"/>
      <c r="D326" s="1209">
        <v>43100</v>
      </c>
      <c r="E326" s="1210">
        <v>361412.49</v>
      </c>
      <c r="F326" s="219" t="s">
        <v>2871</v>
      </c>
      <c r="G326" s="142"/>
      <c r="H326" s="127"/>
      <c r="I326" s="128"/>
      <c r="J326" s="128"/>
      <c r="K326" s="980">
        <v>1</v>
      </c>
      <c r="L326" s="143"/>
      <c r="M326" s="143"/>
      <c r="N326" s="144"/>
      <c r="O326" s="144"/>
      <c r="P326" s="144"/>
      <c r="Q326" s="353">
        <f t="shared" ref="Q326:Q389" si="135">IF(B326="","",K326+N326)</f>
        <v>1</v>
      </c>
      <c r="R326" s="129">
        <f t="shared" ref="R326:R389" si="136">IF(B326="","",L326+O326)</f>
        <v>0</v>
      </c>
      <c r="S326" s="129">
        <f t="shared" ref="S326:S389" si="137">IF(B326="","",M326+P326)</f>
        <v>0</v>
      </c>
      <c r="T326" s="129">
        <f t="shared" ref="T326:T389" si="138">IF(B326="","",IF(BC$3="是",Q326,""))</f>
        <v>1</v>
      </c>
      <c r="U326" s="129">
        <f t="shared" ref="U326:U389" si="139">IF(B326="","",IF(BC$3="是",IFERROR(ROUND(BW326,0)*T326,""),""))</f>
        <v>378374</v>
      </c>
      <c r="V326" s="214">
        <f t="shared" ref="V326:V389" si="140">IF(B326="","",IF(BC$3="是",IF(B326="","",MAX(CA326,15%)*100),""))</f>
        <v>62</v>
      </c>
      <c r="W326" s="353">
        <f t="shared" ref="W326:W389" si="141">IFERROR(U326*V326/100,"")</f>
        <v>234591.88</v>
      </c>
      <c r="X326" s="129">
        <f t="shared" ref="X326:X389" si="142">IFERROR(W326-(R326-S326),"")</f>
        <v>234591.88</v>
      </c>
      <c r="Y326" s="129" t="str">
        <f t="shared" ref="Y326:Y389" si="143">IFERROR(X326/(R326-S326)*100,"")</f>
        <v/>
      </c>
      <c r="Z326" s="145"/>
      <c r="BA326" s="75" t="e">
        <f t="shared" si="124"/>
        <v>#DIV/0!</v>
      </c>
      <c r="BB326" s="78"/>
      <c r="BC326" s="132"/>
      <c r="BD326" s="133"/>
      <c r="BE326" s="132"/>
      <c r="BF326" s="134"/>
      <c r="BG326" s="135"/>
      <c r="BH326" s="135"/>
      <c r="BI326" s="136"/>
      <c r="BJ326" s="136"/>
      <c r="BK326" s="136"/>
      <c r="BL326" s="136"/>
      <c r="BM326" s="137"/>
      <c r="BN326" s="137"/>
      <c r="BO326" s="75">
        <f>LOOKUP(D326,基础数据!A:D)</f>
        <v>3.53915880885741</v>
      </c>
      <c r="BP326" s="75">
        <f t="shared" si="126"/>
        <v>1.00524445538374</v>
      </c>
      <c r="BQ326" s="75">
        <f t="shared" si="127"/>
        <v>363308</v>
      </c>
      <c r="BR326" s="272">
        <f t="shared" si="133"/>
        <v>410538</v>
      </c>
      <c r="BS326" s="156">
        <f t="shared" ref="BS326:BS389" si="144">ROUND(BR326/(1+BS$6)*BS$6,2)</f>
        <v>47230.04</v>
      </c>
      <c r="BT326" s="186">
        <v>0.04</v>
      </c>
      <c r="BU326" s="156">
        <f t="shared" si="130"/>
        <v>16421.52</v>
      </c>
      <c r="BV326" s="156">
        <f t="shared" si="131"/>
        <v>1355.91</v>
      </c>
      <c r="BW326" s="156">
        <f t="shared" si="125"/>
        <v>378374</v>
      </c>
      <c r="BX326" s="156">
        <f t="shared" ref="BX326:BX389" si="145">(BX$6-D326)/365.25</f>
        <v>7.58110882956879</v>
      </c>
      <c r="BY326" s="1207" t="s">
        <v>2965</v>
      </c>
      <c r="BZ326" s="272">
        <v>20</v>
      </c>
      <c r="CA326" s="186">
        <f t="shared" ref="CA326:CA389" si="146">ROUND(IFERROR(1-(BX326/BZ326),0),2)</f>
        <v>0.62</v>
      </c>
      <c r="CB326" s="186">
        <f t="shared" si="128"/>
        <v>0.62</v>
      </c>
      <c r="CC326" s="186">
        <f t="shared" si="129"/>
        <v>0.62</v>
      </c>
      <c r="CD326" s="272"/>
      <c r="CF326" s="134"/>
      <c r="CG326" s="138"/>
      <c r="CH326" s="132"/>
      <c r="CI326" s="138"/>
      <c r="CJ326" s="132"/>
      <c r="CK326" s="132"/>
      <c r="CL326" s="134"/>
      <c r="CM326" s="146"/>
    </row>
    <row r="327" ht="15" hidden="1" customHeight="1" spans="1:91">
      <c r="A327" s="123">
        <f>IF(B327="","",COUNT(A$7:A326)+1)</f>
        <v>320</v>
      </c>
      <c r="B327" s="139" t="s">
        <v>2988</v>
      </c>
      <c r="C327" s="139"/>
      <c r="D327" s="1209">
        <v>43100</v>
      </c>
      <c r="E327" s="1210">
        <v>173319.18</v>
      </c>
      <c r="F327" s="219" t="s">
        <v>2871</v>
      </c>
      <c r="G327" s="142"/>
      <c r="H327" s="127"/>
      <c r="I327" s="128"/>
      <c r="J327" s="128"/>
      <c r="K327" s="980">
        <v>1</v>
      </c>
      <c r="L327" s="143"/>
      <c r="M327" s="143"/>
      <c r="N327" s="144"/>
      <c r="O327" s="144"/>
      <c r="P327" s="144"/>
      <c r="Q327" s="353">
        <f t="shared" si="135"/>
        <v>1</v>
      </c>
      <c r="R327" s="129">
        <f t="shared" si="136"/>
        <v>0</v>
      </c>
      <c r="S327" s="129">
        <f t="shared" si="137"/>
        <v>0</v>
      </c>
      <c r="T327" s="129">
        <f t="shared" si="138"/>
        <v>1</v>
      </c>
      <c r="U327" s="129">
        <f t="shared" si="139"/>
        <v>177841</v>
      </c>
      <c r="V327" s="214">
        <f t="shared" si="140"/>
        <v>15</v>
      </c>
      <c r="W327" s="353">
        <f t="shared" si="141"/>
        <v>26676.15</v>
      </c>
      <c r="X327" s="129">
        <f t="shared" si="142"/>
        <v>26676.15</v>
      </c>
      <c r="Y327" s="129" t="str">
        <f t="shared" si="143"/>
        <v/>
      </c>
      <c r="Z327" s="145"/>
      <c r="BA327" s="75" t="e">
        <f t="shared" ref="BA327:BA390" si="147">(U327-R327)/R327</f>
        <v>#DIV/0!</v>
      </c>
      <c r="BB327" s="78"/>
      <c r="BC327" s="132"/>
      <c r="BD327" s="133"/>
      <c r="BE327" s="132"/>
      <c r="BF327" s="134"/>
      <c r="BG327" s="135"/>
      <c r="BH327" s="135"/>
      <c r="BI327" s="136"/>
      <c r="BJ327" s="136"/>
      <c r="BK327" s="136"/>
      <c r="BL327" s="136"/>
      <c r="BM327" s="137"/>
      <c r="BN327" s="137"/>
      <c r="BO327" s="75">
        <f>LOOKUP(D327,基础数据!A:D)</f>
        <v>3.53915880885741</v>
      </c>
      <c r="BP327" s="75">
        <f t="shared" si="126"/>
        <v>1.00524445538374</v>
      </c>
      <c r="BQ327" s="75">
        <f t="shared" si="127"/>
        <v>174228</v>
      </c>
      <c r="BR327" s="272">
        <f t="shared" si="133"/>
        <v>196878</v>
      </c>
      <c r="BS327" s="156">
        <f t="shared" si="144"/>
        <v>22649.68</v>
      </c>
      <c r="BT327" s="186">
        <v>0.02</v>
      </c>
      <c r="BU327" s="156">
        <f t="shared" si="130"/>
        <v>3937.56</v>
      </c>
      <c r="BV327" s="156">
        <f t="shared" si="131"/>
        <v>325.12</v>
      </c>
      <c r="BW327" s="156">
        <f t="shared" ref="BW327:BW390" si="148">ROUND(BR327+BU327-BS327-BV327,0)</f>
        <v>177841</v>
      </c>
      <c r="BX327" s="156">
        <f t="shared" si="145"/>
        <v>7.58110882956879</v>
      </c>
      <c r="BY327" s="1207" t="s">
        <v>2911</v>
      </c>
      <c r="BZ327" s="272">
        <v>7</v>
      </c>
      <c r="CA327" s="186">
        <f t="shared" si="146"/>
        <v>-0.08</v>
      </c>
      <c r="CB327" s="186">
        <f t="shared" si="128"/>
        <v>-0.08</v>
      </c>
      <c r="CC327" s="186">
        <f t="shared" si="129"/>
        <v>-0.08</v>
      </c>
      <c r="CD327" s="272"/>
      <c r="CF327" s="134"/>
      <c r="CG327" s="138"/>
      <c r="CH327" s="132"/>
      <c r="CI327" s="138"/>
      <c r="CJ327" s="132"/>
      <c r="CK327" s="132"/>
      <c r="CL327" s="134"/>
      <c r="CM327" s="146"/>
    </row>
    <row r="328" ht="15" hidden="1" customHeight="1" spans="1:91">
      <c r="A328" s="123">
        <f>IF(B328="","",COUNT(A$7:A327)+1)</f>
        <v>321</v>
      </c>
      <c r="B328" s="798" t="s">
        <v>2989</v>
      </c>
      <c r="C328" s="139"/>
      <c r="D328" s="1209">
        <v>43100</v>
      </c>
      <c r="E328" s="1210">
        <v>355877.19</v>
      </c>
      <c r="F328" s="219" t="s">
        <v>2871</v>
      </c>
      <c r="G328" s="142"/>
      <c r="H328" s="127"/>
      <c r="I328" s="128"/>
      <c r="J328" s="128"/>
      <c r="K328" s="980">
        <v>1</v>
      </c>
      <c r="L328" s="143"/>
      <c r="M328" s="143"/>
      <c r="N328" s="144"/>
      <c r="O328" s="144"/>
      <c r="P328" s="144"/>
      <c r="Q328" s="353">
        <f t="shared" si="135"/>
        <v>1</v>
      </c>
      <c r="R328" s="129">
        <f t="shared" si="136"/>
        <v>0</v>
      </c>
      <c r="S328" s="129">
        <f t="shared" si="137"/>
        <v>0</v>
      </c>
      <c r="T328" s="129">
        <f t="shared" si="138"/>
        <v>1</v>
      </c>
      <c r="U328" s="129">
        <f t="shared" si="139"/>
        <v>365162</v>
      </c>
      <c r="V328" s="214">
        <f t="shared" si="140"/>
        <v>15</v>
      </c>
      <c r="W328" s="353">
        <f t="shared" si="141"/>
        <v>54774.3</v>
      </c>
      <c r="X328" s="129">
        <f t="shared" si="142"/>
        <v>54774.3</v>
      </c>
      <c r="Y328" s="129" t="str">
        <f t="shared" si="143"/>
        <v/>
      </c>
      <c r="Z328" s="145"/>
      <c r="BA328" s="75" t="e">
        <f t="shared" si="147"/>
        <v>#DIV/0!</v>
      </c>
      <c r="BB328" s="78"/>
      <c r="BC328" s="132"/>
      <c r="BD328" s="133"/>
      <c r="BE328" s="132"/>
      <c r="BF328" s="134"/>
      <c r="BG328" s="135"/>
      <c r="BH328" s="135"/>
      <c r="BI328" s="136"/>
      <c r="BJ328" s="136"/>
      <c r="BK328" s="136"/>
      <c r="BL328" s="136"/>
      <c r="BM328" s="137"/>
      <c r="BN328" s="137"/>
      <c r="BO328" s="75">
        <f>LOOKUP(D328,基础数据!A:D)</f>
        <v>3.53915880885741</v>
      </c>
      <c r="BP328" s="75">
        <f t="shared" ref="BP328:BP391" si="149">BO$6/BO328</f>
        <v>1.00524445538374</v>
      </c>
      <c r="BQ328" s="75">
        <f t="shared" ref="BQ328:BQ391" si="150">ROUND(E328*BP328/Q328,0)</f>
        <v>357744</v>
      </c>
      <c r="BR328" s="272">
        <f t="shared" si="133"/>
        <v>404251</v>
      </c>
      <c r="BS328" s="156">
        <f t="shared" si="144"/>
        <v>46506.75</v>
      </c>
      <c r="BT328" s="186">
        <v>0.02</v>
      </c>
      <c r="BU328" s="156">
        <f t="shared" si="130"/>
        <v>8085.02</v>
      </c>
      <c r="BV328" s="156">
        <f t="shared" si="131"/>
        <v>667.57</v>
      </c>
      <c r="BW328" s="156">
        <f t="shared" si="148"/>
        <v>365162</v>
      </c>
      <c r="BX328" s="156">
        <f t="shared" si="145"/>
        <v>7.58110882956879</v>
      </c>
      <c r="BY328" s="1207" t="s">
        <v>2911</v>
      </c>
      <c r="BZ328" s="272">
        <v>7</v>
      </c>
      <c r="CA328" s="186">
        <f t="shared" si="146"/>
        <v>-0.08</v>
      </c>
      <c r="CB328" s="186">
        <f t="shared" ref="CB328:CB391" si="151">CA328</f>
        <v>-0.08</v>
      </c>
      <c r="CC328" s="186">
        <f t="shared" ref="CC328:CC391" si="152">CA328*CA$6+CB328*CB$6</f>
        <v>-0.08</v>
      </c>
      <c r="CD328" s="272"/>
      <c r="CF328" s="134"/>
      <c r="CG328" s="138"/>
      <c r="CH328" s="132"/>
      <c r="CI328" s="138"/>
      <c r="CJ328" s="132"/>
      <c r="CK328" s="132"/>
      <c r="CL328" s="134"/>
      <c r="CM328" s="146"/>
    </row>
    <row r="329" ht="15" hidden="1" customHeight="1" spans="1:91">
      <c r="A329" s="123">
        <f>IF(B329="","",COUNT(A$7:A328)+1)</f>
        <v>322</v>
      </c>
      <c r="B329" s="139" t="s">
        <v>2990</v>
      </c>
      <c r="C329" s="139"/>
      <c r="D329" s="1209">
        <v>43100</v>
      </c>
      <c r="E329" s="1210">
        <v>1500</v>
      </c>
      <c r="F329" s="219" t="s">
        <v>2866</v>
      </c>
      <c r="G329" s="142"/>
      <c r="H329" s="127"/>
      <c r="I329" s="128"/>
      <c r="J329" s="128"/>
      <c r="K329" s="980">
        <v>1</v>
      </c>
      <c r="L329" s="143"/>
      <c r="M329" s="143"/>
      <c r="N329" s="144"/>
      <c r="O329" s="144"/>
      <c r="P329" s="144"/>
      <c r="Q329" s="353">
        <f t="shared" si="135"/>
        <v>1</v>
      </c>
      <c r="R329" s="129">
        <f t="shared" si="136"/>
        <v>0</v>
      </c>
      <c r="S329" s="129">
        <f t="shared" si="137"/>
        <v>0</v>
      </c>
      <c r="T329" s="129">
        <f t="shared" si="138"/>
        <v>1</v>
      </c>
      <c r="U329" s="129">
        <f t="shared" si="139"/>
        <v>1508</v>
      </c>
      <c r="V329" s="214">
        <f t="shared" si="140"/>
        <v>24</v>
      </c>
      <c r="W329" s="353">
        <f t="shared" si="141"/>
        <v>361.92</v>
      </c>
      <c r="X329" s="129">
        <f t="shared" si="142"/>
        <v>361.92</v>
      </c>
      <c r="Y329" s="129" t="str">
        <f t="shared" si="143"/>
        <v/>
      </c>
      <c r="Z329" s="145"/>
      <c r="BA329" s="75" t="e">
        <f t="shared" si="147"/>
        <v>#DIV/0!</v>
      </c>
      <c r="BB329" s="78"/>
      <c r="BC329" s="132"/>
      <c r="BD329" s="133"/>
      <c r="BE329" s="132"/>
      <c r="BF329" s="134"/>
      <c r="BG329" s="135"/>
      <c r="BH329" s="135"/>
      <c r="BI329" s="136"/>
      <c r="BJ329" s="136"/>
      <c r="BK329" s="136"/>
      <c r="BL329" s="136"/>
      <c r="BM329" s="137"/>
      <c r="BN329" s="137"/>
      <c r="BO329" s="75">
        <f>LOOKUP(D329,基础数据!A:D)</f>
        <v>3.53915880885741</v>
      </c>
      <c r="BP329" s="75">
        <f t="shared" si="149"/>
        <v>1.00524445538374</v>
      </c>
      <c r="BQ329" s="75">
        <f t="shared" si="150"/>
        <v>1508</v>
      </c>
      <c r="BR329" s="272">
        <f t="shared" si="133"/>
        <v>1704</v>
      </c>
      <c r="BS329" s="156">
        <f t="shared" si="144"/>
        <v>196.04</v>
      </c>
      <c r="BT329" s="156"/>
      <c r="BU329" s="156">
        <f t="shared" si="130"/>
        <v>0</v>
      </c>
      <c r="BV329" s="156">
        <f t="shared" si="131"/>
        <v>0</v>
      </c>
      <c r="BW329" s="156">
        <f t="shared" si="148"/>
        <v>1508</v>
      </c>
      <c r="BX329" s="156">
        <f t="shared" si="145"/>
        <v>7.58110882956879</v>
      </c>
      <c r="BY329" s="1207" t="s">
        <v>2924</v>
      </c>
      <c r="BZ329" s="272">
        <v>10</v>
      </c>
      <c r="CA329" s="186">
        <f t="shared" si="146"/>
        <v>0.24</v>
      </c>
      <c r="CB329" s="186">
        <f t="shared" si="151"/>
        <v>0.24</v>
      </c>
      <c r="CC329" s="186">
        <f t="shared" si="152"/>
        <v>0.24</v>
      </c>
      <c r="CD329" s="272"/>
      <c r="CF329" s="134"/>
      <c r="CG329" s="138"/>
      <c r="CH329" s="132"/>
      <c r="CI329" s="138"/>
      <c r="CJ329" s="132"/>
      <c r="CK329" s="132"/>
      <c r="CL329" s="134"/>
      <c r="CM329" s="146"/>
    </row>
    <row r="330" ht="15" hidden="1" customHeight="1" spans="1:91">
      <c r="A330" s="123">
        <f>IF(B330="","",COUNT(A$7:A329)+1)</f>
        <v>323</v>
      </c>
      <c r="B330" s="798" t="s">
        <v>2991</v>
      </c>
      <c r="C330" s="139"/>
      <c r="D330" s="1209">
        <v>43100</v>
      </c>
      <c r="E330" s="1210">
        <v>415441.23</v>
      </c>
      <c r="F330" s="219" t="s">
        <v>2992</v>
      </c>
      <c r="G330" s="142"/>
      <c r="H330" s="127"/>
      <c r="I330" s="128"/>
      <c r="J330" s="128"/>
      <c r="K330" s="980">
        <v>3</v>
      </c>
      <c r="L330" s="143"/>
      <c r="M330" s="143"/>
      <c r="N330" s="144"/>
      <c r="O330" s="144"/>
      <c r="P330" s="144"/>
      <c r="Q330" s="353">
        <f t="shared" si="135"/>
        <v>3</v>
      </c>
      <c r="R330" s="129">
        <f t="shared" si="136"/>
        <v>0</v>
      </c>
      <c r="S330" s="129">
        <f t="shared" si="137"/>
        <v>0</v>
      </c>
      <c r="T330" s="129">
        <f t="shared" si="138"/>
        <v>3</v>
      </c>
      <c r="U330" s="129">
        <f t="shared" si="139"/>
        <v>434940</v>
      </c>
      <c r="V330" s="214">
        <f t="shared" si="140"/>
        <v>62</v>
      </c>
      <c r="W330" s="353">
        <f t="shared" si="141"/>
        <v>269662.8</v>
      </c>
      <c r="X330" s="129">
        <f t="shared" si="142"/>
        <v>269662.8</v>
      </c>
      <c r="Y330" s="129" t="str">
        <f t="shared" si="143"/>
        <v/>
      </c>
      <c r="Z330" s="145"/>
      <c r="BA330" s="75" t="e">
        <f t="shared" si="147"/>
        <v>#DIV/0!</v>
      </c>
      <c r="BB330" s="78"/>
      <c r="BC330" s="132"/>
      <c r="BD330" s="133"/>
      <c r="BE330" s="132"/>
      <c r="BF330" s="134"/>
      <c r="BG330" s="135"/>
      <c r="BH330" s="135"/>
      <c r="BI330" s="136"/>
      <c r="BJ330" s="136"/>
      <c r="BK330" s="136"/>
      <c r="BL330" s="136"/>
      <c r="BM330" s="137"/>
      <c r="BN330" s="137"/>
      <c r="BO330" s="75">
        <f>LOOKUP(D330,基础数据!A:D)</f>
        <v>3.53915880885741</v>
      </c>
      <c r="BP330" s="75">
        <f t="shared" si="149"/>
        <v>1.00524445538374</v>
      </c>
      <c r="BQ330" s="75">
        <f t="shared" si="150"/>
        <v>139207</v>
      </c>
      <c r="BR330" s="272">
        <f t="shared" si="133"/>
        <v>157304</v>
      </c>
      <c r="BS330" s="156">
        <f t="shared" si="144"/>
        <v>18096.92</v>
      </c>
      <c r="BT330" s="186">
        <v>0.04</v>
      </c>
      <c r="BU330" s="156">
        <f t="shared" si="130"/>
        <v>6292.16</v>
      </c>
      <c r="BV330" s="156">
        <f t="shared" si="131"/>
        <v>519.54</v>
      </c>
      <c r="BW330" s="156">
        <f t="shared" si="148"/>
        <v>144980</v>
      </c>
      <c r="BX330" s="156">
        <f t="shared" si="145"/>
        <v>7.58110882956879</v>
      </c>
      <c r="BY330" s="1207" t="s">
        <v>2965</v>
      </c>
      <c r="BZ330" s="272">
        <v>20</v>
      </c>
      <c r="CA330" s="186">
        <f t="shared" si="146"/>
        <v>0.62</v>
      </c>
      <c r="CB330" s="186">
        <f t="shared" si="151"/>
        <v>0.62</v>
      </c>
      <c r="CC330" s="186">
        <f t="shared" si="152"/>
        <v>0.62</v>
      </c>
      <c r="CD330" s="272"/>
      <c r="CF330" s="134"/>
      <c r="CG330" s="138"/>
      <c r="CH330" s="132"/>
      <c r="CI330" s="138"/>
      <c r="CJ330" s="132"/>
      <c r="CK330" s="132"/>
      <c r="CL330" s="134"/>
      <c r="CM330" s="146"/>
    </row>
    <row r="331" ht="15" hidden="1" customHeight="1" spans="1:91">
      <c r="A331" s="123">
        <f>IF(B331="","",COUNT(A$7:A330)+1)</f>
        <v>324</v>
      </c>
      <c r="B331" s="139" t="s">
        <v>2993</v>
      </c>
      <c r="C331" s="139"/>
      <c r="D331" s="1209">
        <v>43100</v>
      </c>
      <c r="E331" s="1210">
        <v>26885.76</v>
      </c>
      <c r="F331" s="219" t="s">
        <v>2871</v>
      </c>
      <c r="G331" s="142"/>
      <c r="H331" s="127"/>
      <c r="I331" s="128"/>
      <c r="J331" s="128"/>
      <c r="K331" s="980">
        <v>1</v>
      </c>
      <c r="L331" s="143"/>
      <c r="M331" s="143"/>
      <c r="N331" s="144"/>
      <c r="O331" s="144"/>
      <c r="P331" s="144"/>
      <c r="Q331" s="353">
        <f t="shared" si="135"/>
        <v>1</v>
      </c>
      <c r="R331" s="129">
        <f t="shared" si="136"/>
        <v>0</v>
      </c>
      <c r="S331" s="129">
        <f t="shared" si="137"/>
        <v>0</v>
      </c>
      <c r="T331" s="129">
        <f t="shared" si="138"/>
        <v>1</v>
      </c>
      <c r="U331" s="129">
        <f t="shared" si="139"/>
        <v>27588</v>
      </c>
      <c r="V331" s="214">
        <f t="shared" si="140"/>
        <v>15</v>
      </c>
      <c r="W331" s="353">
        <f t="shared" si="141"/>
        <v>4138.2</v>
      </c>
      <c r="X331" s="129">
        <f t="shared" si="142"/>
        <v>4138.2</v>
      </c>
      <c r="Y331" s="129" t="str">
        <f t="shared" si="143"/>
        <v/>
      </c>
      <c r="Z331" s="145"/>
      <c r="BA331" s="75" t="e">
        <f t="shared" si="147"/>
        <v>#DIV/0!</v>
      </c>
      <c r="BB331" s="78"/>
      <c r="BC331" s="132"/>
      <c r="BD331" s="133"/>
      <c r="BE331" s="132"/>
      <c r="BF331" s="134"/>
      <c r="BG331" s="135"/>
      <c r="BH331" s="135"/>
      <c r="BI331" s="136"/>
      <c r="BJ331" s="136"/>
      <c r="BK331" s="136"/>
      <c r="BL331" s="136"/>
      <c r="BM331" s="137"/>
      <c r="BN331" s="137"/>
      <c r="BO331" s="75">
        <f>LOOKUP(D331,基础数据!A:D)</f>
        <v>3.53915880885741</v>
      </c>
      <c r="BP331" s="75">
        <f t="shared" si="149"/>
        <v>1.00524445538374</v>
      </c>
      <c r="BQ331" s="75">
        <f t="shared" si="150"/>
        <v>27027</v>
      </c>
      <c r="BR331" s="272">
        <f t="shared" si="133"/>
        <v>30541</v>
      </c>
      <c r="BS331" s="156">
        <f t="shared" si="144"/>
        <v>3513.57</v>
      </c>
      <c r="BT331" s="186">
        <v>0.02</v>
      </c>
      <c r="BU331" s="156">
        <f t="shared" si="130"/>
        <v>610.82</v>
      </c>
      <c r="BV331" s="156">
        <f t="shared" si="131"/>
        <v>50.43</v>
      </c>
      <c r="BW331" s="156">
        <f t="shared" si="148"/>
        <v>27588</v>
      </c>
      <c r="BX331" s="156">
        <f t="shared" si="145"/>
        <v>7.58110882956879</v>
      </c>
      <c r="BY331" s="1207" t="s">
        <v>2911</v>
      </c>
      <c r="BZ331" s="272">
        <v>7</v>
      </c>
      <c r="CA331" s="186">
        <f t="shared" si="146"/>
        <v>-0.08</v>
      </c>
      <c r="CB331" s="186">
        <f t="shared" si="151"/>
        <v>-0.08</v>
      </c>
      <c r="CC331" s="186">
        <f t="shared" si="152"/>
        <v>-0.08</v>
      </c>
      <c r="CD331" s="272"/>
      <c r="CF331" s="134"/>
      <c r="CG331" s="138"/>
      <c r="CH331" s="132"/>
      <c r="CI331" s="138"/>
      <c r="CJ331" s="132"/>
      <c r="CK331" s="132"/>
      <c r="CL331" s="134"/>
      <c r="CM331" s="146"/>
    </row>
    <row r="332" ht="15" hidden="1" customHeight="1" spans="1:91">
      <c r="A332" s="123">
        <f>IF(B332="","",COUNT(A$7:A331)+1)</f>
        <v>325</v>
      </c>
      <c r="B332" s="139" t="s">
        <v>2994</v>
      </c>
      <c r="C332" s="139"/>
      <c r="D332" s="1209">
        <v>43100</v>
      </c>
      <c r="E332" s="1210">
        <v>3861.06</v>
      </c>
      <c r="F332" s="219" t="s">
        <v>2871</v>
      </c>
      <c r="G332" s="142"/>
      <c r="H332" s="127"/>
      <c r="I332" s="128"/>
      <c r="J332" s="128"/>
      <c r="K332" s="980">
        <v>2</v>
      </c>
      <c r="L332" s="143"/>
      <c r="M332" s="143"/>
      <c r="N332" s="144"/>
      <c r="O332" s="144"/>
      <c r="P332" s="144"/>
      <c r="Q332" s="353">
        <f t="shared" si="135"/>
        <v>2</v>
      </c>
      <c r="R332" s="129">
        <f t="shared" si="136"/>
        <v>0</v>
      </c>
      <c r="S332" s="129">
        <f t="shared" si="137"/>
        <v>0</v>
      </c>
      <c r="T332" s="129">
        <f t="shared" si="138"/>
        <v>2</v>
      </c>
      <c r="U332" s="129">
        <f t="shared" si="139"/>
        <v>3962</v>
      </c>
      <c r="V332" s="214">
        <f t="shared" si="140"/>
        <v>15</v>
      </c>
      <c r="W332" s="353">
        <f t="shared" si="141"/>
        <v>594.3</v>
      </c>
      <c r="X332" s="129">
        <f t="shared" si="142"/>
        <v>594.3</v>
      </c>
      <c r="Y332" s="129" t="str">
        <f t="shared" si="143"/>
        <v/>
      </c>
      <c r="Z332" s="145"/>
      <c r="BA332" s="75" t="e">
        <f t="shared" si="147"/>
        <v>#DIV/0!</v>
      </c>
      <c r="BB332" s="78"/>
      <c r="BC332" s="132"/>
      <c r="BD332" s="133"/>
      <c r="BE332" s="132"/>
      <c r="BF332" s="134"/>
      <c r="BG332" s="135"/>
      <c r="BH332" s="135"/>
      <c r="BI332" s="136"/>
      <c r="BJ332" s="136"/>
      <c r="BK332" s="136"/>
      <c r="BL332" s="136"/>
      <c r="BM332" s="137"/>
      <c r="BN332" s="137"/>
      <c r="BO332" s="75">
        <f>LOOKUP(D332,基础数据!A:D)</f>
        <v>3.53915880885741</v>
      </c>
      <c r="BP332" s="75">
        <f t="shared" si="149"/>
        <v>1.00524445538374</v>
      </c>
      <c r="BQ332" s="75">
        <f t="shared" si="150"/>
        <v>1941</v>
      </c>
      <c r="BR332" s="272">
        <f t="shared" si="133"/>
        <v>2193</v>
      </c>
      <c r="BS332" s="156">
        <f t="shared" si="144"/>
        <v>252.29</v>
      </c>
      <c r="BT332" s="186">
        <v>0.02</v>
      </c>
      <c r="BU332" s="156">
        <f t="shared" si="130"/>
        <v>43.86</v>
      </c>
      <c r="BV332" s="156">
        <f t="shared" si="131"/>
        <v>3.62</v>
      </c>
      <c r="BW332" s="156">
        <f t="shared" si="148"/>
        <v>1981</v>
      </c>
      <c r="BX332" s="156">
        <f t="shared" si="145"/>
        <v>7.58110882956879</v>
      </c>
      <c r="BY332" s="1207" t="s">
        <v>2911</v>
      </c>
      <c r="BZ332" s="272">
        <v>7</v>
      </c>
      <c r="CA332" s="186">
        <f t="shared" si="146"/>
        <v>-0.08</v>
      </c>
      <c r="CB332" s="186">
        <f t="shared" si="151"/>
        <v>-0.08</v>
      </c>
      <c r="CC332" s="186">
        <f t="shared" si="152"/>
        <v>-0.08</v>
      </c>
      <c r="CD332" s="272"/>
      <c r="CF332" s="134"/>
      <c r="CG332" s="138"/>
      <c r="CH332" s="132"/>
      <c r="CI332" s="138"/>
      <c r="CJ332" s="132"/>
      <c r="CK332" s="132"/>
      <c r="CL332" s="134"/>
      <c r="CM332" s="146"/>
    </row>
    <row r="333" ht="15" hidden="1" customHeight="1" spans="1:91">
      <c r="A333" s="123">
        <f>IF(B333="","",COUNT(A$7:A332)+1)</f>
        <v>326</v>
      </c>
      <c r="B333" s="139" t="s">
        <v>2995</v>
      </c>
      <c r="C333" s="139"/>
      <c r="D333" s="1209">
        <v>43100</v>
      </c>
      <c r="E333" s="1210">
        <v>2032.22</v>
      </c>
      <c r="F333" s="219" t="s">
        <v>2866</v>
      </c>
      <c r="G333" s="142"/>
      <c r="H333" s="127"/>
      <c r="I333" s="128"/>
      <c r="J333" s="128"/>
      <c r="K333" s="980">
        <v>2</v>
      </c>
      <c r="L333" s="143"/>
      <c r="M333" s="143"/>
      <c r="N333" s="144"/>
      <c r="O333" s="144"/>
      <c r="P333" s="144"/>
      <c r="Q333" s="353">
        <f t="shared" si="135"/>
        <v>2</v>
      </c>
      <c r="R333" s="129">
        <f t="shared" si="136"/>
        <v>0</v>
      </c>
      <c r="S333" s="129">
        <f t="shared" si="137"/>
        <v>0</v>
      </c>
      <c r="T333" s="129">
        <f t="shared" si="138"/>
        <v>2</v>
      </c>
      <c r="U333" s="129">
        <f t="shared" si="139"/>
        <v>2084</v>
      </c>
      <c r="V333" s="214">
        <f t="shared" si="140"/>
        <v>15</v>
      </c>
      <c r="W333" s="353">
        <f t="shared" si="141"/>
        <v>312.6</v>
      </c>
      <c r="X333" s="129">
        <f t="shared" si="142"/>
        <v>312.6</v>
      </c>
      <c r="Y333" s="129" t="str">
        <f t="shared" si="143"/>
        <v/>
      </c>
      <c r="Z333" s="145"/>
      <c r="BA333" s="75" t="e">
        <f t="shared" si="147"/>
        <v>#DIV/0!</v>
      </c>
      <c r="BB333" s="78"/>
      <c r="BC333" s="132"/>
      <c r="BD333" s="133"/>
      <c r="BE333" s="132"/>
      <c r="BF333" s="134"/>
      <c r="BG333" s="135"/>
      <c r="BH333" s="135"/>
      <c r="BI333" s="136"/>
      <c r="BJ333" s="136"/>
      <c r="BK333" s="136"/>
      <c r="BL333" s="136"/>
      <c r="BM333" s="137"/>
      <c r="BN333" s="137"/>
      <c r="BO333" s="75">
        <f>LOOKUP(D333,基础数据!A:D)</f>
        <v>3.53915880885741</v>
      </c>
      <c r="BP333" s="75">
        <f t="shared" si="149"/>
        <v>1.00524445538374</v>
      </c>
      <c r="BQ333" s="75">
        <f t="shared" si="150"/>
        <v>1021</v>
      </c>
      <c r="BR333" s="272">
        <f t="shared" si="133"/>
        <v>1154</v>
      </c>
      <c r="BS333" s="156">
        <f t="shared" si="144"/>
        <v>132.76</v>
      </c>
      <c r="BT333" s="186">
        <v>0.02</v>
      </c>
      <c r="BU333" s="156">
        <f t="shared" si="130"/>
        <v>23.08</v>
      </c>
      <c r="BV333" s="156">
        <f t="shared" si="131"/>
        <v>1.91</v>
      </c>
      <c r="BW333" s="156">
        <f t="shared" si="148"/>
        <v>1042</v>
      </c>
      <c r="BX333" s="156">
        <f t="shared" si="145"/>
        <v>7.58110882956879</v>
      </c>
      <c r="BY333" s="1207" t="s">
        <v>2911</v>
      </c>
      <c r="BZ333" s="272">
        <v>7</v>
      </c>
      <c r="CA333" s="186">
        <f t="shared" si="146"/>
        <v>-0.08</v>
      </c>
      <c r="CB333" s="186">
        <f t="shared" si="151"/>
        <v>-0.08</v>
      </c>
      <c r="CC333" s="186">
        <f t="shared" si="152"/>
        <v>-0.08</v>
      </c>
      <c r="CD333" s="272"/>
      <c r="CF333" s="134"/>
      <c r="CG333" s="138"/>
      <c r="CH333" s="132"/>
      <c r="CI333" s="138"/>
      <c r="CJ333" s="132"/>
      <c r="CK333" s="132"/>
      <c r="CL333" s="134"/>
      <c r="CM333" s="146"/>
    </row>
    <row r="334" ht="15" hidden="1" customHeight="1" spans="1:91">
      <c r="A334" s="123">
        <f>IF(B334="","",COUNT(A$7:A333)+1)</f>
        <v>327</v>
      </c>
      <c r="B334" s="139" t="s">
        <v>2996</v>
      </c>
      <c r="C334" s="139"/>
      <c r="D334" s="1209">
        <v>43100</v>
      </c>
      <c r="E334" s="1210">
        <v>1500</v>
      </c>
      <c r="F334" s="219" t="s">
        <v>2871</v>
      </c>
      <c r="G334" s="142"/>
      <c r="H334" s="127"/>
      <c r="I334" s="128"/>
      <c r="J334" s="128"/>
      <c r="K334" s="980">
        <v>2</v>
      </c>
      <c r="L334" s="143"/>
      <c r="M334" s="143"/>
      <c r="N334" s="144"/>
      <c r="O334" s="144"/>
      <c r="P334" s="144"/>
      <c r="Q334" s="353">
        <f t="shared" si="135"/>
        <v>2</v>
      </c>
      <c r="R334" s="129">
        <f t="shared" si="136"/>
        <v>0</v>
      </c>
      <c r="S334" s="129">
        <f t="shared" si="137"/>
        <v>0</v>
      </c>
      <c r="T334" s="129">
        <f t="shared" si="138"/>
        <v>2</v>
      </c>
      <c r="U334" s="129">
        <f t="shared" si="139"/>
        <v>1540</v>
      </c>
      <c r="V334" s="214">
        <f t="shared" si="140"/>
        <v>15</v>
      </c>
      <c r="W334" s="353">
        <f t="shared" si="141"/>
        <v>231</v>
      </c>
      <c r="X334" s="129">
        <f t="shared" si="142"/>
        <v>231</v>
      </c>
      <c r="Y334" s="129" t="str">
        <f t="shared" si="143"/>
        <v/>
      </c>
      <c r="Z334" s="145"/>
      <c r="BA334" s="75" t="e">
        <f t="shared" si="147"/>
        <v>#DIV/0!</v>
      </c>
      <c r="BB334" s="78"/>
      <c r="BC334" s="132"/>
      <c r="BD334" s="133"/>
      <c r="BE334" s="132"/>
      <c r="BF334" s="134"/>
      <c r="BG334" s="135"/>
      <c r="BH334" s="135"/>
      <c r="BI334" s="136"/>
      <c r="BJ334" s="136"/>
      <c r="BK334" s="136"/>
      <c r="BL334" s="136"/>
      <c r="BM334" s="137"/>
      <c r="BN334" s="137"/>
      <c r="BO334" s="75">
        <f>LOOKUP(D334,基础数据!A:D)</f>
        <v>3.53915880885741</v>
      </c>
      <c r="BP334" s="75">
        <f t="shared" si="149"/>
        <v>1.00524445538374</v>
      </c>
      <c r="BQ334" s="75">
        <f t="shared" si="150"/>
        <v>754</v>
      </c>
      <c r="BR334" s="272">
        <f t="shared" si="133"/>
        <v>852</v>
      </c>
      <c r="BS334" s="156">
        <f t="shared" si="144"/>
        <v>98.02</v>
      </c>
      <c r="BT334" s="186">
        <v>0.02</v>
      </c>
      <c r="BU334" s="156">
        <f t="shared" si="130"/>
        <v>17.04</v>
      </c>
      <c r="BV334" s="156">
        <f t="shared" si="131"/>
        <v>1.41</v>
      </c>
      <c r="BW334" s="156">
        <f t="shared" si="148"/>
        <v>770</v>
      </c>
      <c r="BX334" s="156">
        <f t="shared" si="145"/>
        <v>7.58110882956879</v>
      </c>
      <c r="BY334" s="1207" t="s">
        <v>2911</v>
      </c>
      <c r="BZ334" s="272">
        <v>7</v>
      </c>
      <c r="CA334" s="186">
        <f t="shared" si="146"/>
        <v>-0.08</v>
      </c>
      <c r="CB334" s="186">
        <f t="shared" si="151"/>
        <v>-0.08</v>
      </c>
      <c r="CC334" s="186">
        <f t="shared" si="152"/>
        <v>-0.08</v>
      </c>
      <c r="CD334" s="272"/>
      <c r="CF334" s="134"/>
      <c r="CG334" s="138"/>
      <c r="CH334" s="132"/>
      <c r="CI334" s="138"/>
      <c r="CJ334" s="132"/>
      <c r="CK334" s="132"/>
      <c r="CL334" s="134"/>
      <c r="CM334" s="146"/>
    </row>
    <row r="335" ht="15" hidden="1" customHeight="1" spans="1:91">
      <c r="A335" s="123">
        <f>IF(B335="","",COUNT(A$7:A334)+1)</f>
        <v>328</v>
      </c>
      <c r="B335" s="139" t="s">
        <v>2997</v>
      </c>
      <c r="C335" s="139" t="s">
        <v>2998</v>
      </c>
      <c r="D335" s="1209">
        <v>43100</v>
      </c>
      <c r="E335" s="1210">
        <v>1200</v>
      </c>
      <c r="F335" s="219" t="s">
        <v>2866</v>
      </c>
      <c r="G335" s="142"/>
      <c r="H335" s="127"/>
      <c r="I335" s="128"/>
      <c r="J335" s="128"/>
      <c r="K335" s="980">
        <v>1</v>
      </c>
      <c r="L335" s="143"/>
      <c r="M335" s="143"/>
      <c r="N335" s="144"/>
      <c r="O335" s="144"/>
      <c r="P335" s="144"/>
      <c r="Q335" s="353">
        <f t="shared" si="135"/>
        <v>1</v>
      </c>
      <c r="R335" s="129">
        <f t="shared" si="136"/>
        <v>0</v>
      </c>
      <c r="S335" s="129">
        <f t="shared" si="137"/>
        <v>0</v>
      </c>
      <c r="T335" s="129">
        <f t="shared" si="138"/>
        <v>1</v>
      </c>
      <c r="U335" s="129">
        <f t="shared" si="139"/>
        <v>1256</v>
      </c>
      <c r="V335" s="214">
        <f t="shared" si="140"/>
        <v>62</v>
      </c>
      <c r="W335" s="353">
        <f t="shared" si="141"/>
        <v>778.72</v>
      </c>
      <c r="X335" s="129">
        <f t="shared" si="142"/>
        <v>778.72</v>
      </c>
      <c r="Y335" s="129" t="str">
        <f t="shared" si="143"/>
        <v/>
      </c>
      <c r="Z335" s="145"/>
      <c r="BA335" s="75" t="e">
        <f t="shared" si="147"/>
        <v>#DIV/0!</v>
      </c>
      <c r="BB335" s="78"/>
      <c r="BC335" s="132"/>
      <c r="BD335" s="133"/>
      <c r="BE335" s="132"/>
      <c r="BF335" s="134"/>
      <c r="BG335" s="135"/>
      <c r="BH335" s="135"/>
      <c r="BI335" s="136"/>
      <c r="BJ335" s="136"/>
      <c r="BK335" s="136"/>
      <c r="BL335" s="136"/>
      <c r="BM335" s="137"/>
      <c r="BN335" s="137"/>
      <c r="BO335" s="75">
        <f>LOOKUP(D335,基础数据!A:D)</f>
        <v>3.53915880885741</v>
      </c>
      <c r="BP335" s="75">
        <f t="shared" si="149"/>
        <v>1.00524445538374</v>
      </c>
      <c r="BQ335" s="75">
        <f t="shared" si="150"/>
        <v>1206</v>
      </c>
      <c r="BR335" s="272">
        <f t="shared" si="133"/>
        <v>1363</v>
      </c>
      <c r="BS335" s="156">
        <f t="shared" si="144"/>
        <v>156.81</v>
      </c>
      <c r="BT335" s="186">
        <v>0.04</v>
      </c>
      <c r="BU335" s="156">
        <f t="shared" si="130"/>
        <v>54.52</v>
      </c>
      <c r="BV335" s="156">
        <f t="shared" si="131"/>
        <v>4.5</v>
      </c>
      <c r="BW335" s="156">
        <f t="shared" si="148"/>
        <v>1256</v>
      </c>
      <c r="BX335" s="156">
        <f t="shared" si="145"/>
        <v>7.58110882956879</v>
      </c>
      <c r="BY335" s="1207" t="s">
        <v>2965</v>
      </c>
      <c r="BZ335" s="272">
        <v>20</v>
      </c>
      <c r="CA335" s="186">
        <f t="shared" si="146"/>
        <v>0.62</v>
      </c>
      <c r="CB335" s="186">
        <f t="shared" si="151"/>
        <v>0.62</v>
      </c>
      <c r="CC335" s="186">
        <f t="shared" si="152"/>
        <v>0.62</v>
      </c>
      <c r="CD335" s="272"/>
      <c r="CF335" s="134"/>
      <c r="CG335" s="138"/>
      <c r="CH335" s="132"/>
      <c r="CI335" s="138"/>
      <c r="CJ335" s="132"/>
      <c r="CK335" s="132"/>
      <c r="CL335" s="134"/>
      <c r="CM335" s="146"/>
    </row>
    <row r="336" ht="15" hidden="1" customHeight="1" spans="1:91">
      <c r="A336" s="123">
        <f>IF(B336="","",COUNT(A$7:A335)+1)</f>
        <v>329</v>
      </c>
      <c r="B336" s="139" t="s">
        <v>2997</v>
      </c>
      <c r="C336" s="139" t="s">
        <v>2999</v>
      </c>
      <c r="D336" s="1209">
        <v>43100</v>
      </c>
      <c r="E336" s="1210">
        <v>1200</v>
      </c>
      <c r="F336" s="219" t="s">
        <v>2866</v>
      </c>
      <c r="G336" s="142"/>
      <c r="H336" s="127"/>
      <c r="I336" s="128"/>
      <c r="J336" s="128"/>
      <c r="K336" s="980">
        <v>1</v>
      </c>
      <c r="L336" s="143"/>
      <c r="M336" s="143"/>
      <c r="N336" s="144"/>
      <c r="O336" s="144"/>
      <c r="P336" s="144"/>
      <c r="Q336" s="353">
        <f t="shared" si="135"/>
        <v>1</v>
      </c>
      <c r="R336" s="129">
        <f t="shared" si="136"/>
        <v>0</v>
      </c>
      <c r="S336" s="129">
        <f t="shared" si="137"/>
        <v>0</v>
      </c>
      <c r="T336" s="129">
        <f t="shared" si="138"/>
        <v>1</v>
      </c>
      <c r="U336" s="129">
        <f t="shared" si="139"/>
        <v>1256</v>
      </c>
      <c r="V336" s="214">
        <f t="shared" si="140"/>
        <v>62</v>
      </c>
      <c r="W336" s="353">
        <f t="shared" si="141"/>
        <v>778.72</v>
      </c>
      <c r="X336" s="129">
        <f t="shared" si="142"/>
        <v>778.72</v>
      </c>
      <c r="Y336" s="129" t="str">
        <f t="shared" si="143"/>
        <v/>
      </c>
      <c r="Z336" s="145"/>
      <c r="BA336" s="75" t="e">
        <f t="shared" si="147"/>
        <v>#DIV/0!</v>
      </c>
      <c r="BB336" s="78"/>
      <c r="BC336" s="132"/>
      <c r="BD336" s="133"/>
      <c r="BE336" s="132"/>
      <c r="BF336" s="134"/>
      <c r="BG336" s="135"/>
      <c r="BH336" s="135"/>
      <c r="BI336" s="136"/>
      <c r="BJ336" s="136"/>
      <c r="BK336" s="136"/>
      <c r="BL336" s="136"/>
      <c r="BM336" s="137"/>
      <c r="BN336" s="137"/>
      <c r="BO336" s="75">
        <f>LOOKUP(D336,基础数据!A:D)</f>
        <v>3.53915880885741</v>
      </c>
      <c r="BP336" s="75">
        <f t="shared" si="149"/>
        <v>1.00524445538374</v>
      </c>
      <c r="BQ336" s="75">
        <f t="shared" si="150"/>
        <v>1206</v>
      </c>
      <c r="BR336" s="272">
        <f t="shared" si="133"/>
        <v>1363</v>
      </c>
      <c r="BS336" s="156">
        <f t="shared" si="144"/>
        <v>156.81</v>
      </c>
      <c r="BT336" s="186">
        <v>0.04</v>
      </c>
      <c r="BU336" s="156">
        <f t="shared" ref="BU336:BU391" si="153">ROUND(BR336*BT336,2)</f>
        <v>54.52</v>
      </c>
      <c r="BV336" s="156">
        <f t="shared" ref="BV336:BV391" si="154">ROUND(BU336/(1+BV$6)*BV$6,2)</f>
        <v>4.5</v>
      </c>
      <c r="BW336" s="156">
        <f t="shared" si="148"/>
        <v>1256</v>
      </c>
      <c r="BX336" s="156">
        <f t="shared" si="145"/>
        <v>7.58110882956879</v>
      </c>
      <c r="BY336" s="1207" t="s">
        <v>2965</v>
      </c>
      <c r="BZ336" s="272">
        <v>20</v>
      </c>
      <c r="CA336" s="186">
        <f t="shared" si="146"/>
        <v>0.62</v>
      </c>
      <c r="CB336" s="186">
        <f t="shared" si="151"/>
        <v>0.62</v>
      </c>
      <c r="CC336" s="186">
        <f t="shared" si="152"/>
        <v>0.62</v>
      </c>
      <c r="CD336" s="272"/>
      <c r="CF336" s="134"/>
      <c r="CG336" s="138"/>
      <c r="CH336" s="132"/>
      <c r="CI336" s="138"/>
      <c r="CJ336" s="132"/>
      <c r="CK336" s="132"/>
      <c r="CL336" s="134"/>
      <c r="CM336" s="146"/>
    </row>
    <row r="337" ht="15" hidden="1" customHeight="1" spans="1:91">
      <c r="A337" s="123">
        <f>IF(B337="","",COUNT(A$7:A336)+1)</f>
        <v>330</v>
      </c>
      <c r="B337" s="139" t="s">
        <v>3000</v>
      </c>
      <c r="C337" s="139" t="s">
        <v>3001</v>
      </c>
      <c r="D337" s="1209">
        <v>43100</v>
      </c>
      <c r="E337" s="1210">
        <v>9500</v>
      </c>
      <c r="F337" s="219" t="s">
        <v>2871</v>
      </c>
      <c r="G337" s="142"/>
      <c r="H337" s="127"/>
      <c r="I337" s="128"/>
      <c r="J337" s="128"/>
      <c r="K337" s="980">
        <v>1</v>
      </c>
      <c r="L337" s="143"/>
      <c r="M337" s="143"/>
      <c r="N337" s="144"/>
      <c r="O337" s="144"/>
      <c r="P337" s="144"/>
      <c r="Q337" s="353">
        <f t="shared" si="135"/>
        <v>1</v>
      </c>
      <c r="R337" s="129">
        <f t="shared" si="136"/>
        <v>0</v>
      </c>
      <c r="S337" s="129">
        <f t="shared" si="137"/>
        <v>0</v>
      </c>
      <c r="T337" s="129">
        <f t="shared" si="138"/>
        <v>1</v>
      </c>
      <c r="U337" s="129">
        <f t="shared" si="139"/>
        <v>9946</v>
      </c>
      <c r="V337" s="214">
        <f t="shared" si="140"/>
        <v>62</v>
      </c>
      <c r="W337" s="353">
        <f t="shared" si="141"/>
        <v>6166.52</v>
      </c>
      <c r="X337" s="129">
        <f t="shared" si="142"/>
        <v>6166.52</v>
      </c>
      <c r="Y337" s="129" t="str">
        <f t="shared" si="143"/>
        <v/>
      </c>
      <c r="Z337" s="145"/>
      <c r="BA337" s="75" t="e">
        <f t="shared" si="147"/>
        <v>#DIV/0!</v>
      </c>
      <c r="BB337" s="78"/>
      <c r="BC337" s="132"/>
      <c r="BD337" s="133"/>
      <c r="BE337" s="132"/>
      <c r="BF337" s="134"/>
      <c r="BG337" s="135"/>
      <c r="BH337" s="135"/>
      <c r="BI337" s="136"/>
      <c r="BJ337" s="136"/>
      <c r="BK337" s="136"/>
      <c r="BL337" s="136"/>
      <c r="BM337" s="137"/>
      <c r="BN337" s="137"/>
      <c r="BO337" s="75">
        <f>LOOKUP(D337,基础数据!A:D)</f>
        <v>3.53915880885741</v>
      </c>
      <c r="BP337" s="75">
        <f t="shared" si="149"/>
        <v>1.00524445538374</v>
      </c>
      <c r="BQ337" s="75">
        <f t="shared" si="150"/>
        <v>9550</v>
      </c>
      <c r="BR337" s="272">
        <f t="shared" si="133"/>
        <v>10792</v>
      </c>
      <c r="BS337" s="156">
        <f t="shared" si="144"/>
        <v>1241.56</v>
      </c>
      <c r="BT337" s="186">
        <v>0.04</v>
      </c>
      <c r="BU337" s="156">
        <f t="shared" si="153"/>
        <v>431.68</v>
      </c>
      <c r="BV337" s="156">
        <f t="shared" si="154"/>
        <v>35.64</v>
      </c>
      <c r="BW337" s="156">
        <f t="shared" si="148"/>
        <v>9946</v>
      </c>
      <c r="BX337" s="156">
        <f t="shared" si="145"/>
        <v>7.58110882956879</v>
      </c>
      <c r="BY337" s="1207" t="s">
        <v>2965</v>
      </c>
      <c r="BZ337" s="272">
        <v>20</v>
      </c>
      <c r="CA337" s="186">
        <f t="shared" si="146"/>
        <v>0.62</v>
      </c>
      <c r="CB337" s="186">
        <f t="shared" si="151"/>
        <v>0.62</v>
      </c>
      <c r="CC337" s="186">
        <f t="shared" si="152"/>
        <v>0.62</v>
      </c>
      <c r="CD337" s="272"/>
      <c r="CF337" s="134"/>
      <c r="CG337" s="138"/>
      <c r="CH337" s="132"/>
      <c r="CI337" s="138"/>
      <c r="CJ337" s="132"/>
      <c r="CK337" s="132"/>
      <c r="CL337" s="134"/>
      <c r="CM337" s="146"/>
    </row>
    <row r="338" ht="15" hidden="1" customHeight="1" spans="1:91">
      <c r="A338" s="123">
        <f>IF(B338="","",COUNT(A$7:A337)+1)</f>
        <v>331</v>
      </c>
      <c r="B338" s="798" t="s">
        <v>3002</v>
      </c>
      <c r="C338" s="139" t="s">
        <v>3003</v>
      </c>
      <c r="D338" s="1209">
        <v>43100</v>
      </c>
      <c r="E338" s="1210">
        <v>40800</v>
      </c>
      <c r="F338" s="219" t="s">
        <v>2770</v>
      </c>
      <c r="G338" s="142"/>
      <c r="H338" s="127"/>
      <c r="I338" s="128"/>
      <c r="J338" s="128"/>
      <c r="K338" s="980">
        <v>240</v>
      </c>
      <c r="L338" s="143"/>
      <c r="M338" s="143"/>
      <c r="N338" s="144"/>
      <c r="O338" s="144"/>
      <c r="P338" s="144"/>
      <c r="Q338" s="353">
        <f t="shared" si="135"/>
        <v>240</v>
      </c>
      <c r="R338" s="129">
        <f t="shared" si="136"/>
        <v>0</v>
      </c>
      <c r="S338" s="129">
        <f t="shared" si="137"/>
        <v>0</v>
      </c>
      <c r="T338" s="129">
        <f t="shared" si="138"/>
        <v>240</v>
      </c>
      <c r="U338" s="129">
        <f t="shared" si="139"/>
        <v>42720</v>
      </c>
      <c r="V338" s="214">
        <f t="shared" si="140"/>
        <v>62</v>
      </c>
      <c r="W338" s="353">
        <f t="shared" si="141"/>
        <v>26486.4</v>
      </c>
      <c r="X338" s="129">
        <f t="shared" si="142"/>
        <v>26486.4</v>
      </c>
      <c r="Y338" s="129" t="str">
        <f t="shared" si="143"/>
        <v/>
      </c>
      <c r="Z338" s="145"/>
      <c r="BA338" s="75" t="e">
        <f t="shared" si="147"/>
        <v>#DIV/0!</v>
      </c>
      <c r="BB338" s="78"/>
      <c r="BC338" s="132"/>
      <c r="BD338" s="133"/>
      <c r="BE338" s="132"/>
      <c r="BF338" s="134"/>
      <c r="BG338" s="135"/>
      <c r="BH338" s="135"/>
      <c r="BI338" s="136"/>
      <c r="BJ338" s="136"/>
      <c r="BK338" s="136"/>
      <c r="BL338" s="136"/>
      <c r="BM338" s="137"/>
      <c r="BN338" s="137"/>
      <c r="BO338" s="75">
        <f>LOOKUP(D338,基础数据!A:D)</f>
        <v>3.53915880885741</v>
      </c>
      <c r="BP338" s="75">
        <f t="shared" si="149"/>
        <v>1.00524445538374</v>
      </c>
      <c r="BQ338" s="75">
        <f t="shared" si="150"/>
        <v>171</v>
      </c>
      <c r="BR338" s="272">
        <f t="shared" si="133"/>
        <v>193</v>
      </c>
      <c r="BS338" s="156">
        <f t="shared" si="144"/>
        <v>22.2</v>
      </c>
      <c r="BT338" s="186">
        <v>0.04</v>
      </c>
      <c r="BU338" s="156">
        <f t="shared" si="153"/>
        <v>7.72</v>
      </c>
      <c r="BV338" s="156">
        <f t="shared" si="154"/>
        <v>0.64</v>
      </c>
      <c r="BW338" s="156">
        <f t="shared" si="148"/>
        <v>178</v>
      </c>
      <c r="BX338" s="156">
        <f t="shared" si="145"/>
        <v>7.58110882956879</v>
      </c>
      <c r="BY338" s="1207" t="s">
        <v>2965</v>
      </c>
      <c r="BZ338" s="272">
        <v>20</v>
      </c>
      <c r="CA338" s="186">
        <f t="shared" si="146"/>
        <v>0.62</v>
      </c>
      <c r="CB338" s="186">
        <f t="shared" si="151"/>
        <v>0.62</v>
      </c>
      <c r="CC338" s="186">
        <f t="shared" si="152"/>
        <v>0.62</v>
      </c>
      <c r="CD338" s="272"/>
      <c r="CF338" s="134"/>
      <c r="CG338" s="138"/>
      <c r="CH338" s="132"/>
      <c r="CI338" s="138"/>
      <c r="CJ338" s="132"/>
      <c r="CK338" s="132"/>
      <c r="CL338" s="134"/>
      <c r="CM338" s="146"/>
    </row>
    <row r="339" ht="15" hidden="1" customHeight="1" spans="1:91">
      <c r="A339" s="123">
        <f>IF(B339="","",COUNT(A$7:A338)+1)</f>
        <v>332</v>
      </c>
      <c r="B339" s="139" t="s">
        <v>3004</v>
      </c>
      <c r="C339" s="139" t="s">
        <v>3005</v>
      </c>
      <c r="D339" s="1209">
        <v>43100</v>
      </c>
      <c r="E339" s="1210">
        <v>40940</v>
      </c>
      <c r="F339" s="219" t="s">
        <v>3006</v>
      </c>
      <c r="G339" s="142"/>
      <c r="H339" s="127"/>
      <c r="I339" s="128"/>
      <c r="J339" s="128"/>
      <c r="K339" s="980">
        <v>178</v>
      </c>
      <c r="L339" s="143"/>
      <c r="M339" s="143"/>
      <c r="N339" s="144"/>
      <c r="O339" s="144"/>
      <c r="P339" s="144"/>
      <c r="Q339" s="353">
        <f t="shared" si="135"/>
        <v>178</v>
      </c>
      <c r="R339" s="129">
        <f t="shared" si="136"/>
        <v>0</v>
      </c>
      <c r="S339" s="129">
        <f t="shared" si="137"/>
        <v>0</v>
      </c>
      <c r="T339" s="129">
        <f t="shared" si="138"/>
        <v>178</v>
      </c>
      <c r="U339" s="129">
        <f t="shared" si="139"/>
        <v>42898</v>
      </c>
      <c r="V339" s="214">
        <f t="shared" si="140"/>
        <v>62</v>
      </c>
      <c r="W339" s="353">
        <f t="shared" si="141"/>
        <v>26596.76</v>
      </c>
      <c r="X339" s="129">
        <f t="shared" si="142"/>
        <v>26596.76</v>
      </c>
      <c r="Y339" s="129" t="str">
        <f t="shared" si="143"/>
        <v/>
      </c>
      <c r="Z339" s="145"/>
      <c r="BA339" s="75" t="e">
        <f t="shared" si="147"/>
        <v>#DIV/0!</v>
      </c>
      <c r="BB339" s="78"/>
      <c r="BC339" s="132"/>
      <c r="BD339" s="133"/>
      <c r="BE339" s="132"/>
      <c r="BF339" s="134"/>
      <c r="BG339" s="135"/>
      <c r="BH339" s="135"/>
      <c r="BI339" s="136"/>
      <c r="BJ339" s="136"/>
      <c r="BK339" s="136"/>
      <c r="BL339" s="136"/>
      <c r="BM339" s="137"/>
      <c r="BN339" s="137"/>
      <c r="BO339" s="75">
        <f>LOOKUP(D339,基础数据!A:D)</f>
        <v>3.53915880885741</v>
      </c>
      <c r="BP339" s="75">
        <f t="shared" si="149"/>
        <v>1.00524445538374</v>
      </c>
      <c r="BQ339" s="75">
        <f t="shared" si="150"/>
        <v>231</v>
      </c>
      <c r="BR339" s="272">
        <f t="shared" si="133"/>
        <v>261</v>
      </c>
      <c r="BS339" s="156">
        <f t="shared" si="144"/>
        <v>30.03</v>
      </c>
      <c r="BT339" s="186">
        <v>0.04</v>
      </c>
      <c r="BU339" s="156">
        <f t="shared" si="153"/>
        <v>10.44</v>
      </c>
      <c r="BV339" s="156">
        <f t="shared" si="154"/>
        <v>0.86</v>
      </c>
      <c r="BW339" s="156">
        <f t="shared" si="148"/>
        <v>241</v>
      </c>
      <c r="BX339" s="156">
        <f t="shared" si="145"/>
        <v>7.58110882956879</v>
      </c>
      <c r="BY339" s="1207" t="s">
        <v>2965</v>
      </c>
      <c r="BZ339" s="272">
        <v>20</v>
      </c>
      <c r="CA339" s="186">
        <f t="shared" si="146"/>
        <v>0.62</v>
      </c>
      <c r="CB339" s="186">
        <f t="shared" si="151"/>
        <v>0.62</v>
      </c>
      <c r="CC339" s="186">
        <f t="shared" si="152"/>
        <v>0.62</v>
      </c>
      <c r="CD339" s="272"/>
      <c r="CF339" s="134"/>
      <c r="CG339" s="138"/>
      <c r="CH339" s="132"/>
      <c r="CI339" s="138"/>
      <c r="CJ339" s="132"/>
      <c r="CK339" s="132"/>
      <c r="CL339" s="134"/>
      <c r="CM339" s="146"/>
    </row>
    <row r="340" ht="15" hidden="1" customHeight="1" spans="1:91">
      <c r="A340" s="123">
        <f>IF(B340="","",COUNT(A$7:A339)+1)</f>
        <v>333</v>
      </c>
      <c r="B340" s="139" t="s">
        <v>3007</v>
      </c>
      <c r="C340" s="139" t="s">
        <v>3008</v>
      </c>
      <c r="D340" s="1209">
        <v>43100</v>
      </c>
      <c r="E340" s="1210">
        <v>25530</v>
      </c>
      <c r="F340" s="219" t="s">
        <v>3006</v>
      </c>
      <c r="G340" s="142"/>
      <c r="H340" s="127"/>
      <c r="I340" s="128"/>
      <c r="J340" s="128"/>
      <c r="K340" s="980">
        <v>111</v>
      </c>
      <c r="L340" s="143"/>
      <c r="M340" s="143"/>
      <c r="N340" s="144"/>
      <c r="O340" s="144"/>
      <c r="P340" s="144"/>
      <c r="Q340" s="353">
        <f t="shared" si="135"/>
        <v>111</v>
      </c>
      <c r="R340" s="129">
        <f t="shared" si="136"/>
        <v>0</v>
      </c>
      <c r="S340" s="129">
        <f t="shared" si="137"/>
        <v>0</v>
      </c>
      <c r="T340" s="129">
        <f t="shared" si="138"/>
        <v>111</v>
      </c>
      <c r="U340" s="129">
        <f t="shared" si="139"/>
        <v>26751</v>
      </c>
      <c r="V340" s="214">
        <f t="shared" si="140"/>
        <v>62</v>
      </c>
      <c r="W340" s="353">
        <f t="shared" si="141"/>
        <v>16585.62</v>
      </c>
      <c r="X340" s="129">
        <f t="shared" si="142"/>
        <v>16585.62</v>
      </c>
      <c r="Y340" s="129" t="str">
        <f t="shared" si="143"/>
        <v/>
      </c>
      <c r="Z340" s="145"/>
      <c r="BA340" s="75" t="e">
        <f t="shared" si="147"/>
        <v>#DIV/0!</v>
      </c>
      <c r="BB340" s="78"/>
      <c r="BC340" s="132"/>
      <c r="BD340" s="133"/>
      <c r="BE340" s="132"/>
      <c r="BF340" s="134"/>
      <c r="BG340" s="135"/>
      <c r="BH340" s="135"/>
      <c r="BI340" s="136"/>
      <c r="BJ340" s="136"/>
      <c r="BK340" s="136"/>
      <c r="BL340" s="136"/>
      <c r="BM340" s="137"/>
      <c r="BN340" s="137"/>
      <c r="BO340" s="75">
        <f>LOOKUP(D340,基础数据!A:D)</f>
        <v>3.53915880885741</v>
      </c>
      <c r="BP340" s="75">
        <f t="shared" si="149"/>
        <v>1.00524445538374</v>
      </c>
      <c r="BQ340" s="75">
        <f t="shared" si="150"/>
        <v>231</v>
      </c>
      <c r="BR340" s="272">
        <f t="shared" si="133"/>
        <v>261</v>
      </c>
      <c r="BS340" s="156">
        <f t="shared" si="144"/>
        <v>30.03</v>
      </c>
      <c r="BT340" s="186">
        <v>0.04</v>
      </c>
      <c r="BU340" s="156">
        <f t="shared" si="153"/>
        <v>10.44</v>
      </c>
      <c r="BV340" s="156">
        <f t="shared" si="154"/>
        <v>0.86</v>
      </c>
      <c r="BW340" s="156">
        <f t="shared" si="148"/>
        <v>241</v>
      </c>
      <c r="BX340" s="156">
        <f t="shared" si="145"/>
        <v>7.58110882956879</v>
      </c>
      <c r="BY340" s="1207" t="s">
        <v>2965</v>
      </c>
      <c r="BZ340" s="272">
        <v>20</v>
      </c>
      <c r="CA340" s="186">
        <f t="shared" si="146"/>
        <v>0.62</v>
      </c>
      <c r="CB340" s="186">
        <f t="shared" si="151"/>
        <v>0.62</v>
      </c>
      <c r="CC340" s="186">
        <f t="shared" si="152"/>
        <v>0.62</v>
      </c>
      <c r="CD340" s="272"/>
      <c r="CF340" s="134"/>
      <c r="CG340" s="138"/>
      <c r="CH340" s="132"/>
      <c r="CI340" s="138"/>
      <c r="CJ340" s="132"/>
      <c r="CK340" s="132"/>
      <c r="CL340" s="134"/>
      <c r="CM340" s="146"/>
    </row>
    <row r="341" ht="15" hidden="1" customHeight="1" spans="1:91">
      <c r="A341" s="123">
        <f>IF(B341="","",COUNT(A$7:A340)+1)</f>
        <v>334</v>
      </c>
      <c r="B341" s="139" t="s">
        <v>3009</v>
      </c>
      <c r="C341" s="139" t="s">
        <v>3010</v>
      </c>
      <c r="D341" s="1209">
        <v>43100</v>
      </c>
      <c r="E341" s="1210">
        <v>73140</v>
      </c>
      <c r="F341" s="219" t="s">
        <v>3006</v>
      </c>
      <c r="G341" s="142"/>
      <c r="H341" s="127"/>
      <c r="I341" s="128"/>
      <c r="J341" s="128"/>
      <c r="K341" s="980">
        <v>318</v>
      </c>
      <c r="L341" s="143"/>
      <c r="M341" s="143"/>
      <c r="N341" s="144"/>
      <c r="O341" s="144"/>
      <c r="P341" s="144"/>
      <c r="Q341" s="353">
        <f t="shared" si="135"/>
        <v>318</v>
      </c>
      <c r="R341" s="129">
        <f t="shared" si="136"/>
        <v>0</v>
      </c>
      <c r="S341" s="129">
        <f t="shared" si="137"/>
        <v>0</v>
      </c>
      <c r="T341" s="129">
        <f t="shared" si="138"/>
        <v>318</v>
      </c>
      <c r="U341" s="129">
        <f t="shared" si="139"/>
        <v>76638</v>
      </c>
      <c r="V341" s="214">
        <f t="shared" si="140"/>
        <v>62</v>
      </c>
      <c r="W341" s="353">
        <f t="shared" si="141"/>
        <v>47515.56</v>
      </c>
      <c r="X341" s="129">
        <f t="shared" si="142"/>
        <v>47515.56</v>
      </c>
      <c r="Y341" s="129" t="str">
        <f t="shared" si="143"/>
        <v/>
      </c>
      <c r="Z341" s="145"/>
      <c r="BA341" s="75" t="e">
        <f t="shared" si="147"/>
        <v>#DIV/0!</v>
      </c>
      <c r="BB341" s="78"/>
      <c r="BC341" s="132"/>
      <c r="BD341" s="133"/>
      <c r="BE341" s="132"/>
      <c r="BF341" s="134"/>
      <c r="BG341" s="135"/>
      <c r="BH341" s="135"/>
      <c r="BI341" s="136"/>
      <c r="BJ341" s="136"/>
      <c r="BK341" s="136"/>
      <c r="BL341" s="136"/>
      <c r="BM341" s="137"/>
      <c r="BN341" s="137"/>
      <c r="BO341" s="75">
        <f>LOOKUP(D341,基础数据!A:D)</f>
        <v>3.53915880885741</v>
      </c>
      <c r="BP341" s="75">
        <f t="shared" si="149"/>
        <v>1.00524445538374</v>
      </c>
      <c r="BQ341" s="75">
        <f t="shared" si="150"/>
        <v>231</v>
      </c>
      <c r="BR341" s="272">
        <f t="shared" si="133"/>
        <v>261</v>
      </c>
      <c r="BS341" s="156">
        <f t="shared" si="144"/>
        <v>30.03</v>
      </c>
      <c r="BT341" s="186">
        <v>0.04</v>
      </c>
      <c r="BU341" s="156">
        <f t="shared" si="153"/>
        <v>10.44</v>
      </c>
      <c r="BV341" s="156">
        <f t="shared" si="154"/>
        <v>0.86</v>
      </c>
      <c r="BW341" s="156">
        <f t="shared" si="148"/>
        <v>241</v>
      </c>
      <c r="BX341" s="156">
        <f t="shared" si="145"/>
        <v>7.58110882956879</v>
      </c>
      <c r="BY341" s="1207" t="s">
        <v>2965</v>
      </c>
      <c r="BZ341" s="272">
        <v>20</v>
      </c>
      <c r="CA341" s="186">
        <f t="shared" si="146"/>
        <v>0.62</v>
      </c>
      <c r="CB341" s="186">
        <f t="shared" si="151"/>
        <v>0.62</v>
      </c>
      <c r="CC341" s="186">
        <f t="shared" si="152"/>
        <v>0.62</v>
      </c>
      <c r="CD341" s="272"/>
      <c r="CF341" s="134"/>
      <c r="CG341" s="138"/>
      <c r="CH341" s="132"/>
      <c r="CI341" s="138"/>
      <c r="CJ341" s="132"/>
      <c r="CK341" s="132"/>
      <c r="CL341" s="134"/>
      <c r="CM341" s="146"/>
    </row>
    <row r="342" ht="15" hidden="1" customHeight="1" spans="1:91">
      <c r="A342" s="123">
        <f>IF(B342="","",COUNT(A$7:A341)+1)</f>
        <v>335</v>
      </c>
      <c r="B342" s="139" t="s">
        <v>3011</v>
      </c>
      <c r="C342" s="139" t="s">
        <v>3012</v>
      </c>
      <c r="D342" s="1209">
        <v>43100</v>
      </c>
      <c r="E342" s="1210">
        <v>30360</v>
      </c>
      <c r="F342" s="219" t="s">
        <v>3006</v>
      </c>
      <c r="G342" s="142"/>
      <c r="H342" s="127"/>
      <c r="I342" s="128"/>
      <c r="J342" s="128"/>
      <c r="K342" s="980">
        <v>132</v>
      </c>
      <c r="L342" s="143"/>
      <c r="M342" s="143"/>
      <c r="N342" s="144"/>
      <c r="O342" s="144"/>
      <c r="P342" s="144"/>
      <c r="Q342" s="353">
        <f t="shared" si="135"/>
        <v>132</v>
      </c>
      <c r="R342" s="129">
        <f t="shared" si="136"/>
        <v>0</v>
      </c>
      <c r="S342" s="129">
        <f t="shared" si="137"/>
        <v>0</v>
      </c>
      <c r="T342" s="129">
        <f t="shared" si="138"/>
        <v>132</v>
      </c>
      <c r="U342" s="129">
        <f t="shared" si="139"/>
        <v>31812</v>
      </c>
      <c r="V342" s="214">
        <f t="shared" si="140"/>
        <v>62</v>
      </c>
      <c r="W342" s="353">
        <f t="shared" si="141"/>
        <v>19723.44</v>
      </c>
      <c r="X342" s="129">
        <f t="shared" si="142"/>
        <v>19723.44</v>
      </c>
      <c r="Y342" s="129" t="str">
        <f t="shared" si="143"/>
        <v/>
      </c>
      <c r="Z342" s="145"/>
      <c r="BA342" s="75" t="e">
        <f t="shared" si="147"/>
        <v>#DIV/0!</v>
      </c>
      <c r="BB342" s="78"/>
      <c r="BC342" s="132"/>
      <c r="BD342" s="133"/>
      <c r="BE342" s="132"/>
      <c r="BF342" s="134"/>
      <c r="BG342" s="135"/>
      <c r="BH342" s="135"/>
      <c r="BI342" s="136"/>
      <c r="BJ342" s="136"/>
      <c r="BK342" s="136"/>
      <c r="BL342" s="136"/>
      <c r="BM342" s="137"/>
      <c r="BN342" s="137"/>
      <c r="BO342" s="75">
        <f>LOOKUP(D342,基础数据!A:D)</f>
        <v>3.53915880885741</v>
      </c>
      <c r="BP342" s="75">
        <f t="shared" si="149"/>
        <v>1.00524445538374</v>
      </c>
      <c r="BQ342" s="75">
        <f t="shared" si="150"/>
        <v>231</v>
      </c>
      <c r="BR342" s="272">
        <f t="shared" si="133"/>
        <v>261</v>
      </c>
      <c r="BS342" s="156">
        <f t="shared" si="144"/>
        <v>30.03</v>
      </c>
      <c r="BT342" s="186">
        <v>0.04</v>
      </c>
      <c r="BU342" s="156">
        <f t="shared" si="153"/>
        <v>10.44</v>
      </c>
      <c r="BV342" s="156">
        <f t="shared" si="154"/>
        <v>0.86</v>
      </c>
      <c r="BW342" s="156">
        <f t="shared" si="148"/>
        <v>241</v>
      </c>
      <c r="BX342" s="156">
        <f t="shared" si="145"/>
        <v>7.58110882956879</v>
      </c>
      <c r="BY342" s="1207" t="s">
        <v>2965</v>
      </c>
      <c r="BZ342" s="272">
        <v>20</v>
      </c>
      <c r="CA342" s="186">
        <f t="shared" si="146"/>
        <v>0.62</v>
      </c>
      <c r="CB342" s="186">
        <f t="shared" si="151"/>
        <v>0.62</v>
      </c>
      <c r="CC342" s="186">
        <f t="shared" si="152"/>
        <v>0.62</v>
      </c>
      <c r="CD342" s="272"/>
      <c r="CF342" s="134"/>
      <c r="CG342" s="138"/>
      <c r="CH342" s="132"/>
      <c r="CI342" s="138"/>
      <c r="CJ342" s="132"/>
      <c r="CK342" s="132"/>
      <c r="CL342" s="134"/>
      <c r="CM342" s="146"/>
    </row>
    <row r="343" ht="15" hidden="1" customHeight="1" spans="1:91">
      <c r="A343" s="123">
        <f>IF(B343="","",COUNT(A$7:A342)+1)</f>
        <v>336</v>
      </c>
      <c r="B343" s="139" t="s">
        <v>3013</v>
      </c>
      <c r="C343" s="139" t="s">
        <v>3014</v>
      </c>
      <c r="D343" s="1209">
        <v>43100</v>
      </c>
      <c r="E343" s="1210">
        <v>21666</v>
      </c>
      <c r="F343" s="219" t="s">
        <v>3006</v>
      </c>
      <c r="G343" s="142"/>
      <c r="H343" s="127"/>
      <c r="I343" s="128"/>
      <c r="J343" s="128"/>
      <c r="K343" s="980">
        <v>94.2</v>
      </c>
      <c r="L343" s="143"/>
      <c r="M343" s="143"/>
      <c r="N343" s="144"/>
      <c r="O343" s="144"/>
      <c r="P343" s="144"/>
      <c r="Q343" s="353">
        <f t="shared" si="135"/>
        <v>94.2</v>
      </c>
      <c r="R343" s="129">
        <f t="shared" si="136"/>
        <v>0</v>
      </c>
      <c r="S343" s="129">
        <f t="shared" si="137"/>
        <v>0</v>
      </c>
      <c r="T343" s="129">
        <f t="shared" si="138"/>
        <v>94.2</v>
      </c>
      <c r="U343" s="129">
        <f t="shared" si="139"/>
        <v>22702.2</v>
      </c>
      <c r="V343" s="214">
        <f t="shared" si="140"/>
        <v>62</v>
      </c>
      <c r="W343" s="353">
        <f t="shared" si="141"/>
        <v>14075.364</v>
      </c>
      <c r="X343" s="129">
        <f t="shared" si="142"/>
        <v>14075.364</v>
      </c>
      <c r="Y343" s="129" t="str">
        <f t="shared" si="143"/>
        <v/>
      </c>
      <c r="Z343" s="145"/>
      <c r="BA343" s="75" t="e">
        <f t="shared" si="147"/>
        <v>#DIV/0!</v>
      </c>
      <c r="BB343" s="78"/>
      <c r="BC343" s="132"/>
      <c r="BD343" s="133"/>
      <c r="BE343" s="132"/>
      <c r="BF343" s="134"/>
      <c r="BG343" s="135"/>
      <c r="BH343" s="135"/>
      <c r="BI343" s="136"/>
      <c r="BJ343" s="136"/>
      <c r="BK343" s="136"/>
      <c r="BL343" s="136"/>
      <c r="BM343" s="137"/>
      <c r="BN343" s="137"/>
      <c r="BO343" s="75">
        <f>LOOKUP(D343,基础数据!A:D)</f>
        <v>3.53915880885741</v>
      </c>
      <c r="BP343" s="75">
        <f t="shared" si="149"/>
        <v>1.00524445538374</v>
      </c>
      <c r="BQ343" s="75">
        <f t="shared" si="150"/>
        <v>231</v>
      </c>
      <c r="BR343" s="272">
        <f t="shared" si="133"/>
        <v>261</v>
      </c>
      <c r="BS343" s="156">
        <f t="shared" si="144"/>
        <v>30.03</v>
      </c>
      <c r="BT343" s="186">
        <v>0.04</v>
      </c>
      <c r="BU343" s="156">
        <f t="shared" si="153"/>
        <v>10.44</v>
      </c>
      <c r="BV343" s="156">
        <f t="shared" si="154"/>
        <v>0.86</v>
      </c>
      <c r="BW343" s="156">
        <f t="shared" si="148"/>
        <v>241</v>
      </c>
      <c r="BX343" s="156">
        <f t="shared" si="145"/>
        <v>7.58110882956879</v>
      </c>
      <c r="BY343" s="1207" t="s">
        <v>2965</v>
      </c>
      <c r="BZ343" s="272">
        <v>20</v>
      </c>
      <c r="CA343" s="186">
        <f t="shared" si="146"/>
        <v>0.62</v>
      </c>
      <c r="CB343" s="186">
        <f t="shared" si="151"/>
        <v>0.62</v>
      </c>
      <c r="CC343" s="186">
        <f t="shared" si="152"/>
        <v>0.62</v>
      </c>
      <c r="CD343" s="272"/>
      <c r="CF343" s="134"/>
      <c r="CG343" s="138"/>
      <c r="CH343" s="132"/>
      <c r="CI343" s="138"/>
      <c r="CJ343" s="132"/>
      <c r="CK343" s="132"/>
      <c r="CL343" s="134"/>
      <c r="CM343" s="146"/>
    </row>
    <row r="344" ht="15" hidden="1" customHeight="1" spans="1:91">
      <c r="A344" s="123">
        <f>IF(B344="","",COUNT(A$7:A343)+1)</f>
        <v>337</v>
      </c>
      <c r="B344" s="139" t="s">
        <v>3015</v>
      </c>
      <c r="C344" s="139"/>
      <c r="D344" s="1209">
        <v>43100</v>
      </c>
      <c r="E344" s="1210">
        <v>1500</v>
      </c>
      <c r="F344" s="219" t="s">
        <v>2866</v>
      </c>
      <c r="G344" s="142"/>
      <c r="H344" s="127"/>
      <c r="I344" s="128"/>
      <c r="J344" s="128"/>
      <c r="K344" s="980">
        <v>1</v>
      </c>
      <c r="L344" s="143"/>
      <c r="M344" s="143"/>
      <c r="N344" s="144"/>
      <c r="O344" s="144"/>
      <c r="P344" s="144"/>
      <c r="Q344" s="353">
        <f t="shared" si="135"/>
        <v>1</v>
      </c>
      <c r="R344" s="129">
        <f t="shared" si="136"/>
        <v>0</v>
      </c>
      <c r="S344" s="129">
        <f t="shared" si="137"/>
        <v>0</v>
      </c>
      <c r="T344" s="129">
        <f t="shared" si="138"/>
        <v>1</v>
      </c>
      <c r="U344" s="129">
        <f t="shared" si="139"/>
        <v>1570</v>
      </c>
      <c r="V344" s="214">
        <f t="shared" si="140"/>
        <v>62</v>
      </c>
      <c r="W344" s="353">
        <f t="shared" si="141"/>
        <v>973.4</v>
      </c>
      <c r="X344" s="129">
        <f t="shared" si="142"/>
        <v>973.4</v>
      </c>
      <c r="Y344" s="129" t="str">
        <f t="shared" si="143"/>
        <v/>
      </c>
      <c r="Z344" s="145"/>
      <c r="BA344" s="75" t="e">
        <f t="shared" si="147"/>
        <v>#DIV/0!</v>
      </c>
      <c r="BB344" s="78"/>
      <c r="BC344" s="132"/>
      <c r="BD344" s="133"/>
      <c r="BE344" s="132"/>
      <c r="BF344" s="134"/>
      <c r="BG344" s="135"/>
      <c r="BH344" s="135"/>
      <c r="BI344" s="136"/>
      <c r="BJ344" s="136"/>
      <c r="BK344" s="136"/>
      <c r="BL344" s="136"/>
      <c r="BM344" s="137"/>
      <c r="BN344" s="137"/>
      <c r="BO344" s="75">
        <f>LOOKUP(D344,基础数据!A:D)</f>
        <v>3.53915880885741</v>
      </c>
      <c r="BP344" s="75">
        <f t="shared" si="149"/>
        <v>1.00524445538374</v>
      </c>
      <c r="BQ344" s="75">
        <f t="shared" si="150"/>
        <v>1508</v>
      </c>
      <c r="BR344" s="272">
        <f t="shared" si="133"/>
        <v>1704</v>
      </c>
      <c r="BS344" s="156">
        <f t="shared" si="144"/>
        <v>196.04</v>
      </c>
      <c r="BT344" s="186">
        <v>0.04</v>
      </c>
      <c r="BU344" s="156">
        <f t="shared" si="153"/>
        <v>68.16</v>
      </c>
      <c r="BV344" s="156">
        <f t="shared" si="154"/>
        <v>5.63</v>
      </c>
      <c r="BW344" s="156">
        <f t="shared" si="148"/>
        <v>1570</v>
      </c>
      <c r="BX344" s="156">
        <f t="shared" si="145"/>
        <v>7.58110882956879</v>
      </c>
      <c r="BY344" s="1207" t="s">
        <v>2965</v>
      </c>
      <c r="BZ344" s="272">
        <v>20</v>
      </c>
      <c r="CA344" s="186">
        <f t="shared" si="146"/>
        <v>0.62</v>
      </c>
      <c r="CB344" s="186">
        <f t="shared" si="151"/>
        <v>0.62</v>
      </c>
      <c r="CC344" s="186">
        <f t="shared" si="152"/>
        <v>0.62</v>
      </c>
      <c r="CD344" s="272"/>
      <c r="CF344" s="134"/>
      <c r="CG344" s="138"/>
      <c r="CH344" s="132"/>
      <c r="CI344" s="138"/>
      <c r="CJ344" s="132"/>
      <c r="CK344" s="132"/>
      <c r="CL344" s="134"/>
      <c r="CM344" s="146"/>
    </row>
    <row r="345" ht="15" hidden="1" customHeight="1" spans="1:91">
      <c r="A345" s="123">
        <f>IF(B345="","",COUNT(A$7:A344)+1)</f>
        <v>338</v>
      </c>
      <c r="B345" s="139" t="s">
        <v>3016</v>
      </c>
      <c r="C345" s="139" t="s">
        <v>3017</v>
      </c>
      <c r="D345" s="1209">
        <v>43100</v>
      </c>
      <c r="E345" s="1210">
        <v>4500</v>
      </c>
      <c r="F345" s="219" t="s">
        <v>3006</v>
      </c>
      <c r="G345" s="142"/>
      <c r="H345" s="127"/>
      <c r="I345" s="128"/>
      <c r="J345" s="128"/>
      <c r="K345" s="980">
        <v>12.5</v>
      </c>
      <c r="L345" s="143"/>
      <c r="M345" s="143"/>
      <c r="N345" s="144"/>
      <c r="O345" s="144"/>
      <c r="P345" s="144"/>
      <c r="Q345" s="353">
        <f t="shared" si="135"/>
        <v>12.5</v>
      </c>
      <c r="R345" s="129">
        <f t="shared" si="136"/>
        <v>0</v>
      </c>
      <c r="S345" s="129">
        <f t="shared" si="137"/>
        <v>0</v>
      </c>
      <c r="T345" s="129">
        <f t="shared" si="138"/>
        <v>12.5</v>
      </c>
      <c r="U345" s="129">
        <f t="shared" si="139"/>
        <v>4712.5</v>
      </c>
      <c r="V345" s="214">
        <f t="shared" si="140"/>
        <v>62</v>
      </c>
      <c r="W345" s="353">
        <f t="shared" si="141"/>
        <v>2921.75</v>
      </c>
      <c r="X345" s="129">
        <f t="shared" si="142"/>
        <v>2921.75</v>
      </c>
      <c r="Y345" s="129" t="str">
        <f t="shared" si="143"/>
        <v/>
      </c>
      <c r="Z345" s="145"/>
      <c r="BA345" s="75" t="e">
        <f t="shared" si="147"/>
        <v>#DIV/0!</v>
      </c>
      <c r="BB345" s="78"/>
      <c r="BC345" s="132"/>
      <c r="BD345" s="133"/>
      <c r="BE345" s="132"/>
      <c r="BF345" s="134"/>
      <c r="BG345" s="135"/>
      <c r="BH345" s="135"/>
      <c r="BI345" s="136"/>
      <c r="BJ345" s="136"/>
      <c r="BK345" s="136"/>
      <c r="BL345" s="136"/>
      <c r="BM345" s="137"/>
      <c r="BN345" s="137"/>
      <c r="BO345" s="75">
        <f>LOOKUP(D345,基础数据!A:D)</f>
        <v>3.53915880885741</v>
      </c>
      <c r="BP345" s="75">
        <f t="shared" si="149"/>
        <v>1.00524445538374</v>
      </c>
      <c r="BQ345" s="75">
        <f t="shared" si="150"/>
        <v>362</v>
      </c>
      <c r="BR345" s="272">
        <f t="shared" si="133"/>
        <v>409</v>
      </c>
      <c r="BS345" s="156">
        <f t="shared" si="144"/>
        <v>47.05</v>
      </c>
      <c r="BT345" s="186">
        <v>0.04</v>
      </c>
      <c r="BU345" s="156">
        <f t="shared" si="153"/>
        <v>16.36</v>
      </c>
      <c r="BV345" s="156">
        <f t="shared" si="154"/>
        <v>1.35</v>
      </c>
      <c r="BW345" s="156">
        <f t="shared" si="148"/>
        <v>377</v>
      </c>
      <c r="BX345" s="156">
        <f t="shared" si="145"/>
        <v>7.58110882956879</v>
      </c>
      <c r="BY345" s="1207" t="s">
        <v>2965</v>
      </c>
      <c r="BZ345" s="272">
        <v>20</v>
      </c>
      <c r="CA345" s="186">
        <f t="shared" si="146"/>
        <v>0.62</v>
      </c>
      <c r="CB345" s="186">
        <f t="shared" si="151"/>
        <v>0.62</v>
      </c>
      <c r="CC345" s="186">
        <f t="shared" si="152"/>
        <v>0.62</v>
      </c>
      <c r="CD345" s="272"/>
      <c r="CF345" s="134"/>
      <c r="CG345" s="138"/>
      <c r="CH345" s="132"/>
      <c r="CI345" s="138"/>
      <c r="CJ345" s="132"/>
      <c r="CK345" s="132"/>
      <c r="CL345" s="134"/>
      <c r="CM345" s="146"/>
    </row>
    <row r="346" ht="15" hidden="1" customHeight="1" spans="1:91">
      <c r="A346" s="123">
        <f>IF(B346="","",COUNT(A$7:A345)+1)</f>
        <v>339</v>
      </c>
      <c r="B346" s="139" t="s">
        <v>3016</v>
      </c>
      <c r="C346" s="139" t="s">
        <v>3018</v>
      </c>
      <c r="D346" s="1209">
        <v>43100</v>
      </c>
      <c r="E346" s="1210">
        <v>4320</v>
      </c>
      <c r="F346" s="219" t="s">
        <v>3006</v>
      </c>
      <c r="G346" s="142"/>
      <c r="H346" s="127"/>
      <c r="I346" s="128"/>
      <c r="J346" s="128"/>
      <c r="K346" s="980">
        <v>12</v>
      </c>
      <c r="L346" s="143"/>
      <c r="M346" s="143"/>
      <c r="N346" s="144"/>
      <c r="O346" s="144"/>
      <c r="P346" s="144"/>
      <c r="Q346" s="353">
        <f t="shared" si="135"/>
        <v>12</v>
      </c>
      <c r="R346" s="129">
        <f t="shared" si="136"/>
        <v>0</v>
      </c>
      <c r="S346" s="129">
        <f t="shared" si="137"/>
        <v>0</v>
      </c>
      <c r="T346" s="129">
        <f t="shared" si="138"/>
        <v>12</v>
      </c>
      <c r="U346" s="129">
        <f t="shared" si="139"/>
        <v>4524</v>
      </c>
      <c r="V346" s="214">
        <f t="shared" si="140"/>
        <v>62</v>
      </c>
      <c r="W346" s="353">
        <f t="shared" si="141"/>
        <v>2804.88</v>
      </c>
      <c r="X346" s="129">
        <f t="shared" si="142"/>
        <v>2804.88</v>
      </c>
      <c r="Y346" s="129" t="str">
        <f t="shared" si="143"/>
        <v/>
      </c>
      <c r="Z346" s="145"/>
      <c r="BA346" s="75" t="e">
        <f t="shared" si="147"/>
        <v>#DIV/0!</v>
      </c>
      <c r="BB346" s="78"/>
      <c r="BC346" s="132"/>
      <c r="BD346" s="133"/>
      <c r="BE346" s="132"/>
      <c r="BF346" s="134"/>
      <c r="BG346" s="135"/>
      <c r="BH346" s="135"/>
      <c r="BI346" s="136"/>
      <c r="BJ346" s="136"/>
      <c r="BK346" s="136"/>
      <c r="BL346" s="136"/>
      <c r="BM346" s="137"/>
      <c r="BN346" s="137"/>
      <c r="BO346" s="75">
        <f>LOOKUP(D346,基础数据!A:D)</f>
        <v>3.53915880885741</v>
      </c>
      <c r="BP346" s="75">
        <f t="shared" si="149"/>
        <v>1.00524445538374</v>
      </c>
      <c r="BQ346" s="75">
        <f t="shared" si="150"/>
        <v>362</v>
      </c>
      <c r="BR346" s="272">
        <f t="shared" si="133"/>
        <v>409</v>
      </c>
      <c r="BS346" s="156">
        <f t="shared" si="144"/>
        <v>47.05</v>
      </c>
      <c r="BT346" s="186">
        <v>0.04</v>
      </c>
      <c r="BU346" s="156">
        <f t="shared" si="153"/>
        <v>16.36</v>
      </c>
      <c r="BV346" s="156">
        <f t="shared" si="154"/>
        <v>1.35</v>
      </c>
      <c r="BW346" s="156">
        <f t="shared" si="148"/>
        <v>377</v>
      </c>
      <c r="BX346" s="156">
        <f t="shared" si="145"/>
        <v>7.58110882956879</v>
      </c>
      <c r="BY346" s="1207" t="s">
        <v>2965</v>
      </c>
      <c r="BZ346" s="272">
        <v>20</v>
      </c>
      <c r="CA346" s="186">
        <f t="shared" si="146"/>
        <v>0.62</v>
      </c>
      <c r="CB346" s="186">
        <f t="shared" si="151"/>
        <v>0.62</v>
      </c>
      <c r="CC346" s="186">
        <f t="shared" si="152"/>
        <v>0.62</v>
      </c>
      <c r="CD346" s="272"/>
      <c r="CF346" s="134"/>
      <c r="CG346" s="138"/>
      <c r="CH346" s="132"/>
      <c r="CI346" s="138"/>
      <c r="CJ346" s="132"/>
      <c r="CK346" s="132"/>
      <c r="CL346" s="134"/>
      <c r="CM346" s="146"/>
    </row>
    <row r="347" ht="15" hidden="1" customHeight="1" spans="1:91">
      <c r="A347" s="123">
        <f>IF(B347="","",COUNT(A$7:A346)+1)</f>
        <v>340</v>
      </c>
      <c r="B347" s="139" t="s">
        <v>3019</v>
      </c>
      <c r="C347" s="139" t="s">
        <v>3020</v>
      </c>
      <c r="D347" s="1209">
        <v>43100</v>
      </c>
      <c r="E347" s="1210">
        <v>13897.5</v>
      </c>
      <c r="F347" s="219" t="s">
        <v>2770</v>
      </c>
      <c r="G347" s="142"/>
      <c r="H347" s="127"/>
      <c r="I347" s="128"/>
      <c r="J347" s="128"/>
      <c r="K347" s="980">
        <v>163.5</v>
      </c>
      <c r="L347" s="143"/>
      <c r="M347" s="143"/>
      <c r="N347" s="144"/>
      <c r="O347" s="144"/>
      <c r="P347" s="144"/>
      <c r="Q347" s="353">
        <f t="shared" si="135"/>
        <v>163.5</v>
      </c>
      <c r="R347" s="129">
        <f t="shared" si="136"/>
        <v>0</v>
      </c>
      <c r="S347" s="129">
        <f t="shared" si="137"/>
        <v>0</v>
      </c>
      <c r="T347" s="129">
        <f t="shared" si="138"/>
        <v>163.5</v>
      </c>
      <c r="U347" s="129">
        <f t="shared" si="139"/>
        <v>14388</v>
      </c>
      <c r="V347" s="214">
        <f t="shared" si="140"/>
        <v>62</v>
      </c>
      <c r="W347" s="353">
        <f t="shared" si="141"/>
        <v>8920.56</v>
      </c>
      <c r="X347" s="129">
        <f t="shared" si="142"/>
        <v>8920.56</v>
      </c>
      <c r="Y347" s="129" t="str">
        <f t="shared" si="143"/>
        <v/>
      </c>
      <c r="Z347" s="145"/>
      <c r="BA347" s="75" t="e">
        <f t="shared" si="147"/>
        <v>#DIV/0!</v>
      </c>
      <c r="BB347" s="78"/>
      <c r="BC347" s="132"/>
      <c r="BD347" s="133"/>
      <c r="BE347" s="132"/>
      <c r="BF347" s="134"/>
      <c r="BG347" s="135"/>
      <c r="BH347" s="135"/>
      <c r="BI347" s="136"/>
      <c r="BJ347" s="136"/>
      <c r="BK347" s="136"/>
      <c r="BL347" s="136"/>
      <c r="BM347" s="137"/>
      <c r="BN347" s="137"/>
      <c r="BO347" s="75">
        <f>LOOKUP(D347,基础数据!A:D)</f>
        <v>3.53915880885741</v>
      </c>
      <c r="BP347" s="75">
        <f t="shared" si="149"/>
        <v>1.00524445538374</v>
      </c>
      <c r="BQ347" s="75">
        <f t="shared" si="150"/>
        <v>85</v>
      </c>
      <c r="BR347" s="272">
        <f t="shared" si="133"/>
        <v>96</v>
      </c>
      <c r="BS347" s="156">
        <f t="shared" si="144"/>
        <v>11.04</v>
      </c>
      <c r="BT347" s="186">
        <v>0.04</v>
      </c>
      <c r="BU347" s="156">
        <f t="shared" si="153"/>
        <v>3.84</v>
      </c>
      <c r="BV347" s="156">
        <f t="shared" si="154"/>
        <v>0.32</v>
      </c>
      <c r="BW347" s="156">
        <f t="shared" si="148"/>
        <v>88</v>
      </c>
      <c r="BX347" s="156">
        <f t="shared" si="145"/>
        <v>7.58110882956879</v>
      </c>
      <c r="BY347" s="1207" t="s">
        <v>2965</v>
      </c>
      <c r="BZ347" s="272">
        <v>20</v>
      </c>
      <c r="CA347" s="186">
        <f t="shared" si="146"/>
        <v>0.62</v>
      </c>
      <c r="CB347" s="186">
        <f t="shared" si="151"/>
        <v>0.62</v>
      </c>
      <c r="CC347" s="186">
        <f t="shared" si="152"/>
        <v>0.62</v>
      </c>
      <c r="CD347" s="272"/>
      <c r="CF347" s="134"/>
      <c r="CG347" s="138"/>
      <c r="CH347" s="132"/>
      <c r="CI347" s="138"/>
      <c r="CJ347" s="132"/>
      <c r="CK347" s="132"/>
      <c r="CL347" s="134"/>
      <c r="CM347" s="146"/>
    </row>
    <row r="348" ht="15" hidden="1" customHeight="1" spans="1:91">
      <c r="A348" s="123">
        <f>IF(B348="","",COUNT(A$7:A347)+1)</f>
        <v>341</v>
      </c>
      <c r="B348" s="139" t="s">
        <v>3019</v>
      </c>
      <c r="C348" s="139" t="s">
        <v>3021</v>
      </c>
      <c r="D348" s="1209">
        <v>43100</v>
      </c>
      <c r="E348" s="1210">
        <v>8410</v>
      </c>
      <c r="F348" s="219" t="s">
        <v>2770</v>
      </c>
      <c r="G348" s="142"/>
      <c r="H348" s="127"/>
      <c r="I348" s="128"/>
      <c r="J348" s="128"/>
      <c r="K348" s="980">
        <v>58</v>
      </c>
      <c r="L348" s="143"/>
      <c r="M348" s="143"/>
      <c r="N348" s="144"/>
      <c r="O348" s="144"/>
      <c r="P348" s="144"/>
      <c r="Q348" s="353">
        <f t="shared" si="135"/>
        <v>58</v>
      </c>
      <c r="R348" s="129">
        <f t="shared" si="136"/>
        <v>0</v>
      </c>
      <c r="S348" s="129">
        <f t="shared" si="137"/>
        <v>0</v>
      </c>
      <c r="T348" s="129">
        <f t="shared" si="138"/>
        <v>58</v>
      </c>
      <c r="U348" s="129">
        <f t="shared" si="139"/>
        <v>8816</v>
      </c>
      <c r="V348" s="214">
        <f t="shared" si="140"/>
        <v>62</v>
      </c>
      <c r="W348" s="353">
        <f t="shared" si="141"/>
        <v>5465.92</v>
      </c>
      <c r="X348" s="129">
        <f t="shared" si="142"/>
        <v>5465.92</v>
      </c>
      <c r="Y348" s="129" t="str">
        <f t="shared" si="143"/>
        <v/>
      </c>
      <c r="Z348" s="145"/>
      <c r="BA348" s="75" t="e">
        <f t="shared" si="147"/>
        <v>#DIV/0!</v>
      </c>
      <c r="BB348" s="78"/>
      <c r="BC348" s="132"/>
      <c r="BD348" s="133"/>
      <c r="BE348" s="132"/>
      <c r="BF348" s="134"/>
      <c r="BG348" s="135"/>
      <c r="BH348" s="135"/>
      <c r="BI348" s="136"/>
      <c r="BJ348" s="136"/>
      <c r="BK348" s="136"/>
      <c r="BL348" s="136"/>
      <c r="BM348" s="137"/>
      <c r="BN348" s="137"/>
      <c r="BO348" s="75">
        <f>LOOKUP(D348,基础数据!A:D)</f>
        <v>3.53915880885741</v>
      </c>
      <c r="BP348" s="75">
        <f t="shared" si="149"/>
        <v>1.00524445538374</v>
      </c>
      <c r="BQ348" s="75">
        <f t="shared" si="150"/>
        <v>146</v>
      </c>
      <c r="BR348" s="272">
        <f t="shared" si="133"/>
        <v>165</v>
      </c>
      <c r="BS348" s="156">
        <f t="shared" si="144"/>
        <v>18.98</v>
      </c>
      <c r="BT348" s="186">
        <v>0.04</v>
      </c>
      <c r="BU348" s="156">
        <f t="shared" si="153"/>
        <v>6.6</v>
      </c>
      <c r="BV348" s="156">
        <f t="shared" si="154"/>
        <v>0.54</v>
      </c>
      <c r="BW348" s="156">
        <f t="shared" si="148"/>
        <v>152</v>
      </c>
      <c r="BX348" s="156">
        <f t="shared" si="145"/>
        <v>7.58110882956879</v>
      </c>
      <c r="BY348" s="1207" t="s">
        <v>2965</v>
      </c>
      <c r="BZ348" s="272">
        <v>20</v>
      </c>
      <c r="CA348" s="186">
        <f t="shared" si="146"/>
        <v>0.62</v>
      </c>
      <c r="CB348" s="186">
        <f t="shared" si="151"/>
        <v>0.62</v>
      </c>
      <c r="CC348" s="186">
        <f t="shared" si="152"/>
        <v>0.62</v>
      </c>
      <c r="CD348" s="272"/>
      <c r="CF348" s="134"/>
      <c r="CG348" s="138"/>
      <c r="CH348" s="132"/>
      <c r="CI348" s="138"/>
      <c r="CJ348" s="132"/>
      <c r="CK348" s="132"/>
      <c r="CL348" s="134"/>
      <c r="CM348" s="146"/>
    </row>
    <row r="349" ht="15" hidden="1" customHeight="1" spans="1:91">
      <c r="A349" s="123">
        <f>IF(B349="","",COUNT(A$7:A348)+1)</f>
        <v>342</v>
      </c>
      <c r="B349" s="139" t="s">
        <v>3022</v>
      </c>
      <c r="C349" s="139"/>
      <c r="D349" s="1209">
        <v>43100</v>
      </c>
      <c r="E349" s="1210">
        <v>199920</v>
      </c>
      <c r="F349" s="219" t="s">
        <v>3006</v>
      </c>
      <c r="G349" s="142"/>
      <c r="H349" s="127"/>
      <c r="I349" s="128"/>
      <c r="J349" s="128"/>
      <c r="K349" s="980">
        <v>1176</v>
      </c>
      <c r="L349" s="143"/>
      <c r="M349" s="143"/>
      <c r="N349" s="144"/>
      <c r="O349" s="144"/>
      <c r="P349" s="144"/>
      <c r="Q349" s="353">
        <f t="shared" si="135"/>
        <v>1176</v>
      </c>
      <c r="R349" s="129">
        <f t="shared" si="136"/>
        <v>0</v>
      </c>
      <c r="S349" s="129">
        <f t="shared" si="137"/>
        <v>0</v>
      </c>
      <c r="T349" s="129">
        <f t="shared" si="138"/>
        <v>1176</v>
      </c>
      <c r="U349" s="129">
        <f t="shared" si="139"/>
        <v>209328</v>
      </c>
      <c r="V349" s="214">
        <f t="shared" si="140"/>
        <v>62</v>
      </c>
      <c r="W349" s="353">
        <f t="shared" si="141"/>
        <v>129783.36</v>
      </c>
      <c r="X349" s="129">
        <f t="shared" si="142"/>
        <v>129783.36</v>
      </c>
      <c r="Y349" s="129" t="str">
        <f t="shared" si="143"/>
        <v/>
      </c>
      <c r="Z349" s="145"/>
      <c r="BA349" s="75" t="e">
        <f t="shared" si="147"/>
        <v>#DIV/0!</v>
      </c>
      <c r="BB349" s="78"/>
      <c r="BC349" s="132"/>
      <c r="BD349" s="133"/>
      <c r="BE349" s="132"/>
      <c r="BF349" s="134"/>
      <c r="BG349" s="135"/>
      <c r="BH349" s="135"/>
      <c r="BI349" s="136"/>
      <c r="BJ349" s="136"/>
      <c r="BK349" s="136"/>
      <c r="BL349" s="136"/>
      <c r="BM349" s="137"/>
      <c r="BN349" s="137"/>
      <c r="BO349" s="75">
        <f>LOOKUP(D349,基础数据!A:D)</f>
        <v>3.53915880885741</v>
      </c>
      <c r="BP349" s="75">
        <f t="shared" si="149"/>
        <v>1.00524445538374</v>
      </c>
      <c r="BQ349" s="75">
        <f t="shared" si="150"/>
        <v>171</v>
      </c>
      <c r="BR349" s="272">
        <f t="shared" si="133"/>
        <v>193</v>
      </c>
      <c r="BS349" s="156">
        <f t="shared" si="144"/>
        <v>22.2</v>
      </c>
      <c r="BT349" s="186">
        <v>0.04</v>
      </c>
      <c r="BU349" s="156">
        <f t="shared" si="153"/>
        <v>7.72</v>
      </c>
      <c r="BV349" s="156">
        <f t="shared" si="154"/>
        <v>0.64</v>
      </c>
      <c r="BW349" s="156">
        <f t="shared" si="148"/>
        <v>178</v>
      </c>
      <c r="BX349" s="156">
        <f t="shared" si="145"/>
        <v>7.58110882956879</v>
      </c>
      <c r="BY349" s="1207" t="s">
        <v>2965</v>
      </c>
      <c r="BZ349" s="272">
        <v>20</v>
      </c>
      <c r="CA349" s="186">
        <f t="shared" si="146"/>
        <v>0.62</v>
      </c>
      <c r="CB349" s="186">
        <f t="shared" si="151"/>
        <v>0.62</v>
      </c>
      <c r="CC349" s="186">
        <f t="shared" si="152"/>
        <v>0.62</v>
      </c>
      <c r="CD349" s="272"/>
      <c r="CF349" s="134"/>
      <c r="CG349" s="138"/>
      <c r="CH349" s="132"/>
      <c r="CI349" s="138"/>
      <c r="CJ349" s="132"/>
      <c r="CK349" s="132"/>
      <c r="CL349" s="134"/>
      <c r="CM349" s="146"/>
    </row>
    <row r="350" ht="15" hidden="1" customHeight="1" spans="1:91">
      <c r="A350" s="123">
        <f>IF(B350="","",COUNT(A$7:A349)+1)</f>
        <v>343</v>
      </c>
      <c r="B350" s="139" t="s">
        <v>3023</v>
      </c>
      <c r="C350" s="139" t="s">
        <v>3024</v>
      </c>
      <c r="D350" s="1209">
        <v>43100</v>
      </c>
      <c r="E350" s="1210">
        <v>700</v>
      </c>
      <c r="F350" s="219" t="s">
        <v>3025</v>
      </c>
      <c r="G350" s="142"/>
      <c r="H350" s="127"/>
      <c r="I350" s="128"/>
      <c r="J350" s="128"/>
      <c r="K350" s="980">
        <v>1</v>
      </c>
      <c r="L350" s="143"/>
      <c r="M350" s="143"/>
      <c r="N350" s="144"/>
      <c r="O350" s="144"/>
      <c r="P350" s="144"/>
      <c r="Q350" s="353">
        <f t="shared" si="135"/>
        <v>1</v>
      </c>
      <c r="R350" s="129">
        <f t="shared" si="136"/>
        <v>0</v>
      </c>
      <c r="S350" s="129">
        <f t="shared" si="137"/>
        <v>0</v>
      </c>
      <c r="T350" s="129">
        <f t="shared" si="138"/>
        <v>1</v>
      </c>
      <c r="U350" s="129">
        <f t="shared" si="139"/>
        <v>704</v>
      </c>
      <c r="V350" s="214">
        <f t="shared" si="140"/>
        <v>24</v>
      </c>
      <c r="W350" s="353">
        <f t="shared" si="141"/>
        <v>168.96</v>
      </c>
      <c r="X350" s="129">
        <f t="shared" si="142"/>
        <v>168.96</v>
      </c>
      <c r="Y350" s="129" t="str">
        <f t="shared" si="143"/>
        <v/>
      </c>
      <c r="Z350" s="145"/>
      <c r="BA350" s="75" t="e">
        <f t="shared" si="147"/>
        <v>#DIV/0!</v>
      </c>
      <c r="BB350" s="78"/>
      <c r="BC350" s="132"/>
      <c r="BD350" s="133"/>
      <c r="BE350" s="132"/>
      <c r="BF350" s="134"/>
      <c r="BG350" s="135"/>
      <c r="BH350" s="135"/>
      <c r="BI350" s="136"/>
      <c r="BJ350" s="136"/>
      <c r="BK350" s="136"/>
      <c r="BL350" s="136"/>
      <c r="BM350" s="137"/>
      <c r="BN350" s="137"/>
      <c r="BO350" s="75">
        <f>LOOKUP(D350,基础数据!A:D)</f>
        <v>3.53915880885741</v>
      </c>
      <c r="BP350" s="75">
        <f t="shared" si="149"/>
        <v>1.00524445538374</v>
      </c>
      <c r="BQ350" s="75">
        <f t="shared" si="150"/>
        <v>704</v>
      </c>
      <c r="BR350" s="272">
        <f t="shared" si="133"/>
        <v>796</v>
      </c>
      <c r="BS350" s="156">
        <f t="shared" si="144"/>
        <v>91.58</v>
      </c>
      <c r="BT350" s="156"/>
      <c r="BU350" s="156">
        <f t="shared" si="153"/>
        <v>0</v>
      </c>
      <c r="BV350" s="156">
        <f t="shared" si="154"/>
        <v>0</v>
      </c>
      <c r="BW350" s="156">
        <f t="shared" si="148"/>
        <v>704</v>
      </c>
      <c r="BX350" s="156">
        <f t="shared" si="145"/>
        <v>7.58110882956879</v>
      </c>
      <c r="BY350" s="1207" t="s">
        <v>2924</v>
      </c>
      <c r="BZ350" s="272">
        <v>10</v>
      </c>
      <c r="CA350" s="186">
        <f t="shared" si="146"/>
        <v>0.24</v>
      </c>
      <c r="CB350" s="186">
        <f t="shared" si="151"/>
        <v>0.24</v>
      </c>
      <c r="CC350" s="186">
        <f t="shared" si="152"/>
        <v>0.24</v>
      </c>
      <c r="CD350" s="272"/>
      <c r="CF350" s="134"/>
      <c r="CG350" s="138"/>
      <c r="CH350" s="132"/>
      <c r="CI350" s="138"/>
      <c r="CJ350" s="132"/>
      <c r="CK350" s="132"/>
      <c r="CL350" s="134"/>
      <c r="CM350" s="146"/>
    </row>
    <row r="351" ht="15" hidden="1" customHeight="1" spans="1:91">
      <c r="A351" s="123">
        <f>IF(B351="","",COUNT(A$7:A350)+1)</f>
        <v>344</v>
      </c>
      <c r="B351" s="139" t="s">
        <v>3023</v>
      </c>
      <c r="C351" s="139" t="s">
        <v>3024</v>
      </c>
      <c r="D351" s="1209">
        <v>43100</v>
      </c>
      <c r="E351" s="1210">
        <v>700</v>
      </c>
      <c r="F351" s="219" t="s">
        <v>3025</v>
      </c>
      <c r="G351" s="142"/>
      <c r="H351" s="127"/>
      <c r="I351" s="128"/>
      <c r="J351" s="128"/>
      <c r="K351" s="980">
        <v>1</v>
      </c>
      <c r="L351" s="143"/>
      <c r="M351" s="143"/>
      <c r="N351" s="144"/>
      <c r="O351" s="144"/>
      <c r="P351" s="144"/>
      <c r="Q351" s="353">
        <f t="shared" si="135"/>
        <v>1</v>
      </c>
      <c r="R351" s="129">
        <f t="shared" si="136"/>
        <v>0</v>
      </c>
      <c r="S351" s="129">
        <f t="shared" si="137"/>
        <v>0</v>
      </c>
      <c r="T351" s="129">
        <f t="shared" si="138"/>
        <v>1</v>
      </c>
      <c r="U351" s="129">
        <f t="shared" si="139"/>
        <v>704</v>
      </c>
      <c r="V351" s="214">
        <f t="shared" si="140"/>
        <v>24</v>
      </c>
      <c r="W351" s="353">
        <f t="shared" si="141"/>
        <v>168.96</v>
      </c>
      <c r="X351" s="129">
        <f t="shared" si="142"/>
        <v>168.96</v>
      </c>
      <c r="Y351" s="129" t="str">
        <f t="shared" si="143"/>
        <v/>
      </c>
      <c r="Z351" s="145"/>
      <c r="BA351" s="75" t="e">
        <f t="shared" si="147"/>
        <v>#DIV/0!</v>
      </c>
      <c r="BB351" s="78"/>
      <c r="BC351" s="132"/>
      <c r="BD351" s="133"/>
      <c r="BE351" s="132"/>
      <c r="BF351" s="134"/>
      <c r="BG351" s="135"/>
      <c r="BH351" s="135"/>
      <c r="BI351" s="136"/>
      <c r="BJ351" s="136"/>
      <c r="BK351" s="136"/>
      <c r="BL351" s="136"/>
      <c r="BM351" s="137"/>
      <c r="BN351" s="137"/>
      <c r="BO351" s="75">
        <f>LOOKUP(D351,基础数据!A:D)</f>
        <v>3.53915880885741</v>
      </c>
      <c r="BP351" s="75">
        <f t="shared" si="149"/>
        <v>1.00524445538374</v>
      </c>
      <c r="BQ351" s="75">
        <f t="shared" si="150"/>
        <v>704</v>
      </c>
      <c r="BR351" s="272">
        <f t="shared" si="133"/>
        <v>796</v>
      </c>
      <c r="BS351" s="156">
        <f t="shared" si="144"/>
        <v>91.58</v>
      </c>
      <c r="BT351" s="156"/>
      <c r="BU351" s="156">
        <f t="shared" si="153"/>
        <v>0</v>
      </c>
      <c r="BV351" s="156">
        <f t="shared" si="154"/>
        <v>0</v>
      </c>
      <c r="BW351" s="156">
        <f t="shared" si="148"/>
        <v>704</v>
      </c>
      <c r="BX351" s="156">
        <f t="shared" si="145"/>
        <v>7.58110882956879</v>
      </c>
      <c r="BY351" s="1207" t="s">
        <v>2924</v>
      </c>
      <c r="BZ351" s="272">
        <v>10</v>
      </c>
      <c r="CA351" s="186">
        <f t="shared" si="146"/>
        <v>0.24</v>
      </c>
      <c r="CB351" s="186">
        <f t="shared" si="151"/>
        <v>0.24</v>
      </c>
      <c r="CC351" s="186">
        <f t="shared" si="152"/>
        <v>0.24</v>
      </c>
      <c r="CD351" s="272"/>
      <c r="CF351" s="134"/>
      <c r="CG351" s="138"/>
      <c r="CH351" s="132"/>
      <c r="CI351" s="138"/>
      <c r="CJ351" s="132"/>
      <c r="CK351" s="132"/>
      <c r="CL351" s="134"/>
      <c r="CM351" s="146"/>
    </row>
    <row r="352" ht="15" hidden="1" customHeight="1" spans="1:91">
      <c r="A352" s="123">
        <f>IF(B352="","",COUNT(A$7:A351)+1)</f>
        <v>345</v>
      </c>
      <c r="B352" s="139" t="s">
        <v>3026</v>
      </c>
      <c r="C352" s="139" t="s">
        <v>3027</v>
      </c>
      <c r="D352" s="1209">
        <v>43100</v>
      </c>
      <c r="E352" s="1210">
        <v>1000</v>
      </c>
      <c r="F352" s="219" t="s">
        <v>2942</v>
      </c>
      <c r="G352" s="142"/>
      <c r="H352" s="127"/>
      <c r="I352" s="128"/>
      <c r="J352" s="128"/>
      <c r="K352" s="980">
        <v>1</v>
      </c>
      <c r="L352" s="143"/>
      <c r="M352" s="143"/>
      <c r="N352" s="144"/>
      <c r="O352" s="144"/>
      <c r="P352" s="144"/>
      <c r="Q352" s="353">
        <f t="shared" si="135"/>
        <v>1</v>
      </c>
      <c r="R352" s="129">
        <f t="shared" si="136"/>
        <v>0</v>
      </c>
      <c r="S352" s="129">
        <f t="shared" si="137"/>
        <v>0</v>
      </c>
      <c r="T352" s="129">
        <f t="shared" si="138"/>
        <v>1</v>
      </c>
      <c r="U352" s="129">
        <f t="shared" si="139"/>
        <v>1005</v>
      </c>
      <c r="V352" s="214">
        <f t="shared" si="140"/>
        <v>24</v>
      </c>
      <c r="W352" s="353">
        <f t="shared" si="141"/>
        <v>241.2</v>
      </c>
      <c r="X352" s="129">
        <f t="shared" si="142"/>
        <v>241.2</v>
      </c>
      <c r="Y352" s="129" t="str">
        <f t="shared" si="143"/>
        <v/>
      </c>
      <c r="Z352" s="145"/>
      <c r="BA352" s="75" t="e">
        <f t="shared" si="147"/>
        <v>#DIV/0!</v>
      </c>
      <c r="BB352" s="78"/>
      <c r="BC352" s="132"/>
      <c r="BD352" s="133"/>
      <c r="BE352" s="132"/>
      <c r="BF352" s="134"/>
      <c r="BG352" s="135"/>
      <c r="BH352" s="135"/>
      <c r="BI352" s="136"/>
      <c r="BJ352" s="136"/>
      <c r="BK352" s="136"/>
      <c r="BL352" s="136"/>
      <c r="BM352" s="137"/>
      <c r="BN352" s="137"/>
      <c r="BO352" s="75">
        <f>LOOKUP(D352,基础数据!A:D)</f>
        <v>3.53915880885741</v>
      </c>
      <c r="BP352" s="75">
        <f t="shared" si="149"/>
        <v>1.00524445538374</v>
      </c>
      <c r="BQ352" s="75">
        <f t="shared" si="150"/>
        <v>1005</v>
      </c>
      <c r="BR352" s="272">
        <f t="shared" si="133"/>
        <v>1136</v>
      </c>
      <c r="BS352" s="156">
        <f t="shared" si="144"/>
        <v>130.69</v>
      </c>
      <c r="BT352" s="156"/>
      <c r="BU352" s="156">
        <f t="shared" si="153"/>
        <v>0</v>
      </c>
      <c r="BV352" s="156">
        <f t="shared" si="154"/>
        <v>0</v>
      </c>
      <c r="BW352" s="156">
        <f t="shared" si="148"/>
        <v>1005</v>
      </c>
      <c r="BX352" s="156">
        <f t="shared" si="145"/>
        <v>7.58110882956879</v>
      </c>
      <c r="BY352" s="1207" t="s">
        <v>2924</v>
      </c>
      <c r="BZ352" s="272">
        <v>10</v>
      </c>
      <c r="CA352" s="186">
        <f t="shared" si="146"/>
        <v>0.24</v>
      </c>
      <c r="CB352" s="186">
        <f t="shared" si="151"/>
        <v>0.24</v>
      </c>
      <c r="CC352" s="186">
        <f t="shared" si="152"/>
        <v>0.24</v>
      </c>
      <c r="CD352" s="272"/>
      <c r="CF352" s="134"/>
      <c r="CG352" s="138"/>
      <c r="CH352" s="132"/>
      <c r="CI352" s="138"/>
      <c r="CJ352" s="132"/>
      <c r="CK352" s="132"/>
      <c r="CL352" s="134"/>
      <c r="CM352" s="146"/>
    </row>
    <row r="353" ht="15" hidden="1" customHeight="1" spans="1:91">
      <c r="A353" s="123">
        <f>IF(B353="","",COUNT(A$7:A352)+1)</f>
        <v>346</v>
      </c>
      <c r="B353" s="139" t="s">
        <v>3023</v>
      </c>
      <c r="C353" s="139" t="s">
        <v>3024</v>
      </c>
      <c r="D353" s="1209">
        <v>43100</v>
      </c>
      <c r="E353" s="1210">
        <v>700</v>
      </c>
      <c r="F353" s="219" t="s">
        <v>3025</v>
      </c>
      <c r="G353" s="142"/>
      <c r="H353" s="127"/>
      <c r="I353" s="128"/>
      <c r="J353" s="128"/>
      <c r="K353" s="980">
        <v>1</v>
      </c>
      <c r="L353" s="143"/>
      <c r="M353" s="143"/>
      <c r="N353" s="144"/>
      <c r="O353" s="144"/>
      <c r="P353" s="144"/>
      <c r="Q353" s="353">
        <f t="shared" si="135"/>
        <v>1</v>
      </c>
      <c r="R353" s="129">
        <f t="shared" si="136"/>
        <v>0</v>
      </c>
      <c r="S353" s="129">
        <f t="shared" si="137"/>
        <v>0</v>
      </c>
      <c r="T353" s="129">
        <f t="shared" si="138"/>
        <v>1</v>
      </c>
      <c r="U353" s="129">
        <f t="shared" si="139"/>
        <v>704</v>
      </c>
      <c r="V353" s="214">
        <f t="shared" si="140"/>
        <v>24</v>
      </c>
      <c r="W353" s="353">
        <f t="shared" si="141"/>
        <v>168.96</v>
      </c>
      <c r="X353" s="129">
        <f t="shared" si="142"/>
        <v>168.96</v>
      </c>
      <c r="Y353" s="129" t="str">
        <f t="shared" si="143"/>
        <v/>
      </c>
      <c r="Z353" s="145"/>
      <c r="BA353" s="75" t="e">
        <f t="shared" si="147"/>
        <v>#DIV/0!</v>
      </c>
      <c r="BB353" s="78"/>
      <c r="BC353" s="132"/>
      <c r="BD353" s="133"/>
      <c r="BE353" s="132"/>
      <c r="BF353" s="134"/>
      <c r="BG353" s="135"/>
      <c r="BH353" s="135"/>
      <c r="BI353" s="136"/>
      <c r="BJ353" s="136"/>
      <c r="BK353" s="136"/>
      <c r="BL353" s="136"/>
      <c r="BM353" s="137"/>
      <c r="BN353" s="137"/>
      <c r="BO353" s="75">
        <f>LOOKUP(D353,基础数据!A:D)</f>
        <v>3.53915880885741</v>
      </c>
      <c r="BP353" s="75">
        <f t="shared" si="149"/>
        <v>1.00524445538374</v>
      </c>
      <c r="BQ353" s="75">
        <f t="shared" si="150"/>
        <v>704</v>
      </c>
      <c r="BR353" s="272">
        <f t="shared" si="133"/>
        <v>796</v>
      </c>
      <c r="BS353" s="156">
        <f t="shared" si="144"/>
        <v>91.58</v>
      </c>
      <c r="BT353" s="156"/>
      <c r="BU353" s="156">
        <f t="shared" si="153"/>
        <v>0</v>
      </c>
      <c r="BV353" s="156">
        <f t="shared" si="154"/>
        <v>0</v>
      </c>
      <c r="BW353" s="156">
        <f t="shared" si="148"/>
        <v>704</v>
      </c>
      <c r="BX353" s="156">
        <f t="shared" si="145"/>
        <v>7.58110882956879</v>
      </c>
      <c r="BY353" s="1207" t="s">
        <v>2924</v>
      </c>
      <c r="BZ353" s="272">
        <v>10</v>
      </c>
      <c r="CA353" s="186">
        <f t="shared" si="146"/>
        <v>0.24</v>
      </c>
      <c r="CB353" s="186">
        <f t="shared" si="151"/>
        <v>0.24</v>
      </c>
      <c r="CC353" s="186">
        <f t="shared" si="152"/>
        <v>0.24</v>
      </c>
      <c r="CD353" s="272"/>
      <c r="CF353" s="134"/>
      <c r="CG353" s="138"/>
      <c r="CH353" s="132"/>
      <c r="CI353" s="138"/>
      <c r="CJ353" s="132"/>
      <c r="CK353" s="132"/>
      <c r="CL353" s="134"/>
      <c r="CM353" s="146"/>
    </row>
    <row r="354" ht="15" hidden="1" customHeight="1" spans="1:91">
      <c r="A354" s="123">
        <f>IF(B354="","",COUNT(A$7:A353)+1)</f>
        <v>347</v>
      </c>
      <c r="B354" s="139" t="s">
        <v>3026</v>
      </c>
      <c r="C354" s="139" t="s">
        <v>3027</v>
      </c>
      <c r="D354" s="1209">
        <v>43100</v>
      </c>
      <c r="E354" s="1210">
        <v>1000</v>
      </c>
      <c r="F354" s="219" t="s">
        <v>2942</v>
      </c>
      <c r="G354" s="142"/>
      <c r="H354" s="127"/>
      <c r="I354" s="128"/>
      <c r="J354" s="128"/>
      <c r="K354" s="980">
        <v>1</v>
      </c>
      <c r="L354" s="143"/>
      <c r="M354" s="143"/>
      <c r="N354" s="144"/>
      <c r="O354" s="144"/>
      <c r="P354" s="144"/>
      <c r="Q354" s="353">
        <f t="shared" si="135"/>
        <v>1</v>
      </c>
      <c r="R354" s="129">
        <f t="shared" si="136"/>
        <v>0</v>
      </c>
      <c r="S354" s="129">
        <f t="shared" si="137"/>
        <v>0</v>
      </c>
      <c r="T354" s="129">
        <f t="shared" si="138"/>
        <v>1</v>
      </c>
      <c r="U354" s="129">
        <f t="shared" si="139"/>
        <v>1005</v>
      </c>
      <c r="V354" s="214">
        <f t="shared" si="140"/>
        <v>24</v>
      </c>
      <c r="W354" s="353">
        <f t="shared" si="141"/>
        <v>241.2</v>
      </c>
      <c r="X354" s="129">
        <f t="shared" si="142"/>
        <v>241.2</v>
      </c>
      <c r="Y354" s="129" t="str">
        <f t="shared" si="143"/>
        <v/>
      </c>
      <c r="Z354" s="145"/>
      <c r="BA354" s="75" t="e">
        <f t="shared" si="147"/>
        <v>#DIV/0!</v>
      </c>
      <c r="BB354" s="78"/>
      <c r="BC354" s="132"/>
      <c r="BD354" s="133"/>
      <c r="BE354" s="132"/>
      <c r="BF354" s="134"/>
      <c r="BG354" s="135"/>
      <c r="BH354" s="135"/>
      <c r="BI354" s="136"/>
      <c r="BJ354" s="136"/>
      <c r="BK354" s="136"/>
      <c r="BL354" s="136"/>
      <c r="BM354" s="137"/>
      <c r="BN354" s="137"/>
      <c r="BO354" s="75">
        <f>LOOKUP(D354,基础数据!A:D)</f>
        <v>3.53915880885741</v>
      </c>
      <c r="BP354" s="75">
        <f t="shared" si="149"/>
        <v>1.00524445538374</v>
      </c>
      <c r="BQ354" s="75">
        <f t="shared" si="150"/>
        <v>1005</v>
      </c>
      <c r="BR354" s="272">
        <f t="shared" si="133"/>
        <v>1136</v>
      </c>
      <c r="BS354" s="156">
        <f t="shared" si="144"/>
        <v>130.69</v>
      </c>
      <c r="BT354" s="156"/>
      <c r="BU354" s="156">
        <f t="shared" si="153"/>
        <v>0</v>
      </c>
      <c r="BV354" s="156">
        <f t="shared" si="154"/>
        <v>0</v>
      </c>
      <c r="BW354" s="156">
        <f t="shared" si="148"/>
        <v>1005</v>
      </c>
      <c r="BX354" s="156">
        <f t="shared" si="145"/>
        <v>7.58110882956879</v>
      </c>
      <c r="BY354" s="1207" t="s">
        <v>2924</v>
      </c>
      <c r="BZ354" s="272">
        <v>10</v>
      </c>
      <c r="CA354" s="186">
        <f t="shared" si="146"/>
        <v>0.24</v>
      </c>
      <c r="CB354" s="186">
        <f t="shared" si="151"/>
        <v>0.24</v>
      </c>
      <c r="CC354" s="186">
        <f t="shared" si="152"/>
        <v>0.24</v>
      </c>
      <c r="CD354" s="272"/>
      <c r="CF354" s="134"/>
      <c r="CG354" s="138"/>
      <c r="CH354" s="132"/>
      <c r="CI354" s="138"/>
      <c r="CJ354" s="132"/>
      <c r="CK354" s="132"/>
      <c r="CL354" s="134"/>
      <c r="CM354" s="146"/>
    </row>
    <row r="355" ht="15" hidden="1" customHeight="1" spans="1:91">
      <c r="A355" s="123">
        <f>IF(B355="","",COUNT(A$7:A354)+1)</f>
        <v>348</v>
      </c>
      <c r="B355" s="139" t="s">
        <v>3028</v>
      </c>
      <c r="C355" s="139" t="s">
        <v>1574</v>
      </c>
      <c r="D355" s="1209">
        <v>43100</v>
      </c>
      <c r="E355" s="1210">
        <v>1400</v>
      </c>
      <c r="F355" s="219" t="s">
        <v>2871</v>
      </c>
      <c r="G355" s="142"/>
      <c r="H355" s="127"/>
      <c r="I355" s="128"/>
      <c r="J355" s="128"/>
      <c r="K355" s="980">
        <v>2</v>
      </c>
      <c r="L355" s="143"/>
      <c r="M355" s="143"/>
      <c r="N355" s="144"/>
      <c r="O355" s="144"/>
      <c r="P355" s="144"/>
      <c r="Q355" s="353">
        <f t="shared" si="135"/>
        <v>2</v>
      </c>
      <c r="R355" s="129">
        <f t="shared" si="136"/>
        <v>0</v>
      </c>
      <c r="S355" s="129">
        <f t="shared" si="137"/>
        <v>0</v>
      </c>
      <c r="T355" s="129">
        <f t="shared" si="138"/>
        <v>2</v>
      </c>
      <c r="U355" s="129">
        <f t="shared" si="139"/>
        <v>1408</v>
      </c>
      <c r="V355" s="214">
        <f t="shared" si="140"/>
        <v>24</v>
      </c>
      <c r="W355" s="353">
        <f t="shared" si="141"/>
        <v>337.92</v>
      </c>
      <c r="X355" s="129">
        <f t="shared" si="142"/>
        <v>337.92</v>
      </c>
      <c r="Y355" s="129" t="str">
        <f t="shared" si="143"/>
        <v/>
      </c>
      <c r="Z355" s="145"/>
      <c r="BA355" s="75" t="e">
        <f t="shared" si="147"/>
        <v>#DIV/0!</v>
      </c>
      <c r="BB355" s="78"/>
      <c r="BC355" s="132"/>
      <c r="BD355" s="133"/>
      <c r="BE355" s="132"/>
      <c r="BF355" s="134"/>
      <c r="BG355" s="135"/>
      <c r="BH355" s="135"/>
      <c r="BI355" s="136"/>
      <c r="BJ355" s="136"/>
      <c r="BK355" s="136"/>
      <c r="BL355" s="136"/>
      <c r="BM355" s="137"/>
      <c r="BN355" s="137"/>
      <c r="BO355" s="75">
        <f>LOOKUP(D355,基础数据!A:D)</f>
        <v>3.53915880885741</v>
      </c>
      <c r="BP355" s="75">
        <f t="shared" si="149"/>
        <v>1.00524445538374</v>
      </c>
      <c r="BQ355" s="75">
        <f t="shared" si="150"/>
        <v>704</v>
      </c>
      <c r="BR355" s="272">
        <f t="shared" si="133"/>
        <v>796</v>
      </c>
      <c r="BS355" s="156">
        <f t="shared" si="144"/>
        <v>91.58</v>
      </c>
      <c r="BT355" s="156"/>
      <c r="BU355" s="156">
        <f t="shared" si="153"/>
        <v>0</v>
      </c>
      <c r="BV355" s="156">
        <f t="shared" si="154"/>
        <v>0</v>
      </c>
      <c r="BW355" s="156">
        <f t="shared" si="148"/>
        <v>704</v>
      </c>
      <c r="BX355" s="156">
        <f t="shared" si="145"/>
        <v>7.58110882956879</v>
      </c>
      <c r="BY355" s="1207" t="s">
        <v>2924</v>
      </c>
      <c r="BZ355" s="272">
        <v>10</v>
      </c>
      <c r="CA355" s="186">
        <f t="shared" si="146"/>
        <v>0.24</v>
      </c>
      <c r="CB355" s="186">
        <f t="shared" si="151"/>
        <v>0.24</v>
      </c>
      <c r="CC355" s="186">
        <f t="shared" si="152"/>
        <v>0.24</v>
      </c>
      <c r="CD355" s="272"/>
      <c r="CF355" s="134"/>
      <c r="CG355" s="138"/>
      <c r="CH355" s="132"/>
      <c r="CI355" s="138"/>
      <c r="CJ355" s="132"/>
      <c r="CK355" s="132"/>
      <c r="CL355" s="134"/>
      <c r="CM355" s="146"/>
    </row>
    <row r="356" ht="15" hidden="1" customHeight="1" spans="1:91">
      <c r="A356" s="123">
        <f>IF(B356="","",COUNT(A$7:A355)+1)</f>
        <v>349</v>
      </c>
      <c r="B356" s="139" t="s">
        <v>3029</v>
      </c>
      <c r="C356" s="139" t="s">
        <v>3030</v>
      </c>
      <c r="D356" s="1209">
        <v>43100</v>
      </c>
      <c r="E356" s="1210">
        <v>450</v>
      </c>
      <c r="F356" s="219" t="s">
        <v>2871</v>
      </c>
      <c r="G356" s="142"/>
      <c r="H356" s="127"/>
      <c r="I356" s="128"/>
      <c r="J356" s="128"/>
      <c r="K356" s="980">
        <v>1</v>
      </c>
      <c r="L356" s="143"/>
      <c r="M356" s="143"/>
      <c r="N356" s="144"/>
      <c r="O356" s="144"/>
      <c r="P356" s="144"/>
      <c r="Q356" s="353">
        <f t="shared" si="135"/>
        <v>1</v>
      </c>
      <c r="R356" s="129">
        <f t="shared" si="136"/>
        <v>0</v>
      </c>
      <c r="S356" s="129">
        <f t="shared" si="137"/>
        <v>0</v>
      </c>
      <c r="T356" s="129">
        <f t="shared" si="138"/>
        <v>1</v>
      </c>
      <c r="U356" s="129">
        <f t="shared" si="139"/>
        <v>452</v>
      </c>
      <c r="V356" s="214">
        <f t="shared" si="140"/>
        <v>24</v>
      </c>
      <c r="W356" s="353">
        <f t="shared" si="141"/>
        <v>108.48</v>
      </c>
      <c r="X356" s="129">
        <f t="shared" si="142"/>
        <v>108.48</v>
      </c>
      <c r="Y356" s="129" t="str">
        <f t="shared" si="143"/>
        <v/>
      </c>
      <c r="Z356" s="145"/>
      <c r="BA356" s="75" t="e">
        <f t="shared" si="147"/>
        <v>#DIV/0!</v>
      </c>
      <c r="BB356" s="78"/>
      <c r="BC356" s="132"/>
      <c r="BD356" s="133"/>
      <c r="BE356" s="132"/>
      <c r="BF356" s="134"/>
      <c r="BG356" s="135"/>
      <c r="BH356" s="135"/>
      <c r="BI356" s="136"/>
      <c r="BJ356" s="136"/>
      <c r="BK356" s="136"/>
      <c r="BL356" s="136"/>
      <c r="BM356" s="137"/>
      <c r="BN356" s="137"/>
      <c r="BO356" s="75">
        <f>LOOKUP(D356,基础数据!A:D)</f>
        <v>3.53915880885741</v>
      </c>
      <c r="BP356" s="75">
        <f t="shared" si="149"/>
        <v>1.00524445538374</v>
      </c>
      <c r="BQ356" s="75">
        <f t="shared" si="150"/>
        <v>452</v>
      </c>
      <c r="BR356" s="272">
        <f t="shared" si="133"/>
        <v>511</v>
      </c>
      <c r="BS356" s="156">
        <f t="shared" si="144"/>
        <v>58.79</v>
      </c>
      <c r="BT356" s="156"/>
      <c r="BU356" s="156">
        <f t="shared" si="153"/>
        <v>0</v>
      </c>
      <c r="BV356" s="156">
        <f t="shared" si="154"/>
        <v>0</v>
      </c>
      <c r="BW356" s="156">
        <f t="shared" si="148"/>
        <v>452</v>
      </c>
      <c r="BX356" s="156">
        <f t="shared" si="145"/>
        <v>7.58110882956879</v>
      </c>
      <c r="BY356" s="1207" t="s">
        <v>2924</v>
      </c>
      <c r="BZ356" s="272">
        <v>10</v>
      </c>
      <c r="CA356" s="186">
        <f t="shared" si="146"/>
        <v>0.24</v>
      </c>
      <c r="CB356" s="186">
        <f t="shared" si="151"/>
        <v>0.24</v>
      </c>
      <c r="CC356" s="186">
        <f t="shared" si="152"/>
        <v>0.24</v>
      </c>
      <c r="CD356" s="272"/>
      <c r="CF356" s="134"/>
      <c r="CG356" s="138"/>
      <c r="CH356" s="132"/>
      <c r="CI356" s="138"/>
      <c r="CJ356" s="132"/>
      <c r="CK356" s="132"/>
      <c r="CL356" s="134"/>
      <c r="CM356" s="146"/>
    </row>
    <row r="357" ht="15" hidden="1" customHeight="1" spans="1:91">
      <c r="A357" s="123">
        <f>IF(B357="","",COUNT(A$7:A356)+1)</f>
        <v>350</v>
      </c>
      <c r="B357" s="139" t="s">
        <v>3031</v>
      </c>
      <c r="C357" s="139" t="s">
        <v>3032</v>
      </c>
      <c r="D357" s="1209">
        <v>43100</v>
      </c>
      <c r="E357" s="1210">
        <v>2300</v>
      </c>
      <c r="F357" s="219" t="s">
        <v>2871</v>
      </c>
      <c r="G357" s="142"/>
      <c r="H357" s="127"/>
      <c r="I357" s="128"/>
      <c r="J357" s="128"/>
      <c r="K357" s="980">
        <v>1</v>
      </c>
      <c r="L357" s="143"/>
      <c r="M357" s="143"/>
      <c r="N357" s="144"/>
      <c r="O357" s="144"/>
      <c r="P357" s="144"/>
      <c r="Q357" s="353">
        <f t="shared" si="135"/>
        <v>1</v>
      </c>
      <c r="R357" s="129">
        <f t="shared" si="136"/>
        <v>0</v>
      </c>
      <c r="S357" s="129">
        <f t="shared" si="137"/>
        <v>0</v>
      </c>
      <c r="T357" s="129">
        <f t="shared" si="138"/>
        <v>1</v>
      </c>
      <c r="U357" s="129">
        <f t="shared" si="139"/>
        <v>2312</v>
      </c>
      <c r="V357" s="214">
        <f t="shared" si="140"/>
        <v>24</v>
      </c>
      <c r="W357" s="353">
        <f t="shared" si="141"/>
        <v>554.88</v>
      </c>
      <c r="X357" s="129">
        <f t="shared" si="142"/>
        <v>554.88</v>
      </c>
      <c r="Y357" s="129" t="str">
        <f t="shared" si="143"/>
        <v/>
      </c>
      <c r="Z357" s="145"/>
      <c r="BA357" s="75" t="e">
        <f t="shared" si="147"/>
        <v>#DIV/0!</v>
      </c>
      <c r="BB357" s="78"/>
      <c r="BC357" s="132"/>
      <c r="BD357" s="133"/>
      <c r="BE357" s="132"/>
      <c r="BF357" s="134"/>
      <c r="BG357" s="135"/>
      <c r="BH357" s="135"/>
      <c r="BI357" s="136"/>
      <c r="BJ357" s="136"/>
      <c r="BK357" s="136"/>
      <c r="BL357" s="136"/>
      <c r="BM357" s="137"/>
      <c r="BN357" s="137"/>
      <c r="BO357" s="75">
        <f>LOOKUP(D357,基础数据!A:D)</f>
        <v>3.53915880885741</v>
      </c>
      <c r="BP357" s="75">
        <f t="shared" si="149"/>
        <v>1.00524445538374</v>
      </c>
      <c r="BQ357" s="75">
        <f t="shared" si="150"/>
        <v>2312</v>
      </c>
      <c r="BR357" s="272">
        <f t="shared" si="133"/>
        <v>2613</v>
      </c>
      <c r="BS357" s="156">
        <f t="shared" si="144"/>
        <v>300.61</v>
      </c>
      <c r="BT357" s="156"/>
      <c r="BU357" s="156">
        <f t="shared" si="153"/>
        <v>0</v>
      </c>
      <c r="BV357" s="156">
        <f t="shared" si="154"/>
        <v>0</v>
      </c>
      <c r="BW357" s="156">
        <f t="shared" si="148"/>
        <v>2312</v>
      </c>
      <c r="BX357" s="156">
        <f t="shared" si="145"/>
        <v>7.58110882956879</v>
      </c>
      <c r="BY357" s="1207" t="s">
        <v>2924</v>
      </c>
      <c r="BZ357" s="272">
        <v>10</v>
      </c>
      <c r="CA357" s="186">
        <f t="shared" si="146"/>
        <v>0.24</v>
      </c>
      <c r="CB357" s="186">
        <f t="shared" si="151"/>
        <v>0.24</v>
      </c>
      <c r="CC357" s="186">
        <f t="shared" si="152"/>
        <v>0.24</v>
      </c>
      <c r="CD357" s="272"/>
      <c r="CF357" s="134"/>
      <c r="CG357" s="138"/>
      <c r="CH357" s="132"/>
      <c r="CI357" s="138"/>
      <c r="CJ357" s="132"/>
      <c r="CK357" s="132"/>
      <c r="CL357" s="134"/>
      <c r="CM357" s="146"/>
    </row>
    <row r="358" ht="15" hidden="1" customHeight="1" spans="1:91">
      <c r="A358" s="123">
        <f>IF(B358="","",COUNT(A$7:A357)+1)</f>
        <v>351</v>
      </c>
      <c r="B358" s="139" t="s">
        <v>3033</v>
      </c>
      <c r="C358" s="139" t="s">
        <v>3031</v>
      </c>
      <c r="D358" s="1209">
        <v>43100</v>
      </c>
      <c r="E358" s="1210">
        <v>360</v>
      </c>
      <c r="F358" s="219" t="s">
        <v>2871</v>
      </c>
      <c r="G358" s="142"/>
      <c r="H358" s="127"/>
      <c r="I358" s="128"/>
      <c r="J358" s="128"/>
      <c r="K358" s="980">
        <v>2</v>
      </c>
      <c r="L358" s="143"/>
      <c r="M358" s="143"/>
      <c r="N358" s="144"/>
      <c r="O358" s="144"/>
      <c r="P358" s="144"/>
      <c r="Q358" s="353">
        <f t="shared" si="135"/>
        <v>2</v>
      </c>
      <c r="R358" s="129">
        <f t="shared" si="136"/>
        <v>0</v>
      </c>
      <c r="S358" s="129">
        <f t="shared" si="137"/>
        <v>0</v>
      </c>
      <c r="T358" s="129">
        <f t="shared" si="138"/>
        <v>2</v>
      </c>
      <c r="U358" s="129">
        <f t="shared" si="139"/>
        <v>378</v>
      </c>
      <c r="V358" s="214">
        <f t="shared" si="140"/>
        <v>62</v>
      </c>
      <c r="W358" s="353">
        <f t="shared" si="141"/>
        <v>234.36</v>
      </c>
      <c r="X358" s="129">
        <f t="shared" si="142"/>
        <v>234.36</v>
      </c>
      <c r="Y358" s="129" t="str">
        <f t="shared" si="143"/>
        <v/>
      </c>
      <c r="Z358" s="145"/>
      <c r="BA358" s="75" t="e">
        <f t="shared" si="147"/>
        <v>#DIV/0!</v>
      </c>
      <c r="BB358" s="78"/>
      <c r="BC358" s="132"/>
      <c r="BD358" s="133"/>
      <c r="BE358" s="132"/>
      <c r="BF358" s="134"/>
      <c r="BG358" s="135"/>
      <c r="BH358" s="135"/>
      <c r="BI358" s="136"/>
      <c r="BJ358" s="136"/>
      <c r="BK358" s="136"/>
      <c r="BL358" s="136"/>
      <c r="BM358" s="137"/>
      <c r="BN358" s="137"/>
      <c r="BO358" s="75">
        <f>LOOKUP(D358,基础数据!A:D)</f>
        <v>3.53915880885741</v>
      </c>
      <c r="BP358" s="75">
        <f t="shared" si="149"/>
        <v>1.00524445538374</v>
      </c>
      <c r="BQ358" s="75">
        <f t="shared" si="150"/>
        <v>181</v>
      </c>
      <c r="BR358" s="272">
        <f t="shared" si="133"/>
        <v>205</v>
      </c>
      <c r="BS358" s="156">
        <f t="shared" si="144"/>
        <v>23.58</v>
      </c>
      <c r="BT358" s="186">
        <v>0.04</v>
      </c>
      <c r="BU358" s="156">
        <f t="shared" si="153"/>
        <v>8.2</v>
      </c>
      <c r="BV358" s="156">
        <f t="shared" si="154"/>
        <v>0.68</v>
      </c>
      <c r="BW358" s="156">
        <f t="shared" si="148"/>
        <v>189</v>
      </c>
      <c r="BX358" s="156">
        <f t="shared" si="145"/>
        <v>7.58110882956879</v>
      </c>
      <c r="BY358" s="1207" t="s">
        <v>2965</v>
      </c>
      <c r="BZ358" s="272">
        <v>20</v>
      </c>
      <c r="CA358" s="186">
        <f t="shared" si="146"/>
        <v>0.62</v>
      </c>
      <c r="CB358" s="186">
        <f t="shared" si="151"/>
        <v>0.62</v>
      </c>
      <c r="CC358" s="186">
        <f t="shared" si="152"/>
        <v>0.62</v>
      </c>
      <c r="CD358" s="272"/>
      <c r="CF358" s="134"/>
      <c r="CG358" s="138"/>
      <c r="CH358" s="132"/>
      <c r="CI358" s="138"/>
      <c r="CJ358" s="132"/>
      <c r="CK358" s="132"/>
      <c r="CL358" s="134"/>
      <c r="CM358" s="146"/>
    </row>
    <row r="359" ht="15" hidden="1" customHeight="1" spans="1:91">
      <c r="A359" s="123">
        <f>IF(B359="","",COUNT(A$7:A358)+1)</f>
        <v>352</v>
      </c>
      <c r="B359" s="139" t="s">
        <v>3026</v>
      </c>
      <c r="C359" s="139" t="s">
        <v>3027</v>
      </c>
      <c r="D359" s="1209">
        <v>43100</v>
      </c>
      <c r="E359" s="1210">
        <v>2000</v>
      </c>
      <c r="F359" s="219" t="s">
        <v>2942</v>
      </c>
      <c r="G359" s="142"/>
      <c r="H359" s="127"/>
      <c r="I359" s="128"/>
      <c r="J359" s="128"/>
      <c r="K359" s="980">
        <v>2</v>
      </c>
      <c r="L359" s="143"/>
      <c r="M359" s="143"/>
      <c r="N359" s="144"/>
      <c r="O359" s="144"/>
      <c r="P359" s="144"/>
      <c r="Q359" s="353">
        <f t="shared" si="135"/>
        <v>2</v>
      </c>
      <c r="R359" s="129">
        <f t="shared" si="136"/>
        <v>0</v>
      </c>
      <c r="S359" s="129">
        <f t="shared" si="137"/>
        <v>0</v>
      </c>
      <c r="T359" s="129">
        <f t="shared" si="138"/>
        <v>2</v>
      </c>
      <c r="U359" s="129">
        <f t="shared" si="139"/>
        <v>2010</v>
      </c>
      <c r="V359" s="214">
        <f t="shared" si="140"/>
        <v>24</v>
      </c>
      <c r="W359" s="353">
        <f t="shared" si="141"/>
        <v>482.4</v>
      </c>
      <c r="X359" s="129">
        <f t="shared" si="142"/>
        <v>482.4</v>
      </c>
      <c r="Y359" s="129" t="str">
        <f t="shared" si="143"/>
        <v/>
      </c>
      <c r="Z359" s="145"/>
      <c r="BA359" s="75" t="e">
        <f t="shared" si="147"/>
        <v>#DIV/0!</v>
      </c>
      <c r="BB359" s="78"/>
      <c r="BC359" s="132"/>
      <c r="BD359" s="133"/>
      <c r="BE359" s="132"/>
      <c r="BF359" s="134"/>
      <c r="BG359" s="135"/>
      <c r="BH359" s="135"/>
      <c r="BI359" s="136"/>
      <c r="BJ359" s="136"/>
      <c r="BK359" s="136"/>
      <c r="BL359" s="136"/>
      <c r="BM359" s="137"/>
      <c r="BN359" s="137"/>
      <c r="BO359" s="75">
        <f>LOOKUP(D359,基础数据!A:D)</f>
        <v>3.53915880885741</v>
      </c>
      <c r="BP359" s="75">
        <f t="shared" si="149"/>
        <v>1.00524445538374</v>
      </c>
      <c r="BQ359" s="75">
        <f t="shared" si="150"/>
        <v>1005</v>
      </c>
      <c r="BR359" s="272">
        <f t="shared" si="133"/>
        <v>1136</v>
      </c>
      <c r="BS359" s="156">
        <f t="shared" si="144"/>
        <v>130.69</v>
      </c>
      <c r="BT359" s="156"/>
      <c r="BU359" s="156">
        <f t="shared" si="153"/>
        <v>0</v>
      </c>
      <c r="BV359" s="156">
        <f t="shared" si="154"/>
        <v>0</v>
      </c>
      <c r="BW359" s="156">
        <f t="shared" si="148"/>
        <v>1005</v>
      </c>
      <c r="BX359" s="156">
        <f t="shared" si="145"/>
        <v>7.58110882956879</v>
      </c>
      <c r="BY359" s="1207" t="s">
        <v>2924</v>
      </c>
      <c r="BZ359" s="272">
        <v>10</v>
      </c>
      <c r="CA359" s="186">
        <f t="shared" si="146"/>
        <v>0.24</v>
      </c>
      <c r="CB359" s="186">
        <f t="shared" si="151"/>
        <v>0.24</v>
      </c>
      <c r="CC359" s="186">
        <f t="shared" si="152"/>
        <v>0.24</v>
      </c>
      <c r="CD359" s="272"/>
      <c r="CF359" s="134"/>
      <c r="CG359" s="138"/>
      <c r="CH359" s="132"/>
      <c r="CI359" s="138"/>
      <c r="CJ359" s="132"/>
      <c r="CK359" s="132"/>
      <c r="CL359" s="134"/>
      <c r="CM359" s="146"/>
    </row>
    <row r="360" ht="15" hidden="1" customHeight="1" spans="1:91">
      <c r="A360" s="123">
        <f>IF(B360="","",COUNT(A$7:A359)+1)</f>
        <v>353</v>
      </c>
      <c r="B360" s="139" t="s">
        <v>3031</v>
      </c>
      <c r="C360" s="139" t="s">
        <v>3034</v>
      </c>
      <c r="D360" s="1209">
        <v>43100</v>
      </c>
      <c r="E360" s="1210">
        <v>500</v>
      </c>
      <c r="F360" s="219" t="s">
        <v>2871</v>
      </c>
      <c r="G360" s="142"/>
      <c r="H360" s="127"/>
      <c r="I360" s="128"/>
      <c r="J360" s="128"/>
      <c r="K360" s="980">
        <v>1</v>
      </c>
      <c r="L360" s="143"/>
      <c r="M360" s="143"/>
      <c r="N360" s="144"/>
      <c r="O360" s="144"/>
      <c r="P360" s="144"/>
      <c r="Q360" s="353">
        <f t="shared" si="135"/>
        <v>1</v>
      </c>
      <c r="R360" s="129">
        <f t="shared" si="136"/>
        <v>0</v>
      </c>
      <c r="S360" s="129">
        <f t="shared" si="137"/>
        <v>0</v>
      </c>
      <c r="T360" s="129">
        <f t="shared" si="138"/>
        <v>1</v>
      </c>
      <c r="U360" s="129">
        <f t="shared" si="139"/>
        <v>503</v>
      </c>
      <c r="V360" s="214">
        <f t="shared" si="140"/>
        <v>24</v>
      </c>
      <c r="W360" s="353">
        <f t="shared" si="141"/>
        <v>120.72</v>
      </c>
      <c r="X360" s="129">
        <f t="shared" si="142"/>
        <v>120.72</v>
      </c>
      <c r="Y360" s="129" t="str">
        <f t="shared" si="143"/>
        <v/>
      </c>
      <c r="Z360" s="145"/>
      <c r="BA360" s="75" t="e">
        <f t="shared" si="147"/>
        <v>#DIV/0!</v>
      </c>
      <c r="BB360" s="78"/>
      <c r="BC360" s="132"/>
      <c r="BD360" s="133"/>
      <c r="BE360" s="132"/>
      <c r="BF360" s="134"/>
      <c r="BG360" s="135"/>
      <c r="BH360" s="135"/>
      <c r="BI360" s="136"/>
      <c r="BJ360" s="136"/>
      <c r="BK360" s="136"/>
      <c r="BL360" s="136"/>
      <c r="BM360" s="137"/>
      <c r="BN360" s="137"/>
      <c r="BO360" s="75">
        <f>LOOKUP(D360,基础数据!A:D)</f>
        <v>3.53915880885741</v>
      </c>
      <c r="BP360" s="75">
        <f t="shared" si="149"/>
        <v>1.00524445538374</v>
      </c>
      <c r="BQ360" s="75">
        <f t="shared" si="150"/>
        <v>503</v>
      </c>
      <c r="BR360" s="272">
        <f t="shared" si="133"/>
        <v>568</v>
      </c>
      <c r="BS360" s="156">
        <f t="shared" si="144"/>
        <v>65.35</v>
      </c>
      <c r="BT360" s="156"/>
      <c r="BU360" s="156">
        <f t="shared" si="153"/>
        <v>0</v>
      </c>
      <c r="BV360" s="156">
        <f t="shared" si="154"/>
        <v>0</v>
      </c>
      <c r="BW360" s="156">
        <f t="shared" si="148"/>
        <v>503</v>
      </c>
      <c r="BX360" s="156">
        <f t="shared" si="145"/>
        <v>7.58110882956879</v>
      </c>
      <c r="BY360" s="1207" t="s">
        <v>2924</v>
      </c>
      <c r="BZ360" s="272">
        <v>10</v>
      </c>
      <c r="CA360" s="186">
        <f t="shared" si="146"/>
        <v>0.24</v>
      </c>
      <c r="CB360" s="186">
        <f t="shared" si="151"/>
        <v>0.24</v>
      </c>
      <c r="CC360" s="186">
        <f t="shared" si="152"/>
        <v>0.24</v>
      </c>
      <c r="CD360" s="272"/>
      <c r="CF360" s="134"/>
      <c r="CG360" s="138"/>
      <c r="CH360" s="132"/>
      <c r="CI360" s="138"/>
      <c r="CJ360" s="132"/>
      <c r="CK360" s="132"/>
      <c r="CL360" s="134"/>
      <c r="CM360" s="146"/>
    </row>
    <row r="361" ht="15" hidden="1" customHeight="1" spans="1:91">
      <c r="A361" s="123">
        <f>IF(B361="","",COUNT(A$7:A360)+1)</f>
        <v>354</v>
      </c>
      <c r="B361" s="139" t="s">
        <v>3035</v>
      </c>
      <c r="C361" s="139"/>
      <c r="D361" s="1209">
        <v>43100</v>
      </c>
      <c r="E361" s="1210">
        <v>600</v>
      </c>
      <c r="F361" s="219" t="s">
        <v>3036</v>
      </c>
      <c r="G361" s="142"/>
      <c r="H361" s="127"/>
      <c r="I361" s="128"/>
      <c r="J361" s="128"/>
      <c r="K361" s="980">
        <v>5</v>
      </c>
      <c r="L361" s="143"/>
      <c r="M361" s="143"/>
      <c r="N361" s="144"/>
      <c r="O361" s="144"/>
      <c r="P361" s="144"/>
      <c r="Q361" s="353">
        <f t="shared" si="135"/>
        <v>5</v>
      </c>
      <c r="R361" s="129">
        <f t="shared" si="136"/>
        <v>0</v>
      </c>
      <c r="S361" s="129">
        <f t="shared" si="137"/>
        <v>0</v>
      </c>
      <c r="T361" s="129">
        <f t="shared" si="138"/>
        <v>5</v>
      </c>
      <c r="U361" s="129">
        <f t="shared" si="139"/>
        <v>605</v>
      </c>
      <c r="V361" s="214">
        <f t="shared" si="140"/>
        <v>24</v>
      </c>
      <c r="W361" s="353">
        <f t="shared" si="141"/>
        <v>145.2</v>
      </c>
      <c r="X361" s="129">
        <f t="shared" si="142"/>
        <v>145.2</v>
      </c>
      <c r="Y361" s="129" t="str">
        <f t="shared" si="143"/>
        <v/>
      </c>
      <c r="Z361" s="145"/>
      <c r="BA361" s="75" t="e">
        <f t="shared" si="147"/>
        <v>#DIV/0!</v>
      </c>
      <c r="BB361" s="78"/>
      <c r="BC361" s="132"/>
      <c r="BD361" s="133"/>
      <c r="BE361" s="132"/>
      <c r="BF361" s="134"/>
      <c r="BG361" s="135"/>
      <c r="BH361" s="135"/>
      <c r="BI361" s="136"/>
      <c r="BJ361" s="136"/>
      <c r="BK361" s="136"/>
      <c r="BL361" s="136"/>
      <c r="BM361" s="137"/>
      <c r="BN361" s="137"/>
      <c r="BO361" s="75">
        <f>LOOKUP(D361,基础数据!A:D)</f>
        <v>3.53915880885741</v>
      </c>
      <c r="BP361" s="75">
        <f t="shared" si="149"/>
        <v>1.00524445538374</v>
      </c>
      <c r="BQ361" s="75">
        <f t="shared" si="150"/>
        <v>121</v>
      </c>
      <c r="BR361" s="272">
        <f t="shared" si="133"/>
        <v>137</v>
      </c>
      <c r="BS361" s="156">
        <f t="shared" si="144"/>
        <v>15.76</v>
      </c>
      <c r="BT361" s="156"/>
      <c r="BU361" s="156">
        <f t="shared" si="153"/>
        <v>0</v>
      </c>
      <c r="BV361" s="156">
        <f t="shared" si="154"/>
        <v>0</v>
      </c>
      <c r="BW361" s="156">
        <f t="shared" si="148"/>
        <v>121</v>
      </c>
      <c r="BX361" s="156">
        <f t="shared" si="145"/>
        <v>7.58110882956879</v>
      </c>
      <c r="BY361" s="1207" t="s">
        <v>2924</v>
      </c>
      <c r="BZ361" s="272">
        <v>10</v>
      </c>
      <c r="CA361" s="186">
        <f t="shared" si="146"/>
        <v>0.24</v>
      </c>
      <c r="CB361" s="186">
        <f t="shared" si="151"/>
        <v>0.24</v>
      </c>
      <c r="CC361" s="186">
        <f t="shared" si="152"/>
        <v>0.24</v>
      </c>
      <c r="CD361" s="272"/>
      <c r="CF361" s="134"/>
      <c r="CG361" s="138"/>
      <c r="CH361" s="132"/>
      <c r="CI361" s="138"/>
      <c r="CJ361" s="132"/>
      <c r="CK361" s="132"/>
      <c r="CL361" s="134"/>
      <c r="CM361" s="146"/>
    </row>
    <row r="362" ht="15" hidden="1" customHeight="1" spans="1:91">
      <c r="A362" s="123">
        <f>IF(B362="","",COUNT(A$7:A361)+1)</f>
        <v>355</v>
      </c>
      <c r="B362" s="139" t="s">
        <v>3037</v>
      </c>
      <c r="C362" s="139" t="s">
        <v>3038</v>
      </c>
      <c r="D362" s="1209">
        <v>43100</v>
      </c>
      <c r="E362" s="1210">
        <v>6600</v>
      </c>
      <c r="F362" s="219" t="s">
        <v>2866</v>
      </c>
      <c r="G362" s="142"/>
      <c r="H362" s="127"/>
      <c r="I362" s="128"/>
      <c r="J362" s="128"/>
      <c r="K362" s="980">
        <v>11</v>
      </c>
      <c r="L362" s="143"/>
      <c r="M362" s="143"/>
      <c r="N362" s="144"/>
      <c r="O362" s="144"/>
      <c r="P362" s="144"/>
      <c r="Q362" s="353">
        <f t="shared" si="135"/>
        <v>11</v>
      </c>
      <c r="R362" s="129">
        <f t="shared" si="136"/>
        <v>0</v>
      </c>
      <c r="S362" s="129">
        <f t="shared" si="137"/>
        <v>0</v>
      </c>
      <c r="T362" s="129">
        <f t="shared" si="138"/>
        <v>11</v>
      </c>
      <c r="U362" s="129">
        <f t="shared" si="139"/>
        <v>6633</v>
      </c>
      <c r="V362" s="214">
        <f t="shared" si="140"/>
        <v>24</v>
      </c>
      <c r="W362" s="353">
        <f t="shared" si="141"/>
        <v>1591.92</v>
      </c>
      <c r="X362" s="129">
        <f t="shared" si="142"/>
        <v>1591.92</v>
      </c>
      <c r="Y362" s="129" t="str">
        <f t="shared" si="143"/>
        <v/>
      </c>
      <c r="Z362" s="145"/>
      <c r="BA362" s="75" t="e">
        <f t="shared" si="147"/>
        <v>#DIV/0!</v>
      </c>
      <c r="BB362" s="78"/>
      <c r="BC362" s="132"/>
      <c r="BD362" s="133"/>
      <c r="BE362" s="132"/>
      <c r="BF362" s="134"/>
      <c r="BG362" s="135"/>
      <c r="BH362" s="135"/>
      <c r="BI362" s="136"/>
      <c r="BJ362" s="136"/>
      <c r="BK362" s="136"/>
      <c r="BL362" s="136"/>
      <c r="BM362" s="137"/>
      <c r="BN362" s="137"/>
      <c r="BO362" s="75">
        <f>LOOKUP(D362,基础数据!A:D)</f>
        <v>3.53915880885741</v>
      </c>
      <c r="BP362" s="75">
        <f t="shared" si="149"/>
        <v>1.00524445538374</v>
      </c>
      <c r="BQ362" s="75">
        <f t="shared" si="150"/>
        <v>603</v>
      </c>
      <c r="BR362" s="272">
        <f t="shared" si="133"/>
        <v>681</v>
      </c>
      <c r="BS362" s="156">
        <f t="shared" si="144"/>
        <v>78.35</v>
      </c>
      <c r="BT362" s="156"/>
      <c r="BU362" s="156">
        <f t="shared" si="153"/>
        <v>0</v>
      </c>
      <c r="BV362" s="156">
        <f t="shared" si="154"/>
        <v>0</v>
      </c>
      <c r="BW362" s="156">
        <f t="shared" si="148"/>
        <v>603</v>
      </c>
      <c r="BX362" s="156">
        <f t="shared" si="145"/>
        <v>7.58110882956879</v>
      </c>
      <c r="BY362" s="1207" t="s">
        <v>2924</v>
      </c>
      <c r="BZ362" s="272">
        <v>10</v>
      </c>
      <c r="CA362" s="186">
        <f t="shared" si="146"/>
        <v>0.24</v>
      </c>
      <c r="CB362" s="186">
        <f t="shared" si="151"/>
        <v>0.24</v>
      </c>
      <c r="CC362" s="186">
        <f t="shared" si="152"/>
        <v>0.24</v>
      </c>
      <c r="CD362" s="272"/>
      <c r="CF362" s="134"/>
      <c r="CG362" s="138"/>
      <c r="CH362" s="132"/>
      <c r="CI362" s="138"/>
      <c r="CJ362" s="132"/>
      <c r="CK362" s="132"/>
      <c r="CL362" s="134"/>
      <c r="CM362" s="146"/>
    </row>
    <row r="363" ht="15" hidden="1" customHeight="1" spans="1:91">
      <c r="A363" s="123">
        <f>IF(B363="","",COUNT(A$7:A362)+1)</f>
        <v>356</v>
      </c>
      <c r="B363" s="139" t="s">
        <v>3039</v>
      </c>
      <c r="C363" s="139"/>
      <c r="D363" s="1209">
        <v>43100</v>
      </c>
      <c r="E363" s="1210">
        <v>4000</v>
      </c>
      <c r="F363" s="219" t="s">
        <v>2871</v>
      </c>
      <c r="G363" s="142"/>
      <c r="H363" s="127"/>
      <c r="I363" s="128"/>
      <c r="J363" s="128"/>
      <c r="K363" s="980">
        <v>10</v>
      </c>
      <c r="L363" s="143"/>
      <c r="M363" s="143"/>
      <c r="N363" s="144"/>
      <c r="O363" s="144"/>
      <c r="P363" s="144"/>
      <c r="Q363" s="353">
        <f t="shared" si="135"/>
        <v>10</v>
      </c>
      <c r="R363" s="129">
        <f t="shared" si="136"/>
        <v>0</v>
      </c>
      <c r="S363" s="129">
        <f t="shared" si="137"/>
        <v>0</v>
      </c>
      <c r="T363" s="129">
        <f t="shared" si="138"/>
        <v>10</v>
      </c>
      <c r="U363" s="129">
        <f t="shared" si="139"/>
        <v>4020</v>
      </c>
      <c r="V363" s="214">
        <f t="shared" si="140"/>
        <v>24</v>
      </c>
      <c r="W363" s="353">
        <f t="shared" si="141"/>
        <v>964.8</v>
      </c>
      <c r="X363" s="129">
        <f t="shared" si="142"/>
        <v>964.8</v>
      </c>
      <c r="Y363" s="129" t="str">
        <f t="shared" si="143"/>
        <v/>
      </c>
      <c r="Z363" s="145"/>
      <c r="BA363" s="75" t="e">
        <f t="shared" si="147"/>
        <v>#DIV/0!</v>
      </c>
      <c r="BB363" s="78"/>
      <c r="BC363" s="132"/>
      <c r="BD363" s="133"/>
      <c r="BE363" s="132"/>
      <c r="BF363" s="134"/>
      <c r="BG363" s="135"/>
      <c r="BH363" s="135"/>
      <c r="BI363" s="136"/>
      <c r="BJ363" s="136"/>
      <c r="BK363" s="136"/>
      <c r="BL363" s="136"/>
      <c r="BM363" s="137"/>
      <c r="BN363" s="137"/>
      <c r="BO363" s="75">
        <f>LOOKUP(D363,基础数据!A:D)</f>
        <v>3.53915880885741</v>
      </c>
      <c r="BP363" s="75">
        <f t="shared" si="149"/>
        <v>1.00524445538374</v>
      </c>
      <c r="BQ363" s="75">
        <f t="shared" si="150"/>
        <v>402</v>
      </c>
      <c r="BR363" s="272">
        <f t="shared" si="133"/>
        <v>454</v>
      </c>
      <c r="BS363" s="156">
        <f t="shared" si="144"/>
        <v>52.23</v>
      </c>
      <c r="BT363" s="156"/>
      <c r="BU363" s="156">
        <f t="shared" si="153"/>
        <v>0</v>
      </c>
      <c r="BV363" s="156">
        <f t="shared" si="154"/>
        <v>0</v>
      </c>
      <c r="BW363" s="156">
        <f t="shared" si="148"/>
        <v>402</v>
      </c>
      <c r="BX363" s="156">
        <f t="shared" si="145"/>
        <v>7.58110882956879</v>
      </c>
      <c r="BY363" s="1207" t="s">
        <v>2924</v>
      </c>
      <c r="BZ363" s="272">
        <v>10</v>
      </c>
      <c r="CA363" s="186">
        <f t="shared" si="146"/>
        <v>0.24</v>
      </c>
      <c r="CB363" s="186">
        <f t="shared" si="151"/>
        <v>0.24</v>
      </c>
      <c r="CC363" s="186">
        <f t="shared" si="152"/>
        <v>0.24</v>
      </c>
      <c r="CD363" s="272"/>
      <c r="CF363" s="134"/>
      <c r="CG363" s="138"/>
      <c r="CH363" s="132"/>
      <c r="CI363" s="138"/>
      <c r="CJ363" s="132"/>
      <c r="CK363" s="132"/>
      <c r="CL363" s="134"/>
      <c r="CM363" s="146"/>
    </row>
    <row r="364" ht="15" hidden="1" customHeight="1" spans="1:91">
      <c r="A364" s="123">
        <f>IF(B364="","",COUNT(A$7:A363)+1)</f>
        <v>357</v>
      </c>
      <c r="B364" s="139" t="s">
        <v>3040</v>
      </c>
      <c r="C364" s="139"/>
      <c r="D364" s="1209">
        <v>43100</v>
      </c>
      <c r="E364" s="1210">
        <v>9360</v>
      </c>
      <c r="F364" s="219" t="s">
        <v>2871</v>
      </c>
      <c r="G364" s="142"/>
      <c r="H364" s="127"/>
      <c r="I364" s="128"/>
      <c r="J364" s="128"/>
      <c r="K364" s="980">
        <v>12</v>
      </c>
      <c r="L364" s="143"/>
      <c r="M364" s="143"/>
      <c r="N364" s="144"/>
      <c r="O364" s="144"/>
      <c r="P364" s="144"/>
      <c r="Q364" s="353">
        <f t="shared" si="135"/>
        <v>12</v>
      </c>
      <c r="R364" s="129">
        <f t="shared" si="136"/>
        <v>0</v>
      </c>
      <c r="S364" s="129">
        <f t="shared" si="137"/>
        <v>0</v>
      </c>
      <c r="T364" s="129">
        <f t="shared" si="138"/>
        <v>12</v>
      </c>
      <c r="U364" s="129">
        <f t="shared" si="139"/>
        <v>9804</v>
      </c>
      <c r="V364" s="214">
        <f t="shared" si="140"/>
        <v>62</v>
      </c>
      <c r="W364" s="353">
        <f t="shared" si="141"/>
        <v>6078.48</v>
      </c>
      <c r="X364" s="129">
        <f t="shared" si="142"/>
        <v>6078.48</v>
      </c>
      <c r="Y364" s="129" t="str">
        <f t="shared" si="143"/>
        <v/>
      </c>
      <c r="Z364" s="145"/>
      <c r="BA364" s="75" t="e">
        <f t="shared" si="147"/>
        <v>#DIV/0!</v>
      </c>
      <c r="BB364" s="78"/>
      <c r="BC364" s="132"/>
      <c r="BD364" s="133"/>
      <c r="BE364" s="132"/>
      <c r="BF364" s="134"/>
      <c r="BG364" s="135"/>
      <c r="BH364" s="135"/>
      <c r="BI364" s="136"/>
      <c r="BJ364" s="136"/>
      <c r="BK364" s="136"/>
      <c r="BL364" s="136"/>
      <c r="BM364" s="137"/>
      <c r="BN364" s="137"/>
      <c r="BO364" s="75">
        <f>LOOKUP(D364,基础数据!A:D)</f>
        <v>3.53915880885741</v>
      </c>
      <c r="BP364" s="75">
        <f t="shared" si="149"/>
        <v>1.00524445538374</v>
      </c>
      <c r="BQ364" s="75">
        <f t="shared" si="150"/>
        <v>784</v>
      </c>
      <c r="BR364" s="272">
        <f t="shared" si="133"/>
        <v>886</v>
      </c>
      <c r="BS364" s="156">
        <f t="shared" si="144"/>
        <v>101.93</v>
      </c>
      <c r="BT364" s="186">
        <v>0.04</v>
      </c>
      <c r="BU364" s="156">
        <f t="shared" si="153"/>
        <v>35.44</v>
      </c>
      <c r="BV364" s="156">
        <f t="shared" si="154"/>
        <v>2.93</v>
      </c>
      <c r="BW364" s="156">
        <f t="shared" si="148"/>
        <v>817</v>
      </c>
      <c r="BX364" s="156">
        <f t="shared" si="145"/>
        <v>7.58110882956879</v>
      </c>
      <c r="BY364" s="1207" t="s">
        <v>2965</v>
      </c>
      <c r="BZ364" s="272">
        <v>20</v>
      </c>
      <c r="CA364" s="186">
        <f t="shared" si="146"/>
        <v>0.62</v>
      </c>
      <c r="CB364" s="186">
        <f t="shared" si="151"/>
        <v>0.62</v>
      </c>
      <c r="CC364" s="186">
        <f t="shared" si="152"/>
        <v>0.62</v>
      </c>
      <c r="CD364" s="272"/>
      <c r="CF364" s="134"/>
      <c r="CG364" s="138"/>
      <c r="CH364" s="132"/>
      <c r="CI364" s="138"/>
      <c r="CJ364" s="132"/>
      <c r="CK364" s="132"/>
      <c r="CL364" s="134"/>
      <c r="CM364" s="146"/>
    </row>
    <row r="365" ht="15" hidden="1" customHeight="1" spans="1:91">
      <c r="A365" s="123">
        <f>IF(B365="","",COUNT(A$7:A364)+1)</f>
        <v>358</v>
      </c>
      <c r="B365" s="139" t="s">
        <v>3041</v>
      </c>
      <c r="C365" s="139"/>
      <c r="D365" s="1209">
        <v>43100</v>
      </c>
      <c r="E365" s="1210">
        <v>47880</v>
      </c>
      <c r="F365" s="219" t="s">
        <v>2871</v>
      </c>
      <c r="G365" s="142"/>
      <c r="H365" s="127"/>
      <c r="I365" s="128"/>
      <c r="J365" s="128"/>
      <c r="K365" s="980">
        <v>114</v>
      </c>
      <c r="L365" s="143"/>
      <c r="M365" s="143"/>
      <c r="N365" s="144"/>
      <c r="O365" s="144"/>
      <c r="P365" s="144"/>
      <c r="Q365" s="353">
        <f t="shared" si="135"/>
        <v>114</v>
      </c>
      <c r="R365" s="129">
        <f t="shared" si="136"/>
        <v>0</v>
      </c>
      <c r="S365" s="129">
        <f t="shared" si="137"/>
        <v>0</v>
      </c>
      <c r="T365" s="129">
        <f t="shared" si="138"/>
        <v>114</v>
      </c>
      <c r="U365" s="129">
        <f t="shared" si="139"/>
        <v>48108</v>
      </c>
      <c r="V365" s="214">
        <f t="shared" si="140"/>
        <v>24</v>
      </c>
      <c r="W365" s="353">
        <f t="shared" si="141"/>
        <v>11545.92</v>
      </c>
      <c r="X365" s="129">
        <f t="shared" si="142"/>
        <v>11545.92</v>
      </c>
      <c r="Y365" s="129" t="str">
        <f t="shared" si="143"/>
        <v/>
      </c>
      <c r="Z365" s="145"/>
      <c r="BA365" s="75" t="e">
        <f t="shared" si="147"/>
        <v>#DIV/0!</v>
      </c>
      <c r="BB365" s="78"/>
      <c r="BC365" s="132"/>
      <c r="BD365" s="133"/>
      <c r="BE365" s="132"/>
      <c r="BF365" s="134"/>
      <c r="BG365" s="135"/>
      <c r="BH365" s="135"/>
      <c r="BI365" s="136"/>
      <c r="BJ365" s="136"/>
      <c r="BK365" s="136"/>
      <c r="BL365" s="136"/>
      <c r="BM365" s="137"/>
      <c r="BN365" s="137"/>
      <c r="BO365" s="75">
        <f>LOOKUP(D365,基础数据!A:D)</f>
        <v>3.53915880885741</v>
      </c>
      <c r="BP365" s="75">
        <f t="shared" si="149"/>
        <v>1.00524445538374</v>
      </c>
      <c r="BQ365" s="75">
        <f t="shared" si="150"/>
        <v>422</v>
      </c>
      <c r="BR365" s="272">
        <f t="shared" si="133"/>
        <v>477</v>
      </c>
      <c r="BS365" s="156">
        <f t="shared" si="144"/>
        <v>54.88</v>
      </c>
      <c r="BT365" s="156"/>
      <c r="BU365" s="156">
        <f t="shared" si="153"/>
        <v>0</v>
      </c>
      <c r="BV365" s="156">
        <f t="shared" si="154"/>
        <v>0</v>
      </c>
      <c r="BW365" s="156">
        <f t="shared" si="148"/>
        <v>422</v>
      </c>
      <c r="BX365" s="156">
        <f t="shared" si="145"/>
        <v>7.58110882956879</v>
      </c>
      <c r="BY365" s="1207" t="s">
        <v>2924</v>
      </c>
      <c r="BZ365" s="272">
        <v>10</v>
      </c>
      <c r="CA365" s="186">
        <f t="shared" si="146"/>
        <v>0.24</v>
      </c>
      <c r="CB365" s="186">
        <f t="shared" si="151"/>
        <v>0.24</v>
      </c>
      <c r="CC365" s="186">
        <f t="shared" si="152"/>
        <v>0.24</v>
      </c>
      <c r="CD365" s="272"/>
      <c r="CF365" s="134"/>
      <c r="CG365" s="138"/>
      <c r="CH365" s="132"/>
      <c r="CI365" s="138"/>
      <c r="CJ365" s="132"/>
      <c r="CK365" s="132"/>
      <c r="CL365" s="134"/>
      <c r="CM365" s="146"/>
    </row>
    <row r="366" ht="15" customHeight="1" spans="1:91">
      <c r="A366" s="123">
        <f>IF(B366="","",COUNT(A$7:A365)+1)</f>
        <v>359</v>
      </c>
      <c r="B366" s="139" t="s">
        <v>2806</v>
      </c>
      <c r="C366" s="139" t="s">
        <v>3042</v>
      </c>
      <c r="D366" s="1209">
        <v>43100</v>
      </c>
      <c r="E366" s="1210">
        <v>12398</v>
      </c>
      <c r="F366" s="219" t="s">
        <v>2770</v>
      </c>
      <c r="G366" s="142"/>
      <c r="H366" s="127"/>
      <c r="I366" s="128"/>
      <c r="J366" s="128"/>
      <c r="K366" s="980">
        <v>40</v>
      </c>
      <c r="L366" s="143"/>
      <c r="M366" s="143"/>
      <c r="N366" s="144"/>
      <c r="O366" s="144"/>
      <c r="P366" s="144"/>
      <c r="Q366" s="353">
        <f t="shared" si="135"/>
        <v>40</v>
      </c>
      <c r="R366" s="129">
        <f t="shared" si="136"/>
        <v>0</v>
      </c>
      <c r="S366" s="129">
        <f t="shared" si="137"/>
        <v>0</v>
      </c>
      <c r="T366" s="129">
        <f t="shared" si="138"/>
        <v>40</v>
      </c>
      <c r="U366" s="129">
        <f t="shared" si="139"/>
        <v>13280</v>
      </c>
      <c r="V366" s="214">
        <f t="shared" si="140"/>
        <v>75</v>
      </c>
      <c r="W366" s="353">
        <f t="shared" si="141"/>
        <v>9960</v>
      </c>
      <c r="X366" s="129">
        <f t="shared" si="142"/>
        <v>9960</v>
      </c>
      <c r="Y366" s="129" t="str">
        <f t="shared" si="143"/>
        <v/>
      </c>
      <c r="Z366" s="145"/>
      <c r="BA366" s="75" t="e">
        <f t="shared" si="147"/>
        <v>#DIV/0!</v>
      </c>
      <c r="BB366" s="78"/>
      <c r="BC366" s="132"/>
      <c r="BD366" s="133"/>
      <c r="BE366" s="132"/>
      <c r="BF366" s="134"/>
      <c r="BG366" s="135"/>
      <c r="BH366" s="135"/>
      <c r="BI366" s="136"/>
      <c r="BJ366" s="136"/>
      <c r="BK366" s="136"/>
      <c r="BL366" s="136"/>
      <c r="BM366" s="137"/>
      <c r="BN366" s="137"/>
      <c r="BO366" s="75">
        <f>LOOKUP(D366,基础数据!A:D)</f>
        <v>3.53915880885741</v>
      </c>
      <c r="BP366" s="75">
        <f t="shared" si="149"/>
        <v>1.00524445538374</v>
      </c>
      <c r="BQ366" s="75">
        <f t="shared" si="150"/>
        <v>312</v>
      </c>
      <c r="BR366" s="272">
        <f t="shared" si="133"/>
        <v>353</v>
      </c>
      <c r="BS366" s="156">
        <f t="shared" si="144"/>
        <v>40.61</v>
      </c>
      <c r="BT366" s="1211">
        <v>0.06</v>
      </c>
      <c r="BU366" s="156">
        <f t="shared" si="153"/>
        <v>21.18</v>
      </c>
      <c r="BV366" s="156">
        <f t="shared" si="154"/>
        <v>1.75</v>
      </c>
      <c r="BW366" s="156">
        <f t="shared" si="148"/>
        <v>332</v>
      </c>
      <c r="BX366" s="156">
        <f t="shared" si="145"/>
        <v>7.58110882956879</v>
      </c>
      <c r="BY366" s="1207" t="s">
        <v>2806</v>
      </c>
      <c r="BZ366" s="272">
        <v>30</v>
      </c>
      <c r="CA366" s="186">
        <f t="shared" si="146"/>
        <v>0.75</v>
      </c>
      <c r="CB366" s="186">
        <f t="shared" si="151"/>
        <v>0.75</v>
      </c>
      <c r="CC366" s="186">
        <f t="shared" si="152"/>
        <v>0.75</v>
      </c>
      <c r="CD366" s="272"/>
      <c r="CF366" s="134"/>
      <c r="CG366" s="138"/>
      <c r="CH366" s="132"/>
      <c r="CI366" s="138"/>
      <c r="CJ366" s="132"/>
      <c r="CK366" s="132"/>
      <c r="CL366" s="134"/>
      <c r="CM366" s="146"/>
    </row>
    <row r="367" ht="15" customHeight="1" spans="1:91">
      <c r="A367" s="123">
        <f>IF(B367="","",COUNT(A$7:A366)+1)</f>
        <v>360</v>
      </c>
      <c r="B367" s="139" t="s">
        <v>2806</v>
      </c>
      <c r="C367" s="139" t="s">
        <v>2840</v>
      </c>
      <c r="D367" s="1209">
        <v>43100</v>
      </c>
      <c r="E367" s="1210">
        <v>1150.2</v>
      </c>
      <c r="F367" s="219" t="s">
        <v>2770</v>
      </c>
      <c r="G367" s="142"/>
      <c r="H367" s="127"/>
      <c r="I367" s="128"/>
      <c r="J367" s="128"/>
      <c r="K367" s="980">
        <v>20</v>
      </c>
      <c r="L367" s="143"/>
      <c r="M367" s="143"/>
      <c r="N367" s="144"/>
      <c r="O367" s="144"/>
      <c r="P367" s="144"/>
      <c r="Q367" s="353">
        <f t="shared" si="135"/>
        <v>20</v>
      </c>
      <c r="R367" s="129">
        <f t="shared" si="136"/>
        <v>0</v>
      </c>
      <c r="S367" s="129">
        <f t="shared" si="137"/>
        <v>0</v>
      </c>
      <c r="T367" s="129">
        <f t="shared" si="138"/>
        <v>20</v>
      </c>
      <c r="U367" s="129">
        <f t="shared" si="139"/>
        <v>1120</v>
      </c>
      <c r="V367" s="214">
        <f t="shared" si="140"/>
        <v>75</v>
      </c>
      <c r="W367" s="353">
        <f t="shared" si="141"/>
        <v>840</v>
      </c>
      <c r="X367" s="129">
        <f t="shared" si="142"/>
        <v>840</v>
      </c>
      <c r="Y367" s="129" t="str">
        <f t="shared" si="143"/>
        <v/>
      </c>
      <c r="Z367" s="145"/>
      <c r="BA367" s="75" t="e">
        <f t="shared" si="147"/>
        <v>#DIV/0!</v>
      </c>
      <c r="BB367" s="78"/>
      <c r="BC367" s="132"/>
      <c r="BD367" s="133"/>
      <c r="BE367" s="132"/>
      <c r="BF367" s="134"/>
      <c r="BG367" s="135"/>
      <c r="BH367" s="135"/>
      <c r="BI367" s="136"/>
      <c r="BJ367" s="136"/>
      <c r="BK367" s="136"/>
      <c r="BL367" s="136"/>
      <c r="BM367" s="137"/>
      <c r="BN367" s="137"/>
      <c r="BO367" s="75">
        <f>LOOKUP(D367,基础数据!A:D)</f>
        <v>3.53915880885741</v>
      </c>
      <c r="BP367" s="75">
        <f t="shared" si="149"/>
        <v>1.00524445538374</v>
      </c>
      <c r="BQ367" s="75">
        <f t="shared" si="150"/>
        <v>58</v>
      </c>
      <c r="BR367" s="272">
        <v>59.63</v>
      </c>
      <c r="BS367" s="156">
        <f t="shared" si="144"/>
        <v>6.86</v>
      </c>
      <c r="BT367" s="1211">
        <v>0.06</v>
      </c>
      <c r="BU367" s="156">
        <f t="shared" si="153"/>
        <v>3.58</v>
      </c>
      <c r="BV367" s="156">
        <f t="shared" si="154"/>
        <v>0.3</v>
      </c>
      <c r="BW367" s="156">
        <f t="shared" si="148"/>
        <v>56</v>
      </c>
      <c r="BX367" s="156">
        <f t="shared" si="145"/>
        <v>7.58110882956879</v>
      </c>
      <c r="BY367" s="1207" t="s">
        <v>2806</v>
      </c>
      <c r="BZ367" s="272">
        <v>30</v>
      </c>
      <c r="CA367" s="186">
        <f t="shared" si="146"/>
        <v>0.75</v>
      </c>
      <c r="CB367" s="186">
        <f t="shared" si="151"/>
        <v>0.75</v>
      </c>
      <c r="CC367" s="186">
        <f t="shared" si="152"/>
        <v>0.75</v>
      </c>
      <c r="CD367" s="1208" t="s">
        <v>2841</v>
      </c>
      <c r="CF367" s="134"/>
      <c r="CG367" s="138"/>
      <c r="CH367" s="132"/>
      <c r="CI367" s="138"/>
      <c r="CJ367" s="132"/>
      <c r="CK367" s="132"/>
      <c r="CL367" s="134"/>
      <c r="CM367" s="146"/>
    </row>
    <row r="368" ht="15" customHeight="1" spans="1:91">
      <c r="A368" s="123">
        <f>IF(B368="","",COUNT(A$7:A367)+1)</f>
        <v>361</v>
      </c>
      <c r="B368" s="139" t="s">
        <v>2806</v>
      </c>
      <c r="C368" s="139" t="s">
        <v>3043</v>
      </c>
      <c r="D368" s="1209">
        <v>43100</v>
      </c>
      <c r="E368" s="1210">
        <v>2141</v>
      </c>
      <c r="F368" s="219" t="s">
        <v>2770</v>
      </c>
      <c r="G368" s="142"/>
      <c r="H368" s="127"/>
      <c r="I368" s="128"/>
      <c r="J368" s="128"/>
      <c r="K368" s="980">
        <v>50</v>
      </c>
      <c r="L368" s="143"/>
      <c r="M368" s="143"/>
      <c r="N368" s="144"/>
      <c r="O368" s="144"/>
      <c r="P368" s="144"/>
      <c r="Q368" s="353">
        <f t="shared" si="135"/>
        <v>50</v>
      </c>
      <c r="R368" s="129">
        <f t="shared" si="136"/>
        <v>0</v>
      </c>
      <c r="S368" s="129">
        <f t="shared" si="137"/>
        <v>0</v>
      </c>
      <c r="T368" s="129">
        <f t="shared" si="138"/>
        <v>50</v>
      </c>
      <c r="U368" s="129">
        <f t="shared" si="139"/>
        <v>1750</v>
      </c>
      <c r="V368" s="214">
        <f t="shared" si="140"/>
        <v>75</v>
      </c>
      <c r="W368" s="353">
        <f t="shared" si="141"/>
        <v>1312.5</v>
      </c>
      <c r="X368" s="129">
        <f t="shared" si="142"/>
        <v>1312.5</v>
      </c>
      <c r="Y368" s="129" t="str">
        <f t="shared" si="143"/>
        <v/>
      </c>
      <c r="Z368" s="145"/>
      <c r="BA368" s="75" t="e">
        <f t="shared" si="147"/>
        <v>#DIV/0!</v>
      </c>
      <c r="BB368" s="78"/>
      <c r="BC368" s="132"/>
      <c r="BD368" s="133"/>
      <c r="BE368" s="132"/>
      <c r="BF368" s="134"/>
      <c r="BG368" s="135"/>
      <c r="BH368" s="135"/>
      <c r="BI368" s="136"/>
      <c r="BJ368" s="136"/>
      <c r="BK368" s="136"/>
      <c r="BL368" s="136"/>
      <c r="BM368" s="137"/>
      <c r="BN368" s="137"/>
      <c r="BO368" s="75">
        <f>LOOKUP(D368,基础数据!A:D)</f>
        <v>3.53915880885741</v>
      </c>
      <c r="BP368" s="75">
        <f t="shared" si="149"/>
        <v>1.00524445538374</v>
      </c>
      <c r="BQ368" s="75">
        <f t="shared" si="150"/>
        <v>43</v>
      </c>
      <c r="BR368" s="272">
        <v>37.37</v>
      </c>
      <c r="BS368" s="156">
        <f t="shared" si="144"/>
        <v>4.3</v>
      </c>
      <c r="BT368" s="1211">
        <v>0.06</v>
      </c>
      <c r="BU368" s="156">
        <f t="shared" si="153"/>
        <v>2.24</v>
      </c>
      <c r="BV368" s="156">
        <f t="shared" si="154"/>
        <v>0.18</v>
      </c>
      <c r="BW368" s="156">
        <f t="shared" si="148"/>
        <v>35</v>
      </c>
      <c r="BX368" s="156">
        <f t="shared" si="145"/>
        <v>7.58110882956879</v>
      </c>
      <c r="BY368" s="1207" t="s">
        <v>2806</v>
      </c>
      <c r="BZ368" s="272">
        <v>30</v>
      </c>
      <c r="CA368" s="186">
        <f t="shared" si="146"/>
        <v>0.75</v>
      </c>
      <c r="CB368" s="186">
        <f t="shared" si="151"/>
        <v>0.75</v>
      </c>
      <c r="CC368" s="186">
        <f t="shared" si="152"/>
        <v>0.75</v>
      </c>
      <c r="CD368" s="1208" t="s">
        <v>3044</v>
      </c>
      <c r="CF368" s="134"/>
      <c r="CG368" s="138"/>
      <c r="CH368" s="132"/>
      <c r="CI368" s="138"/>
      <c r="CJ368" s="132"/>
      <c r="CK368" s="132"/>
      <c r="CL368" s="134"/>
      <c r="CM368" s="146"/>
    </row>
    <row r="369" ht="15" customHeight="1" spans="1:91">
      <c r="A369" s="123">
        <f>IF(B369="","",COUNT(A$7:A368)+1)</f>
        <v>362</v>
      </c>
      <c r="B369" s="139" t="s">
        <v>2806</v>
      </c>
      <c r="C369" s="139" t="s">
        <v>3045</v>
      </c>
      <c r="D369" s="1209">
        <v>43100</v>
      </c>
      <c r="E369" s="1210">
        <v>720</v>
      </c>
      <c r="F369" s="219" t="s">
        <v>2770</v>
      </c>
      <c r="G369" s="142"/>
      <c r="H369" s="127"/>
      <c r="I369" s="128"/>
      <c r="J369" s="128"/>
      <c r="K369" s="980">
        <v>60</v>
      </c>
      <c r="L369" s="143"/>
      <c r="M369" s="143"/>
      <c r="N369" s="144"/>
      <c r="O369" s="144"/>
      <c r="P369" s="144"/>
      <c r="Q369" s="353">
        <f t="shared" si="135"/>
        <v>60</v>
      </c>
      <c r="R369" s="129">
        <f t="shared" si="136"/>
        <v>0</v>
      </c>
      <c r="S369" s="129">
        <f t="shared" si="137"/>
        <v>0</v>
      </c>
      <c r="T369" s="129">
        <f t="shared" si="138"/>
        <v>60</v>
      </c>
      <c r="U369" s="129">
        <f t="shared" si="139"/>
        <v>780</v>
      </c>
      <c r="V369" s="214">
        <f t="shared" si="140"/>
        <v>75</v>
      </c>
      <c r="W369" s="353">
        <f t="shared" si="141"/>
        <v>585</v>
      </c>
      <c r="X369" s="129">
        <f t="shared" si="142"/>
        <v>585</v>
      </c>
      <c r="Y369" s="129" t="str">
        <f t="shared" si="143"/>
        <v/>
      </c>
      <c r="Z369" s="145"/>
      <c r="BA369" s="75" t="e">
        <f t="shared" si="147"/>
        <v>#DIV/0!</v>
      </c>
      <c r="BB369" s="78"/>
      <c r="BC369" s="132"/>
      <c r="BD369" s="133"/>
      <c r="BE369" s="132"/>
      <c r="BF369" s="134"/>
      <c r="BG369" s="135"/>
      <c r="BH369" s="135"/>
      <c r="BI369" s="136"/>
      <c r="BJ369" s="136"/>
      <c r="BK369" s="136"/>
      <c r="BL369" s="136"/>
      <c r="BM369" s="137"/>
      <c r="BN369" s="137"/>
      <c r="BO369" s="75">
        <f>LOOKUP(D369,基础数据!A:D)</f>
        <v>3.53915880885741</v>
      </c>
      <c r="BP369" s="75">
        <f t="shared" si="149"/>
        <v>1.00524445538374</v>
      </c>
      <c r="BQ369" s="75">
        <f t="shared" si="150"/>
        <v>12</v>
      </c>
      <c r="BR369" s="272">
        <f t="shared" ref="BR369:BR373" si="155">ROUND(BQ369*1.13,0)</f>
        <v>14</v>
      </c>
      <c r="BS369" s="156">
        <f t="shared" si="144"/>
        <v>1.61</v>
      </c>
      <c r="BT369" s="1211">
        <v>0.06</v>
      </c>
      <c r="BU369" s="156">
        <f t="shared" si="153"/>
        <v>0.84</v>
      </c>
      <c r="BV369" s="156">
        <f t="shared" si="154"/>
        <v>0.07</v>
      </c>
      <c r="BW369" s="156">
        <f t="shared" si="148"/>
        <v>13</v>
      </c>
      <c r="BX369" s="156">
        <f t="shared" si="145"/>
        <v>7.58110882956879</v>
      </c>
      <c r="BY369" s="1207" t="s">
        <v>2806</v>
      </c>
      <c r="BZ369" s="272">
        <v>30</v>
      </c>
      <c r="CA369" s="186">
        <f t="shared" si="146"/>
        <v>0.75</v>
      </c>
      <c r="CB369" s="186">
        <f t="shared" si="151"/>
        <v>0.75</v>
      </c>
      <c r="CC369" s="186">
        <f t="shared" si="152"/>
        <v>0.75</v>
      </c>
      <c r="CD369" s="272"/>
      <c r="CF369" s="134"/>
      <c r="CG369" s="138"/>
      <c r="CH369" s="132"/>
      <c r="CI369" s="138"/>
      <c r="CJ369" s="132"/>
      <c r="CK369" s="132"/>
      <c r="CL369" s="134"/>
      <c r="CM369" s="146"/>
    </row>
    <row r="370" ht="15" customHeight="1" spans="1:91">
      <c r="A370" s="123">
        <f>IF(B370="","",COUNT(A$7:A369)+1)</f>
        <v>363</v>
      </c>
      <c r="B370" s="139" t="s">
        <v>2806</v>
      </c>
      <c r="C370" s="139" t="s">
        <v>2844</v>
      </c>
      <c r="D370" s="1209">
        <v>43100</v>
      </c>
      <c r="E370" s="1210">
        <v>1599</v>
      </c>
      <c r="F370" s="219" t="s">
        <v>2770</v>
      </c>
      <c r="G370" s="142"/>
      <c r="H370" s="127"/>
      <c r="I370" s="128"/>
      <c r="J370" s="128"/>
      <c r="K370" s="980">
        <v>260</v>
      </c>
      <c r="L370" s="143"/>
      <c r="M370" s="143"/>
      <c r="N370" s="144"/>
      <c r="O370" s="144"/>
      <c r="P370" s="144"/>
      <c r="Q370" s="353">
        <f t="shared" si="135"/>
        <v>260</v>
      </c>
      <c r="R370" s="129">
        <f t="shared" si="136"/>
        <v>0</v>
      </c>
      <c r="S370" s="129">
        <f t="shared" si="137"/>
        <v>0</v>
      </c>
      <c r="T370" s="129">
        <f t="shared" si="138"/>
        <v>260</v>
      </c>
      <c r="U370" s="129">
        <f t="shared" si="139"/>
        <v>1820</v>
      </c>
      <c r="V370" s="214">
        <f t="shared" si="140"/>
        <v>75</v>
      </c>
      <c r="W370" s="353">
        <f t="shared" si="141"/>
        <v>1365</v>
      </c>
      <c r="X370" s="129">
        <f t="shared" si="142"/>
        <v>1365</v>
      </c>
      <c r="Y370" s="129" t="str">
        <f t="shared" si="143"/>
        <v/>
      </c>
      <c r="Z370" s="145"/>
      <c r="BA370" s="75" t="e">
        <f t="shared" si="147"/>
        <v>#DIV/0!</v>
      </c>
      <c r="BB370" s="78"/>
      <c r="BC370" s="132"/>
      <c r="BD370" s="133"/>
      <c r="BE370" s="132"/>
      <c r="BF370" s="134"/>
      <c r="BG370" s="135"/>
      <c r="BH370" s="135"/>
      <c r="BI370" s="136"/>
      <c r="BJ370" s="136"/>
      <c r="BK370" s="136"/>
      <c r="BL370" s="136"/>
      <c r="BM370" s="137"/>
      <c r="BN370" s="137"/>
      <c r="BO370" s="75">
        <f>LOOKUP(D370,基础数据!A:D)</f>
        <v>3.53915880885741</v>
      </c>
      <c r="BP370" s="75">
        <f t="shared" si="149"/>
        <v>1.00524445538374</v>
      </c>
      <c r="BQ370" s="75">
        <f t="shared" si="150"/>
        <v>6</v>
      </c>
      <c r="BR370" s="272">
        <f t="shared" si="155"/>
        <v>7</v>
      </c>
      <c r="BS370" s="156">
        <f t="shared" si="144"/>
        <v>0.81</v>
      </c>
      <c r="BT370" s="1211">
        <v>0.06</v>
      </c>
      <c r="BU370" s="156">
        <f t="shared" si="153"/>
        <v>0.42</v>
      </c>
      <c r="BV370" s="156">
        <f t="shared" si="154"/>
        <v>0.03</v>
      </c>
      <c r="BW370" s="156">
        <f t="shared" si="148"/>
        <v>7</v>
      </c>
      <c r="BX370" s="156">
        <f t="shared" si="145"/>
        <v>7.58110882956879</v>
      </c>
      <c r="BY370" s="1207" t="s">
        <v>2806</v>
      </c>
      <c r="BZ370" s="272">
        <v>30</v>
      </c>
      <c r="CA370" s="186">
        <f t="shared" si="146"/>
        <v>0.75</v>
      </c>
      <c r="CB370" s="186">
        <f t="shared" si="151"/>
        <v>0.75</v>
      </c>
      <c r="CC370" s="186">
        <f t="shared" si="152"/>
        <v>0.75</v>
      </c>
      <c r="CD370" s="272"/>
      <c r="CF370" s="134"/>
      <c r="CG370" s="138"/>
      <c r="CH370" s="132"/>
      <c r="CI370" s="138"/>
      <c r="CJ370" s="132"/>
      <c r="CK370" s="132"/>
      <c r="CL370" s="134"/>
      <c r="CM370" s="146"/>
    </row>
    <row r="371" ht="15" customHeight="1" spans="1:91">
      <c r="A371" s="123">
        <f>IF(B371="","",COUNT(A$7:A370)+1)</f>
        <v>364</v>
      </c>
      <c r="B371" s="139" t="s">
        <v>2806</v>
      </c>
      <c r="C371" s="139" t="s">
        <v>2845</v>
      </c>
      <c r="D371" s="1209">
        <v>43100</v>
      </c>
      <c r="E371" s="1210">
        <v>3029.25</v>
      </c>
      <c r="F371" s="219" t="s">
        <v>2770</v>
      </c>
      <c r="G371" s="142"/>
      <c r="H371" s="127"/>
      <c r="I371" s="128"/>
      <c r="J371" s="128"/>
      <c r="K371" s="980">
        <v>35</v>
      </c>
      <c r="L371" s="143"/>
      <c r="M371" s="143"/>
      <c r="N371" s="144"/>
      <c r="O371" s="144"/>
      <c r="P371" s="144"/>
      <c r="Q371" s="353">
        <f t="shared" si="135"/>
        <v>35</v>
      </c>
      <c r="R371" s="129">
        <f t="shared" si="136"/>
        <v>0</v>
      </c>
      <c r="S371" s="129">
        <f t="shared" si="137"/>
        <v>0</v>
      </c>
      <c r="T371" s="129">
        <f t="shared" si="138"/>
        <v>35</v>
      </c>
      <c r="U371" s="129">
        <f t="shared" si="139"/>
        <v>3045</v>
      </c>
      <c r="V371" s="214">
        <f t="shared" si="140"/>
        <v>75</v>
      </c>
      <c r="W371" s="353">
        <f t="shared" si="141"/>
        <v>2283.75</v>
      </c>
      <c r="X371" s="129">
        <f t="shared" si="142"/>
        <v>2283.75</v>
      </c>
      <c r="Y371" s="129" t="str">
        <f t="shared" si="143"/>
        <v/>
      </c>
      <c r="Z371" s="145"/>
      <c r="BA371" s="75" t="e">
        <f t="shared" si="147"/>
        <v>#DIV/0!</v>
      </c>
      <c r="BB371" s="78"/>
      <c r="BC371" s="132"/>
      <c r="BD371" s="133"/>
      <c r="BE371" s="132"/>
      <c r="BF371" s="134"/>
      <c r="BG371" s="135"/>
      <c r="BH371" s="135"/>
      <c r="BI371" s="136"/>
      <c r="BJ371" s="136"/>
      <c r="BK371" s="136"/>
      <c r="BL371" s="136"/>
      <c r="BM371" s="137"/>
      <c r="BN371" s="137"/>
      <c r="BO371" s="75">
        <f>LOOKUP(D371,基础数据!A:D)</f>
        <v>3.53915880885741</v>
      </c>
      <c r="BP371" s="75">
        <f t="shared" si="149"/>
        <v>1.00524445538374</v>
      </c>
      <c r="BQ371" s="75">
        <f t="shared" si="150"/>
        <v>87</v>
      </c>
      <c r="BR371" s="272">
        <v>92.22</v>
      </c>
      <c r="BS371" s="156">
        <f t="shared" si="144"/>
        <v>10.61</v>
      </c>
      <c r="BT371" s="1211">
        <v>0.06</v>
      </c>
      <c r="BU371" s="156">
        <f t="shared" si="153"/>
        <v>5.53</v>
      </c>
      <c r="BV371" s="156">
        <f t="shared" si="154"/>
        <v>0.46</v>
      </c>
      <c r="BW371" s="156">
        <f t="shared" si="148"/>
        <v>87</v>
      </c>
      <c r="BX371" s="156">
        <f t="shared" si="145"/>
        <v>7.58110882956879</v>
      </c>
      <c r="BY371" s="1207" t="s">
        <v>2806</v>
      </c>
      <c r="BZ371" s="272">
        <v>30</v>
      </c>
      <c r="CA371" s="186">
        <f t="shared" si="146"/>
        <v>0.75</v>
      </c>
      <c r="CB371" s="186">
        <f t="shared" si="151"/>
        <v>0.75</v>
      </c>
      <c r="CC371" s="186">
        <f t="shared" si="152"/>
        <v>0.75</v>
      </c>
      <c r="CD371" s="1208" t="s">
        <v>2846</v>
      </c>
      <c r="CF371" s="134"/>
      <c r="CG371" s="138"/>
      <c r="CH371" s="132"/>
      <c r="CI371" s="138"/>
      <c r="CJ371" s="132"/>
      <c r="CK371" s="132"/>
      <c r="CL371" s="134"/>
      <c r="CM371" s="146"/>
    </row>
    <row r="372" ht="15" customHeight="1" spans="1:91">
      <c r="A372" s="123">
        <f>IF(B372="","",COUNT(A$7:A371)+1)</f>
        <v>365</v>
      </c>
      <c r="B372" s="139" t="s">
        <v>2806</v>
      </c>
      <c r="C372" s="139" t="s">
        <v>2840</v>
      </c>
      <c r="D372" s="1209">
        <v>43100</v>
      </c>
      <c r="E372" s="1210">
        <v>460.08</v>
      </c>
      <c r="F372" s="219" t="s">
        <v>2770</v>
      </c>
      <c r="G372" s="142"/>
      <c r="H372" s="127"/>
      <c r="I372" s="128"/>
      <c r="J372" s="128"/>
      <c r="K372" s="980">
        <v>8</v>
      </c>
      <c r="L372" s="143"/>
      <c r="M372" s="143"/>
      <c r="N372" s="144"/>
      <c r="O372" s="144"/>
      <c r="P372" s="144"/>
      <c r="Q372" s="353">
        <f t="shared" si="135"/>
        <v>8</v>
      </c>
      <c r="R372" s="129">
        <f t="shared" si="136"/>
        <v>0</v>
      </c>
      <c r="S372" s="129">
        <f t="shared" si="137"/>
        <v>0</v>
      </c>
      <c r="T372" s="129">
        <f t="shared" si="138"/>
        <v>8</v>
      </c>
      <c r="U372" s="129">
        <f t="shared" si="139"/>
        <v>448</v>
      </c>
      <c r="V372" s="214">
        <f t="shared" si="140"/>
        <v>75</v>
      </c>
      <c r="W372" s="353">
        <f t="shared" si="141"/>
        <v>336</v>
      </c>
      <c r="X372" s="129">
        <f t="shared" si="142"/>
        <v>336</v>
      </c>
      <c r="Y372" s="129" t="str">
        <f t="shared" si="143"/>
        <v/>
      </c>
      <c r="Z372" s="145"/>
      <c r="BA372" s="75" t="e">
        <f t="shared" si="147"/>
        <v>#DIV/0!</v>
      </c>
      <c r="BB372" s="78"/>
      <c r="BC372" s="132"/>
      <c r="BD372" s="133"/>
      <c r="BE372" s="132"/>
      <c r="BF372" s="134"/>
      <c r="BG372" s="135"/>
      <c r="BH372" s="135"/>
      <c r="BI372" s="136"/>
      <c r="BJ372" s="136"/>
      <c r="BK372" s="136"/>
      <c r="BL372" s="136"/>
      <c r="BM372" s="137"/>
      <c r="BN372" s="137"/>
      <c r="BO372" s="75">
        <f>LOOKUP(D372,基础数据!A:D)</f>
        <v>3.53915880885741</v>
      </c>
      <c r="BP372" s="75">
        <f t="shared" si="149"/>
        <v>1.00524445538374</v>
      </c>
      <c r="BQ372" s="75">
        <f t="shared" si="150"/>
        <v>58</v>
      </c>
      <c r="BR372" s="272">
        <v>59.63</v>
      </c>
      <c r="BS372" s="156">
        <f t="shared" si="144"/>
        <v>6.86</v>
      </c>
      <c r="BT372" s="1211">
        <v>0.06</v>
      </c>
      <c r="BU372" s="156">
        <f t="shared" si="153"/>
        <v>3.58</v>
      </c>
      <c r="BV372" s="156">
        <f t="shared" si="154"/>
        <v>0.3</v>
      </c>
      <c r="BW372" s="156">
        <f t="shared" si="148"/>
        <v>56</v>
      </c>
      <c r="BX372" s="156">
        <f t="shared" si="145"/>
        <v>7.58110882956879</v>
      </c>
      <c r="BY372" s="1207" t="s">
        <v>2806</v>
      </c>
      <c r="BZ372" s="272">
        <v>30</v>
      </c>
      <c r="CA372" s="186">
        <f t="shared" si="146"/>
        <v>0.75</v>
      </c>
      <c r="CB372" s="186">
        <f t="shared" si="151"/>
        <v>0.75</v>
      </c>
      <c r="CC372" s="186">
        <f t="shared" si="152"/>
        <v>0.75</v>
      </c>
      <c r="CD372" s="1208" t="s">
        <v>2841</v>
      </c>
      <c r="CF372" s="134"/>
      <c r="CG372" s="138"/>
      <c r="CH372" s="132"/>
      <c r="CI372" s="138"/>
      <c r="CJ372" s="132"/>
      <c r="CK372" s="132"/>
      <c r="CL372" s="134"/>
      <c r="CM372" s="146"/>
    </row>
    <row r="373" ht="15" customHeight="1" spans="1:91">
      <c r="A373" s="123">
        <f>IF(B373="","",COUNT(A$7:A372)+1)</f>
        <v>366</v>
      </c>
      <c r="B373" s="139" t="s">
        <v>2806</v>
      </c>
      <c r="C373" s="139" t="s">
        <v>3045</v>
      </c>
      <c r="D373" s="1209">
        <v>43100</v>
      </c>
      <c r="E373" s="1210">
        <v>1440</v>
      </c>
      <c r="F373" s="219" t="s">
        <v>2770</v>
      </c>
      <c r="G373" s="142"/>
      <c r="H373" s="127"/>
      <c r="I373" s="128"/>
      <c r="J373" s="128"/>
      <c r="K373" s="980">
        <v>120</v>
      </c>
      <c r="L373" s="143"/>
      <c r="M373" s="143"/>
      <c r="N373" s="144"/>
      <c r="O373" s="144"/>
      <c r="P373" s="144"/>
      <c r="Q373" s="353">
        <f t="shared" si="135"/>
        <v>120</v>
      </c>
      <c r="R373" s="129">
        <f t="shared" si="136"/>
        <v>0</v>
      </c>
      <c r="S373" s="129">
        <f t="shared" si="137"/>
        <v>0</v>
      </c>
      <c r="T373" s="129">
        <f t="shared" si="138"/>
        <v>120</v>
      </c>
      <c r="U373" s="129">
        <f t="shared" si="139"/>
        <v>1560</v>
      </c>
      <c r="V373" s="214">
        <f t="shared" si="140"/>
        <v>75</v>
      </c>
      <c r="W373" s="353">
        <f t="shared" si="141"/>
        <v>1170</v>
      </c>
      <c r="X373" s="129">
        <f t="shared" si="142"/>
        <v>1170</v>
      </c>
      <c r="Y373" s="129" t="str">
        <f t="shared" si="143"/>
        <v/>
      </c>
      <c r="Z373" s="145"/>
      <c r="BA373" s="75" t="e">
        <f t="shared" si="147"/>
        <v>#DIV/0!</v>
      </c>
      <c r="BB373" s="78"/>
      <c r="BC373" s="132"/>
      <c r="BD373" s="133"/>
      <c r="BE373" s="132"/>
      <c r="BF373" s="134"/>
      <c r="BG373" s="135"/>
      <c r="BH373" s="135"/>
      <c r="BI373" s="136"/>
      <c r="BJ373" s="136"/>
      <c r="BK373" s="136"/>
      <c r="BL373" s="136"/>
      <c r="BM373" s="137"/>
      <c r="BN373" s="137"/>
      <c r="BO373" s="75">
        <f>LOOKUP(D373,基础数据!A:D)</f>
        <v>3.53915880885741</v>
      </c>
      <c r="BP373" s="75">
        <f t="shared" si="149"/>
        <v>1.00524445538374</v>
      </c>
      <c r="BQ373" s="75">
        <f t="shared" si="150"/>
        <v>12</v>
      </c>
      <c r="BR373" s="272">
        <f t="shared" si="155"/>
        <v>14</v>
      </c>
      <c r="BS373" s="156">
        <f t="shared" si="144"/>
        <v>1.61</v>
      </c>
      <c r="BT373" s="1211">
        <v>0.06</v>
      </c>
      <c r="BU373" s="156">
        <f t="shared" si="153"/>
        <v>0.84</v>
      </c>
      <c r="BV373" s="156">
        <f t="shared" si="154"/>
        <v>0.07</v>
      </c>
      <c r="BW373" s="156">
        <f t="shared" si="148"/>
        <v>13</v>
      </c>
      <c r="BX373" s="156">
        <f t="shared" si="145"/>
        <v>7.58110882956879</v>
      </c>
      <c r="BY373" s="1207" t="s">
        <v>2806</v>
      </c>
      <c r="BZ373" s="272">
        <v>30</v>
      </c>
      <c r="CA373" s="186">
        <f t="shared" si="146"/>
        <v>0.75</v>
      </c>
      <c r="CB373" s="186">
        <f t="shared" si="151"/>
        <v>0.75</v>
      </c>
      <c r="CC373" s="186">
        <f t="shared" si="152"/>
        <v>0.75</v>
      </c>
      <c r="CD373" s="272"/>
      <c r="CF373" s="134"/>
      <c r="CG373" s="138"/>
      <c r="CH373" s="132"/>
      <c r="CI373" s="138"/>
      <c r="CJ373" s="132"/>
      <c r="CK373" s="132"/>
      <c r="CL373" s="134"/>
      <c r="CM373" s="146"/>
    </row>
    <row r="374" ht="15" customHeight="1" spans="1:91">
      <c r="A374" s="123">
        <f>IF(B374="","",COUNT(A$7:A373)+1)</f>
        <v>367</v>
      </c>
      <c r="B374" s="139" t="s">
        <v>2806</v>
      </c>
      <c r="C374" s="139" t="s">
        <v>3043</v>
      </c>
      <c r="D374" s="1209">
        <v>43100</v>
      </c>
      <c r="E374" s="1210">
        <v>1070.5</v>
      </c>
      <c r="F374" s="219" t="s">
        <v>2770</v>
      </c>
      <c r="G374" s="142"/>
      <c r="H374" s="127"/>
      <c r="I374" s="128"/>
      <c r="J374" s="128"/>
      <c r="K374" s="980">
        <v>25</v>
      </c>
      <c r="L374" s="143"/>
      <c r="M374" s="143"/>
      <c r="N374" s="144"/>
      <c r="O374" s="144"/>
      <c r="P374" s="144"/>
      <c r="Q374" s="353">
        <f t="shared" si="135"/>
        <v>25</v>
      </c>
      <c r="R374" s="129">
        <f t="shared" si="136"/>
        <v>0</v>
      </c>
      <c r="S374" s="129">
        <f t="shared" si="137"/>
        <v>0</v>
      </c>
      <c r="T374" s="129">
        <f t="shared" si="138"/>
        <v>25</v>
      </c>
      <c r="U374" s="129">
        <f t="shared" si="139"/>
        <v>875</v>
      </c>
      <c r="V374" s="214">
        <f t="shared" si="140"/>
        <v>75</v>
      </c>
      <c r="W374" s="353">
        <f t="shared" si="141"/>
        <v>656.25</v>
      </c>
      <c r="X374" s="129">
        <f t="shared" si="142"/>
        <v>656.25</v>
      </c>
      <c r="Y374" s="129" t="str">
        <f t="shared" si="143"/>
        <v/>
      </c>
      <c r="Z374" s="145"/>
      <c r="BA374" s="75" t="e">
        <f t="shared" si="147"/>
        <v>#DIV/0!</v>
      </c>
      <c r="BB374" s="78"/>
      <c r="BC374" s="132"/>
      <c r="BD374" s="133"/>
      <c r="BE374" s="132"/>
      <c r="BF374" s="134"/>
      <c r="BG374" s="135"/>
      <c r="BH374" s="135"/>
      <c r="BI374" s="136"/>
      <c r="BJ374" s="136"/>
      <c r="BK374" s="136"/>
      <c r="BL374" s="136"/>
      <c r="BM374" s="137"/>
      <c r="BN374" s="137"/>
      <c r="BO374" s="75">
        <f>LOOKUP(D374,基础数据!A:D)</f>
        <v>3.53915880885741</v>
      </c>
      <c r="BP374" s="75">
        <f t="shared" si="149"/>
        <v>1.00524445538374</v>
      </c>
      <c r="BQ374" s="75">
        <f t="shared" si="150"/>
        <v>43</v>
      </c>
      <c r="BR374" s="272">
        <v>37.37</v>
      </c>
      <c r="BS374" s="156">
        <f t="shared" si="144"/>
        <v>4.3</v>
      </c>
      <c r="BT374" s="1211">
        <v>0.06</v>
      </c>
      <c r="BU374" s="156">
        <f t="shared" si="153"/>
        <v>2.24</v>
      </c>
      <c r="BV374" s="156">
        <f t="shared" si="154"/>
        <v>0.18</v>
      </c>
      <c r="BW374" s="156">
        <f t="shared" si="148"/>
        <v>35</v>
      </c>
      <c r="BX374" s="156">
        <f t="shared" si="145"/>
        <v>7.58110882956879</v>
      </c>
      <c r="BY374" s="1207" t="s">
        <v>2806</v>
      </c>
      <c r="BZ374" s="272">
        <v>30</v>
      </c>
      <c r="CA374" s="186">
        <f t="shared" si="146"/>
        <v>0.75</v>
      </c>
      <c r="CB374" s="186">
        <f t="shared" si="151"/>
        <v>0.75</v>
      </c>
      <c r="CC374" s="186">
        <f t="shared" si="152"/>
        <v>0.75</v>
      </c>
      <c r="CD374" s="1208" t="s">
        <v>3044</v>
      </c>
      <c r="CF374" s="134"/>
      <c r="CG374" s="138"/>
      <c r="CH374" s="132"/>
      <c r="CI374" s="138"/>
      <c r="CJ374" s="132"/>
      <c r="CK374" s="132"/>
      <c r="CL374" s="134"/>
      <c r="CM374" s="146"/>
    </row>
    <row r="375" ht="15" customHeight="1" spans="1:91">
      <c r="A375" s="123">
        <f>IF(B375="","",COUNT(A$7:A374)+1)</f>
        <v>368</v>
      </c>
      <c r="B375" s="139" t="s">
        <v>2806</v>
      </c>
      <c r="C375" s="139" t="s">
        <v>2844</v>
      </c>
      <c r="D375" s="1209">
        <v>43100</v>
      </c>
      <c r="E375" s="1210">
        <v>184.5</v>
      </c>
      <c r="F375" s="219" t="s">
        <v>2770</v>
      </c>
      <c r="G375" s="142"/>
      <c r="H375" s="127"/>
      <c r="I375" s="128"/>
      <c r="J375" s="128"/>
      <c r="K375" s="980">
        <v>30</v>
      </c>
      <c r="L375" s="143"/>
      <c r="M375" s="143"/>
      <c r="N375" s="144"/>
      <c r="O375" s="144"/>
      <c r="P375" s="144"/>
      <c r="Q375" s="353">
        <f t="shared" si="135"/>
        <v>30</v>
      </c>
      <c r="R375" s="129">
        <f t="shared" si="136"/>
        <v>0</v>
      </c>
      <c r="S375" s="129">
        <f t="shared" si="137"/>
        <v>0</v>
      </c>
      <c r="T375" s="129">
        <f t="shared" si="138"/>
        <v>30</v>
      </c>
      <c r="U375" s="129">
        <f t="shared" si="139"/>
        <v>210</v>
      </c>
      <c r="V375" s="214">
        <f t="shared" si="140"/>
        <v>75</v>
      </c>
      <c r="W375" s="353">
        <f t="shared" si="141"/>
        <v>157.5</v>
      </c>
      <c r="X375" s="129">
        <f t="shared" si="142"/>
        <v>157.5</v>
      </c>
      <c r="Y375" s="129" t="str">
        <f t="shared" si="143"/>
        <v/>
      </c>
      <c r="Z375" s="145"/>
      <c r="BA375" s="75" t="e">
        <f t="shared" si="147"/>
        <v>#DIV/0!</v>
      </c>
      <c r="BB375" s="78"/>
      <c r="BC375" s="132"/>
      <c r="BD375" s="133"/>
      <c r="BE375" s="132"/>
      <c r="BF375" s="134"/>
      <c r="BG375" s="135"/>
      <c r="BH375" s="135"/>
      <c r="BI375" s="136"/>
      <c r="BJ375" s="136"/>
      <c r="BK375" s="136"/>
      <c r="BL375" s="136"/>
      <c r="BM375" s="137"/>
      <c r="BN375" s="137"/>
      <c r="BO375" s="75">
        <f>LOOKUP(D375,基础数据!A:D)</f>
        <v>3.53915880885741</v>
      </c>
      <c r="BP375" s="75">
        <f t="shared" si="149"/>
        <v>1.00524445538374</v>
      </c>
      <c r="BQ375" s="75">
        <f t="shared" si="150"/>
        <v>6</v>
      </c>
      <c r="BR375" s="272">
        <f t="shared" ref="BR375:BR379" si="156">ROUND(BQ375*1.13,0)</f>
        <v>7</v>
      </c>
      <c r="BS375" s="156">
        <f t="shared" si="144"/>
        <v>0.81</v>
      </c>
      <c r="BT375" s="1211">
        <v>0.06</v>
      </c>
      <c r="BU375" s="156">
        <f t="shared" si="153"/>
        <v>0.42</v>
      </c>
      <c r="BV375" s="156">
        <f t="shared" si="154"/>
        <v>0.03</v>
      </c>
      <c r="BW375" s="156">
        <f t="shared" si="148"/>
        <v>7</v>
      </c>
      <c r="BX375" s="156">
        <f t="shared" si="145"/>
        <v>7.58110882956879</v>
      </c>
      <c r="BY375" s="1207" t="s">
        <v>2806</v>
      </c>
      <c r="BZ375" s="272">
        <v>30</v>
      </c>
      <c r="CA375" s="186">
        <f t="shared" si="146"/>
        <v>0.75</v>
      </c>
      <c r="CB375" s="186">
        <f t="shared" si="151"/>
        <v>0.75</v>
      </c>
      <c r="CC375" s="186">
        <f t="shared" si="152"/>
        <v>0.75</v>
      </c>
      <c r="CD375" s="272"/>
      <c r="CF375" s="134"/>
      <c r="CG375" s="138"/>
      <c r="CH375" s="132"/>
      <c r="CI375" s="138"/>
      <c r="CJ375" s="132"/>
      <c r="CK375" s="132"/>
      <c r="CL375" s="134"/>
      <c r="CM375" s="146"/>
    </row>
    <row r="376" ht="15" customHeight="1" spans="1:91">
      <c r="A376" s="123">
        <f>IF(B376="","",COUNT(A$7:A375)+1)</f>
        <v>369</v>
      </c>
      <c r="B376" s="139" t="s">
        <v>2806</v>
      </c>
      <c r="C376" s="139" t="s">
        <v>2844</v>
      </c>
      <c r="D376" s="1209">
        <v>43100</v>
      </c>
      <c r="E376" s="1210">
        <v>1845</v>
      </c>
      <c r="F376" s="219" t="s">
        <v>2770</v>
      </c>
      <c r="G376" s="142"/>
      <c r="H376" s="127" t="str">
        <f>IFERROR(VLOOKUP(G376,参数表!$H$2:$I$50,2,FALSE),"")</f>
        <v/>
      </c>
      <c r="I376" s="128" t="str">
        <f t="shared" ref="I376:I382" si="157">IFERROR(IF(OR(G376="人民币",G376=""),"",R376/H376),"")</f>
        <v/>
      </c>
      <c r="J376" s="128" t="str">
        <f t="shared" ref="J376:J382" si="158">IFERROR(IF(OR(G376="人民币",G376=""),"",S376/H376),"")</f>
        <v/>
      </c>
      <c r="K376" s="980">
        <v>300</v>
      </c>
      <c r="L376" s="143"/>
      <c r="M376" s="143"/>
      <c r="N376" s="144"/>
      <c r="O376" s="144"/>
      <c r="P376" s="144"/>
      <c r="Q376" s="353">
        <f t="shared" si="135"/>
        <v>300</v>
      </c>
      <c r="R376" s="129">
        <f t="shared" si="136"/>
        <v>0</v>
      </c>
      <c r="S376" s="129">
        <f t="shared" si="137"/>
        <v>0</v>
      </c>
      <c r="T376" s="129">
        <f t="shared" si="138"/>
        <v>300</v>
      </c>
      <c r="U376" s="129">
        <f t="shared" si="139"/>
        <v>2100</v>
      </c>
      <c r="V376" s="214">
        <f t="shared" si="140"/>
        <v>75</v>
      </c>
      <c r="W376" s="353">
        <f t="shared" si="141"/>
        <v>1575</v>
      </c>
      <c r="X376" s="129">
        <f t="shared" si="142"/>
        <v>1575</v>
      </c>
      <c r="Y376" s="129" t="str">
        <f t="shared" si="143"/>
        <v/>
      </c>
      <c r="Z376" s="145"/>
      <c r="BA376" s="75" t="e">
        <f t="shared" si="147"/>
        <v>#DIV/0!</v>
      </c>
      <c r="BB376" s="78"/>
      <c r="BC376" s="132" t="s">
        <v>3046</v>
      </c>
      <c r="BD376" s="133"/>
      <c r="BE376" s="132" t="str">
        <f>IF(OR(B376="",BD376=""),"",COUNTIF(BD$8:BD376,"√"))</f>
        <v/>
      </c>
      <c r="BF376" s="134" t="str">
        <f t="shared" ref="BF376:BF382" si="159">IF(BD376="","",BC376&amp;"︱"&amp;B376&amp;"︱"&amp;TEXT(L376,"#,##0.00"))</f>
        <v/>
      </c>
      <c r="BG376" s="135" t="str">
        <f t="shared" ref="BG376:BG382" si="160">IF($B376="","",IF(BG$5=0,"OK","出错"))</f>
        <v>出错</v>
      </c>
      <c r="BH376" s="135" t="str">
        <f t="shared" ref="BH376:BH382" si="161">IF($B376="","",IF(BH$5=0,"OK","出错"))</f>
        <v>出错</v>
      </c>
      <c r="BI376" s="136"/>
      <c r="BJ376" s="136"/>
      <c r="BK376" s="136"/>
      <c r="BL376" s="136"/>
      <c r="BM376" s="137"/>
      <c r="BN376" s="137"/>
      <c r="BO376" s="75">
        <f>LOOKUP(D376,基础数据!A:D)</f>
        <v>3.53915880885741</v>
      </c>
      <c r="BP376" s="75">
        <f t="shared" si="149"/>
        <v>1.00524445538374</v>
      </c>
      <c r="BQ376" s="75">
        <f t="shared" si="150"/>
        <v>6</v>
      </c>
      <c r="BR376" s="272">
        <f t="shared" si="156"/>
        <v>7</v>
      </c>
      <c r="BS376" s="156">
        <f t="shared" si="144"/>
        <v>0.81</v>
      </c>
      <c r="BT376" s="1211">
        <v>0.06</v>
      </c>
      <c r="BU376" s="156">
        <f t="shared" si="153"/>
        <v>0.42</v>
      </c>
      <c r="BV376" s="156">
        <f t="shared" si="154"/>
        <v>0.03</v>
      </c>
      <c r="BW376" s="156">
        <f t="shared" si="148"/>
        <v>7</v>
      </c>
      <c r="BX376" s="156">
        <f t="shared" si="145"/>
        <v>7.58110882956879</v>
      </c>
      <c r="BY376" s="1207" t="s">
        <v>2806</v>
      </c>
      <c r="BZ376" s="272">
        <v>30</v>
      </c>
      <c r="CA376" s="186">
        <f t="shared" si="146"/>
        <v>0.75</v>
      </c>
      <c r="CB376" s="186">
        <f t="shared" si="151"/>
        <v>0.75</v>
      </c>
      <c r="CC376" s="186">
        <f t="shared" si="152"/>
        <v>0.75</v>
      </c>
      <c r="CD376" s="272"/>
      <c r="CF376" s="134" t="str">
        <f>IF(COUNTIF(CF$7:CF12,B376)&gt;0,"",B376)&amp;""</f>
        <v>电缆</v>
      </c>
      <c r="CG376" s="138">
        <f t="shared" ref="CG376:CG382" si="162">SUMIF(B$8:B$400,CF376,R$8:R$400)</f>
        <v>0</v>
      </c>
      <c r="CH376" s="132">
        <f t="shared" ref="CH376:CH382" si="163">RANK(CG376,CG$8:CG$400)</f>
        <v>1</v>
      </c>
      <c r="CI376" s="138">
        <f t="shared" ref="CI376:CI382" si="164">SUMIF(B$8:B$400,CF376,W$8:W$400)</f>
        <v>25607.25</v>
      </c>
      <c r="CJ376" s="132">
        <f t="shared" ref="CJ376:CJ382" si="165">RANK(CI376,CI$8:CI$400)</f>
        <v>3</v>
      </c>
      <c r="CK376" s="132">
        <v>4</v>
      </c>
      <c r="CL376" s="134" t="str">
        <f>IFERROR(INDEX(CF$8:CF$400,MATCH(CK376,IF(CK$8=0,CJ$8:CJ$400,CH$8:CH$400),0))&amp;"","")</f>
        <v>1#吊盘悬吊绳</v>
      </c>
      <c r="CM376" s="146" t="str">
        <f>IF(CL377="","","和")</f>
        <v/>
      </c>
    </row>
    <row r="377" ht="15" customHeight="1" spans="1:91">
      <c r="A377" s="123">
        <f>IF(B377="","",COUNT(A$7:A376)+1)</f>
        <v>370</v>
      </c>
      <c r="B377" s="139" t="s">
        <v>2806</v>
      </c>
      <c r="C377" s="139" t="s">
        <v>2844</v>
      </c>
      <c r="D377" s="1209">
        <v>43100</v>
      </c>
      <c r="E377" s="1210">
        <v>153.75</v>
      </c>
      <c r="F377" s="219" t="s">
        <v>2770</v>
      </c>
      <c r="G377" s="142"/>
      <c r="H377" s="127" t="str">
        <f>IFERROR(VLOOKUP(G377,参数表!$H$2:$I$50,2,FALSE),"")</f>
        <v/>
      </c>
      <c r="I377" s="128" t="str">
        <f t="shared" si="157"/>
        <v/>
      </c>
      <c r="J377" s="128" t="str">
        <f t="shared" si="158"/>
        <v/>
      </c>
      <c r="K377" s="980">
        <v>25</v>
      </c>
      <c r="L377" s="143"/>
      <c r="M377" s="143"/>
      <c r="N377" s="144"/>
      <c r="O377" s="144"/>
      <c r="P377" s="144"/>
      <c r="Q377" s="353">
        <f t="shared" si="135"/>
        <v>25</v>
      </c>
      <c r="R377" s="129">
        <f t="shared" si="136"/>
        <v>0</v>
      </c>
      <c r="S377" s="129">
        <f t="shared" si="137"/>
        <v>0</v>
      </c>
      <c r="T377" s="129">
        <f t="shared" si="138"/>
        <v>25</v>
      </c>
      <c r="U377" s="129">
        <f t="shared" si="139"/>
        <v>175</v>
      </c>
      <c r="V377" s="214">
        <f t="shared" si="140"/>
        <v>75</v>
      </c>
      <c r="W377" s="353">
        <f t="shared" si="141"/>
        <v>131.25</v>
      </c>
      <c r="X377" s="129">
        <f t="shared" si="142"/>
        <v>131.25</v>
      </c>
      <c r="Y377" s="129" t="str">
        <f t="shared" si="143"/>
        <v/>
      </c>
      <c r="Z377" s="145"/>
      <c r="BA377" s="75" t="e">
        <f t="shared" si="147"/>
        <v>#DIV/0!</v>
      </c>
      <c r="BB377" s="78"/>
      <c r="BC377" s="132" t="s">
        <v>3047</v>
      </c>
      <c r="BD377" s="133"/>
      <c r="BE377" s="132" t="str">
        <f>IF(OR(B377="",BD377=""),"",COUNTIF(BD$8:BD377,"√"))</f>
        <v/>
      </c>
      <c r="BF377" s="134" t="str">
        <f t="shared" si="159"/>
        <v/>
      </c>
      <c r="BG377" s="135" t="str">
        <f t="shared" si="160"/>
        <v>出错</v>
      </c>
      <c r="BH377" s="135" t="str">
        <f t="shared" si="161"/>
        <v>出错</v>
      </c>
      <c r="BI377" s="136"/>
      <c r="BJ377" s="136"/>
      <c r="BK377" s="136"/>
      <c r="BL377" s="136"/>
      <c r="BM377" s="137"/>
      <c r="BN377" s="137"/>
      <c r="BO377" s="75">
        <f>LOOKUP(D377,基础数据!A:D)</f>
        <v>3.53915880885741</v>
      </c>
      <c r="BP377" s="75">
        <f t="shared" si="149"/>
        <v>1.00524445538374</v>
      </c>
      <c r="BQ377" s="75">
        <f t="shared" si="150"/>
        <v>6</v>
      </c>
      <c r="BR377" s="272">
        <f t="shared" si="156"/>
        <v>7</v>
      </c>
      <c r="BS377" s="156">
        <f t="shared" si="144"/>
        <v>0.81</v>
      </c>
      <c r="BT377" s="1211">
        <v>0.06</v>
      </c>
      <c r="BU377" s="156">
        <f t="shared" si="153"/>
        <v>0.42</v>
      </c>
      <c r="BV377" s="156">
        <f t="shared" si="154"/>
        <v>0.03</v>
      </c>
      <c r="BW377" s="156">
        <f t="shared" si="148"/>
        <v>7</v>
      </c>
      <c r="BX377" s="156">
        <f t="shared" si="145"/>
        <v>7.58110882956879</v>
      </c>
      <c r="BY377" s="1207" t="s">
        <v>2806</v>
      </c>
      <c r="BZ377" s="272">
        <v>30</v>
      </c>
      <c r="CA377" s="186">
        <f t="shared" si="146"/>
        <v>0.75</v>
      </c>
      <c r="CB377" s="186">
        <f t="shared" si="151"/>
        <v>0.75</v>
      </c>
      <c r="CC377" s="186">
        <f t="shared" si="152"/>
        <v>0.75</v>
      </c>
      <c r="CD377" s="272"/>
      <c r="CF377" s="134" t="str">
        <f>IF(COUNTIF(CF$7:CF376,B377)&gt;0,"",B377)&amp;""</f>
        <v/>
      </c>
      <c r="CG377" s="138">
        <f t="shared" si="162"/>
        <v>0</v>
      </c>
      <c r="CH377" s="132">
        <f t="shared" si="163"/>
        <v>1</v>
      </c>
      <c r="CI377" s="138">
        <f t="shared" si="164"/>
        <v>0</v>
      </c>
      <c r="CJ377" s="132">
        <f t="shared" si="165"/>
        <v>8</v>
      </c>
      <c r="CK377" s="132">
        <v>5</v>
      </c>
      <c r="CL377" s="134" t="str">
        <f>IFERROR(INDEX(CF$8:CF$400,MATCH(CK377,IF(CK$8=0,CJ$8:CJ$400,CH$8:CH$400),0))&amp;"","")</f>
        <v/>
      </c>
      <c r="CM377" s="146"/>
    </row>
    <row r="378" ht="15" customHeight="1" spans="1:91">
      <c r="A378" s="123">
        <f>IF(B378="","",COUNT(A$7:A377)+1)</f>
        <v>371</v>
      </c>
      <c r="B378" s="139" t="s">
        <v>2806</v>
      </c>
      <c r="C378" s="139" t="s">
        <v>3045</v>
      </c>
      <c r="D378" s="1209">
        <v>43100</v>
      </c>
      <c r="E378" s="1210">
        <v>1920</v>
      </c>
      <c r="F378" s="219" t="s">
        <v>2770</v>
      </c>
      <c r="G378" s="142"/>
      <c r="H378" s="127" t="str">
        <f>IFERROR(VLOOKUP(G378,参数表!$H$2:$I$50,2,FALSE),"")</f>
        <v/>
      </c>
      <c r="I378" s="128" t="str">
        <f t="shared" si="157"/>
        <v/>
      </c>
      <c r="J378" s="128" t="str">
        <f t="shared" si="158"/>
        <v/>
      </c>
      <c r="K378" s="980">
        <v>160</v>
      </c>
      <c r="L378" s="143"/>
      <c r="M378" s="143"/>
      <c r="N378" s="144"/>
      <c r="O378" s="144"/>
      <c r="P378" s="144"/>
      <c r="Q378" s="353">
        <f t="shared" si="135"/>
        <v>160</v>
      </c>
      <c r="R378" s="129">
        <f t="shared" si="136"/>
        <v>0</v>
      </c>
      <c r="S378" s="129">
        <f t="shared" si="137"/>
        <v>0</v>
      </c>
      <c r="T378" s="129">
        <f t="shared" si="138"/>
        <v>160</v>
      </c>
      <c r="U378" s="129">
        <f t="shared" si="139"/>
        <v>2080</v>
      </c>
      <c r="V378" s="214">
        <f t="shared" si="140"/>
        <v>75</v>
      </c>
      <c r="W378" s="353">
        <f t="shared" si="141"/>
        <v>1560</v>
      </c>
      <c r="X378" s="129">
        <f t="shared" si="142"/>
        <v>1560</v>
      </c>
      <c r="Y378" s="129" t="str">
        <f t="shared" si="143"/>
        <v/>
      </c>
      <c r="Z378" s="145"/>
      <c r="BA378" s="75" t="e">
        <f t="shared" si="147"/>
        <v>#DIV/0!</v>
      </c>
      <c r="BB378" s="78"/>
      <c r="BC378" s="132" t="s">
        <v>3048</v>
      </c>
      <c r="BD378" s="133"/>
      <c r="BE378" s="132" t="str">
        <f>IF(OR(B378="",BD378=""),"",COUNTIF(BD$8:BD378,"√"))</f>
        <v/>
      </c>
      <c r="BF378" s="134" t="str">
        <f t="shared" si="159"/>
        <v/>
      </c>
      <c r="BG378" s="135" t="str">
        <f t="shared" si="160"/>
        <v>出错</v>
      </c>
      <c r="BH378" s="135" t="str">
        <f t="shared" si="161"/>
        <v>出错</v>
      </c>
      <c r="BI378" s="136"/>
      <c r="BJ378" s="136"/>
      <c r="BK378" s="136"/>
      <c r="BL378" s="136"/>
      <c r="BM378" s="137"/>
      <c r="BN378" s="137"/>
      <c r="BO378" s="75">
        <f>LOOKUP(D378,基础数据!A:D)</f>
        <v>3.53915880885741</v>
      </c>
      <c r="BP378" s="75">
        <f t="shared" si="149"/>
        <v>1.00524445538374</v>
      </c>
      <c r="BQ378" s="75">
        <f t="shared" si="150"/>
        <v>12</v>
      </c>
      <c r="BR378" s="272">
        <f t="shared" si="156"/>
        <v>14</v>
      </c>
      <c r="BS378" s="156">
        <f t="shared" si="144"/>
        <v>1.61</v>
      </c>
      <c r="BT378" s="1211">
        <v>0.06</v>
      </c>
      <c r="BU378" s="156">
        <f t="shared" si="153"/>
        <v>0.84</v>
      </c>
      <c r="BV378" s="156">
        <f t="shared" si="154"/>
        <v>0.07</v>
      </c>
      <c r="BW378" s="156">
        <f t="shared" si="148"/>
        <v>13</v>
      </c>
      <c r="BX378" s="156">
        <f t="shared" si="145"/>
        <v>7.58110882956879</v>
      </c>
      <c r="BY378" s="1207" t="s">
        <v>2806</v>
      </c>
      <c r="BZ378" s="272">
        <v>30</v>
      </c>
      <c r="CA378" s="186">
        <f t="shared" si="146"/>
        <v>0.75</v>
      </c>
      <c r="CB378" s="186">
        <f t="shared" si="151"/>
        <v>0.75</v>
      </c>
      <c r="CC378" s="186">
        <f t="shared" si="152"/>
        <v>0.75</v>
      </c>
      <c r="CD378" s="272"/>
      <c r="CF378" s="134" t="str">
        <f>IF(COUNTIF(CF$7:CF377,B378)&gt;0,"",B378)&amp;""</f>
        <v/>
      </c>
      <c r="CG378" s="138">
        <f t="shared" si="162"/>
        <v>0</v>
      </c>
      <c r="CH378" s="132">
        <f t="shared" si="163"/>
        <v>1</v>
      </c>
      <c r="CI378" s="138">
        <f t="shared" si="164"/>
        <v>0</v>
      </c>
      <c r="CJ378" s="132">
        <f t="shared" si="165"/>
        <v>8</v>
      </c>
      <c r="CK378" s="147" t="s">
        <v>1659</v>
      </c>
      <c r="CL378" s="132" t="str">
        <f>CONCATENATE(CL10,CM10,CL11,CM11,CL12,CM12,CL376,CM376,CL377)</f>
        <v>主提升钢丝绳、副提升钢丝绳、电缆和1#吊盘悬吊绳</v>
      </c>
      <c r="CM378" s="132"/>
    </row>
    <row r="379" ht="15" customHeight="1" spans="1:91">
      <c r="A379" s="123">
        <f>IF(B379="","",COUNT(A$7:A378)+1)</f>
        <v>372</v>
      </c>
      <c r="B379" s="139" t="s">
        <v>2806</v>
      </c>
      <c r="C379" s="139" t="s">
        <v>2844</v>
      </c>
      <c r="D379" s="1209">
        <v>43100</v>
      </c>
      <c r="E379" s="1210">
        <v>1230</v>
      </c>
      <c r="F379" s="219" t="s">
        <v>2770</v>
      </c>
      <c r="G379" s="142"/>
      <c r="H379" s="127" t="str">
        <f>IFERROR(VLOOKUP(G379,参数表!$H$2:$I$50,2,FALSE),"")</f>
        <v/>
      </c>
      <c r="I379" s="128" t="str">
        <f t="shared" si="157"/>
        <v/>
      </c>
      <c r="J379" s="128" t="str">
        <f t="shared" si="158"/>
        <v/>
      </c>
      <c r="K379" s="980">
        <v>200</v>
      </c>
      <c r="L379" s="143"/>
      <c r="M379" s="143"/>
      <c r="N379" s="144"/>
      <c r="O379" s="144"/>
      <c r="P379" s="144"/>
      <c r="Q379" s="353">
        <f t="shared" si="135"/>
        <v>200</v>
      </c>
      <c r="R379" s="129">
        <f t="shared" si="136"/>
        <v>0</v>
      </c>
      <c r="S379" s="129">
        <f t="shared" si="137"/>
        <v>0</v>
      </c>
      <c r="T379" s="129">
        <f t="shared" si="138"/>
        <v>200</v>
      </c>
      <c r="U379" s="129">
        <f t="shared" si="139"/>
        <v>1400</v>
      </c>
      <c r="V379" s="214">
        <f t="shared" si="140"/>
        <v>75</v>
      </c>
      <c r="W379" s="353">
        <f t="shared" si="141"/>
        <v>1050</v>
      </c>
      <c r="X379" s="129">
        <f t="shared" si="142"/>
        <v>1050</v>
      </c>
      <c r="Y379" s="129" t="str">
        <f t="shared" si="143"/>
        <v/>
      </c>
      <c r="Z379" s="145"/>
      <c r="BA379" s="75" t="e">
        <f t="shared" si="147"/>
        <v>#DIV/0!</v>
      </c>
      <c r="BB379" s="78"/>
      <c r="BC379" s="132" t="s">
        <v>3049</v>
      </c>
      <c r="BD379" s="133"/>
      <c r="BE379" s="132" t="str">
        <f>IF(OR(B379="",BD379=""),"",COUNTIF(BD$8:BD379,"√"))</f>
        <v/>
      </c>
      <c r="BF379" s="134" t="str">
        <f t="shared" si="159"/>
        <v/>
      </c>
      <c r="BG379" s="135" t="str">
        <f t="shared" si="160"/>
        <v>出错</v>
      </c>
      <c r="BH379" s="135" t="str">
        <f t="shared" si="161"/>
        <v>出错</v>
      </c>
      <c r="BI379" s="136"/>
      <c r="BJ379" s="136"/>
      <c r="BK379" s="136"/>
      <c r="BL379" s="136"/>
      <c r="BM379" s="137"/>
      <c r="BN379" s="137"/>
      <c r="BO379" s="75">
        <f>LOOKUP(D379,基础数据!A:D)</f>
        <v>3.53915880885741</v>
      </c>
      <c r="BP379" s="75">
        <f t="shared" si="149"/>
        <v>1.00524445538374</v>
      </c>
      <c r="BQ379" s="75">
        <f t="shared" si="150"/>
        <v>6</v>
      </c>
      <c r="BR379" s="272">
        <f t="shared" si="156"/>
        <v>7</v>
      </c>
      <c r="BS379" s="156">
        <f t="shared" si="144"/>
        <v>0.81</v>
      </c>
      <c r="BT379" s="1211">
        <v>0.06</v>
      </c>
      <c r="BU379" s="156">
        <f t="shared" si="153"/>
        <v>0.42</v>
      </c>
      <c r="BV379" s="156">
        <f t="shared" si="154"/>
        <v>0.03</v>
      </c>
      <c r="BW379" s="156">
        <f t="shared" si="148"/>
        <v>7</v>
      </c>
      <c r="BX379" s="156">
        <f t="shared" si="145"/>
        <v>7.58110882956879</v>
      </c>
      <c r="BY379" s="1207" t="s">
        <v>2806</v>
      </c>
      <c r="BZ379" s="272">
        <v>30</v>
      </c>
      <c r="CA379" s="186">
        <f t="shared" si="146"/>
        <v>0.75</v>
      </c>
      <c r="CB379" s="186">
        <f t="shared" si="151"/>
        <v>0.75</v>
      </c>
      <c r="CC379" s="186">
        <f t="shared" si="152"/>
        <v>0.75</v>
      </c>
      <c r="CD379" s="272"/>
      <c r="CF379" s="134" t="str">
        <f>IF(COUNTIF(CF$7:CF378,B379)&gt;0,"",B379)&amp;""</f>
        <v/>
      </c>
      <c r="CG379" s="138">
        <f t="shared" si="162"/>
        <v>0</v>
      </c>
      <c r="CH379" s="132">
        <f t="shared" si="163"/>
        <v>1</v>
      </c>
      <c r="CI379" s="138">
        <f t="shared" si="164"/>
        <v>0</v>
      </c>
      <c r="CJ379" s="132">
        <f t="shared" si="165"/>
        <v>8</v>
      </c>
      <c r="CK379" s="133"/>
      <c r="CL379" s="133"/>
    </row>
    <row r="380" ht="15" customHeight="1" spans="1:91">
      <c r="A380" s="123">
        <f>IF(B380="","",COUNT(A$7:A379)+1)</f>
        <v>373</v>
      </c>
      <c r="B380" s="139" t="s">
        <v>2806</v>
      </c>
      <c r="C380" s="139" t="s">
        <v>3043</v>
      </c>
      <c r="D380" s="1209">
        <v>43100</v>
      </c>
      <c r="E380" s="1210">
        <v>2569.2</v>
      </c>
      <c r="F380" s="219" t="s">
        <v>2770</v>
      </c>
      <c r="G380" s="142"/>
      <c r="H380" s="127" t="str">
        <f>IFERROR(VLOOKUP(G380,参数表!$H$2:$I$50,2,FALSE),"")</f>
        <v/>
      </c>
      <c r="I380" s="128" t="str">
        <f t="shared" si="157"/>
        <v/>
      </c>
      <c r="J380" s="128" t="str">
        <f t="shared" si="158"/>
        <v/>
      </c>
      <c r="K380" s="980">
        <v>60</v>
      </c>
      <c r="L380" s="143"/>
      <c r="M380" s="143"/>
      <c r="N380" s="144"/>
      <c r="O380" s="144"/>
      <c r="P380" s="144"/>
      <c r="Q380" s="353">
        <f t="shared" si="135"/>
        <v>60</v>
      </c>
      <c r="R380" s="129">
        <f t="shared" si="136"/>
        <v>0</v>
      </c>
      <c r="S380" s="129">
        <f t="shared" si="137"/>
        <v>0</v>
      </c>
      <c r="T380" s="129">
        <f t="shared" si="138"/>
        <v>60</v>
      </c>
      <c r="U380" s="129">
        <f t="shared" si="139"/>
        <v>2100</v>
      </c>
      <c r="V380" s="214">
        <f t="shared" si="140"/>
        <v>75</v>
      </c>
      <c r="W380" s="353">
        <f t="shared" si="141"/>
        <v>1575</v>
      </c>
      <c r="X380" s="129">
        <f t="shared" si="142"/>
        <v>1575</v>
      </c>
      <c r="Y380" s="129" t="str">
        <f t="shared" si="143"/>
        <v/>
      </c>
      <c r="Z380" s="145"/>
      <c r="BA380" s="75" t="e">
        <f t="shared" si="147"/>
        <v>#DIV/0!</v>
      </c>
      <c r="BB380" s="78"/>
      <c r="BC380" s="132" t="s">
        <v>3050</v>
      </c>
      <c r="BD380" s="133"/>
      <c r="BE380" s="132" t="str">
        <f>IF(OR(B380="",BD380=""),"",COUNTIF(BD$8:BD380,"√"))</f>
        <v/>
      </c>
      <c r="BF380" s="134" t="str">
        <f t="shared" si="159"/>
        <v/>
      </c>
      <c r="BG380" s="135" t="str">
        <f t="shared" si="160"/>
        <v>出错</v>
      </c>
      <c r="BH380" s="135" t="str">
        <f t="shared" si="161"/>
        <v>出错</v>
      </c>
      <c r="BI380" s="136"/>
      <c r="BJ380" s="136"/>
      <c r="BK380" s="136"/>
      <c r="BL380" s="136"/>
      <c r="BM380" s="137"/>
      <c r="BN380" s="137"/>
      <c r="BO380" s="75">
        <f>LOOKUP(D380,基础数据!A:D)</f>
        <v>3.53915880885741</v>
      </c>
      <c r="BP380" s="75">
        <f t="shared" si="149"/>
        <v>1.00524445538374</v>
      </c>
      <c r="BQ380" s="75">
        <f t="shared" si="150"/>
        <v>43</v>
      </c>
      <c r="BR380" s="272">
        <v>37.37</v>
      </c>
      <c r="BS380" s="156">
        <f t="shared" si="144"/>
        <v>4.3</v>
      </c>
      <c r="BT380" s="1211">
        <v>0.06</v>
      </c>
      <c r="BU380" s="156">
        <f t="shared" si="153"/>
        <v>2.24</v>
      </c>
      <c r="BV380" s="156">
        <f t="shared" si="154"/>
        <v>0.18</v>
      </c>
      <c r="BW380" s="156">
        <f t="shared" si="148"/>
        <v>35</v>
      </c>
      <c r="BX380" s="156">
        <f t="shared" si="145"/>
        <v>7.58110882956879</v>
      </c>
      <c r="BY380" s="1207" t="s">
        <v>2806</v>
      </c>
      <c r="BZ380" s="272">
        <v>30</v>
      </c>
      <c r="CA380" s="186">
        <f t="shared" si="146"/>
        <v>0.75</v>
      </c>
      <c r="CB380" s="186">
        <f t="shared" si="151"/>
        <v>0.75</v>
      </c>
      <c r="CC380" s="186">
        <f t="shared" si="152"/>
        <v>0.75</v>
      </c>
      <c r="CD380" s="1208" t="s">
        <v>3044</v>
      </c>
      <c r="CF380" s="134" t="str">
        <f>IF(COUNTIF(CF$7:CF379,B380)&gt;0,"",B380)&amp;""</f>
        <v/>
      </c>
      <c r="CG380" s="138">
        <f t="shared" si="162"/>
        <v>0</v>
      </c>
      <c r="CH380" s="132">
        <f t="shared" si="163"/>
        <v>1</v>
      </c>
      <c r="CI380" s="138">
        <f t="shared" si="164"/>
        <v>0</v>
      </c>
      <c r="CJ380" s="132">
        <f t="shared" si="165"/>
        <v>8</v>
      </c>
      <c r="CK380" s="133"/>
      <c r="CL380" s="148"/>
    </row>
    <row r="381" ht="15" customHeight="1" spans="1:91">
      <c r="A381" s="123">
        <f>IF(B381="","",COUNT(A$7:A380)+1)</f>
        <v>374</v>
      </c>
      <c r="B381" s="139" t="s">
        <v>2806</v>
      </c>
      <c r="C381" s="139" t="s">
        <v>2844</v>
      </c>
      <c r="D381" s="1209">
        <v>43100</v>
      </c>
      <c r="E381" s="1210">
        <v>1230</v>
      </c>
      <c r="F381" s="219" t="s">
        <v>2770</v>
      </c>
      <c r="G381" s="142"/>
      <c r="H381" s="127" t="str">
        <f>IFERROR(VLOOKUP(G381,参数表!$H$2:$I$50,2,FALSE),"")</f>
        <v/>
      </c>
      <c r="I381" s="128" t="str">
        <f t="shared" si="157"/>
        <v/>
      </c>
      <c r="J381" s="128" t="str">
        <f t="shared" si="158"/>
        <v/>
      </c>
      <c r="K381" s="980">
        <v>200</v>
      </c>
      <c r="L381" s="143"/>
      <c r="M381" s="143"/>
      <c r="N381" s="144"/>
      <c r="O381" s="144"/>
      <c r="P381" s="144"/>
      <c r="Q381" s="353">
        <f t="shared" si="135"/>
        <v>200</v>
      </c>
      <c r="R381" s="129">
        <f t="shared" si="136"/>
        <v>0</v>
      </c>
      <c r="S381" s="129">
        <f t="shared" si="137"/>
        <v>0</v>
      </c>
      <c r="T381" s="129">
        <f t="shared" si="138"/>
        <v>200</v>
      </c>
      <c r="U381" s="129">
        <f t="shared" si="139"/>
        <v>1400</v>
      </c>
      <c r="V381" s="214">
        <f t="shared" si="140"/>
        <v>75</v>
      </c>
      <c r="W381" s="353">
        <f t="shared" si="141"/>
        <v>1050</v>
      </c>
      <c r="X381" s="129">
        <f t="shared" si="142"/>
        <v>1050</v>
      </c>
      <c r="Y381" s="129" t="str">
        <f t="shared" si="143"/>
        <v/>
      </c>
      <c r="Z381" s="145"/>
      <c r="BA381" s="75" t="e">
        <f t="shared" si="147"/>
        <v>#DIV/0!</v>
      </c>
      <c r="BB381" s="78"/>
      <c r="BC381" s="132" t="s">
        <v>3051</v>
      </c>
      <c r="BD381" s="133"/>
      <c r="BE381" s="132" t="str">
        <f>IF(OR(B381="",BD381=""),"",COUNTIF(BD$8:BD381,"√"))</f>
        <v/>
      </c>
      <c r="BF381" s="134" t="str">
        <f t="shared" si="159"/>
        <v/>
      </c>
      <c r="BG381" s="135" t="str">
        <f t="shared" si="160"/>
        <v>出错</v>
      </c>
      <c r="BH381" s="135" t="str">
        <f t="shared" si="161"/>
        <v>出错</v>
      </c>
      <c r="BI381" s="136"/>
      <c r="BJ381" s="136"/>
      <c r="BK381" s="136"/>
      <c r="BL381" s="136"/>
      <c r="BM381" s="137"/>
      <c r="BN381" s="137"/>
      <c r="BO381" s="75">
        <f>LOOKUP(D381,基础数据!A:D)</f>
        <v>3.53915880885741</v>
      </c>
      <c r="BP381" s="75">
        <f t="shared" si="149"/>
        <v>1.00524445538374</v>
      </c>
      <c r="BQ381" s="75">
        <f t="shared" si="150"/>
        <v>6</v>
      </c>
      <c r="BR381" s="272">
        <f t="shared" ref="BR381:BR391" si="166">ROUND(BQ381*1.13,0)</f>
        <v>7</v>
      </c>
      <c r="BS381" s="156">
        <f t="shared" si="144"/>
        <v>0.81</v>
      </c>
      <c r="BT381" s="1211">
        <v>0.06</v>
      </c>
      <c r="BU381" s="156">
        <f t="shared" si="153"/>
        <v>0.42</v>
      </c>
      <c r="BV381" s="156">
        <f t="shared" si="154"/>
        <v>0.03</v>
      </c>
      <c r="BW381" s="156">
        <f t="shared" si="148"/>
        <v>7</v>
      </c>
      <c r="BX381" s="156">
        <f t="shared" si="145"/>
        <v>7.58110882956879</v>
      </c>
      <c r="BY381" s="1207" t="s">
        <v>2806</v>
      </c>
      <c r="BZ381" s="272">
        <v>30</v>
      </c>
      <c r="CA381" s="186">
        <f t="shared" si="146"/>
        <v>0.75</v>
      </c>
      <c r="CB381" s="186">
        <f t="shared" si="151"/>
        <v>0.75</v>
      </c>
      <c r="CC381" s="186">
        <f t="shared" si="152"/>
        <v>0.75</v>
      </c>
      <c r="CD381" s="272"/>
      <c r="CF381" s="134" t="str">
        <f>IF(COUNTIF(CF$7:CF380,B381)&gt;0,"",B381)&amp;""</f>
        <v/>
      </c>
      <c r="CG381" s="138">
        <f t="shared" si="162"/>
        <v>0</v>
      </c>
      <c r="CH381" s="132">
        <f t="shared" si="163"/>
        <v>1</v>
      </c>
      <c r="CI381" s="138">
        <f t="shared" si="164"/>
        <v>0</v>
      </c>
      <c r="CJ381" s="132">
        <f t="shared" si="165"/>
        <v>8</v>
      </c>
      <c r="CK381" s="133"/>
      <c r="CL381" s="133"/>
    </row>
    <row r="382" ht="15" hidden="1" customHeight="1" spans="1:91">
      <c r="A382" s="123">
        <f>IF(B382="","",COUNT(A$7:A381)+1)</f>
        <v>375</v>
      </c>
      <c r="B382" s="139" t="s">
        <v>2917</v>
      </c>
      <c r="C382" s="139" t="s">
        <v>2933</v>
      </c>
      <c r="D382" s="1209">
        <v>43100</v>
      </c>
      <c r="E382" s="1210">
        <v>160</v>
      </c>
      <c r="F382" s="219" t="s">
        <v>2866</v>
      </c>
      <c r="G382" s="142"/>
      <c r="H382" s="127" t="str">
        <f>IFERROR(VLOOKUP(G382,参数表!$H$2:$I$50,2,FALSE),"")</f>
        <v/>
      </c>
      <c r="I382" s="128" t="str">
        <f t="shared" si="157"/>
        <v/>
      </c>
      <c r="J382" s="128" t="str">
        <f t="shared" si="158"/>
        <v/>
      </c>
      <c r="K382" s="980">
        <v>1</v>
      </c>
      <c r="L382" s="143"/>
      <c r="M382" s="143"/>
      <c r="N382" s="144"/>
      <c r="O382" s="144"/>
      <c r="P382" s="144"/>
      <c r="Q382" s="353">
        <f t="shared" si="135"/>
        <v>1</v>
      </c>
      <c r="R382" s="129">
        <f t="shared" si="136"/>
        <v>0</v>
      </c>
      <c r="S382" s="129">
        <f t="shared" si="137"/>
        <v>0</v>
      </c>
      <c r="T382" s="129">
        <f t="shared" si="138"/>
        <v>1</v>
      </c>
      <c r="U382" s="129">
        <f t="shared" si="139"/>
        <v>171</v>
      </c>
      <c r="V382" s="214">
        <f t="shared" si="140"/>
        <v>58</v>
      </c>
      <c r="W382" s="353">
        <f t="shared" si="141"/>
        <v>99.18</v>
      </c>
      <c r="X382" s="129">
        <f t="shared" si="142"/>
        <v>99.18</v>
      </c>
      <c r="Y382" s="129" t="str">
        <f t="shared" si="143"/>
        <v/>
      </c>
      <c r="Z382" s="145"/>
      <c r="BA382" s="75" t="e">
        <f t="shared" si="147"/>
        <v>#DIV/0!</v>
      </c>
      <c r="BB382" s="78"/>
      <c r="BC382" s="132" t="s">
        <v>3052</v>
      </c>
      <c r="BD382" s="133"/>
      <c r="BE382" s="132" t="str">
        <f>IF(OR(B382="",BD382=""),"",COUNTIF(BD$8:BD382,"√"))</f>
        <v/>
      </c>
      <c r="BF382" s="134" t="str">
        <f t="shared" si="159"/>
        <v/>
      </c>
      <c r="BG382" s="135" t="str">
        <f t="shared" si="160"/>
        <v>出错</v>
      </c>
      <c r="BH382" s="135" t="str">
        <f t="shared" si="161"/>
        <v>出错</v>
      </c>
      <c r="BI382" s="136"/>
      <c r="BJ382" s="136"/>
      <c r="BK382" s="136"/>
      <c r="BL382" s="136"/>
      <c r="BM382" s="137"/>
      <c r="BN382" s="137"/>
      <c r="BO382" s="75">
        <f>LOOKUP(D382,基础数据!A:D)</f>
        <v>3.53915880885741</v>
      </c>
      <c r="BP382" s="75">
        <f t="shared" si="149"/>
        <v>1.00524445538374</v>
      </c>
      <c r="BQ382" s="75">
        <f t="shared" si="150"/>
        <v>161</v>
      </c>
      <c r="BR382" s="272">
        <f t="shared" si="166"/>
        <v>182</v>
      </c>
      <c r="BS382" s="156">
        <f t="shared" si="144"/>
        <v>20.94</v>
      </c>
      <c r="BT382" s="186">
        <v>0.06</v>
      </c>
      <c r="BU382" s="156">
        <f t="shared" si="153"/>
        <v>10.92</v>
      </c>
      <c r="BV382" s="156">
        <f t="shared" si="154"/>
        <v>0.9</v>
      </c>
      <c r="BW382" s="156">
        <f t="shared" si="148"/>
        <v>171</v>
      </c>
      <c r="BX382" s="156">
        <f t="shared" si="145"/>
        <v>7.58110882956879</v>
      </c>
      <c r="BY382" s="1207" t="s">
        <v>2919</v>
      </c>
      <c r="BZ382" s="272">
        <v>18</v>
      </c>
      <c r="CA382" s="186">
        <f t="shared" si="146"/>
        <v>0.58</v>
      </c>
      <c r="CB382" s="186">
        <f t="shared" si="151"/>
        <v>0.58</v>
      </c>
      <c r="CC382" s="186">
        <f t="shared" si="152"/>
        <v>0.58</v>
      </c>
      <c r="CD382" s="272"/>
      <c r="CF382" s="134" t="str">
        <f>IF(COUNTIF(CF$7:CF381,B382)&gt;0,"",B382)&amp;""</f>
        <v>配电箱</v>
      </c>
      <c r="CG382" s="138">
        <f t="shared" si="162"/>
        <v>0</v>
      </c>
      <c r="CH382" s="132">
        <f t="shared" si="163"/>
        <v>1</v>
      </c>
      <c r="CI382" s="138">
        <f t="shared" si="164"/>
        <v>669.9</v>
      </c>
      <c r="CJ382" s="132">
        <f t="shared" si="165"/>
        <v>7</v>
      </c>
      <c r="CK382" s="133"/>
      <c r="CL382" s="133"/>
    </row>
    <row r="383" ht="15" hidden="1" customHeight="1" spans="1:91">
      <c r="A383" s="123">
        <f>IF(B383="","",COUNT(A$7:A382)+1)</f>
        <v>376</v>
      </c>
      <c r="B383" s="139" t="s">
        <v>3053</v>
      </c>
      <c r="C383" s="139" t="s">
        <v>3054</v>
      </c>
      <c r="D383" s="1209">
        <v>43100</v>
      </c>
      <c r="E383" s="1210">
        <v>1710</v>
      </c>
      <c r="F383" s="219" t="s">
        <v>2866</v>
      </c>
      <c r="G383" s="142"/>
      <c r="H383" s="127"/>
      <c r="I383" s="128"/>
      <c r="J383" s="128"/>
      <c r="K383" s="980">
        <v>1</v>
      </c>
      <c r="L383" s="143"/>
      <c r="M383" s="143"/>
      <c r="N383" s="144"/>
      <c r="O383" s="144"/>
      <c r="P383" s="144"/>
      <c r="Q383" s="353">
        <f t="shared" si="135"/>
        <v>1</v>
      </c>
      <c r="R383" s="129">
        <f t="shared" si="136"/>
        <v>0</v>
      </c>
      <c r="S383" s="129">
        <f t="shared" si="137"/>
        <v>0</v>
      </c>
      <c r="T383" s="129">
        <f t="shared" si="138"/>
        <v>1</v>
      </c>
      <c r="U383" s="129">
        <f t="shared" si="139"/>
        <v>1825</v>
      </c>
      <c r="V383" s="214">
        <f t="shared" si="140"/>
        <v>58</v>
      </c>
      <c r="W383" s="353">
        <f t="shared" si="141"/>
        <v>1058.5</v>
      </c>
      <c r="X383" s="129">
        <f t="shared" si="142"/>
        <v>1058.5</v>
      </c>
      <c r="Y383" s="129" t="str">
        <f t="shared" si="143"/>
        <v/>
      </c>
      <c r="Z383" s="145"/>
      <c r="BA383" s="75" t="e">
        <f t="shared" si="147"/>
        <v>#DIV/0!</v>
      </c>
      <c r="BB383" s="78"/>
      <c r="BC383" s="132"/>
      <c r="BD383" s="133"/>
      <c r="BE383" s="132"/>
      <c r="BF383" s="134"/>
      <c r="BG383" s="135"/>
      <c r="BH383" s="135"/>
      <c r="BI383" s="136"/>
      <c r="BJ383" s="136"/>
      <c r="BK383" s="136"/>
      <c r="BL383" s="136"/>
      <c r="BM383" s="137"/>
      <c r="BN383" s="137"/>
      <c r="BO383" s="75">
        <f>LOOKUP(D383,基础数据!A:D)</f>
        <v>3.53915880885741</v>
      </c>
      <c r="BP383" s="75">
        <f t="shared" si="149"/>
        <v>1.00524445538374</v>
      </c>
      <c r="BQ383" s="75">
        <f t="shared" si="150"/>
        <v>1719</v>
      </c>
      <c r="BR383" s="272">
        <f t="shared" si="166"/>
        <v>1942</v>
      </c>
      <c r="BS383" s="156">
        <f t="shared" si="144"/>
        <v>223.42</v>
      </c>
      <c r="BT383" s="186">
        <v>0.06</v>
      </c>
      <c r="BU383" s="156">
        <f t="shared" si="153"/>
        <v>116.52</v>
      </c>
      <c r="BV383" s="156">
        <f t="shared" si="154"/>
        <v>9.62</v>
      </c>
      <c r="BW383" s="156">
        <f t="shared" si="148"/>
        <v>1825</v>
      </c>
      <c r="BX383" s="156">
        <f t="shared" si="145"/>
        <v>7.58110882956879</v>
      </c>
      <c r="BY383" s="1207" t="s">
        <v>2919</v>
      </c>
      <c r="BZ383" s="272">
        <v>18</v>
      </c>
      <c r="CA383" s="186">
        <f t="shared" si="146"/>
        <v>0.58</v>
      </c>
      <c r="CB383" s="186">
        <f t="shared" si="151"/>
        <v>0.58</v>
      </c>
      <c r="CC383" s="186">
        <f t="shared" si="152"/>
        <v>0.58</v>
      </c>
      <c r="CD383" s="272"/>
      <c r="CF383" s="134"/>
      <c r="CG383" s="138"/>
      <c r="CH383" s="132"/>
      <c r="CI383" s="138"/>
      <c r="CJ383" s="132"/>
      <c r="CK383" s="133"/>
      <c r="CL383" s="133"/>
    </row>
    <row r="384" ht="15" hidden="1" customHeight="1" spans="1:91">
      <c r="A384" s="123">
        <f>IF(B384="","",COUNT(A$7:A383)+1)</f>
        <v>377</v>
      </c>
      <c r="B384" s="139" t="s">
        <v>3055</v>
      </c>
      <c r="C384" s="139" t="s">
        <v>3056</v>
      </c>
      <c r="D384" s="1209">
        <v>43100</v>
      </c>
      <c r="E384" s="1210">
        <v>960</v>
      </c>
      <c r="F384" s="219" t="s">
        <v>2866</v>
      </c>
      <c r="G384" s="142"/>
      <c r="H384" s="127"/>
      <c r="I384" s="128"/>
      <c r="J384" s="128"/>
      <c r="K384" s="980">
        <v>1</v>
      </c>
      <c r="L384" s="143"/>
      <c r="M384" s="143"/>
      <c r="N384" s="144"/>
      <c r="O384" s="144"/>
      <c r="P384" s="144"/>
      <c r="Q384" s="353">
        <f t="shared" si="135"/>
        <v>1</v>
      </c>
      <c r="R384" s="129">
        <f t="shared" si="136"/>
        <v>0</v>
      </c>
      <c r="S384" s="129">
        <f t="shared" si="137"/>
        <v>0</v>
      </c>
      <c r="T384" s="129">
        <f t="shared" si="138"/>
        <v>1</v>
      </c>
      <c r="U384" s="129">
        <f t="shared" si="139"/>
        <v>1025</v>
      </c>
      <c r="V384" s="214">
        <f t="shared" si="140"/>
        <v>15</v>
      </c>
      <c r="W384" s="353">
        <f t="shared" si="141"/>
        <v>153.75</v>
      </c>
      <c r="X384" s="129">
        <f t="shared" si="142"/>
        <v>153.75</v>
      </c>
      <c r="Y384" s="129" t="str">
        <f t="shared" si="143"/>
        <v/>
      </c>
      <c r="Z384" s="145"/>
      <c r="BA384" s="75" t="e">
        <f t="shared" si="147"/>
        <v>#DIV/0!</v>
      </c>
      <c r="BB384" s="78"/>
      <c r="BC384" s="132"/>
      <c r="BD384" s="133"/>
      <c r="BE384" s="132"/>
      <c r="BF384" s="134"/>
      <c r="BG384" s="135"/>
      <c r="BH384" s="135"/>
      <c r="BI384" s="136"/>
      <c r="BJ384" s="136"/>
      <c r="BK384" s="136"/>
      <c r="BL384" s="136"/>
      <c r="BM384" s="137"/>
      <c r="BN384" s="137"/>
      <c r="BO384" s="75">
        <f>LOOKUP(D384,基础数据!A:D)</f>
        <v>3.53915880885741</v>
      </c>
      <c r="BP384" s="75">
        <f t="shared" si="149"/>
        <v>1.00524445538374</v>
      </c>
      <c r="BQ384" s="75">
        <f t="shared" si="150"/>
        <v>965</v>
      </c>
      <c r="BR384" s="272">
        <f t="shared" si="166"/>
        <v>1090</v>
      </c>
      <c r="BS384" s="156">
        <f t="shared" si="144"/>
        <v>125.4</v>
      </c>
      <c r="BT384" s="186">
        <v>0.06</v>
      </c>
      <c r="BU384" s="156">
        <f t="shared" si="153"/>
        <v>65.4</v>
      </c>
      <c r="BV384" s="156">
        <f t="shared" si="154"/>
        <v>5.4</v>
      </c>
      <c r="BW384" s="156">
        <f t="shared" si="148"/>
        <v>1025</v>
      </c>
      <c r="BX384" s="156">
        <f t="shared" si="145"/>
        <v>7.58110882956879</v>
      </c>
      <c r="BY384" s="1207" t="s">
        <v>2911</v>
      </c>
      <c r="BZ384" s="272">
        <v>7</v>
      </c>
      <c r="CA384" s="186">
        <f t="shared" si="146"/>
        <v>-0.08</v>
      </c>
      <c r="CB384" s="186">
        <f t="shared" si="151"/>
        <v>-0.08</v>
      </c>
      <c r="CC384" s="186">
        <f t="shared" si="152"/>
        <v>-0.08</v>
      </c>
      <c r="CD384" s="272"/>
      <c r="CF384" s="134"/>
      <c r="CG384" s="138"/>
      <c r="CH384" s="132"/>
      <c r="CI384" s="138"/>
      <c r="CJ384" s="132"/>
      <c r="CK384" s="133"/>
      <c r="CL384" s="133"/>
    </row>
    <row r="385" ht="15" hidden="1" customHeight="1" spans="1:90">
      <c r="A385" s="123">
        <f>IF(B385="","",COUNT(A$7:A384)+1)</f>
        <v>378</v>
      </c>
      <c r="B385" s="139" t="s">
        <v>2925</v>
      </c>
      <c r="C385" s="139" t="s">
        <v>2926</v>
      </c>
      <c r="D385" s="1209">
        <v>43100</v>
      </c>
      <c r="E385" s="1210">
        <v>3276</v>
      </c>
      <c r="F385" s="219" t="s">
        <v>2866</v>
      </c>
      <c r="G385" s="142"/>
      <c r="H385" s="127"/>
      <c r="I385" s="128"/>
      <c r="J385" s="128"/>
      <c r="K385" s="980">
        <v>42</v>
      </c>
      <c r="L385" s="143"/>
      <c r="M385" s="143"/>
      <c r="N385" s="144"/>
      <c r="O385" s="144"/>
      <c r="P385" s="144"/>
      <c r="Q385" s="353">
        <f t="shared" si="135"/>
        <v>42</v>
      </c>
      <c r="R385" s="129">
        <f t="shared" si="136"/>
        <v>0</v>
      </c>
      <c r="S385" s="129">
        <f t="shared" si="137"/>
        <v>0</v>
      </c>
      <c r="T385" s="129">
        <f t="shared" si="138"/>
        <v>42</v>
      </c>
      <c r="U385" s="129">
        <f t="shared" si="139"/>
        <v>3318</v>
      </c>
      <c r="V385" s="214">
        <f t="shared" si="140"/>
        <v>15</v>
      </c>
      <c r="W385" s="353">
        <f t="shared" si="141"/>
        <v>497.7</v>
      </c>
      <c r="X385" s="129">
        <f t="shared" si="142"/>
        <v>497.7</v>
      </c>
      <c r="Y385" s="129" t="str">
        <f t="shared" si="143"/>
        <v/>
      </c>
      <c r="Z385" s="145"/>
      <c r="BA385" s="75" t="e">
        <f t="shared" si="147"/>
        <v>#DIV/0!</v>
      </c>
      <c r="BB385" s="78"/>
      <c r="BC385" s="132"/>
      <c r="BD385" s="133"/>
      <c r="BE385" s="132"/>
      <c r="BF385" s="134"/>
      <c r="BG385" s="135"/>
      <c r="BH385" s="135"/>
      <c r="BI385" s="136"/>
      <c r="BJ385" s="136"/>
      <c r="BK385" s="136"/>
      <c r="BL385" s="136"/>
      <c r="BM385" s="137"/>
      <c r="BN385" s="137"/>
      <c r="BO385" s="75">
        <f>LOOKUP(D385,基础数据!A:D)</f>
        <v>3.53915880885741</v>
      </c>
      <c r="BP385" s="75">
        <f t="shared" si="149"/>
        <v>1.00524445538374</v>
      </c>
      <c r="BQ385" s="75">
        <f t="shared" si="150"/>
        <v>78</v>
      </c>
      <c r="BR385" s="272">
        <f t="shared" si="166"/>
        <v>88</v>
      </c>
      <c r="BS385" s="156">
        <f t="shared" si="144"/>
        <v>10.12</v>
      </c>
      <c r="BT385" s="186">
        <v>0.01</v>
      </c>
      <c r="BU385" s="156">
        <f t="shared" si="153"/>
        <v>0.88</v>
      </c>
      <c r="BV385" s="156">
        <f t="shared" si="154"/>
        <v>0.07</v>
      </c>
      <c r="BW385" s="156">
        <f t="shared" si="148"/>
        <v>79</v>
      </c>
      <c r="BX385" s="156">
        <f t="shared" si="145"/>
        <v>7.58110882956879</v>
      </c>
      <c r="BY385" s="1207" t="s">
        <v>2888</v>
      </c>
      <c r="BZ385" s="272">
        <v>3</v>
      </c>
      <c r="CA385" s="186">
        <f t="shared" si="146"/>
        <v>-1.53</v>
      </c>
      <c r="CB385" s="186">
        <f t="shared" si="151"/>
        <v>-1.53</v>
      </c>
      <c r="CC385" s="186">
        <f t="shared" si="152"/>
        <v>-1.53</v>
      </c>
      <c r="CD385" s="272"/>
      <c r="CF385" s="134"/>
      <c r="CG385" s="138"/>
      <c r="CH385" s="132"/>
      <c r="CI385" s="138"/>
      <c r="CJ385" s="132"/>
      <c r="CK385" s="133"/>
      <c r="CL385" s="133"/>
    </row>
    <row r="386" ht="15" hidden="1" customHeight="1" spans="1:90">
      <c r="A386" s="123">
        <f>IF(B386="","",COUNT(A$7:A385)+1)</f>
        <v>379</v>
      </c>
      <c r="B386" s="139" t="s">
        <v>3057</v>
      </c>
      <c r="C386" s="139" t="s">
        <v>3058</v>
      </c>
      <c r="D386" s="1209">
        <v>43100</v>
      </c>
      <c r="E386" s="1210">
        <v>480</v>
      </c>
      <c r="F386" s="219" t="s">
        <v>2866</v>
      </c>
      <c r="G386" s="142"/>
      <c r="H386" s="127"/>
      <c r="I386" s="128"/>
      <c r="J386" s="128"/>
      <c r="K386" s="980">
        <v>40</v>
      </c>
      <c r="L386" s="143"/>
      <c r="M386" s="143"/>
      <c r="N386" s="144"/>
      <c r="O386" s="144"/>
      <c r="P386" s="144"/>
      <c r="Q386" s="353">
        <f t="shared" si="135"/>
        <v>40</v>
      </c>
      <c r="R386" s="129">
        <f t="shared" si="136"/>
        <v>0</v>
      </c>
      <c r="S386" s="129">
        <f t="shared" si="137"/>
        <v>0</v>
      </c>
      <c r="T386" s="129">
        <f t="shared" si="138"/>
        <v>40</v>
      </c>
      <c r="U386" s="129">
        <f t="shared" si="139"/>
        <v>480</v>
      </c>
      <c r="V386" s="214">
        <f t="shared" si="140"/>
        <v>24</v>
      </c>
      <c r="W386" s="353">
        <f t="shared" si="141"/>
        <v>115.2</v>
      </c>
      <c r="X386" s="129">
        <f t="shared" si="142"/>
        <v>115.2</v>
      </c>
      <c r="Y386" s="129" t="str">
        <f t="shared" si="143"/>
        <v/>
      </c>
      <c r="Z386" s="145"/>
      <c r="BA386" s="75" t="e">
        <f t="shared" si="147"/>
        <v>#DIV/0!</v>
      </c>
      <c r="BB386" s="78"/>
      <c r="BC386" s="132"/>
      <c r="BD386" s="133"/>
      <c r="BE386" s="132"/>
      <c r="BF386" s="134"/>
      <c r="BG386" s="135"/>
      <c r="BH386" s="135"/>
      <c r="BI386" s="136"/>
      <c r="BJ386" s="136"/>
      <c r="BK386" s="136"/>
      <c r="BL386" s="136"/>
      <c r="BM386" s="137"/>
      <c r="BN386" s="137"/>
      <c r="BO386" s="75">
        <f>LOOKUP(D386,基础数据!A:D)</f>
        <v>3.53915880885741</v>
      </c>
      <c r="BP386" s="75">
        <f t="shared" si="149"/>
        <v>1.00524445538374</v>
      </c>
      <c r="BQ386" s="75">
        <f t="shared" si="150"/>
        <v>12</v>
      </c>
      <c r="BR386" s="272">
        <f t="shared" si="166"/>
        <v>14</v>
      </c>
      <c r="BS386" s="156">
        <f t="shared" si="144"/>
        <v>1.61</v>
      </c>
      <c r="BT386" s="156"/>
      <c r="BU386" s="156">
        <f t="shared" si="153"/>
        <v>0</v>
      </c>
      <c r="BV386" s="156">
        <f t="shared" si="154"/>
        <v>0</v>
      </c>
      <c r="BW386" s="156">
        <f t="shared" si="148"/>
        <v>12</v>
      </c>
      <c r="BX386" s="156">
        <f t="shared" si="145"/>
        <v>7.58110882956879</v>
      </c>
      <c r="BY386" s="1207" t="s">
        <v>2924</v>
      </c>
      <c r="BZ386" s="272">
        <v>10</v>
      </c>
      <c r="CA386" s="186">
        <f t="shared" si="146"/>
        <v>0.24</v>
      </c>
      <c r="CB386" s="186">
        <f t="shared" si="151"/>
        <v>0.24</v>
      </c>
      <c r="CC386" s="186">
        <f t="shared" si="152"/>
        <v>0.24</v>
      </c>
      <c r="CD386" s="272"/>
      <c r="CF386" s="134"/>
      <c r="CG386" s="138"/>
      <c r="CH386" s="132"/>
      <c r="CI386" s="138"/>
      <c r="CJ386" s="132"/>
      <c r="CK386" s="133"/>
      <c r="CL386" s="133"/>
    </row>
    <row r="387" ht="15" hidden="1" customHeight="1" spans="1:90">
      <c r="A387" s="123">
        <f>IF(B387="","",COUNT(A$7:A386)+1)</f>
        <v>380</v>
      </c>
      <c r="B387" s="139" t="s">
        <v>3059</v>
      </c>
      <c r="C387" s="139" t="s">
        <v>3060</v>
      </c>
      <c r="D387" s="1209">
        <v>43100</v>
      </c>
      <c r="E387" s="1210">
        <v>720</v>
      </c>
      <c r="F387" s="219" t="s">
        <v>2866</v>
      </c>
      <c r="G387" s="142"/>
      <c r="H387" s="127"/>
      <c r="I387" s="128"/>
      <c r="J387" s="128"/>
      <c r="K387" s="980">
        <v>60</v>
      </c>
      <c r="L387" s="143"/>
      <c r="M387" s="143"/>
      <c r="N387" s="144"/>
      <c r="O387" s="144"/>
      <c r="P387" s="144"/>
      <c r="Q387" s="353">
        <f t="shared" si="135"/>
        <v>60</v>
      </c>
      <c r="R387" s="129">
        <f t="shared" si="136"/>
        <v>0</v>
      </c>
      <c r="S387" s="129">
        <f t="shared" si="137"/>
        <v>0</v>
      </c>
      <c r="T387" s="129">
        <f t="shared" si="138"/>
        <v>60</v>
      </c>
      <c r="U387" s="129">
        <f t="shared" si="139"/>
        <v>720</v>
      </c>
      <c r="V387" s="214">
        <f t="shared" si="140"/>
        <v>24</v>
      </c>
      <c r="W387" s="353">
        <f t="shared" si="141"/>
        <v>172.8</v>
      </c>
      <c r="X387" s="129">
        <f t="shared" si="142"/>
        <v>172.8</v>
      </c>
      <c r="Y387" s="129" t="str">
        <f t="shared" si="143"/>
        <v/>
      </c>
      <c r="Z387" s="145"/>
      <c r="BA387" s="75" t="e">
        <f t="shared" si="147"/>
        <v>#DIV/0!</v>
      </c>
      <c r="BB387" s="78"/>
      <c r="BC387" s="132"/>
      <c r="BD387" s="133"/>
      <c r="BE387" s="132"/>
      <c r="BF387" s="134"/>
      <c r="BG387" s="135"/>
      <c r="BH387" s="135"/>
      <c r="BI387" s="136"/>
      <c r="BJ387" s="136"/>
      <c r="BK387" s="136"/>
      <c r="BL387" s="136"/>
      <c r="BM387" s="137"/>
      <c r="BN387" s="137"/>
      <c r="BO387" s="75">
        <f>LOOKUP(D387,基础数据!A:D)</f>
        <v>3.53915880885741</v>
      </c>
      <c r="BP387" s="75">
        <f t="shared" si="149"/>
        <v>1.00524445538374</v>
      </c>
      <c r="BQ387" s="75">
        <f t="shared" si="150"/>
        <v>12</v>
      </c>
      <c r="BR387" s="272">
        <f t="shared" si="166"/>
        <v>14</v>
      </c>
      <c r="BS387" s="156">
        <f t="shared" si="144"/>
        <v>1.61</v>
      </c>
      <c r="BT387" s="156"/>
      <c r="BU387" s="156">
        <f t="shared" si="153"/>
        <v>0</v>
      </c>
      <c r="BV387" s="156">
        <f t="shared" si="154"/>
        <v>0</v>
      </c>
      <c r="BW387" s="156">
        <f t="shared" si="148"/>
        <v>12</v>
      </c>
      <c r="BX387" s="156">
        <f t="shared" si="145"/>
        <v>7.58110882956879</v>
      </c>
      <c r="BY387" s="1207" t="s">
        <v>2924</v>
      </c>
      <c r="BZ387" s="272">
        <v>10</v>
      </c>
      <c r="CA387" s="186">
        <f t="shared" si="146"/>
        <v>0.24</v>
      </c>
      <c r="CB387" s="186">
        <f t="shared" si="151"/>
        <v>0.24</v>
      </c>
      <c r="CC387" s="186">
        <f t="shared" si="152"/>
        <v>0.24</v>
      </c>
      <c r="CD387" s="272"/>
      <c r="CF387" s="134"/>
      <c r="CG387" s="138"/>
      <c r="CH387" s="132"/>
      <c r="CI387" s="138"/>
      <c r="CJ387" s="132"/>
      <c r="CK387" s="133"/>
      <c r="CL387" s="133"/>
    </row>
    <row r="388" ht="15" hidden="1" customHeight="1" spans="1:90">
      <c r="A388" s="123">
        <f>IF(B388="","",COUNT(A$7:A387)+1)</f>
        <v>381</v>
      </c>
      <c r="B388" s="139" t="s">
        <v>3061</v>
      </c>
      <c r="C388" s="139"/>
      <c r="D388" s="1209">
        <v>43100</v>
      </c>
      <c r="E388" s="1210">
        <v>390</v>
      </c>
      <c r="F388" s="219" t="s">
        <v>2866</v>
      </c>
      <c r="G388" s="142"/>
      <c r="H388" s="127"/>
      <c r="I388" s="128"/>
      <c r="J388" s="128"/>
      <c r="K388" s="980">
        <v>26</v>
      </c>
      <c r="L388" s="143"/>
      <c r="M388" s="143"/>
      <c r="N388" s="144"/>
      <c r="O388" s="144"/>
      <c r="P388" s="144"/>
      <c r="Q388" s="353">
        <f t="shared" si="135"/>
        <v>26</v>
      </c>
      <c r="R388" s="129">
        <f t="shared" si="136"/>
        <v>0</v>
      </c>
      <c r="S388" s="129">
        <f t="shared" si="137"/>
        <v>0</v>
      </c>
      <c r="T388" s="129">
        <f t="shared" si="138"/>
        <v>26</v>
      </c>
      <c r="U388" s="129">
        <f t="shared" si="139"/>
        <v>390</v>
      </c>
      <c r="V388" s="214">
        <f t="shared" si="140"/>
        <v>24</v>
      </c>
      <c r="W388" s="353">
        <f t="shared" si="141"/>
        <v>93.6</v>
      </c>
      <c r="X388" s="129">
        <f t="shared" si="142"/>
        <v>93.6</v>
      </c>
      <c r="Y388" s="129" t="str">
        <f t="shared" si="143"/>
        <v/>
      </c>
      <c r="Z388" s="145"/>
      <c r="BA388" s="75" t="e">
        <f t="shared" si="147"/>
        <v>#DIV/0!</v>
      </c>
      <c r="BB388" s="78"/>
      <c r="BC388" s="132"/>
      <c r="BD388" s="133"/>
      <c r="BE388" s="132"/>
      <c r="BF388" s="134"/>
      <c r="BG388" s="135"/>
      <c r="BH388" s="135"/>
      <c r="BI388" s="136"/>
      <c r="BJ388" s="136"/>
      <c r="BK388" s="136"/>
      <c r="BL388" s="136"/>
      <c r="BM388" s="137"/>
      <c r="BN388" s="137"/>
      <c r="BO388" s="75">
        <f>LOOKUP(D388,基础数据!A:D)</f>
        <v>3.53915880885741</v>
      </c>
      <c r="BP388" s="75">
        <f t="shared" si="149"/>
        <v>1.00524445538374</v>
      </c>
      <c r="BQ388" s="75">
        <f t="shared" si="150"/>
        <v>15</v>
      </c>
      <c r="BR388" s="272">
        <f t="shared" si="166"/>
        <v>17</v>
      </c>
      <c r="BS388" s="156">
        <f t="shared" si="144"/>
        <v>1.96</v>
      </c>
      <c r="BT388" s="156"/>
      <c r="BU388" s="156">
        <f t="shared" si="153"/>
        <v>0</v>
      </c>
      <c r="BV388" s="156">
        <f t="shared" si="154"/>
        <v>0</v>
      </c>
      <c r="BW388" s="156">
        <f t="shared" si="148"/>
        <v>15</v>
      </c>
      <c r="BX388" s="156">
        <f t="shared" si="145"/>
        <v>7.58110882956879</v>
      </c>
      <c r="BY388" s="1207" t="s">
        <v>2924</v>
      </c>
      <c r="BZ388" s="272">
        <v>10</v>
      </c>
      <c r="CA388" s="186">
        <f t="shared" si="146"/>
        <v>0.24</v>
      </c>
      <c r="CB388" s="186">
        <f t="shared" si="151"/>
        <v>0.24</v>
      </c>
      <c r="CC388" s="186">
        <f t="shared" si="152"/>
        <v>0.24</v>
      </c>
      <c r="CD388" s="272"/>
      <c r="CF388" s="134"/>
      <c r="CG388" s="138"/>
      <c r="CH388" s="132"/>
      <c r="CI388" s="138"/>
      <c r="CJ388" s="132"/>
      <c r="CK388" s="133"/>
      <c r="CL388" s="133"/>
    </row>
    <row r="389" ht="15" hidden="1" customHeight="1" spans="1:90">
      <c r="A389" s="123">
        <f>IF(B389="","",COUNT(A$7:A388)+1)</f>
        <v>382</v>
      </c>
      <c r="B389" s="139" t="s">
        <v>3016</v>
      </c>
      <c r="C389" s="139" t="s">
        <v>3062</v>
      </c>
      <c r="D389" s="1209">
        <v>43100</v>
      </c>
      <c r="E389" s="1210">
        <v>250200</v>
      </c>
      <c r="F389" s="219" t="s">
        <v>3006</v>
      </c>
      <c r="G389" s="142"/>
      <c r="H389" s="127"/>
      <c r="I389" s="128"/>
      <c r="J389" s="128"/>
      <c r="K389" s="980">
        <v>695</v>
      </c>
      <c r="L389" s="143"/>
      <c r="M389" s="143"/>
      <c r="N389" s="144"/>
      <c r="O389" s="144"/>
      <c r="P389" s="144"/>
      <c r="Q389" s="353">
        <f t="shared" si="135"/>
        <v>695</v>
      </c>
      <c r="R389" s="129">
        <f t="shared" si="136"/>
        <v>0</v>
      </c>
      <c r="S389" s="129">
        <f t="shared" si="137"/>
        <v>0</v>
      </c>
      <c r="T389" s="129">
        <f t="shared" si="138"/>
        <v>695</v>
      </c>
      <c r="U389" s="129">
        <f t="shared" si="139"/>
        <v>262015</v>
      </c>
      <c r="V389" s="214">
        <f t="shared" si="140"/>
        <v>62</v>
      </c>
      <c r="W389" s="353">
        <f t="shared" si="141"/>
        <v>162449.3</v>
      </c>
      <c r="X389" s="129">
        <f t="shared" si="142"/>
        <v>162449.3</v>
      </c>
      <c r="Y389" s="129" t="str">
        <f t="shared" si="143"/>
        <v/>
      </c>
      <c r="Z389" s="145"/>
      <c r="BA389" s="75" t="e">
        <f t="shared" si="147"/>
        <v>#DIV/0!</v>
      </c>
      <c r="BB389" s="78"/>
      <c r="BC389" s="132"/>
      <c r="BD389" s="133"/>
      <c r="BE389" s="132"/>
      <c r="BF389" s="134"/>
      <c r="BG389" s="135"/>
      <c r="BH389" s="135"/>
      <c r="BI389" s="136"/>
      <c r="BJ389" s="136"/>
      <c r="BK389" s="136"/>
      <c r="BL389" s="136"/>
      <c r="BM389" s="137"/>
      <c r="BN389" s="137"/>
      <c r="BO389" s="75">
        <f>LOOKUP(D389,基础数据!A:D)</f>
        <v>3.53915880885741</v>
      </c>
      <c r="BP389" s="75">
        <f t="shared" si="149"/>
        <v>1.00524445538374</v>
      </c>
      <c r="BQ389" s="75">
        <f t="shared" si="150"/>
        <v>362</v>
      </c>
      <c r="BR389" s="272">
        <f t="shared" si="166"/>
        <v>409</v>
      </c>
      <c r="BS389" s="156">
        <f t="shared" si="144"/>
        <v>47.05</v>
      </c>
      <c r="BT389" s="186">
        <v>0.04</v>
      </c>
      <c r="BU389" s="156">
        <f t="shared" si="153"/>
        <v>16.36</v>
      </c>
      <c r="BV389" s="156">
        <f t="shared" si="154"/>
        <v>1.35</v>
      </c>
      <c r="BW389" s="156">
        <f t="shared" si="148"/>
        <v>377</v>
      </c>
      <c r="BX389" s="156">
        <f t="shared" si="145"/>
        <v>7.58110882956879</v>
      </c>
      <c r="BY389" s="1207" t="s">
        <v>2965</v>
      </c>
      <c r="BZ389" s="272">
        <v>20</v>
      </c>
      <c r="CA389" s="186">
        <f t="shared" si="146"/>
        <v>0.62</v>
      </c>
      <c r="CB389" s="186">
        <f t="shared" si="151"/>
        <v>0.62</v>
      </c>
      <c r="CC389" s="186">
        <f t="shared" si="152"/>
        <v>0.62</v>
      </c>
      <c r="CD389" s="272"/>
      <c r="CF389" s="134"/>
      <c r="CG389" s="138"/>
      <c r="CH389" s="132"/>
      <c r="CI389" s="138"/>
      <c r="CJ389" s="132"/>
      <c r="CK389" s="133"/>
      <c r="CL389" s="133"/>
    </row>
    <row r="390" ht="15" hidden="1" customHeight="1" spans="1:90">
      <c r="A390" s="123">
        <f>IF(B390="","",COUNT(A$7:A389)+1)</f>
        <v>383</v>
      </c>
      <c r="B390" s="139" t="s">
        <v>3063</v>
      </c>
      <c r="C390" s="139"/>
      <c r="D390" s="1209">
        <v>43100</v>
      </c>
      <c r="E390" s="1210">
        <v>20000</v>
      </c>
      <c r="F390" s="219" t="s">
        <v>2871</v>
      </c>
      <c r="G390" s="142"/>
      <c r="H390" s="127"/>
      <c r="I390" s="128"/>
      <c r="J390" s="128"/>
      <c r="K390" s="980">
        <v>1</v>
      </c>
      <c r="L390" s="143"/>
      <c r="M390" s="143"/>
      <c r="N390" s="144"/>
      <c r="O390" s="144"/>
      <c r="P390" s="144"/>
      <c r="Q390" s="353">
        <f>IF(B390="","",K390+N390)</f>
        <v>1</v>
      </c>
      <c r="R390" s="129">
        <f>IF(B390="","",L390+O390)</f>
        <v>0</v>
      </c>
      <c r="S390" s="129">
        <f>IF(B390="","",M390+P390)</f>
        <v>0</v>
      </c>
      <c r="T390" s="129">
        <f>IF(B390="","",IF(BC$3="是",Q390,""))</f>
        <v>1</v>
      </c>
      <c r="U390" s="129">
        <f>IF(B390="","",IF(BC$3="是",IFERROR(ROUND(BW390,0)*T390,""),""))</f>
        <v>20522</v>
      </c>
      <c r="V390" s="214">
        <f>IF(B390="","",IF(BC$3="是",IF(B390="","",MAX(CA390,15%)*100),""))</f>
        <v>15</v>
      </c>
      <c r="W390" s="353">
        <f>IFERROR(U390*V390/100,"")</f>
        <v>3078.3</v>
      </c>
      <c r="X390" s="129">
        <f>IFERROR(W390-(R390-S390),"")</f>
        <v>3078.3</v>
      </c>
      <c r="Y390" s="129" t="str">
        <f>IFERROR(X390/(R390-S390)*100,"")</f>
        <v/>
      </c>
      <c r="Z390" s="145"/>
      <c r="BA390" s="75" t="e">
        <f t="shared" si="147"/>
        <v>#DIV/0!</v>
      </c>
      <c r="BB390" s="78"/>
      <c r="BC390" s="132"/>
      <c r="BD390" s="133"/>
      <c r="BE390" s="132"/>
      <c r="BF390" s="134"/>
      <c r="BG390" s="135"/>
      <c r="BH390" s="135"/>
      <c r="BI390" s="136"/>
      <c r="BJ390" s="136"/>
      <c r="BK390" s="136"/>
      <c r="BL390" s="136"/>
      <c r="BM390" s="137"/>
      <c r="BN390" s="137"/>
      <c r="BO390" s="75">
        <f>LOOKUP(D390,基础数据!A:D)</f>
        <v>3.53915880885741</v>
      </c>
      <c r="BP390" s="75">
        <f t="shared" si="149"/>
        <v>1.00524445538374</v>
      </c>
      <c r="BQ390" s="75">
        <f t="shared" si="150"/>
        <v>20105</v>
      </c>
      <c r="BR390" s="272">
        <f t="shared" si="166"/>
        <v>22719</v>
      </c>
      <c r="BS390" s="156">
        <f>ROUND(BR390/(1+BS$6)*BS$6,2)</f>
        <v>2613.69</v>
      </c>
      <c r="BT390" s="186">
        <v>0.02</v>
      </c>
      <c r="BU390" s="156">
        <f t="shared" si="153"/>
        <v>454.38</v>
      </c>
      <c r="BV390" s="156">
        <f t="shared" si="154"/>
        <v>37.52</v>
      </c>
      <c r="BW390" s="156">
        <f t="shared" si="148"/>
        <v>20522</v>
      </c>
      <c r="BX390" s="156">
        <f>(BX$6-D390)/365.25</f>
        <v>7.58110882956879</v>
      </c>
      <c r="BY390" s="1207" t="s">
        <v>2911</v>
      </c>
      <c r="BZ390" s="272">
        <v>7</v>
      </c>
      <c r="CA390" s="186">
        <f>ROUND(IFERROR(1-(BX390/BZ390),0),2)</f>
        <v>-0.08</v>
      </c>
      <c r="CB390" s="186">
        <f t="shared" si="151"/>
        <v>-0.08</v>
      </c>
      <c r="CC390" s="186">
        <f t="shared" si="152"/>
        <v>-0.08</v>
      </c>
      <c r="CD390" s="272"/>
      <c r="CF390" s="134"/>
      <c r="CG390" s="138"/>
      <c r="CH390" s="132"/>
      <c r="CI390" s="138"/>
      <c r="CJ390" s="132"/>
      <c r="CK390" s="133"/>
      <c r="CL390" s="133"/>
    </row>
    <row r="391" ht="15" hidden="1" customHeight="1" spans="1:90">
      <c r="A391" s="123">
        <f>IF(B391="","",COUNT(A$7:A390)+1)</f>
        <v>384</v>
      </c>
      <c r="B391" s="139" t="s">
        <v>3064</v>
      </c>
      <c r="C391" s="139" t="s">
        <v>3065</v>
      </c>
      <c r="D391" s="1209">
        <v>45001</v>
      </c>
      <c r="E391" s="1210">
        <v>20000</v>
      </c>
      <c r="F391" s="219" t="s">
        <v>2871</v>
      </c>
      <c r="G391" s="142"/>
      <c r="H391" s="127"/>
      <c r="I391" s="128"/>
      <c r="J391" s="128"/>
      <c r="K391" s="980">
        <v>1</v>
      </c>
      <c r="L391" s="143"/>
      <c r="M391" s="143"/>
      <c r="N391" s="144"/>
      <c r="O391" s="144"/>
      <c r="P391" s="144"/>
      <c r="Q391" s="353">
        <f>IF(B391="","",K391+N391)</f>
        <v>1</v>
      </c>
      <c r="R391" s="129">
        <f>IF(B391="","",L391+O391)</f>
        <v>0</v>
      </c>
      <c r="S391" s="129">
        <f>IF(B391="","",M391+P391)</f>
        <v>0</v>
      </c>
      <c r="T391" s="129">
        <f>IF(B391="","",IF(BC$3="是",Q391,""))</f>
        <v>1</v>
      </c>
      <c r="U391" s="129">
        <f>IF(B391="","",IF(BC$3="是",IFERROR(ROUND(BW391,0)*T391,""),""))</f>
        <v>18681</v>
      </c>
      <c r="V391" s="214">
        <f>IF(B391="","",IF(BC$3="是",IF(B391="","",MAX(CA391,15%)*100),""))</f>
        <v>60</v>
      </c>
      <c r="W391" s="353">
        <f>IFERROR(U391*V391/100,"")</f>
        <v>11208.6</v>
      </c>
      <c r="X391" s="129">
        <f>IFERROR(W391-(R391-S391),"")</f>
        <v>11208.6</v>
      </c>
      <c r="Y391" s="129" t="str">
        <f>IFERROR(X391/(R391-S391)*100,"")</f>
        <v/>
      </c>
      <c r="Z391" s="145"/>
      <c r="BA391" s="75" t="e">
        <f t="shared" ref="BA391:BA400" si="167">(U391-R391)/R391</f>
        <v>#DIV/0!</v>
      </c>
      <c r="BB391" s="78"/>
      <c r="BC391" s="132"/>
      <c r="BD391" s="133"/>
      <c r="BE391" s="132"/>
      <c r="BF391" s="134"/>
      <c r="BG391" s="135"/>
      <c r="BH391" s="135"/>
      <c r="BI391" s="136"/>
      <c r="BJ391" s="136"/>
      <c r="BK391" s="136"/>
      <c r="BL391" s="136"/>
      <c r="BM391" s="137"/>
      <c r="BN391" s="137"/>
      <c r="BO391" s="75">
        <f>LOOKUP(D391,基础数据!A:D)</f>
        <v>3.80882053463966</v>
      </c>
      <c r="BP391" s="75">
        <f t="shared" si="149"/>
        <v>0.9340738785066</v>
      </c>
      <c r="BQ391" s="75">
        <f t="shared" si="150"/>
        <v>18681</v>
      </c>
      <c r="BR391" s="272">
        <f t="shared" si="166"/>
        <v>21110</v>
      </c>
      <c r="BS391" s="156">
        <f>ROUND(BR391/(1+BS$6)*BS$6,2)</f>
        <v>2428.58</v>
      </c>
      <c r="BT391" s="156"/>
      <c r="BU391" s="156">
        <f t="shared" si="153"/>
        <v>0</v>
      </c>
      <c r="BV391" s="156">
        <f t="shared" si="154"/>
        <v>0</v>
      </c>
      <c r="BW391" s="156">
        <f t="shared" ref="BW391:BW400" si="168">ROUND(BR391+BU391-BS391-BV391,0)</f>
        <v>18681</v>
      </c>
      <c r="BX391" s="156">
        <f>(BX$6-D391)/365.25</f>
        <v>2.37645448323066</v>
      </c>
      <c r="BY391" s="1207" t="s">
        <v>2878</v>
      </c>
      <c r="BZ391" s="272">
        <v>6</v>
      </c>
      <c r="CA391" s="186">
        <f>ROUND(IFERROR(1-(BX391/BZ391),0),2)</f>
        <v>0.6</v>
      </c>
      <c r="CB391" s="186">
        <f t="shared" si="151"/>
        <v>0.6</v>
      </c>
      <c r="CC391" s="186">
        <f t="shared" si="152"/>
        <v>0.6</v>
      </c>
      <c r="CD391" s="272"/>
      <c r="CF391" s="134"/>
      <c r="CG391" s="138"/>
      <c r="CH391" s="132"/>
      <c r="CI391" s="138"/>
      <c r="CJ391" s="132"/>
      <c r="CK391" s="133"/>
      <c r="CL391" s="133"/>
    </row>
    <row r="392" ht="15" hidden="1" customHeight="1" spans="1:90">
      <c r="A392" s="123"/>
      <c r="B392" s="139"/>
      <c r="C392" s="139"/>
      <c r="D392" s="1209"/>
      <c r="E392" s="1210"/>
      <c r="F392" s="219"/>
      <c r="G392" s="142"/>
      <c r="H392" s="127"/>
      <c r="I392" s="128"/>
      <c r="J392" s="128"/>
      <c r="K392" s="980"/>
      <c r="L392" s="143"/>
      <c r="M392" s="143"/>
      <c r="N392" s="144"/>
      <c r="O392" s="144"/>
      <c r="P392" s="144"/>
      <c r="Q392" s="353"/>
      <c r="R392" s="129"/>
      <c r="S392" s="129"/>
      <c r="T392" s="129"/>
      <c r="U392" s="129"/>
      <c r="V392" s="214"/>
      <c r="W392" s="353"/>
      <c r="X392" s="129"/>
      <c r="Y392" s="129"/>
      <c r="Z392" s="145"/>
      <c r="BA392" s="75" t="e">
        <f t="shared" si="167"/>
        <v>#DIV/0!</v>
      </c>
      <c r="BB392" s="78"/>
      <c r="BC392" s="132"/>
      <c r="BD392" s="133"/>
      <c r="BE392" s="132"/>
      <c r="BF392" s="134"/>
      <c r="BG392" s="135"/>
      <c r="BH392" s="135"/>
      <c r="BI392" s="136"/>
      <c r="BJ392" s="136"/>
      <c r="BK392" s="136"/>
      <c r="BL392" s="136"/>
      <c r="BM392" s="137"/>
      <c r="BN392" s="137"/>
      <c r="BO392" s="75" t="e">
        <f>LOOKUP(D392,基础数据!A:D)</f>
        <v>#N/A</v>
      </c>
      <c r="BP392" s="75" t="e">
        <f>BO$6/BO392</f>
        <v>#N/A</v>
      </c>
      <c r="BQ392" s="75" t="e">
        <f t="shared" ref="BQ392:BQ400" si="169">ROUND(R392*BP392/Q392,-1)</f>
        <v>#N/A</v>
      </c>
      <c r="BR392" s="272" t="e">
        <f t="shared" ref="BR392:BR400" si="170">ROUND(BQ392*1.13,-1)</f>
        <v>#N/A</v>
      </c>
      <c r="BS392" s="156"/>
      <c r="BT392" s="156"/>
      <c r="BU392" s="156"/>
      <c r="BV392" s="156"/>
      <c r="BW392" s="156" t="e">
        <f t="shared" si="168"/>
        <v>#N/A</v>
      </c>
      <c r="BX392" s="156"/>
      <c r="BY392" s="156"/>
      <c r="BZ392" s="272"/>
      <c r="CA392" s="186"/>
      <c r="CB392" s="186"/>
      <c r="CC392" s="186"/>
      <c r="CD392" s="272"/>
      <c r="CF392" s="134"/>
      <c r="CG392" s="138"/>
      <c r="CH392" s="132"/>
      <c r="CI392" s="138"/>
      <c r="CJ392" s="132"/>
      <c r="CK392" s="133"/>
      <c r="CL392" s="133"/>
    </row>
    <row r="393" ht="15" hidden="1" customHeight="1" spans="1:90">
      <c r="A393" s="123" t="str">
        <f>IF(B393="","",COUNT(A$7:A382)+1)</f>
        <v/>
      </c>
      <c r="B393" s="139"/>
      <c r="C393" s="139"/>
      <c r="D393" s="1209"/>
      <c r="E393" s="1210"/>
      <c r="F393" s="219"/>
      <c r="G393" s="142"/>
      <c r="H393" s="127" t="str">
        <f>IFERROR(VLOOKUP(G393,参数表!$H$2:$I$50,2,FALSE),"")</f>
        <v/>
      </c>
      <c r="I393" s="128" t="str">
        <f t="shared" ref="I393:I400" si="171">IFERROR(IF(OR(G393="人民币",G393=""),"",R393/H393),"")</f>
        <v/>
      </c>
      <c r="J393" s="128" t="str">
        <f t="shared" ref="J393:J400" si="172">IFERROR(IF(OR(G393="人民币",G393=""),"",S393/H393),"")</f>
        <v/>
      </c>
      <c r="K393" s="980"/>
      <c r="L393" s="143"/>
      <c r="M393" s="143"/>
      <c r="N393" s="144"/>
      <c r="O393" s="144"/>
      <c r="P393" s="144"/>
      <c r="Q393" s="353" t="str">
        <f t="shared" ref="Q393:Q400" si="173">IF(B393="","",K393+N393)</f>
        <v/>
      </c>
      <c r="R393" s="129" t="str">
        <f t="shared" ref="R393:R400" si="174">IF(B393="","",L393+O393)</f>
        <v/>
      </c>
      <c r="S393" s="129" t="str">
        <f t="shared" ref="S393:S400" si="175">IF(B393="","",M393+P393)</f>
        <v/>
      </c>
      <c r="T393" s="129" t="str">
        <f t="shared" ref="T393:T400" si="176">IF(B393="","",IF(BC$3="是",Q393,""))</f>
        <v/>
      </c>
      <c r="U393" s="129" t="str">
        <f t="shared" ref="U393:U400" si="177">IF(B393="","",IF(BC$3="是",IFERROR(ROUND(BW393,0)*T393,""),""))</f>
        <v/>
      </c>
      <c r="V393" s="214" t="str">
        <f t="shared" ref="V393:V400" si="178">IF(B393="","",IF(BC$3="是",IF(B393="","",MAX(CA393,15%)*100),""))</f>
        <v/>
      </c>
      <c r="W393" s="353" t="str">
        <f t="shared" ref="W393:W400" si="179">IFERROR(U393*V393/100,"")</f>
        <v/>
      </c>
      <c r="X393" s="129" t="str">
        <f t="shared" ref="X393:X403" si="180">IFERROR(W393-(R393-S393),"")</f>
        <v/>
      </c>
      <c r="Y393" s="129" t="str">
        <f t="shared" ref="Y393:Y403" si="181">IFERROR(X393/(R393-S393)*100,"")</f>
        <v/>
      </c>
      <c r="Z393" s="145"/>
      <c r="BA393" s="75" t="e">
        <f t="shared" si="167"/>
        <v>#VALUE!</v>
      </c>
      <c r="BB393" s="78"/>
      <c r="BC393" s="132" t="s">
        <v>3066</v>
      </c>
      <c r="BD393" s="133"/>
      <c r="BE393" s="132" t="str">
        <f>IF(OR(B393="",BD393=""),"",COUNTIF(BD$8:BD393,"√"))</f>
        <v/>
      </c>
      <c r="BF393" s="134" t="str">
        <f t="shared" ref="BF393:BF400" si="182">IF(BD393="","",BC393&amp;"︱"&amp;B393&amp;"︱"&amp;TEXT(L393,"#,##0.00"))</f>
        <v/>
      </c>
      <c r="BG393" s="135" t="str">
        <f t="shared" ref="BG393:BH400" si="183">IF($B393="","",IF(BG$5=0,"OK","出错"))</f>
        <v/>
      </c>
      <c r="BH393" s="135" t="str">
        <f t="shared" si="183"/>
        <v/>
      </c>
      <c r="BI393" s="136"/>
      <c r="BJ393" s="136"/>
      <c r="BK393" s="136"/>
      <c r="BL393" s="136"/>
      <c r="BM393" s="137"/>
      <c r="BN393" s="137"/>
      <c r="BO393" s="75"/>
      <c r="BP393" s="75"/>
      <c r="BQ393" s="75" t="e">
        <f t="shared" si="169"/>
        <v>#VALUE!</v>
      </c>
      <c r="BR393" s="272" t="e">
        <f t="shared" si="170"/>
        <v>#VALUE!</v>
      </c>
      <c r="BS393" s="156" t="e">
        <f t="shared" ref="BS393:BS400" si="184">ROUND(BR393/(1+BS$6)*BS$6,2)</f>
        <v>#VALUE!</v>
      </c>
      <c r="BT393" s="156"/>
      <c r="BU393" s="156"/>
      <c r="BV393" s="156"/>
      <c r="BW393" s="156" t="e">
        <f t="shared" si="168"/>
        <v>#VALUE!</v>
      </c>
      <c r="BX393" s="156">
        <f t="shared" ref="BX393:BX400" si="185">(BX$6-D393)/365.25</f>
        <v>125.582477754962</v>
      </c>
      <c r="BY393" s="156"/>
      <c r="BZ393" s="272"/>
      <c r="CA393" s="186">
        <f t="shared" ref="CA393:CA400" si="186">ROUND(IFERROR(1-(BX393/BZ393),0),2)</f>
        <v>0</v>
      </c>
      <c r="CB393" s="186"/>
      <c r="CC393" s="186"/>
      <c r="CD393" s="272"/>
      <c r="CF393" s="134" t="str">
        <f>IF(COUNTIF(CF$7:CF382,B393)&gt;0,"",B393)&amp;""</f>
        <v/>
      </c>
      <c r="CG393" s="138">
        <f t="shared" ref="CG393:CG400" si="187">SUMIF(B$8:B$400,CF393,R$8:R$400)</f>
        <v>0</v>
      </c>
      <c r="CH393" s="132">
        <f t="shared" ref="CH393:CH400" si="188">RANK(CG393,CG$8:CG$400)</f>
        <v>1</v>
      </c>
      <c r="CI393" s="138">
        <f t="shared" ref="CI393:CI400" si="189">SUMIF(B$8:B$400,CF393,W$8:W$400)</f>
        <v>0</v>
      </c>
      <c r="CJ393" s="132">
        <f t="shared" ref="CJ393:CJ400" si="190">RANK(CI393,CI$8:CI$400)</f>
        <v>8</v>
      </c>
      <c r="CK393" s="133"/>
      <c r="CL393" s="133"/>
    </row>
    <row r="394" ht="15" hidden="1" customHeight="1" spans="1:90">
      <c r="A394" s="123" t="str">
        <f>IF(B394="","",COUNT(A$7:A393)+1)</f>
        <v/>
      </c>
      <c r="B394" s="139"/>
      <c r="C394" s="139"/>
      <c r="D394" s="1209"/>
      <c r="E394" s="1210"/>
      <c r="F394" s="219"/>
      <c r="G394" s="142"/>
      <c r="H394" s="127" t="str">
        <f>IFERROR(VLOOKUP(G394,参数表!$H$2:$I$50,2,FALSE),"")</f>
        <v/>
      </c>
      <c r="I394" s="128" t="str">
        <f t="shared" si="171"/>
        <v/>
      </c>
      <c r="J394" s="128" t="str">
        <f t="shared" si="172"/>
        <v/>
      </c>
      <c r="K394" s="980"/>
      <c r="L394" s="143"/>
      <c r="M394" s="143"/>
      <c r="N394" s="144"/>
      <c r="O394" s="144"/>
      <c r="P394" s="144"/>
      <c r="Q394" s="353" t="str">
        <f t="shared" si="173"/>
        <v/>
      </c>
      <c r="R394" s="129" t="str">
        <f t="shared" si="174"/>
        <v/>
      </c>
      <c r="S394" s="129" t="str">
        <f t="shared" si="175"/>
        <v/>
      </c>
      <c r="T394" s="129" t="str">
        <f t="shared" si="176"/>
        <v/>
      </c>
      <c r="U394" s="129" t="str">
        <f t="shared" si="177"/>
        <v/>
      </c>
      <c r="V394" s="214" t="str">
        <f t="shared" si="178"/>
        <v/>
      </c>
      <c r="W394" s="353" t="str">
        <f t="shared" si="179"/>
        <v/>
      </c>
      <c r="X394" s="129" t="str">
        <f t="shared" si="180"/>
        <v/>
      </c>
      <c r="Y394" s="129" t="str">
        <f t="shared" si="181"/>
        <v/>
      </c>
      <c r="Z394" s="145"/>
      <c r="BA394" s="75" t="e">
        <f t="shared" si="167"/>
        <v>#VALUE!</v>
      </c>
      <c r="BB394" s="78"/>
      <c r="BC394" s="132" t="s">
        <v>3067</v>
      </c>
      <c r="BD394" s="133"/>
      <c r="BE394" s="132" t="str">
        <f>IF(OR(B394="",BD394=""),"",COUNTIF(BD$8:BD394,"√"))</f>
        <v/>
      </c>
      <c r="BF394" s="134" t="str">
        <f t="shared" si="182"/>
        <v/>
      </c>
      <c r="BG394" s="135" t="str">
        <f t="shared" si="183"/>
        <v/>
      </c>
      <c r="BH394" s="135" t="str">
        <f t="shared" si="183"/>
        <v/>
      </c>
      <c r="BI394" s="136"/>
      <c r="BJ394" s="136"/>
      <c r="BK394" s="136"/>
      <c r="BL394" s="136"/>
      <c r="BM394" s="137"/>
      <c r="BN394" s="137"/>
      <c r="BO394" s="75"/>
      <c r="BP394" s="75"/>
      <c r="BQ394" s="75" t="e">
        <f t="shared" si="169"/>
        <v>#VALUE!</v>
      </c>
      <c r="BR394" s="272" t="e">
        <f t="shared" si="170"/>
        <v>#VALUE!</v>
      </c>
      <c r="BS394" s="156" t="e">
        <f t="shared" ref="BS394:BS399" si="191">ROUND(BR394/(1+BS$6)*BS$6,2)</f>
        <v>#VALUE!</v>
      </c>
      <c r="BT394" s="156"/>
      <c r="BU394" s="156"/>
      <c r="BV394" s="156"/>
      <c r="BW394" s="156" t="e">
        <f t="shared" si="168"/>
        <v>#VALUE!</v>
      </c>
      <c r="BX394" s="156">
        <f t="shared" si="185"/>
        <v>125.582477754962</v>
      </c>
      <c r="BY394" s="156"/>
      <c r="BZ394" s="272"/>
      <c r="CA394" s="186">
        <f t="shared" ref="CA394:CA399" si="192">ROUND(IFERROR(1-(BX394/BZ394),0),2)</f>
        <v>0</v>
      </c>
      <c r="CB394" s="186"/>
      <c r="CC394" s="186"/>
      <c r="CD394" s="272"/>
      <c r="CF394" s="134" t="str">
        <f>IF(COUNTIF(CF$7:CF393,B394)&gt;0,"",B394)&amp;""</f>
        <v/>
      </c>
      <c r="CG394" s="138">
        <f t="shared" si="187"/>
        <v>0</v>
      </c>
      <c r="CH394" s="132">
        <f t="shared" si="188"/>
        <v>1</v>
      </c>
      <c r="CI394" s="138">
        <f t="shared" si="189"/>
        <v>0</v>
      </c>
      <c r="CJ394" s="132">
        <f t="shared" si="190"/>
        <v>8</v>
      </c>
      <c r="CK394" s="133"/>
      <c r="CL394" s="133"/>
    </row>
    <row r="395" ht="15" hidden="1" customHeight="1" spans="1:90">
      <c r="A395" s="123" t="str">
        <f>IF(B395="","",COUNT(A$7:A394)+1)</f>
        <v/>
      </c>
      <c r="B395" s="139"/>
      <c r="C395" s="139"/>
      <c r="D395" s="1209"/>
      <c r="E395" s="1210"/>
      <c r="F395" s="219"/>
      <c r="G395" s="142"/>
      <c r="H395" s="127" t="str">
        <f>IFERROR(VLOOKUP(G395,参数表!$H$2:$I$50,2,FALSE),"")</f>
        <v/>
      </c>
      <c r="I395" s="128" t="str">
        <f t="shared" si="171"/>
        <v/>
      </c>
      <c r="J395" s="128" t="str">
        <f t="shared" si="172"/>
        <v/>
      </c>
      <c r="K395" s="980"/>
      <c r="L395" s="143"/>
      <c r="M395" s="143"/>
      <c r="N395" s="144"/>
      <c r="O395" s="144"/>
      <c r="P395" s="144"/>
      <c r="Q395" s="353" t="str">
        <f t="shared" si="173"/>
        <v/>
      </c>
      <c r="R395" s="129" t="str">
        <f t="shared" si="174"/>
        <v/>
      </c>
      <c r="S395" s="129" t="str">
        <f t="shared" si="175"/>
        <v/>
      </c>
      <c r="T395" s="129" t="str">
        <f t="shared" si="176"/>
        <v/>
      </c>
      <c r="U395" s="129" t="str">
        <f t="shared" si="177"/>
        <v/>
      </c>
      <c r="V395" s="214" t="str">
        <f t="shared" si="178"/>
        <v/>
      </c>
      <c r="W395" s="353" t="str">
        <f t="shared" si="179"/>
        <v/>
      </c>
      <c r="X395" s="129" t="str">
        <f t="shared" si="180"/>
        <v/>
      </c>
      <c r="Y395" s="129" t="str">
        <f t="shared" si="181"/>
        <v/>
      </c>
      <c r="Z395" s="145"/>
      <c r="BA395" s="75" t="e">
        <f t="shared" si="167"/>
        <v>#VALUE!</v>
      </c>
      <c r="BB395" s="78"/>
      <c r="BC395" s="132" t="s">
        <v>3068</v>
      </c>
      <c r="BD395" s="133"/>
      <c r="BE395" s="132" t="str">
        <f>IF(OR(B395="",BD395=""),"",COUNTIF(BD$8:BD395,"√"))</f>
        <v/>
      </c>
      <c r="BF395" s="134" t="str">
        <f t="shared" si="182"/>
        <v/>
      </c>
      <c r="BG395" s="135" t="str">
        <f t="shared" si="183"/>
        <v/>
      </c>
      <c r="BH395" s="135" t="str">
        <f t="shared" si="183"/>
        <v/>
      </c>
      <c r="BI395" s="136"/>
      <c r="BJ395" s="136"/>
      <c r="BK395" s="136"/>
      <c r="BL395" s="136"/>
      <c r="BM395" s="137"/>
      <c r="BN395" s="137"/>
      <c r="BO395" s="75"/>
      <c r="BP395" s="75"/>
      <c r="BQ395" s="75" t="e">
        <f t="shared" si="169"/>
        <v>#VALUE!</v>
      </c>
      <c r="BR395" s="272" t="e">
        <f t="shared" si="170"/>
        <v>#VALUE!</v>
      </c>
      <c r="BS395" s="156" t="e">
        <f t="shared" si="191"/>
        <v>#VALUE!</v>
      </c>
      <c r="BT395" s="156"/>
      <c r="BU395" s="156"/>
      <c r="BV395" s="156"/>
      <c r="BW395" s="156" t="e">
        <f t="shared" si="168"/>
        <v>#VALUE!</v>
      </c>
      <c r="BX395" s="156">
        <f t="shared" si="185"/>
        <v>125.582477754962</v>
      </c>
      <c r="BY395" s="156"/>
      <c r="BZ395" s="272"/>
      <c r="CA395" s="186">
        <f t="shared" si="192"/>
        <v>0</v>
      </c>
      <c r="CB395" s="186"/>
      <c r="CC395" s="186"/>
      <c r="CD395" s="272"/>
      <c r="CF395" s="134" t="str">
        <f>IF(COUNTIF(CF$7:CF394,B395)&gt;0,"",B395)&amp;""</f>
        <v/>
      </c>
      <c r="CG395" s="138">
        <f t="shared" si="187"/>
        <v>0</v>
      </c>
      <c r="CH395" s="132">
        <f t="shared" si="188"/>
        <v>1</v>
      </c>
      <c r="CI395" s="138">
        <f t="shared" si="189"/>
        <v>0</v>
      </c>
      <c r="CJ395" s="132">
        <f t="shared" si="190"/>
        <v>8</v>
      </c>
      <c r="CK395" s="133"/>
      <c r="CL395" s="133"/>
    </row>
    <row r="396" ht="15" hidden="1" customHeight="1" spans="1:90">
      <c r="A396" s="123" t="str">
        <f>IF(B396="","",COUNT(A$7:A395)+1)</f>
        <v/>
      </c>
      <c r="B396" s="139"/>
      <c r="C396" s="139"/>
      <c r="D396" s="1209"/>
      <c r="E396" s="1210"/>
      <c r="F396" s="219"/>
      <c r="G396" s="142"/>
      <c r="H396" s="127" t="str">
        <f>IFERROR(VLOOKUP(G396,参数表!$H$2:$I$50,2,FALSE),"")</f>
        <v/>
      </c>
      <c r="I396" s="128" t="str">
        <f t="shared" si="171"/>
        <v/>
      </c>
      <c r="J396" s="128" t="str">
        <f t="shared" si="172"/>
        <v/>
      </c>
      <c r="K396" s="980"/>
      <c r="L396" s="143"/>
      <c r="M396" s="143"/>
      <c r="N396" s="144"/>
      <c r="O396" s="144"/>
      <c r="P396" s="144"/>
      <c r="Q396" s="353" t="str">
        <f t="shared" si="173"/>
        <v/>
      </c>
      <c r="R396" s="129" t="str">
        <f t="shared" si="174"/>
        <v/>
      </c>
      <c r="S396" s="129" t="str">
        <f t="shared" si="175"/>
        <v/>
      </c>
      <c r="T396" s="129" t="str">
        <f t="shared" si="176"/>
        <v/>
      </c>
      <c r="U396" s="129" t="str">
        <f t="shared" si="177"/>
        <v/>
      </c>
      <c r="V396" s="214" t="str">
        <f t="shared" si="178"/>
        <v/>
      </c>
      <c r="W396" s="353" t="str">
        <f t="shared" si="179"/>
        <v/>
      </c>
      <c r="X396" s="129" t="str">
        <f t="shared" si="180"/>
        <v/>
      </c>
      <c r="Y396" s="129" t="str">
        <f t="shared" si="181"/>
        <v/>
      </c>
      <c r="Z396" s="145"/>
      <c r="BA396" s="75" t="e">
        <f t="shared" si="167"/>
        <v>#VALUE!</v>
      </c>
      <c r="BB396" s="78"/>
      <c r="BC396" s="132" t="s">
        <v>3069</v>
      </c>
      <c r="BD396" s="133"/>
      <c r="BE396" s="132" t="str">
        <f>IF(OR(B396="",BD396=""),"",COUNTIF(BD$8:BD396,"√"))</f>
        <v/>
      </c>
      <c r="BF396" s="134" t="str">
        <f t="shared" si="182"/>
        <v/>
      </c>
      <c r="BG396" s="135" t="str">
        <f t="shared" si="183"/>
        <v/>
      </c>
      <c r="BH396" s="135" t="str">
        <f t="shared" si="183"/>
        <v/>
      </c>
      <c r="BI396" s="136"/>
      <c r="BJ396" s="136"/>
      <c r="BK396" s="136"/>
      <c r="BL396" s="136"/>
      <c r="BM396" s="137"/>
      <c r="BN396" s="137"/>
      <c r="BO396" s="75"/>
      <c r="BP396" s="75"/>
      <c r="BQ396" s="75" t="e">
        <f t="shared" si="169"/>
        <v>#VALUE!</v>
      </c>
      <c r="BR396" s="272" t="e">
        <f t="shared" si="170"/>
        <v>#VALUE!</v>
      </c>
      <c r="BS396" s="156" t="e">
        <f t="shared" si="191"/>
        <v>#VALUE!</v>
      </c>
      <c r="BT396" s="156"/>
      <c r="BU396" s="156"/>
      <c r="BV396" s="156"/>
      <c r="BW396" s="156" t="e">
        <f t="shared" si="168"/>
        <v>#VALUE!</v>
      </c>
      <c r="BX396" s="156">
        <f t="shared" si="185"/>
        <v>125.582477754962</v>
      </c>
      <c r="BY396" s="156"/>
      <c r="BZ396" s="272"/>
      <c r="CA396" s="186">
        <f t="shared" si="192"/>
        <v>0</v>
      </c>
      <c r="CB396" s="186"/>
      <c r="CC396" s="186"/>
      <c r="CD396" s="272"/>
      <c r="CF396" s="134" t="str">
        <f>IF(COUNTIF(CF$7:CF395,B396)&gt;0,"",B396)&amp;""</f>
        <v/>
      </c>
      <c r="CG396" s="138">
        <f t="shared" si="187"/>
        <v>0</v>
      </c>
      <c r="CH396" s="132">
        <f t="shared" si="188"/>
        <v>1</v>
      </c>
      <c r="CI396" s="138">
        <f t="shared" si="189"/>
        <v>0</v>
      </c>
      <c r="CJ396" s="132">
        <f t="shared" si="190"/>
        <v>8</v>
      </c>
      <c r="CK396" s="133"/>
      <c r="CL396" s="133"/>
    </row>
    <row r="397" ht="15" hidden="1" customHeight="1" spans="1:90">
      <c r="A397" s="123" t="str">
        <f>IF(B397="","",COUNT(A$7:A396)+1)</f>
        <v/>
      </c>
      <c r="B397" s="139"/>
      <c r="C397" s="139"/>
      <c r="D397" s="1209"/>
      <c r="E397" s="1210"/>
      <c r="F397" s="219"/>
      <c r="G397" s="142"/>
      <c r="H397" s="127" t="str">
        <f>IFERROR(VLOOKUP(G397,参数表!$H$2:$I$50,2,FALSE),"")</f>
        <v/>
      </c>
      <c r="I397" s="128" t="str">
        <f t="shared" si="171"/>
        <v/>
      </c>
      <c r="J397" s="128" t="str">
        <f t="shared" si="172"/>
        <v/>
      </c>
      <c r="K397" s="980"/>
      <c r="L397" s="143"/>
      <c r="M397" s="143"/>
      <c r="N397" s="144"/>
      <c r="O397" s="144"/>
      <c r="P397" s="144"/>
      <c r="Q397" s="353" t="str">
        <f t="shared" si="173"/>
        <v/>
      </c>
      <c r="R397" s="129" t="str">
        <f t="shared" si="174"/>
        <v/>
      </c>
      <c r="S397" s="129" t="str">
        <f t="shared" si="175"/>
        <v/>
      </c>
      <c r="T397" s="129" t="str">
        <f t="shared" si="176"/>
        <v/>
      </c>
      <c r="U397" s="129" t="str">
        <f t="shared" si="177"/>
        <v/>
      </c>
      <c r="V397" s="214" t="str">
        <f t="shared" si="178"/>
        <v/>
      </c>
      <c r="W397" s="353" t="str">
        <f t="shared" si="179"/>
        <v/>
      </c>
      <c r="X397" s="129" t="str">
        <f t="shared" si="180"/>
        <v/>
      </c>
      <c r="Y397" s="129" t="str">
        <f t="shared" si="181"/>
        <v/>
      </c>
      <c r="Z397" s="145"/>
      <c r="BA397" s="75" t="e">
        <f t="shared" si="167"/>
        <v>#VALUE!</v>
      </c>
      <c r="BB397" s="78"/>
      <c r="BC397" s="132" t="s">
        <v>3070</v>
      </c>
      <c r="BD397" s="133"/>
      <c r="BE397" s="132" t="str">
        <f>IF(OR(B397="",BD397=""),"",COUNTIF(BD$8:BD397,"√"))</f>
        <v/>
      </c>
      <c r="BF397" s="134" t="str">
        <f t="shared" si="182"/>
        <v/>
      </c>
      <c r="BG397" s="135" t="str">
        <f t="shared" si="183"/>
        <v/>
      </c>
      <c r="BH397" s="135" t="str">
        <f t="shared" si="183"/>
        <v/>
      </c>
      <c r="BI397" s="136"/>
      <c r="BJ397" s="136"/>
      <c r="BK397" s="136"/>
      <c r="BL397" s="136"/>
      <c r="BM397" s="137"/>
      <c r="BN397" s="137"/>
      <c r="BO397" s="75"/>
      <c r="BP397" s="75"/>
      <c r="BQ397" s="75" t="e">
        <f t="shared" si="169"/>
        <v>#VALUE!</v>
      </c>
      <c r="BR397" s="272" t="e">
        <f t="shared" si="170"/>
        <v>#VALUE!</v>
      </c>
      <c r="BS397" s="156" t="e">
        <f t="shared" si="191"/>
        <v>#VALUE!</v>
      </c>
      <c r="BT397" s="156"/>
      <c r="BU397" s="156"/>
      <c r="BV397" s="156"/>
      <c r="BW397" s="156" t="e">
        <f t="shared" si="168"/>
        <v>#VALUE!</v>
      </c>
      <c r="BX397" s="156">
        <f t="shared" si="185"/>
        <v>125.582477754962</v>
      </c>
      <c r="BY397" s="156"/>
      <c r="BZ397" s="272"/>
      <c r="CA397" s="186">
        <f t="shared" si="192"/>
        <v>0</v>
      </c>
      <c r="CB397" s="186"/>
      <c r="CC397" s="186"/>
      <c r="CD397" s="272"/>
      <c r="CF397" s="134" t="str">
        <f>IF(COUNTIF(CF$7:CF396,B397)&gt;0,"",B397)&amp;""</f>
        <v/>
      </c>
      <c r="CG397" s="138">
        <f t="shared" si="187"/>
        <v>0</v>
      </c>
      <c r="CH397" s="132">
        <f t="shared" si="188"/>
        <v>1</v>
      </c>
      <c r="CI397" s="138">
        <f t="shared" si="189"/>
        <v>0</v>
      </c>
      <c r="CJ397" s="132">
        <f t="shared" si="190"/>
        <v>8</v>
      </c>
      <c r="CK397" s="133"/>
      <c r="CL397" s="133"/>
    </row>
    <row r="398" ht="15" hidden="1" customHeight="1" spans="1:90">
      <c r="A398" s="123" t="str">
        <f>IF(B398="","",COUNT(A$7:A397)+1)</f>
        <v/>
      </c>
      <c r="B398" s="139"/>
      <c r="C398" s="139"/>
      <c r="D398" s="1209"/>
      <c r="E398" s="1210"/>
      <c r="F398" s="219"/>
      <c r="G398" s="142"/>
      <c r="H398" s="127" t="str">
        <f>IFERROR(VLOOKUP(G398,参数表!$H$2:$I$50,2,FALSE),"")</f>
        <v/>
      </c>
      <c r="I398" s="128" t="str">
        <f t="shared" si="171"/>
        <v/>
      </c>
      <c r="J398" s="128" t="str">
        <f t="shared" si="172"/>
        <v/>
      </c>
      <c r="K398" s="980"/>
      <c r="L398" s="143"/>
      <c r="M398" s="143"/>
      <c r="N398" s="144"/>
      <c r="O398" s="144"/>
      <c r="P398" s="144"/>
      <c r="Q398" s="353" t="str">
        <f t="shared" si="173"/>
        <v/>
      </c>
      <c r="R398" s="129" t="str">
        <f t="shared" si="174"/>
        <v/>
      </c>
      <c r="S398" s="129" t="str">
        <f t="shared" si="175"/>
        <v/>
      </c>
      <c r="T398" s="129" t="str">
        <f t="shared" si="176"/>
        <v/>
      </c>
      <c r="U398" s="129" t="str">
        <f t="shared" si="177"/>
        <v/>
      </c>
      <c r="V398" s="214" t="str">
        <f t="shared" si="178"/>
        <v/>
      </c>
      <c r="W398" s="353" t="str">
        <f t="shared" si="179"/>
        <v/>
      </c>
      <c r="X398" s="129" t="str">
        <f t="shared" si="180"/>
        <v/>
      </c>
      <c r="Y398" s="129" t="str">
        <f t="shared" si="181"/>
        <v/>
      </c>
      <c r="Z398" s="145"/>
      <c r="BA398" s="75" t="e">
        <f t="shared" si="167"/>
        <v>#VALUE!</v>
      </c>
      <c r="BB398" s="78"/>
      <c r="BC398" s="132" t="s">
        <v>3071</v>
      </c>
      <c r="BD398" s="133"/>
      <c r="BE398" s="132" t="str">
        <f>IF(OR(B398="",BD398=""),"",COUNTIF(BD$8:BD398,"√"))</f>
        <v/>
      </c>
      <c r="BF398" s="134" t="str">
        <f t="shared" si="182"/>
        <v/>
      </c>
      <c r="BG398" s="135" t="str">
        <f t="shared" si="183"/>
        <v/>
      </c>
      <c r="BH398" s="135" t="str">
        <f t="shared" si="183"/>
        <v/>
      </c>
      <c r="BI398" s="136"/>
      <c r="BJ398" s="136"/>
      <c r="BK398" s="136"/>
      <c r="BL398" s="136"/>
      <c r="BM398" s="137"/>
      <c r="BN398" s="137"/>
      <c r="BO398" s="75"/>
      <c r="BP398" s="75"/>
      <c r="BQ398" s="75" t="e">
        <f t="shared" si="169"/>
        <v>#VALUE!</v>
      </c>
      <c r="BR398" s="272" t="e">
        <f t="shared" si="170"/>
        <v>#VALUE!</v>
      </c>
      <c r="BS398" s="156" t="e">
        <f t="shared" si="191"/>
        <v>#VALUE!</v>
      </c>
      <c r="BT398" s="156"/>
      <c r="BU398" s="156"/>
      <c r="BV398" s="156"/>
      <c r="BW398" s="156" t="e">
        <f t="shared" si="168"/>
        <v>#VALUE!</v>
      </c>
      <c r="BX398" s="156">
        <f t="shared" si="185"/>
        <v>125.582477754962</v>
      </c>
      <c r="BY398" s="156"/>
      <c r="BZ398" s="272"/>
      <c r="CA398" s="186">
        <f t="shared" si="192"/>
        <v>0</v>
      </c>
      <c r="CB398" s="186"/>
      <c r="CC398" s="186"/>
      <c r="CD398" s="272"/>
      <c r="CF398" s="134" t="str">
        <f>IF(COUNTIF(CF$7:CF397,B398)&gt;0,"",B398)&amp;""</f>
        <v/>
      </c>
      <c r="CG398" s="138">
        <f t="shared" si="187"/>
        <v>0</v>
      </c>
      <c r="CH398" s="132">
        <f t="shared" si="188"/>
        <v>1</v>
      </c>
      <c r="CI398" s="138">
        <f t="shared" si="189"/>
        <v>0</v>
      </c>
      <c r="CJ398" s="132">
        <f t="shared" si="190"/>
        <v>8</v>
      </c>
      <c r="CK398" s="133"/>
      <c r="CL398" s="133"/>
    </row>
    <row r="399" ht="15" hidden="1" customHeight="1" spans="1:90">
      <c r="A399" s="123" t="str">
        <f>IF(B399="","",COUNT(A$7:A398)+1)</f>
        <v/>
      </c>
      <c r="B399" s="139"/>
      <c r="C399" s="139"/>
      <c r="D399" s="1209"/>
      <c r="E399" s="1210"/>
      <c r="F399" s="219"/>
      <c r="G399" s="142"/>
      <c r="H399" s="127" t="str">
        <f>IFERROR(VLOOKUP(G399,参数表!$H$2:$I$50,2,FALSE),"")</f>
        <v/>
      </c>
      <c r="I399" s="128" t="str">
        <f t="shared" si="171"/>
        <v/>
      </c>
      <c r="J399" s="128" t="str">
        <f t="shared" si="172"/>
        <v/>
      </c>
      <c r="K399" s="980"/>
      <c r="L399" s="143"/>
      <c r="M399" s="143"/>
      <c r="N399" s="144"/>
      <c r="O399" s="144"/>
      <c r="P399" s="144"/>
      <c r="Q399" s="353" t="str">
        <f t="shared" si="173"/>
        <v/>
      </c>
      <c r="R399" s="129" t="str">
        <f t="shared" si="174"/>
        <v/>
      </c>
      <c r="S399" s="129" t="str">
        <f t="shared" si="175"/>
        <v/>
      </c>
      <c r="T399" s="129" t="str">
        <f t="shared" si="176"/>
        <v/>
      </c>
      <c r="U399" s="129" t="str">
        <f t="shared" si="177"/>
        <v/>
      </c>
      <c r="V399" s="214" t="str">
        <f t="shared" si="178"/>
        <v/>
      </c>
      <c r="W399" s="353" t="str">
        <f t="shared" si="179"/>
        <v/>
      </c>
      <c r="X399" s="129" t="str">
        <f t="shared" si="180"/>
        <v/>
      </c>
      <c r="Y399" s="129" t="str">
        <f t="shared" si="181"/>
        <v/>
      </c>
      <c r="Z399" s="145"/>
      <c r="BA399" s="75" t="e">
        <f t="shared" si="167"/>
        <v>#VALUE!</v>
      </c>
      <c r="BB399" s="78"/>
      <c r="BC399" s="132" t="s">
        <v>3072</v>
      </c>
      <c r="BD399" s="133"/>
      <c r="BE399" s="132" t="str">
        <f>IF(OR(B399="",BD399=""),"",COUNTIF(BD$8:BD399,"√"))</f>
        <v/>
      </c>
      <c r="BF399" s="134" t="str">
        <f t="shared" si="182"/>
        <v/>
      </c>
      <c r="BG399" s="135" t="str">
        <f t="shared" si="183"/>
        <v/>
      </c>
      <c r="BH399" s="135" t="str">
        <f t="shared" si="183"/>
        <v/>
      </c>
      <c r="BI399" s="136"/>
      <c r="BJ399" s="136"/>
      <c r="BK399" s="136"/>
      <c r="BL399" s="136"/>
      <c r="BM399" s="137"/>
      <c r="BN399" s="137"/>
      <c r="BO399" s="75"/>
      <c r="BP399" s="75"/>
      <c r="BQ399" s="75" t="e">
        <f t="shared" si="169"/>
        <v>#VALUE!</v>
      </c>
      <c r="BR399" s="272" t="e">
        <f t="shared" si="170"/>
        <v>#VALUE!</v>
      </c>
      <c r="BS399" s="156" t="e">
        <f t="shared" si="191"/>
        <v>#VALUE!</v>
      </c>
      <c r="BT399" s="156"/>
      <c r="BU399" s="156"/>
      <c r="BV399" s="156"/>
      <c r="BW399" s="156" t="e">
        <f t="shared" si="168"/>
        <v>#VALUE!</v>
      </c>
      <c r="BX399" s="156">
        <f t="shared" si="185"/>
        <v>125.582477754962</v>
      </c>
      <c r="BY399" s="156"/>
      <c r="BZ399" s="272"/>
      <c r="CA399" s="186">
        <f t="shared" si="192"/>
        <v>0</v>
      </c>
      <c r="CB399" s="186"/>
      <c r="CC399" s="186"/>
      <c r="CD399" s="272"/>
      <c r="CF399" s="134" t="str">
        <f>IF(COUNTIF(CF$7:CF398,B399)&gt;0,"",B399)&amp;""</f>
        <v/>
      </c>
      <c r="CG399" s="138">
        <f t="shared" si="187"/>
        <v>0</v>
      </c>
      <c r="CH399" s="132">
        <f t="shared" si="188"/>
        <v>1</v>
      </c>
      <c r="CI399" s="138">
        <f t="shared" si="189"/>
        <v>0</v>
      </c>
      <c r="CJ399" s="132">
        <f t="shared" si="190"/>
        <v>8</v>
      </c>
      <c r="CK399" s="133"/>
      <c r="CL399" s="133"/>
    </row>
    <row r="400" ht="15" hidden="1" customHeight="1" spans="1:90">
      <c r="A400" s="123" t="str">
        <f>IF(B400="","",COUNT(A$7:A399)+1)</f>
        <v/>
      </c>
      <c r="B400" s="124"/>
      <c r="C400" s="124"/>
      <c r="D400" s="1206"/>
      <c r="E400" s="353"/>
      <c r="F400" s="214"/>
      <c r="G400" s="127"/>
      <c r="H400" s="127" t="str">
        <f>IFERROR(VLOOKUP(G400,参数表!$H$2:$I$50,2,FALSE),"")</f>
        <v/>
      </c>
      <c r="I400" s="128" t="str">
        <f t="shared" si="171"/>
        <v/>
      </c>
      <c r="J400" s="128" t="str">
        <f t="shared" si="172"/>
        <v/>
      </c>
      <c r="K400" s="353"/>
      <c r="L400" s="129"/>
      <c r="M400" s="129"/>
      <c r="N400" s="130"/>
      <c r="O400" s="130"/>
      <c r="P400" s="130"/>
      <c r="Q400" s="353" t="str">
        <f t="shared" si="173"/>
        <v/>
      </c>
      <c r="R400" s="129" t="str">
        <f t="shared" si="174"/>
        <v/>
      </c>
      <c r="S400" s="129" t="str">
        <f t="shared" si="175"/>
        <v/>
      </c>
      <c r="T400" s="129" t="str">
        <f t="shared" si="176"/>
        <v/>
      </c>
      <c r="U400" s="129" t="str">
        <f t="shared" si="177"/>
        <v/>
      </c>
      <c r="V400" s="214" t="str">
        <f t="shared" si="178"/>
        <v/>
      </c>
      <c r="W400" s="353" t="str">
        <f t="shared" si="179"/>
        <v/>
      </c>
      <c r="X400" s="129" t="str">
        <f t="shared" si="180"/>
        <v/>
      </c>
      <c r="Y400" s="129" t="str">
        <f t="shared" si="181"/>
        <v/>
      </c>
      <c r="Z400" s="131"/>
      <c r="BA400" s="75" t="e">
        <f t="shared" si="167"/>
        <v>#VALUE!</v>
      </c>
      <c r="BB400" s="78"/>
      <c r="BC400" s="132" t="s">
        <v>3073</v>
      </c>
      <c r="BD400" s="133"/>
      <c r="BE400" s="132" t="str">
        <f>IF(OR(B400="",BD400=""),"",COUNTIF(BD$8:BD400,"√"))</f>
        <v/>
      </c>
      <c r="BF400" s="134" t="str">
        <f t="shared" si="182"/>
        <v/>
      </c>
      <c r="BG400" s="135" t="str">
        <f t="shared" si="183"/>
        <v/>
      </c>
      <c r="BH400" s="135" t="str">
        <f t="shared" si="183"/>
        <v/>
      </c>
      <c r="BI400" s="136"/>
      <c r="BJ400" s="136"/>
      <c r="BK400" s="136"/>
      <c r="BL400" s="136"/>
      <c r="BM400" s="137"/>
      <c r="BN400" s="137"/>
      <c r="BO400" s="75"/>
      <c r="BP400" s="75"/>
      <c r="BQ400" s="75" t="e">
        <f t="shared" si="169"/>
        <v>#VALUE!</v>
      </c>
      <c r="BR400" s="272" t="e">
        <f t="shared" si="170"/>
        <v>#VALUE!</v>
      </c>
      <c r="BS400" s="156" t="e">
        <f t="shared" si="184"/>
        <v>#VALUE!</v>
      </c>
      <c r="BT400" s="156"/>
      <c r="BU400" s="156"/>
      <c r="BV400" s="156"/>
      <c r="BW400" s="156" t="e">
        <f t="shared" si="168"/>
        <v>#VALUE!</v>
      </c>
      <c r="BX400" s="156">
        <f t="shared" si="185"/>
        <v>125.582477754962</v>
      </c>
      <c r="BY400" s="156"/>
      <c r="BZ400" s="272"/>
      <c r="CA400" s="186">
        <f t="shared" si="186"/>
        <v>0</v>
      </c>
      <c r="CB400" s="186"/>
      <c r="CC400" s="186"/>
      <c r="CD400" s="272"/>
      <c r="CF400" s="134" t="str">
        <f>IF(COUNTIF(CF$7:CF399,B400)&gt;0,"",B400)&amp;""</f>
        <v/>
      </c>
      <c r="CG400" s="138">
        <f t="shared" si="187"/>
        <v>0</v>
      </c>
      <c r="CH400" s="132">
        <f t="shared" si="188"/>
        <v>1</v>
      </c>
      <c r="CI400" s="138">
        <f t="shared" si="189"/>
        <v>0</v>
      </c>
      <c r="CJ400" s="132">
        <f t="shared" si="190"/>
        <v>8</v>
      </c>
      <c r="CK400" s="133"/>
      <c r="CL400" s="133"/>
    </row>
    <row r="401" ht="15" hidden="1" customHeight="1" spans="1:91">
      <c r="A401" s="221" t="s">
        <v>1954</v>
      </c>
      <c r="B401" s="221"/>
      <c r="C401" s="221"/>
      <c r="D401" s="1213"/>
      <c r="E401" s="152">
        <f>SUM(E8:E400)-0.48</f>
        <v>5088223.42</v>
      </c>
      <c r="F401" s="222"/>
      <c r="G401" s="222"/>
      <c r="H401" s="222"/>
      <c r="I401" s="222"/>
      <c r="J401" s="222"/>
      <c r="K401" s="152"/>
      <c r="L401" s="152">
        <f>SUM(L8:L400)</f>
        <v>35557.52</v>
      </c>
      <c r="M401" s="152">
        <f>SUM(M8:M400)</f>
        <v>0</v>
      </c>
      <c r="N401" s="153"/>
      <c r="O401" s="153"/>
      <c r="P401" s="153"/>
      <c r="Q401" s="152"/>
      <c r="R401" s="152">
        <f t="shared" ref="R401:U401" si="193">SUM(R8:R400)</f>
        <v>35557.52</v>
      </c>
      <c r="S401" s="152">
        <f t="shared" si="193"/>
        <v>0</v>
      </c>
      <c r="T401" s="152"/>
      <c r="U401" s="152">
        <f t="shared" si="193"/>
        <v>5054544.7</v>
      </c>
      <c r="V401" s="222"/>
      <c r="W401" s="152">
        <f>SUM(W8:W400)</f>
        <v>2837062.634</v>
      </c>
      <c r="X401" s="152">
        <f t="shared" si="180"/>
        <v>2801505.114</v>
      </c>
      <c r="Y401" s="152">
        <f t="shared" si="181"/>
        <v>7878.79782954491</v>
      </c>
      <c r="Z401" s="131"/>
      <c r="BG401" s="165"/>
      <c r="BH401" s="165"/>
      <c r="BI401" s="165"/>
      <c r="BM401" s="75"/>
      <c r="BN401" s="75"/>
      <c r="BO401" s="75"/>
      <c r="BP401" s="75"/>
      <c r="BQ401" s="75"/>
      <c r="CA401" s="549"/>
      <c r="CB401" s="549"/>
      <c r="CC401" s="549"/>
      <c r="CE401" s="111"/>
      <c r="CF401" s="119"/>
      <c r="CH401" s="77"/>
      <c r="CI401" s="77"/>
      <c r="CJ401" s="119"/>
      <c r="CK401" s="119"/>
      <c r="CL401" s="119"/>
      <c r="CM401" s="111"/>
    </row>
    <row r="402" ht="15" hidden="1" customHeight="1" spans="1:91">
      <c r="A402" s="982" t="s">
        <v>2205</v>
      </c>
      <c r="B402" s="982"/>
      <c r="C402" s="124"/>
      <c r="D402" s="1206"/>
      <c r="E402" s="353"/>
      <c r="F402" s="214"/>
      <c r="G402" s="214"/>
      <c r="H402" s="214"/>
      <c r="I402" s="214"/>
      <c r="J402" s="214"/>
      <c r="K402" s="129"/>
      <c r="L402" s="129">
        <f>M401</f>
        <v>0</v>
      </c>
      <c r="M402" s="129"/>
      <c r="N402" s="130"/>
      <c r="O402" s="130"/>
      <c r="P402" s="130"/>
      <c r="Q402" s="129"/>
      <c r="R402" s="129">
        <f>S401</f>
        <v>0</v>
      </c>
      <c r="S402" s="129"/>
      <c r="T402" s="129"/>
      <c r="U402" s="129"/>
      <c r="V402" s="214"/>
      <c r="W402" s="129"/>
      <c r="X402" s="129">
        <f t="shared" si="180"/>
        <v>0</v>
      </c>
      <c r="Y402" s="129" t="str">
        <f t="shared" si="181"/>
        <v/>
      </c>
      <c r="Z402" s="131"/>
      <c r="BG402" s="165"/>
      <c r="BH402" s="165"/>
      <c r="BI402" s="165"/>
      <c r="BM402" s="75"/>
      <c r="BN402" s="75"/>
      <c r="BO402" s="75"/>
      <c r="BP402" s="75"/>
      <c r="BQ402" s="75"/>
      <c r="CA402" s="549"/>
      <c r="CB402" s="549"/>
      <c r="CC402" s="549"/>
    </row>
    <row r="403" s="73" customFormat="1" ht="15" hidden="1" customHeight="1" spans="1:91">
      <c r="A403" s="221" t="s">
        <v>1957</v>
      </c>
      <c r="B403" s="221"/>
      <c r="C403" s="149"/>
      <c r="D403" s="1213"/>
      <c r="E403" s="152">
        <f>E401-E402</f>
        <v>5088223.42</v>
      </c>
      <c r="F403" s="222"/>
      <c r="G403" s="180"/>
      <c r="H403" s="180"/>
      <c r="I403" s="180"/>
      <c r="J403" s="180"/>
      <c r="K403" s="152"/>
      <c r="L403" s="152">
        <f>L401-L402</f>
        <v>35557.52</v>
      </c>
      <c r="M403" s="152"/>
      <c r="N403" s="153"/>
      <c r="O403" s="153"/>
      <c r="P403" s="153"/>
      <c r="Q403" s="152"/>
      <c r="R403" s="152">
        <f>R401-R402</f>
        <v>35557.52</v>
      </c>
      <c r="S403" s="152"/>
      <c r="T403" s="152"/>
      <c r="U403" s="152">
        <f>U401</f>
        <v>5054544.7</v>
      </c>
      <c r="V403" s="222"/>
      <c r="W403" s="152">
        <f>W401-W402</f>
        <v>2837062.634</v>
      </c>
      <c r="X403" s="152">
        <f t="shared" si="180"/>
        <v>2801505.114</v>
      </c>
      <c r="Y403" s="152">
        <f t="shared" si="181"/>
        <v>7878.79782954491</v>
      </c>
      <c r="Z403" s="151"/>
      <c r="BG403" s="72"/>
      <c r="BH403" s="72"/>
      <c r="BI403" s="72"/>
      <c r="BJ403" s="72"/>
      <c r="BK403" s="72"/>
      <c r="BL403" s="72"/>
      <c r="CA403" s="615"/>
      <c r="CB403" s="615"/>
      <c r="CC403" s="615"/>
      <c r="CE403" s="77"/>
      <c r="CF403" s="78"/>
      <c r="CG403" s="77"/>
      <c r="CH403" s="78"/>
      <c r="CI403" s="78"/>
      <c r="CJ403" s="78"/>
      <c r="CK403" s="78"/>
      <c r="CL403" s="78"/>
      <c r="CM403" s="77"/>
    </row>
    <row r="404" hidden="1" customHeight="1" spans="1:91">
      <c r="A404" s="102" t="str">
        <f>参数表!F$6</f>
        <v>产权持有单位填表人：贾广东</v>
      </c>
      <c r="B404" s="154"/>
      <c r="C404" s="154"/>
      <c r="D404" s="1214"/>
      <c r="E404" s="154"/>
      <c r="F404" s="286"/>
      <c r="G404" s="154"/>
      <c r="H404" s="154"/>
      <c r="I404" s="154"/>
      <c r="J404" s="154"/>
      <c r="K404" s="103"/>
      <c r="L404" s="103"/>
      <c r="M404" s="103"/>
      <c r="N404" s="104"/>
      <c r="O404" s="104"/>
      <c r="P404" s="104"/>
      <c r="Q404" s="103"/>
      <c r="R404" s="103"/>
      <c r="S404" s="103"/>
      <c r="T404" s="103"/>
      <c r="U404" s="103"/>
      <c r="V404" s="103"/>
      <c r="W404" s="103" t="str">
        <f>"评估人员："&amp;封面!$G$20</f>
        <v>评估人员：栗祥宁</v>
      </c>
      <c r="X404" s="103"/>
      <c r="Y404" s="103"/>
      <c r="Z404" s="103"/>
      <c r="BG404" s="165"/>
      <c r="BH404" s="165"/>
      <c r="BI404" s="165"/>
      <c r="BM404" s="75"/>
      <c r="BN404" s="75"/>
      <c r="BO404" s="75"/>
      <c r="BP404" s="75"/>
      <c r="BQ404" s="75"/>
      <c r="CA404" s="549"/>
      <c r="CB404" s="549"/>
      <c r="CC404" s="549"/>
    </row>
    <row r="405" hidden="1" customHeight="1" spans="1:91">
      <c r="A405" s="102" t="str">
        <f>参数表!F$7</f>
        <v>填表日期：2025年9月20日</v>
      </c>
      <c r="B405" s="154"/>
      <c r="C405" s="154"/>
      <c r="D405" s="1214"/>
      <c r="E405" s="154"/>
      <c r="F405" s="286"/>
      <c r="G405" s="154"/>
      <c r="H405" s="154"/>
      <c r="I405" s="154"/>
      <c r="J405" s="154"/>
      <c r="K405" s="103"/>
      <c r="L405" s="103"/>
      <c r="M405" s="103"/>
      <c r="N405" s="104"/>
      <c r="O405" s="104"/>
      <c r="P405" s="104"/>
      <c r="Q405" s="103"/>
      <c r="R405" s="103"/>
      <c r="S405" s="103"/>
      <c r="T405" s="103"/>
      <c r="U405" s="103"/>
      <c r="V405" s="103"/>
      <c r="W405" s="103"/>
      <c r="X405" s="103"/>
      <c r="Y405" s="103"/>
      <c r="Z405" s="103"/>
      <c r="BG405" s="165"/>
      <c r="BH405" s="165"/>
      <c r="BI405" s="165"/>
      <c r="BM405" s="75"/>
      <c r="BN405" s="75"/>
      <c r="BO405" s="75"/>
      <c r="BP405" s="75"/>
      <c r="BQ405" s="75"/>
      <c r="CA405" s="549"/>
      <c r="CB405" s="549"/>
      <c r="CC405" s="549"/>
    </row>
    <row r="406" hidden="1" customHeight="1" outlineLevel="1" spans="1:91">
      <c r="A406" s="157"/>
      <c r="B406" s="154" t="s">
        <v>1673</v>
      </c>
      <c r="C406" s="158"/>
      <c r="D406" s="1215"/>
      <c r="E406" s="158"/>
      <c r="F406" s="228"/>
      <c r="G406" s="158"/>
      <c r="H406" s="158"/>
      <c r="I406" s="158"/>
      <c r="J406" s="158"/>
      <c r="L406" s="159">
        <f>SUMIF($BB8:$BB400,$BB406,L8:L400)</f>
        <v>0</v>
      </c>
      <c r="M406" s="159">
        <f>SUMIF($BB8:$BB400,$BB406,M8:M400)</f>
        <v>0</v>
      </c>
      <c r="N406" s="202"/>
      <c r="O406" s="202"/>
      <c r="P406" s="202"/>
      <c r="Q406" s="176"/>
      <c r="R406" s="159">
        <f>SUMIF($BB8:$BB400,$BB406,R8:R400)</f>
        <v>0</v>
      </c>
      <c r="S406" s="159">
        <f>SUMIF($BB8:$BB400,$BB406,S8:S400)</f>
        <v>0</v>
      </c>
      <c r="T406" s="176"/>
      <c r="U406" s="176"/>
      <c r="V406" s="176"/>
      <c r="W406" s="159">
        <f>SUMIF($BB8:$BB400,$BB406,W8:W400)</f>
        <v>0</v>
      </c>
      <c r="BB406" s="161" t="s">
        <v>1674</v>
      </c>
      <c r="BG406" s="165"/>
      <c r="BH406" s="165"/>
      <c r="BI406" s="95" t="s">
        <v>1675</v>
      </c>
      <c r="BJ406" s="95" t="s">
        <v>1675</v>
      </c>
      <c r="BK406" s="95" t="s">
        <v>1675</v>
      </c>
      <c r="BL406" s="95" t="s">
        <v>1675</v>
      </c>
      <c r="BM406" s="75"/>
      <c r="BN406" s="75"/>
      <c r="BO406" s="75"/>
      <c r="BP406" s="75"/>
      <c r="BQ406" s="75"/>
      <c r="CA406" s="549"/>
      <c r="CB406" s="549"/>
      <c r="CC406" s="549"/>
    </row>
    <row r="407" hidden="1" customHeight="1" outlineLevel="1" spans="1:91">
      <c r="A407" s="157"/>
      <c r="B407" s="154" t="s">
        <v>1676</v>
      </c>
      <c r="C407" s="158"/>
      <c r="D407" s="1215"/>
      <c r="E407" s="158"/>
      <c r="F407" s="228"/>
      <c r="G407" s="158"/>
      <c r="H407" s="158"/>
      <c r="I407" s="158"/>
      <c r="J407" s="158"/>
      <c r="L407" s="159">
        <f>L401-L406</f>
        <v>35557.52</v>
      </c>
      <c r="M407" s="159">
        <f>M401-M406</f>
        <v>0</v>
      </c>
      <c r="N407" s="202"/>
      <c r="O407" s="202"/>
      <c r="P407" s="202"/>
      <c r="Q407" s="176"/>
      <c r="R407" s="159">
        <f>R401-R406</f>
        <v>35557.52</v>
      </c>
      <c r="S407" s="159">
        <f>S401-S406</f>
        <v>0</v>
      </c>
      <c r="T407" s="176"/>
      <c r="U407" s="176"/>
      <c r="V407" s="176"/>
      <c r="W407" s="159">
        <f>W401-W406</f>
        <v>2837062.634</v>
      </c>
      <c r="BB407" s="161" t="s">
        <v>1677</v>
      </c>
      <c r="BG407" s="165"/>
      <c r="BH407" s="165"/>
      <c r="BI407" s="95" t="s">
        <v>1678</v>
      </c>
      <c r="BJ407" s="95" t="s">
        <v>1678</v>
      </c>
      <c r="BK407" s="95" t="s">
        <v>1678</v>
      </c>
      <c r="BL407" s="95" t="s">
        <v>1678</v>
      </c>
      <c r="BM407" s="75"/>
      <c r="BN407" s="75"/>
      <c r="BO407" s="75"/>
      <c r="BP407" s="75"/>
      <c r="BQ407" s="75"/>
      <c r="CA407" s="549"/>
      <c r="CB407" s="549"/>
      <c r="CC407" s="549"/>
    </row>
    <row r="408" customHeight="1" collapsed="1" spans="1:91">
      <c r="A408" s="157"/>
      <c r="B408" s="158"/>
      <c r="C408" s="158"/>
      <c r="D408" s="1215"/>
      <c r="E408" s="158"/>
      <c r="F408" s="228"/>
      <c r="G408" s="158"/>
      <c r="H408" s="158"/>
      <c r="I408" s="158"/>
      <c r="J408" s="158"/>
      <c r="BG408" s="165"/>
      <c r="BH408" s="165"/>
      <c r="BI408" s="165"/>
      <c r="BM408" s="75"/>
      <c r="BN408" s="75"/>
      <c r="BO408" s="75"/>
      <c r="BP408" s="75"/>
      <c r="BQ408" s="75"/>
      <c r="CA408" s="549"/>
      <c r="CB408" s="549"/>
      <c r="CC408" s="549"/>
    </row>
    <row r="409" customHeight="1" spans="1:91">
      <c r="A409" s="157"/>
      <c r="B409" s="158"/>
      <c r="C409" s="158"/>
      <c r="D409" s="1215"/>
      <c r="E409" s="158"/>
      <c r="F409" s="228"/>
      <c r="G409" s="158"/>
      <c r="H409" s="158"/>
      <c r="I409" s="158"/>
      <c r="J409" s="158"/>
      <c r="BG409" s="75"/>
      <c r="BH409" s="75"/>
      <c r="BJ409" s="75"/>
      <c r="BK409" s="75"/>
      <c r="BL409" s="75"/>
      <c r="BM409" s="75"/>
      <c r="BN409" s="75"/>
      <c r="BO409" s="75"/>
      <c r="BP409" s="75"/>
      <c r="BQ409" s="75"/>
    </row>
    <row r="410" customHeight="1" spans="1:91">
      <c r="A410" s="157"/>
      <c r="B410" s="158"/>
      <c r="C410" s="158"/>
      <c r="D410" s="1215"/>
      <c r="E410" s="158"/>
      <c r="F410" s="228"/>
      <c r="G410" s="158"/>
      <c r="H410" s="158"/>
      <c r="I410" s="158"/>
      <c r="J410" s="158"/>
    </row>
  </sheetData>
  <sheetProtection autoFilter="0"/>
  <autoFilter xmlns:etc="http://www.wps.cn/officeDocument/2017/etCustomData" ref="A7:CM407" etc:filterBottomFollowUsedRange="0">
    <filterColumn colId="1">
      <filters>
        <filter val="放炮电缆悬吊绳"/>
        <filter val="挖机电缆悬吊绳"/>
        <filter val="动力电缆悬吊绳"/>
        <filter val="电缆"/>
        <filter val="大泵启动电缆"/>
        <filter val="低压电缆"/>
        <filter val="挖机电缆"/>
        <filter val="照明电缆"/>
        <filter val="稳车急停电缆"/>
        <filter val="通讯电缆"/>
        <filter val="高压电缆"/>
        <filter val="瓦斯监控电缆"/>
        <filter val="井下信号电缆"/>
        <filter val="视频监控电缆"/>
      </filters>
    </filterColumn>
    <extLst/>
  </autoFilter>
  <mergeCells count="31">
    <mergeCell ref="A2:Z2"/>
    <mergeCell ref="A3:Z3"/>
    <mergeCell ref="G6:J6"/>
    <mergeCell ref="K6:M6"/>
    <mergeCell ref="N6:P6"/>
    <mergeCell ref="Q6:S6"/>
    <mergeCell ref="U6:W6"/>
    <mergeCell ref="CK8:CM8"/>
    <mergeCell ref="CK9:CM9"/>
    <mergeCell ref="CL378:CM378"/>
    <mergeCell ref="A401:B401"/>
    <mergeCell ref="A402:B402"/>
    <mergeCell ref="A403:B403"/>
    <mergeCell ref="A6:A7"/>
    <mergeCell ref="B6:B7"/>
    <mergeCell ref="C6:C7"/>
    <mergeCell ref="D6:D7"/>
    <mergeCell ref="E6:E7"/>
    <mergeCell ref="F6:F7"/>
    <mergeCell ref="T6:T7"/>
    <mergeCell ref="X6:X7"/>
    <mergeCell ref="Y6:Y7"/>
    <mergeCell ref="Z6:Z7"/>
    <mergeCell ref="BG6:BG7"/>
    <mergeCell ref="BH6:BH7"/>
    <mergeCell ref="BI6:BI7"/>
    <mergeCell ref="BJ6:BJ7"/>
    <mergeCell ref="BK6:BK7"/>
    <mergeCell ref="BL6:BL7"/>
    <mergeCell ref="BM6:BM7"/>
    <mergeCell ref="BN6:BN7"/>
  </mergeCells>
  <conditionalFormatting sqref="BM8:BM400">
    <cfRule type="expression" dxfId="5" priority="4" stopIfTrue="1">
      <formula>AND(BL8="无",BM8="")</formula>
    </cfRule>
  </conditionalFormatting>
  <conditionalFormatting sqref="BG8:BH400">
    <cfRule type="containsText" dxfId="6" priority="1" stopIfTrue="1" operator="between" text="出错">
      <formula>NOT(ISERROR(SEARCH("出错",BG8)))</formula>
    </cfRule>
  </conditionalFormatting>
  <conditionalFormatting sqref="BI8:BL400">
    <cfRule type="expression" dxfId="5" priority="5" stopIfTrue="1">
      <formula>AND($B8&lt;&gt;"",BI8="")</formula>
    </cfRule>
  </conditionalFormatting>
  <dataValidations count="4">
    <dataValidation type="list" allowBlank="1" showInputMessage="1" showErrorMessage="1" sqref="G8:G400">
      <formula1>OFFSET(参数表!$H$2:$H$50,,,COUNTA(参数表!$H$2:$H$50))</formula1>
    </dataValidation>
    <dataValidation type="list" allowBlank="1" showInputMessage="1" showErrorMessage="1" sqref="BB8:BB400 BB406:BB407">
      <formula1>"是,否"</formula1>
    </dataValidation>
    <dataValidation type="list" allowBlank="1" showInputMessage="1" showErrorMessage="1" sqref="BD8:BD400">
      <formula1>"  ,√"</formula1>
    </dataValidation>
    <dataValidation type="list" allowBlank="1" showInputMessage="1" showErrorMessage="1" sqref="BI8:BL400">
      <formula1>BI$406:BI$407</formula1>
    </dataValidation>
  </dataValidations>
  <hyperlinks>
    <hyperlink ref="A1" location="索引目录!E25" display="返回索引页"/>
    <hyperlink ref="B1" location="存货汇总!B30" display="返回"/>
    <hyperlink ref="CD34" r:id="rId3" display="https://www.gys.cn/dianlidianlan/5436315129.html" tooltip="https://www.gys.cn/dianlidianlan/5436315129.html"/>
    <hyperlink ref="CD35" r:id="rId3" display="https://www.gys.cn/dianlidianlan/5436315129.html" tooltip="https://www.gys.cn/dianlidianlan/5436315129.html"/>
    <hyperlink ref="CD8" r:id="rId4" location="switch-sku" display="https://item.jd.com/10187484327919.html#switch-sku"/>
    <hyperlink ref="CD9" r:id="rId4" location="switch-sku" display="https://item.jd.com/10187484327919.html#switch-sku"/>
    <hyperlink ref="CD10" r:id="rId4" location="switch-sku" display="https://item.jd.com/10187484327919.html#switch-sku"/>
    <hyperlink ref="CD11" r:id="rId4" location="switch-sku" display="https://item.jd.com/10187484327919.html#switch-sku"/>
    <hyperlink ref="CD12" r:id="rId4" location="switch-sku" display="https://item.jd.com/10187484327919.html#switch-sku"/>
    <hyperlink ref="CD13" r:id="rId4" location="switch-sku" display="https://item.jd.com/10187484327919.html#switch-sku"/>
    <hyperlink ref="CD15" r:id="rId4" location="switch-sku" display="https://item.jd.com/10187484327919.html#switch-sku"/>
    <hyperlink ref="CD16" r:id="rId4" location="switch-sku" display="https://item.jd.com/10187484327919.html#switch-sku"/>
    <hyperlink ref="CD17" r:id="rId4" location="switch-sku" display="https://item.jd.com/10187484327919.html#switch-sku"/>
    <hyperlink ref="CD14" r:id="rId4" location="switch-sku" display="https://item.jd.com/10187484327919.html#switch-sku"/>
    <hyperlink ref="CD28" r:id="rId5" display="https://www.gys.cn/tezhongdianlan/5419374963.html"/>
    <hyperlink ref="CD32" r:id="rId6" display="https://item.jd.com/10098328126351.html"/>
    <hyperlink ref="CD315" r:id="rId7" location="switch-sku" display="https://item.jd.com/10120076201301.html#switch-sku"/>
    <hyperlink ref="CD318" r:id="rId7" location="switch-sku" display="https://item.jd.com/10120076201301.html#switch-sku"/>
    <hyperlink ref="CD36" r:id="rId3" display="https://www.gys.cn/dianlidianlan/5436315129.html" tooltip="https://www.gys.cn/dianlidianlan/5436315129.html"/>
    <hyperlink ref="CD138" r:id="rId5" display="https://www.gys.cn/tezhongdianlan/5419374963.html"/>
    <hyperlink ref="CD139" r:id="rId5" display="https://www.gys.cn/tezhongdianlan/5419374963.html"/>
    <hyperlink ref="CD140" r:id="rId5" display="https://www.gys.cn/tezhongdianlan/5419374963.html"/>
    <hyperlink ref="CD141" r:id="rId5" display="https://www.gys.cn/tezhongdianlan/5419374963.html"/>
    <hyperlink ref="CD142" r:id="rId5" display="https://www.gys.cn/tezhongdianlan/5419374963.html"/>
    <hyperlink ref="CD143" r:id="rId5" display="https://www.gys.cn/tezhongdianlan/5419374963.html"/>
    <hyperlink ref="CD144" r:id="rId5" display="https://www.gys.cn/tezhongdianlan/5419374963.html"/>
    <hyperlink ref="CD145" r:id="rId5" display="https://www.gys.cn/tezhongdianlan/5419374963.html"/>
    <hyperlink ref="CD146" r:id="rId5" display="https://www.gys.cn/tezhongdianlan/5419374963.html"/>
    <hyperlink ref="CD147" r:id="rId5" display="https://www.gys.cn/tezhongdianlan/5419374963.html"/>
    <hyperlink ref="CD149" r:id="rId5" display="https://www.gys.cn/tezhongdianlan/5419374963.html"/>
    <hyperlink ref="CD150" r:id="rId5" display="https://www.gys.cn/tezhongdianlan/5419374963.html"/>
    <hyperlink ref="CD151" r:id="rId5" display="https://www.gys.cn/tezhongdianlan/5419374963.html"/>
    <hyperlink ref="CD152" r:id="rId5" display="https://www.gys.cn/tezhongdianlan/5419374963.html"/>
    <hyperlink ref="CD153" r:id="rId5" display="https://www.gys.cn/tezhongdianlan/5419374963.html"/>
    <hyperlink ref="CD368" r:id="rId8" location="switch-sku" display="https://item.jd.com/10153304126493.html#switch-sku"/>
    <hyperlink ref="CD374" r:id="rId8" location="switch-sku" display="https://item.jd.com/10153304126493.html#switch-sku"/>
    <hyperlink ref="CD380" r:id="rId8" location="switch-sku" display="https://item.jd.com/10153304126493.html#switch-sku"/>
    <hyperlink ref="CD64" r:id="rId9" location="switch-sku" display="https://item.jd.com/10153304126494.html#switch-sku"/>
    <hyperlink ref="CD100" r:id="rId9" location="switch-sku" display="https://item.jd.com/10153304126494.html#switch-sku"/>
    <hyperlink ref="CD130" r:id="rId9" location="switch-sku" display="https://item.jd.com/10153304126494.html#switch-sku"/>
    <hyperlink ref="CD170" r:id="rId9" location="switch-sku" display="https://item.jd.com/10153304126494.html#switch-sku"/>
    <hyperlink ref="CD367" r:id="rId9" location="switch-sku" display="https://item.jd.com/10153304126494.html#switch-sku"/>
    <hyperlink ref="CD372" r:id="rId9" location="switch-sku" display="https://item.jd.com/10153304126494.html#switch-sku"/>
    <hyperlink ref="CD82" r:id="rId10" location="switch-sku" display="https://item.jd.com/10153304126495.html#switch-sku"/>
    <hyperlink ref="CD118" r:id="rId10" location="switch-sku" display="https://item.jd.com/10153304126495.html#switch-sku"/>
    <hyperlink ref="CD157" r:id="rId10" location="switch-sku" display="https://item.jd.com/10153304126495.html#switch-sku"/>
    <hyperlink ref="CD158" r:id="rId10" location="switch-sku" display="https://item.jd.com/10153304126495.html#switch-sku"/>
    <hyperlink ref="CD159" r:id="rId10" location="switch-sku" display="https://item.jd.com/10153304126495.html#switch-sku"/>
    <hyperlink ref="CD160" r:id="rId10" location="switch-sku" display="https://item.jd.com/10153304126495.html#switch-sku"/>
    <hyperlink ref="CD165" r:id="rId10" location="switch-sku" display="https://item.jd.com/10153304126495.html#switch-sku"/>
    <hyperlink ref="CD371" r:id="rId10" location="switch-sku" display="https://item.jd.com/10153304126495.html#switch-sku"/>
    <hyperlink ref="CD51" r:id="rId11" location="switch-sku" display="https://item.jd.com/10153304126506.html#switch-sku"/>
    <hyperlink ref="CD46" r:id="rId6" display="https://item.jd.com/10098328126351.html"/>
    <hyperlink ref="CD49" r:id="rId6" display="https://item.jd.com/10098328126351.html"/>
    <hyperlink ref="CD52" r:id="rId6" display="https://item.jd.com/10098328126351.html"/>
    <hyperlink ref="CD55" r:id="rId6" display="https://item.jd.com/10098328126351.html"/>
    <hyperlink ref="CD57" r:id="rId6" display="https://item.jd.com/10098328126351.html"/>
    <hyperlink ref="CD47" r:id="rId12" location="switch-sku" display="https://item.jd.com/10153304126511.html#switch-sku"/>
    <hyperlink ref="CD48" r:id="rId12" location="switch-sku" display="https://item.jd.com/10153304126511.html#switch-sku"/>
    <hyperlink ref="CD50" r:id="rId12" location="switch-sku" display="https://item.jd.com/10153304126511.html#switch-sku"/>
    <hyperlink ref="CD53" r:id="rId12" location="switch-sku" display="https://item.jd.com/10153304126511.html#switch-sku"/>
    <hyperlink ref="CD54" r:id="rId12" location="switch-sku" display="https://item.jd.com/10153304126511.html#switch-sku"/>
    <hyperlink ref="CD56" r:id="rId12" location="switch-sku" display="https://item.jd.com/10153304126511.html#switch-sku"/>
    <hyperlink ref="CD197" r:id="rId13" location="switch-sku" display="https://item.jd.com/10136817570290.html#switch-sku"/>
    <hyperlink ref="CD198" r:id="rId13" location="switch-sku" display="https://item.jd.com/10136817570290.html#switch-sku"/>
    <hyperlink ref="CD199" r:id="rId13" location="switch-sku" display="https://item.jd.com/10136817570290.html#switch-sku"/>
    <hyperlink ref="CD200" r:id="rId13" location="switch-sku" display="https://item.jd.com/10136817570290.html#switch-sku"/>
    <hyperlink ref="CD201" r:id="rId13" location="switch-sku" display="https://item.jd.com/10136817570290.html#switch-sku"/>
    <hyperlink ref="CD202" r:id="rId13" location="switch-sku" display="https://item.jd.com/10136817570290.html#switch-sku"/>
    <hyperlink ref="CD203" r:id="rId13" location="switch-sku" display="https://item.jd.com/10136817570290.html#switch-sku"/>
    <hyperlink ref="CD204" r:id="rId13" location="switch-sku" display="https://item.jd.com/10136817570290.html#switch-sku"/>
    <hyperlink ref="CD205" r:id="rId13" location="switch-sku" display="https://item.jd.com/10136817570290.html#switch-sku"/>
    <hyperlink ref="CD206" r:id="rId13" location="switch-sku" display="https://item.jd.com/10136817570290.html#switch-sku"/>
    <hyperlink ref="CD227" r:id="rId13" location="switch-sku" display="https://item.jd.com/10136817570290.html#switch-sku"/>
    <hyperlink ref="CD239" r:id="rId13" location="switch-sku" display="https://item.jd.com/10136817570290.html#switch-sku"/>
    <hyperlink ref="CD248" r:id="rId13" location="switch-sku" display="https://item.jd.com/10136817570290.html#switch-sku"/>
    <hyperlink ref="CD303" r:id="rId14" display="https://item.jd.com/10178883294643.html"/>
    <hyperlink ref="CD191" r:id="rId13" location="switch-sku" display="https://item.jd.com/10136817570290.html#switch-sku"/>
    <hyperlink ref="CD192" r:id="rId13" location="switch-sku" display="https://item.jd.com/10136817570290.html#switch-sku"/>
    <hyperlink ref="CD193" r:id="rId13" location="switch-sku" display="https://item.jd.com/10136817570290.html#switch-sku"/>
    <hyperlink ref="CD194" r:id="rId13" location="switch-sku" display="https://item.jd.com/10136817570290.html#switch-sku"/>
    <hyperlink ref="CD195" r:id="rId13" location="switch-sku" display="https://item.jd.com/10136817570290.html#switch-sku"/>
    <hyperlink ref="CD196" r:id="rId13" location="switch-sku" display="https://item.jd.com/10136817570290.html#switch-sku"/>
    <hyperlink ref="CD83" r:id="rId5" display="https://www.gys.cn/tezhongdianlan/5419374963.html"/>
    <hyperlink ref="CD84" r:id="rId5" display="https://www.gys.cn/tezhongdianlan/5419374963.html"/>
    <hyperlink ref="CD119" r:id="rId5" display="https://www.gys.cn/tezhongdianlan/5419374963.html"/>
    <hyperlink ref="CD120" r:id="rId5" display="https://www.gys.cn/tezhongdianlan/5419374963.html"/>
    <hyperlink ref="CD220" r:id="rId13" location="switch-sku" display="https://item.jd.com/10136817570290.html#switch-sku"/>
    <hyperlink ref="CD221" r:id="rId13" location="switch-sku" display="https://item.jd.com/10136817570290.html#switch-sku"/>
    <hyperlink ref="CD222" r:id="rId13" location="switch-sku" display="https://item.jd.com/10136817570290.html#switch-sku"/>
    <hyperlink ref="CD223" r:id="rId13" location="switch-sku" display="https://item.jd.com/10136817570290.html#switch-sku"/>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B0F0"/>
    <pageSetUpPr fitToPage="1"/>
  </sheetPr>
  <dimension ref="A1:BB45"/>
  <sheetViews>
    <sheetView workbookViewId="0">
      <pane xSplit="11" ySplit="4" topLeftCell="L5" activePane="bottomRight" state="frozen"/>
      <selection/>
      <selection pane="topRight"/>
      <selection pane="bottomLeft"/>
      <selection pane="bottomRight" activeCell="E45" sqref="E45"/>
    </sheetView>
  </sheetViews>
  <sheetFormatPr defaultColWidth="9" defaultRowHeight="18" customHeight="1"/>
  <cols>
    <col min="1" max="1" width="17.7" style="1849" customWidth="1"/>
    <col min="2" max="2" width="10.5" style="1853" customWidth="1"/>
    <col min="3" max="3" width="8" style="1853" customWidth="1"/>
    <col min="4" max="4" width="13" style="1853" customWidth="1"/>
    <col min="5" max="5" width="9.6" style="1853" customWidth="1"/>
    <col min="6" max="6" width="18.6" style="1853" customWidth="1"/>
    <col min="7" max="7" width="11.2" style="1853" customWidth="1"/>
    <col min="8" max="8" width="17.2" style="1853" customWidth="1"/>
    <col min="9" max="9" width="22.7" style="1853" customWidth="1"/>
    <col min="10" max="10" width="13.7" style="1853" customWidth="1"/>
    <col min="11" max="11" width="15.5" style="1853" customWidth="1"/>
    <col min="12" max="12" width="9" style="1853"/>
    <col min="13" max="52" width="9" style="1853" hidden="1" customWidth="1" outlineLevel="1"/>
    <col min="53" max="53" width="14.7" style="1853" customWidth="1" collapsed="1"/>
    <col min="54" max="16384" width="9" style="1853"/>
  </cols>
  <sheetData>
    <row r="1" s="1848" customFormat="1" ht="13.5" customHeight="1" spans="1:54">
      <c r="A1" s="1854" t="s">
        <v>233</v>
      </c>
      <c r="B1" s="1855"/>
      <c r="C1" s="1855"/>
      <c r="D1" s="1855"/>
      <c r="E1" s="1855"/>
      <c r="F1" s="1855"/>
      <c r="G1" s="1855"/>
      <c r="H1" s="1855"/>
      <c r="I1" s="1855"/>
      <c r="J1" s="1855"/>
      <c r="K1" s="1855"/>
      <c r="BA1" s="1856" t="str">
        <f>参数表!BA1</f>
        <v>注意：补充特殊事项、作价等均从BA列开始填写</v>
      </c>
      <c r="BB1" s="1857"/>
    </row>
    <row r="2" s="1848" customFormat="1" customHeight="1" spans="1:54">
      <c r="A2" s="1855" t="s">
        <v>234</v>
      </c>
      <c r="B2" s="1855"/>
      <c r="C2" s="1855"/>
      <c r="D2" s="1855"/>
      <c r="E2" s="1855"/>
      <c r="F2" s="1855"/>
      <c r="G2" s="1855"/>
      <c r="H2" s="1855"/>
      <c r="I2" s="1855"/>
      <c r="J2" s="1855"/>
      <c r="K2" s="1855"/>
      <c r="BA2" s="1857" t="str">
        <f>参数表!BA2</f>
        <v>评估基准日：</v>
      </c>
      <c r="BB2" s="1857" t="str">
        <f>参数表!BB2</f>
        <v>2025年7月31日</v>
      </c>
    </row>
    <row r="3" customHeight="1" spans="1:54">
      <c r="A3" s="1858" t="str">
        <f>参数表!F5</f>
        <v>评估基准日：2025年7月31日</v>
      </c>
      <c r="B3" s="1858"/>
      <c r="C3" s="1858"/>
      <c r="D3" s="1858"/>
      <c r="E3" s="1858"/>
      <c r="F3" s="1858"/>
      <c r="G3" s="1858"/>
      <c r="H3" s="1858"/>
      <c r="I3" s="1858"/>
      <c r="J3" s="1858"/>
      <c r="K3" s="1858"/>
      <c r="BA3" s="1857" t="str">
        <f>参数表!BA3</f>
        <v>是否显示评估值：</v>
      </c>
      <c r="BB3" s="1857" t="str">
        <f>参数表!BB3</f>
        <v>是</v>
      </c>
    </row>
    <row r="4" ht="17.25" customHeight="1" spans="1:54">
      <c r="A4" s="1859" t="s">
        <v>235</v>
      </c>
      <c r="B4" s="1858"/>
      <c r="C4" s="1858"/>
      <c r="D4" s="1858"/>
      <c r="E4" s="1858"/>
      <c r="F4" s="1858"/>
      <c r="G4" s="1858"/>
      <c r="H4" s="1858"/>
      <c r="I4" s="1858"/>
      <c r="K4" s="1860" t="s">
        <v>236</v>
      </c>
      <c r="BA4" s="1849"/>
    </row>
    <row r="5" s="1849" customFormat="1" customHeight="1" spans="1:54">
      <c r="A5" s="1861" t="s">
        <v>237</v>
      </c>
      <c r="B5" s="1862" t="s">
        <v>238</v>
      </c>
      <c r="C5" s="1863" t="str">
        <f>IF(封面!F7="","",封面!F7)</f>
        <v>中煤第五建设有限公司</v>
      </c>
      <c r="D5" s="1864"/>
      <c r="E5" s="1864"/>
      <c r="F5" s="1864"/>
      <c r="G5" s="1865"/>
      <c r="H5" s="1862" t="s">
        <v>239</v>
      </c>
      <c r="I5" s="1866"/>
      <c r="J5" s="1867" t="s">
        <v>240</v>
      </c>
      <c r="K5" s="1868"/>
      <c r="L5" s="1853"/>
    </row>
    <row r="6" s="1849" customFormat="1" customHeight="1" spans="1:54">
      <c r="A6" s="1869"/>
      <c r="B6" s="1870" t="s">
        <v>241</v>
      </c>
      <c r="C6" s="1871"/>
      <c r="D6" s="1872"/>
      <c r="E6" s="1872"/>
      <c r="F6" s="1872"/>
      <c r="G6" s="1873"/>
      <c r="H6" s="1870"/>
      <c r="I6" s="1874"/>
      <c r="J6" s="1875"/>
      <c r="K6" s="1876"/>
      <c r="L6" s="1853"/>
    </row>
    <row r="7" s="1849" customFormat="1" customHeight="1" spans="1:54">
      <c r="A7" s="1877" t="s">
        <v>242</v>
      </c>
      <c r="B7" s="1871"/>
      <c r="C7" s="1872"/>
      <c r="D7" s="1872"/>
      <c r="E7" s="1873"/>
      <c r="F7" s="1878" t="s">
        <v>243</v>
      </c>
      <c r="G7" s="1879"/>
      <c r="H7" s="1878" t="s">
        <v>244</v>
      </c>
      <c r="I7" s="1880"/>
      <c r="J7" s="1878" t="s">
        <v>240</v>
      </c>
      <c r="K7" s="1881"/>
    </row>
    <row r="8" s="1849" customFormat="1" customHeight="1" spans="1:54">
      <c r="A8" s="1882" t="s">
        <v>245</v>
      </c>
      <c r="B8" s="1871"/>
      <c r="C8" s="1872"/>
      <c r="D8" s="1872"/>
      <c r="E8" s="1873"/>
      <c r="F8" s="1878" t="s">
        <v>243</v>
      </c>
      <c r="G8" s="1879"/>
      <c r="H8" s="1878" t="s">
        <v>246</v>
      </c>
      <c r="I8" s="1880"/>
      <c r="J8" s="1878" t="s">
        <v>240</v>
      </c>
      <c r="K8" s="1881"/>
    </row>
    <row r="9" s="1849" customFormat="1" customHeight="1" spans="1:54">
      <c r="A9" s="1882" t="s">
        <v>247</v>
      </c>
      <c r="B9" s="1880"/>
      <c r="C9" s="1878" t="s">
        <v>248</v>
      </c>
      <c r="D9" s="1880"/>
      <c r="E9" s="1878" t="s">
        <v>249</v>
      </c>
      <c r="F9" s="1871"/>
      <c r="G9" s="1873"/>
      <c r="H9" s="1878" t="s">
        <v>250</v>
      </c>
      <c r="I9" s="1880"/>
      <c r="J9" s="1878" t="s">
        <v>240</v>
      </c>
      <c r="K9" s="1881"/>
    </row>
    <row r="10" s="1849" customFormat="1" ht="27" customHeight="1" spans="1:54">
      <c r="A10" s="1877" t="s">
        <v>251</v>
      </c>
      <c r="B10" s="1883"/>
      <c r="C10" s="1884"/>
      <c r="D10" s="1884"/>
      <c r="E10" s="1884"/>
      <c r="F10" s="1884"/>
      <c r="G10" s="1885"/>
      <c r="H10" s="1870" t="s">
        <v>252</v>
      </c>
      <c r="I10" s="1880"/>
      <c r="J10" s="1870" t="s">
        <v>253</v>
      </c>
      <c r="K10" s="1886"/>
    </row>
    <row r="11" customHeight="1" spans="1:54">
      <c r="A11" s="1877" t="s">
        <v>254</v>
      </c>
      <c r="B11" s="1879"/>
      <c r="C11" s="1878" t="s">
        <v>255</v>
      </c>
      <c r="D11" s="1879"/>
      <c r="E11" s="1878" t="s">
        <v>256</v>
      </c>
      <c r="F11" s="1879"/>
      <c r="G11" s="1887" t="s">
        <v>257</v>
      </c>
      <c r="H11" s="1879"/>
      <c r="I11" s="1887" t="s">
        <v>258</v>
      </c>
      <c r="J11" s="1888"/>
      <c r="K11" s="1889"/>
    </row>
    <row r="12" customHeight="1" spans="1:54">
      <c r="A12" s="1882" t="s">
        <v>259</v>
      </c>
      <c r="B12" s="1879"/>
      <c r="C12" s="1878" t="s">
        <v>260</v>
      </c>
      <c r="D12" s="1879"/>
      <c r="E12" s="1878" t="s">
        <v>261</v>
      </c>
      <c r="F12" s="1879"/>
      <c r="G12" s="1887" t="s">
        <v>262</v>
      </c>
      <c r="H12" s="1879"/>
      <c r="I12" s="1887" t="s">
        <v>263</v>
      </c>
      <c r="J12" s="1879"/>
      <c r="K12" s="1890"/>
    </row>
    <row r="13" customHeight="1" spans="1:54">
      <c r="A13" s="1891" t="s">
        <v>264</v>
      </c>
      <c r="B13" s="1892"/>
      <c r="C13" s="1893" t="s">
        <v>265</v>
      </c>
      <c r="D13" s="1892"/>
      <c r="E13" s="1894" t="s">
        <v>266</v>
      </c>
      <c r="F13" s="1895"/>
      <c r="G13" s="1896" t="s">
        <v>267</v>
      </c>
      <c r="H13" s="1897"/>
      <c r="I13" s="1898"/>
      <c r="J13" s="1898"/>
      <c r="K13" s="1899"/>
    </row>
    <row r="14" s="1850" customFormat="1" customHeight="1" spans="1:54">
      <c r="A14" s="1900" t="s">
        <v>268</v>
      </c>
      <c r="B14" s="1901"/>
      <c r="C14" s="1901"/>
      <c r="D14" s="1901"/>
      <c r="E14" s="1901"/>
      <c r="F14" s="1901"/>
      <c r="G14" s="1902"/>
      <c r="H14" s="1903" t="s">
        <v>269</v>
      </c>
      <c r="I14" s="1904"/>
      <c r="J14" s="1903" t="s">
        <v>270</v>
      </c>
      <c r="K14" s="1905"/>
    </row>
    <row r="15" s="1850" customFormat="1" customHeight="1" spans="1:54">
      <c r="A15" s="1906"/>
      <c r="B15" s="1907"/>
      <c r="C15" s="1907"/>
      <c r="D15" s="1907"/>
      <c r="E15" s="1907"/>
      <c r="F15" s="1907"/>
      <c r="G15" s="1908"/>
      <c r="H15" s="1878" t="s">
        <v>271</v>
      </c>
      <c r="I15" s="1878" t="s">
        <v>272</v>
      </c>
      <c r="J15" s="1870" t="s">
        <v>271</v>
      </c>
      <c r="K15" s="1909" t="s">
        <v>272</v>
      </c>
    </row>
    <row r="16" s="1851" customFormat="1" customHeight="1" spans="1:54">
      <c r="A16" s="1910">
        <v>1</v>
      </c>
      <c r="B16" s="1911"/>
      <c r="C16" s="1912"/>
      <c r="D16" s="1912"/>
      <c r="E16" s="1912"/>
      <c r="F16" s="1912"/>
      <c r="G16" s="1913"/>
      <c r="H16" s="1914"/>
      <c r="I16" s="1915"/>
      <c r="J16" s="1914"/>
      <c r="K16" s="1916"/>
    </row>
    <row r="17" customHeight="1" spans="1:11">
      <c r="A17" s="1910">
        <v>2</v>
      </c>
      <c r="B17" s="1911"/>
      <c r="C17" s="1912"/>
      <c r="D17" s="1912"/>
      <c r="E17" s="1912"/>
      <c r="F17" s="1912"/>
      <c r="G17" s="1913"/>
      <c r="H17" s="1914"/>
      <c r="I17" s="1915"/>
      <c r="J17" s="1914"/>
      <c r="K17" s="1916"/>
    </row>
    <row r="18" customHeight="1" spans="1:11">
      <c r="A18" s="1910">
        <v>3</v>
      </c>
      <c r="B18" s="1911"/>
      <c r="C18" s="1912"/>
      <c r="D18" s="1912"/>
      <c r="E18" s="1912"/>
      <c r="F18" s="1912"/>
      <c r="G18" s="1913"/>
      <c r="H18" s="1914"/>
      <c r="I18" s="1915"/>
      <c r="J18" s="1914"/>
      <c r="K18" s="1916"/>
    </row>
    <row r="19" customHeight="1" spans="1:11">
      <c r="A19" s="1910">
        <v>4</v>
      </c>
      <c r="B19" s="1871"/>
      <c r="C19" s="1872"/>
      <c r="D19" s="1872"/>
      <c r="E19" s="1872"/>
      <c r="F19" s="1872"/>
      <c r="G19" s="1873"/>
      <c r="H19" s="1917"/>
      <c r="I19" s="1879"/>
      <c r="J19" s="1879"/>
      <c r="K19" s="1890"/>
    </row>
    <row r="20" customHeight="1" spans="1:11">
      <c r="A20" s="1910">
        <v>5</v>
      </c>
      <c r="B20" s="1871"/>
      <c r="C20" s="1872"/>
      <c r="D20" s="1872"/>
      <c r="E20" s="1872"/>
      <c r="F20" s="1872"/>
      <c r="G20" s="1873"/>
      <c r="H20" s="1917"/>
      <c r="I20" s="1879"/>
      <c r="J20" s="1879"/>
      <c r="K20" s="1890"/>
    </row>
    <row r="21" customHeight="1" spans="1:11">
      <c r="A21" s="1918" t="s">
        <v>273</v>
      </c>
      <c r="B21" s="1897"/>
      <c r="C21" s="1898"/>
      <c r="D21" s="1898"/>
      <c r="E21" s="1898"/>
      <c r="F21" s="1898"/>
      <c r="G21" s="1919"/>
      <c r="H21" s="1920"/>
      <c r="I21" s="1892"/>
      <c r="J21" s="1921"/>
      <c r="K21" s="1922"/>
    </row>
    <row r="22" s="1850" customFormat="1" customHeight="1" spans="1:11">
      <c r="A22" s="1923" t="s">
        <v>274</v>
      </c>
      <c r="B22" s="1924"/>
      <c r="C22" s="1924"/>
      <c r="D22" s="1924"/>
      <c r="E22" s="1904"/>
      <c r="F22" s="1903" t="s">
        <v>275</v>
      </c>
      <c r="G22" s="1924"/>
      <c r="H22" s="1904"/>
      <c r="I22" s="1925" t="s">
        <v>276</v>
      </c>
      <c r="J22" s="1862" t="s">
        <v>277</v>
      </c>
      <c r="K22" s="1926" t="s">
        <v>278</v>
      </c>
    </row>
    <row r="23" customHeight="1" spans="1:11">
      <c r="A23" s="1910">
        <v>1</v>
      </c>
      <c r="B23" s="1927"/>
      <c r="C23" s="1928"/>
      <c r="D23" s="1928"/>
      <c r="E23" s="1929"/>
      <c r="F23" s="1871"/>
      <c r="G23" s="1872"/>
      <c r="H23" s="1873"/>
      <c r="I23" s="1879"/>
      <c r="J23" s="1930"/>
      <c r="K23" s="1881"/>
    </row>
    <row r="24" customHeight="1" spans="1:11">
      <c r="A24" s="1910">
        <v>2</v>
      </c>
      <c r="B24" s="1927"/>
      <c r="C24" s="1928"/>
      <c r="D24" s="1928"/>
      <c r="E24" s="1929"/>
      <c r="F24" s="1871"/>
      <c r="G24" s="1872"/>
      <c r="H24" s="1873"/>
      <c r="I24" s="1879"/>
      <c r="J24" s="1930"/>
      <c r="K24" s="1881"/>
    </row>
    <row r="25" customHeight="1" spans="1:11">
      <c r="A25" s="1910">
        <v>3</v>
      </c>
      <c r="B25" s="1927"/>
      <c r="C25" s="1928"/>
      <c r="D25" s="1928"/>
      <c r="E25" s="1929"/>
      <c r="F25" s="1871"/>
      <c r="G25" s="1872"/>
      <c r="H25" s="1873"/>
      <c r="I25" s="1879"/>
      <c r="J25" s="1930"/>
      <c r="K25" s="1881"/>
    </row>
    <row r="26" customHeight="1" spans="1:11">
      <c r="A26" s="1910">
        <v>4</v>
      </c>
      <c r="B26" s="1927"/>
      <c r="C26" s="1928"/>
      <c r="D26" s="1928"/>
      <c r="E26" s="1929"/>
      <c r="F26" s="1871"/>
      <c r="G26" s="1872"/>
      <c r="H26" s="1873"/>
      <c r="I26" s="1879"/>
      <c r="J26" s="1930"/>
      <c r="K26" s="1881"/>
    </row>
    <row r="27" customHeight="1" spans="1:11">
      <c r="A27" s="1910">
        <v>5</v>
      </c>
      <c r="B27" s="1927"/>
      <c r="C27" s="1928"/>
      <c r="D27" s="1928"/>
      <c r="E27" s="1929"/>
      <c r="F27" s="1871"/>
      <c r="G27" s="1872"/>
      <c r="H27" s="1873"/>
      <c r="I27" s="1879"/>
      <c r="J27" s="1930"/>
      <c r="K27" s="1881"/>
    </row>
    <row r="28" customHeight="1" spans="1:11">
      <c r="A28" s="1918">
        <v>6</v>
      </c>
      <c r="B28" s="1927"/>
      <c r="C28" s="1928"/>
      <c r="D28" s="1928"/>
      <c r="E28" s="1929"/>
      <c r="F28" s="1871"/>
      <c r="G28" s="1872"/>
      <c r="H28" s="1873"/>
      <c r="I28" s="1879"/>
      <c r="J28" s="1930"/>
      <c r="K28" s="1881"/>
    </row>
    <row r="29" customHeight="1" spans="1:11">
      <c r="A29" s="1918">
        <v>7</v>
      </c>
      <c r="B29" s="1927"/>
      <c r="C29" s="1928"/>
      <c r="D29" s="1928"/>
      <c r="E29" s="1929"/>
      <c r="F29" s="1871"/>
      <c r="G29" s="1872"/>
      <c r="H29" s="1873"/>
      <c r="I29" s="1931"/>
      <c r="J29" s="1930"/>
      <c r="K29" s="1881"/>
    </row>
    <row r="30" customHeight="1" spans="1:11">
      <c r="A30" s="1918">
        <v>8</v>
      </c>
      <c r="B30" s="1927"/>
      <c r="C30" s="1928"/>
      <c r="D30" s="1928"/>
      <c r="E30" s="1929"/>
      <c r="F30" s="1871"/>
      <c r="G30" s="1872"/>
      <c r="H30" s="1873"/>
      <c r="I30" s="1931"/>
      <c r="J30" s="1930"/>
      <c r="K30" s="1881"/>
    </row>
    <row r="31" customHeight="1" spans="1:11">
      <c r="A31" s="1918">
        <v>9</v>
      </c>
      <c r="B31" s="1927"/>
      <c r="C31" s="1928"/>
      <c r="D31" s="1928"/>
      <c r="E31" s="1929"/>
      <c r="F31" s="1871"/>
      <c r="G31" s="1872"/>
      <c r="H31" s="1873"/>
      <c r="I31" s="1931"/>
      <c r="J31" s="1930"/>
      <c r="K31" s="1881"/>
    </row>
    <row r="32" customHeight="1" spans="1:11">
      <c r="A32" s="1918">
        <v>10</v>
      </c>
      <c r="B32" s="1927"/>
      <c r="C32" s="1928"/>
      <c r="D32" s="1928"/>
      <c r="E32" s="1929"/>
      <c r="F32" s="1871"/>
      <c r="G32" s="1872"/>
      <c r="H32" s="1873"/>
      <c r="I32" s="1931"/>
      <c r="J32" s="1930"/>
      <c r="K32" s="1881"/>
    </row>
    <row r="33" customHeight="1" spans="1:11">
      <c r="A33" s="1932" t="s">
        <v>279</v>
      </c>
      <c r="B33" s="1933"/>
      <c r="C33" s="1897"/>
      <c r="D33" s="1898"/>
      <c r="E33" s="1898"/>
      <c r="F33" s="1898"/>
      <c r="G33" s="1898"/>
      <c r="H33" s="1898"/>
      <c r="I33" s="1898"/>
      <c r="J33" s="1898"/>
      <c r="K33" s="1899"/>
    </row>
    <row r="34" customHeight="1" spans="1:11">
      <c r="A34" s="1934" t="s">
        <v>280</v>
      </c>
      <c r="B34" s="1935"/>
      <c r="C34" s="1936"/>
      <c r="D34" s="1937"/>
      <c r="E34" s="1937"/>
      <c r="F34" s="1937"/>
      <c r="G34" s="1937"/>
      <c r="H34" s="1937"/>
      <c r="I34" s="1937"/>
      <c r="J34" s="1937"/>
      <c r="K34" s="1938"/>
    </row>
    <row r="35" ht="30.75" hidden="1" customHeight="1" spans="1:11">
      <c r="A35" s="1939" t="s">
        <v>281</v>
      </c>
      <c r="B35" s="1940"/>
      <c r="C35" s="1849"/>
      <c r="D35" s="1849"/>
      <c r="E35" s="1849"/>
      <c r="F35" s="1849"/>
      <c r="G35" s="1849"/>
      <c r="H35" s="1849"/>
      <c r="I35" s="1849"/>
      <c r="J35" s="1849"/>
      <c r="K35" s="1941"/>
    </row>
    <row r="36" s="1851" customFormat="1" hidden="1" customHeight="1" spans="1:11">
      <c r="A36" s="1869" t="s">
        <v>282</v>
      </c>
      <c r="B36" s="1875" t="s">
        <v>283</v>
      </c>
      <c r="C36" s="1942"/>
      <c r="D36" s="1942"/>
      <c r="E36" s="1942"/>
      <c r="F36" s="1942" t="s">
        <v>284</v>
      </c>
      <c r="G36" s="1942"/>
      <c r="H36" s="1942"/>
      <c r="I36" s="1942" t="s">
        <v>285</v>
      </c>
      <c r="J36" s="1942"/>
      <c r="K36" s="1943"/>
    </row>
    <row r="37" s="1851" customFormat="1" hidden="1" customHeight="1" spans="1:11">
      <c r="A37" s="1882"/>
      <c r="B37" s="1878" t="s">
        <v>286</v>
      </c>
      <c r="C37" s="1880"/>
      <c r="D37" s="1880"/>
      <c r="E37" s="1880"/>
      <c r="F37" s="1878" t="s">
        <v>287</v>
      </c>
      <c r="G37" s="1944"/>
      <c r="H37" s="1944"/>
      <c r="I37" s="1878" t="s">
        <v>288</v>
      </c>
      <c r="J37" s="1880" t="str">
        <f>CONCATENATE(封面!F13,封面!G13,封面!H13,封面!I13,封面!J13,封面!K13)</f>
        <v>2025年9月20日</v>
      </c>
      <c r="K37" s="1881"/>
    </row>
    <row r="38" s="1851" customFormat="1" hidden="1" customHeight="1" spans="1:11">
      <c r="A38" s="1882"/>
      <c r="B38" s="1878" t="s">
        <v>289</v>
      </c>
      <c r="C38" s="1878"/>
      <c r="D38" s="1878"/>
      <c r="E38" s="1878"/>
      <c r="F38" s="1878" t="s">
        <v>290</v>
      </c>
      <c r="G38" s="1878" t="str">
        <f>封面!F16&amp;""</f>
        <v/>
      </c>
      <c r="H38" s="1878"/>
      <c r="I38" s="1878" t="s">
        <v>291</v>
      </c>
      <c r="J38" s="1878"/>
      <c r="K38" s="1945"/>
    </row>
    <row r="39" hidden="1" customHeight="1" spans="1:11">
      <c r="A39" s="1946" t="s">
        <v>292</v>
      </c>
      <c r="B39" s="1878" t="s">
        <v>293</v>
      </c>
      <c r="C39" s="1878"/>
      <c r="D39" s="1878"/>
      <c r="E39" s="1878"/>
      <c r="F39" s="1878" t="s">
        <v>294</v>
      </c>
      <c r="G39" s="1947" t="str">
        <f>封面!G18&amp;""</f>
        <v/>
      </c>
      <c r="H39" s="1948"/>
      <c r="I39" s="1948"/>
      <c r="J39" s="1948"/>
      <c r="K39" s="1949"/>
    </row>
    <row r="40" hidden="1" customHeight="1" spans="1:11">
      <c r="A40" s="1910"/>
      <c r="B40" s="1879"/>
      <c r="C40" s="1880" t="s">
        <v>295</v>
      </c>
      <c r="D40" s="1880"/>
      <c r="E40" s="1880" t="s">
        <v>296</v>
      </c>
      <c r="F40" s="1880"/>
      <c r="G40" s="1880" t="s">
        <v>297</v>
      </c>
      <c r="H40" s="1880"/>
      <c r="I40" s="1880" t="s">
        <v>298</v>
      </c>
      <c r="J40" s="1880" t="s">
        <v>299</v>
      </c>
      <c r="K40" s="1890"/>
    </row>
    <row r="41" s="1852" customFormat="1" hidden="1" customHeight="1" spans="1:11">
      <c r="A41" s="1946" t="s">
        <v>300</v>
      </c>
      <c r="B41" s="1950" t="str">
        <f>""&amp;封面!G11</f>
        <v/>
      </c>
      <c r="C41" s="1880"/>
      <c r="D41" s="1880"/>
      <c r="E41" s="1880"/>
      <c r="F41" s="1880"/>
      <c r="G41" s="1880"/>
      <c r="H41" s="1880"/>
      <c r="I41" s="1880"/>
      <c r="J41" s="1880"/>
      <c r="K41" s="1890"/>
    </row>
    <row r="42" s="1852" customFormat="1" hidden="1" customHeight="1" spans="1:11">
      <c r="A42" s="1951" t="s">
        <v>301</v>
      </c>
      <c r="B42" s="1952"/>
      <c r="C42" s="1953"/>
      <c r="D42" s="1953"/>
      <c r="E42" s="1953"/>
      <c r="F42" s="1953"/>
      <c r="G42" s="1953"/>
      <c r="H42" s="1953"/>
      <c r="I42" s="1953"/>
      <c r="J42" s="1953"/>
      <c r="K42" s="1954"/>
    </row>
    <row r="43" s="1851" customFormat="1" customHeight="1" spans="1:11">
      <c r="B43" s="1955"/>
      <c r="C43" s="1955"/>
      <c r="D43" s="1955"/>
      <c r="E43" s="1955"/>
      <c r="F43" s="1955"/>
      <c r="G43" s="1955"/>
      <c r="H43" s="1955"/>
      <c r="I43" s="1955"/>
      <c r="J43" s="1955"/>
      <c r="K43" s="1955"/>
    </row>
    <row r="44" customHeight="1" spans="1:11">
      <c r="A44" s="1853"/>
    </row>
    <row r="45" customHeight="1" spans="1:11">
      <c r="D45" s="1849"/>
    </row>
  </sheetData>
  <sheetProtection autoFilter="0"/>
  <mergeCells count="71">
    <mergeCell ref="A2:K2"/>
    <mergeCell ref="A3:K3"/>
    <mergeCell ref="C5:G5"/>
    <mergeCell ref="C6:G6"/>
    <mergeCell ref="B7:E7"/>
    <mergeCell ref="B8:E8"/>
    <mergeCell ref="F9:G9"/>
    <mergeCell ref="B10:G10"/>
    <mergeCell ref="J11:K11"/>
    <mergeCell ref="H13:K13"/>
    <mergeCell ref="H14:I14"/>
    <mergeCell ref="J14:K14"/>
    <mergeCell ref="B16:G16"/>
    <mergeCell ref="B17:G17"/>
    <mergeCell ref="B18:G18"/>
    <mergeCell ref="B19:G19"/>
    <mergeCell ref="B20:G20"/>
    <mergeCell ref="B21:G21"/>
    <mergeCell ref="A22:E22"/>
    <mergeCell ref="F22:H22"/>
    <mergeCell ref="B23:E23"/>
    <mergeCell ref="F23:H23"/>
    <mergeCell ref="B24:E24"/>
    <mergeCell ref="F24:H24"/>
    <mergeCell ref="B25:E25"/>
    <mergeCell ref="F25:H25"/>
    <mergeCell ref="B26:E26"/>
    <mergeCell ref="F26:H26"/>
    <mergeCell ref="B27:E27"/>
    <mergeCell ref="F27:H27"/>
    <mergeCell ref="B28:E28"/>
    <mergeCell ref="F28:H28"/>
    <mergeCell ref="B29:E29"/>
    <mergeCell ref="F29:H29"/>
    <mergeCell ref="B30:E30"/>
    <mergeCell ref="F30:H30"/>
    <mergeCell ref="B31:E31"/>
    <mergeCell ref="F31:H31"/>
    <mergeCell ref="B32:E32"/>
    <mergeCell ref="F32:H32"/>
    <mergeCell ref="A33:B33"/>
    <mergeCell ref="C33:K33"/>
    <mergeCell ref="A34:B34"/>
    <mergeCell ref="C34:K34"/>
    <mergeCell ref="C36:E36"/>
    <mergeCell ref="G36:H36"/>
    <mergeCell ref="J36:K36"/>
    <mergeCell ref="C37:E37"/>
    <mergeCell ref="G37:H37"/>
    <mergeCell ref="J37:K37"/>
    <mergeCell ref="C38:E38"/>
    <mergeCell ref="G38:H38"/>
    <mergeCell ref="J38:K38"/>
    <mergeCell ref="B39:D39"/>
    <mergeCell ref="G39:K39"/>
    <mergeCell ref="C40:D40"/>
    <mergeCell ref="E40:F40"/>
    <mergeCell ref="G40:H40"/>
    <mergeCell ref="C41:D41"/>
    <mergeCell ref="E41:F41"/>
    <mergeCell ref="G41:H41"/>
    <mergeCell ref="C42:D42"/>
    <mergeCell ref="E42:F42"/>
    <mergeCell ref="G42:H42"/>
    <mergeCell ref="A5:A6"/>
    <mergeCell ref="A36:A38"/>
    <mergeCell ref="H5:H6"/>
    <mergeCell ref="I5:I6"/>
    <mergeCell ref="J5:J6"/>
    <mergeCell ref="K5:K6"/>
    <mergeCell ref="A14:G15"/>
  </mergeCells>
  <hyperlinks>
    <hyperlink ref="A1" location="索引目录!B4" display="返回索引页"/>
  </hyperlinks>
  <printOptions horizontalCentered="1"/>
  <pageMargins left="0.62992125984252" right="0.236220472440945" top="0.78740157480315" bottom="0.78740157480315" header="0.511811023622047" footer="0.511811023622047"/>
  <pageSetup paperSize="9" scale="82" fitToHeight="0" orientation="landscape"/>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BW44"/>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6.5" customHeight="1"/>
  <cols>
    <col min="1" max="1" width="4.7" style="1108" customWidth="1"/>
    <col min="2" max="2" width="10.5" style="110" customWidth="1"/>
    <col min="3" max="4" width="8" style="110" customWidth="1" outlineLevel="1"/>
    <col min="5" max="5" width="9.6" style="110" customWidth="1" outlineLevel="1"/>
    <col min="6" max="6" width="10.5" style="110" customWidth="1" outlineLevel="1"/>
    <col min="7" max="7" width="12.8" style="110" customWidth="1" outlineLevel="1"/>
    <col min="8" max="8" width="10.3" style="110" customWidth="1"/>
    <col min="9" max="10" width="6.7" style="110" customWidth="1"/>
    <col min="11" max="12" width="7.2" style="110" customWidth="1"/>
    <col min="13" max="13" width="7.5" style="110" customWidth="1"/>
    <col min="14" max="14" width="9.7" style="110" customWidth="1"/>
    <col min="15" max="16" width="4.6" style="110" customWidth="1" outlineLevel="1"/>
    <col min="17" max="18" width="6.1" style="110" customWidth="1" outlineLevel="1"/>
    <col min="19" max="19" width="6.2" style="110" customWidth="1" outlineLevel="1"/>
    <col min="20" max="20" width="5.1" style="110" customWidth="1" outlineLevel="1"/>
    <col min="21" max="21" width="5.3" style="110" customWidth="1" outlineLevel="1"/>
    <col min="22" max="22" width="4.7" style="110" customWidth="1" outlineLevel="1"/>
    <col min="23" max="23" width="4.8" style="110" customWidth="1" outlineLevel="1"/>
    <col min="24" max="24" width="6.2" style="110" customWidth="1" outlineLevel="1"/>
    <col min="25" max="25" width="8.5" style="110" customWidth="1" outlineLevel="1"/>
    <col min="26" max="26" width="7.3" style="110" customWidth="1" outlineLevel="1"/>
    <col min="27" max="27" width="10.6" style="110" customWidth="1" outlineLevel="1"/>
    <col min="28" max="28" width="8.6" style="110" customWidth="1" outlineLevel="1"/>
    <col min="29" max="37" width="7.7" style="110" customWidth="1" outlineLevel="1"/>
    <col min="38" max="38" width="6.2" style="110" customWidth="1" outlineLevel="1"/>
    <col min="39" max="39" width="5.1" style="110" customWidth="1" outlineLevel="1"/>
    <col min="40" max="40" width="5.3" style="110" customWidth="1" outlineLevel="1"/>
    <col min="41" max="41" width="4.7" style="110" customWidth="1" outlineLevel="1"/>
    <col min="42" max="42" width="4.8" style="110" customWidth="1" outlineLevel="1"/>
    <col min="43" max="43" width="6.2" style="110" customWidth="1" outlineLevel="1"/>
    <col min="44" max="44" width="8.5" style="110" customWidth="1" outlineLevel="1"/>
    <col min="45" max="45" width="7.3" style="110" customWidth="1" outlineLevel="1"/>
    <col min="46" max="46" width="10.6" style="110" customWidth="1"/>
    <col min="47" max="47" width="8.6" style="110" customWidth="1"/>
    <col min="48" max="48" width="11.7" style="110" customWidth="1"/>
    <col min="49" max="49" width="6.7" style="1109" customWidth="1"/>
    <col min="50" max="50" width="6.7" style="110" customWidth="1"/>
    <col min="51" max="52" width="6.7" style="110" hidden="1" customWidth="1" outlineLevel="1"/>
    <col min="53" max="53" width="14.7" style="75" customWidth="1" collapsed="1"/>
    <col min="54" max="54" width="6.7" style="110" customWidth="1"/>
    <col min="55" max="56" width="5.1" style="110" customWidth="1"/>
    <col min="57" max="57" width="8.7" style="110" customWidth="1"/>
    <col min="58" max="59" width="9.6" style="110" customWidth="1"/>
    <col min="60" max="63" width="4.7" style="110" customWidth="1"/>
    <col min="64" max="64" width="10.3" style="110" customWidth="1"/>
    <col min="65" max="65" width="8.7" style="110" customWidth="1"/>
    <col min="66" max="66" width="10.1" style="110"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110"/>
  </cols>
  <sheetData>
    <row r="1" ht="15.6" spans="1:75">
      <c r="A1" s="1025" t="s">
        <v>233</v>
      </c>
      <c r="B1" s="1159" t="s">
        <v>1541</v>
      </c>
      <c r="BA1" s="84" t="str">
        <f>参数表!$BA$1</f>
        <v>注意：补充特殊事项、作价等均从BA列开始填写</v>
      </c>
      <c r="BB1" s="85"/>
      <c r="BC1" s="109"/>
      <c r="BD1" s="109"/>
      <c r="BE1" s="109"/>
      <c r="BH1" s="1173"/>
      <c r="BI1" s="1174"/>
      <c r="BJ1" s="1174"/>
      <c r="BK1" s="1174"/>
      <c r="BL1" s="1174"/>
      <c r="BO1" s="87"/>
      <c r="BP1" s="88"/>
      <c r="BQ1" s="87"/>
      <c r="BR1" s="88"/>
      <c r="BS1" s="88"/>
      <c r="BT1" s="88"/>
      <c r="BU1" s="88"/>
      <c r="BV1" s="88"/>
      <c r="BW1" s="87"/>
    </row>
    <row r="2" s="1002" customFormat="1" ht="24.75" customHeight="1" spans="1:75">
      <c r="A2" s="1111" t="s">
        <v>3074</v>
      </c>
      <c r="B2" s="1111"/>
      <c r="C2" s="1111"/>
      <c r="D2" s="1111"/>
      <c r="E2" s="1111"/>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BA2" s="90" t="str">
        <f>参数表!$BA$2</f>
        <v>评估基准日：</v>
      </c>
      <c r="BB2" s="91" t="str">
        <f>参数表!$BB$2</f>
        <v>2025年7月31日</v>
      </c>
      <c r="BH2" s="1175"/>
      <c r="BI2" s="1176"/>
      <c r="BJ2" s="1034"/>
      <c r="BK2" s="1034"/>
      <c r="BL2" s="1034"/>
      <c r="BO2" s="92"/>
      <c r="BP2" s="93"/>
      <c r="BQ2" s="92"/>
      <c r="BR2" s="93"/>
      <c r="BS2" s="93"/>
      <c r="BT2" s="93"/>
      <c r="BU2" s="93"/>
      <c r="BV2" s="93"/>
      <c r="BW2" s="92"/>
    </row>
    <row r="3" customHeight="1" spans="1:75">
      <c r="A3" s="634" t="str">
        <f>参数表!F5</f>
        <v>评估基准日：2025年7月31日</v>
      </c>
      <c r="B3" s="634"/>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c r="AT3" s="634"/>
      <c r="AU3" s="634"/>
      <c r="AV3" s="634"/>
      <c r="AW3" s="634"/>
      <c r="AX3" s="634"/>
      <c r="AY3" s="1114"/>
      <c r="AZ3" s="1114"/>
      <c r="BA3" s="90" t="str">
        <f>参数表!$BA$3</f>
        <v>是否显示评估值：</v>
      </c>
      <c r="BB3" s="90" t="str">
        <f>参数表!$BB$3</f>
        <v>是</v>
      </c>
      <c r="BC3" s="109"/>
      <c r="BD3" s="109"/>
      <c r="BE3" s="109"/>
      <c r="BO3" s="92"/>
      <c r="BP3" s="93"/>
      <c r="BQ3" s="92"/>
      <c r="BR3" s="93"/>
      <c r="BS3" s="93"/>
      <c r="BT3" s="93"/>
      <c r="BU3" s="93"/>
      <c r="BV3" s="93"/>
      <c r="BW3" s="92"/>
    </row>
    <row r="4" customHeight="1" spans="1:75">
      <c r="A4" s="636"/>
      <c r="B4" s="634"/>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c r="AW4" s="634"/>
      <c r="AX4" s="98" t="str">
        <f>"表"&amp;BA4</f>
        <v>表3-10-9</v>
      </c>
      <c r="AY4" s="277"/>
      <c r="AZ4" s="277"/>
      <c r="BA4" s="1021" t="str">
        <f>存货总!A15</f>
        <v>3-10-9</v>
      </c>
      <c r="BB4" s="100">
        <f>MAX(COUNTA(A8:A25),COUNTA(B8:B25),COUNTA(AA8:AA25),COUNTA(AT8:AT25))</f>
        <v>18</v>
      </c>
      <c r="BC4" s="101">
        <f>ROW(A7)+1</f>
        <v>8</v>
      </c>
      <c r="BD4" s="77"/>
      <c r="BE4" s="77"/>
      <c r="BQ4" s="78"/>
    </row>
    <row r="5" customHeight="1" spans="1:75">
      <c r="A5" s="638" t="str">
        <f>参数表!F3</f>
        <v>产权持有单位:中煤第五建设有限公司</v>
      </c>
      <c r="B5" s="1116"/>
      <c r="C5" s="1116"/>
      <c r="D5" s="1116"/>
      <c r="E5" s="1116"/>
      <c r="F5" s="1116"/>
      <c r="G5" s="1116"/>
      <c r="H5" s="1116"/>
      <c r="I5" s="1116"/>
      <c r="J5" s="1116"/>
      <c r="K5" s="1116"/>
      <c r="L5" s="1116"/>
      <c r="M5" s="1116"/>
      <c r="N5" s="1116"/>
      <c r="O5" s="1116"/>
      <c r="P5" s="1116"/>
      <c r="Q5" s="1116"/>
      <c r="R5" s="1116"/>
      <c r="S5" s="1116"/>
      <c r="T5" s="1116"/>
      <c r="U5" s="1116"/>
      <c r="V5" s="1116"/>
      <c r="W5" s="1116"/>
      <c r="X5" s="1116"/>
      <c r="Y5" s="1116"/>
      <c r="Z5" s="1116"/>
      <c r="AA5" s="1116"/>
      <c r="AB5" s="1116"/>
      <c r="AC5" s="1116"/>
      <c r="AD5" s="1116"/>
      <c r="AE5" s="1116"/>
      <c r="AF5" s="1116"/>
      <c r="AG5" s="1116"/>
      <c r="AH5" s="1116"/>
      <c r="AI5" s="1116"/>
      <c r="AJ5" s="1116"/>
      <c r="AK5" s="1116"/>
      <c r="AL5" s="1116"/>
      <c r="AM5" s="1116"/>
      <c r="AN5" s="1116"/>
      <c r="AO5" s="1116"/>
      <c r="AP5" s="1116"/>
      <c r="AQ5" s="1116"/>
      <c r="AR5" s="1116"/>
      <c r="AS5" s="1116"/>
      <c r="AT5" s="1116"/>
      <c r="AU5" s="1116"/>
      <c r="AV5" s="1116"/>
      <c r="AW5" s="1117"/>
      <c r="AX5" s="1161" t="s">
        <v>3075</v>
      </c>
      <c r="AY5" s="1177"/>
      <c r="AZ5" s="1177"/>
      <c r="BA5" s="1178"/>
      <c r="BB5" s="105" t="str">
        <f ca="1">判断表!C38</f>
        <v>中煤第五建设有限公司第三工程处拟处置实物资产项目\[0000-3基础法明细表.xlsx]开发产品</v>
      </c>
      <c r="BC5" s="106">
        <f>IFERROR(SUMIF(BC8:BC25,"√",AT8:AT25)/AT26,0)</f>
        <v>0</v>
      </c>
      <c r="BD5" s="107"/>
      <c r="BE5" s="107"/>
      <c r="BF5" s="284">
        <f>在用周转!BG5</f>
        <v>35557.52</v>
      </c>
      <c r="BG5" s="284">
        <f>在用周转!BH5</f>
        <v>35557.52</v>
      </c>
      <c r="BH5" s="109"/>
      <c r="BI5" s="109"/>
      <c r="BJ5" s="109"/>
      <c r="BK5" s="109"/>
      <c r="BQ5" s="78"/>
    </row>
    <row r="6" s="1107" customFormat="1" ht="18" customHeight="1" spans="1:75">
      <c r="A6" s="1119" t="s">
        <v>521</v>
      </c>
      <c r="B6" s="1120" t="s">
        <v>1418</v>
      </c>
      <c r="C6" s="1121" t="s">
        <v>3076</v>
      </c>
      <c r="D6" s="1122"/>
      <c r="E6" s="1122"/>
      <c r="F6" s="1122"/>
      <c r="G6" s="1123"/>
      <c r="H6" s="1120" t="s">
        <v>3077</v>
      </c>
      <c r="I6" s="1120" t="s">
        <v>3078</v>
      </c>
      <c r="J6" s="1120" t="s">
        <v>3079</v>
      </c>
      <c r="K6" s="1120" t="s">
        <v>3080</v>
      </c>
      <c r="L6" s="1120" t="s">
        <v>3081</v>
      </c>
      <c r="M6" s="1120" t="s">
        <v>3082</v>
      </c>
      <c r="N6" s="1120" t="s">
        <v>3083</v>
      </c>
      <c r="O6" s="511" t="s">
        <v>1964</v>
      </c>
      <c r="P6" s="512"/>
      <c r="Q6" s="512"/>
      <c r="R6" s="513"/>
      <c r="S6" s="1124" t="s">
        <v>3084</v>
      </c>
      <c r="T6" s="1142"/>
      <c r="U6" s="1142"/>
      <c r="V6" s="1142"/>
      <c r="W6" s="1142"/>
      <c r="X6" s="1142"/>
      <c r="Y6" s="1142"/>
      <c r="Z6" s="1142"/>
      <c r="AA6" s="1142"/>
      <c r="AB6" s="1143"/>
      <c r="AC6" s="1125" t="s">
        <v>3085</v>
      </c>
      <c r="AD6" s="1126"/>
      <c r="AE6" s="1126"/>
      <c r="AF6" s="1126"/>
      <c r="AG6" s="1126"/>
      <c r="AH6" s="1126"/>
      <c r="AI6" s="1126"/>
      <c r="AJ6" s="1126"/>
      <c r="AK6" s="1126"/>
      <c r="AL6" s="1179" t="s">
        <v>1002</v>
      </c>
      <c r="AM6" s="1180"/>
      <c r="AN6" s="1180"/>
      <c r="AO6" s="1180"/>
      <c r="AP6" s="1180"/>
      <c r="AQ6" s="1180"/>
      <c r="AR6" s="1180"/>
      <c r="AS6" s="1180"/>
      <c r="AT6" s="1180"/>
      <c r="AU6" s="1181"/>
      <c r="AV6" s="1126" t="s">
        <v>1390</v>
      </c>
      <c r="AW6" s="1182" t="s">
        <v>1058</v>
      </c>
      <c r="AX6" s="1126" t="s">
        <v>3086</v>
      </c>
      <c r="AY6" s="1128"/>
      <c r="AZ6" s="1128"/>
      <c r="BA6" s="1129"/>
      <c r="BB6" s="100"/>
      <c r="BC6" s="100"/>
      <c r="BD6" s="100"/>
      <c r="BE6" s="100"/>
      <c r="BF6" s="192" t="s">
        <v>1639</v>
      </c>
      <c r="BG6" s="192" t="s">
        <v>1640</v>
      </c>
      <c r="BH6" s="113" t="s">
        <v>1748</v>
      </c>
      <c r="BI6" s="113" t="s">
        <v>1749</v>
      </c>
      <c r="BJ6" s="118" t="s">
        <v>1750</v>
      </c>
      <c r="BK6" s="118" t="s">
        <v>1641</v>
      </c>
      <c r="BL6" s="118" t="s">
        <v>2209</v>
      </c>
      <c r="BM6" s="113" t="s">
        <v>1644</v>
      </c>
      <c r="BN6" s="825" t="s">
        <v>526</v>
      </c>
      <c r="BO6" s="111"/>
      <c r="BP6" s="78"/>
      <c r="BQ6" s="78"/>
      <c r="BR6" s="78"/>
      <c r="BS6" s="78"/>
      <c r="BT6" s="78"/>
      <c r="BU6" s="78"/>
      <c r="BV6" s="194"/>
      <c r="BW6" s="111"/>
    </row>
    <row r="7" s="1107" customFormat="1" ht="18" customHeight="1" spans="1:75">
      <c r="A7" s="1119"/>
      <c r="B7" s="1120"/>
      <c r="C7" s="1183" t="s">
        <v>3087</v>
      </c>
      <c r="D7" s="1183" t="s">
        <v>3088</v>
      </c>
      <c r="E7" s="1183" t="s">
        <v>3089</v>
      </c>
      <c r="F7" s="1183" t="s">
        <v>3090</v>
      </c>
      <c r="G7" s="1120" t="s">
        <v>3091</v>
      </c>
      <c r="H7" s="1120"/>
      <c r="I7" s="1120"/>
      <c r="J7" s="1120"/>
      <c r="K7" s="1120"/>
      <c r="L7" s="1120"/>
      <c r="M7" s="1120"/>
      <c r="N7" s="1120"/>
      <c r="O7" s="519" t="s">
        <v>1968</v>
      </c>
      <c r="P7" s="519" t="s">
        <v>1969</v>
      </c>
      <c r="Q7" s="519" t="s">
        <v>1970</v>
      </c>
      <c r="R7" s="519" t="s">
        <v>2177</v>
      </c>
      <c r="S7" s="1131" t="s">
        <v>3092</v>
      </c>
      <c r="T7" s="1120" t="s">
        <v>3093</v>
      </c>
      <c r="U7" s="1120" t="s">
        <v>3094</v>
      </c>
      <c r="V7" s="1120" t="s">
        <v>3095</v>
      </c>
      <c r="W7" s="1120" t="s">
        <v>3096</v>
      </c>
      <c r="X7" s="1120" t="s">
        <v>3097</v>
      </c>
      <c r="Y7" s="1120" t="s">
        <v>3098</v>
      </c>
      <c r="Z7" s="1120" t="s">
        <v>3099</v>
      </c>
      <c r="AA7" s="1126" t="s">
        <v>3100</v>
      </c>
      <c r="AB7" s="1126" t="s">
        <v>3101</v>
      </c>
      <c r="AC7" s="1131" t="s">
        <v>3092</v>
      </c>
      <c r="AD7" s="1120" t="s">
        <v>3093</v>
      </c>
      <c r="AE7" s="1120" t="s">
        <v>3094</v>
      </c>
      <c r="AF7" s="1120" t="s">
        <v>3095</v>
      </c>
      <c r="AG7" s="1120" t="s">
        <v>3096</v>
      </c>
      <c r="AH7" s="1120" t="s">
        <v>3097</v>
      </c>
      <c r="AI7" s="1120" t="s">
        <v>3098</v>
      </c>
      <c r="AJ7" s="1120" t="s">
        <v>3099</v>
      </c>
      <c r="AK7" s="1126" t="str">
        <f>AB7</f>
        <v>跌价准备</v>
      </c>
      <c r="AL7" s="1131" t="s">
        <v>3092</v>
      </c>
      <c r="AM7" s="1120" t="s">
        <v>3093</v>
      </c>
      <c r="AN7" s="1120" t="s">
        <v>3094</v>
      </c>
      <c r="AO7" s="1120" t="s">
        <v>3095</v>
      </c>
      <c r="AP7" s="1120" t="s">
        <v>3096</v>
      </c>
      <c r="AQ7" s="1120" t="s">
        <v>3097</v>
      </c>
      <c r="AR7" s="1120" t="s">
        <v>3098</v>
      </c>
      <c r="AS7" s="1120" t="s">
        <v>3099</v>
      </c>
      <c r="AT7" s="1126" t="s">
        <v>3100</v>
      </c>
      <c r="AU7" s="1126" t="s">
        <v>3101</v>
      </c>
      <c r="AV7" s="1126"/>
      <c r="AW7" s="1184"/>
      <c r="AX7" s="1126"/>
      <c r="AY7" s="1128"/>
      <c r="AZ7" s="1128"/>
      <c r="BA7" s="100" t="s">
        <v>1545</v>
      </c>
      <c r="BB7" s="100" t="s">
        <v>1635</v>
      </c>
      <c r="BC7" s="100" t="s">
        <v>1636</v>
      </c>
      <c r="BD7" s="100" t="s">
        <v>1637</v>
      </c>
      <c r="BE7" s="100" t="s">
        <v>1638</v>
      </c>
      <c r="BF7" s="197"/>
      <c r="BG7" s="197"/>
      <c r="BH7" s="113"/>
      <c r="BI7" s="113"/>
      <c r="BJ7" s="118"/>
      <c r="BK7" s="118"/>
      <c r="BL7" s="118"/>
      <c r="BM7" s="113"/>
      <c r="BN7" s="825"/>
      <c r="BO7" s="119"/>
      <c r="BP7" s="120" t="s">
        <v>1645</v>
      </c>
      <c r="BQ7" s="121" t="s">
        <v>1646</v>
      </c>
      <c r="BR7" s="121" t="s">
        <v>1647</v>
      </c>
      <c r="BS7" s="121" t="s">
        <v>1648</v>
      </c>
      <c r="BT7" s="121" t="s">
        <v>1647</v>
      </c>
      <c r="BU7" s="121" t="s">
        <v>1647</v>
      </c>
      <c r="BV7" s="121" t="s">
        <v>1649</v>
      </c>
      <c r="BW7" s="122" t="s">
        <v>1650</v>
      </c>
    </row>
    <row r="8" customHeight="1" spans="1:75">
      <c r="A8" s="1132" t="str">
        <f>IF(B8="","",COUNT(A$7:A7)+1)</f>
        <v/>
      </c>
      <c r="B8" s="1133"/>
      <c r="C8" s="1164"/>
      <c r="D8" s="1164"/>
      <c r="E8" s="1164"/>
      <c r="F8" s="1164"/>
      <c r="G8" s="1164"/>
      <c r="H8" s="1133"/>
      <c r="I8" s="1133"/>
      <c r="J8" s="1133"/>
      <c r="K8" s="1133"/>
      <c r="L8" s="1134"/>
      <c r="M8" s="1134"/>
      <c r="N8" s="1134"/>
      <c r="O8" s="127"/>
      <c r="P8" s="127" t="str">
        <f>IFERROR(VLOOKUP(O8,参数表!$H$2:$I$50,2,FALSE),"")</f>
        <v/>
      </c>
      <c r="Q8" s="128" t="str">
        <f t="shared" ref="Q8:Q25" si="0">IFERROR(IF(OR(O8="人民币",O8=""),"",AT8/P8),"")</f>
        <v/>
      </c>
      <c r="R8" s="128" t="str">
        <f t="shared" ref="R8:R25" si="1">IFERROR(IF(OR(O8="人民币",O8=""),"",AU8/P8),"")</f>
        <v/>
      </c>
      <c r="S8" s="1136"/>
      <c r="T8" s="1136"/>
      <c r="U8" s="1136"/>
      <c r="V8" s="1136"/>
      <c r="W8" s="1136"/>
      <c r="X8" s="1136"/>
      <c r="Y8" s="1136"/>
      <c r="Z8" s="1136"/>
      <c r="AA8" s="1152" t="str">
        <f t="shared" ref="AA8:AA25" si="2">IF(B8="","",SUM(S8:Z8))</f>
        <v/>
      </c>
      <c r="AB8" s="1152"/>
      <c r="AC8" s="1152"/>
      <c r="AD8" s="1152"/>
      <c r="AE8" s="1152"/>
      <c r="AF8" s="1152"/>
      <c r="AG8" s="1152"/>
      <c r="AH8" s="1152"/>
      <c r="AI8" s="1152"/>
      <c r="AJ8" s="1152"/>
      <c r="AK8" s="1152"/>
      <c r="AL8" s="1152" t="str">
        <f t="shared" ref="AL8:AL25" si="3">IF(B8="","",S8+AC8)</f>
        <v/>
      </c>
      <c r="AM8" s="1152" t="str">
        <f t="shared" ref="AM8:AM25" si="4">IF(B8="","",T8+AD8)</f>
        <v/>
      </c>
      <c r="AN8" s="1152" t="str">
        <f t="shared" ref="AN8:AN25" si="5">IF(B8="","",U8+AE8)</f>
        <v/>
      </c>
      <c r="AO8" s="1152" t="str">
        <f t="shared" ref="AO8:AO25" si="6">IF(B8="","",V8+AF8)</f>
        <v/>
      </c>
      <c r="AP8" s="1152" t="str">
        <f t="shared" ref="AP8:AP25" si="7">IF(B8="","",W8+AG8)</f>
        <v/>
      </c>
      <c r="AQ8" s="1152" t="str">
        <f t="shared" ref="AQ8:AQ25" si="8">IF(B8="","",X8+AH8)</f>
        <v/>
      </c>
      <c r="AR8" s="1152" t="str">
        <f t="shared" ref="AR8:AR25" si="9">IF(B8="","",Y8+AI8)</f>
        <v/>
      </c>
      <c r="AS8" s="1152" t="str">
        <f t="shared" ref="AS8:AS25" si="10">IF(B8="","",Z8+AJ8)</f>
        <v/>
      </c>
      <c r="AT8" s="1152" t="str">
        <f t="shared" ref="AT8:AT25" si="11">IF(B8="","",SUM(AL8:AS8))</f>
        <v/>
      </c>
      <c r="AU8" s="1152" t="str">
        <f t="shared" ref="AU8:AU25" si="12">IF(B8="","",AB8+AK8)</f>
        <v/>
      </c>
      <c r="AV8" s="1152" t="str">
        <f t="shared" ref="AV8:AV25" si="13">IF(B8="","",IF(BB$3="是",BN8,""))</f>
        <v/>
      </c>
      <c r="AW8" s="1152" t="str">
        <f>IFERROR((AV8-(AT8-AU8))/(AT8-AU8)*100,"")</f>
        <v/>
      </c>
      <c r="AX8" s="1133"/>
      <c r="AY8" s="1137"/>
      <c r="AZ8" s="1137"/>
      <c r="BA8" s="78"/>
      <c r="BB8" s="132" t="s">
        <v>3102</v>
      </c>
      <c r="BC8" s="133"/>
      <c r="BD8" s="132" t="str">
        <f>IF(OR(B8="",BC8=""),"",COUNTIF(BC$8:BC8,"√"))</f>
        <v/>
      </c>
      <c r="BE8" s="134" t="str">
        <f t="shared" ref="BE8:BE25" si="14">IF(BC8="","",BB8&amp;"︱"&amp;B8&amp;"︱"&amp;TEXT(AA8,"#,##0.00"))</f>
        <v/>
      </c>
      <c r="BF8" s="135" t="str">
        <f>IF($B8="","",IF(BF$5=0,"OK","出错"))</f>
        <v/>
      </c>
      <c r="BG8" s="135" t="str">
        <f>IF($B8="","",IF(BG$5=0,"OK","出错"))</f>
        <v/>
      </c>
      <c r="BH8" s="136"/>
      <c r="BI8" s="136"/>
      <c r="BJ8" s="136"/>
      <c r="BK8" s="136"/>
      <c r="BL8" s="137"/>
      <c r="BM8" s="137"/>
      <c r="BN8" s="1185"/>
      <c r="BP8" s="134" t="str">
        <f>IF(COUNTIF(BP$7:BP7,B8)&gt;0,"",B8)&amp;""</f>
        <v/>
      </c>
      <c r="BQ8" s="138">
        <f>SUMIF(B$8:B$25,BP8,AT$8:AT$25)</f>
        <v>0</v>
      </c>
      <c r="BR8" s="132">
        <f>RANK(BQ8,BQ$8:BQ$25)</f>
        <v>1</v>
      </c>
      <c r="BS8" s="138">
        <f>SUMIF(B$8:B$25,BP8,AV$8:AV$25)</f>
        <v>0</v>
      </c>
      <c r="BT8" s="132">
        <f t="shared" ref="BT8:BT25" si="15">RANK(BS8,BS$8:BS$25)</f>
        <v>1</v>
      </c>
      <c r="BU8" s="138">
        <f>SUM(BQ8:BQ25)</f>
        <v>0</v>
      </c>
      <c r="BV8" s="138"/>
      <c r="BW8" s="138"/>
    </row>
    <row r="9" customHeight="1" spans="1:75">
      <c r="A9" s="1132" t="str">
        <f>IF(B9="","",COUNT(A$7:A8)+1)</f>
        <v/>
      </c>
      <c r="B9" s="1138"/>
      <c r="C9" s="1166"/>
      <c r="D9" s="1166"/>
      <c r="E9" s="1166"/>
      <c r="F9" s="1166"/>
      <c r="G9" s="1166"/>
      <c r="H9" s="1138"/>
      <c r="I9" s="1138"/>
      <c r="J9" s="1138"/>
      <c r="K9" s="1138"/>
      <c r="L9" s="1139"/>
      <c r="M9" s="1139"/>
      <c r="N9" s="1139"/>
      <c r="O9" s="142"/>
      <c r="P9" s="127" t="str">
        <f>IFERROR(VLOOKUP(O9,参数表!$H$2:$I$50,2,FALSE),"")</f>
        <v/>
      </c>
      <c r="Q9" s="128" t="str">
        <f t="shared" si="0"/>
        <v/>
      </c>
      <c r="R9" s="128" t="str">
        <f t="shared" si="1"/>
        <v/>
      </c>
      <c r="S9" s="1141"/>
      <c r="T9" s="1141"/>
      <c r="U9" s="1141"/>
      <c r="V9" s="1141"/>
      <c r="W9" s="1141"/>
      <c r="X9" s="1141"/>
      <c r="Y9" s="1141"/>
      <c r="Z9" s="1141"/>
      <c r="AA9" s="1152" t="str">
        <f t="shared" si="2"/>
        <v/>
      </c>
      <c r="AB9" s="1167"/>
      <c r="AC9" s="1167"/>
      <c r="AD9" s="1167"/>
      <c r="AE9" s="1167"/>
      <c r="AF9" s="1167"/>
      <c r="AG9" s="1167"/>
      <c r="AH9" s="1167"/>
      <c r="AI9" s="1167"/>
      <c r="AJ9" s="1167"/>
      <c r="AK9" s="1167"/>
      <c r="AL9" s="1152" t="str">
        <f t="shared" si="3"/>
        <v/>
      </c>
      <c r="AM9" s="1152" t="str">
        <f t="shared" si="4"/>
        <v/>
      </c>
      <c r="AN9" s="1152" t="str">
        <f t="shared" si="5"/>
        <v/>
      </c>
      <c r="AO9" s="1152" t="str">
        <f t="shared" si="6"/>
        <v/>
      </c>
      <c r="AP9" s="1152" t="str">
        <f t="shared" si="7"/>
        <v/>
      </c>
      <c r="AQ9" s="1152" t="str">
        <f t="shared" si="8"/>
        <v/>
      </c>
      <c r="AR9" s="1152" t="str">
        <f t="shared" si="9"/>
        <v/>
      </c>
      <c r="AS9" s="1152" t="str">
        <f t="shared" si="10"/>
        <v/>
      </c>
      <c r="AT9" s="1152" t="str">
        <f t="shared" si="11"/>
        <v/>
      </c>
      <c r="AU9" s="1152" t="str">
        <f t="shared" si="12"/>
        <v/>
      </c>
      <c r="AV9" s="1152" t="str">
        <f t="shared" si="13"/>
        <v/>
      </c>
      <c r="AW9" s="1152" t="str">
        <f t="shared" ref="AW9:AW26" si="16">IFERROR((AV9-(AT9-AU9))/(AT9-AU9)*100,"")</f>
        <v/>
      </c>
      <c r="AX9" s="1186"/>
      <c r="AY9" s="1187"/>
      <c r="AZ9" s="1187"/>
      <c r="BA9" s="78"/>
      <c r="BB9" s="132" t="s">
        <v>3103</v>
      </c>
      <c r="BC9" s="133"/>
      <c r="BD9" s="132" t="str">
        <f>IF(OR(B9="",BC9=""),"",COUNTIF(BC$8:BC9,"√"))</f>
        <v/>
      </c>
      <c r="BE9" s="134" t="str">
        <f t="shared" si="14"/>
        <v/>
      </c>
      <c r="BF9" s="135" t="str">
        <f t="shared" ref="BF9:BG25" si="17">IF($B9="","",IF(BF$5=0,"OK","出错"))</f>
        <v/>
      </c>
      <c r="BG9" s="135" t="str">
        <f t="shared" si="17"/>
        <v/>
      </c>
      <c r="BH9" s="136"/>
      <c r="BI9" s="136"/>
      <c r="BJ9" s="136"/>
      <c r="BK9" s="136"/>
      <c r="BL9" s="137"/>
      <c r="BM9" s="137"/>
      <c r="BN9" s="810"/>
      <c r="BP9" s="134" t="str">
        <f>IF(COUNTIF(BP$7:BP8,B9)&gt;0,"",B9)&amp;""</f>
        <v/>
      </c>
      <c r="BQ9" s="138">
        <f t="shared" ref="BQ9:BQ25" si="18">SUMIF(B$8:B$25,BP9,AT$8:AT$25)</f>
        <v>0</v>
      </c>
      <c r="BR9" s="132">
        <f t="shared" ref="BR9:BR25" si="19">RANK(BQ9,BQ$8:BQ$25)</f>
        <v>1</v>
      </c>
      <c r="BS9" s="138">
        <f t="shared" ref="BS9:BS25" si="20">SUMIF(B$8:B$25,BP9,AV$8:AV$25)</f>
        <v>0</v>
      </c>
      <c r="BT9" s="132">
        <f t="shared" si="15"/>
        <v>1</v>
      </c>
      <c r="BU9" s="138">
        <f>SUM(BS8:BS25)</f>
        <v>0</v>
      </c>
      <c r="BV9" s="138"/>
      <c r="BW9" s="138"/>
    </row>
    <row r="10" customHeight="1" spans="1:75">
      <c r="A10" s="1132" t="str">
        <f>IF(B10="","",COUNT(A$7:A9)+1)</f>
        <v/>
      </c>
      <c r="B10" s="1138"/>
      <c r="C10" s="1166"/>
      <c r="D10" s="1166"/>
      <c r="E10" s="1166"/>
      <c r="F10" s="1166"/>
      <c r="G10" s="1166"/>
      <c r="H10" s="1138"/>
      <c r="I10" s="1138"/>
      <c r="J10" s="1138"/>
      <c r="K10" s="1138"/>
      <c r="L10" s="1139"/>
      <c r="M10" s="1139"/>
      <c r="N10" s="1139"/>
      <c r="O10" s="142"/>
      <c r="P10" s="127" t="str">
        <f>IFERROR(VLOOKUP(O10,参数表!$H$2:$I$50,2,FALSE),"")</f>
        <v/>
      </c>
      <c r="Q10" s="128" t="str">
        <f t="shared" si="0"/>
        <v/>
      </c>
      <c r="R10" s="128" t="str">
        <f t="shared" si="1"/>
        <v/>
      </c>
      <c r="S10" s="1141"/>
      <c r="T10" s="1141"/>
      <c r="U10" s="1141"/>
      <c r="V10" s="1141"/>
      <c r="W10" s="1141"/>
      <c r="X10" s="1141"/>
      <c r="Y10" s="1141"/>
      <c r="Z10" s="1141"/>
      <c r="AA10" s="1152" t="str">
        <f t="shared" si="2"/>
        <v/>
      </c>
      <c r="AB10" s="1167"/>
      <c r="AC10" s="1167"/>
      <c r="AD10" s="1167"/>
      <c r="AE10" s="1167"/>
      <c r="AF10" s="1167"/>
      <c r="AG10" s="1167"/>
      <c r="AH10" s="1167"/>
      <c r="AI10" s="1167"/>
      <c r="AJ10" s="1167"/>
      <c r="AK10" s="1167"/>
      <c r="AL10" s="1152" t="str">
        <f t="shared" si="3"/>
        <v/>
      </c>
      <c r="AM10" s="1152" t="str">
        <f t="shared" si="4"/>
        <v/>
      </c>
      <c r="AN10" s="1152" t="str">
        <f t="shared" si="5"/>
        <v/>
      </c>
      <c r="AO10" s="1152" t="str">
        <f t="shared" si="6"/>
        <v/>
      </c>
      <c r="AP10" s="1152" t="str">
        <f t="shared" si="7"/>
        <v/>
      </c>
      <c r="AQ10" s="1152" t="str">
        <f t="shared" si="8"/>
        <v/>
      </c>
      <c r="AR10" s="1152" t="str">
        <f t="shared" si="9"/>
        <v/>
      </c>
      <c r="AS10" s="1152" t="str">
        <f t="shared" si="10"/>
        <v/>
      </c>
      <c r="AT10" s="1152" t="str">
        <f t="shared" si="11"/>
        <v/>
      </c>
      <c r="AU10" s="1152" t="str">
        <f t="shared" si="12"/>
        <v/>
      </c>
      <c r="AV10" s="1152" t="str">
        <f t="shared" si="13"/>
        <v/>
      </c>
      <c r="AW10" s="1152" t="str">
        <f t="shared" si="16"/>
        <v/>
      </c>
      <c r="AX10" s="1138"/>
      <c r="AY10" s="1137"/>
      <c r="AZ10" s="1137"/>
      <c r="BA10" s="78"/>
      <c r="BB10" s="132" t="s">
        <v>3104</v>
      </c>
      <c r="BC10" s="133"/>
      <c r="BD10" s="132" t="str">
        <f>IF(OR(B10="",BC10=""),"",COUNTIF(BC$8:BC10,"√"))</f>
        <v/>
      </c>
      <c r="BE10" s="134" t="str">
        <f t="shared" si="14"/>
        <v/>
      </c>
      <c r="BF10" s="135" t="str">
        <f t="shared" si="17"/>
        <v/>
      </c>
      <c r="BG10" s="135" t="str">
        <f t="shared" si="17"/>
        <v/>
      </c>
      <c r="BH10" s="136"/>
      <c r="BI10" s="136"/>
      <c r="BJ10" s="136"/>
      <c r="BK10" s="136"/>
      <c r="BL10" s="137"/>
      <c r="BM10" s="137"/>
      <c r="BN10" s="810"/>
      <c r="BP10" s="134" t="str">
        <f>IF(COUNTIF(BP$7:BP9,B10)&gt;0,"",B10)&amp;""</f>
        <v/>
      </c>
      <c r="BQ10" s="138">
        <f t="shared" si="18"/>
        <v>0</v>
      </c>
      <c r="BR10" s="132">
        <f t="shared" si="19"/>
        <v>1</v>
      </c>
      <c r="BS10" s="138">
        <f t="shared" si="20"/>
        <v>0</v>
      </c>
      <c r="BT10" s="132">
        <f t="shared" si="15"/>
        <v>1</v>
      </c>
      <c r="BU10" s="132">
        <v>1</v>
      </c>
      <c r="BV10" s="134" t="str">
        <f>IFERROR(INDEX(BP$8:BP$25,MATCH(BU10,IF(BU$8=0,BT$8:BT$25,BR$8:BR$25),0))&amp;"","")</f>
        <v/>
      </c>
      <c r="BW10" s="146" t="str">
        <f>IF(BV11="","",IF(BV12="","和","、"))</f>
        <v/>
      </c>
    </row>
    <row r="11" customHeight="1" spans="1:75">
      <c r="A11" s="1132" t="str">
        <f>IF(B11="","",COUNT(A$7:A10)+1)</f>
        <v/>
      </c>
      <c r="B11" s="1138"/>
      <c r="C11" s="1166"/>
      <c r="D11" s="1166"/>
      <c r="E11" s="1166"/>
      <c r="F11" s="1166"/>
      <c r="G11" s="1166"/>
      <c r="H11" s="1138"/>
      <c r="I11" s="1138"/>
      <c r="J11" s="1138"/>
      <c r="K11" s="1138"/>
      <c r="L11" s="1139"/>
      <c r="M11" s="1139"/>
      <c r="N11" s="1139"/>
      <c r="O11" s="142"/>
      <c r="P11" s="127" t="str">
        <f>IFERROR(VLOOKUP(O11,参数表!$H$2:$I$50,2,FALSE),"")</f>
        <v/>
      </c>
      <c r="Q11" s="128" t="str">
        <f t="shared" si="0"/>
        <v/>
      </c>
      <c r="R11" s="128" t="str">
        <f t="shared" si="1"/>
        <v/>
      </c>
      <c r="S11" s="1141"/>
      <c r="T11" s="1141"/>
      <c r="U11" s="1141"/>
      <c r="V11" s="1141"/>
      <c r="W11" s="1141"/>
      <c r="X11" s="1141"/>
      <c r="Y11" s="1141"/>
      <c r="Z11" s="1141"/>
      <c r="AA11" s="1152" t="str">
        <f t="shared" si="2"/>
        <v/>
      </c>
      <c r="AB11" s="1167"/>
      <c r="AC11" s="1167"/>
      <c r="AD11" s="1167"/>
      <c r="AE11" s="1167"/>
      <c r="AF11" s="1167"/>
      <c r="AG11" s="1167"/>
      <c r="AH11" s="1167"/>
      <c r="AI11" s="1167"/>
      <c r="AJ11" s="1167"/>
      <c r="AK11" s="1167"/>
      <c r="AL11" s="1152" t="str">
        <f t="shared" si="3"/>
        <v/>
      </c>
      <c r="AM11" s="1152" t="str">
        <f t="shared" si="4"/>
        <v/>
      </c>
      <c r="AN11" s="1152" t="str">
        <f t="shared" si="5"/>
        <v/>
      </c>
      <c r="AO11" s="1152" t="str">
        <f t="shared" si="6"/>
        <v/>
      </c>
      <c r="AP11" s="1152" t="str">
        <f t="shared" si="7"/>
        <v/>
      </c>
      <c r="AQ11" s="1152" t="str">
        <f t="shared" si="8"/>
        <v/>
      </c>
      <c r="AR11" s="1152" t="str">
        <f t="shared" si="9"/>
        <v/>
      </c>
      <c r="AS11" s="1152" t="str">
        <f t="shared" si="10"/>
        <v/>
      </c>
      <c r="AT11" s="1152" t="str">
        <f t="shared" si="11"/>
        <v/>
      </c>
      <c r="AU11" s="1152" t="str">
        <f t="shared" si="12"/>
        <v/>
      </c>
      <c r="AV11" s="1152" t="str">
        <f t="shared" si="13"/>
        <v/>
      </c>
      <c r="AW11" s="1152" t="str">
        <f t="shared" si="16"/>
        <v/>
      </c>
      <c r="AX11" s="1138"/>
      <c r="AY11" s="1137"/>
      <c r="AZ11" s="1137"/>
      <c r="BA11" s="78"/>
      <c r="BB11" s="132" t="s">
        <v>3105</v>
      </c>
      <c r="BC11" s="133"/>
      <c r="BD11" s="132" t="str">
        <f>IF(OR(B11="",BC11=""),"",COUNTIF(BC$8:BC11,"√"))</f>
        <v/>
      </c>
      <c r="BE11" s="134" t="str">
        <f t="shared" si="14"/>
        <v/>
      </c>
      <c r="BF11" s="135" t="str">
        <f t="shared" si="17"/>
        <v/>
      </c>
      <c r="BG11" s="135" t="str">
        <f t="shared" si="17"/>
        <v/>
      </c>
      <c r="BH11" s="136"/>
      <c r="BI11" s="136"/>
      <c r="BJ11" s="136"/>
      <c r="BK11" s="136"/>
      <c r="BL11" s="137"/>
      <c r="BM11" s="137"/>
      <c r="BN11" s="810"/>
      <c r="BP11" s="134" t="str">
        <f>IF(COUNTIF(BP$7:BP10,B11)&gt;0,"",B11)&amp;""</f>
        <v/>
      </c>
      <c r="BQ11" s="138">
        <f t="shared" si="18"/>
        <v>0</v>
      </c>
      <c r="BR11" s="132">
        <f t="shared" si="19"/>
        <v>1</v>
      </c>
      <c r="BS11" s="138">
        <f t="shared" si="20"/>
        <v>0</v>
      </c>
      <c r="BT11" s="132">
        <f t="shared" si="15"/>
        <v>1</v>
      </c>
      <c r="BU11" s="132">
        <v>2</v>
      </c>
      <c r="BV11" s="134" t="str">
        <f>IFERROR(INDEX(BP$8:BP$25,MATCH(BU11,IF(BU$8=0,BT$8:BT$25,BR$8:BR$25),0))&amp;"","")</f>
        <v/>
      </c>
      <c r="BW11" s="146" t="str">
        <f t="shared" ref="BW11:BW12" si="21">IF(BV12="","",IF(BV13="","和","、"))</f>
        <v/>
      </c>
    </row>
    <row r="12" customHeight="1" spans="1:75">
      <c r="A12" s="1132" t="str">
        <f>IF(B12="","",COUNT(A$7:A11)+1)</f>
        <v/>
      </c>
      <c r="B12" s="1138"/>
      <c r="C12" s="1166"/>
      <c r="D12" s="1166"/>
      <c r="E12" s="1166"/>
      <c r="F12" s="1166"/>
      <c r="G12" s="1166"/>
      <c r="H12" s="1138"/>
      <c r="I12" s="1138"/>
      <c r="J12" s="1138"/>
      <c r="K12" s="1138"/>
      <c r="L12" s="1139"/>
      <c r="M12" s="1139"/>
      <c r="N12" s="1139"/>
      <c r="O12" s="142"/>
      <c r="P12" s="127" t="str">
        <f>IFERROR(VLOOKUP(O12,参数表!$H$2:$I$50,2,FALSE),"")</f>
        <v/>
      </c>
      <c r="Q12" s="128" t="str">
        <f t="shared" si="0"/>
        <v/>
      </c>
      <c r="R12" s="128" t="str">
        <f t="shared" si="1"/>
        <v/>
      </c>
      <c r="S12" s="1141"/>
      <c r="T12" s="1141"/>
      <c r="U12" s="1141"/>
      <c r="V12" s="1141"/>
      <c r="W12" s="1141"/>
      <c r="X12" s="1141"/>
      <c r="Y12" s="1141"/>
      <c r="Z12" s="1141"/>
      <c r="AA12" s="1152" t="str">
        <f t="shared" si="2"/>
        <v/>
      </c>
      <c r="AB12" s="1167"/>
      <c r="AC12" s="1167"/>
      <c r="AD12" s="1167"/>
      <c r="AE12" s="1167"/>
      <c r="AF12" s="1167"/>
      <c r="AG12" s="1167"/>
      <c r="AH12" s="1167"/>
      <c r="AI12" s="1167"/>
      <c r="AJ12" s="1167"/>
      <c r="AK12" s="1167"/>
      <c r="AL12" s="1152" t="str">
        <f t="shared" si="3"/>
        <v/>
      </c>
      <c r="AM12" s="1152" t="str">
        <f t="shared" si="4"/>
        <v/>
      </c>
      <c r="AN12" s="1152" t="str">
        <f t="shared" si="5"/>
        <v/>
      </c>
      <c r="AO12" s="1152" t="str">
        <f t="shared" si="6"/>
        <v/>
      </c>
      <c r="AP12" s="1152" t="str">
        <f t="shared" si="7"/>
        <v/>
      </c>
      <c r="AQ12" s="1152" t="str">
        <f t="shared" si="8"/>
        <v/>
      </c>
      <c r="AR12" s="1152" t="str">
        <f t="shared" si="9"/>
        <v/>
      </c>
      <c r="AS12" s="1152" t="str">
        <f t="shared" si="10"/>
        <v/>
      </c>
      <c r="AT12" s="1152" t="str">
        <f t="shared" si="11"/>
        <v/>
      </c>
      <c r="AU12" s="1152" t="str">
        <f t="shared" si="12"/>
        <v/>
      </c>
      <c r="AV12" s="1152" t="str">
        <f t="shared" si="13"/>
        <v/>
      </c>
      <c r="AW12" s="1152" t="str">
        <f t="shared" si="16"/>
        <v/>
      </c>
      <c r="AX12" s="1138"/>
      <c r="AY12" s="1137"/>
      <c r="AZ12" s="1137"/>
      <c r="BA12" s="78"/>
      <c r="BB12" s="132" t="s">
        <v>3106</v>
      </c>
      <c r="BC12" s="133"/>
      <c r="BD12" s="132" t="str">
        <f>IF(OR(B12="",BC12=""),"",COUNTIF(BC$8:BC12,"√"))</f>
        <v/>
      </c>
      <c r="BE12" s="134" t="str">
        <f t="shared" si="14"/>
        <v/>
      </c>
      <c r="BF12" s="135" t="str">
        <f t="shared" si="17"/>
        <v/>
      </c>
      <c r="BG12" s="135" t="str">
        <f t="shared" si="17"/>
        <v/>
      </c>
      <c r="BH12" s="136"/>
      <c r="BI12" s="136"/>
      <c r="BJ12" s="136"/>
      <c r="BK12" s="136"/>
      <c r="BL12" s="137"/>
      <c r="BM12" s="137"/>
      <c r="BN12" s="810"/>
      <c r="BP12" s="134" t="str">
        <f>IF(COUNTIF(BP$7:BP11,B12)&gt;0,"",B12)&amp;""</f>
        <v/>
      </c>
      <c r="BQ12" s="138">
        <f t="shared" si="18"/>
        <v>0</v>
      </c>
      <c r="BR12" s="132">
        <f t="shared" si="19"/>
        <v>1</v>
      </c>
      <c r="BS12" s="138">
        <f t="shared" si="20"/>
        <v>0</v>
      </c>
      <c r="BT12" s="132">
        <f t="shared" si="15"/>
        <v>1</v>
      </c>
      <c r="BU12" s="132">
        <v>3</v>
      </c>
      <c r="BV12" s="134" t="str">
        <f>IFERROR(INDEX(BP$8:BP$25,MATCH(BU12,IF(BU$8=0,BT$8:BT$25,BR$8:BR$25),0))&amp;"","")</f>
        <v/>
      </c>
      <c r="BW12" s="146" t="str">
        <f t="shared" si="21"/>
        <v/>
      </c>
    </row>
    <row r="13" customHeight="1" spans="1:75">
      <c r="A13" s="1132" t="str">
        <f>IF(B13="","",COUNT(A$7:A12)+1)</f>
        <v/>
      </c>
      <c r="B13" s="1138"/>
      <c r="C13" s="1166"/>
      <c r="D13" s="1166"/>
      <c r="E13" s="1166"/>
      <c r="F13" s="1166"/>
      <c r="G13" s="1166"/>
      <c r="H13" s="1138"/>
      <c r="I13" s="1138"/>
      <c r="J13" s="1138"/>
      <c r="K13" s="1138"/>
      <c r="L13" s="1139"/>
      <c r="M13" s="1139"/>
      <c r="N13" s="1139"/>
      <c r="O13" s="142"/>
      <c r="P13" s="127" t="str">
        <f>IFERROR(VLOOKUP(O13,参数表!$H$2:$I$50,2,FALSE),"")</f>
        <v/>
      </c>
      <c r="Q13" s="128" t="str">
        <f t="shared" si="0"/>
        <v/>
      </c>
      <c r="R13" s="128" t="str">
        <f t="shared" si="1"/>
        <v/>
      </c>
      <c r="S13" s="1141"/>
      <c r="T13" s="1141"/>
      <c r="U13" s="1141"/>
      <c r="V13" s="1141"/>
      <c r="W13" s="1141"/>
      <c r="X13" s="1141"/>
      <c r="Y13" s="1141"/>
      <c r="Z13" s="1141"/>
      <c r="AA13" s="1152" t="str">
        <f t="shared" si="2"/>
        <v/>
      </c>
      <c r="AB13" s="1167"/>
      <c r="AC13" s="1167"/>
      <c r="AD13" s="1167"/>
      <c r="AE13" s="1167"/>
      <c r="AF13" s="1167"/>
      <c r="AG13" s="1167"/>
      <c r="AH13" s="1167"/>
      <c r="AI13" s="1167"/>
      <c r="AJ13" s="1167"/>
      <c r="AK13" s="1167"/>
      <c r="AL13" s="1152" t="str">
        <f t="shared" si="3"/>
        <v/>
      </c>
      <c r="AM13" s="1152" t="str">
        <f t="shared" si="4"/>
        <v/>
      </c>
      <c r="AN13" s="1152" t="str">
        <f t="shared" si="5"/>
        <v/>
      </c>
      <c r="AO13" s="1152" t="str">
        <f t="shared" si="6"/>
        <v/>
      </c>
      <c r="AP13" s="1152" t="str">
        <f t="shared" si="7"/>
        <v/>
      </c>
      <c r="AQ13" s="1152" t="str">
        <f t="shared" si="8"/>
        <v/>
      </c>
      <c r="AR13" s="1152" t="str">
        <f t="shared" si="9"/>
        <v/>
      </c>
      <c r="AS13" s="1152" t="str">
        <f t="shared" si="10"/>
        <v/>
      </c>
      <c r="AT13" s="1152" t="str">
        <f t="shared" si="11"/>
        <v/>
      </c>
      <c r="AU13" s="1152" t="str">
        <f t="shared" si="12"/>
        <v/>
      </c>
      <c r="AV13" s="1152" t="str">
        <f t="shared" si="13"/>
        <v/>
      </c>
      <c r="AW13" s="1152" t="str">
        <f t="shared" si="16"/>
        <v/>
      </c>
      <c r="AX13" s="1138"/>
      <c r="AY13" s="1137"/>
      <c r="AZ13" s="1137"/>
      <c r="BA13" s="78"/>
      <c r="BB13" s="132" t="s">
        <v>3107</v>
      </c>
      <c r="BC13" s="133"/>
      <c r="BD13" s="132" t="str">
        <f>IF(OR(B13="",BC13=""),"",COUNTIF(BC$8:BC13,"√"))</f>
        <v/>
      </c>
      <c r="BE13" s="134" t="str">
        <f t="shared" si="14"/>
        <v/>
      </c>
      <c r="BF13" s="135" t="str">
        <f t="shared" si="17"/>
        <v/>
      </c>
      <c r="BG13" s="135" t="str">
        <f t="shared" si="17"/>
        <v/>
      </c>
      <c r="BH13" s="136"/>
      <c r="BI13" s="136"/>
      <c r="BJ13" s="136"/>
      <c r="BK13" s="136"/>
      <c r="BL13" s="137"/>
      <c r="BM13" s="137"/>
      <c r="BN13" s="810"/>
      <c r="BP13" s="134" t="str">
        <f>IF(COUNTIF(BP$7:BP12,B13)&gt;0,"",B13)&amp;""</f>
        <v/>
      </c>
      <c r="BQ13" s="138">
        <f t="shared" si="18"/>
        <v>0</v>
      </c>
      <c r="BR13" s="132">
        <f t="shared" si="19"/>
        <v>1</v>
      </c>
      <c r="BS13" s="138">
        <f t="shared" si="20"/>
        <v>0</v>
      </c>
      <c r="BT13" s="132">
        <f t="shared" si="15"/>
        <v>1</v>
      </c>
      <c r="BU13" s="132">
        <v>4</v>
      </c>
      <c r="BV13" s="134" t="str">
        <f>IFERROR(INDEX(BP$8:BP$25,MATCH(BU13,IF(BU$8=0,BT$8:BT$25,BR$8:BR$25),0))&amp;"","")</f>
        <v/>
      </c>
      <c r="BW13" s="146" t="str">
        <f>IF(BV14="","","和")</f>
        <v/>
      </c>
    </row>
    <row r="14" customHeight="1" spans="1:75">
      <c r="A14" s="1132" t="str">
        <f>IF(B14="","",COUNT(A$7:A13)+1)</f>
        <v/>
      </c>
      <c r="B14" s="1138"/>
      <c r="C14" s="1166"/>
      <c r="D14" s="1166"/>
      <c r="E14" s="1166"/>
      <c r="F14" s="1166"/>
      <c r="G14" s="1166"/>
      <c r="H14" s="1138"/>
      <c r="I14" s="1138"/>
      <c r="J14" s="1138"/>
      <c r="K14" s="1138"/>
      <c r="L14" s="1139"/>
      <c r="M14" s="1139"/>
      <c r="N14" s="1139"/>
      <c r="O14" s="142"/>
      <c r="P14" s="127" t="str">
        <f>IFERROR(VLOOKUP(O14,参数表!$H$2:$I$50,2,FALSE),"")</f>
        <v/>
      </c>
      <c r="Q14" s="128" t="str">
        <f t="shared" si="0"/>
        <v/>
      </c>
      <c r="R14" s="128" t="str">
        <f t="shared" si="1"/>
        <v/>
      </c>
      <c r="S14" s="1141"/>
      <c r="T14" s="1141"/>
      <c r="U14" s="1141"/>
      <c r="V14" s="1141"/>
      <c r="W14" s="1141"/>
      <c r="X14" s="1141"/>
      <c r="Y14" s="1141"/>
      <c r="Z14" s="1141"/>
      <c r="AA14" s="1152" t="str">
        <f t="shared" si="2"/>
        <v/>
      </c>
      <c r="AB14" s="1167"/>
      <c r="AC14" s="1167"/>
      <c r="AD14" s="1167"/>
      <c r="AE14" s="1167"/>
      <c r="AF14" s="1167"/>
      <c r="AG14" s="1167"/>
      <c r="AH14" s="1167"/>
      <c r="AI14" s="1167"/>
      <c r="AJ14" s="1167"/>
      <c r="AK14" s="1167"/>
      <c r="AL14" s="1152" t="str">
        <f t="shared" si="3"/>
        <v/>
      </c>
      <c r="AM14" s="1152" t="str">
        <f t="shared" si="4"/>
        <v/>
      </c>
      <c r="AN14" s="1152" t="str">
        <f t="shared" si="5"/>
        <v/>
      </c>
      <c r="AO14" s="1152" t="str">
        <f t="shared" si="6"/>
        <v/>
      </c>
      <c r="AP14" s="1152" t="str">
        <f t="shared" si="7"/>
        <v/>
      </c>
      <c r="AQ14" s="1152" t="str">
        <f t="shared" si="8"/>
        <v/>
      </c>
      <c r="AR14" s="1152" t="str">
        <f t="shared" si="9"/>
        <v/>
      </c>
      <c r="AS14" s="1152" t="str">
        <f t="shared" si="10"/>
        <v/>
      </c>
      <c r="AT14" s="1152" t="str">
        <f t="shared" si="11"/>
        <v/>
      </c>
      <c r="AU14" s="1152" t="str">
        <f t="shared" si="12"/>
        <v/>
      </c>
      <c r="AV14" s="1152" t="str">
        <f t="shared" si="13"/>
        <v/>
      </c>
      <c r="AW14" s="1152" t="str">
        <f t="shared" si="16"/>
        <v/>
      </c>
      <c r="AX14" s="1138"/>
      <c r="AY14" s="1137"/>
      <c r="AZ14" s="1137"/>
      <c r="BA14" s="78"/>
      <c r="BB14" s="132" t="s">
        <v>3108</v>
      </c>
      <c r="BC14" s="133"/>
      <c r="BD14" s="132" t="str">
        <f>IF(OR(B14="",BC14=""),"",COUNTIF(BC$8:BC14,"√"))</f>
        <v/>
      </c>
      <c r="BE14" s="134" t="str">
        <f t="shared" si="14"/>
        <v/>
      </c>
      <c r="BF14" s="135" t="str">
        <f t="shared" si="17"/>
        <v/>
      </c>
      <c r="BG14" s="135" t="str">
        <f t="shared" si="17"/>
        <v/>
      </c>
      <c r="BH14" s="136"/>
      <c r="BI14" s="136"/>
      <c r="BJ14" s="136"/>
      <c r="BK14" s="136"/>
      <c r="BL14" s="137"/>
      <c r="BM14" s="137"/>
      <c r="BN14" s="810"/>
      <c r="BP14" s="134" t="str">
        <f>IF(COUNTIF(BP$7:BP13,B14)&gt;0,"",B14)&amp;""</f>
        <v/>
      </c>
      <c r="BQ14" s="138">
        <f t="shared" si="18"/>
        <v>0</v>
      </c>
      <c r="BR14" s="132">
        <f t="shared" si="19"/>
        <v>1</v>
      </c>
      <c r="BS14" s="138">
        <f t="shared" si="20"/>
        <v>0</v>
      </c>
      <c r="BT14" s="132">
        <f t="shared" si="15"/>
        <v>1</v>
      </c>
      <c r="BU14" s="132">
        <v>5</v>
      </c>
      <c r="BV14" s="134" t="str">
        <f>IFERROR(INDEX(BP$8:BP$25,MATCH(BU14,IF(BU$8=0,BT$8:BT$25,BR$8:BR$25),0))&amp;"","")</f>
        <v/>
      </c>
      <c r="BW14" s="146"/>
    </row>
    <row r="15" customHeight="1" spans="1:75">
      <c r="A15" s="1132" t="str">
        <f>IF(B15="","",COUNT(A$7:A14)+1)</f>
        <v/>
      </c>
      <c r="B15" s="1138"/>
      <c r="C15" s="1166"/>
      <c r="D15" s="1166"/>
      <c r="E15" s="1166"/>
      <c r="F15" s="1166"/>
      <c r="G15" s="1166"/>
      <c r="H15" s="1138"/>
      <c r="I15" s="1138"/>
      <c r="J15" s="1138"/>
      <c r="K15" s="1138"/>
      <c r="L15" s="1139"/>
      <c r="M15" s="1139"/>
      <c r="N15" s="1139"/>
      <c r="O15" s="142"/>
      <c r="P15" s="127" t="str">
        <f>IFERROR(VLOOKUP(O15,参数表!$H$2:$I$50,2,FALSE),"")</f>
        <v/>
      </c>
      <c r="Q15" s="128" t="str">
        <f t="shared" si="0"/>
        <v/>
      </c>
      <c r="R15" s="128" t="str">
        <f t="shared" si="1"/>
        <v/>
      </c>
      <c r="S15" s="1141"/>
      <c r="T15" s="1141"/>
      <c r="U15" s="1141"/>
      <c r="V15" s="1141"/>
      <c r="W15" s="1141"/>
      <c r="X15" s="1141"/>
      <c r="Y15" s="1141"/>
      <c r="Z15" s="1141"/>
      <c r="AA15" s="1152" t="str">
        <f t="shared" si="2"/>
        <v/>
      </c>
      <c r="AB15" s="1167"/>
      <c r="AC15" s="1167"/>
      <c r="AD15" s="1167"/>
      <c r="AE15" s="1167"/>
      <c r="AF15" s="1167"/>
      <c r="AG15" s="1167"/>
      <c r="AH15" s="1167"/>
      <c r="AI15" s="1167"/>
      <c r="AJ15" s="1167"/>
      <c r="AK15" s="1167"/>
      <c r="AL15" s="1152" t="str">
        <f t="shared" si="3"/>
        <v/>
      </c>
      <c r="AM15" s="1152" t="str">
        <f t="shared" si="4"/>
        <v/>
      </c>
      <c r="AN15" s="1152" t="str">
        <f t="shared" si="5"/>
        <v/>
      </c>
      <c r="AO15" s="1152" t="str">
        <f t="shared" si="6"/>
        <v/>
      </c>
      <c r="AP15" s="1152" t="str">
        <f t="shared" si="7"/>
        <v/>
      </c>
      <c r="AQ15" s="1152" t="str">
        <f t="shared" si="8"/>
        <v/>
      </c>
      <c r="AR15" s="1152" t="str">
        <f t="shared" si="9"/>
        <v/>
      </c>
      <c r="AS15" s="1152" t="str">
        <f t="shared" si="10"/>
        <v/>
      </c>
      <c r="AT15" s="1152" t="str">
        <f t="shared" si="11"/>
        <v/>
      </c>
      <c r="AU15" s="1152" t="str">
        <f t="shared" si="12"/>
        <v/>
      </c>
      <c r="AV15" s="1152" t="str">
        <f t="shared" si="13"/>
        <v/>
      </c>
      <c r="AW15" s="1152" t="str">
        <f t="shared" si="16"/>
        <v/>
      </c>
      <c r="AX15" s="1138"/>
      <c r="AY15" s="1137"/>
      <c r="AZ15" s="1137"/>
      <c r="BA15" s="78"/>
      <c r="BB15" s="132" t="s">
        <v>3109</v>
      </c>
      <c r="BC15" s="133"/>
      <c r="BD15" s="132" t="str">
        <f>IF(OR(B15="",BC15=""),"",COUNTIF(BC$8:BC15,"√"))</f>
        <v/>
      </c>
      <c r="BE15" s="134" t="str">
        <f t="shared" si="14"/>
        <v/>
      </c>
      <c r="BF15" s="135" t="str">
        <f t="shared" si="17"/>
        <v/>
      </c>
      <c r="BG15" s="135" t="str">
        <f t="shared" si="17"/>
        <v/>
      </c>
      <c r="BH15" s="136"/>
      <c r="BI15" s="136"/>
      <c r="BJ15" s="136"/>
      <c r="BK15" s="136"/>
      <c r="BL15" s="137"/>
      <c r="BM15" s="137"/>
      <c r="BN15" s="810"/>
      <c r="BP15" s="134" t="str">
        <f>IF(COUNTIF(BP$7:BP14,B15)&gt;0,"",B15)&amp;""</f>
        <v/>
      </c>
      <c r="BQ15" s="138">
        <f t="shared" si="18"/>
        <v>0</v>
      </c>
      <c r="BR15" s="132">
        <f t="shared" si="19"/>
        <v>1</v>
      </c>
      <c r="BS15" s="138">
        <f t="shared" si="20"/>
        <v>0</v>
      </c>
      <c r="BT15" s="132">
        <f t="shared" si="15"/>
        <v>1</v>
      </c>
      <c r="BU15" s="147" t="s">
        <v>1659</v>
      </c>
      <c r="BV15" s="132" t="str">
        <f>CONCATENATE(BV10,BW10,BV11,BW11,BV12,BW12,BV13,BW13,BV14)</f>
        <v/>
      </c>
      <c r="BW15" s="132"/>
    </row>
    <row r="16" customHeight="1" spans="1:75">
      <c r="A16" s="1132" t="str">
        <f>IF(B16="","",COUNT(A$7:A15)+1)</f>
        <v/>
      </c>
      <c r="B16" s="1138"/>
      <c r="C16" s="1166"/>
      <c r="D16" s="1166"/>
      <c r="E16" s="1166"/>
      <c r="F16" s="1166"/>
      <c r="G16" s="1166"/>
      <c r="H16" s="1138"/>
      <c r="I16" s="1138"/>
      <c r="J16" s="1138"/>
      <c r="K16" s="1138"/>
      <c r="L16" s="1139"/>
      <c r="M16" s="1139"/>
      <c r="N16" s="1139"/>
      <c r="O16" s="142"/>
      <c r="P16" s="127" t="str">
        <f>IFERROR(VLOOKUP(O16,参数表!$H$2:$I$50,2,FALSE),"")</f>
        <v/>
      </c>
      <c r="Q16" s="128" t="str">
        <f t="shared" si="0"/>
        <v/>
      </c>
      <c r="R16" s="128" t="str">
        <f t="shared" si="1"/>
        <v/>
      </c>
      <c r="S16" s="1141"/>
      <c r="T16" s="1141"/>
      <c r="U16" s="1141"/>
      <c r="V16" s="1141"/>
      <c r="W16" s="1141"/>
      <c r="X16" s="1141"/>
      <c r="Y16" s="1141"/>
      <c r="Z16" s="1141"/>
      <c r="AA16" s="1152" t="str">
        <f t="shared" si="2"/>
        <v/>
      </c>
      <c r="AB16" s="1167"/>
      <c r="AC16" s="1167"/>
      <c r="AD16" s="1167"/>
      <c r="AE16" s="1167"/>
      <c r="AF16" s="1167"/>
      <c r="AG16" s="1167"/>
      <c r="AH16" s="1167"/>
      <c r="AI16" s="1167"/>
      <c r="AJ16" s="1167"/>
      <c r="AK16" s="1167"/>
      <c r="AL16" s="1152" t="str">
        <f t="shared" si="3"/>
        <v/>
      </c>
      <c r="AM16" s="1152" t="str">
        <f t="shared" si="4"/>
        <v/>
      </c>
      <c r="AN16" s="1152" t="str">
        <f t="shared" si="5"/>
        <v/>
      </c>
      <c r="AO16" s="1152" t="str">
        <f t="shared" si="6"/>
        <v/>
      </c>
      <c r="AP16" s="1152" t="str">
        <f t="shared" si="7"/>
        <v/>
      </c>
      <c r="AQ16" s="1152" t="str">
        <f t="shared" si="8"/>
        <v/>
      </c>
      <c r="AR16" s="1152" t="str">
        <f t="shared" si="9"/>
        <v/>
      </c>
      <c r="AS16" s="1152" t="str">
        <f t="shared" si="10"/>
        <v/>
      </c>
      <c r="AT16" s="1152" t="str">
        <f t="shared" si="11"/>
        <v/>
      </c>
      <c r="AU16" s="1152" t="str">
        <f t="shared" si="12"/>
        <v/>
      </c>
      <c r="AV16" s="1152" t="str">
        <f t="shared" si="13"/>
        <v/>
      </c>
      <c r="AW16" s="1152" t="str">
        <f t="shared" si="16"/>
        <v/>
      </c>
      <c r="AX16" s="1138"/>
      <c r="AY16" s="1137"/>
      <c r="AZ16" s="1137"/>
      <c r="BA16" s="78"/>
      <c r="BB16" s="132" t="s">
        <v>3110</v>
      </c>
      <c r="BC16" s="133"/>
      <c r="BD16" s="132" t="str">
        <f>IF(OR(B16="",BC16=""),"",COUNTIF(BC$8:BC16,"√"))</f>
        <v/>
      </c>
      <c r="BE16" s="134" t="str">
        <f t="shared" si="14"/>
        <v/>
      </c>
      <c r="BF16" s="135" t="str">
        <f t="shared" si="17"/>
        <v/>
      </c>
      <c r="BG16" s="135" t="str">
        <f t="shared" si="17"/>
        <v/>
      </c>
      <c r="BH16" s="136"/>
      <c r="BI16" s="136"/>
      <c r="BJ16" s="136"/>
      <c r="BK16" s="136"/>
      <c r="BL16" s="137"/>
      <c r="BM16" s="137"/>
      <c r="BP16" s="134" t="str">
        <f>IF(COUNTIF(BP$7:BP15,B16)&gt;0,"",B16)&amp;""</f>
        <v/>
      </c>
      <c r="BQ16" s="138">
        <f t="shared" si="18"/>
        <v>0</v>
      </c>
      <c r="BR16" s="132">
        <f t="shared" si="19"/>
        <v>1</v>
      </c>
      <c r="BS16" s="138">
        <f t="shared" si="20"/>
        <v>0</v>
      </c>
      <c r="BT16" s="132">
        <f t="shared" si="15"/>
        <v>1</v>
      </c>
      <c r="BU16" s="133"/>
      <c r="BV16" s="133"/>
    </row>
    <row r="17" customHeight="1" spans="1:75">
      <c r="A17" s="1132" t="str">
        <f>IF(B17="","",COUNT(A$7:A16)+1)</f>
        <v/>
      </c>
      <c r="B17" s="1138"/>
      <c r="C17" s="1166"/>
      <c r="D17" s="1166"/>
      <c r="E17" s="1166"/>
      <c r="F17" s="1166"/>
      <c r="G17" s="1166"/>
      <c r="H17" s="1138"/>
      <c r="I17" s="1138"/>
      <c r="J17" s="1138"/>
      <c r="K17" s="1138"/>
      <c r="L17" s="1139"/>
      <c r="M17" s="1139"/>
      <c r="N17" s="1139"/>
      <c r="O17" s="142"/>
      <c r="P17" s="127" t="str">
        <f>IFERROR(VLOOKUP(O17,参数表!$H$2:$I$50,2,FALSE),"")</f>
        <v/>
      </c>
      <c r="Q17" s="128" t="str">
        <f t="shared" si="0"/>
        <v/>
      </c>
      <c r="R17" s="128" t="str">
        <f t="shared" si="1"/>
        <v/>
      </c>
      <c r="S17" s="1141"/>
      <c r="T17" s="1141"/>
      <c r="U17" s="1141"/>
      <c r="V17" s="1141"/>
      <c r="W17" s="1141"/>
      <c r="X17" s="1141"/>
      <c r="Y17" s="1141"/>
      <c r="Z17" s="1141"/>
      <c r="AA17" s="1152" t="str">
        <f t="shared" si="2"/>
        <v/>
      </c>
      <c r="AB17" s="1167"/>
      <c r="AC17" s="1167"/>
      <c r="AD17" s="1167"/>
      <c r="AE17" s="1167"/>
      <c r="AF17" s="1167"/>
      <c r="AG17" s="1167"/>
      <c r="AH17" s="1167"/>
      <c r="AI17" s="1167"/>
      <c r="AJ17" s="1167"/>
      <c r="AK17" s="1167"/>
      <c r="AL17" s="1152" t="str">
        <f t="shared" si="3"/>
        <v/>
      </c>
      <c r="AM17" s="1152" t="str">
        <f t="shared" si="4"/>
        <v/>
      </c>
      <c r="AN17" s="1152" t="str">
        <f t="shared" si="5"/>
        <v/>
      </c>
      <c r="AO17" s="1152" t="str">
        <f t="shared" si="6"/>
        <v/>
      </c>
      <c r="AP17" s="1152" t="str">
        <f t="shared" si="7"/>
        <v/>
      </c>
      <c r="AQ17" s="1152" t="str">
        <f t="shared" si="8"/>
        <v/>
      </c>
      <c r="AR17" s="1152" t="str">
        <f t="shared" si="9"/>
        <v/>
      </c>
      <c r="AS17" s="1152" t="str">
        <f t="shared" si="10"/>
        <v/>
      </c>
      <c r="AT17" s="1152" t="str">
        <f t="shared" si="11"/>
        <v/>
      </c>
      <c r="AU17" s="1152" t="str">
        <f t="shared" si="12"/>
        <v/>
      </c>
      <c r="AV17" s="1152" t="str">
        <f t="shared" si="13"/>
        <v/>
      </c>
      <c r="AW17" s="1152" t="str">
        <f t="shared" si="16"/>
        <v/>
      </c>
      <c r="AX17" s="1138"/>
      <c r="AY17" s="1137"/>
      <c r="AZ17" s="1137"/>
      <c r="BA17" s="78"/>
      <c r="BB17" s="132" t="s">
        <v>3111</v>
      </c>
      <c r="BC17" s="133"/>
      <c r="BD17" s="132" t="str">
        <f>IF(OR(B17="",BC17=""),"",COUNTIF(BC$8:BC17,"√"))</f>
        <v/>
      </c>
      <c r="BE17" s="134" t="str">
        <f t="shared" si="14"/>
        <v/>
      </c>
      <c r="BF17" s="135" t="str">
        <f t="shared" si="17"/>
        <v/>
      </c>
      <c r="BG17" s="135" t="str">
        <f t="shared" si="17"/>
        <v/>
      </c>
      <c r="BH17" s="136"/>
      <c r="BI17" s="136"/>
      <c r="BJ17" s="136"/>
      <c r="BK17" s="136"/>
      <c r="BL17" s="137"/>
      <c r="BM17" s="137"/>
      <c r="BP17" s="134" t="str">
        <f>IF(COUNTIF(BP$7:BP16,B17)&gt;0,"",B17)&amp;""</f>
        <v/>
      </c>
      <c r="BQ17" s="138">
        <f t="shared" si="18"/>
        <v>0</v>
      </c>
      <c r="BR17" s="132">
        <f t="shared" si="19"/>
        <v>1</v>
      </c>
      <c r="BS17" s="138">
        <f t="shared" si="20"/>
        <v>0</v>
      </c>
      <c r="BT17" s="132">
        <f t="shared" si="15"/>
        <v>1</v>
      </c>
      <c r="BU17" s="133"/>
      <c r="BV17" s="148"/>
    </row>
    <row r="18" customHeight="1" spans="1:75">
      <c r="A18" s="1132" t="str">
        <f>IF(B18="","",COUNT(A$7:A17)+1)</f>
        <v/>
      </c>
      <c r="B18" s="1138"/>
      <c r="C18" s="1169"/>
      <c r="D18" s="1169"/>
      <c r="E18" s="1169"/>
      <c r="F18" s="1169"/>
      <c r="G18" s="1169"/>
      <c r="H18" s="1138"/>
      <c r="I18" s="1138"/>
      <c r="J18" s="1138"/>
      <c r="K18" s="1138"/>
      <c r="L18" s="1139"/>
      <c r="M18" s="1139"/>
      <c r="N18" s="1139"/>
      <c r="O18" s="142"/>
      <c r="P18" s="127" t="str">
        <f>IFERROR(VLOOKUP(O18,参数表!$H$2:$I$50,2,FALSE),"")</f>
        <v/>
      </c>
      <c r="Q18" s="128" t="str">
        <f t="shared" si="0"/>
        <v/>
      </c>
      <c r="R18" s="128" t="str">
        <f t="shared" si="1"/>
        <v/>
      </c>
      <c r="S18" s="1141"/>
      <c r="T18" s="1141"/>
      <c r="U18" s="1141"/>
      <c r="V18" s="1141"/>
      <c r="W18" s="1141"/>
      <c r="X18" s="1141"/>
      <c r="Y18" s="1141"/>
      <c r="Z18" s="1141"/>
      <c r="AA18" s="1152" t="str">
        <f t="shared" si="2"/>
        <v/>
      </c>
      <c r="AB18" s="1167"/>
      <c r="AC18" s="1167"/>
      <c r="AD18" s="1167"/>
      <c r="AE18" s="1167"/>
      <c r="AF18" s="1167"/>
      <c r="AG18" s="1167"/>
      <c r="AH18" s="1167"/>
      <c r="AI18" s="1167"/>
      <c r="AJ18" s="1167"/>
      <c r="AK18" s="1167"/>
      <c r="AL18" s="1152" t="str">
        <f t="shared" si="3"/>
        <v/>
      </c>
      <c r="AM18" s="1152" t="str">
        <f t="shared" si="4"/>
        <v/>
      </c>
      <c r="AN18" s="1152" t="str">
        <f t="shared" si="5"/>
        <v/>
      </c>
      <c r="AO18" s="1152" t="str">
        <f t="shared" si="6"/>
        <v/>
      </c>
      <c r="AP18" s="1152" t="str">
        <f t="shared" si="7"/>
        <v/>
      </c>
      <c r="AQ18" s="1152" t="str">
        <f t="shared" si="8"/>
        <v/>
      </c>
      <c r="AR18" s="1152" t="str">
        <f t="shared" si="9"/>
        <v/>
      </c>
      <c r="AS18" s="1152" t="str">
        <f t="shared" si="10"/>
        <v/>
      </c>
      <c r="AT18" s="1152" t="str">
        <f t="shared" si="11"/>
        <v/>
      </c>
      <c r="AU18" s="1152" t="str">
        <f t="shared" si="12"/>
        <v/>
      </c>
      <c r="AV18" s="1152" t="str">
        <f t="shared" si="13"/>
        <v/>
      </c>
      <c r="AW18" s="1152" t="str">
        <f t="shared" si="16"/>
        <v/>
      </c>
      <c r="AX18" s="1138"/>
      <c r="AY18" s="1137"/>
      <c r="AZ18" s="1137"/>
      <c r="BA18" s="78"/>
      <c r="BB18" s="132" t="s">
        <v>3112</v>
      </c>
      <c r="BC18" s="133"/>
      <c r="BD18" s="132" t="str">
        <f>IF(OR(B18="",BC18=""),"",COUNTIF(BC$8:BC18,"√"))</f>
        <v/>
      </c>
      <c r="BE18" s="134" t="str">
        <f t="shared" si="14"/>
        <v/>
      </c>
      <c r="BF18" s="135" t="str">
        <f t="shared" si="17"/>
        <v/>
      </c>
      <c r="BG18" s="135" t="str">
        <f t="shared" si="17"/>
        <v/>
      </c>
      <c r="BH18" s="136"/>
      <c r="BI18" s="136"/>
      <c r="BJ18" s="136"/>
      <c r="BK18" s="136"/>
      <c r="BL18" s="137"/>
      <c r="BM18" s="137"/>
      <c r="BP18" s="134" t="str">
        <f>IF(COUNTIF(BP$7:BP17,B18)&gt;0,"",B18)&amp;""</f>
        <v/>
      </c>
      <c r="BQ18" s="138">
        <f t="shared" si="18"/>
        <v>0</v>
      </c>
      <c r="BR18" s="132">
        <f t="shared" si="19"/>
        <v>1</v>
      </c>
      <c r="BS18" s="138">
        <f t="shared" si="20"/>
        <v>0</v>
      </c>
      <c r="BT18" s="132">
        <f t="shared" si="15"/>
        <v>1</v>
      </c>
      <c r="BU18" s="133"/>
      <c r="BV18" s="133"/>
    </row>
    <row r="19" customHeight="1" spans="1:75">
      <c r="A19" s="1132" t="str">
        <f>IF(B19="","",COUNT(A$7:A18)+1)</f>
        <v/>
      </c>
      <c r="B19" s="1138"/>
      <c r="C19" s="1169"/>
      <c r="D19" s="1169"/>
      <c r="E19" s="1169"/>
      <c r="F19" s="1169"/>
      <c r="G19" s="1169"/>
      <c r="H19" s="1138"/>
      <c r="I19" s="1138"/>
      <c r="J19" s="1138"/>
      <c r="K19" s="1138"/>
      <c r="L19" s="1139"/>
      <c r="M19" s="1139"/>
      <c r="N19" s="1139"/>
      <c r="O19" s="142"/>
      <c r="P19" s="127" t="str">
        <f>IFERROR(VLOOKUP(O19,参数表!$H$2:$I$50,2,FALSE),"")</f>
        <v/>
      </c>
      <c r="Q19" s="128" t="str">
        <f t="shared" si="0"/>
        <v/>
      </c>
      <c r="R19" s="128" t="str">
        <f t="shared" si="1"/>
        <v/>
      </c>
      <c r="S19" s="1141"/>
      <c r="T19" s="1141"/>
      <c r="U19" s="1141"/>
      <c r="V19" s="1141"/>
      <c r="W19" s="1141"/>
      <c r="X19" s="1141"/>
      <c r="Y19" s="1141"/>
      <c r="Z19" s="1141"/>
      <c r="AA19" s="1152" t="str">
        <f t="shared" si="2"/>
        <v/>
      </c>
      <c r="AB19" s="1167"/>
      <c r="AC19" s="1167"/>
      <c r="AD19" s="1167"/>
      <c r="AE19" s="1167"/>
      <c r="AF19" s="1167"/>
      <c r="AG19" s="1167"/>
      <c r="AH19" s="1167"/>
      <c r="AI19" s="1167"/>
      <c r="AJ19" s="1167"/>
      <c r="AK19" s="1167"/>
      <c r="AL19" s="1152" t="str">
        <f t="shared" si="3"/>
        <v/>
      </c>
      <c r="AM19" s="1152" t="str">
        <f t="shared" si="4"/>
        <v/>
      </c>
      <c r="AN19" s="1152" t="str">
        <f t="shared" si="5"/>
        <v/>
      </c>
      <c r="AO19" s="1152" t="str">
        <f t="shared" si="6"/>
        <v/>
      </c>
      <c r="AP19" s="1152" t="str">
        <f t="shared" si="7"/>
        <v/>
      </c>
      <c r="AQ19" s="1152" t="str">
        <f t="shared" si="8"/>
        <v/>
      </c>
      <c r="AR19" s="1152" t="str">
        <f t="shared" si="9"/>
        <v/>
      </c>
      <c r="AS19" s="1152" t="str">
        <f t="shared" si="10"/>
        <v/>
      </c>
      <c r="AT19" s="1152" t="str">
        <f t="shared" si="11"/>
        <v/>
      </c>
      <c r="AU19" s="1152" t="str">
        <f t="shared" si="12"/>
        <v/>
      </c>
      <c r="AV19" s="1152" t="str">
        <f t="shared" si="13"/>
        <v/>
      </c>
      <c r="AW19" s="1152" t="str">
        <f t="shared" si="16"/>
        <v/>
      </c>
      <c r="AX19" s="1138"/>
      <c r="AY19" s="1137"/>
      <c r="AZ19" s="1137"/>
      <c r="BA19" s="78"/>
      <c r="BB19" s="132" t="s">
        <v>3113</v>
      </c>
      <c r="BC19" s="133"/>
      <c r="BD19" s="132" t="str">
        <f>IF(OR(B19="",BC19=""),"",COUNTIF(BC$8:BC19,"√"))</f>
        <v/>
      </c>
      <c r="BE19" s="134" t="str">
        <f t="shared" si="14"/>
        <v/>
      </c>
      <c r="BF19" s="135" t="str">
        <f t="shared" si="17"/>
        <v/>
      </c>
      <c r="BG19" s="135" t="str">
        <f t="shared" si="17"/>
        <v/>
      </c>
      <c r="BH19" s="136"/>
      <c r="BI19" s="136"/>
      <c r="BJ19" s="136"/>
      <c r="BK19" s="136"/>
      <c r="BL19" s="137"/>
      <c r="BM19" s="137"/>
      <c r="BP19" s="134" t="str">
        <f>IF(COUNTIF(BP$7:BP18,B19)&gt;0,"",B19)&amp;""</f>
        <v/>
      </c>
      <c r="BQ19" s="138">
        <f t="shared" si="18"/>
        <v>0</v>
      </c>
      <c r="BR19" s="132">
        <f t="shared" si="19"/>
        <v>1</v>
      </c>
      <c r="BS19" s="138">
        <f t="shared" si="20"/>
        <v>0</v>
      </c>
      <c r="BT19" s="132">
        <f t="shared" si="15"/>
        <v>1</v>
      </c>
      <c r="BU19" s="133"/>
      <c r="BV19" s="133"/>
    </row>
    <row r="20" customHeight="1" spans="1:75">
      <c r="A20" s="1132" t="str">
        <f>IF(B20="","",COUNT(A$7:A19)+1)</f>
        <v/>
      </c>
      <c r="B20" s="1138"/>
      <c r="C20" s="1169"/>
      <c r="D20" s="1169"/>
      <c r="E20" s="1169"/>
      <c r="F20" s="1169"/>
      <c r="G20" s="1169"/>
      <c r="H20" s="1138"/>
      <c r="I20" s="1138"/>
      <c r="J20" s="1138"/>
      <c r="K20" s="1138"/>
      <c r="L20" s="1139"/>
      <c r="M20" s="1139"/>
      <c r="N20" s="1139"/>
      <c r="O20" s="142"/>
      <c r="P20" s="127" t="str">
        <f>IFERROR(VLOOKUP(O20,参数表!$H$2:$I$50,2,FALSE),"")</f>
        <v/>
      </c>
      <c r="Q20" s="128" t="str">
        <f t="shared" si="0"/>
        <v/>
      </c>
      <c r="R20" s="128" t="str">
        <f t="shared" si="1"/>
        <v/>
      </c>
      <c r="S20" s="1141"/>
      <c r="T20" s="1141"/>
      <c r="U20" s="1141"/>
      <c r="V20" s="1141"/>
      <c r="W20" s="1141"/>
      <c r="X20" s="1141"/>
      <c r="Y20" s="1141"/>
      <c r="Z20" s="1141"/>
      <c r="AA20" s="1152" t="str">
        <f t="shared" si="2"/>
        <v/>
      </c>
      <c r="AB20" s="1167"/>
      <c r="AC20" s="1167"/>
      <c r="AD20" s="1167"/>
      <c r="AE20" s="1167"/>
      <c r="AF20" s="1167"/>
      <c r="AG20" s="1167"/>
      <c r="AH20" s="1167"/>
      <c r="AI20" s="1167"/>
      <c r="AJ20" s="1167"/>
      <c r="AK20" s="1167"/>
      <c r="AL20" s="1152" t="str">
        <f t="shared" si="3"/>
        <v/>
      </c>
      <c r="AM20" s="1152" t="str">
        <f t="shared" si="4"/>
        <v/>
      </c>
      <c r="AN20" s="1152" t="str">
        <f t="shared" si="5"/>
        <v/>
      </c>
      <c r="AO20" s="1152" t="str">
        <f t="shared" si="6"/>
        <v/>
      </c>
      <c r="AP20" s="1152" t="str">
        <f t="shared" si="7"/>
        <v/>
      </c>
      <c r="AQ20" s="1152" t="str">
        <f t="shared" si="8"/>
        <v/>
      </c>
      <c r="AR20" s="1152" t="str">
        <f t="shared" si="9"/>
        <v/>
      </c>
      <c r="AS20" s="1152" t="str">
        <f t="shared" si="10"/>
        <v/>
      </c>
      <c r="AT20" s="1152" t="str">
        <f t="shared" si="11"/>
        <v/>
      </c>
      <c r="AU20" s="1152" t="str">
        <f t="shared" si="12"/>
        <v/>
      </c>
      <c r="AV20" s="1152" t="str">
        <f t="shared" si="13"/>
        <v/>
      </c>
      <c r="AW20" s="1152" t="str">
        <f t="shared" si="16"/>
        <v/>
      </c>
      <c r="AX20" s="1138"/>
      <c r="AY20" s="1137"/>
      <c r="AZ20" s="1137"/>
      <c r="BA20" s="78"/>
      <c r="BB20" s="132" t="s">
        <v>3114</v>
      </c>
      <c r="BC20" s="133"/>
      <c r="BD20" s="132" t="str">
        <f>IF(OR(B20="",BC20=""),"",COUNTIF(BC$8:BC20,"√"))</f>
        <v/>
      </c>
      <c r="BE20" s="134" t="str">
        <f t="shared" si="14"/>
        <v/>
      </c>
      <c r="BF20" s="135" t="str">
        <f t="shared" si="17"/>
        <v/>
      </c>
      <c r="BG20" s="135" t="str">
        <f t="shared" si="17"/>
        <v/>
      </c>
      <c r="BH20" s="136"/>
      <c r="BI20" s="136"/>
      <c r="BJ20" s="136"/>
      <c r="BK20" s="136"/>
      <c r="BL20" s="137"/>
      <c r="BM20" s="137"/>
      <c r="BP20" s="134" t="str">
        <f>IF(COUNTIF(BP$7:BP19,B20)&gt;0,"",B20)&amp;""</f>
        <v/>
      </c>
      <c r="BQ20" s="138">
        <f t="shared" si="18"/>
        <v>0</v>
      </c>
      <c r="BR20" s="132">
        <f t="shared" si="19"/>
        <v>1</v>
      </c>
      <c r="BS20" s="138">
        <f t="shared" si="20"/>
        <v>0</v>
      </c>
      <c r="BT20" s="132">
        <f t="shared" si="15"/>
        <v>1</v>
      </c>
      <c r="BU20" s="133"/>
      <c r="BV20" s="133"/>
    </row>
    <row r="21" customHeight="1" spans="1:75">
      <c r="A21" s="1132" t="str">
        <f>IF(B21="","",COUNT(A$7:A20)+1)</f>
        <v/>
      </c>
      <c r="B21" s="1138"/>
      <c r="C21" s="1169"/>
      <c r="D21" s="1169"/>
      <c r="E21" s="1169"/>
      <c r="F21" s="1169"/>
      <c r="G21" s="1169"/>
      <c r="H21" s="1138"/>
      <c r="I21" s="1138"/>
      <c r="J21" s="1138"/>
      <c r="K21" s="1138"/>
      <c r="L21" s="1139"/>
      <c r="M21" s="1139"/>
      <c r="N21" s="1139"/>
      <c r="O21" s="142"/>
      <c r="P21" s="127" t="str">
        <f>IFERROR(VLOOKUP(O21,参数表!$H$2:$I$50,2,FALSE),"")</f>
        <v/>
      </c>
      <c r="Q21" s="128" t="str">
        <f t="shared" si="0"/>
        <v/>
      </c>
      <c r="R21" s="128" t="str">
        <f t="shared" si="1"/>
        <v/>
      </c>
      <c r="S21" s="1141"/>
      <c r="T21" s="1141"/>
      <c r="U21" s="1141"/>
      <c r="V21" s="1141"/>
      <c r="W21" s="1141"/>
      <c r="X21" s="1141"/>
      <c r="Y21" s="1141"/>
      <c r="Z21" s="1141"/>
      <c r="AA21" s="1152" t="str">
        <f t="shared" si="2"/>
        <v/>
      </c>
      <c r="AB21" s="1167"/>
      <c r="AC21" s="1167"/>
      <c r="AD21" s="1167"/>
      <c r="AE21" s="1167"/>
      <c r="AF21" s="1167"/>
      <c r="AG21" s="1167"/>
      <c r="AH21" s="1167"/>
      <c r="AI21" s="1167"/>
      <c r="AJ21" s="1167"/>
      <c r="AK21" s="1167"/>
      <c r="AL21" s="1152" t="str">
        <f t="shared" si="3"/>
        <v/>
      </c>
      <c r="AM21" s="1152" t="str">
        <f t="shared" si="4"/>
        <v/>
      </c>
      <c r="AN21" s="1152" t="str">
        <f t="shared" si="5"/>
        <v/>
      </c>
      <c r="AO21" s="1152" t="str">
        <f t="shared" si="6"/>
        <v/>
      </c>
      <c r="AP21" s="1152" t="str">
        <f t="shared" si="7"/>
        <v/>
      </c>
      <c r="AQ21" s="1152" t="str">
        <f t="shared" si="8"/>
        <v/>
      </c>
      <c r="AR21" s="1152" t="str">
        <f t="shared" si="9"/>
        <v/>
      </c>
      <c r="AS21" s="1152" t="str">
        <f t="shared" si="10"/>
        <v/>
      </c>
      <c r="AT21" s="1152" t="str">
        <f t="shared" si="11"/>
        <v/>
      </c>
      <c r="AU21" s="1152" t="str">
        <f t="shared" si="12"/>
        <v/>
      </c>
      <c r="AV21" s="1152" t="str">
        <f t="shared" si="13"/>
        <v/>
      </c>
      <c r="AW21" s="1152" t="str">
        <f t="shared" si="16"/>
        <v/>
      </c>
      <c r="AX21" s="1138"/>
      <c r="AY21" s="1137"/>
      <c r="AZ21" s="1137"/>
      <c r="BA21" s="78"/>
      <c r="BB21" s="132" t="s">
        <v>3115</v>
      </c>
      <c r="BC21" s="133"/>
      <c r="BD21" s="132" t="str">
        <f>IF(OR(B21="",BC21=""),"",COUNTIF(BC$8:BC21,"√"))</f>
        <v/>
      </c>
      <c r="BE21" s="134" t="str">
        <f t="shared" si="14"/>
        <v/>
      </c>
      <c r="BF21" s="135" t="str">
        <f t="shared" si="17"/>
        <v/>
      </c>
      <c r="BG21" s="135" t="str">
        <f t="shared" si="17"/>
        <v/>
      </c>
      <c r="BH21" s="136"/>
      <c r="BI21" s="136"/>
      <c r="BJ21" s="136"/>
      <c r="BK21" s="136"/>
      <c r="BL21" s="137"/>
      <c r="BM21" s="137"/>
      <c r="BP21" s="134" t="str">
        <f>IF(COUNTIF(BP$7:BP20,B21)&gt;0,"",B21)&amp;""</f>
        <v/>
      </c>
      <c r="BQ21" s="138">
        <f t="shared" si="18"/>
        <v>0</v>
      </c>
      <c r="BR21" s="132">
        <f t="shared" si="19"/>
        <v>1</v>
      </c>
      <c r="BS21" s="138">
        <f t="shared" si="20"/>
        <v>0</v>
      </c>
      <c r="BT21" s="132">
        <f t="shared" si="15"/>
        <v>1</v>
      </c>
      <c r="BU21" s="133"/>
      <c r="BV21" s="133"/>
    </row>
    <row r="22" customHeight="1" spans="1:75">
      <c r="A22" s="1132" t="str">
        <f>IF(B22="","",COUNT(A$7:A21)+1)</f>
        <v/>
      </c>
      <c r="B22" s="1138"/>
      <c r="C22" s="1169"/>
      <c r="D22" s="1169"/>
      <c r="E22" s="1169"/>
      <c r="F22" s="1169"/>
      <c r="G22" s="1169"/>
      <c r="H22" s="1138"/>
      <c r="I22" s="1138"/>
      <c r="J22" s="1138"/>
      <c r="K22" s="1138"/>
      <c r="L22" s="1139"/>
      <c r="M22" s="1139"/>
      <c r="N22" s="1139"/>
      <c r="O22" s="142"/>
      <c r="P22" s="127" t="str">
        <f>IFERROR(VLOOKUP(O22,参数表!$H$2:$I$50,2,FALSE),"")</f>
        <v/>
      </c>
      <c r="Q22" s="128" t="str">
        <f t="shared" si="0"/>
        <v/>
      </c>
      <c r="R22" s="128" t="str">
        <f t="shared" si="1"/>
        <v/>
      </c>
      <c r="S22" s="1141"/>
      <c r="T22" s="1141"/>
      <c r="U22" s="1141"/>
      <c r="V22" s="1141"/>
      <c r="W22" s="1141"/>
      <c r="X22" s="1141"/>
      <c r="Y22" s="1141"/>
      <c r="Z22" s="1141"/>
      <c r="AA22" s="1152" t="str">
        <f t="shared" si="2"/>
        <v/>
      </c>
      <c r="AB22" s="1167"/>
      <c r="AC22" s="1167"/>
      <c r="AD22" s="1167"/>
      <c r="AE22" s="1167"/>
      <c r="AF22" s="1167"/>
      <c r="AG22" s="1167"/>
      <c r="AH22" s="1167"/>
      <c r="AI22" s="1167"/>
      <c r="AJ22" s="1167"/>
      <c r="AK22" s="1167"/>
      <c r="AL22" s="1152" t="str">
        <f t="shared" si="3"/>
        <v/>
      </c>
      <c r="AM22" s="1152" t="str">
        <f t="shared" si="4"/>
        <v/>
      </c>
      <c r="AN22" s="1152" t="str">
        <f t="shared" si="5"/>
        <v/>
      </c>
      <c r="AO22" s="1152" t="str">
        <f t="shared" si="6"/>
        <v/>
      </c>
      <c r="AP22" s="1152" t="str">
        <f t="shared" si="7"/>
        <v/>
      </c>
      <c r="AQ22" s="1152" t="str">
        <f t="shared" si="8"/>
        <v/>
      </c>
      <c r="AR22" s="1152" t="str">
        <f t="shared" si="9"/>
        <v/>
      </c>
      <c r="AS22" s="1152" t="str">
        <f t="shared" si="10"/>
        <v/>
      </c>
      <c r="AT22" s="1152" t="str">
        <f t="shared" si="11"/>
        <v/>
      </c>
      <c r="AU22" s="1152" t="str">
        <f t="shared" si="12"/>
        <v/>
      </c>
      <c r="AV22" s="1152" t="str">
        <f t="shared" si="13"/>
        <v/>
      </c>
      <c r="AW22" s="1152" t="str">
        <f t="shared" si="16"/>
        <v/>
      </c>
      <c r="AX22" s="1138"/>
      <c r="AY22" s="1137"/>
      <c r="AZ22" s="1137"/>
      <c r="BA22" s="78"/>
      <c r="BB22" s="132" t="s">
        <v>3116</v>
      </c>
      <c r="BC22" s="133"/>
      <c r="BD22" s="132" t="str">
        <f>IF(OR(B22="",BC22=""),"",COUNTIF(BC$8:BC22,"√"))</f>
        <v/>
      </c>
      <c r="BE22" s="134" t="str">
        <f t="shared" si="14"/>
        <v/>
      </c>
      <c r="BF22" s="135" t="str">
        <f t="shared" si="17"/>
        <v/>
      </c>
      <c r="BG22" s="135" t="str">
        <f t="shared" si="17"/>
        <v/>
      </c>
      <c r="BH22" s="136"/>
      <c r="BI22" s="136"/>
      <c r="BJ22" s="136"/>
      <c r="BK22" s="136"/>
      <c r="BL22" s="137"/>
      <c r="BM22" s="137"/>
      <c r="BP22" s="134" t="str">
        <f>IF(COUNTIF(BP$7:BP21,B22)&gt;0,"",B22)&amp;""</f>
        <v/>
      </c>
      <c r="BQ22" s="138">
        <f t="shared" si="18"/>
        <v>0</v>
      </c>
      <c r="BR22" s="132">
        <f t="shared" si="19"/>
        <v>1</v>
      </c>
      <c r="BS22" s="138">
        <f t="shared" si="20"/>
        <v>0</v>
      </c>
      <c r="BT22" s="132">
        <f t="shared" si="15"/>
        <v>1</v>
      </c>
      <c r="BU22" s="133"/>
      <c r="BV22" s="133"/>
    </row>
    <row r="23" customHeight="1" spans="1:75">
      <c r="A23" s="1132" t="str">
        <f>IF(B23="","",COUNT(A$7:A22)+1)</f>
        <v/>
      </c>
      <c r="B23" s="1138"/>
      <c r="C23" s="1169"/>
      <c r="D23" s="1169"/>
      <c r="E23" s="1169"/>
      <c r="F23" s="1169"/>
      <c r="G23" s="1169"/>
      <c r="H23" s="1138"/>
      <c r="I23" s="1138"/>
      <c r="J23" s="1138"/>
      <c r="K23" s="1138"/>
      <c r="L23" s="1139"/>
      <c r="M23" s="1139"/>
      <c r="N23" s="1139"/>
      <c r="O23" s="142"/>
      <c r="P23" s="127" t="str">
        <f>IFERROR(VLOOKUP(O23,参数表!$H$2:$I$50,2,FALSE),"")</f>
        <v/>
      </c>
      <c r="Q23" s="128" t="str">
        <f t="shared" si="0"/>
        <v/>
      </c>
      <c r="R23" s="128" t="str">
        <f t="shared" si="1"/>
        <v/>
      </c>
      <c r="S23" s="1141"/>
      <c r="T23" s="1141"/>
      <c r="U23" s="1141"/>
      <c r="V23" s="1141"/>
      <c r="W23" s="1141"/>
      <c r="X23" s="1141"/>
      <c r="Y23" s="1141"/>
      <c r="Z23" s="1141"/>
      <c r="AA23" s="1152" t="str">
        <f t="shared" si="2"/>
        <v/>
      </c>
      <c r="AB23" s="1167"/>
      <c r="AC23" s="1167"/>
      <c r="AD23" s="1167"/>
      <c r="AE23" s="1167"/>
      <c r="AF23" s="1167"/>
      <c r="AG23" s="1167"/>
      <c r="AH23" s="1167"/>
      <c r="AI23" s="1167"/>
      <c r="AJ23" s="1167"/>
      <c r="AK23" s="1167"/>
      <c r="AL23" s="1152" t="str">
        <f t="shared" si="3"/>
        <v/>
      </c>
      <c r="AM23" s="1152" t="str">
        <f t="shared" si="4"/>
        <v/>
      </c>
      <c r="AN23" s="1152" t="str">
        <f t="shared" si="5"/>
        <v/>
      </c>
      <c r="AO23" s="1152" t="str">
        <f t="shared" si="6"/>
        <v/>
      </c>
      <c r="AP23" s="1152" t="str">
        <f t="shared" si="7"/>
        <v/>
      </c>
      <c r="AQ23" s="1152" t="str">
        <f t="shared" si="8"/>
        <v/>
      </c>
      <c r="AR23" s="1152" t="str">
        <f t="shared" si="9"/>
        <v/>
      </c>
      <c r="AS23" s="1152" t="str">
        <f t="shared" si="10"/>
        <v/>
      </c>
      <c r="AT23" s="1152" t="str">
        <f t="shared" si="11"/>
        <v/>
      </c>
      <c r="AU23" s="1152" t="str">
        <f t="shared" si="12"/>
        <v/>
      </c>
      <c r="AV23" s="1152" t="str">
        <f t="shared" si="13"/>
        <v/>
      </c>
      <c r="AW23" s="1152" t="str">
        <f t="shared" si="16"/>
        <v/>
      </c>
      <c r="AX23" s="1138"/>
      <c r="AY23" s="1137"/>
      <c r="AZ23" s="1137"/>
      <c r="BA23" s="78"/>
      <c r="BB23" s="132" t="s">
        <v>3117</v>
      </c>
      <c r="BC23" s="133"/>
      <c r="BD23" s="132" t="str">
        <f>IF(OR(B23="",BC23=""),"",COUNTIF(BC$8:BC23,"√"))</f>
        <v/>
      </c>
      <c r="BE23" s="134" t="str">
        <f t="shared" si="14"/>
        <v/>
      </c>
      <c r="BF23" s="135" t="str">
        <f t="shared" si="17"/>
        <v/>
      </c>
      <c r="BG23" s="135" t="str">
        <f t="shared" si="17"/>
        <v/>
      </c>
      <c r="BH23" s="136"/>
      <c r="BI23" s="136"/>
      <c r="BJ23" s="136"/>
      <c r="BK23" s="136"/>
      <c r="BL23" s="137"/>
      <c r="BM23" s="137"/>
      <c r="BP23" s="134" t="str">
        <f>IF(COUNTIF(BP$7:BP22,B23)&gt;0,"",B23)&amp;""</f>
        <v/>
      </c>
      <c r="BQ23" s="138">
        <f t="shared" si="18"/>
        <v>0</v>
      </c>
      <c r="BR23" s="132">
        <f t="shared" si="19"/>
        <v>1</v>
      </c>
      <c r="BS23" s="138">
        <f t="shared" si="20"/>
        <v>0</v>
      </c>
      <c r="BT23" s="132">
        <f t="shared" si="15"/>
        <v>1</v>
      </c>
      <c r="BU23" s="133"/>
      <c r="BV23" s="133"/>
    </row>
    <row r="24" customHeight="1" spans="1:75">
      <c r="A24" s="1132" t="str">
        <f>IF(B24="","",COUNT(A$7:A23)+1)</f>
        <v/>
      </c>
      <c r="B24" s="1138"/>
      <c r="C24" s="1169"/>
      <c r="D24" s="1169"/>
      <c r="E24" s="1169"/>
      <c r="F24" s="1169"/>
      <c r="G24" s="1169"/>
      <c r="H24" s="1138"/>
      <c r="I24" s="1138"/>
      <c r="J24" s="1138"/>
      <c r="K24" s="1138"/>
      <c r="L24" s="1139"/>
      <c r="M24" s="1139"/>
      <c r="N24" s="1139"/>
      <c r="O24" s="142"/>
      <c r="P24" s="127" t="str">
        <f>IFERROR(VLOOKUP(O24,参数表!$H$2:$I$50,2,FALSE),"")</f>
        <v/>
      </c>
      <c r="Q24" s="128" t="str">
        <f t="shared" si="0"/>
        <v/>
      </c>
      <c r="R24" s="128" t="str">
        <f t="shared" si="1"/>
        <v/>
      </c>
      <c r="S24" s="1141"/>
      <c r="T24" s="1141"/>
      <c r="U24" s="1141"/>
      <c r="V24" s="1141"/>
      <c r="W24" s="1141"/>
      <c r="X24" s="1141"/>
      <c r="Y24" s="1141"/>
      <c r="Z24" s="1141"/>
      <c r="AA24" s="1152" t="str">
        <f t="shared" si="2"/>
        <v/>
      </c>
      <c r="AB24" s="1167"/>
      <c r="AC24" s="1167"/>
      <c r="AD24" s="1167"/>
      <c r="AE24" s="1167"/>
      <c r="AF24" s="1167"/>
      <c r="AG24" s="1167"/>
      <c r="AH24" s="1167"/>
      <c r="AI24" s="1167"/>
      <c r="AJ24" s="1167"/>
      <c r="AK24" s="1167"/>
      <c r="AL24" s="1152" t="str">
        <f t="shared" si="3"/>
        <v/>
      </c>
      <c r="AM24" s="1152" t="str">
        <f t="shared" si="4"/>
        <v/>
      </c>
      <c r="AN24" s="1152" t="str">
        <f t="shared" si="5"/>
        <v/>
      </c>
      <c r="AO24" s="1152" t="str">
        <f t="shared" si="6"/>
        <v/>
      </c>
      <c r="AP24" s="1152" t="str">
        <f t="shared" si="7"/>
        <v/>
      </c>
      <c r="AQ24" s="1152" t="str">
        <f t="shared" si="8"/>
        <v/>
      </c>
      <c r="AR24" s="1152" t="str">
        <f t="shared" si="9"/>
        <v/>
      </c>
      <c r="AS24" s="1152" t="str">
        <f t="shared" si="10"/>
        <v/>
      </c>
      <c r="AT24" s="1152" t="str">
        <f t="shared" si="11"/>
        <v/>
      </c>
      <c r="AU24" s="1152" t="str">
        <f t="shared" si="12"/>
        <v/>
      </c>
      <c r="AV24" s="1152" t="str">
        <f t="shared" si="13"/>
        <v/>
      </c>
      <c r="AW24" s="1152" t="str">
        <f t="shared" si="16"/>
        <v/>
      </c>
      <c r="AX24" s="1138"/>
      <c r="AY24" s="1137"/>
      <c r="AZ24" s="1137"/>
      <c r="BA24" s="78"/>
      <c r="BB24" s="132" t="s">
        <v>3118</v>
      </c>
      <c r="BC24" s="133"/>
      <c r="BD24" s="132" t="str">
        <f>IF(OR(B24="",BC24=""),"",COUNTIF(BC$8:BC24,"√"))</f>
        <v/>
      </c>
      <c r="BE24" s="134" t="str">
        <f t="shared" si="14"/>
        <v/>
      </c>
      <c r="BF24" s="135" t="str">
        <f t="shared" si="17"/>
        <v/>
      </c>
      <c r="BG24" s="135" t="str">
        <f t="shared" si="17"/>
        <v/>
      </c>
      <c r="BH24" s="136"/>
      <c r="BI24" s="136"/>
      <c r="BJ24" s="136"/>
      <c r="BK24" s="136"/>
      <c r="BL24" s="137"/>
      <c r="BM24" s="137"/>
      <c r="BP24" s="134" t="str">
        <f>IF(COUNTIF(BP$7:BP23,B24)&gt;0,"",B24)&amp;""</f>
        <v/>
      </c>
      <c r="BQ24" s="138">
        <f t="shared" si="18"/>
        <v>0</v>
      </c>
      <c r="BR24" s="132">
        <f t="shared" si="19"/>
        <v>1</v>
      </c>
      <c r="BS24" s="138">
        <f t="shared" si="20"/>
        <v>0</v>
      </c>
      <c r="BT24" s="132">
        <f t="shared" si="15"/>
        <v>1</v>
      </c>
      <c r="BU24" s="133"/>
      <c r="BV24" s="133"/>
    </row>
    <row r="25" customHeight="1" spans="1:75">
      <c r="A25" s="1132" t="str">
        <f>IF(B25="","",COUNT(A$7:A24)+1)</f>
        <v/>
      </c>
      <c r="B25" s="1133"/>
      <c r="C25" s="1170"/>
      <c r="D25" s="1170"/>
      <c r="E25" s="1170"/>
      <c r="F25" s="1170"/>
      <c r="G25" s="1170"/>
      <c r="H25" s="1133"/>
      <c r="I25" s="1133"/>
      <c r="J25" s="1133"/>
      <c r="K25" s="1133"/>
      <c r="L25" s="1134"/>
      <c r="M25" s="1134"/>
      <c r="N25" s="1134"/>
      <c r="O25" s="127"/>
      <c r="P25" s="127" t="str">
        <f>IFERROR(VLOOKUP(O25,参数表!$H$2:$I$50,2,FALSE),"")</f>
        <v/>
      </c>
      <c r="Q25" s="128" t="str">
        <f t="shared" si="0"/>
        <v/>
      </c>
      <c r="R25" s="128" t="str">
        <f t="shared" si="1"/>
        <v/>
      </c>
      <c r="S25" s="1136"/>
      <c r="T25" s="1136"/>
      <c r="U25" s="1136"/>
      <c r="V25" s="1136"/>
      <c r="W25" s="1136"/>
      <c r="X25" s="1136"/>
      <c r="Y25" s="1136"/>
      <c r="Z25" s="1136"/>
      <c r="AA25" s="1152" t="str">
        <f t="shared" si="2"/>
        <v/>
      </c>
      <c r="AB25" s="1152"/>
      <c r="AC25" s="1152"/>
      <c r="AD25" s="1152"/>
      <c r="AE25" s="1152"/>
      <c r="AF25" s="1152"/>
      <c r="AG25" s="1152"/>
      <c r="AH25" s="1152"/>
      <c r="AI25" s="1152"/>
      <c r="AJ25" s="1152"/>
      <c r="AK25" s="1152"/>
      <c r="AL25" s="1152" t="str">
        <f t="shared" si="3"/>
        <v/>
      </c>
      <c r="AM25" s="1152" t="str">
        <f t="shared" si="4"/>
        <v/>
      </c>
      <c r="AN25" s="1152" t="str">
        <f t="shared" si="5"/>
        <v/>
      </c>
      <c r="AO25" s="1152" t="str">
        <f t="shared" si="6"/>
        <v/>
      </c>
      <c r="AP25" s="1152" t="str">
        <f t="shared" si="7"/>
        <v/>
      </c>
      <c r="AQ25" s="1152" t="str">
        <f t="shared" si="8"/>
        <v/>
      </c>
      <c r="AR25" s="1152" t="str">
        <f t="shared" si="9"/>
        <v/>
      </c>
      <c r="AS25" s="1152" t="str">
        <f t="shared" si="10"/>
        <v/>
      </c>
      <c r="AT25" s="1152" t="str">
        <f t="shared" si="11"/>
        <v/>
      </c>
      <c r="AU25" s="1152" t="str">
        <f t="shared" si="12"/>
        <v/>
      </c>
      <c r="AV25" s="1152" t="str">
        <f t="shared" si="13"/>
        <v/>
      </c>
      <c r="AW25" s="1152" t="str">
        <f t="shared" si="16"/>
        <v/>
      </c>
      <c r="AX25" s="1133"/>
      <c r="AY25" s="1137"/>
      <c r="AZ25" s="1137"/>
      <c r="BA25" s="78"/>
      <c r="BB25" s="132" t="s">
        <v>3119</v>
      </c>
      <c r="BC25" s="133"/>
      <c r="BD25" s="132" t="str">
        <f>IF(OR(B25="",BC25=""),"",COUNTIF(BC$8:BC25,"√"))</f>
        <v/>
      </c>
      <c r="BE25" s="134" t="str">
        <f t="shared" si="14"/>
        <v/>
      </c>
      <c r="BF25" s="135" t="str">
        <f t="shared" si="17"/>
        <v/>
      </c>
      <c r="BG25" s="135" t="str">
        <f t="shared" si="17"/>
        <v/>
      </c>
      <c r="BH25" s="136"/>
      <c r="BI25" s="136"/>
      <c r="BJ25" s="136"/>
      <c r="BK25" s="136"/>
      <c r="BL25" s="137"/>
      <c r="BM25" s="137"/>
      <c r="BP25" s="134" t="str">
        <f>IF(COUNTIF(BP$7:BP24,B25)&gt;0,"",B25)&amp;""</f>
        <v/>
      </c>
      <c r="BQ25" s="138">
        <f t="shared" si="18"/>
        <v>0</v>
      </c>
      <c r="BR25" s="132">
        <f t="shared" si="19"/>
        <v>1</v>
      </c>
      <c r="BS25" s="138">
        <f t="shared" si="20"/>
        <v>0</v>
      </c>
      <c r="BT25" s="132">
        <f t="shared" si="15"/>
        <v>1</v>
      </c>
      <c r="BU25" s="133"/>
      <c r="BV25" s="133"/>
    </row>
    <row r="26" s="1107" customFormat="1" customHeight="1" spans="1:75">
      <c r="A26" s="1124" t="s">
        <v>3120</v>
      </c>
      <c r="B26" s="1142"/>
      <c r="C26" s="1142"/>
      <c r="D26" s="1143"/>
      <c r="E26" s="1188"/>
      <c r="F26" s="1188"/>
      <c r="G26" s="1188"/>
      <c r="H26" s="1188"/>
      <c r="I26" s="1188"/>
      <c r="J26" s="1188"/>
      <c r="K26" s="1188"/>
      <c r="L26" s="1188"/>
      <c r="M26" s="1126"/>
      <c r="N26" s="1126"/>
      <c r="O26" s="1126"/>
      <c r="P26" s="1126"/>
      <c r="Q26" s="1126"/>
      <c r="R26" s="1126"/>
      <c r="S26" s="1189">
        <f t="shared" ref="S26:AB26" si="22">SUM(S8:S25)</f>
        <v>0</v>
      </c>
      <c r="T26" s="1189">
        <f t="shared" si="22"/>
        <v>0</v>
      </c>
      <c r="U26" s="1189">
        <f t="shared" si="22"/>
        <v>0</v>
      </c>
      <c r="V26" s="1189">
        <f t="shared" si="22"/>
        <v>0</v>
      </c>
      <c r="W26" s="1189">
        <f t="shared" si="22"/>
        <v>0</v>
      </c>
      <c r="X26" s="1189">
        <f t="shared" si="22"/>
        <v>0</v>
      </c>
      <c r="Y26" s="1189">
        <f t="shared" si="22"/>
        <v>0</v>
      </c>
      <c r="Z26" s="1189">
        <f t="shared" si="22"/>
        <v>0</v>
      </c>
      <c r="AA26" s="1189">
        <f t="shared" si="22"/>
        <v>0</v>
      </c>
      <c r="AB26" s="1189">
        <f t="shared" si="22"/>
        <v>0</v>
      </c>
      <c r="AC26" s="1189"/>
      <c r="AD26" s="1189"/>
      <c r="AE26" s="1189"/>
      <c r="AF26" s="1189"/>
      <c r="AG26" s="1189"/>
      <c r="AH26" s="1189"/>
      <c r="AI26" s="1189"/>
      <c r="AJ26" s="1189"/>
      <c r="AK26" s="1189"/>
      <c r="AL26" s="1189">
        <f t="shared" ref="AL26:AV26" si="23">SUM(AL8:AL25)</f>
        <v>0</v>
      </c>
      <c r="AM26" s="1189">
        <f t="shared" si="23"/>
        <v>0</v>
      </c>
      <c r="AN26" s="1189">
        <f t="shared" si="23"/>
        <v>0</v>
      </c>
      <c r="AO26" s="1189">
        <f t="shared" si="23"/>
        <v>0</v>
      </c>
      <c r="AP26" s="1189">
        <f t="shared" si="23"/>
        <v>0</v>
      </c>
      <c r="AQ26" s="1189">
        <f t="shared" si="23"/>
        <v>0</v>
      </c>
      <c r="AR26" s="1189">
        <f t="shared" si="23"/>
        <v>0</v>
      </c>
      <c r="AS26" s="1189">
        <f t="shared" si="23"/>
        <v>0</v>
      </c>
      <c r="AT26" s="1189">
        <f t="shared" si="23"/>
        <v>0</v>
      </c>
      <c r="AU26" s="1189">
        <f t="shared" si="23"/>
        <v>0</v>
      </c>
      <c r="AV26" s="1189">
        <f t="shared" si="23"/>
        <v>0</v>
      </c>
      <c r="AW26" s="1189" t="str">
        <f t="shared" si="16"/>
        <v/>
      </c>
      <c r="AX26" s="1188"/>
      <c r="BF26" s="1128"/>
      <c r="BG26" s="1128"/>
      <c r="BH26" s="1128"/>
      <c r="BI26" s="1128"/>
      <c r="BO26" s="111"/>
      <c r="BP26" s="119"/>
      <c r="BQ26" s="77"/>
      <c r="BR26" s="77"/>
      <c r="BS26" s="77"/>
      <c r="BT26" s="119"/>
      <c r="BU26" s="119"/>
      <c r="BV26" s="119"/>
      <c r="BW26" s="111"/>
    </row>
    <row r="27" s="1107" customFormat="1" customHeight="1" spans="1:75">
      <c r="A27" s="1149" t="s">
        <v>1290</v>
      </c>
      <c r="B27" s="1150"/>
      <c r="C27" s="1150"/>
      <c r="D27" s="1151"/>
      <c r="E27" s="1190"/>
      <c r="F27" s="1190"/>
      <c r="G27" s="1190"/>
      <c r="H27" s="1190"/>
      <c r="I27" s="1190"/>
      <c r="J27" s="1190"/>
      <c r="K27" s="1190"/>
      <c r="L27" s="1190"/>
      <c r="M27" s="1191"/>
      <c r="N27" s="1191"/>
      <c r="O27" s="1191"/>
      <c r="P27" s="1191"/>
      <c r="Q27" s="1191"/>
      <c r="R27" s="1191"/>
      <c r="S27" s="1192"/>
      <c r="T27" s="1192"/>
      <c r="U27" s="1192"/>
      <c r="V27" s="1192"/>
      <c r="W27" s="1192"/>
      <c r="X27" s="1192"/>
      <c r="Y27" s="1192"/>
      <c r="Z27" s="1192"/>
      <c r="AA27" s="1192">
        <f>AB26</f>
        <v>0</v>
      </c>
      <c r="AB27" s="1192"/>
      <c r="AC27" s="1192"/>
      <c r="AD27" s="1192"/>
      <c r="AE27" s="1192"/>
      <c r="AF27" s="1192"/>
      <c r="AG27" s="1192"/>
      <c r="AH27" s="1192"/>
      <c r="AI27" s="1192"/>
      <c r="AJ27" s="1192"/>
      <c r="AK27" s="1192"/>
      <c r="AL27" s="1192"/>
      <c r="AM27" s="1192"/>
      <c r="AN27" s="1192"/>
      <c r="AO27" s="1192"/>
      <c r="AP27" s="1192"/>
      <c r="AQ27" s="1192"/>
      <c r="AR27" s="1192"/>
      <c r="AS27" s="1192"/>
      <c r="AT27" s="1192">
        <f>AU26</f>
        <v>0</v>
      </c>
      <c r="AU27" s="1192"/>
      <c r="AV27" s="1192"/>
      <c r="AW27" s="1192" t="str">
        <f t="shared" ref="AW27:AW28" si="24">IFERROR((AV27-(AT27-AU27))/(AT27-AU27)*100,"")</f>
        <v/>
      </c>
      <c r="AX27" s="1190"/>
      <c r="BF27" s="1128"/>
      <c r="BG27" s="1128"/>
      <c r="BH27" s="1128"/>
      <c r="BI27" s="1128"/>
      <c r="BO27" s="111"/>
      <c r="BP27" s="119"/>
      <c r="BQ27" s="77"/>
      <c r="BR27" s="77"/>
      <c r="BS27" s="77"/>
      <c r="BT27" s="119"/>
      <c r="BU27" s="119"/>
      <c r="BV27" s="119"/>
      <c r="BW27" s="111"/>
    </row>
    <row r="28" s="1107" customFormat="1" customHeight="1" spans="1:75">
      <c r="A28" s="1124" t="s">
        <v>3121</v>
      </c>
      <c r="B28" s="1142"/>
      <c r="C28" s="1142"/>
      <c r="D28" s="1143"/>
      <c r="E28" s="1188"/>
      <c r="F28" s="1188"/>
      <c r="G28" s="1188"/>
      <c r="H28" s="1188"/>
      <c r="I28" s="1188"/>
      <c r="J28" s="1188"/>
      <c r="K28" s="1188"/>
      <c r="L28" s="1188"/>
      <c r="M28" s="1126"/>
      <c r="N28" s="1126"/>
      <c r="O28" s="1126"/>
      <c r="P28" s="1126"/>
      <c r="Q28" s="1126"/>
      <c r="R28" s="1126"/>
      <c r="S28" s="1189"/>
      <c r="T28" s="1189"/>
      <c r="U28" s="1189"/>
      <c r="V28" s="1189"/>
      <c r="W28" s="1189"/>
      <c r="X28" s="1189"/>
      <c r="Y28" s="1189"/>
      <c r="Z28" s="1189"/>
      <c r="AA28" s="1189">
        <f>AA26-AA27</f>
        <v>0</v>
      </c>
      <c r="AB28" s="1189"/>
      <c r="AC28" s="1189"/>
      <c r="AD28" s="1189"/>
      <c r="AE28" s="1189"/>
      <c r="AF28" s="1189"/>
      <c r="AG28" s="1189"/>
      <c r="AH28" s="1189"/>
      <c r="AI28" s="1189"/>
      <c r="AJ28" s="1189"/>
      <c r="AK28" s="1189"/>
      <c r="AL28" s="1189"/>
      <c r="AM28" s="1189"/>
      <c r="AN28" s="1189"/>
      <c r="AO28" s="1189"/>
      <c r="AP28" s="1189"/>
      <c r="AQ28" s="1189"/>
      <c r="AR28" s="1189"/>
      <c r="AS28" s="1189"/>
      <c r="AT28" s="1189">
        <f>AT26-AT27</f>
        <v>0</v>
      </c>
      <c r="AU28" s="1189"/>
      <c r="AV28" s="1189">
        <f>AV26-AV27</f>
        <v>0</v>
      </c>
      <c r="AW28" s="1189" t="str">
        <f t="shared" si="24"/>
        <v/>
      </c>
      <c r="AX28" s="1188"/>
      <c r="BF28" s="1128"/>
      <c r="BG28" s="1128"/>
      <c r="BH28" s="1128"/>
      <c r="BI28" s="1128"/>
      <c r="BO28" s="111"/>
      <c r="BP28" s="119"/>
      <c r="BQ28" s="77"/>
      <c r="BR28" s="77"/>
      <c r="BS28" s="77"/>
      <c r="BT28" s="119"/>
      <c r="BU28" s="119"/>
      <c r="BV28" s="119"/>
      <c r="BW28" s="111"/>
    </row>
    <row r="29" customHeight="1" spans="1:75">
      <c r="A29" s="102" t="str">
        <f>参数表!F$6</f>
        <v>产权持有单位填表人：贾广东</v>
      </c>
      <c r="B29" s="1049"/>
      <c r="C29" s="1049"/>
      <c r="D29" s="1049"/>
      <c r="E29" s="1049"/>
      <c r="F29" s="1049"/>
      <c r="G29" s="1049"/>
      <c r="H29" s="1049"/>
      <c r="I29" s="1049"/>
      <c r="J29" s="1049"/>
      <c r="K29" s="1049"/>
      <c r="L29" s="1049"/>
      <c r="M29" s="1049"/>
      <c r="N29" s="1049"/>
      <c r="O29" s="1049"/>
      <c r="P29" s="1049"/>
      <c r="Q29" s="1049"/>
      <c r="R29" s="1049"/>
      <c r="S29" s="1153"/>
      <c r="T29" s="1153"/>
      <c r="U29" s="1153"/>
      <c r="V29" s="1153"/>
      <c r="W29" s="1153"/>
      <c r="X29" s="1153"/>
      <c r="Y29" s="1153"/>
      <c r="Z29" s="1153"/>
      <c r="AA29" s="1049"/>
      <c r="AB29" s="1049"/>
      <c r="AC29" s="1049"/>
      <c r="AD29" s="1049"/>
      <c r="AE29" s="1049"/>
      <c r="AF29" s="1049"/>
      <c r="AG29" s="1049"/>
      <c r="AH29" s="1049"/>
      <c r="AI29" s="1049"/>
      <c r="AJ29" s="1049"/>
      <c r="AK29" s="1049"/>
      <c r="AL29" s="1153"/>
      <c r="AM29" s="1153"/>
      <c r="AN29" s="1153"/>
      <c r="AO29" s="1153"/>
      <c r="AP29" s="1153"/>
      <c r="AQ29" s="1153"/>
      <c r="AR29" s="1153"/>
      <c r="AS29" s="1153"/>
      <c r="AT29" s="1049"/>
      <c r="AU29" s="1049"/>
      <c r="AV29" s="1049" t="str">
        <f>"评估人员："&amp;封面!$G$24</f>
        <v>评估人员：</v>
      </c>
      <c r="AW29" s="1172"/>
      <c r="AX29" s="1049"/>
      <c r="BA29" s="110"/>
      <c r="BH29" s="109"/>
      <c r="BI29" s="109"/>
      <c r="BJ29" s="109"/>
      <c r="BK29" s="109"/>
    </row>
    <row r="30" customHeight="1" spans="1:75">
      <c r="A30" s="102" t="str">
        <f>参数表!F$7</f>
        <v>填表日期：2025年9月20日</v>
      </c>
      <c r="B30" s="1049"/>
      <c r="C30" s="1049"/>
      <c r="D30" s="1049"/>
      <c r="E30" s="1049"/>
      <c r="F30" s="1049"/>
      <c r="G30" s="1049"/>
      <c r="H30" s="1049"/>
      <c r="I30" s="1049"/>
      <c r="J30" s="1049"/>
      <c r="K30" s="1049"/>
      <c r="L30" s="1049"/>
      <c r="M30" s="1049"/>
      <c r="N30" s="1049"/>
      <c r="O30" s="1049"/>
      <c r="P30" s="1049"/>
      <c r="Q30" s="1049"/>
      <c r="R30" s="1049"/>
      <c r="S30" s="1153"/>
      <c r="T30" s="1153"/>
      <c r="U30" s="1153"/>
      <c r="V30" s="1153"/>
      <c r="W30" s="1153"/>
      <c r="X30" s="1153"/>
      <c r="Y30" s="1153"/>
      <c r="Z30" s="1153"/>
      <c r="AA30" s="1049"/>
      <c r="AB30" s="1049"/>
      <c r="AC30" s="1049"/>
      <c r="AD30" s="1049"/>
      <c r="AE30" s="1049"/>
      <c r="AF30" s="1049"/>
      <c r="AG30" s="1049"/>
      <c r="AH30" s="1049"/>
      <c r="AI30" s="1049"/>
      <c r="AJ30" s="1049"/>
      <c r="AK30" s="1049"/>
      <c r="AL30" s="1153"/>
      <c r="AM30" s="1153"/>
      <c r="AN30" s="1153"/>
      <c r="AO30" s="1153"/>
      <c r="AP30" s="1153"/>
      <c r="AQ30" s="1153"/>
      <c r="AR30" s="1153"/>
      <c r="AS30" s="1153"/>
      <c r="AT30" s="1049"/>
      <c r="AU30" s="1049"/>
      <c r="AV30" s="1049"/>
      <c r="AW30" s="1172"/>
      <c r="AX30" s="1049"/>
      <c r="BA30" s="110"/>
      <c r="BC30" s="109"/>
      <c r="BD30" s="109"/>
      <c r="BE30" s="109"/>
    </row>
    <row r="31" customHeight="1" spans="1:75">
      <c r="A31" s="1193" t="s">
        <v>3122</v>
      </c>
      <c r="AW31" s="110"/>
    </row>
    <row r="32" customHeight="1" spans="1:75">
      <c r="A32" s="1156" t="s">
        <v>3123</v>
      </c>
      <c r="B32" s="1157"/>
      <c r="AW32" s="110"/>
    </row>
    <row r="33" customHeight="1" spans="1:63">
      <c r="A33" s="1156" t="s">
        <v>3124</v>
      </c>
      <c r="B33" s="1157"/>
      <c r="AW33" s="110"/>
    </row>
    <row r="34" customHeight="1" spans="1:63">
      <c r="A34" s="1156" t="s">
        <v>3125</v>
      </c>
      <c r="B34" s="1157"/>
      <c r="AW34" s="110"/>
    </row>
    <row r="35" customHeight="1" spans="1:63">
      <c r="A35" s="1156" t="s">
        <v>3126</v>
      </c>
      <c r="B35" s="1157"/>
      <c r="AW35" s="110"/>
    </row>
    <row r="36" customHeight="1" spans="1:63">
      <c r="A36" s="1156" t="s">
        <v>3127</v>
      </c>
      <c r="B36" s="1157"/>
      <c r="AW36" s="110"/>
    </row>
    <row r="37" customHeight="1" spans="1:63">
      <c r="A37" s="1156" t="s">
        <v>3128</v>
      </c>
      <c r="B37" s="1157"/>
      <c r="AW37" s="110"/>
    </row>
    <row r="38" customHeight="1" spans="1:63">
      <c r="A38" s="1156" t="s">
        <v>3129</v>
      </c>
      <c r="B38" s="1157"/>
      <c r="AW38" s="110"/>
    </row>
    <row r="39" customHeight="1" spans="1:63">
      <c r="A39" s="1156" t="s">
        <v>3130</v>
      </c>
      <c r="B39" s="1157"/>
      <c r="AW39" s="110"/>
    </row>
    <row r="40" customHeight="1" spans="1:63">
      <c r="A40" s="1156" t="s">
        <v>3131</v>
      </c>
      <c r="B40" s="1157"/>
      <c r="AW40" s="110"/>
    </row>
    <row r="41" customHeight="1" spans="1:63">
      <c r="A41" s="1156" t="s">
        <v>3132</v>
      </c>
      <c r="B41" s="1157"/>
      <c r="AW41" s="110"/>
    </row>
    <row r="42" hidden="1" customHeight="1" outlineLevel="1" spans="1:63">
      <c r="B42" s="154" t="s">
        <v>1673</v>
      </c>
      <c r="AA42" s="628">
        <f>SUMIF($BA8:$BA25,$BA42,AA8:AA25)</f>
        <v>0</v>
      </c>
      <c r="AB42" s="628">
        <f>SUMIF($BA8:$BA25,$BA42,AB8:AB25)</f>
        <v>0</v>
      </c>
      <c r="AC42" s="1158"/>
      <c r="AD42" s="1158"/>
      <c r="AE42" s="1158"/>
      <c r="AF42" s="1158"/>
      <c r="AG42" s="1158"/>
      <c r="AH42" s="1158"/>
      <c r="AI42" s="1158"/>
      <c r="AJ42" s="1158"/>
      <c r="AK42" s="1158"/>
      <c r="AL42" s="1158"/>
      <c r="AM42" s="1158"/>
      <c r="AN42" s="1158"/>
      <c r="AO42" s="1158"/>
      <c r="AP42" s="1158"/>
      <c r="AQ42" s="1158"/>
      <c r="AR42" s="1158"/>
      <c r="AS42" s="1158"/>
      <c r="AT42" s="628">
        <f>SUMIF($BA8:$BA25,$BA42,AT8:AT25)</f>
        <v>0</v>
      </c>
      <c r="AU42" s="628">
        <f>SUMIF($BA8:$BA25,$BA42,AU8:AU25)</f>
        <v>0</v>
      </c>
      <c r="AV42" s="628">
        <f>SUMIF($BA8:$BA25,$BA42,AV8:AV25)</f>
        <v>0</v>
      </c>
      <c r="BA42" s="161" t="s">
        <v>1674</v>
      </c>
      <c r="BH42" s="1021" t="s">
        <v>3133</v>
      </c>
      <c r="BI42" s="1021" t="s">
        <v>3133</v>
      </c>
      <c r="BJ42" s="1021" t="s">
        <v>3133</v>
      </c>
      <c r="BK42" s="1021" t="s">
        <v>3133</v>
      </c>
    </row>
    <row r="43" hidden="1" customHeight="1" outlineLevel="1" spans="1:63">
      <c r="B43" s="154" t="s">
        <v>1676</v>
      </c>
      <c r="AA43" s="628">
        <f>AA26-AA42</f>
        <v>0</v>
      </c>
      <c r="AB43" s="628">
        <f>AB26-AB42</f>
        <v>0</v>
      </c>
      <c r="AC43" s="1158"/>
      <c r="AD43" s="1158"/>
      <c r="AE43" s="1158"/>
      <c r="AF43" s="1158"/>
      <c r="AG43" s="1158"/>
      <c r="AH43" s="1158"/>
      <c r="AI43" s="1158"/>
      <c r="AJ43" s="1158"/>
      <c r="AK43" s="1158"/>
      <c r="AL43" s="1158"/>
      <c r="AM43" s="1158"/>
      <c r="AN43" s="1158"/>
      <c r="AO43" s="1158"/>
      <c r="AP43" s="1158"/>
      <c r="AQ43" s="1158"/>
      <c r="AR43" s="1158"/>
      <c r="AS43" s="1158"/>
      <c r="AT43" s="628">
        <f>AT26-AT42</f>
        <v>0</v>
      </c>
      <c r="AU43" s="628">
        <f>AU26-AU42</f>
        <v>0</v>
      </c>
      <c r="AV43" s="628">
        <f>AV26-AV42</f>
        <v>0</v>
      </c>
      <c r="BA43" s="161" t="s">
        <v>1677</v>
      </c>
      <c r="BH43" s="1021" t="s">
        <v>3134</v>
      </c>
      <c r="BI43" s="1021" t="s">
        <v>3134</v>
      </c>
      <c r="BJ43" s="1021" t="s">
        <v>3134</v>
      </c>
      <c r="BK43" s="1021" t="s">
        <v>3134</v>
      </c>
    </row>
    <row r="44" customHeight="1" collapsed="1"/>
  </sheetData>
  <sheetProtection autoFilter="0"/>
  <mergeCells count="34">
    <mergeCell ref="A2:AX2"/>
    <mergeCell ref="A3:AX3"/>
    <mergeCell ref="C6:G6"/>
    <mergeCell ref="O6:R6"/>
    <mergeCell ref="S6:AB6"/>
    <mergeCell ref="AC6:AK6"/>
    <mergeCell ref="AL6:AU6"/>
    <mergeCell ref="BU8:BW8"/>
    <mergeCell ref="BU9:BW9"/>
    <mergeCell ref="BV15:BW15"/>
    <mergeCell ref="A26:D26"/>
    <mergeCell ref="A27:D27"/>
    <mergeCell ref="A28:D28"/>
    <mergeCell ref="A6:A7"/>
    <mergeCell ref="B6:B7"/>
    <mergeCell ref="H6:H7"/>
    <mergeCell ref="I6:I7"/>
    <mergeCell ref="J6:J7"/>
    <mergeCell ref="K6:K7"/>
    <mergeCell ref="L6:L7"/>
    <mergeCell ref="M6:M7"/>
    <mergeCell ref="N6:N7"/>
    <mergeCell ref="AV6:AV7"/>
    <mergeCell ref="AW6:AW7"/>
    <mergeCell ref="AX6:AX7"/>
    <mergeCell ref="BF6:BF7"/>
    <mergeCell ref="BG6:BG7"/>
    <mergeCell ref="BH6:BH7"/>
    <mergeCell ref="BI6:BI7"/>
    <mergeCell ref="BJ6:BJ7"/>
    <mergeCell ref="BK6:BK7"/>
    <mergeCell ref="BL6:BL7"/>
    <mergeCell ref="BM6:BM7"/>
    <mergeCell ref="BN6:BN7"/>
  </mergeCells>
  <conditionalFormatting sqref="BL8:BL25">
    <cfRule type="expression" dxfId="5" priority="4" stopIfTrue="1">
      <formula>AND(BK8="无",BL8="")</formula>
    </cfRule>
  </conditionalFormatting>
  <conditionalFormatting sqref="BF8:BG25">
    <cfRule type="containsText" dxfId="6" priority="1" stopIfTrue="1" operator="between" text="出错">
      <formula>NOT(ISERROR(SEARCH("出错",BF8)))</formula>
    </cfRule>
  </conditionalFormatting>
  <conditionalFormatting sqref="BH8:BK25">
    <cfRule type="expression" dxfId="5" priority="5" stopIfTrue="1">
      <formula>AND(#REF!&lt;&gt;"",BH8="")</formula>
    </cfRule>
  </conditionalFormatting>
  <dataValidations count="4">
    <dataValidation type="list" allowBlank="1" showInputMessage="1" showErrorMessage="1" sqref="O8:O25">
      <formula1>OFFSET(参数表!$H$2:$H$50,,,COUNTA(参数表!$H$2:$H$50))</formula1>
    </dataValidation>
    <dataValidation type="list" allowBlank="1" showInputMessage="1" showErrorMessage="1" sqref="BA8:BA25 BA42:BA43">
      <formula1>"是,否"</formula1>
    </dataValidation>
    <dataValidation type="list" allowBlank="1" showInputMessage="1" showErrorMessage="1" sqref="BC8:BC25">
      <formula1>"  ,√"</formula1>
    </dataValidation>
    <dataValidation type="list" allowBlank="1" showInputMessage="1" showErrorMessage="1" sqref="BH8:BK25">
      <formula1>BH$42:BH$43</formula1>
    </dataValidation>
  </dataValidations>
  <hyperlinks>
    <hyperlink ref="A1" location="索引目录!E24" display="返回索引页"/>
    <hyperlink ref="B1" location="存货汇总!B12" display="返回"/>
  </hyperlinks>
  <printOptions horizontalCentered="1"/>
  <pageMargins left="0.393700787401575" right="0.393700787401575" top="0.984251968503937" bottom="0.393700787401575" header="0.984251968503937" footer="0.393700787401575"/>
  <pageSetup paperSize="9" orientation="landscape" blackAndWhite="1"/>
  <headerFooter alignWithMargins="0">
    <oddHeader>&amp;R&amp;"宋体,常规"&amp;11共&amp;N页，第&amp;P页&amp;"Times New Roman,常规"</oddHeader>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BW46"/>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6.5" customHeight="1"/>
  <cols>
    <col min="1" max="1" width="4.3" style="1108" customWidth="1"/>
    <col min="2" max="2" width="8.5" style="110" customWidth="1"/>
    <col min="3" max="4" width="8" style="110" customWidth="1" outlineLevel="1"/>
    <col min="5" max="5" width="9.6" style="110" customWidth="1" outlineLevel="1"/>
    <col min="6" max="6" width="11.3" style="110" customWidth="1" outlineLevel="1"/>
    <col min="7" max="7" width="8" style="110" customWidth="1" outlineLevel="1"/>
    <col min="8" max="8" width="12.5" style="110" customWidth="1"/>
    <col min="9" max="9" width="5.2" style="110" customWidth="1"/>
    <col min="10" max="10" width="8.2" style="110" customWidth="1"/>
    <col min="11" max="11" width="9.6" style="110" customWidth="1"/>
    <col min="12" max="12" width="8" style="110" customWidth="1"/>
    <col min="13" max="13" width="5.5" style="110" customWidth="1" outlineLevel="1"/>
    <col min="14" max="14" width="6.6" style="110" customWidth="1" outlineLevel="1"/>
    <col min="15" max="16" width="6" style="110" customWidth="1" outlineLevel="1"/>
    <col min="17" max="20" width="6.5" style="110" customWidth="1" outlineLevel="1"/>
    <col min="21" max="24" width="6.6" style="110" customWidth="1" outlineLevel="1"/>
    <col min="25" max="26" width="4.6" style="110" customWidth="1" outlineLevel="1"/>
    <col min="27" max="29" width="6.1" style="110" customWidth="1" outlineLevel="1"/>
    <col min="30" max="31" width="10.6" style="110" customWidth="1" outlineLevel="1"/>
    <col min="32" max="32" width="8.6" style="110" customWidth="1" outlineLevel="1"/>
    <col min="33" max="34" width="10.5" style="110" customWidth="1" outlineLevel="1"/>
    <col min="35" max="35" width="8.6" style="110" customWidth="1" outlineLevel="1"/>
    <col min="36" max="37" width="10.6" style="110" customWidth="1"/>
    <col min="38" max="38" width="10.7" style="110" customWidth="1"/>
    <col min="39" max="39" width="10.6" style="110" customWidth="1"/>
    <col min="40" max="40" width="6.7" style="1109" customWidth="1"/>
    <col min="41" max="41" width="6.7" style="110" customWidth="1"/>
    <col min="42" max="42" width="9" style="75" hidden="1" customWidth="1" outlineLevel="1"/>
    <col min="43" max="51" width="9" style="110" hidden="1" customWidth="1" outlineLevel="1"/>
    <col min="52" max="52" width="9" style="110" hidden="1" customWidth="1" outlineLevel="1" collapsed="1"/>
    <col min="53" max="53" width="14.7" style="110" customWidth="1" collapsed="1"/>
    <col min="54" max="54" width="6.7" style="110" customWidth="1"/>
    <col min="55" max="56" width="5" style="109" customWidth="1"/>
    <col min="57" max="57" width="8.6" style="109" customWidth="1"/>
    <col min="58" max="59" width="9.6" style="110" customWidth="1"/>
    <col min="60" max="63" width="4.7" style="110" customWidth="1"/>
    <col min="64" max="64" width="10.3" style="110" customWidth="1"/>
    <col min="65" max="65" width="8.6" style="110" customWidth="1"/>
    <col min="66" max="66" width="8.8" style="110"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110"/>
  </cols>
  <sheetData>
    <row r="1" ht="15.6" spans="1:75">
      <c r="A1" s="1025" t="s">
        <v>233</v>
      </c>
      <c r="B1" s="1159" t="s">
        <v>1541</v>
      </c>
      <c r="BA1" s="84" t="str">
        <f>参数表!$BA$1</f>
        <v>注意：补充特殊事项、作价等均从BA列开始填写</v>
      </c>
      <c r="BB1" s="85"/>
      <c r="BD1" s="1033"/>
      <c r="BE1" s="1034"/>
      <c r="BO1" s="87"/>
      <c r="BP1" s="88"/>
      <c r="BQ1" s="87"/>
      <c r="BR1" s="88"/>
      <c r="BS1" s="88"/>
      <c r="BT1" s="88"/>
      <c r="BU1" s="88"/>
      <c r="BV1" s="88"/>
      <c r="BW1" s="87"/>
    </row>
    <row r="2" s="1002" customFormat="1" ht="24.75" customHeight="1" spans="1:75">
      <c r="A2" s="1111" t="s">
        <v>3135</v>
      </c>
      <c r="B2" s="1111"/>
      <c r="C2" s="1111"/>
      <c r="D2" s="1111"/>
      <c r="E2" s="1111"/>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60"/>
      <c r="BA2" s="90" t="str">
        <f>参数表!$BA$2</f>
        <v>评估基准日：</v>
      </c>
      <c r="BB2" s="91" t="str">
        <f>参数表!$BB$2</f>
        <v>2025年7月31日</v>
      </c>
      <c r="BO2" s="92"/>
      <c r="BP2" s="93"/>
      <c r="BQ2" s="92"/>
      <c r="BR2" s="93"/>
      <c r="BS2" s="93"/>
      <c r="BT2" s="93"/>
      <c r="BU2" s="93"/>
      <c r="BV2" s="93"/>
      <c r="BW2" s="92"/>
    </row>
    <row r="3" customHeight="1" spans="1:75">
      <c r="A3" s="634" t="str">
        <f>参数表!F5</f>
        <v>评估基准日：2025年7月31日</v>
      </c>
      <c r="B3" s="634"/>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634"/>
      <c r="AM3" s="634"/>
      <c r="AN3" s="634"/>
      <c r="AO3" s="634"/>
      <c r="AP3" s="552"/>
      <c r="BA3" s="90" t="str">
        <f>参数表!$BA$3</f>
        <v>是否显示评估值：</v>
      </c>
      <c r="BB3" s="90" t="str">
        <f>参数表!$BB$3</f>
        <v>是</v>
      </c>
      <c r="BO3" s="92"/>
      <c r="BP3" s="93"/>
      <c r="BQ3" s="92"/>
      <c r="BR3" s="93"/>
      <c r="BS3" s="93"/>
      <c r="BT3" s="93"/>
      <c r="BU3" s="93"/>
      <c r="BV3" s="93"/>
      <c r="BW3" s="92"/>
    </row>
    <row r="4" customHeight="1" spans="1:75">
      <c r="A4" s="636"/>
      <c r="B4" s="634"/>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4"/>
      <c r="AO4" s="98" t="str">
        <f>"表"&amp;$BA4</f>
        <v>表3-10-10</v>
      </c>
      <c r="AP4" s="552"/>
      <c r="BA4" s="95" t="str">
        <f>存货总!A16</f>
        <v>3-10-10</v>
      </c>
      <c r="BB4" s="100">
        <f>MAX(COUNTA(A8:A25),COUNTA(#REF!),COUNTA(AD8:AD25),COUNTA(AE8:AE25))</f>
        <v>18</v>
      </c>
      <c r="BC4" s="101">
        <f>ROW(A7)+1</f>
        <v>8</v>
      </c>
      <c r="BD4" s="77"/>
      <c r="BE4" s="77"/>
      <c r="BQ4" s="78"/>
    </row>
    <row r="5" customHeight="1" spans="1:75">
      <c r="A5" s="638" t="str">
        <f>参数表!F3</f>
        <v>产权持有单位:中煤第五建设有限公司</v>
      </c>
      <c r="B5" s="1116"/>
      <c r="C5" s="1116"/>
      <c r="D5" s="1116"/>
      <c r="E5" s="1116"/>
      <c r="F5" s="1116"/>
      <c r="G5" s="1116"/>
      <c r="H5" s="1116"/>
      <c r="I5" s="1116"/>
      <c r="J5" s="1116"/>
      <c r="K5" s="1116"/>
      <c r="L5" s="1116"/>
      <c r="M5" s="1116"/>
      <c r="N5" s="1116"/>
      <c r="O5" s="1116"/>
      <c r="P5" s="1116"/>
      <c r="Q5" s="1116"/>
      <c r="R5" s="1116"/>
      <c r="S5" s="1116"/>
      <c r="T5" s="1116"/>
      <c r="U5" s="1116"/>
      <c r="V5" s="1116"/>
      <c r="W5" s="1116"/>
      <c r="X5" s="1116"/>
      <c r="Y5" s="1116"/>
      <c r="Z5" s="1116"/>
      <c r="AA5" s="1116"/>
      <c r="AB5" s="1116"/>
      <c r="AC5" s="1116"/>
      <c r="AD5" s="1116"/>
      <c r="AE5" s="1116"/>
      <c r="AF5" s="1116"/>
      <c r="AG5" s="1116"/>
      <c r="AH5" s="1116"/>
      <c r="AI5" s="1116"/>
      <c r="AJ5" s="1116"/>
      <c r="AK5" s="1116"/>
      <c r="AL5" s="1116"/>
      <c r="AM5" s="1116"/>
      <c r="AN5" s="1117"/>
      <c r="AO5" s="1161" t="s">
        <v>3075</v>
      </c>
      <c r="AP5" s="552"/>
      <c r="BA5" s="1049"/>
      <c r="BB5" s="105" t="str">
        <f ca="1">判断表!C39</f>
        <v>中煤第五建设有限公司第三工程处拟处置实物资产项目\[0000-3基础法明细表.xlsx]出租开发产品</v>
      </c>
      <c r="BC5" s="106">
        <f>IFERROR(SUMIF(BC8:BC25,"√",AK8:AK25)/AK26,0)</f>
        <v>0</v>
      </c>
      <c r="BD5" s="107"/>
      <c r="BE5" s="107"/>
      <c r="BF5" s="284">
        <f>开发产品!BF5</f>
        <v>35557.52</v>
      </c>
      <c r="BG5" s="284">
        <f>开发产品!BG5</f>
        <v>35557.52</v>
      </c>
      <c r="BH5" s="109"/>
      <c r="BI5" s="109"/>
      <c r="BJ5" s="109"/>
      <c r="BK5" s="109"/>
      <c r="BQ5" s="78"/>
    </row>
    <row r="6" s="1107" customFormat="1" ht="18" customHeight="1" spans="1:75">
      <c r="A6" s="1119" t="s">
        <v>521</v>
      </c>
      <c r="B6" s="1120" t="s">
        <v>1418</v>
      </c>
      <c r="C6" s="1121" t="s">
        <v>3076</v>
      </c>
      <c r="D6" s="1122"/>
      <c r="E6" s="1122"/>
      <c r="F6" s="1122"/>
      <c r="G6" s="1123"/>
      <c r="H6" s="1120" t="s">
        <v>3077</v>
      </c>
      <c r="I6" s="1120" t="s">
        <v>3136</v>
      </c>
      <c r="J6" s="1120" t="s">
        <v>3137</v>
      </c>
      <c r="K6" s="1120" t="s">
        <v>3138</v>
      </c>
      <c r="L6" s="1120" t="s">
        <v>3139</v>
      </c>
      <c r="M6" s="1126" t="str">
        <f>YEAR(BB2)&amp;"年房屋出租相关费用"</f>
        <v>2025年房屋出租相关费用</v>
      </c>
      <c r="N6" s="1126"/>
      <c r="O6" s="1126"/>
      <c r="P6" s="1126"/>
      <c r="Q6" s="1126" t="str">
        <f>YEAR(BB2)-1&amp;"年房屋出租相关费用"</f>
        <v>2024年房屋出租相关费用</v>
      </c>
      <c r="R6" s="1126"/>
      <c r="S6" s="1126"/>
      <c r="T6" s="1126"/>
      <c r="U6" s="1126" t="str">
        <f>YEAR(BB2)-2&amp;"年房屋出租相关费用"</f>
        <v>2023年房屋出租相关费用</v>
      </c>
      <c r="V6" s="1126"/>
      <c r="W6" s="1126"/>
      <c r="X6" s="1126"/>
      <c r="Y6" s="511" t="s">
        <v>1964</v>
      </c>
      <c r="Z6" s="512"/>
      <c r="AA6" s="512"/>
      <c r="AB6" s="512"/>
      <c r="AC6" s="513"/>
      <c r="AD6" s="1121" t="s">
        <v>3140</v>
      </c>
      <c r="AE6" s="1122"/>
      <c r="AF6" s="1123"/>
      <c r="AG6" s="1126" t="s">
        <v>3141</v>
      </c>
      <c r="AH6" s="1126"/>
      <c r="AI6" s="1126"/>
      <c r="AJ6" s="1121" t="s">
        <v>3142</v>
      </c>
      <c r="AK6" s="1122"/>
      <c r="AL6" s="1123"/>
      <c r="AM6" s="1126" t="s">
        <v>1390</v>
      </c>
      <c r="AN6" s="1162" t="s">
        <v>1058</v>
      </c>
      <c r="AO6" s="1126" t="s">
        <v>3086</v>
      </c>
      <c r="AP6" s="1163" t="s">
        <v>3143</v>
      </c>
      <c r="BA6" s="1057"/>
      <c r="BB6" s="100"/>
      <c r="BC6" s="100"/>
      <c r="BD6" s="100"/>
      <c r="BE6" s="100"/>
      <c r="BF6" s="192" t="s">
        <v>1639</v>
      </c>
      <c r="BG6" s="192" t="s">
        <v>1640</v>
      </c>
      <c r="BH6" s="113" t="s">
        <v>1748</v>
      </c>
      <c r="BI6" s="113" t="s">
        <v>1749</v>
      </c>
      <c r="BJ6" s="118" t="s">
        <v>1750</v>
      </c>
      <c r="BK6" s="118" t="s">
        <v>1641</v>
      </c>
      <c r="BL6" s="118" t="s">
        <v>2209</v>
      </c>
      <c r="BM6" s="113" t="s">
        <v>1644</v>
      </c>
      <c r="BN6" s="1130" t="s">
        <v>526</v>
      </c>
      <c r="BO6" s="111"/>
      <c r="BP6" s="78"/>
      <c r="BQ6" s="78"/>
      <c r="BR6" s="78"/>
      <c r="BS6" s="78"/>
      <c r="BT6" s="78"/>
      <c r="BU6" s="78"/>
      <c r="BV6" s="194"/>
      <c r="BW6" s="111"/>
    </row>
    <row r="7" s="1107" customFormat="1" ht="18" customHeight="1" spans="1:75">
      <c r="A7" s="1119"/>
      <c r="B7" s="1120"/>
      <c r="C7" s="1120" t="s">
        <v>3087</v>
      </c>
      <c r="D7" s="1120" t="s">
        <v>3088</v>
      </c>
      <c r="E7" s="1120" t="s">
        <v>3089</v>
      </c>
      <c r="F7" s="1120" t="s">
        <v>3090</v>
      </c>
      <c r="G7" s="1120" t="s">
        <v>3144</v>
      </c>
      <c r="H7" s="1120"/>
      <c r="I7" s="1120"/>
      <c r="J7" s="1120"/>
      <c r="K7" s="1120"/>
      <c r="L7" s="1120"/>
      <c r="M7" s="1126" t="s">
        <v>3145</v>
      </c>
      <c r="N7" s="1126" t="s">
        <v>3146</v>
      </c>
      <c r="O7" s="1126" t="s">
        <v>3147</v>
      </c>
      <c r="P7" s="1126" t="s">
        <v>3148</v>
      </c>
      <c r="Q7" s="1126" t="s">
        <v>3145</v>
      </c>
      <c r="R7" s="1126" t="s">
        <v>3146</v>
      </c>
      <c r="S7" s="1126" t="s">
        <v>3147</v>
      </c>
      <c r="T7" s="1126" t="s">
        <v>3148</v>
      </c>
      <c r="U7" s="1126" t="s">
        <v>3145</v>
      </c>
      <c r="V7" s="1126" t="s">
        <v>3146</v>
      </c>
      <c r="W7" s="1126" t="s">
        <v>3147</v>
      </c>
      <c r="X7" s="1126" t="s">
        <v>3148</v>
      </c>
      <c r="Y7" s="519" t="s">
        <v>1968</v>
      </c>
      <c r="Z7" s="519" t="s">
        <v>1969</v>
      </c>
      <c r="AA7" s="519" t="s">
        <v>3149</v>
      </c>
      <c r="AB7" s="519" t="s">
        <v>1970</v>
      </c>
      <c r="AC7" s="519" t="s">
        <v>2177</v>
      </c>
      <c r="AD7" s="1126" t="s">
        <v>3150</v>
      </c>
      <c r="AE7" s="1126" t="s">
        <v>3151</v>
      </c>
      <c r="AF7" s="1126" t="s">
        <v>3101</v>
      </c>
      <c r="AG7" s="1126" t="str">
        <f>AD7</f>
        <v>原始价值</v>
      </c>
      <c r="AH7" s="1126" t="str">
        <f>AE7</f>
        <v>账面余额</v>
      </c>
      <c r="AI7" s="1126" t="str">
        <f>AF7</f>
        <v>跌价准备</v>
      </c>
      <c r="AJ7" s="1126" t="s">
        <v>3150</v>
      </c>
      <c r="AK7" s="1126" t="s">
        <v>3151</v>
      </c>
      <c r="AL7" s="1126" t="s">
        <v>3101</v>
      </c>
      <c r="AM7" s="1126"/>
      <c r="AN7" s="1162"/>
      <c r="AO7" s="1126"/>
      <c r="AP7" s="1163"/>
      <c r="BA7" s="100" t="s">
        <v>1545</v>
      </c>
      <c r="BB7" s="100" t="s">
        <v>1635</v>
      </c>
      <c r="BC7" s="100" t="s">
        <v>1636</v>
      </c>
      <c r="BD7" s="100" t="s">
        <v>1637</v>
      </c>
      <c r="BE7" s="100" t="s">
        <v>1638</v>
      </c>
      <c r="BF7" s="197"/>
      <c r="BG7" s="197"/>
      <c r="BH7" s="113"/>
      <c r="BI7" s="113"/>
      <c r="BJ7" s="118"/>
      <c r="BK7" s="118"/>
      <c r="BL7" s="118"/>
      <c r="BM7" s="113"/>
      <c r="BN7" s="1130"/>
      <c r="BO7" s="119"/>
      <c r="BP7" s="120" t="s">
        <v>1645</v>
      </c>
      <c r="BQ7" s="121" t="s">
        <v>1646</v>
      </c>
      <c r="BR7" s="121" t="s">
        <v>1647</v>
      </c>
      <c r="BS7" s="121" t="s">
        <v>1648</v>
      </c>
      <c r="BT7" s="121" t="s">
        <v>1647</v>
      </c>
      <c r="BU7" s="121" t="s">
        <v>1647</v>
      </c>
      <c r="BV7" s="121" t="s">
        <v>1649</v>
      </c>
      <c r="BW7" s="122" t="s">
        <v>1650</v>
      </c>
    </row>
    <row r="8" customHeight="1" spans="1:75">
      <c r="A8" s="123" t="str">
        <f>IF(B8="","",COUNT(A$7:A7)+1)</f>
        <v/>
      </c>
      <c r="B8" s="1133"/>
      <c r="C8" s="1164"/>
      <c r="D8" s="1164"/>
      <c r="E8" s="1164"/>
      <c r="F8" s="1164"/>
      <c r="G8" s="1164"/>
      <c r="H8" s="1133"/>
      <c r="I8" s="1133"/>
      <c r="J8" s="1133"/>
      <c r="K8" s="1133"/>
      <c r="L8" s="1133"/>
      <c r="M8" s="1136"/>
      <c r="N8" s="1136"/>
      <c r="O8" s="1136"/>
      <c r="P8" s="1136"/>
      <c r="Q8" s="1136"/>
      <c r="R8" s="1136"/>
      <c r="S8" s="1136"/>
      <c r="T8" s="1136"/>
      <c r="U8" s="1136"/>
      <c r="V8" s="1136"/>
      <c r="W8" s="1136"/>
      <c r="X8" s="1136"/>
      <c r="Y8" s="127"/>
      <c r="Z8" s="127" t="str">
        <f>IFERROR(VLOOKUP(Y8,参数表!$H$2:$I$50,2,FALSE),"")</f>
        <v/>
      </c>
      <c r="AA8" s="127" t="str">
        <f>IFERROR(IF(OR(Y8="人民币",Y8=""),"",AJ8/Z8),"")</f>
        <v/>
      </c>
      <c r="AB8" s="128" t="str">
        <f>IFERROR(IF(OR(Y8="人民币",Y8=""),"",AK8/Z8),"")</f>
        <v/>
      </c>
      <c r="AC8" s="128" t="str">
        <f>IFERROR(IF(OR(Y8="人民币",Y8=""),"",AL8/Z8),"")</f>
        <v/>
      </c>
      <c r="AD8" s="1136"/>
      <c r="AE8" s="1152"/>
      <c r="AF8" s="1152"/>
      <c r="AG8" s="1152"/>
      <c r="AH8" s="1152"/>
      <c r="AI8" s="1152"/>
      <c r="AJ8" s="1152" t="str">
        <f>IF(B8="","",AD8+AG8)</f>
        <v/>
      </c>
      <c r="AK8" s="1152" t="str">
        <f>IF(B8="","",AE8+AH8)</f>
        <v/>
      </c>
      <c r="AL8" s="1152" t="str">
        <f>IF(B8="","",AF8+AI8)</f>
        <v/>
      </c>
      <c r="AM8" s="1152" t="str">
        <f t="shared" ref="AM8:AM25" si="0">IF(B8="","",IF(BB$3="是",BN8,""))</f>
        <v/>
      </c>
      <c r="AN8" s="1152" t="str">
        <f>IFERROR((AM8-(AK8-AL8))/(AK8-AL8)*100,"")</f>
        <v/>
      </c>
      <c r="AO8" s="1133"/>
      <c r="AP8" s="1165"/>
      <c r="BA8" s="78"/>
      <c r="BB8" s="132" t="s">
        <v>3152</v>
      </c>
      <c r="BC8" s="133"/>
      <c r="BD8" s="132" t="str">
        <f>IF(OR(B8="",BC8=""),"",COUNTIF(BC$8:BC8,"√"))</f>
        <v/>
      </c>
      <c r="BE8" s="134" t="str">
        <f>IF(BC8="","",BB8&amp;"︱"&amp;B8&amp;"︱"&amp;TEXT(AE8,"#,##0.00"))</f>
        <v/>
      </c>
      <c r="BF8" s="135" t="str">
        <f>IF(B8="","",IF(BF$5=0,"OK","出错"))</f>
        <v/>
      </c>
      <c r="BG8" s="135" t="str">
        <f>IF(B8="","",IF(BG$5=0,"OK","出错"))</f>
        <v/>
      </c>
      <c r="BH8" s="136"/>
      <c r="BI8" s="136"/>
      <c r="BJ8" s="136"/>
      <c r="BK8" s="136"/>
      <c r="BL8" s="137"/>
      <c r="BM8" s="137"/>
      <c r="BP8" s="134" t="str">
        <f>IF(COUNTIF(BP$7:BP7,B8)&gt;0,"",B8)&amp;""</f>
        <v/>
      </c>
      <c r="BQ8" s="138">
        <f>SUMIF(B$8:B$25,BP8,AJ$8:AJ$25)</f>
        <v>0</v>
      </c>
      <c r="BR8" s="132">
        <f>RANK(BQ8,BQ$8:BQ$25)</f>
        <v>1</v>
      </c>
      <c r="BS8" s="138">
        <f>SUMIF(B$8:B$25,BP8,AM$8:AM$25)</f>
        <v>0</v>
      </c>
      <c r="BT8" s="132">
        <f t="shared" ref="BT8:BT25" si="1">RANK(BS8,BS$8:BS$25)</f>
        <v>1</v>
      </c>
      <c r="BU8" s="138">
        <f>SUM(BQ8:BQ25)</f>
        <v>0</v>
      </c>
      <c r="BV8" s="138"/>
      <c r="BW8" s="138"/>
    </row>
    <row r="9" customHeight="1" spans="1:75">
      <c r="A9" s="123" t="str">
        <f>IF(B9="","",COUNT(A$7:A8)+1)</f>
        <v/>
      </c>
      <c r="B9" s="1138"/>
      <c r="C9" s="1166"/>
      <c r="D9" s="1166"/>
      <c r="E9" s="1166"/>
      <c r="F9" s="1166"/>
      <c r="G9" s="1166"/>
      <c r="H9" s="1138"/>
      <c r="I9" s="1138"/>
      <c r="J9" s="1138"/>
      <c r="K9" s="1138"/>
      <c r="L9" s="1138"/>
      <c r="M9" s="1141"/>
      <c r="N9" s="1141"/>
      <c r="O9" s="1141"/>
      <c r="P9" s="1141"/>
      <c r="Q9" s="1141"/>
      <c r="R9" s="1141"/>
      <c r="S9" s="1141"/>
      <c r="T9" s="1141"/>
      <c r="U9" s="1141"/>
      <c r="V9" s="1141"/>
      <c r="W9" s="1141"/>
      <c r="X9" s="1141"/>
      <c r="Y9" s="142"/>
      <c r="Z9" s="127" t="str">
        <f>IFERROR(VLOOKUP(Y9,参数表!$H$2:$I$50,2,FALSE),"")</f>
        <v/>
      </c>
      <c r="AA9" s="127" t="str">
        <f t="shared" ref="AA9:AA25" si="2">IFERROR(IF(OR(Y9="人民币",Y9=""),"",AJ9/Z9),"")</f>
        <v/>
      </c>
      <c r="AB9" s="128" t="str">
        <f t="shared" ref="AB9:AB25" si="3">IFERROR(IF(OR(Y9="人民币",Y9=""),"",AK9/Z9),"")</f>
        <v/>
      </c>
      <c r="AC9" s="128" t="str">
        <f t="shared" ref="AC9:AC25" si="4">IFERROR(IF(OR(Y9="人民币",Y9=""),"",AL9/Z9),"")</f>
        <v/>
      </c>
      <c r="AD9" s="1141"/>
      <c r="AE9" s="1167"/>
      <c r="AF9" s="1167"/>
      <c r="AG9" s="1167"/>
      <c r="AH9" s="1167"/>
      <c r="AI9" s="1167"/>
      <c r="AJ9" s="1152" t="str">
        <f t="shared" ref="AJ9:AJ25" si="5">IF(B9="","",AD9+AG9)</f>
        <v/>
      </c>
      <c r="AK9" s="1152" t="str">
        <f t="shared" ref="AK9:AK25" si="6">IF(B9="","",AE9+AH9)</f>
        <v/>
      </c>
      <c r="AL9" s="1152" t="str">
        <f t="shared" ref="AL9:AL25" si="7">IF(B9="","",AF9+AI9)</f>
        <v/>
      </c>
      <c r="AM9" s="1152" t="str">
        <f t="shared" si="0"/>
        <v/>
      </c>
      <c r="AN9" s="1152" t="str">
        <f t="shared" ref="AN9:AN26" si="8">IFERROR((AM9-(AK9-AL9))/(AK9-AL9)*100,"")</f>
        <v/>
      </c>
      <c r="AO9" s="1138"/>
      <c r="AP9" s="1168"/>
      <c r="BA9" s="78"/>
      <c r="BB9" s="132" t="s">
        <v>3153</v>
      </c>
      <c r="BC9" s="133"/>
      <c r="BD9" s="132" t="str">
        <f>IF(OR(B9="",BC9=""),"",COUNTIF(BC$8:BC9,"√"))</f>
        <v/>
      </c>
      <c r="BE9" s="134" t="str">
        <f t="shared" ref="BE9:BE25" si="9">IF(BC9="","",BB9&amp;"︱"&amp;B9&amp;"︱"&amp;TEXT(AE9,"#,##0.00"))</f>
        <v/>
      </c>
      <c r="BF9" s="135" t="str">
        <f t="shared" ref="BF9:BF25" si="10">IF(B9="","",IF(BF$5=0,"OK","出错"))</f>
        <v/>
      </c>
      <c r="BG9" s="135" t="str">
        <f t="shared" ref="BG9:BG25" si="11">IF(B9="","",IF(BG$5=0,"OK","出错"))</f>
        <v/>
      </c>
      <c r="BH9" s="136"/>
      <c r="BI9" s="136"/>
      <c r="BJ9" s="136"/>
      <c r="BK9" s="136"/>
      <c r="BL9" s="137"/>
      <c r="BM9" s="137"/>
      <c r="BP9" s="134" t="str">
        <f>IF(COUNTIF(BP$7:BP8,B9)&gt;0,"",B9)&amp;""</f>
        <v/>
      </c>
      <c r="BQ9" s="138">
        <f t="shared" ref="BQ9:BQ25" si="12">SUMIF(B$8:B$25,BP9,AJ$8:AJ$25)</f>
        <v>0</v>
      </c>
      <c r="BR9" s="132">
        <f t="shared" ref="BR9:BR25" si="13">RANK(BQ9,BQ$8:BQ$25)</f>
        <v>1</v>
      </c>
      <c r="BS9" s="138">
        <f t="shared" ref="BS9:BS25" si="14">SUMIF(B$8:B$25,BP9,AM$8:AM$25)</f>
        <v>0</v>
      </c>
      <c r="BT9" s="132">
        <f t="shared" si="1"/>
        <v>1</v>
      </c>
      <c r="BU9" s="138">
        <f>SUM(BS8:BS25)</f>
        <v>0</v>
      </c>
      <c r="BV9" s="138"/>
      <c r="BW9" s="138"/>
    </row>
    <row r="10" customHeight="1" spans="1:75">
      <c r="A10" s="123" t="str">
        <f>IF(B10="","",COUNT(A$7:A9)+1)</f>
        <v/>
      </c>
      <c r="B10" s="1138"/>
      <c r="C10" s="1166"/>
      <c r="D10" s="1166"/>
      <c r="E10" s="1166"/>
      <c r="F10" s="1166"/>
      <c r="G10" s="1166"/>
      <c r="H10" s="1138"/>
      <c r="I10" s="1138"/>
      <c r="J10" s="1138"/>
      <c r="K10" s="1138"/>
      <c r="L10" s="1138"/>
      <c r="M10" s="1141"/>
      <c r="N10" s="1141"/>
      <c r="O10" s="1141"/>
      <c r="P10" s="1141"/>
      <c r="Q10" s="1141"/>
      <c r="R10" s="1141"/>
      <c r="S10" s="1141"/>
      <c r="T10" s="1141"/>
      <c r="U10" s="1141"/>
      <c r="V10" s="1141"/>
      <c r="W10" s="1141"/>
      <c r="X10" s="1141"/>
      <c r="Y10" s="142"/>
      <c r="Z10" s="127" t="str">
        <f>IFERROR(VLOOKUP(Y10,参数表!$H$2:$I$50,2,FALSE),"")</f>
        <v/>
      </c>
      <c r="AA10" s="127" t="str">
        <f t="shared" si="2"/>
        <v/>
      </c>
      <c r="AB10" s="128" t="str">
        <f t="shared" si="3"/>
        <v/>
      </c>
      <c r="AC10" s="128" t="str">
        <f t="shared" si="4"/>
        <v/>
      </c>
      <c r="AD10" s="1141"/>
      <c r="AE10" s="1167"/>
      <c r="AF10" s="1167"/>
      <c r="AG10" s="1167"/>
      <c r="AH10" s="1167"/>
      <c r="AI10" s="1167"/>
      <c r="AJ10" s="1152" t="str">
        <f t="shared" si="5"/>
        <v/>
      </c>
      <c r="AK10" s="1152" t="str">
        <f t="shared" si="6"/>
        <v/>
      </c>
      <c r="AL10" s="1152" t="str">
        <f t="shared" si="7"/>
        <v/>
      </c>
      <c r="AM10" s="1152" t="str">
        <f t="shared" si="0"/>
        <v/>
      </c>
      <c r="AN10" s="1152" t="str">
        <f t="shared" si="8"/>
        <v/>
      </c>
      <c r="AO10" s="1138"/>
      <c r="AP10" s="1168"/>
      <c r="BA10" s="78"/>
      <c r="BB10" s="132" t="s">
        <v>3154</v>
      </c>
      <c r="BC10" s="133"/>
      <c r="BD10" s="132" t="str">
        <f>IF(OR(B10="",BC10=""),"",COUNTIF(BC$8:BC10,"√"))</f>
        <v/>
      </c>
      <c r="BE10" s="134" t="str">
        <f t="shared" si="9"/>
        <v/>
      </c>
      <c r="BF10" s="135" t="str">
        <f t="shared" si="10"/>
        <v/>
      </c>
      <c r="BG10" s="135" t="str">
        <f t="shared" si="11"/>
        <v/>
      </c>
      <c r="BH10" s="136"/>
      <c r="BI10" s="136"/>
      <c r="BJ10" s="136"/>
      <c r="BK10" s="136"/>
      <c r="BL10" s="137"/>
      <c r="BM10" s="137"/>
      <c r="BP10" s="134" t="str">
        <f>IF(COUNTIF(BP$7:BP9,B10)&gt;0,"",B10)&amp;""</f>
        <v/>
      </c>
      <c r="BQ10" s="138">
        <f t="shared" si="12"/>
        <v>0</v>
      </c>
      <c r="BR10" s="132">
        <f t="shared" si="13"/>
        <v>1</v>
      </c>
      <c r="BS10" s="138">
        <f t="shared" si="14"/>
        <v>0</v>
      </c>
      <c r="BT10" s="132">
        <f t="shared" si="1"/>
        <v>1</v>
      </c>
      <c r="BU10" s="132">
        <v>1</v>
      </c>
      <c r="BV10" s="134" t="str">
        <f>IFERROR(INDEX(BP$8:BP$25,MATCH(BU10,IF(BU$8=0,BT$8:BT$25,BR$8:BR$25),0))&amp;"","")</f>
        <v/>
      </c>
      <c r="BW10" s="146" t="str">
        <f>IF(BV11="","",IF(BV12="","和","、"))</f>
        <v/>
      </c>
    </row>
    <row r="11" customHeight="1" spans="1:75">
      <c r="A11" s="123" t="str">
        <f>IF(B11="","",COUNT(A$7:A10)+1)</f>
        <v/>
      </c>
      <c r="B11" s="1138"/>
      <c r="C11" s="1166"/>
      <c r="D11" s="1166"/>
      <c r="E11" s="1166"/>
      <c r="F11" s="1166"/>
      <c r="G11" s="1166"/>
      <c r="H11" s="1138"/>
      <c r="I11" s="1138"/>
      <c r="J11" s="1138"/>
      <c r="K11" s="1138"/>
      <c r="L11" s="1138"/>
      <c r="M11" s="1141"/>
      <c r="N11" s="1141"/>
      <c r="O11" s="1141"/>
      <c r="P11" s="1141"/>
      <c r="Q11" s="1141"/>
      <c r="R11" s="1141"/>
      <c r="S11" s="1141"/>
      <c r="T11" s="1141"/>
      <c r="U11" s="1141"/>
      <c r="V11" s="1141"/>
      <c r="W11" s="1141"/>
      <c r="X11" s="1141"/>
      <c r="Y11" s="142"/>
      <c r="Z11" s="127" t="str">
        <f>IFERROR(VLOOKUP(Y11,参数表!$H$2:$I$50,2,FALSE),"")</f>
        <v/>
      </c>
      <c r="AA11" s="127" t="str">
        <f t="shared" si="2"/>
        <v/>
      </c>
      <c r="AB11" s="128" t="str">
        <f t="shared" si="3"/>
        <v/>
      </c>
      <c r="AC11" s="128" t="str">
        <f t="shared" si="4"/>
        <v/>
      </c>
      <c r="AD11" s="1141"/>
      <c r="AE11" s="1167"/>
      <c r="AF11" s="1167"/>
      <c r="AG11" s="1167"/>
      <c r="AH11" s="1167"/>
      <c r="AI11" s="1167"/>
      <c r="AJ11" s="1152" t="str">
        <f t="shared" si="5"/>
        <v/>
      </c>
      <c r="AK11" s="1152" t="str">
        <f t="shared" si="6"/>
        <v/>
      </c>
      <c r="AL11" s="1152" t="str">
        <f t="shared" si="7"/>
        <v/>
      </c>
      <c r="AM11" s="1152" t="str">
        <f t="shared" si="0"/>
        <v/>
      </c>
      <c r="AN11" s="1152" t="str">
        <f t="shared" si="8"/>
        <v/>
      </c>
      <c r="AO11" s="1138"/>
      <c r="AP11" s="1168"/>
      <c r="BA11" s="78"/>
      <c r="BB11" s="132" t="s">
        <v>3155</v>
      </c>
      <c r="BC11" s="133"/>
      <c r="BD11" s="132" t="str">
        <f>IF(OR(B11="",BC11=""),"",COUNTIF(BC$8:BC11,"√"))</f>
        <v/>
      </c>
      <c r="BE11" s="134" t="str">
        <f t="shared" si="9"/>
        <v/>
      </c>
      <c r="BF11" s="135" t="str">
        <f t="shared" si="10"/>
        <v/>
      </c>
      <c r="BG11" s="135" t="str">
        <f t="shared" si="11"/>
        <v/>
      </c>
      <c r="BH11" s="136"/>
      <c r="BI11" s="136"/>
      <c r="BJ11" s="136"/>
      <c r="BK11" s="136"/>
      <c r="BL11" s="137"/>
      <c r="BM11" s="137"/>
      <c r="BP11" s="134" t="str">
        <f>IF(COUNTIF(BP$7:BP10,B11)&gt;0,"",B11)&amp;""</f>
        <v/>
      </c>
      <c r="BQ11" s="138">
        <f t="shared" si="12"/>
        <v>0</v>
      </c>
      <c r="BR11" s="132">
        <f t="shared" si="13"/>
        <v>1</v>
      </c>
      <c r="BS11" s="138">
        <f t="shared" si="14"/>
        <v>0</v>
      </c>
      <c r="BT11" s="132">
        <f t="shared" si="1"/>
        <v>1</v>
      </c>
      <c r="BU11" s="132">
        <v>2</v>
      </c>
      <c r="BV11" s="134" t="str">
        <f>IFERROR(INDEX(BP$8:BP$25,MATCH(BU11,IF(BU$8=0,BT$8:BT$25,BR$8:BR$25),0))&amp;"","")</f>
        <v/>
      </c>
      <c r="BW11" s="146" t="str">
        <f t="shared" ref="BW11:BW12" si="15">IF(BV12="","",IF(BV13="","和","、"))</f>
        <v/>
      </c>
    </row>
    <row r="12" customHeight="1" spans="1:75">
      <c r="A12" s="123" t="str">
        <f>IF(B12="","",COUNT(A$7:A11)+1)</f>
        <v/>
      </c>
      <c r="B12" s="1138"/>
      <c r="C12" s="1166"/>
      <c r="D12" s="1166"/>
      <c r="E12" s="1166"/>
      <c r="F12" s="1166"/>
      <c r="G12" s="1166"/>
      <c r="H12" s="1138"/>
      <c r="I12" s="1138"/>
      <c r="J12" s="1138"/>
      <c r="K12" s="1138"/>
      <c r="L12" s="1138"/>
      <c r="M12" s="1141"/>
      <c r="N12" s="1141"/>
      <c r="O12" s="1141"/>
      <c r="P12" s="1141"/>
      <c r="Q12" s="1141"/>
      <c r="R12" s="1141"/>
      <c r="S12" s="1141"/>
      <c r="T12" s="1141"/>
      <c r="U12" s="1141"/>
      <c r="V12" s="1141"/>
      <c r="W12" s="1141"/>
      <c r="X12" s="1141"/>
      <c r="Y12" s="142"/>
      <c r="Z12" s="127" t="str">
        <f>IFERROR(VLOOKUP(Y12,参数表!$H$2:$I$50,2,FALSE),"")</f>
        <v/>
      </c>
      <c r="AA12" s="127" t="str">
        <f t="shared" si="2"/>
        <v/>
      </c>
      <c r="AB12" s="128" t="str">
        <f t="shared" si="3"/>
        <v/>
      </c>
      <c r="AC12" s="128" t="str">
        <f t="shared" si="4"/>
        <v/>
      </c>
      <c r="AD12" s="1141"/>
      <c r="AE12" s="1167"/>
      <c r="AF12" s="1167"/>
      <c r="AG12" s="1167"/>
      <c r="AH12" s="1167"/>
      <c r="AI12" s="1167"/>
      <c r="AJ12" s="1152" t="str">
        <f t="shared" si="5"/>
        <v/>
      </c>
      <c r="AK12" s="1152" t="str">
        <f t="shared" si="6"/>
        <v/>
      </c>
      <c r="AL12" s="1152" t="str">
        <f t="shared" si="7"/>
        <v/>
      </c>
      <c r="AM12" s="1152" t="str">
        <f t="shared" si="0"/>
        <v/>
      </c>
      <c r="AN12" s="1152" t="str">
        <f t="shared" si="8"/>
        <v/>
      </c>
      <c r="AO12" s="1138"/>
      <c r="AP12" s="1168"/>
      <c r="BA12" s="78"/>
      <c r="BB12" s="132" t="s">
        <v>3156</v>
      </c>
      <c r="BC12" s="133"/>
      <c r="BD12" s="132" t="str">
        <f>IF(OR(B12="",BC12=""),"",COUNTIF(BC$8:BC12,"√"))</f>
        <v/>
      </c>
      <c r="BE12" s="134" t="str">
        <f t="shared" si="9"/>
        <v/>
      </c>
      <c r="BF12" s="135" t="str">
        <f t="shared" si="10"/>
        <v/>
      </c>
      <c r="BG12" s="135" t="str">
        <f t="shared" si="11"/>
        <v/>
      </c>
      <c r="BH12" s="136"/>
      <c r="BI12" s="136"/>
      <c r="BJ12" s="136"/>
      <c r="BK12" s="136"/>
      <c r="BL12" s="137"/>
      <c r="BM12" s="137"/>
      <c r="BP12" s="134" t="str">
        <f>IF(COUNTIF(BP$7:BP11,B12)&gt;0,"",B12)&amp;""</f>
        <v/>
      </c>
      <c r="BQ12" s="138">
        <f t="shared" si="12"/>
        <v>0</v>
      </c>
      <c r="BR12" s="132">
        <f t="shared" si="13"/>
        <v>1</v>
      </c>
      <c r="BS12" s="138">
        <f t="shared" si="14"/>
        <v>0</v>
      </c>
      <c r="BT12" s="132">
        <f t="shared" si="1"/>
        <v>1</v>
      </c>
      <c r="BU12" s="132">
        <v>3</v>
      </c>
      <c r="BV12" s="134" t="str">
        <f>IFERROR(INDEX(BP$8:BP$25,MATCH(BU12,IF(BU$8=0,BT$8:BT$25,BR$8:BR$25),0))&amp;"","")</f>
        <v/>
      </c>
      <c r="BW12" s="146" t="str">
        <f t="shared" si="15"/>
        <v/>
      </c>
    </row>
    <row r="13" customHeight="1" spans="1:75">
      <c r="A13" s="123" t="str">
        <f>IF(B13="","",COUNT(A$7:A12)+1)</f>
        <v/>
      </c>
      <c r="B13" s="1138"/>
      <c r="C13" s="1166"/>
      <c r="D13" s="1166"/>
      <c r="E13" s="1166"/>
      <c r="F13" s="1166"/>
      <c r="G13" s="1166"/>
      <c r="H13" s="1138"/>
      <c r="I13" s="1138"/>
      <c r="J13" s="1138"/>
      <c r="K13" s="1138"/>
      <c r="L13" s="1138"/>
      <c r="M13" s="1141"/>
      <c r="N13" s="1141"/>
      <c r="O13" s="1141"/>
      <c r="P13" s="1141"/>
      <c r="Q13" s="1141"/>
      <c r="R13" s="1141"/>
      <c r="S13" s="1141"/>
      <c r="T13" s="1141"/>
      <c r="U13" s="1141"/>
      <c r="V13" s="1141"/>
      <c r="W13" s="1141"/>
      <c r="X13" s="1141"/>
      <c r="Y13" s="142"/>
      <c r="Z13" s="127" t="str">
        <f>IFERROR(VLOOKUP(Y13,参数表!$H$2:$I$50,2,FALSE),"")</f>
        <v/>
      </c>
      <c r="AA13" s="127" t="str">
        <f t="shared" si="2"/>
        <v/>
      </c>
      <c r="AB13" s="128" t="str">
        <f t="shared" si="3"/>
        <v/>
      </c>
      <c r="AC13" s="128" t="str">
        <f t="shared" si="4"/>
        <v/>
      </c>
      <c r="AD13" s="1141"/>
      <c r="AE13" s="1167"/>
      <c r="AF13" s="1167"/>
      <c r="AG13" s="1167"/>
      <c r="AH13" s="1167"/>
      <c r="AI13" s="1167"/>
      <c r="AJ13" s="1152" t="str">
        <f t="shared" si="5"/>
        <v/>
      </c>
      <c r="AK13" s="1152" t="str">
        <f t="shared" si="6"/>
        <v/>
      </c>
      <c r="AL13" s="1152" t="str">
        <f t="shared" si="7"/>
        <v/>
      </c>
      <c r="AM13" s="1152" t="str">
        <f t="shared" si="0"/>
        <v/>
      </c>
      <c r="AN13" s="1152" t="str">
        <f t="shared" si="8"/>
        <v/>
      </c>
      <c r="AO13" s="1138"/>
      <c r="AP13" s="1168"/>
      <c r="BA13" s="78"/>
      <c r="BB13" s="132" t="s">
        <v>3157</v>
      </c>
      <c r="BC13" s="133"/>
      <c r="BD13" s="132" t="str">
        <f>IF(OR(B13="",BC13=""),"",COUNTIF(BC$8:BC13,"√"))</f>
        <v/>
      </c>
      <c r="BE13" s="134" t="str">
        <f t="shared" si="9"/>
        <v/>
      </c>
      <c r="BF13" s="135" t="str">
        <f t="shared" si="10"/>
        <v/>
      </c>
      <c r="BG13" s="135" t="str">
        <f t="shared" si="11"/>
        <v/>
      </c>
      <c r="BH13" s="136"/>
      <c r="BI13" s="136"/>
      <c r="BJ13" s="136"/>
      <c r="BK13" s="136"/>
      <c r="BL13" s="137"/>
      <c r="BM13" s="137"/>
      <c r="BP13" s="134" t="str">
        <f>IF(COUNTIF(BP$7:BP12,B13)&gt;0,"",B13)&amp;""</f>
        <v/>
      </c>
      <c r="BQ13" s="138">
        <f t="shared" si="12"/>
        <v>0</v>
      </c>
      <c r="BR13" s="132">
        <f t="shared" si="13"/>
        <v>1</v>
      </c>
      <c r="BS13" s="138">
        <f t="shared" si="14"/>
        <v>0</v>
      </c>
      <c r="BT13" s="132">
        <f t="shared" si="1"/>
        <v>1</v>
      </c>
      <c r="BU13" s="132">
        <v>4</v>
      </c>
      <c r="BV13" s="134" t="str">
        <f>IFERROR(INDEX(BP$8:BP$25,MATCH(BU13,IF(BU$8=0,BT$8:BT$25,BR$8:BR$25),0))&amp;"","")</f>
        <v/>
      </c>
      <c r="BW13" s="146" t="str">
        <f>IF(BV14="","","和")</f>
        <v/>
      </c>
    </row>
    <row r="14" customHeight="1" spans="1:75">
      <c r="A14" s="123" t="str">
        <f>IF(B14="","",COUNT(A$7:A13)+1)</f>
        <v/>
      </c>
      <c r="B14" s="1138"/>
      <c r="C14" s="1166"/>
      <c r="D14" s="1166"/>
      <c r="E14" s="1166"/>
      <c r="F14" s="1166"/>
      <c r="G14" s="1166"/>
      <c r="H14" s="1138"/>
      <c r="I14" s="1138"/>
      <c r="J14" s="1138"/>
      <c r="K14" s="1138"/>
      <c r="L14" s="1138"/>
      <c r="M14" s="1141"/>
      <c r="N14" s="1141"/>
      <c r="O14" s="1141"/>
      <c r="P14" s="1141"/>
      <c r="Q14" s="1141"/>
      <c r="R14" s="1141"/>
      <c r="S14" s="1141"/>
      <c r="T14" s="1141"/>
      <c r="U14" s="1141"/>
      <c r="V14" s="1141"/>
      <c r="W14" s="1141"/>
      <c r="X14" s="1141"/>
      <c r="Y14" s="142"/>
      <c r="Z14" s="127" t="str">
        <f>IFERROR(VLOOKUP(Y14,参数表!$H$2:$I$50,2,FALSE),"")</f>
        <v/>
      </c>
      <c r="AA14" s="127" t="str">
        <f t="shared" si="2"/>
        <v/>
      </c>
      <c r="AB14" s="128" t="str">
        <f t="shared" si="3"/>
        <v/>
      </c>
      <c r="AC14" s="128" t="str">
        <f t="shared" si="4"/>
        <v/>
      </c>
      <c r="AD14" s="1141"/>
      <c r="AE14" s="1167"/>
      <c r="AF14" s="1167"/>
      <c r="AG14" s="1167"/>
      <c r="AH14" s="1167"/>
      <c r="AI14" s="1167"/>
      <c r="AJ14" s="1152" t="str">
        <f t="shared" si="5"/>
        <v/>
      </c>
      <c r="AK14" s="1152" t="str">
        <f t="shared" si="6"/>
        <v/>
      </c>
      <c r="AL14" s="1152" t="str">
        <f t="shared" si="7"/>
        <v/>
      </c>
      <c r="AM14" s="1152" t="str">
        <f t="shared" si="0"/>
        <v/>
      </c>
      <c r="AN14" s="1152" t="str">
        <f t="shared" si="8"/>
        <v/>
      </c>
      <c r="AO14" s="1138"/>
      <c r="AP14" s="1168"/>
      <c r="BA14" s="78"/>
      <c r="BB14" s="132" t="s">
        <v>3158</v>
      </c>
      <c r="BC14" s="133"/>
      <c r="BD14" s="132" t="str">
        <f>IF(OR(B14="",BC14=""),"",COUNTIF(BC$8:BC14,"√"))</f>
        <v/>
      </c>
      <c r="BE14" s="134" t="str">
        <f t="shared" si="9"/>
        <v/>
      </c>
      <c r="BF14" s="135" t="str">
        <f t="shared" si="10"/>
        <v/>
      </c>
      <c r="BG14" s="135" t="str">
        <f t="shared" si="11"/>
        <v/>
      </c>
      <c r="BH14" s="136"/>
      <c r="BI14" s="136"/>
      <c r="BJ14" s="136"/>
      <c r="BK14" s="136"/>
      <c r="BL14" s="137"/>
      <c r="BM14" s="137"/>
      <c r="BP14" s="134" t="str">
        <f>IF(COUNTIF(BP$7:BP13,B14)&gt;0,"",B14)&amp;""</f>
        <v/>
      </c>
      <c r="BQ14" s="138">
        <f t="shared" si="12"/>
        <v>0</v>
      </c>
      <c r="BR14" s="132">
        <f t="shared" si="13"/>
        <v>1</v>
      </c>
      <c r="BS14" s="138">
        <f t="shared" si="14"/>
        <v>0</v>
      </c>
      <c r="BT14" s="132">
        <f t="shared" si="1"/>
        <v>1</v>
      </c>
      <c r="BU14" s="132">
        <v>5</v>
      </c>
      <c r="BV14" s="134" t="str">
        <f>IFERROR(INDEX(BP$8:BP$25,MATCH(BU14,IF(BU$8=0,BT$8:BT$25,BR$8:BR$25),0))&amp;"","")</f>
        <v/>
      </c>
      <c r="BW14" s="146"/>
    </row>
    <row r="15" customHeight="1" spans="1:75">
      <c r="A15" s="123" t="str">
        <f>IF(B15="","",COUNT(A$7:A14)+1)</f>
        <v/>
      </c>
      <c r="B15" s="1138"/>
      <c r="C15" s="1166"/>
      <c r="D15" s="1166"/>
      <c r="E15" s="1166"/>
      <c r="F15" s="1166"/>
      <c r="G15" s="1166"/>
      <c r="H15" s="1138"/>
      <c r="I15" s="1138"/>
      <c r="J15" s="1138"/>
      <c r="K15" s="1138"/>
      <c r="L15" s="1138"/>
      <c r="M15" s="1141"/>
      <c r="N15" s="1141"/>
      <c r="O15" s="1141"/>
      <c r="P15" s="1141"/>
      <c r="Q15" s="1141"/>
      <c r="R15" s="1141"/>
      <c r="S15" s="1141"/>
      <c r="T15" s="1141"/>
      <c r="U15" s="1141"/>
      <c r="V15" s="1141"/>
      <c r="W15" s="1141"/>
      <c r="X15" s="1141"/>
      <c r="Y15" s="142"/>
      <c r="Z15" s="127" t="str">
        <f>IFERROR(VLOOKUP(Y15,参数表!$H$2:$I$50,2,FALSE),"")</f>
        <v/>
      </c>
      <c r="AA15" s="127" t="str">
        <f t="shared" si="2"/>
        <v/>
      </c>
      <c r="AB15" s="128" t="str">
        <f t="shared" si="3"/>
        <v/>
      </c>
      <c r="AC15" s="128" t="str">
        <f t="shared" si="4"/>
        <v/>
      </c>
      <c r="AD15" s="1141"/>
      <c r="AE15" s="1167"/>
      <c r="AF15" s="1167"/>
      <c r="AG15" s="1167"/>
      <c r="AH15" s="1167"/>
      <c r="AI15" s="1167"/>
      <c r="AJ15" s="1152" t="str">
        <f t="shared" si="5"/>
        <v/>
      </c>
      <c r="AK15" s="1152" t="str">
        <f t="shared" si="6"/>
        <v/>
      </c>
      <c r="AL15" s="1152" t="str">
        <f t="shared" si="7"/>
        <v/>
      </c>
      <c r="AM15" s="1152" t="str">
        <f t="shared" si="0"/>
        <v/>
      </c>
      <c r="AN15" s="1152" t="str">
        <f t="shared" si="8"/>
        <v/>
      </c>
      <c r="AO15" s="1138"/>
      <c r="AP15" s="1168"/>
      <c r="BA15" s="78"/>
      <c r="BB15" s="132" t="s">
        <v>3159</v>
      </c>
      <c r="BC15" s="133"/>
      <c r="BD15" s="132" t="str">
        <f>IF(OR(B15="",BC15=""),"",COUNTIF(BC$8:BC15,"√"))</f>
        <v/>
      </c>
      <c r="BE15" s="134" t="str">
        <f t="shared" si="9"/>
        <v/>
      </c>
      <c r="BF15" s="135" t="str">
        <f t="shared" si="10"/>
        <v/>
      </c>
      <c r="BG15" s="135" t="str">
        <f t="shared" si="11"/>
        <v/>
      </c>
      <c r="BH15" s="136"/>
      <c r="BI15" s="136"/>
      <c r="BJ15" s="136"/>
      <c r="BK15" s="136"/>
      <c r="BL15" s="137"/>
      <c r="BM15" s="137"/>
      <c r="BP15" s="134" t="str">
        <f>IF(COUNTIF(BP$7:BP14,B15)&gt;0,"",B15)&amp;""</f>
        <v/>
      </c>
      <c r="BQ15" s="138">
        <f t="shared" si="12"/>
        <v>0</v>
      </c>
      <c r="BR15" s="132">
        <f t="shared" si="13"/>
        <v>1</v>
      </c>
      <c r="BS15" s="138">
        <f t="shared" si="14"/>
        <v>0</v>
      </c>
      <c r="BT15" s="132">
        <f t="shared" si="1"/>
        <v>1</v>
      </c>
      <c r="BU15" s="147" t="s">
        <v>1659</v>
      </c>
      <c r="BV15" s="132" t="str">
        <f>CONCATENATE(BV10,BW10,BV11,BW11,BV12,BW12,BV13,BW13,BV14)</f>
        <v/>
      </c>
      <c r="BW15" s="132"/>
    </row>
    <row r="16" customHeight="1" spans="1:75">
      <c r="A16" s="123" t="str">
        <f>IF(B16="","",COUNT(A$7:A15)+1)</f>
        <v/>
      </c>
      <c r="B16" s="1138"/>
      <c r="C16" s="1166"/>
      <c r="D16" s="1166"/>
      <c r="E16" s="1166"/>
      <c r="F16" s="1166"/>
      <c r="G16" s="1166"/>
      <c r="H16" s="1138"/>
      <c r="I16" s="1138"/>
      <c r="J16" s="1138"/>
      <c r="K16" s="1138"/>
      <c r="L16" s="1138"/>
      <c r="M16" s="1141"/>
      <c r="N16" s="1141"/>
      <c r="O16" s="1141"/>
      <c r="P16" s="1141"/>
      <c r="Q16" s="1141"/>
      <c r="R16" s="1141"/>
      <c r="S16" s="1141"/>
      <c r="T16" s="1141"/>
      <c r="U16" s="1141"/>
      <c r="V16" s="1141"/>
      <c r="W16" s="1141"/>
      <c r="X16" s="1141"/>
      <c r="Y16" s="142"/>
      <c r="Z16" s="127" t="str">
        <f>IFERROR(VLOOKUP(Y16,参数表!$H$2:$I$50,2,FALSE),"")</f>
        <v/>
      </c>
      <c r="AA16" s="127" t="str">
        <f t="shared" si="2"/>
        <v/>
      </c>
      <c r="AB16" s="128" t="str">
        <f t="shared" si="3"/>
        <v/>
      </c>
      <c r="AC16" s="128" t="str">
        <f t="shared" si="4"/>
        <v/>
      </c>
      <c r="AD16" s="1141"/>
      <c r="AE16" s="1167"/>
      <c r="AF16" s="1167"/>
      <c r="AG16" s="1167"/>
      <c r="AH16" s="1167"/>
      <c r="AI16" s="1167"/>
      <c r="AJ16" s="1152" t="str">
        <f t="shared" si="5"/>
        <v/>
      </c>
      <c r="AK16" s="1152" t="str">
        <f t="shared" si="6"/>
        <v/>
      </c>
      <c r="AL16" s="1152" t="str">
        <f t="shared" si="7"/>
        <v/>
      </c>
      <c r="AM16" s="1152" t="str">
        <f t="shared" si="0"/>
        <v/>
      </c>
      <c r="AN16" s="1152" t="str">
        <f t="shared" si="8"/>
        <v/>
      </c>
      <c r="AO16" s="1138"/>
      <c r="AP16" s="1168"/>
      <c r="BA16" s="78"/>
      <c r="BB16" s="132" t="s">
        <v>3160</v>
      </c>
      <c r="BC16" s="133"/>
      <c r="BD16" s="132" t="str">
        <f>IF(OR(B16="",BC16=""),"",COUNTIF(BC$8:BC16,"√"))</f>
        <v/>
      </c>
      <c r="BE16" s="134" t="str">
        <f t="shared" si="9"/>
        <v/>
      </c>
      <c r="BF16" s="135" t="str">
        <f t="shared" si="10"/>
        <v/>
      </c>
      <c r="BG16" s="135" t="str">
        <f t="shared" si="11"/>
        <v/>
      </c>
      <c r="BH16" s="136"/>
      <c r="BI16" s="136"/>
      <c r="BJ16" s="136"/>
      <c r="BK16" s="136"/>
      <c r="BL16" s="137"/>
      <c r="BM16" s="137"/>
      <c r="BP16" s="134" t="str">
        <f>IF(COUNTIF(BP$7:BP15,B16)&gt;0,"",B16)&amp;""</f>
        <v/>
      </c>
      <c r="BQ16" s="138">
        <f t="shared" si="12"/>
        <v>0</v>
      </c>
      <c r="BR16" s="132">
        <f t="shared" si="13"/>
        <v>1</v>
      </c>
      <c r="BS16" s="138">
        <f t="shared" si="14"/>
        <v>0</v>
      </c>
      <c r="BT16" s="132">
        <f t="shared" si="1"/>
        <v>1</v>
      </c>
      <c r="BU16" s="133"/>
      <c r="BV16" s="133"/>
    </row>
    <row r="17" customHeight="1" spans="1:75">
      <c r="A17" s="123" t="str">
        <f>IF(B17="","",COUNT(A$7:A16)+1)</f>
        <v/>
      </c>
      <c r="B17" s="1138"/>
      <c r="C17" s="1166"/>
      <c r="D17" s="1166"/>
      <c r="E17" s="1166"/>
      <c r="F17" s="1166"/>
      <c r="G17" s="1166"/>
      <c r="H17" s="1138"/>
      <c r="I17" s="1138"/>
      <c r="J17" s="1138"/>
      <c r="K17" s="1138"/>
      <c r="L17" s="1138"/>
      <c r="M17" s="1141"/>
      <c r="N17" s="1141"/>
      <c r="O17" s="1141"/>
      <c r="P17" s="1141"/>
      <c r="Q17" s="1141"/>
      <c r="R17" s="1141"/>
      <c r="S17" s="1141"/>
      <c r="T17" s="1141"/>
      <c r="U17" s="1141"/>
      <c r="V17" s="1141"/>
      <c r="W17" s="1141"/>
      <c r="X17" s="1141"/>
      <c r="Y17" s="142"/>
      <c r="Z17" s="127" t="str">
        <f>IFERROR(VLOOKUP(Y17,参数表!$H$2:$I$50,2,FALSE),"")</f>
        <v/>
      </c>
      <c r="AA17" s="127" t="str">
        <f t="shared" si="2"/>
        <v/>
      </c>
      <c r="AB17" s="128" t="str">
        <f t="shared" si="3"/>
        <v/>
      </c>
      <c r="AC17" s="128" t="str">
        <f t="shared" si="4"/>
        <v/>
      </c>
      <c r="AD17" s="1141"/>
      <c r="AE17" s="1167"/>
      <c r="AF17" s="1167"/>
      <c r="AG17" s="1167"/>
      <c r="AH17" s="1167"/>
      <c r="AI17" s="1167"/>
      <c r="AJ17" s="1152" t="str">
        <f t="shared" si="5"/>
        <v/>
      </c>
      <c r="AK17" s="1152" t="str">
        <f t="shared" si="6"/>
        <v/>
      </c>
      <c r="AL17" s="1152" t="str">
        <f t="shared" si="7"/>
        <v/>
      </c>
      <c r="AM17" s="1152" t="str">
        <f t="shared" si="0"/>
        <v/>
      </c>
      <c r="AN17" s="1152" t="str">
        <f t="shared" si="8"/>
        <v/>
      </c>
      <c r="AO17" s="1138"/>
      <c r="AP17" s="1168"/>
      <c r="BA17" s="78"/>
      <c r="BB17" s="132" t="s">
        <v>3161</v>
      </c>
      <c r="BC17" s="133"/>
      <c r="BD17" s="132" t="str">
        <f>IF(OR(B17="",BC17=""),"",COUNTIF(BC$8:BC17,"√"))</f>
        <v/>
      </c>
      <c r="BE17" s="134" t="str">
        <f t="shared" si="9"/>
        <v/>
      </c>
      <c r="BF17" s="135" t="str">
        <f t="shared" si="10"/>
        <v/>
      </c>
      <c r="BG17" s="135" t="str">
        <f t="shared" si="11"/>
        <v/>
      </c>
      <c r="BH17" s="136"/>
      <c r="BI17" s="136"/>
      <c r="BJ17" s="136"/>
      <c r="BK17" s="136"/>
      <c r="BL17" s="137"/>
      <c r="BM17" s="137"/>
      <c r="BP17" s="134" t="str">
        <f>IF(COUNTIF(BP$7:BP16,B17)&gt;0,"",B17)&amp;""</f>
        <v/>
      </c>
      <c r="BQ17" s="138">
        <f t="shared" si="12"/>
        <v>0</v>
      </c>
      <c r="BR17" s="132">
        <f t="shared" si="13"/>
        <v>1</v>
      </c>
      <c r="BS17" s="138">
        <f t="shared" si="14"/>
        <v>0</v>
      </c>
      <c r="BT17" s="132">
        <f t="shared" si="1"/>
        <v>1</v>
      </c>
      <c r="BU17" s="133"/>
      <c r="BV17" s="148"/>
    </row>
    <row r="18" customHeight="1" spans="1:75">
      <c r="A18" s="123" t="str">
        <f>IF(B18="","",COUNT(A$7:A17)+1)</f>
        <v/>
      </c>
      <c r="B18" s="1138"/>
      <c r="C18" s="1166"/>
      <c r="D18" s="1166"/>
      <c r="E18" s="1166"/>
      <c r="F18" s="1166"/>
      <c r="G18" s="1166"/>
      <c r="H18" s="1138"/>
      <c r="I18" s="1138"/>
      <c r="J18" s="1138"/>
      <c r="K18" s="1138"/>
      <c r="L18" s="1138"/>
      <c r="M18" s="1141"/>
      <c r="N18" s="1141"/>
      <c r="O18" s="1141"/>
      <c r="P18" s="1141"/>
      <c r="Q18" s="1141"/>
      <c r="R18" s="1141"/>
      <c r="S18" s="1141"/>
      <c r="T18" s="1141"/>
      <c r="U18" s="1141"/>
      <c r="V18" s="1141"/>
      <c r="W18" s="1141"/>
      <c r="X18" s="1141"/>
      <c r="Y18" s="142"/>
      <c r="Z18" s="127" t="str">
        <f>IFERROR(VLOOKUP(Y18,参数表!$H$2:$I$50,2,FALSE),"")</f>
        <v/>
      </c>
      <c r="AA18" s="127" t="str">
        <f t="shared" si="2"/>
        <v/>
      </c>
      <c r="AB18" s="128" t="str">
        <f t="shared" si="3"/>
        <v/>
      </c>
      <c r="AC18" s="128" t="str">
        <f t="shared" si="4"/>
        <v/>
      </c>
      <c r="AD18" s="1141"/>
      <c r="AE18" s="1167"/>
      <c r="AF18" s="1167"/>
      <c r="AG18" s="1167"/>
      <c r="AH18" s="1167"/>
      <c r="AI18" s="1167"/>
      <c r="AJ18" s="1152" t="str">
        <f t="shared" si="5"/>
        <v/>
      </c>
      <c r="AK18" s="1152" t="str">
        <f t="shared" si="6"/>
        <v/>
      </c>
      <c r="AL18" s="1152" t="str">
        <f t="shared" si="7"/>
        <v/>
      </c>
      <c r="AM18" s="1152" t="str">
        <f t="shared" si="0"/>
        <v/>
      </c>
      <c r="AN18" s="1152" t="str">
        <f t="shared" si="8"/>
        <v/>
      </c>
      <c r="AO18" s="1138"/>
      <c r="AP18" s="1168"/>
      <c r="BA18" s="78"/>
      <c r="BB18" s="132" t="s">
        <v>3162</v>
      </c>
      <c r="BC18" s="133"/>
      <c r="BD18" s="132" t="str">
        <f>IF(OR(B18="",BC18=""),"",COUNTIF(BC$8:BC18,"√"))</f>
        <v/>
      </c>
      <c r="BE18" s="134" t="str">
        <f t="shared" si="9"/>
        <v/>
      </c>
      <c r="BF18" s="135" t="str">
        <f t="shared" si="10"/>
        <v/>
      </c>
      <c r="BG18" s="135" t="str">
        <f t="shared" si="11"/>
        <v/>
      </c>
      <c r="BH18" s="136"/>
      <c r="BI18" s="136"/>
      <c r="BJ18" s="136"/>
      <c r="BK18" s="136"/>
      <c r="BL18" s="137"/>
      <c r="BM18" s="137"/>
      <c r="BP18" s="134" t="str">
        <f>IF(COUNTIF(BP$7:BP17,B18)&gt;0,"",B18)&amp;""</f>
        <v/>
      </c>
      <c r="BQ18" s="138">
        <f t="shared" si="12"/>
        <v>0</v>
      </c>
      <c r="BR18" s="132">
        <f t="shared" si="13"/>
        <v>1</v>
      </c>
      <c r="BS18" s="138">
        <f t="shared" si="14"/>
        <v>0</v>
      </c>
      <c r="BT18" s="132">
        <f t="shared" si="1"/>
        <v>1</v>
      </c>
      <c r="BU18" s="133"/>
      <c r="BV18" s="133"/>
    </row>
    <row r="19" customHeight="1" spans="1:75">
      <c r="A19" s="123" t="str">
        <f>IF(B19="","",COUNT(A$7:A18)+1)</f>
        <v/>
      </c>
      <c r="B19" s="1138"/>
      <c r="C19" s="1169"/>
      <c r="D19" s="1169"/>
      <c r="E19" s="1169"/>
      <c r="F19" s="1169"/>
      <c r="G19" s="1169"/>
      <c r="H19" s="1138"/>
      <c r="I19" s="1138"/>
      <c r="J19" s="1138"/>
      <c r="K19" s="1138"/>
      <c r="L19" s="1138"/>
      <c r="M19" s="1141"/>
      <c r="N19" s="1141"/>
      <c r="O19" s="1141"/>
      <c r="P19" s="1141"/>
      <c r="Q19" s="1141"/>
      <c r="R19" s="1141"/>
      <c r="S19" s="1141"/>
      <c r="T19" s="1141"/>
      <c r="U19" s="1141"/>
      <c r="V19" s="1141"/>
      <c r="W19" s="1141"/>
      <c r="X19" s="1141"/>
      <c r="Y19" s="142"/>
      <c r="Z19" s="127" t="str">
        <f>IFERROR(VLOOKUP(Y19,参数表!$H$2:$I$50,2,FALSE),"")</f>
        <v/>
      </c>
      <c r="AA19" s="127" t="str">
        <f t="shared" si="2"/>
        <v/>
      </c>
      <c r="AB19" s="128" t="str">
        <f t="shared" si="3"/>
        <v/>
      </c>
      <c r="AC19" s="128" t="str">
        <f t="shared" si="4"/>
        <v/>
      </c>
      <c r="AD19" s="1141"/>
      <c r="AE19" s="1167"/>
      <c r="AF19" s="1167"/>
      <c r="AG19" s="1167"/>
      <c r="AH19" s="1167"/>
      <c r="AI19" s="1167"/>
      <c r="AJ19" s="1152" t="str">
        <f t="shared" si="5"/>
        <v/>
      </c>
      <c r="AK19" s="1152" t="str">
        <f t="shared" si="6"/>
        <v/>
      </c>
      <c r="AL19" s="1152" t="str">
        <f t="shared" si="7"/>
        <v/>
      </c>
      <c r="AM19" s="1152" t="str">
        <f t="shared" si="0"/>
        <v/>
      </c>
      <c r="AN19" s="1152" t="str">
        <f t="shared" si="8"/>
        <v/>
      </c>
      <c r="AO19" s="1138"/>
      <c r="AP19" s="1168"/>
      <c r="BA19" s="78"/>
      <c r="BB19" s="132" t="s">
        <v>3163</v>
      </c>
      <c r="BC19" s="133"/>
      <c r="BD19" s="132" t="str">
        <f>IF(OR(B19="",BC19=""),"",COUNTIF(BC$8:BC19,"√"))</f>
        <v/>
      </c>
      <c r="BE19" s="134" t="str">
        <f t="shared" si="9"/>
        <v/>
      </c>
      <c r="BF19" s="135" t="str">
        <f t="shared" si="10"/>
        <v/>
      </c>
      <c r="BG19" s="135" t="str">
        <f t="shared" si="11"/>
        <v/>
      </c>
      <c r="BH19" s="136"/>
      <c r="BI19" s="136"/>
      <c r="BJ19" s="136"/>
      <c r="BK19" s="136"/>
      <c r="BL19" s="137"/>
      <c r="BM19" s="137"/>
      <c r="BP19" s="134" t="str">
        <f>IF(COUNTIF(BP$7:BP18,B19)&gt;0,"",B19)&amp;""</f>
        <v/>
      </c>
      <c r="BQ19" s="138">
        <f t="shared" si="12"/>
        <v>0</v>
      </c>
      <c r="BR19" s="132">
        <f t="shared" si="13"/>
        <v>1</v>
      </c>
      <c r="BS19" s="138">
        <f t="shared" si="14"/>
        <v>0</v>
      </c>
      <c r="BT19" s="132">
        <f t="shared" si="1"/>
        <v>1</v>
      </c>
      <c r="BU19" s="133"/>
      <c r="BV19" s="133"/>
    </row>
    <row r="20" customHeight="1" spans="1:75">
      <c r="A20" s="123" t="str">
        <f>IF(B20="","",COUNT(A$7:A19)+1)</f>
        <v/>
      </c>
      <c r="B20" s="1138"/>
      <c r="C20" s="1169"/>
      <c r="D20" s="1169"/>
      <c r="E20" s="1169"/>
      <c r="F20" s="1169"/>
      <c r="G20" s="1169"/>
      <c r="H20" s="1138"/>
      <c r="I20" s="1138"/>
      <c r="J20" s="1138"/>
      <c r="K20" s="1138"/>
      <c r="L20" s="1138"/>
      <c r="M20" s="1141"/>
      <c r="N20" s="1141"/>
      <c r="O20" s="1141"/>
      <c r="P20" s="1141"/>
      <c r="Q20" s="1141"/>
      <c r="R20" s="1141"/>
      <c r="S20" s="1141"/>
      <c r="T20" s="1141"/>
      <c r="U20" s="1141"/>
      <c r="V20" s="1141"/>
      <c r="W20" s="1141"/>
      <c r="X20" s="1141"/>
      <c r="Y20" s="142"/>
      <c r="Z20" s="127" t="str">
        <f>IFERROR(VLOOKUP(Y20,参数表!$H$2:$I$50,2,FALSE),"")</f>
        <v/>
      </c>
      <c r="AA20" s="127" t="str">
        <f t="shared" si="2"/>
        <v/>
      </c>
      <c r="AB20" s="128" t="str">
        <f t="shared" si="3"/>
        <v/>
      </c>
      <c r="AC20" s="128" t="str">
        <f t="shared" si="4"/>
        <v/>
      </c>
      <c r="AD20" s="1141"/>
      <c r="AE20" s="1167"/>
      <c r="AF20" s="1167"/>
      <c r="AG20" s="1167"/>
      <c r="AH20" s="1167"/>
      <c r="AI20" s="1167"/>
      <c r="AJ20" s="1152" t="str">
        <f t="shared" si="5"/>
        <v/>
      </c>
      <c r="AK20" s="1152" t="str">
        <f t="shared" si="6"/>
        <v/>
      </c>
      <c r="AL20" s="1152" t="str">
        <f t="shared" si="7"/>
        <v/>
      </c>
      <c r="AM20" s="1152" t="str">
        <f t="shared" si="0"/>
        <v/>
      </c>
      <c r="AN20" s="1152" t="str">
        <f t="shared" si="8"/>
        <v/>
      </c>
      <c r="AO20" s="1138"/>
      <c r="AP20" s="1168"/>
      <c r="BA20" s="78"/>
      <c r="BB20" s="132" t="s">
        <v>3164</v>
      </c>
      <c r="BC20" s="133"/>
      <c r="BD20" s="132" t="str">
        <f>IF(OR(B20="",BC20=""),"",COUNTIF(BC$8:BC20,"√"))</f>
        <v/>
      </c>
      <c r="BE20" s="134" t="str">
        <f t="shared" si="9"/>
        <v/>
      </c>
      <c r="BF20" s="135" t="str">
        <f t="shared" si="10"/>
        <v/>
      </c>
      <c r="BG20" s="135" t="str">
        <f t="shared" si="11"/>
        <v/>
      </c>
      <c r="BH20" s="136"/>
      <c r="BI20" s="136"/>
      <c r="BJ20" s="136"/>
      <c r="BK20" s="136"/>
      <c r="BL20" s="137"/>
      <c r="BM20" s="137"/>
      <c r="BP20" s="134" t="str">
        <f>IF(COUNTIF(BP$7:BP19,B20)&gt;0,"",B20)&amp;""</f>
        <v/>
      </c>
      <c r="BQ20" s="138">
        <f t="shared" si="12"/>
        <v>0</v>
      </c>
      <c r="BR20" s="132">
        <f t="shared" si="13"/>
        <v>1</v>
      </c>
      <c r="BS20" s="138">
        <f t="shared" si="14"/>
        <v>0</v>
      </c>
      <c r="BT20" s="132">
        <f t="shared" si="1"/>
        <v>1</v>
      </c>
      <c r="BU20" s="133"/>
      <c r="BV20" s="133"/>
    </row>
    <row r="21" customHeight="1" spans="1:75">
      <c r="A21" s="123" t="str">
        <f>IF(B21="","",COUNT(A$7:A20)+1)</f>
        <v/>
      </c>
      <c r="B21" s="1138"/>
      <c r="C21" s="1169"/>
      <c r="D21" s="1169"/>
      <c r="E21" s="1169"/>
      <c r="F21" s="1169"/>
      <c r="G21" s="1169"/>
      <c r="H21" s="1138"/>
      <c r="I21" s="1138"/>
      <c r="J21" s="1138"/>
      <c r="K21" s="1138"/>
      <c r="L21" s="1138"/>
      <c r="M21" s="1141"/>
      <c r="N21" s="1141"/>
      <c r="O21" s="1141"/>
      <c r="P21" s="1141"/>
      <c r="Q21" s="1141"/>
      <c r="R21" s="1141"/>
      <c r="S21" s="1141"/>
      <c r="T21" s="1141"/>
      <c r="U21" s="1141"/>
      <c r="V21" s="1141"/>
      <c r="W21" s="1141"/>
      <c r="X21" s="1141"/>
      <c r="Y21" s="142"/>
      <c r="Z21" s="127" t="str">
        <f>IFERROR(VLOOKUP(Y21,参数表!$H$2:$I$50,2,FALSE),"")</f>
        <v/>
      </c>
      <c r="AA21" s="127" t="str">
        <f t="shared" si="2"/>
        <v/>
      </c>
      <c r="AB21" s="128" t="str">
        <f t="shared" si="3"/>
        <v/>
      </c>
      <c r="AC21" s="128" t="str">
        <f t="shared" si="4"/>
        <v/>
      </c>
      <c r="AD21" s="1141"/>
      <c r="AE21" s="1167"/>
      <c r="AF21" s="1167"/>
      <c r="AG21" s="1167"/>
      <c r="AH21" s="1167"/>
      <c r="AI21" s="1167"/>
      <c r="AJ21" s="1152" t="str">
        <f t="shared" si="5"/>
        <v/>
      </c>
      <c r="AK21" s="1152" t="str">
        <f t="shared" si="6"/>
        <v/>
      </c>
      <c r="AL21" s="1152" t="str">
        <f t="shared" si="7"/>
        <v/>
      </c>
      <c r="AM21" s="1152" t="str">
        <f t="shared" si="0"/>
        <v/>
      </c>
      <c r="AN21" s="1152" t="str">
        <f t="shared" si="8"/>
        <v/>
      </c>
      <c r="AO21" s="1138"/>
      <c r="AP21" s="1168"/>
      <c r="BA21" s="78"/>
      <c r="BB21" s="132" t="s">
        <v>3165</v>
      </c>
      <c r="BC21" s="133"/>
      <c r="BD21" s="132" t="str">
        <f>IF(OR(B21="",BC21=""),"",COUNTIF(BC$8:BC21,"√"))</f>
        <v/>
      </c>
      <c r="BE21" s="134" t="str">
        <f t="shared" si="9"/>
        <v/>
      </c>
      <c r="BF21" s="135" t="str">
        <f t="shared" si="10"/>
        <v/>
      </c>
      <c r="BG21" s="135" t="str">
        <f t="shared" si="11"/>
        <v/>
      </c>
      <c r="BH21" s="136"/>
      <c r="BI21" s="136"/>
      <c r="BJ21" s="136"/>
      <c r="BK21" s="136"/>
      <c r="BL21" s="137"/>
      <c r="BM21" s="137"/>
      <c r="BP21" s="134" t="str">
        <f>IF(COUNTIF(BP$7:BP20,B21)&gt;0,"",B21)&amp;""</f>
        <v/>
      </c>
      <c r="BQ21" s="138">
        <f t="shared" si="12"/>
        <v>0</v>
      </c>
      <c r="BR21" s="132">
        <f t="shared" si="13"/>
        <v>1</v>
      </c>
      <c r="BS21" s="138">
        <f t="shared" si="14"/>
        <v>0</v>
      </c>
      <c r="BT21" s="132">
        <f t="shared" si="1"/>
        <v>1</v>
      </c>
      <c r="BU21" s="133"/>
      <c r="BV21" s="133"/>
    </row>
    <row r="22" customHeight="1" spans="1:75">
      <c r="A22" s="123" t="str">
        <f>IF(B22="","",COUNT(A$7:A21)+1)</f>
        <v/>
      </c>
      <c r="B22" s="1138"/>
      <c r="C22" s="1169"/>
      <c r="D22" s="1169"/>
      <c r="E22" s="1169"/>
      <c r="F22" s="1169"/>
      <c r="G22" s="1169"/>
      <c r="H22" s="1138"/>
      <c r="I22" s="1138"/>
      <c r="J22" s="1138"/>
      <c r="K22" s="1138"/>
      <c r="L22" s="1138"/>
      <c r="M22" s="1141"/>
      <c r="N22" s="1141"/>
      <c r="O22" s="1141"/>
      <c r="P22" s="1141"/>
      <c r="Q22" s="1141"/>
      <c r="R22" s="1141"/>
      <c r="S22" s="1141"/>
      <c r="T22" s="1141"/>
      <c r="U22" s="1141"/>
      <c r="V22" s="1141"/>
      <c r="W22" s="1141"/>
      <c r="X22" s="1141"/>
      <c r="Y22" s="142"/>
      <c r="Z22" s="127" t="str">
        <f>IFERROR(VLOOKUP(Y22,参数表!$H$2:$I$50,2,FALSE),"")</f>
        <v/>
      </c>
      <c r="AA22" s="127" t="str">
        <f t="shared" si="2"/>
        <v/>
      </c>
      <c r="AB22" s="128" t="str">
        <f t="shared" si="3"/>
        <v/>
      </c>
      <c r="AC22" s="128" t="str">
        <f t="shared" si="4"/>
        <v/>
      </c>
      <c r="AD22" s="1141"/>
      <c r="AE22" s="1167"/>
      <c r="AF22" s="1167"/>
      <c r="AG22" s="1167"/>
      <c r="AH22" s="1167"/>
      <c r="AI22" s="1167"/>
      <c r="AJ22" s="1152" t="str">
        <f t="shared" si="5"/>
        <v/>
      </c>
      <c r="AK22" s="1152" t="str">
        <f t="shared" si="6"/>
        <v/>
      </c>
      <c r="AL22" s="1152" t="str">
        <f t="shared" si="7"/>
        <v/>
      </c>
      <c r="AM22" s="1152" t="str">
        <f t="shared" si="0"/>
        <v/>
      </c>
      <c r="AN22" s="1152" t="str">
        <f t="shared" si="8"/>
        <v/>
      </c>
      <c r="AO22" s="1138"/>
      <c r="AP22" s="1168"/>
      <c r="BA22" s="78"/>
      <c r="BB22" s="132" t="s">
        <v>3166</v>
      </c>
      <c r="BC22" s="133"/>
      <c r="BD22" s="132" t="str">
        <f>IF(OR(B22="",BC22=""),"",COUNTIF(BC$8:BC22,"√"))</f>
        <v/>
      </c>
      <c r="BE22" s="134" t="str">
        <f t="shared" si="9"/>
        <v/>
      </c>
      <c r="BF22" s="135" t="str">
        <f t="shared" si="10"/>
        <v/>
      </c>
      <c r="BG22" s="135" t="str">
        <f t="shared" si="11"/>
        <v/>
      </c>
      <c r="BH22" s="136"/>
      <c r="BI22" s="136"/>
      <c r="BJ22" s="136"/>
      <c r="BK22" s="136"/>
      <c r="BL22" s="137"/>
      <c r="BM22" s="137"/>
      <c r="BP22" s="134" t="str">
        <f>IF(COUNTIF(BP$7:BP21,B22)&gt;0,"",B22)&amp;""</f>
        <v/>
      </c>
      <c r="BQ22" s="138">
        <f t="shared" si="12"/>
        <v>0</v>
      </c>
      <c r="BR22" s="132">
        <f t="shared" si="13"/>
        <v>1</v>
      </c>
      <c r="BS22" s="138">
        <f t="shared" si="14"/>
        <v>0</v>
      </c>
      <c r="BT22" s="132">
        <f t="shared" si="1"/>
        <v>1</v>
      </c>
      <c r="BU22" s="133"/>
      <c r="BV22" s="133"/>
    </row>
    <row r="23" customHeight="1" spans="1:75">
      <c r="A23" s="123" t="str">
        <f>IF(B23="","",COUNT(A$7:A22)+1)</f>
        <v/>
      </c>
      <c r="B23" s="1138"/>
      <c r="C23" s="1169"/>
      <c r="D23" s="1169"/>
      <c r="E23" s="1169"/>
      <c r="F23" s="1169"/>
      <c r="G23" s="1169"/>
      <c r="H23" s="1138"/>
      <c r="I23" s="1138"/>
      <c r="J23" s="1138"/>
      <c r="K23" s="1138"/>
      <c r="L23" s="1138"/>
      <c r="M23" s="1141"/>
      <c r="N23" s="1141"/>
      <c r="O23" s="1141"/>
      <c r="P23" s="1141"/>
      <c r="Q23" s="1141"/>
      <c r="R23" s="1141"/>
      <c r="S23" s="1141"/>
      <c r="T23" s="1141"/>
      <c r="U23" s="1141"/>
      <c r="V23" s="1141"/>
      <c r="W23" s="1141"/>
      <c r="X23" s="1141"/>
      <c r="Y23" s="142"/>
      <c r="Z23" s="127" t="str">
        <f>IFERROR(VLOOKUP(Y23,参数表!$H$2:$I$50,2,FALSE),"")</f>
        <v/>
      </c>
      <c r="AA23" s="127" t="str">
        <f t="shared" si="2"/>
        <v/>
      </c>
      <c r="AB23" s="128" t="str">
        <f t="shared" si="3"/>
        <v/>
      </c>
      <c r="AC23" s="128" t="str">
        <f t="shared" si="4"/>
        <v/>
      </c>
      <c r="AD23" s="1141"/>
      <c r="AE23" s="1167"/>
      <c r="AF23" s="1167"/>
      <c r="AG23" s="1167"/>
      <c r="AH23" s="1167"/>
      <c r="AI23" s="1167"/>
      <c r="AJ23" s="1152" t="str">
        <f t="shared" si="5"/>
        <v/>
      </c>
      <c r="AK23" s="1152" t="str">
        <f t="shared" si="6"/>
        <v/>
      </c>
      <c r="AL23" s="1152" t="str">
        <f t="shared" si="7"/>
        <v/>
      </c>
      <c r="AM23" s="1152" t="str">
        <f t="shared" si="0"/>
        <v/>
      </c>
      <c r="AN23" s="1152" t="str">
        <f t="shared" si="8"/>
        <v/>
      </c>
      <c r="AO23" s="1138"/>
      <c r="AP23" s="1168"/>
      <c r="BA23" s="78"/>
      <c r="BB23" s="132" t="s">
        <v>3167</v>
      </c>
      <c r="BC23" s="133"/>
      <c r="BD23" s="132" t="str">
        <f>IF(OR(B23="",BC23=""),"",COUNTIF(BC$8:BC23,"√"))</f>
        <v/>
      </c>
      <c r="BE23" s="134" t="str">
        <f t="shared" si="9"/>
        <v/>
      </c>
      <c r="BF23" s="135" t="str">
        <f t="shared" si="10"/>
        <v/>
      </c>
      <c r="BG23" s="135" t="str">
        <f t="shared" si="11"/>
        <v/>
      </c>
      <c r="BH23" s="136"/>
      <c r="BI23" s="136"/>
      <c r="BJ23" s="136"/>
      <c r="BK23" s="136"/>
      <c r="BL23" s="137"/>
      <c r="BM23" s="137"/>
      <c r="BP23" s="134" t="str">
        <f>IF(COUNTIF(BP$7:BP22,B23)&gt;0,"",B23)&amp;""</f>
        <v/>
      </c>
      <c r="BQ23" s="138">
        <f t="shared" si="12"/>
        <v>0</v>
      </c>
      <c r="BR23" s="132">
        <f t="shared" si="13"/>
        <v>1</v>
      </c>
      <c r="BS23" s="138">
        <f t="shared" si="14"/>
        <v>0</v>
      </c>
      <c r="BT23" s="132">
        <f t="shared" si="1"/>
        <v>1</v>
      </c>
      <c r="BU23" s="133"/>
      <c r="BV23" s="133"/>
    </row>
    <row r="24" customHeight="1" spans="1:75">
      <c r="A24" s="123" t="str">
        <f>IF(B24="","",COUNT(A$7:A23)+1)</f>
        <v/>
      </c>
      <c r="B24" s="1138"/>
      <c r="C24" s="1169"/>
      <c r="D24" s="1169"/>
      <c r="E24" s="1169"/>
      <c r="F24" s="1169"/>
      <c r="G24" s="1169"/>
      <c r="H24" s="1138"/>
      <c r="I24" s="1138"/>
      <c r="J24" s="1138"/>
      <c r="K24" s="1138"/>
      <c r="L24" s="1138"/>
      <c r="M24" s="1141"/>
      <c r="N24" s="1141"/>
      <c r="O24" s="1141"/>
      <c r="P24" s="1141"/>
      <c r="Q24" s="1141"/>
      <c r="R24" s="1141"/>
      <c r="S24" s="1141"/>
      <c r="T24" s="1141"/>
      <c r="U24" s="1141"/>
      <c r="V24" s="1141"/>
      <c r="W24" s="1141"/>
      <c r="X24" s="1141"/>
      <c r="Y24" s="142"/>
      <c r="Z24" s="127" t="str">
        <f>IFERROR(VLOOKUP(Y24,参数表!$H$2:$I$50,2,FALSE),"")</f>
        <v/>
      </c>
      <c r="AA24" s="127" t="str">
        <f t="shared" si="2"/>
        <v/>
      </c>
      <c r="AB24" s="128" t="str">
        <f t="shared" si="3"/>
        <v/>
      </c>
      <c r="AC24" s="128" t="str">
        <f t="shared" si="4"/>
        <v/>
      </c>
      <c r="AD24" s="1141"/>
      <c r="AE24" s="1167"/>
      <c r="AF24" s="1167"/>
      <c r="AG24" s="1167"/>
      <c r="AH24" s="1167"/>
      <c r="AI24" s="1167"/>
      <c r="AJ24" s="1152" t="str">
        <f t="shared" si="5"/>
        <v/>
      </c>
      <c r="AK24" s="1152" t="str">
        <f t="shared" si="6"/>
        <v/>
      </c>
      <c r="AL24" s="1152" t="str">
        <f t="shared" si="7"/>
        <v/>
      </c>
      <c r="AM24" s="1152" t="str">
        <f t="shared" si="0"/>
        <v/>
      </c>
      <c r="AN24" s="1152" t="str">
        <f t="shared" si="8"/>
        <v/>
      </c>
      <c r="AO24" s="1138"/>
      <c r="AP24" s="1168"/>
      <c r="BA24" s="78"/>
      <c r="BB24" s="132" t="s">
        <v>3168</v>
      </c>
      <c r="BC24" s="133"/>
      <c r="BD24" s="132" t="str">
        <f>IF(OR(B24="",BC24=""),"",COUNTIF(BC$8:BC24,"√"))</f>
        <v/>
      </c>
      <c r="BE24" s="134" t="str">
        <f t="shared" si="9"/>
        <v/>
      </c>
      <c r="BF24" s="135" t="str">
        <f t="shared" si="10"/>
        <v/>
      </c>
      <c r="BG24" s="135" t="str">
        <f t="shared" si="11"/>
        <v/>
      </c>
      <c r="BH24" s="136"/>
      <c r="BI24" s="136"/>
      <c r="BJ24" s="136"/>
      <c r="BK24" s="136"/>
      <c r="BL24" s="137"/>
      <c r="BM24" s="137"/>
      <c r="BP24" s="134" t="str">
        <f>IF(COUNTIF(BP$7:BP23,B24)&gt;0,"",B24)&amp;""</f>
        <v/>
      </c>
      <c r="BQ24" s="138">
        <f t="shared" si="12"/>
        <v>0</v>
      </c>
      <c r="BR24" s="132">
        <f t="shared" si="13"/>
        <v>1</v>
      </c>
      <c r="BS24" s="138">
        <f t="shared" si="14"/>
        <v>0</v>
      </c>
      <c r="BT24" s="132">
        <f t="shared" si="1"/>
        <v>1</v>
      </c>
      <c r="BU24" s="133"/>
      <c r="BV24" s="133"/>
    </row>
    <row r="25" customHeight="1" spans="1:75">
      <c r="A25" s="123" t="str">
        <f>IF(B25="","",COUNT(A$7:A24)+1)</f>
        <v/>
      </c>
      <c r="B25" s="1133"/>
      <c r="C25" s="1170"/>
      <c r="D25" s="1170"/>
      <c r="E25" s="1170"/>
      <c r="F25" s="1170"/>
      <c r="G25" s="1170"/>
      <c r="H25" s="1133"/>
      <c r="I25" s="1133"/>
      <c r="J25" s="1133"/>
      <c r="K25" s="1133"/>
      <c r="L25" s="1133"/>
      <c r="M25" s="1136"/>
      <c r="N25" s="1136"/>
      <c r="O25" s="1136"/>
      <c r="P25" s="1136"/>
      <c r="Q25" s="1136"/>
      <c r="R25" s="1136"/>
      <c r="S25" s="1136"/>
      <c r="T25" s="1136"/>
      <c r="U25" s="1136"/>
      <c r="V25" s="1136"/>
      <c r="W25" s="1136"/>
      <c r="X25" s="1136"/>
      <c r="Y25" s="127"/>
      <c r="Z25" s="127" t="str">
        <f>IFERROR(VLOOKUP(Y25,参数表!$H$2:$I$50,2,FALSE),"")</f>
        <v/>
      </c>
      <c r="AA25" s="127" t="str">
        <f t="shared" si="2"/>
        <v/>
      </c>
      <c r="AB25" s="128" t="str">
        <f t="shared" si="3"/>
        <v/>
      </c>
      <c r="AC25" s="128" t="str">
        <f t="shared" si="4"/>
        <v/>
      </c>
      <c r="AD25" s="1136"/>
      <c r="AE25" s="1152"/>
      <c r="AF25" s="1152"/>
      <c r="AG25" s="1152"/>
      <c r="AH25" s="1152"/>
      <c r="AI25" s="1152"/>
      <c r="AJ25" s="1152" t="str">
        <f t="shared" si="5"/>
        <v/>
      </c>
      <c r="AK25" s="1152" t="str">
        <f t="shared" si="6"/>
        <v/>
      </c>
      <c r="AL25" s="1152" t="str">
        <f t="shared" si="7"/>
        <v/>
      </c>
      <c r="AM25" s="1152" t="str">
        <f t="shared" si="0"/>
        <v/>
      </c>
      <c r="AN25" s="1152" t="str">
        <f t="shared" si="8"/>
        <v/>
      </c>
      <c r="AO25" s="1133"/>
      <c r="AP25" s="1168"/>
      <c r="BA25" s="78"/>
      <c r="BB25" s="132" t="s">
        <v>3169</v>
      </c>
      <c r="BC25" s="133"/>
      <c r="BD25" s="132" t="str">
        <f>IF(OR(B25="",BC25=""),"",COUNTIF(BC$8:BC25,"√"))</f>
        <v/>
      </c>
      <c r="BE25" s="134" t="str">
        <f t="shared" si="9"/>
        <v/>
      </c>
      <c r="BF25" s="135" t="str">
        <f t="shared" si="10"/>
        <v/>
      </c>
      <c r="BG25" s="135" t="str">
        <f t="shared" si="11"/>
        <v/>
      </c>
      <c r="BH25" s="136"/>
      <c r="BI25" s="136"/>
      <c r="BJ25" s="136"/>
      <c r="BK25" s="136"/>
      <c r="BL25" s="137"/>
      <c r="BM25" s="137"/>
      <c r="BP25" s="134" t="str">
        <f>IF(COUNTIF(BP$7:BP24,B25)&gt;0,"",B25)&amp;""</f>
        <v/>
      </c>
      <c r="BQ25" s="138">
        <f t="shared" si="12"/>
        <v>0</v>
      </c>
      <c r="BR25" s="132">
        <f t="shared" si="13"/>
        <v>1</v>
      </c>
      <c r="BS25" s="138">
        <f t="shared" si="14"/>
        <v>0</v>
      </c>
      <c r="BT25" s="132">
        <f t="shared" si="1"/>
        <v>1</v>
      </c>
      <c r="BU25" s="133"/>
      <c r="BV25" s="133"/>
    </row>
    <row r="26" s="1107" customFormat="1" customHeight="1" spans="1:75">
      <c r="A26" s="1124" t="s">
        <v>3120</v>
      </c>
      <c r="B26" s="1142"/>
      <c r="C26" s="1142"/>
      <c r="D26" s="1143"/>
      <c r="E26" s="1144"/>
      <c r="F26" s="1144"/>
      <c r="G26" s="1144"/>
      <c r="H26" s="1144"/>
      <c r="I26" s="1144"/>
      <c r="J26" s="1144"/>
      <c r="K26" s="1144"/>
      <c r="L26" s="1145"/>
      <c r="M26" s="1147"/>
      <c r="N26" s="1147"/>
      <c r="O26" s="1147"/>
      <c r="P26" s="1147"/>
      <c r="Q26" s="1147"/>
      <c r="R26" s="1147"/>
      <c r="S26" s="1147"/>
      <c r="T26" s="1147"/>
      <c r="U26" s="1147"/>
      <c r="V26" s="1147"/>
      <c r="W26" s="1147"/>
      <c r="X26" s="1147"/>
      <c r="Y26" s="1147"/>
      <c r="Z26" s="1147"/>
      <c r="AA26" s="1147"/>
      <c r="AB26" s="1147"/>
      <c r="AC26" s="1147"/>
      <c r="AD26" s="1146">
        <f>SUM(AD8:AD25)</f>
        <v>0</v>
      </c>
      <c r="AE26" s="1146">
        <f>SUM(AE8:AE25)</f>
        <v>0</v>
      </c>
      <c r="AF26" s="1146">
        <f>SUM(AF8:AF25)</f>
        <v>0</v>
      </c>
      <c r="AG26" s="1146"/>
      <c r="AH26" s="1146"/>
      <c r="AI26" s="1146"/>
      <c r="AJ26" s="1147"/>
      <c r="AK26" s="1146">
        <f>SUM(AK8:AK25)</f>
        <v>0</v>
      </c>
      <c r="AL26" s="1146">
        <f>SUM(AL8:AL25)</f>
        <v>0</v>
      </c>
      <c r="AM26" s="1146">
        <f>SUM(AM8:AM25)</f>
        <v>0</v>
      </c>
      <c r="AN26" s="1146" t="str">
        <f t="shared" si="8"/>
        <v/>
      </c>
      <c r="AO26" s="1144"/>
      <c r="AP26" s="1171"/>
      <c r="BF26" s="1128"/>
      <c r="BG26" s="1128"/>
      <c r="BH26" s="1128"/>
      <c r="BI26" s="1128"/>
      <c r="BO26" s="111"/>
      <c r="BP26" s="119"/>
      <c r="BQ26" s="77"/>
      <c r="BR26" s="77"/>
      <c r="BS26" s="77"/>
      <c r="BT26" s="119"/>
      <c r="BU26" s="119"/>
      <c r="BV26" s="119"/>
      <c r="BW26" s="111"/>
    </row>
    <row r="27" s="1107" customFormat="1" customHeight="1" spans="1:75">
      <c r="A27" s="1149" t="s">
        <v>1290</v>
      </c>
      <c r="B27" s="1150"/>
      <c r="C27" s="1150"/>
      <c r="D27" s="1151"/>
      <c r="E27" s="1133"/>
      <c r="F27" s="1133"/>
      <c r="G27" s="1133"/>
      <c r="H27" s="1133"/>
      <c r="I27" s="1133"/>
      <c r="J27" s="1133"/>
      <c r="K27" s="1133"/>
      <c r="L27" s="1134"/>
      <c r="M27" s="1136"/>
      <c r="N27" s="1136"/>
      <c r="O27" s="1136"/>
      <c r="P27" s="1136"/>
      <c r="Q27" s="1136"/>
      <c r="R27" s="1136"/>
      <c r="S27" s="1136"/>
      <c r="T27" s="1136"/>
      <c r="U27" s="1136"/>
      <c r="V27" s="1136"/>
      <c r="W27" s="1136"/>
      <c r="X27" s="1136"/>
      <c r="Y27" s="1136"/>
      <c r="Z27" s="1136"/>
      <c r="AA27" s="1136"/>
      <c r="AB27" s="1136"/>
      <c r="AC27" s="1136"/>
      <c r="AD27" s="1152"/>
      <c r="AE27" s="1152">
        <f>AF26</f>
        <v>0</v>
      </c>
      <c r="AF27" s="1152"/>
      <c r="AG27" s="1152"/>
      <c r="AH27" s="1152"/>
      <c r="AI27" s="1152"/>
      <c r="AJ27" s="1152"/>
      <c r="AK27" s="1152">
        <f>AL26</f>
        <v>0</v>
      </c>
      <c r="AL27" s="1152"/>
      <c r="AM27" s="1152"/>
      <c r="AN27" s="1152" t="str">
        <f t="shared" ref="AN27:AN28" si="16">IFERROR((AM27-(AK27-AL27))/(AK27-AL27)*100,"")</f>
        <v/>
      </c>
      <c r="AO27" s="1133"/>
      <c r="AP27" s="630"/>
      <c r="BF27" s="1128"/>
      <c r="BG27" s="1128"/>
      <c r="BH27" s="1128"/>
      <c r="BI27" s="1128"/>
      <c r="BO27" s="111"/>
      <c r="BP27" s="119"/>
      <c r="BQ27" s="77"/>
      <c r="BR27" s="77"/>
      <c r="BS27" s="77"/>
      <c r="BT27" s="119"/>
      <c r="BU27" s="119"/>
      <c r="BV27" s="119"/>
      <c r="BW27" s="111"/>
    </row>
    <row r="28" s="1107" customFormat="1" customHeight="1" spans="1:75">
      <c r="A28" s="1124" t="s">
        <v>3121</v>
      </c>
      <c r="B28" s="1142"/>
      <c r="C28" s="1142"/>
      <c r="D28" s="1143"/>
      <c r="E28" s="1144"/>
      <c r="F28" s="1144"/>
      <c r="G28" s="1144"/>
      <c r="H28" s="1144"/>
      <c r="I28" s="1144"/>
      <c r="J28" s="1144"/>
      <c r="K28" s="1144"/>
      <c r="L28" s="1145"/>
      <c r="M28" s="1147"/>
      <c r="N28" s="1147"/>
      <c r="O28" s="1147"/>
      <c r="P28" s="1147"/>
      <c r="Q28" s="1147"/>
      <c r="R28" s="1147"/>
      <c r="S28" s="1147"/>
      <c r="T28" s="1147"/>
      <c r="U28" s="1147"/>
      <c r="V28" s="1147"/>
      <c r="W28" s="1147"/>
      <c r="X28" s="1147"/>
      <c r="Y28" s="1147"/>
      <c r="Z28" s="1147"/>
      <c r="AA28" s="1147"/>
      <c r="AB28" s="1147"/>
      <c r="AC28" s="1147"/>
      <c r="AD28" s="1146"/>
      <c r="AE28" s="1146">
        <f>AE26-AE27</f>
        <v>0</v>
      </c>
      <c r="AF28" s="1146"/>
      <c r="AG28" s="1146"/>
      <c r="AH28" s="1146"/>
      <c r="AI28" s="1146"/>
      <c r="AJ28" s="1146"/>
      <c r="AK28" s="1146">
        <f>AK26-AK27</f>
        <v>0</v>
      </c>
      <c r="AL28" s="1146"/>
      <c r="AM28" s="1146">
        <f>AM26-AM27</f>
        <v>0</v>
      </c>
      <c r="AN28" s="1146" t="str">
        <f t="shared" si="16"/>
        <v/>
      </c>
      <c r="AO28" s="1144"/>
      <c r="AP28" s="630"/>
      <c r="BF28" s="1128"/>
      <c r="BG28" s="1128"/>
      <c r="BH28" s="1128"/>
      <c r="BI28" s="1128"/>
      <c r="BO28" s="111"/>
      <c r="BP28" s="119"/>
      <c r="BQ28" s="77"/>
      <c r="BR28" s="77"/>
      <c r="BS28" s="77"/>
      <c r="BT28" s="119"/>
      <c r="BU28" s="119"/>
      <c r="BV28" s="119"/>
      <c r="BW28" s="111"/>
    </row>
    <row r="29" customHeight="1" spans="1:75">
      <c r="A29" s="102" t="str">
        <f>参数表!F$6</f>
        <v>产权持有单位填表人：贾广东</v>
      </c>
      <c r="B29" s="1049"/>
      <c r="C29" s="1049"/>
      <c r="D29" s="1049"/>
      <c r="E29" s="1049"/>
      <c r="F29" s="1049"/>
      <c r="G29" s="1049"/>
      <c r="H29" s="1049"/>
      <c r="I29" s="1049"/>
      <c r="J29" s="1049"/>
      <c r="K29" s="1049"/>
      <c r="L29" s="1049"/>
      <c r="M29" s="1049"/>
      <c r="N29" s="1049"/>
      <c r="O29" s="1049"/>
      <c r="P29" s="1049"/>
      <c r="Q29" s="1049"/>
      <c r="R29" s="1049"/>
      <c r="S29" s="1049"/>
      <c r="T29" s="1049"/>
      <c r="U29" s="1049"/>
      <c r="V29" s="1049"/>
      <c r="W29" s="1049"/>
      <c r="X29" s="1049"/>
      <c r="Y29" s="1049"/>
      <c r="Z29" s="1049"/>
      <c r="AA29" s="1049"/>
      <c r="AB29" s="1049"/>
      <c r="AC29" s="1049"/>
      <c r="AD29" s="1049"/>
      <c r="AE29" s="1049"/>
      <c r="AF29" s="1049"/>
      <c r="AG29" s="1049"/>
      <c r="AH29" s="1049"/>
      <c r="AI29" s="1049"/>
      <c r="AJ29" s="1049"/>
      <c r="AK29" s="1049"/>
      <c r="AL29" s="1049"/>
      <c r="AM29" s="1049" t="str">
        <f>"评估人员："&amp;封面!$G$24</f>
        <v>评估人员：</v>
      </c>
      <c r="AN29" s="1172"/>
      <c r="AO29" s="1049"/>
      <c r="AP29" s="552"/>
      <c r="BC29" s="110"/>
      <c r="BD29" s="110"/>
      <c r="BE29" s="110"/>
      <c r="BH29" s="109"/>
      <c r="BI29" s="109"/>
      <c r="BJ29" s="109"/>
      <c r="BK29" s="109"/>
    </row>
    <row r="30" customHeight="1" spans="1:75">
      <c r="A30" s="102" t="str">
        <f>参数表!F$7</f>
        <v>填表日期：2025年9月20日</v>
      </c>
      <c r="B30" s="1049"/>
      <c r="C30" s="1049"/>
      <c r="D30" s="1049"/>
      <c r="E30" s="1049"/>
      <c r="F30" s="1049"/>
      <c r="G30" s="1049"/>
      <c r="H30" s="1049"/>
      <c r="I30" s="1049"/>
      <c r="J30" s="1049"/>
      <c r="K30" s="1049"/>
      <c r="L30" s="1049"/>
      <c r="M30" s="1049"/>
      <c r="N30" s="1049"/>
      <c r="O30" s="1049"/>
      <c r="P30" s="1049"/>
      <c r="Q30" s="1049"/>
      <c r="R30" s="1049"/>
      <c r="S30" s="1049"/>
      <c r="T30" s="1049"/>
      <c r="U30" s="1049"/>
      <c r="V30" s="1049"/>
      <c r="W30" s="1049"/>
      <c r="X30" s="1049"/>
      <c r="Y30" s="1049"/>
      <c r="Z30" s="1049"/>
      <c r="AA30" s="1049"/>
      <c r="AB30" s="1049"/>
      <c r="AC30" s="1049"/>
      <c r="AD30" s="1049"/>
      <c r="AE30" s="1049"/>
      <c r="AF30" s="1049"/>
      <c r="AG30" s="1049"/>
      <c r="AH30" s="1049"/>
      <c r="AI30" s="1049"/>
      <c r="AJ30" s="1049"/>
      <c r="AK30" s="1049"/>
      <c r="AL30" s="1049"/>
      <c r="AM30" s="1049"/>
      <c r="AN30" s="1172"/>
      <c r="AO30" s="1049"/>
      <c r="AP30" s="552"/>
      <c r="BC30" s="110"/>
      <c r="BD30" s="110"/>
      <c r="BE30" s="110"/>
      <c r="BH30" s="109"/>
      <c r="BI30" s="109"/>
      <c r="BJ30" s="109"/>
      <c r="BK30" s="109"/>
    </row>
    <row r="31" customHeight="1" spans="1:75">
      <c r="AP31" s="552"/>
      <c r="BC31" s="110"/>
      <c r="BD31" s="110"/>
      <c r="BE31" s="110"/>
      <c r="BH31" s="109"/>
      <c r="BI31" s="109"/>
      <c r="BJ31" s="109"/>
      <c r="BK31" s="109"/>
    </row>
    <row r="32" customHeight="1" spans="1:75">
      <c r="A32" s="1155" t="s">
        <v>3170</v>
      </c>
      <c r="O32" s="1109"/>
      <c r="AN32" s="110"/>
      <c r="AP32" s="552"/>
      <c r="BC32" s="110"/>
      <c r="BD32" s="110"/>
      <c r="BE32" s="110"/>
      <c r="BH32" s="109"/>
      <c r="BI32" s="109"/>
      <c r="BJ32" s="109"/>
      <c r="BK32" s="109"/>
    </row>
    <row r="33" customHeight="1" spans="1:63">
      <c r="A33" s="1156" t="s">
        <v>3123</v>
      </c>
      <c r="B33" s="1157"/>
      <c r="O33" s="1109"/>
      <c r="AN33" s="110"/>
      <c r="BC33" s="110"/>
      <c r="BD33" s="110"/>
      <c r="BE33" s="110"/>
      <c r="BH33" s="109"/>
      <c r="BI33" s="109"/>
      <c r="BJ33" s="109"/>
      <c r="BK33" s="109"/>
    </row>
    <row r="34" customHeight="1" spans="1:63">
      <c r="A34" s="1156" t="s">
        <v>3124</v>
      </c>
      <c r="B34" s="1157"/>
      <c r="O34" s="1109"/>
      <c r="AN34" s="110"/>
      <c r="BC34" s="110"/>
      <c r="BD34" s="110"/>
      <c r="BE34" s="110"/>
      <c r="BH34" s="109"/>
      <c r="BI34" s="109"/>
      <c r="BJ34" s="109"/>
      <c r="BK34" s="109"/>
    </row>
    <row r="35" customHeight="1" spans="1:63">
      <c r="A35" s="1156" t="s">
        <v>3125</v>
      </c>
      <c r="B35" s="1157"/>
      <c r="O35" s="1109"/>
      <c r="AN35" s="110"/>
      <c r="BC35" s="110"/>
      <c r="BD35" s="110"/>
      <c r="BE35" s="110"/>
      <c r="BH35" s="109"/>
      <c r="BI35" s="109"/>
      <c r="BJ35" s="109"/>
      <c r="BK35" s="109"/>
    </row>
    <row r="36" customHeight="1" spans="1:63">
      <c r="A36" s="1156" t="s">
        <v>3171</v>
      </c>
      <c r="B36" s="1157"/>
      <c r="O36" s="1109"/>
      <c r="AN36" s="110"/>
      <c r="BC36" s="110"/>
      <c r="BD36" s="110"/>
      <c r="BE36" s="110"/>
      <c r="BH36" s="109"/>
      <c r="BI36" s="109"/>
      <c r="BJ36" s="109"/>
      <c r="BK36" s="109"/>
    </row>
    <row r="37" customHeight="1" spans="1:63">
      <c r="A37" s="1156" t="s">
        <v>3172</v>
      </c>
      <c r="B37" s="1157"/>
      <c r="O37" s="1109"/>
      <c r="AN37" s="110"/>
      <c r="BC37" s="110"/>
      <c r="BD37" s="110"/>
      <c r="BE37" s="110"/>
      <c r="BH37" s="109"/>
      <c r="BI37" s="109"/>
      <c r="BJ37" s="109"/>
      <c r="BK37" s="109"/>
    </row>
    <row r="38" customHeight="1" spans="1:63">
      <c r="A38" s="1156" t="s">
        <v>3173</v>
      </c>
      <c r="B38" s="1157"/>
      <c r="O38" s="1109"/>
      <c r="AN38" s="110"/>
      <c r="BC38" s="110"/>
      <c r="BD38" s="110"/>
      <c r="BE38" s="110"/>
      <c r="BH38" s="109"/>
      <c r="BI38" s="109"/>
      <c r="BJ38" s="109"/>
      <c r="BK38" s="109"/>
    </row>
    <row r="39" customHeight="1" spans="1:63">
      <c r="A39" s="1156" t="s">
        <v>3174</v>
      </c>
      <c r="B39" s="1157"/>
      <c r="O39" s="1109"/>
      <c r="AN39" s="110"/>
      <c r="BC39" s="110"/>
      <c r="BD39" s="110"/>
      <c r="BE39" s="110"/>
      <c r="BH39" s="109"/>
      <c r="BI39" s="109"/>
      <c r="BJ39" s="109"/>
      <c r="BK39" s="109"/>
    </row>
    <row r="40" customHeight="1" spans="1:63">
      <c r="A40" s="1156" t="s">
        <v>3175</v>
      </c>
      <c r="B40" s="1157"/>
      <c r="O40" s="1109"/>
      <c r="AN40" s="110"/>
      <c r="BC40" s="110"/>
      <c r="BD40" s="110"/>
      <c r="BE40" s="110"/>
      <c r="BH40" s="109"/>
      <c r="BI40" s="109"/>
      <c r="BJ40" s="109"/>
      <c r="BK40" s="109"/>
    </row>
    <row r="41" customHeight="1" spans="1:63">
      <c r="A41" s="1156" t="s">
        <v>3176</v>
      </c>
      <c r="B41" s="1157"/>
      <c r="O41" s="1109"/>
      <c r="AN41" s="110"/>
      <c r="BC41" s="110"/>
      <c r="BD41" s="110"/>
      <c r="BE41" s="110"/>
      <c r="BH41" s="109"/>
      <c r="BI41" s="109"/>
      <c r="BJ41" s="109"/>
      <c r="BK41" s="109"/>
    </row>
    <row r="42" hidden="1" customHeight="1" outlineLevel="1" spans="1:63">
      <c r="B42" s="154" t="s">
        <v>1673</v>
      </c>
      <c r="AD42" s="628">
        <f>SUMIF($BA8:$BA25,$BA42,AD8:AD25)</f>
        <v>0</v>
      </c>
      <c r="AE42" s="628">
        <f>SUMIF($BA8:$BA25,$BA42,AE8:AE25)</f>
        <v>0</v>
      </c>
      <c r="AF42" s="628">
        <f>SUMIF($BA8:$BA25,$BA42,AF8:AF25)</f>
        <v>0</v>
      </c>
      <c r="AG42" s="1158"/>
      <c r="AH42" s="1158"/>
      <c r="AI42" s="1158"/>
      <c r="AJ42" s="628">
        <f>SUMIF($BA8:$BA25,$BA42,AJ8:AJ25)</f>
        <v>0</v>
      </c>
      <c r="AK42" s="628">
        <f>SUMIF($BA8:$BA25,$BA42,AK8:AK25)</f>
        <v>0</v>
      </c>
      <c r="AL42" s="628">
        <f>SUMIF($BA8:$BA25,$BA42,AL8:AL25)</f>
        <v>0</v>
      </c>
      <c r="AM42" s="628">
        <f>SUMIF($BA8:$BA25,$BA42,AM8:AM25)</f>
        <v>0</v>
      </c>
      <c r="BA42" s="161" t="s">
        <v>1674</v>
      </c>
      <c r="BC42" s="110"/>
      <c r="BD42" s="110"/>
      <c r="BE42" s="110"/>
      <c r="BH42" s="1021" t="s">
        <v>3133</v>
      </c>
      <c r="BI42" s="1021" t="s">
        <v>3133</v>
      </c>
      <c r="BJ42" s="1021" t="s">
        <v>3133</v>
      </c>
      <c r="BK42" s="1021" t="s">
        <v>3133</v>
      </c>
    </row>
    <row r="43" hidden="1" customHeight="1" outlineLevel="1" spans="1:63">
      <c r="B43" s="154" t="s">
        <v>1676</v>
      </c>
      <c r="AD43" s="628">
        <f>AD26-AD42</f>
        <v>0</v>
      </c>
      <c r="AE43" s="628">
        <f>AE26-AE42</f>
        <v>0</v>
      </c>
      <c r="AF43" s="628">
        <f>AF26-AF42</f>
        <v>0</v>
      </c>
      <c r="AG43" s="1158"/>
      <c r="AH43" s="1158"/>
      <c r="AI43" s="1158"/>
      <c r="AJ43" s="628">
        <f>AJ26-AJ42</f>
        <v>0</v>
      </c>
      <c r="AK43" s="628">
        <f>AK26-AK42</f>
        <v>0</v>
      </c>
      <c r="AL43" s="628">
        <f>AL26-AL42</f>
        <v>0</v>
      </c>
      <c r="AM43" s="628">
        <f>AM26-AM42</f>
        <v>0</v>
      </c>
      <c r="BA43" s="161" t="s">
        <v>1677</v>
      </c>
      <c r="BC43" s="110"/>
      <c r="BD43" s="110"/>
      <c r="BE43" s="110"/>
      <c r="BH43" s="1021" t="s">
        <v>3134</v>
      </c>
      <c r="BI43" s="1021" t="s">
        <v>3134</v>
      </c>
      <c r="BJ43" s="1021" t="s">
        <v>3134</v>
      </c>
      <c r="BK43" s="1021" t="s">
        <v>3134</v>
      </c>
    </row>
    <row r="44" customHeight="1" collapsed="1" spans="1:63">
      <c r="BC44" s="110"/>
      <c r="BD44" s="110"/>
      <c r="BE44" s="110"/>
      <c r="BH44" s="109"/>
      <c r="BI44" s="109"/>
      <c r="BJ44" s="109"/>
      <c r="BK44" s="109"/>
    </row>
    <row r="45" customHeight="1" spans="1:63">
      <c r="BC45" s="110"/>
      <c r="BD45" s="110"/>
      <c r="BE45" s="110"/>
      <c r="BH45" s="109"/>
      <c r="BI45" s="109"/>
      <c r="BJ45" s="109"/>
      <c r="BK45" s="109"/>
    </row>
    <row r="46" customHeight="1" spans="1:63">
      <c r="BC46" s="110"/>
      <c r="BD46" s="110"/>
      <c r="BE46" s="110"/>
      <c r="BH46" s="109"/>
      <c r="BI46" s="109"/>
      <c r="BJ46" s="109"/>
      <c r="BK46" s="109"/>
    </row>
  </sheetData>
  <sheetProtection autoFilter="0"/>
  <mergeCells count="36">
    <mergeCell ref="A2:AO2"/>
    <mergeCell ref="A3:AO3"/>
    <mergeCell ref="C6:G6"/>
    <mergeCell ref="M6:P6"/>
    <mergeCell ref="Q6:T6"/>
    <mergeCell ref="U6:X6"/>
    <mergeCell ref="Y6:AC6"/>
    <mergeCell ref="AD6:AF6"/>
    <mergeCell ref="AG6:AI6"/>
    <mergeCell ref="AJ6:AL6"/>
    <mergeCell ref="BU8:BW8"/>
    <mergeCell ref="BU9:BW9"/>
    <mergeCell ref="BV15:BW15"/>
    <mergeCell ref="A26:D26"/>
    <mergeCell ref="A27:D27"/>
    <mergeCell ref="A28:D28"/>
    <mergeCell ref="A6:A7"/>
    <mergeCell ref="B6:B7"/>
    <mergeCell ref="H6:H7"/>
    <mergeCell ref="I6:I7"/>
    <mergeCell ref="J6:J7"/>
    <mergeCell ref="K6:K7"/>
    <mergeCell ref="L6:L7"/>
    <mergeCell ref="AM6:AM7"/>
    <mergeCell ref="AN6:AN7"/>
    <mergeCell ref="AO6:AO7"/>
    <mergeCell ref="AP6:AP7"/>
    <mergeCell ref="BF6:BF7"/>
    <mergeCell ref="BG6:BG7"/>
    <mergeCell ref="BH6:BH7"/>
    <mergeCell ref="BI6:BI7"/>
    <mergeCell ref="BJ6:BJ7"/>
    <mergeCell ref="BK6:BK7"/>
    <mergeCell ref="BL6:BL7"/>
    <mergeCell ref="BM6:BM7"/>
    <mergeCell ref="BN6:BN7"/>
  </mergeCells>
  <conditionalFormatting sqref="BL8:BL25">
    <cfRule type="expression" dxfId="5" priority="4" stopIfTrue="1">
      <formula>AND(BK8="无",BL8="")</formula>
    </cfRule>
  </conditionalFormatting>
  <conditionalFormatting sqref="BF8:BG25">
    <cfRule type="containsText" dxfId="6" priority="1" stopIfTrue="1" operator="between" text="出错">
      <formula>NOT(ISERROR(SEARCH("出错",BF8)))</formula>
    </cfRule>
  </conditionalFormatting>
  <conditionalFormatting sqref="BH8:BK25">
    <cfRule type="expression" dxfId="5" priority="5" stopIfTrue="1">
      <formula>AND(#REF!&lt;&gt;"",BH8="")</formula>
    </cfRule>
  </conditionalFormatting>
  <dataValidations count="4">
    <dataValidation type="list" allowBlank="1" showInputMessage="1" showErrorMessage="1" sqref="Y8:Y25">
      <formula1>OFFSET(参数表!$H$2:$H$50,,,COUNTA(参数表!$H$2:$H$50))</formula1>
    </dataValidation>
    <dataValidation type="list" allowBlank="1" showInputMessage="1" showErrorMessage="1" sqref="BA8:BA25 BA42:BA43">
      <formula1>"是,否"</formula1>
    </dataValidation>
    <dataValidation type="list" allowBlank="1" showInputMessage="1" showErrorMessage="1" sqref="BC8:BC25">
      <formula1>"  ,√"</formula1>
    </dataValidation>
    <dataValidation type="list" allowBlank="1" showInputMessage="1" showErrorMessage="1" sqref="BH8:BK25">
      <formula1>BH$42:BH$43</formula1>
    </dataValidation>
  </dataValidations>
  <hyperlinks>
    <hyperlink ref="A1" location="索引目录!E25" display="返回索引页"/>
    <hyperlink ref="B1" location="存货汇总!B13" display="返回"/>
  </hyperlinks>
  <printOptions horizontalCentered="1"/>
  <pageMargins left="0.393700787401575" right="0.393700787401575" top="0.984251968503937" bottom="0.393700787401575" header="0.984251968503937" footer="0.393700787401575"/>
  <pageSetup paperSize="9" orientation="landscape" blackAndWhite="1"/>
  <headerFooter alignWithMargins="0">
    <oddHeader>&amp;R&amp;"宋体,常规"&amp;11共&amp;N页，第&amp;P页&amp;"Times New Roman,常规"</oddHead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BW50"/>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6.5" customHeight="1"/>
  <cols>
    <col min="1" max="1" width="4.7" style="1108" customWidth="1"/>
    <col min="2" max="2" width="11.1" style="109" customWidth="1"/>
    <col min="3" max="5" width="8.7" style="109" customWidth="1" outlineLevel="1"/>
    <col min="6" max="6" width="7.3" style="109" customWidth="1" outlineLevel="1"/>
    <col min="7" max="7" width="7.7" style="109" customWidth="1" outlineLevel="1"/>
    <col min="8" max="8" width="11.7" style="109" customWidth="1"/>
    <col min="9" max="14" width="6.7" style="110" customWidth="1"/>
    <col min="15" max="16" width="4.6" style="110" customWidth="1" outlineLevel="1"/>
    <col min="17" max="18" width="6.1" style="110" customWidth="1" outlineLevel="1"/>
    <col min="19" max="19" width="6.3" style="110" customWidth="1" outlineLevel="1"/>
    <col min="20" max="20" width="5.3" style="110" customWidth="1" outlineLevel="1"/>
    <col min="21" max="21" width="5" style="110" customWidth="1" outlineLevel="1"/>
    <col min="22" max="22" width="5.3" style="110" customWidth="1" outlineLevel="1"/>
    <col min="23" max="23" width="4.8" style="110" customWidth="1" outlineLevel="1"/>
    <col min="24" max="24" width="6.3" style="110" customWidth="1" outlineLevel="1"/>
    <col min="25" max="25" width="5.2" style="110" customWidth="1" outlineLevel="1"/>
    <col min="26" max="26" width="5.1" style="110" customWidth="1" outlineLevel="1"/>
    <col min="27" max="28" width="10.7" style="110" customWidth="1" outlineLevel="1"/>
    <col min="29" max="29" width="6.3" style="110" customWidth="1" outlineLevel="1"/>
    <col min="30" max="37" width="7.2" style="110" customWidth="1" outlineLevel="1"/>
    <col min="38" max="38" width="6.3" style="110" customWidth="1" outlineLevel="1"/>
    <col min="39" max="39" width="5.3" style="110" customWidth="1" outlineLevel="1"/>
    <col min="40" max="40" width="5" style="110" customWidth="1" outlineLevel="1"/>
    <col min="41" max="41" width="5.3" style="110" customWidth="1" outlineLevel="1"/>
    <col min="42" max="42" width="4.8" style="110" customWidth="1" outlineLevel="1"/>
    <col min="43" max="43" width="6.3" style="110" customWidth="1" outlineLevel="1"/>
    <col min="44" max="44" width="5.2" style="110" customWidth="1" outlineLevel="1"/>
    <col min="45" max="45" width="5.1" style="110" customWidth="1" outlineLevel="1"/>
    <col min="46" max="48" width="10.7" style="110" customWidth="1"/>
    <col min="49" max="49" width="5.2" style="1109" customWidth="1"/>
    <col min="50" max="50" width="6.7" style="110" customWidth="1"/>
    <col min="51" max="52" width="6.7" style="110" hidden="1" customWidth="1" outlineLevel="1"/>
    <col min="53" max="53" width="14.7" style="110" customWidth="1" collapsed="1"/>
    <col min="54" max="54" width="6.7" style="110" customWidth="1"/>
    <col min="55" max="56" width="5.1" style="109" customWidth="1"/>
    <col min="57" max="57" width="8.7" style="109" customWidth="1"/>
    <col min="58" max="59" width="9.6" style="110" customWidth="1"/>
    <col min="60" max="63" width="4.7" style="110" customWidth="1"/>
    <col min="64" max="64" width="10.3" style="110" customWidth="1"/>
    <col min="65" max="65" width="8.7" style="110" customWidth="1"/>
    <col min="66" max="66" width="8.8" style="110"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110"/>
  </cols>
  <sheetData>
    <row r="1" ht="15.6" spans="1:75">
      <c r="A1" s="1025" t="s">
        <v>233</v>
      </c>
      <c r="B1" s="901"/>
      <c r="BA1" s="1110" t="s">
        <v>3177</v>
      </c>
      <c r="BB1" s="1107"/>
      <c r="BO1" s="87"/>
      <c r="BP1" s="88"/>
      <c r="BQ1" s="87"/>
      <c r="BR1" s="88"/>
      <c r="BS1" s="88"/>
      <c r="BT1" s="88"/>
      <c r="BU1" s="88"/>
      <c r="BV1" s="88"/>
      <c r="BW1" s="87"/>
    </row>
    <row r="2" s="1002" customFormat="1" ht="24.75" customHeight="1" spans="1:75">
      <c r="A2" s="1111" t="s">
        <v>3178</v>
      </c>
      <c r="B2" s="1111"/>
      <c r="C2" s="1111"/>
      <c r="D2" s="1111"/>
      <c r="E2" s="1111"/>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BA2" s="1112" t="s">
        <v>3179</v>
      </c>
      <c r="BB2" s="1113" t="str">
        <f>参数表!$BB$2</f>
        <v>2025年7月31日</v>
      </c>
      <c r="BO2" s="92"/>
      <c r="BP2" s="93"/>
      <c r="BQ2" s="92"/>
      <c r="BR2" s="93"/>
      <c r="BS2" s="93"/>
      <c r="BT2" s="93"/>
      <c r="BU2" s="93"/>
      <c r="BV2" s="93"/>
      <c r="BW2" s="92"/>
    </row>
    <row r="3" customHeight="1" spans="1:75">
      <c r="A3" s="634" t="str">
        <f>参数表!F5</f>
        <v>评估基准日：2025年7月31日</v>
      </c>
      <c r="B3" s="634"/>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c r="AT3" s="634"/>
      <c r="AU3" s="634"/>
      <c r="AV3" s="634"/>
      <c r="AW3" s="634"/>
      <c r="AX3" s="634"/>
      <c r="AY3" s="1114"/>
      <c r="AZ3" s="1114"/>
      <c r="BA3" s="1112" t="s">
        <v>3180</v>
      </c>
      <c r="BB3" s="90" t="str">
        <f>参数表!$BB$3</f>
        <v>是</v>
      </c>
      <c r="BO3" s="92"/>
      <c r="BP3" s="93"/>
      <c r="BQ3" s="92"/>
      <c r="BR3" s="93"/>
      <c r="BS3" s="93"/>
      <c r="BT3" s="93"/>
      <c r="BU3" s="93"/>
      <c r="BV3" s="93"/>
      <c r="BW3" s="92"/>
    </row>
    <row r="4" customHeight="1" spans="1:75">
      <c r="A4" s="636"/>
      <c r="B4" s="634"/>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c r="AW4" s="634"/>
      <c r="AX4" s="98" t="str">
        <f>"表"&amp;BA4</f>
        <v>表3-10-11</v>
      </c>
      <c r="AY4" s="277"/>
      <c r="AZ4" s="277"/>
      <c r="BA4" s="1021" t="str">
        <f>存货总!A17</f>
        <v>3-10-11</v>
      </c>
      <c r="BB4" s="100">
        <f>MAX(COUNTA(A8:A25),COUNTA(B8:B25),COUNTA(AA8:AA25),COUNTA(AT8:AT25))</f>
        <v>18</v>
      </c>
      <c r="BC4" s="101">
        <f>ROW(A7)+1</f>
        <v>8</v>
      </c>
      <c r="BD4" s="77"/>
      <c r="BE4" s="77"/>
      <c r="BQ4" s="78"/>
    </row>
    <row r="5" customHeight="1" spans="1:75">
      <c r="A5" s="638" t="str">
        <f>参数表!F3</f>
        <v>产权持有单位:中煤第五建设有限公司</v>
      </c>
      <c r="B5" s="640"/>
      <c r="C5" s="640"/>
      <c r="D5" s="1115"/>
      <c r="E5" s="1115"/>
      <c r="F5" s="1115"/>
      <c r="G5" s="1115"/>
      <c r="H5" s="1115"/>
      <c r="I5" s="1115"/>
      <c r="J5" s="640"/>
      <c r="K5" s="1049"/>
      <c r="L5" s="1116"/>
      <c r="M5" s="1116"/>
      <c r="N5" s="1116"/>
      <c r="O5" s="1116"/>
      <c r="P5" s="1116"/>
      <c r="Q5" s="1116"/>
      <c r="R5" s="1116"/>
      <c r="S5" s="1116"/>
      <c r="T5" s="1116"/>
      <c r="U5" s="1116"/>
      <c r="V5" s="1116"/>
      <c r="W5" s="1116"/>
      <c r="X5" s="1116"/>
      <c r="Y5" s="1116"/>
      <c r="Z5" s="1116"/>
      <c r="AA5" s="1116"/>
      <c r="AB5" s="1116"/>
      <c r="AC5" s="1116"/>
      <c r="AD5" s="1116"/>
      <c r="AE5" s="1116"/>
      <c r="AF5" s="1116"/>
      <c r="AG5" s="1116"/>
      <c r="AH5" s="1116"/>
      <c r="AI5" s="1116"/>
      <c r="AJ5" s="1116"/>
      <c r="AK5" s="1116"/>
      <c r="AL5" s="1116"/>
      <c r="AM5" s="1116"/>
      <c r="AN5" s="1116"/>
      <c r="AO5" s="1116"/>
      <c r="AP5" s="1116"/>
      <c r="AQ5" s="1116"/>
      <c r="AR5" s="1116"/>
      <c r="AS5" s="1116"/>
      <c r="AT5" s="1116"/>
      <c r="AU5" s="1116"/>
      <c r="AV5" s="1116"/>
      <c r="AW5" s="1117"/>
      <c r="AX5" s="641" t="s">
        <v>3075</v>
      </c>
      <c r="AY5" s="1118"/>
      <c r="AZ5" s="1118"/>
      <c r="BA5" s="641"/>
      <c r="BB5" s="105" t="str">
        <f ca="1">判断表!C40</f>
        <v>中煤第五建设有限公司第三工程处拟处置实物资产项目\[0000-3基础法明细表.xlsx]开发成本</v>
      </c>
      <c r="BC5" s="106">
        <f>IFERROR(SUMIF(BC8:BC25,"√",AT8:AT25)/AT26,0)</f>
        <v>0</v>
      </c>
      <c r="BD5" s="107"/>
      <c r="BE5" s="107"/>
      <c r="BF5" s="108">
        <f>出租开发产品!BF5</f>
        <v>35557.52</v>
      </c>
      <c r="BG5" s="108">
        <f>出租开发产品!BG5</f>
        <v>35557.52</v>
      </c>
      <c r="BH5" s="109"/>
      <c r="BI5" s="109"/>
      <c r="BJ5" s="109"/>
      <c r="BK5" s="109"/>
      <c r="BQ5" s="78"/>
    </row>
    <row r="6" s="1107" customFormat="1" ht="18" customHeight="1" spans="1:75">
      <c r="A6" s="1119" t="s">
        <v>521</v>
      </c>
      <c r="B6" s="1120" t="s">
        <v>1418</v>
      </c>
      <c r="C6" s="1121" t="s">
        <v>3076</v>
      </c>
      <c r="D6" s="1122"/>
      <c r="E6" s="1122"/>
      <c r="F6" s="1122"/>
      <c r="G6" s="1123"/>
      <c r="H6" s="1120" t="s">
        <v>3077</v>
      </c>
      <c r="I6" s="1120" t="s">
        <v>3181</v>
      </c>
      <c r="J6" s="1120" t="s">
        <v>3182</v>
      </c>
      <c r="K6" s="1120" t="s">
        <v>3183</v>
      </c>
      <c r="L6" s="1120" t="s">
        <v>3184</v>
      </c>
      <c r="M6" s="1120" t="s">
        <v>3185</v>
      </c>
      <c r="N6" s="1120" t="s">
        <v>3186</v>
      </c>
      <c r="O6" s="511" t="s">
        <v>1964</v>
      </c>
      <c r="P6" s="512"/>
      <c r="Q6" s="512"/>
      <c r="R6" s="513"/>
      <c r="S6" s="1124" t="s">
        <v>3084</v>
      </c>
      <c r="T6" s="1122"/>
      <c r="U6" s="1122"/>
      <c r="V6" s="1122"/>
      <c r="W6" s="1122"/>
      <c r="X6" s="1122"/>
      <c r="Y6" s="1122"/>
      <c r="Z6" s="1122"/>
      <c r="AA6" s="1122"/>
      <c r="AB6" s="1123"/>
      <c r="AC6" s="1125" t="s">
        <v>3085</v>
      </c>
      <c r="AD6" s="1126"/>
      <c r="AE6" s="1126"/>
      <c r="AF6" s="1126"/>
      <c r="AG6" s="1126"/>
      <c r="AH6" s="1126"/>
      <c r="AI6" s="1126"/>
      <c r="AJ6" s="1126"/>
      <c r="AK6" s="1126"/>
      <c r="AL6" s="1124" t="s">
        <v>1002</v>
      </c>
      <c r="AM6" s="1122"/>
      <c r="AN6" s="1122"/>
      <c r="AO6" s="1122"/>
      <c r="AP6" s="1122"/>
      <c r="AQ6" s="1122"/>
      <c r="AR6" s="1122"/>
      <c r="AS6" s="1122"/>
      <c r="AT6" s="1122"/>
      <c r="AU6" s="1123"/>
      <c r="AV6" s="1126" t="s">
        <v>1390</v>
      </c>
      <c r="AW6" s="1127" t="s">
        <v>1058</v>
      </c>
      <c r="AX6" s="1126" t="s">
        <v>3086</v>
      </c>
      <c r="AY6" s="1128"/>
      <c r="AZ6" s="1128"/>
      <c r="BA6" s="1129"/>
      <c r="BB6" s="100"/>
      <c r="BC6" s="100"/>
      <c r="BD6" s="100"/>
      <c r="BE6" s="100"/>
      <c r="BF6" s="192" t="s">
        <v>1639</v>
      </c>
      <c r="BG6" s="192" t="s">
        <v>1640</v>
      </c>
      <c r="BH6" s="113" t="s">
        <v>1748</v>
      </c>
      <c r="BI6" s="113" t="s">
        <v>1749</v>
      </c>
      <c r="BJ6" s="118" t="s">
        <v>1750</v>
      </c>
      <c r="BK6" s="118" t="s">
        <v>1641</v>
      </c>
      <c r="BL6" s="118" t="s">
        <v>2209</v>
      </c>
      <c r="BM6" s="113" t="s">
        <v>1644</v>
      </c>
      <c r="BN6" s="1130" t="s">
        <v>526</v>
      </c>
      <c r="BO6" s="111"/>
      <c r="BP6" s="78"/>
      <c r="BQ6" s="78"/>
      <c r="BR6" s="78"/>
      <c r="BS6" s="78"/>
      <c r="BT6" s="78"/>
      <c r="BU6" s="78"/>
      <c r="BV6" s="194"/>
      <c r="BW6" s="111"/>
    </row>
    <row r="7" s="1107" customFormat="1" ht="24.75" customHeight="1" spans="1:75">
      <c r="A7" s="1119"/>
      <c r="B7" s="1120"/>
      <c r="C7" s="1120" t="s">
        <v>3087</v>
      </c>
      <c r="D7" s="1120" t="s">
        <v>3088</v>
      </c>
      <c r="E7" s="1120" t="s">
        <v>3089</v>
      </c>
      <c r="F7" s="1120" t="s">
        <v>3090</v>
      </c>
      <c r="G7" s="1120" t="s">
        <v>3144</v>
      </c>
      <c r="H7" s="1120"/>
      <c r="I7" s="1120"/>
      <c r="J7" s="1120"/>
      <c r="K7" s="1120"/>
      <c r="L7" s="1120"/>
      <c r="M7" s="1120"/>
      <c r="N7" s="1120"/>
      <c r="O7" s="519" t="s">
        <v>1968</v>
      </c>
      <c r="P7" s="519" t="s">
        <v>1969</v>
      </c>
      <c r="Q7" s="519" t="s">
        <v>1970</v>
      </c>
      <c r="R7" s="519" t="s">
        <v>2177</v>
      </c>
      <c r="S7" s="1131" t="s">
        <v>3092</v>
      </c>
      <c r="T7" s="1120" t="s">
        <v>3093</v>
      </c>
      <c r="U7" s="1120" t="s">
        <v>3094</v>
      </c>
      <c r="V7" s="1120" t="s">
        <v>3095</v>
      </c>
      <c r="W7" s="1120" t="s">
        <v>3096</v>
      </c>
      <c r="X7" s="1120" t="s">
        <v>3097</v>
      </c>
      <c r="Y7" s="1120" t="s">
        <v>3098</v>
      </c>
      <c r="Z7" s="1120" t="s">
        <v>3099</v>
      </c>
      <c r="AA7" s="1126" t="s">
        <v>3100</v>
      </c>
      <c r="AB7" s="1120" t="s">
        <v>2177</v>
      </c>
      <c r="AC7" s="1120" t="str">
        <f t="shared" ref="AC7:AJ7" si="0">S7</f>
        <v>土地费用</v>
      </c>
      <c r="AD7" s="1120" t="str">
        <f t="shared" si="0"/>
        <v>前期工程</v>
      </c>
      <c r="AE7" s="1120" t="str">
        <f t="shared" si="0"/>
        <v>基础设施</v>
      </c>
      <c r="AF7" s="1120" t="str">
        <f t="shared" si="0"/>
        <v>建安工程</v>
      </c>
      <c r="AG7" s="1120" t="str">
        <f t="shared" si="0"/>
        <v>配套工程</v>
      </c>
      <c r="AH7" s="1120" t="str">
        <f t="shared" si="0"/>
        <v>开发间接费用</v>
      </c>
      <c r="AI7" s="1120" t="str">
        <f t="shared" si="0"/>
        <v>财务费用</v>
      </c>
      <c r="AJ7" s="1120" t="str">
        <f t="shared" si="0"/>
        <v>其他成本</v>
      </c>
      <c r="AK7" s="1120" t="str">
        <f>AB7</f>
        <v>跌价准备</v>
      </c>
      <c r="AL7" s="1131" t="s">
        <v>3092</v>
      </c>
      <c r="AM7" s="1120" t="s">
        <v>3093</v>
      </c>
      <c r="AN7" s="1120" t="s">
        <v>3094</v>
      </c>
      <c r="AO7" s="1120" t="s">
        <v>3095</v>
      </c>
      <c r="AP7" s="1120" t="s">
        <v>3096</v>
      </c>
      <c r="AQ7" s="1120" t="s">
        <v>3097</v>
      </c>
      <c r="AR7" s="1120" t="s">
        <v>3098</v>
      </c>
      <c r="AS7" s="1120" t="s">
        <v>3099</v>
      </c>
      <c r="AT7" s="1126" t="s">
        <v>3100</v>
      </c>
      <c r="AU7" s="1120" t="s">
        <v>2177</v>
      </c>
      <c r="AV7" s="1126"/>
      <c r="AW7" s="1127"/>
      <c r="AX7" s="1126"/>
      <c r="AY7" s="1128"/>
      <c r="AZ7" s="1128"/>
      <c r="BA7" s="100" t="s">
        <v>1545</v>
      </c>
      <c r="BB7" s="100" t="s">
        <v>1635</v>
      </c>
      <c r="BC7" s="100" t="s">
        <v>1636</v>
      </c>
      <c r="BD7" s="100" t="s">
        <v>1637</v>
      </c>
      <c r="BE7" s="100" t="s">
        <v>1638</v>
      </c>
      <c r="BF7" s="197"/>
      <c r="BG7" s="197"/>
      <c r="BH7" s="113"/>
      <c r="BI7" s="113"/>
      <c r="BJ7" s="118"/>
      <c r="BK7" s="118"/>
      <c r="BL7" s="118"/>
      <c r="BM7" s="113"/>
      <c r="BN7" s="1130"/>
      <c r="BO7" s="119"/>
      <c r="BP7" s="120" t="s">
        <v>1645</v>
      </c>
      <c r="BQ7" s="121" t="s">
        <v>1646</v>
      </c>
      <c r="BR7" s="121" t="s">
        <v>1647</v>
      </c>
      <c r="BS7" s="121" t="s">
        <v>1648</v>
      </c>
      <c r="BT7" s="121" t="s">
        <v>1647</v>
      </c>
      <c r="BU7" s="121" t="s">
        <v>1647</v>
      </c>
      <c r="BV7" s="121" t="s">
        <v>1649</v>
      </c>
      <c r="BW7" s="122" t="s">
        <v>1650</v>
      </c>
    </row>
    <row r="8" customHeight="1" spans="1:75">
      <c r="A8" s="1132" t="str">
        <f>IF(B8="","",COUNT(A$7:A7)+1)</f>
        <v/>
      </c>
      <c r="B8" s="1133"/>
      <c r="C8" s="1134"/>
      <c r="D8" s="1134"/>
      <c r="E8" s="1134"/>
      <c r="F8" s="1134"/>
      <c r="G8" s="1134"/>
      <c r="H8" s="1134"/>
      <c r="I8" s="1133"/>
      <c r="J8" s="1133"/>
      <c r="K8" s="1133"/>
      <c r="L8" s="1133"/>
      <c r="M8" s="1135"/>
      <c r="N8" s="1133"/>
      <c r="O8" s="127"/>
      <c r="P8" s="127" t="str">
        <f>IFERROR(VLOOKUP(O8,参数表!$H$2:$I$50,2,FALSE),"")</f>
        <v/>
      </c>
      <c r="Q8" s="128" t="str">
        <f t="shared" ref="Q8:Q25" si="1">IFERROR(IF(OR(O8="人民币",O8=""),"",AT8/P8),"")</f>
        <v/>
      </c>
      <c r="R8" s="128" t="str">
        <f t="shared" ref="R8:R25" si="2">IFERROR(IF(OR(O8="人民币",O8=""),"",AU8/P8),"")</f>
        <v/>
      </c>
      <c r="S8" s="1136"/>
      <c r="T8" s="1136"/>
      <c r="U8" s="1136"/>
      <c r="V8" s="1136"/>
      <c r="W8" s="1136"/>
      <c r="X8" s="1136"/>
      <c r="Y8" s="1136"/>
      <c r="Z8" s="1136"/>
      <c r="AA8" s="1136" t="str">
        <f t="shared" ref="AA8:AA25" si="3">IF(B8="","",SUM(S8:Z8))</f>
        <v/>
      </c>
      <c r="AB8" s="1136"/>
      <c r="AC8" s="1136"/>
      <c r="AD8" s="1136"/>
      <c r="AE8" s="1136"/>
      <c r="AF8" s="1136"/>
      <c r="AG8" s="1136"/>
      <c r="AH8" s="1136"/>
      <c r="AI8" s="1136"/>
      <c r="AJ8" s="1136"/>
      <c r="AK8" s="1136"/>
      <c r="AL8" s="1136" t="str">
        <f t="shared" ref="AL8:AL25" si="4">IF(B8="","",S8+AC8)</f>
        <v/>
      </c>
      <c r="AM8" s="1136" t="str">
        <f t="shared" ref="AM8:AM25" si="5">IF(B8="","",T8+AD8)</f>
        <v/>
      </c>
      <c r="AN8" s="1136" t="str">
        <f t="shared" ref="AN8:AN25" si="6">IF(B8="","",U8+AE8)</f>
        <v/>
      </c>
      <c r="AO8" s="1136" t="str">
        <f t="shared" ref="AO8:AO25" si="7">IF(B8="","",V8+AF8)</f>
        <v/>
      </c>
      <c r="AP8" s="1136" t="str">
        <f t="shared" ref="AP8:AP25" si="8">IF(B8="","",W8+AG8)</f>
        <v/>
      </c>
      <c r="AQ8" s="1136" t="str">
        <f t="shared" ref="AQ8:AQ25" si="9">IF(B8="","",X8+AH8)</f>
        <v/>
      </c>
      <c r="AR8" s="1136" t="str">
        <f t="shared" ref="AR8:AR25" si="10">IF(B8="","",Y8+AI8)</f>
        <v/>
      </c>
      <c r="AS8" s="1136" t="str">
        <f t="shared" ref="AS8:AS25" si="11">IF(B8="","",Z8+AJ8)</f>
        <v/>
      </c>
      <c r="AT8" s="1136" t="str">
        <f t="shared" ref="AT8:AT25" si="12">IF(B8="","",SUM(AL8:AS8))</f>
        <v/>
      </c>
      <c r="AU8" s="1136" t="str">
        <f t="shared" ref="AU8:AU25" si="13">IF(B8="","",AB8+AK8)</f>
        <v/>
      </c>
      <c r="AV8" s="1136" t="str">
        <f t="shared" ref="AV8:AV25" si="14">IF(B8="","",IF(BB$3="是",BN8,""))</f>
        <v/>
      </c>
      <c r="AW8" s="1136" t="str">
        <f t="shared" ref="AW8:AW28" si="15">IFERROR((AV8-(AT8-AU8))/(AT8-AU8)*100,"")</f>
        <v/>
      </c>
      <c r="AX8" s="1133"/>
      <c r="AY8" s="1137"/>
      <c r="AZ8" s="1137"/>
      <c r="BA8" s="78"/>
      <c r="BB8" s="132" t="s">
        <v>3187</v>
      </c>
      <c r="BC8" s="133"/>
      <c r="BD8" s="132" t="str">
        <f>IF(OR(B8="",BC8=""),"",COUNTIF(BC$8:BC8,"√"))</f>
        <v/>
      </c>
      <c r="BE8" s="134" t="str">
        <f t="shared" ref="BE8:BE25" si="16">IF(BC8="","",BB8&amp;"︱"&amp;B8&amp;"︱"&amp;TEXT(AA8,"#,##0.00"))</f>
        <v/>
      </c>
      <c r="BF8" s="135" t="str">
        <f>IF($B8="","",IF(BF$5=0,"OK","出错"))</f>
        <v/>
      </c>
      <c r="BG8" s="135" t="str">
        <f>IF($B8="","",IF(BG$5=0,"OK","出错"))</f>
        <v/>
      </c>
      <c r="BH8" s="136"/>
      <c r="BI8" s="136"/>
      <c r="BJ8" s="136"/>
      <c r="BK8" s="136"/>
      <c r="BL8" s="137"/>
      <c r="BM8" s="137"/>
      <c r="BP8" s="134" t="str">
        <f>IF(COUNTIF(BP$7:BP7,B8)&gt;0,"",B8)&amp;""</f>
        <v/>
      </c>
      <c r="BQ8" s="138">
        <f>SUMIF(B$8:B$25,BP8,AT$8:AT$25)</f>
        <v>0</v>
      </c>
      <c r="BR8" s="132">
        <f>RANK(BQ8,BQ$8:BQ$25)</f>
        <v>1</v>
      </c>
      <c r="BS8" s="138">
        <f>SUMIF(B$8:B$25,BP8,AV$8:AV$25)</f>
        <v>0</v>
      </c>
      <c r="BT8" s="132">
        <f t="shared" ref="BT8:BT25" si="17">RANK(BS8,BS$8:BS$25)</f>
        <v>1</v>
      </c>
      <c r="BU8" s="138">
        <f>SUM(BQ8:BQ25)</f>
        <v>0</v>
      </c>
      <c r="BV8" s="138"/>
      <c r="BW8" s="138"/>
    </row>
    <row r="9" customHeight="1" spans="1:75">
      <c r="A9" s="1132" t="str">
        <f>IF(B9="","",COUNT(A$7:A8)+1)</f>
        <v/>
      </c>
      <c r="B9" s="1138"/>
      <c r="C9" s="1139"/>
      <c r="D9" s="1139"/>
      <c r="E9" s="1139"/>
      <c r="F9" s="1139"/>
      <c r="G9" s="1139"/>
      <c r="H9" s="1139"/>
      <c r="I9" s="1138"/>
      <c r="J9" s="1138"/>
      <c r="K9" s="1138"/>
      <c r="L9" s="1138"/>
      <c r="M9" s="1140"/>
      <c r="N9" s="1138"/>
      <c r="O9" s="142"/>
      <c r="P9" s="127" t="str">
        <f>IFERROR(VLOOKUP(O9,参数表!$H$2:$I$50,2,FALSE),"")</f>
        <v/>
      </c>
      <c r="Q9" s="128" t="str">
        <f t="shared" si="1"/>
        <v/>
      </c>
      <c r="R9" s="128" t="str">
        <f t="shared" si="2"/>
        <v/>
      </c>
      <c r="S9" s="1141"/>
      <c r="T9" s="1141"/>
      <c r="U9" s="1141"/>
      <c r="V9" s="1141"/>
      <c r="W9" s="1141"/>
      <c r="X9" s="1141"/>
      <c r="Y9" s="1141"/>
      <c r="Z9" s="1141"/>
      <c r="AA9" s="1136" t="str">
        <f t="shared" si="3"/>
        <v/>
      </c>
      <c r="AB9" s="1141"/>
      <c r="AC9" s="1141"/>
      <c r="AD9" s="1141"/>
      <c r="AE9" s="1141"/>
      <c r="AF9" s="1141"/>
      <c r="AG9" s="1141"/>
      <c r="AH9" s="1141"/>
      <c r="AI9" s="1141"/>
      <c r="AJ9" s="1141"/>
      <c r="AK9" s="1141"/>
      <c r="AL9" s="1136" t="str">
        <f t="shared" si="4"/>
        <v/>
      </c>
      <c r="AM9" s="1136" t="str">
        <f t="shared" si="5"/>
        <v/>
      </c>
      <c r="AN9" s="1136" t="str">
        <f t="shared" si="6"/>
        <v/>
      </c>
      <c r="AO9" s="1136" t="str">
        <f t="shared" si="7"/>
        <v/>
      </c>
      <c r="AP9" s="1136" t="str">
        <f t="shared" si="8"/>
        <v/>
      </c>
      <c r="AQ9" s="1136" t="str">
        <f t="shared" si="9"/>
        <v/>
      </c>
      <c r="AR9" s="1136" t="str">
        <f t="shared" si="10"/>
        <v/>
      </c>
      <c r="AS9" s="1136" t="str">
        <f t="shared" si="11"/>
        <v/>
      </c>
      <c r="AT9" s="1136" t="str">
        <f t="shared" si="12"/>
        <v/>
      </c>
      <c r="AU9" s="1136" t="str">
        <f t="shared" si="13"/>
        <v/>
      </c>
      <c r="AV9" s="1136" t="str">
        <f t="shared" si="14"/>
        <v/>
      </c>
      <c r="AW9" s="1136" t="str">
        <f t="shared" si="15"/>
        <v/>
      </c>
      <c r="AX9" s="1138"/>
      <c r="AY9" s="1137"/>
      <c r="AZ9" s="1137"/>
      <c r="BA9" s="78"/>
      <c r="BB9" s="132" t="s">
        <v>3188</v>
      </c>
      <c r="BC9" s="133"/>
      <c r="BD9" s="132" t="str">
        <f>IF(OR(B9="",BC9=""),"",COUNTIF(BC$8:BC9,"√"))</f>
        <v/>
      </c>
      <c r="BE9" s="134" t="str">
        <f t="shared" si="16"/>
        <v/>
      </c>
      <c r="BF9" s="135" t="str">
        <f t="shared" ref="BF9:BG25" si="18">IF($B9="","",IF(BF$5=0,"OK","出错"))</f>
        <v/>
      </c>
      <c r="BG9" s="135" t="str">
        <f t="shared" si="18"/>
        <v/>
      </c>
      <c r="BH9" s="136"/>
      <c r="BI9" s="136"/>
      <c r="BJ9" s="136"/>
      <c r="BK9" s="136"/>
      <c r="BL9" s="137"/>
      <c r="BM9" s="137"/>
      <c r="BP9" s="134" t="str">
        <f>IF(COUNTIF(BP$7:BP8,B9)&gt;0,"",B9)&amp;""</f>
        <v/>
      </c>
      <c r="BQ9" s="138">
        <f t="shared" ref="BQ9:BQ25" si="19">SUMIF(B$8:B$25,BP9,AT$8:AT$25)</f>
        <v>0</v>
      </c>
      <c r="BR9" s="132">
        <f t="shared" ref="BR9:BR25" si="20">RANK(BQ9,BQ$8:BQ$25)</f>
        <v>1</v>
      </c>
      <c r="BS9" s="138">
        <f t="shared" ref="BS9:BS25" si="21">SUMIF(B$8:B$25,BP9,AV$8:AV$25)</f>
        <v>0</v>
      </c>
      <c r="BT9" s="132">
        <f t="shared" si="17"/>
        <v>1</v>
      </c>
      <c r="BU9" s="138">
        <f>SUM(BS8:BS25)</f>
        <v>0</v>
      </c>
      <c r="BV9" s="138"/>
      <c r="BW9" s="138"/>
    </row>
    <row r="10" customHeight="1" spans="1:75">
      <c r="A10" s="1132" t="str">
        <f>IF(B10="","",COUNT(A$7:A9)+1)</f>
        <v/>
      </c>
      <c r="B10" s="1138"/>
      <c r="C10" s="1139"/>
      <c r="D10" s="1139"/>
      <c r="E10" s="1139"/>
      <c r="F10" s="1139"/>
      <c r="G10" s="1139"/>
      <c r="H10" s="1139"/>
      <c r="I10" s="1138"/>
      <c r="J10" s="1138"/>
      <c r="K10" s="1138"/>
      <c r="L10" s="1138"/>
      <c r="M10" s="1140"/>
      <c r="N10" s="1138"/>
      <c r="O10" s="142"/>
      <c r="P10" s="127" t="str">
        <f>IFERROR(VLOOKUP(O10,参数表!$H$2:$I$50,2,FALSE),"")</f>
        <v/>
      </c>
      <c r="Q10" s="128" t="str">
        <f t="shared" si="1"/>
        <v/>
      </c>
      <c r="R10" s="128" t="str">
        <f t="shared" si="2"/>
        <v/>
      </c>
      <c r="S10" s="1141"/>
      <c r="T10" s="1141"/>
      <c r="U10" s="1141"/>
      <c r="V10" s="1141"/>
      <c r="W10" s="1141"/>
      <c r="X10" s="1141"/>
      <c r="Y10" s="1141"/>
      <c r="Z10" s="1141"/>
      <c r="AA10" s="1136" t="str">
        <f t="shared" si="3"/>
        <v/>
      </c>
      <c r="AB10" s="1141"/>
      <c r="AC10" s="1141"/>
      <c r="AD10" s="1141"/>
      <c r="AE10" s="1141"/>
      <c r="AF10" s="1141"/>
      <c r="AG10" s="1141"/>
      <c r="AH10" s="1141"/>
      <c r="AI10" s="1141"/>
      <c r="AJ10" s="1141"/>
      <c r="AK10" s="1141"/>
      <c r="AL10" s="1136" t="str">
        <f t="shared" si="4"/>
        <v/>
      </c>
      <c r="AM10" s="1136" t="str">
        <f t="shared" si="5"/>
        <v/>
      </c>
      <c r="AN10" s="1136" t="str">
        <f t="shared" si="6"/>
        <v/>
      </c>
      <c r="AO10" s="1136" t="str">
        <f t="shared" si="7"/>
        <v/>
      </c>
      <c r="AP10" s="1136" t="str">
        <f t="shared" si="8"/>
        <v/>
      </c>
      <c r="AQ10" s="1136" t="str">
        <f t="shared" si="9"/>
        <v/>
      </c>
      <c r="AR10" s="1136" t="str">
        <f t="shared" si="10"/>
        <v/>
      </c>
      <c r="AS10" s="1136" t="str">
        <f t="shared" si="11"/>
        <v/>
      </c>
      <c r="AT10" s="1136" t="str">
        <f t="shared" si="12"/>
        <v/>
      </c>
      <c r="AU10" s="1136" t="str">
        <f t="shared" si="13"/>
        <v/>
      </c>
      <c r="AV10" s="1136" t="str">
        <f t="shared" si="14"/>
        <v/>
      </c>
      <c r="AW10" s="1136" t="str">
        <f t="shared" si="15"/>
        <v/>
      </c>
      <c r="AX10" s="1138"/>
      <c r="AY10" s="1137"/>
      <c r="AZ10" s="1137"/>
      <c r="BA10" s="78"/>
      <c r="BB10" s="132" t="s">
        <v>3189</v>
      </c>
      <c r="BC10" s="133"/>
      <c r="BD10" s="132" t="str">
        <f>IF(OR(B10="",BC10=""),"",COUNTIF(BC$8:BC10,"√"))</f>
        <v/>
      </c>
      <c r="BE10" s="134" t="str">
        <f t="shared" si="16"/>
        <v/>
      </c>
      <c r="BF10" s="135" t="str">
        <f t="shared" si="18"/>
        <v/>
      </c>
      <c r="BG10" s="135" t="str">
        <f t="shared" si="18"/>
        <v/>
      </c>
      <c r="BH10" s="136"/>
      <c r="BI10" s="136"/>
      <c r="BJ10" s="136"/>
      <c r="BK10" s="136"/>
      <c r="BL10" s="137"/>
      <c r="BM10" s="137"/>
      <c r="BP10" s="134" t="str">
        <f>IF(COUNTIF(BP$7:BP9,B10)&gt;0,"",B10)&amp;""</f>
        <v/>
      </c>
      <c r="BQ10" s="138">
        <f t="shared" si="19"/>
        <v>0</v>
      </c>
      <c r="BR10" s="132">
        <f t="shared" si="20"/>
        <v>1</v>
      </c>
      <c r="BS10" s="138">
        <f t="shared" si="21"/>
        <v>0</v>
      </c>
      <c r="BT10" s="132">
        <f t="shared" si="17"/>
        <v>1</v>
      </c>
      <c r="BU10" s="132">
        <v>1</v>
      </c>
      <c r="BV10" s="134" t="str">
        <f>IFERROR(INDEX(BP$8:BP$25,MATCH(BU10,IF(BU$8=0,BT$8:BT$25,BR$8:BR$25),0))&amp;"","")</f>
        <v/>
      </c>
      <c r="BW10" s="146" t="str">
        <f>IF(BV11="","",IF(BV12="","和","、"))</f>
        <v/>
      </c>
    </row>
    <row r="11" customHeight="1" spans="1:75">
      <c r="A11" s="1132" t="str">
        <f>IF(B11="","",COUNT(A$7:A10)+1)</f>
        <v/>
      </c>
      <c r="B11" s="1138"/>
      <c r="C11" s="1139"/>
      <c r="D11" s="1139"/>
      <c r="E11" s="1139"/>
      <c r="F11" s="1139"/>
      <c r="G11" s="1139"/>
      <c r="H11" s="1139"/>
      <c r="I11" s="1138"/>
      <c r="J11" s="1138"/>
      <c r="K11" s="1138"/>
      <c r="L11" s="1138"/>
      <c r="M11" s="1140"/>
      <c r="N11" s="1138"/>
      <c r="O11" s="142"/>
      <c r="P11" s="127" t="str">
        <f>IFERROR(VLOOKUP(O11,参数表!$H$2:$I$50,2,FALSE),"")</f>
        <v/>
      </c>
      <c r="Q11" s="128" t="str">
        <f t="shared" si="1"/>
        <v/>
      </c>
      <c r="R11" s="128" t="str">
        <f t="shared" si="2"/>
        <v/>
      </c>
      <c r="S11" s="1141"/>
      <c r="T11" s="1141"/>
      <c r="U11" s="1141"/>
      <c r="V11" s="1141"/>
      <c r="W11" s="1141"/>
      <c r="X11" s="1141"/>
      <c r="Y11" s="1141"/>
      <c r="Z11" s="1141"/>
      <c r="AA11" s="1136" t="str">
        <f t="shared" si="3"/>
        <v/>
      </c>
      <c r="AB11" s="1141"/>
      <c r="AC11" s="1141"/>
      <c r="AD11" s="1141"/>
      <c r="AE11" s="1141"/>
      <c r="AF11" s="1141"/>
      <c r="AG11" s="1141"/>
      <c r="AH11" s="1141"/>
      <c r="AI11" s="1141"/>
      <c r="AJ11" s="1141"/>
      <c r="AK11" s="1141"/>
      <c r="AL11" s="1136" t="str">
        <f t="shared" si="4"/>
        <v/>
      </c>
      <c r="AM11" s="1136" t="str">
        <f t="shared" si="5"/>
        <v/>
      </c>
      <c r="AN11" s="1136" t="str">
        <f t="shared" si="6"/>
        <v/>
      </c>
      <c r="AO11" s="1136" t="str">
        <f t="shared" si="7"/>
        <v/>
      </c>
      <c r="AP11" s="1136" t="str">
        <f t="shared" si="8"/>
        <v/>
      </c>
      <c r="AQ11" s="1136" t="str">
        <f t="shared" si="9"/>
        <v/>
      </c>
      <c r="AR11" s="1136" t="str">
        <f t="shared" si="10"/>
        <v/>
      </c>
      <c r="AS11" s="1136" t="str">
        <f t="shared" si="11"/>
        <v/>
      </c>
      <c r="AT11" s="1136" t="str">
        <f t="shared" si="12"/>
        <v/>
      </c>
      <c r="AU11" s="1136" t="str">
        <f t="shared" si="13"/>
        <v/>
      </c>
      <c r="AV11" s="1136" t="str">
        <f t="shared" si="14"/>
        <v/>
      </c>
      <c r="AW11" s="1136" t="str">
        <f t="shared" si="15"/>
        <v/>
      </c>
      <c r="AX11" s="1138"/>
      <c r="AY11" s="1137"/>
      <c r="AZ11" s="1137"/>
      <c r="BA11" s="78"/>
      <c r="BB11" s="132" t="s">
        <v>3190</v>
      </c>
      <c r="BC11" s="133"/>
      <c r="BD11" s="132" t="str">
        <f>IF(OR(B11="",BC11=""),"",COUNTIF(BC$8:BC11,"√"))</f>
        <v/>
      </c>
      <c r="BE11" s="134" t="str">
        <f t="shared" si="16"/>
        <v/>
      </c>
      <c r="BF11" s="135" t="str">
        <f t="shared" si="18"/>
        <v/>
      </c>
      <c r="BG11" s="135" t="str">
        <f t="shared" si="18"/>
        <v/>
      </c>
      <c r="BH11" s="136"/>
      <c r="BI11" s="136"/>
      <c r="BJ11" s="136"/>
      <c r="BK11" s="136"/>
      <c r="BL11" s="137"/>
      <c r="BM11" s="137"/>
      <c r="BP11" s="134" t="str">
        <f>IF(COUNTIF(BP$7:BP10,B11)&gt;0,"",B11)&amp;""</f>
        <v/>
      </c>
      <c r="BQ11" s="138">
        <f t="shared" si="19"/>
        <v>0</v>
      </c>
      <c r="BR11" s="132">
        <f t="shared" si="20"/>
        <v>1</v>
      </c>
      <c r="BS11" s="138">
        <f t="shared" si="21"/>
        <v>0</v>
      </c>
      <c r="BT11" s="132">
        <f t="shared" si="17"/>
        <v>1</v>
      </c>
      <c r="BU11" s="132">
        <v>2</v>
      </c>
      <c r="BV11" s="134" t="str">
        <f>IFERROR(INDEX(BP$8:BP$25,MATCH(BU11,IF(BU$8=0,BT$8:BT$25,BR$8:BR$25),0))&amp;"","")</f>
        <v/>
      </c>
      <c r="BW11" s="146" t="str">
        <f t="shared" ref="BW11:BW12" si="22">IF(BV12="","",IF(BV13="","和","、"))</f>
        <v/>
      </c>
    </row>
    <row r="12" customHeight="1" spans="1:75">
      <c r="A12" s="1132" t="str">
        <f>IF(B12="","",COUNT(A$7:A11)+1)</f>
        <v/>
      </c>
      <c r="B12" s="1138"/>
      <c r="C12" s="1139"/>
      <c r="D12" s="1139"/>
      <c r="E12" s="1139"/>
      <c r="F12" s="1139"/>
      <c r="G12" s="1139"/>
      <c r="H12" s="1139"/>
      <c r="I12" s="1138"/>
      <c r="J12" s="1138"/>
      <c r="K12" s="1138"/>
      <c r="L12" s="1138"/>
      <c r="M12" s="1140"/>
      <c r="N12" s="1138"/>
      <c r="O12" s="142"/>
      <c r="P12" s="127" t="str">
        <f>IFERROR(VLOOKUP(O12,参数表!$H$2:$I$50,2,FALSE),"")</f>
        <v/>
      </c>
      <c r="Q12" s="128" t="str">
        <f t="shared" si="1"/>
        <v/>
      </c>
      <c r="R12" s="128" t="str">
        <f t="shared" si="2"/>
        <v/>
      </c>
      <c r="S12" s="1141"/>
      <c r="T12" s="1141"/>
      <c r="U12" s="1141"/>
      <c r="V12" s="1141"/>
      <c r="W12" s="1141"/>
      <c r="X12" s="1141"/>
      <c r="Y12" s="1141"/>
      <c r="Z12" s="1141"/>
      <c r="AA12" s="1136" t="str">
        <f t="shared" si="3"/>
        <v/>
      </c>
      <c r="AB12" s="1141"/>
      <c r="AC12" s="1141"/>
      <c r="AD12" s="1141"/>
      <c r="AE12" s="1141"/>
      <c r="AF12" s="1141"/>
      <c r="AG12" s="1141"/>
      <c r="AH12" s="1141"/>
      <c r="AI12" s="1141"/>
      <c r="AJ12" s="1141"/>
      <c r="AK12" s="1141"/>
      <c r="AL12" s="1136" t="str">
        <f t="shared" si="4"/>
        <v/>
      </c>
      <c r="AM12" s="1136" t="str">
        <f t="shared" si="5"/>
        <v/>
      </c>
      <c r="AN12" s="1136" t="str">
        <f t="shared" si="6"/>
        <v/>
      </c>
      <c r="AO12" s="1136" t="str">
        <f t="shared" si="7"/>
        <v/>
      </c>
      <c r="AP12" s="1136" t="str">
        <f t="shared" si="8"/>
        <v/>
      </c>
      <c r="AQ12" s="1136" t="str">
        <f t="shared" si="9"/>
        <v/>
      </c>
      <c r="AR12" s="1136" t="str">
        <f t="shared" si="10"/>
        <v/>
      </c>
      <c r="AS12" s="1136" t="str">
        <f t="shared" si="11"/>
        <v/>
      </c>
      <c r="AT12" s="1136" t="str">
        <f t="shared" si="12"/>
        <v/>
      </c>
      <c r="AU12" s="1136" t="str">
        <f t="shared" si="13"/>
        <v/>
      </c>
      <c r="AV12" s="1136" t="str">
        <f t="shared" si="14"/>
        <v/>
      </c>
      <c r="AW12" s="1136" t="str">
        <f t="shared" si="15"/>
        <v/>
      </c>
      <c r="AX12" s="1138"/>
      <c r="AY12" s="1137"/>
      <c r="AZ12" s="1137"/>
      <c r="BA12" s="78"/>
      <c r="BB12" s="132" t="s">
        <v>3191</v>
      </c>
      <c r="BC12" s="133"/>
      <c r="BD12" s="132" t="str">
        <f>IF(OR(B12="",BC12=""),"",COUNTIF(BC$8:BC12,"√"))</f>
        <v/>
      </c>
      <c r="BE12" s="134" t="str">
        <f t="shared" si="16"/>
        <v/>
      </c>
      <c r="BF12" s="135" t="str">
        <f t="shared" si="18"/>
        <v/>
      </c>
      <c r="BG12" s="135" t="str">
        <f t="shared" si="18"/>
        <v/>
      </c>
      <c r="BH12" s="136"/>
      <c r="BI12" s="136"/>
      <c r="BJ12" s="136"/>
      <c r="BK12" s="136"/>
      <c r="BL12" s="137"/>
      <c r="BM12" s="137"/>
      <c r="BP12" s="134" t="str">
        <f>IF(COUNTIF(BP$7:BP11,B12)&gt;0,"",B12)&amp;""</f>
        <v/>
      </c>
      <c r="BQ12" s="138">
        <f t="shared" si="19"/>
        <v>0</v>
      </c>
      <c r="BR12" s="132">
        <f t="shared" si="20"/>
        <v>1</v>
      </c>
      <c r="BS12" s="138">
        <f t="shared" si="21"/>
        <v>0</v>
      </c>
      <c r="BT12" s="132">
        <f t="shared" si="17"/>
        <v>1</v>
      </c>
      <c r="BU12" s="132">
        <v>3</v>
      </c>
      <c r="BV12" s="134" t="str">
        <f>IFERROR(INDEX(BP$8:BP$25,MATCH(BU12,IF(BU$8=0,BT$8:BT$25,BR$8:BR$25),0))&amp;"","")</f>
        <v/>
      </c>
      <c r="BW12" s="146" t="str">
        <f t="shared" si="22"/>
        <v/>
      </c>
    </row>
    <row r="13" customHeight="1" spans="1:75">
      <c r="A13" s="1132" t="str">
        <f>IF(B13="","",COUNT(A$7:A12)+1)</f>
        <v/>
      </c>
      <c r="B13" s="1138"/>
      <c r="C13" s="1139"/>
      <c r="D13" s="1139"/>
      <c r="E13" s="1139"/>
      <c r="F13" s="1139"/>
      <c r="G13" s="1139"/>
      <c r="H13" s="1139"/>
      <c r="I13" s="1138"/>
      <c r="J13" s="1138"/>
      <c r="K13" s="1138"/>
      <c r="L13" s="1138"/>
      <c r="M13" s="1140"/>
      <c r="N13" s="1138"/>
      <c r="O13" s="142"/>
      <c r="P13" s="127" t="str">
        <f>IFERROR(VLOOKUP(O13,参数表!$H$2:$I$50,2,FALSE),"")</f>
        <v/>
      </c>
      <c r="Q13" s="128" t="str">
        <f t="shared" si="1"/>
        <v/>
      </c>
      <c r="R13" s="128" t="str">
        <f t="shared" si="2"/>
        <v/>
      </c>
      <c r="S13" s="1141"/>
      <c r="T13" s="1141"/>
      <c r="U13" s="1141"/>
      <c r="V13" s="1141"/>
      <c r="W13" s="1141"/>
      <c r="X13" s="1141"/>
      <c r="Y13" s="1141"/>
      <c r="Z13" s="1141"/>
      <c r="AA13" s="1136" t="str">
        <f t="shared" si="3"/>
        <v/>
      </c>
      <c r="AB13" s="1141"/>
      <c r="AC13" s="1141"/>
      <c r="AD13" s="1141"/>
      <c r="AE13" s="1141"/>
      <c r="AF13" s="1141"/>
      <c r="AG13" s="1141"/>
      <c r="AH13" s="1141"/>
      <c r="AI13" s="1141"/>
      <c r="AJ13" s="1141"/>
      <c r="AK13" s="1141"/>
      <c r="AL13" s="1136" t="str">
        <f t="shared" si="4"/>
        <v/>
      </c>
      <c r="AM13" s="1136" t="str">
        <f t="shared" si="5"/>
        <v/>
      </c>
      <c r="AN13" s="1136" t="str">
        <f t="shared" si="6"/>
        <v/>
      </c>
      <c r="AO13" s="1136" t="str">
        <f t="shared" si="7"/>
        <v/>
      </c>
      <c r="AP13" s="1136" t="str">
        <f t="shared" si="8"/>
        <v/>
      </c>
      <c r="AQ13" s="1136" t="str">
        <f t="shared" si="9"/>
        <v/>
      </c>
      <c r="AR13" s="1136" t="str">
        <f t="shared" si="10"/>
        <v/>
      </c>
      <c r="AS13" s="1136" t="str">
        <f t="shared" si="11"/>
        <v/>
      </c>
      <c r="AT13" s="1136" t="str">
        <f t="shared" si="12"/>
        <v/>
      </c>
      <c r="AU13" s="1136" t="str">
        <f t="shared" si="13"/>
        <v/>
      </c>
      <c r="AV13" s="1136" t="str">
        <f t="shared" si="14"/>
        <v/>
      </c>
      <c r="AW13" s="1136" t="str">
        <f t="shared" si="15"/>
        <v/>
      </c>
      <c r="AX13" s="1138"/>
      <c r="AY13" s="1137"/>
      <c r="AZ13" s="1137"/>
      <c r="BA13" s="78"/>
      <c r="BB13" s="132" t="s">
        <v>3192</v>
      </c>
      <c r="BC13" s="133"/>
      <c r="BD13" s="132" t="str">
        <f>IF(OR(B13="",BC13=""),"",COUNTIF(BC$8:BC13,"√"))</f>
        <v/>
      </c>
      <c r="BE13" s="134" t="str">
        <f t="shared" si="16"/>
        <v/>
      </c>
      <c r="BF13" s="135" t="str">
        <f t="shared" si="18"/>
        <v/>
      </c>
      <c r="BG13" s="135" t="str">
        <f t="shared" si="18"/>
        <v/>
      </c>
      <c r="BH13" s="136"/>
      <c r="BI13" s="136"/>
      <c r="BJ13" s="136"/>
      <c r="BK13" s="136"/>
      <c r="BL13" s="137"/>
      <c r="BM13" s="137"/>
      <c r="BP13" s="134" t="str">
        <f>IF(COUNTIF(BP$7:BP12,B13)&gt;0,"",B13)&amp;""</f>
        <v/>
      </c>
      <c r="BQ13" s="138">
        <f t="shared" si="19"/>
        <v>0</v>
      </c>
      <c r="BR13" s="132">
        <f t="shared" si="20"/>
        <v>1</v>
      </c>
      <c r="BS13" s="138">
        <f t="shared" si="21"/>
        <v>0</v>
      </c>
      <c r="BT13" s="132">
        <f t="shared" si="17"/>
        <v>1</v>
      </c>
      <c r="BU13" s="132">
        <v>4</v>
      </c>
      <c r="BV13" s="134" t="str">
        <f>IFERROR(INDEX(BP$8:BP$25,MATCH(BU13,IF(BU$8=0,BT$8:BT$25,BR$8:BR$25),0))&amp;"","")</f>
        <v/>
      </c>
      <c r="BW13" s="146" t="str">
        <f>IF(BV14="","","和")</f>
        <v/>
      </c>
    </row>
    <row r="14" customHeight="1" spans="1:75">
      <c r="A14" s="1132" t="str">
        <f>IF(B14="","",COUNT(A$7:A13)+1)</f>
        <v/>
      </c>
      <c r="B14" s="1138"/>
      <c r="C14" s="1139"/>
      <c r="D14" s="1139"/>
      <c r="E14" s="1139"/>
      <c r="F14" s="1139"/>
      <c r="G14" s="1139"/>
      <c r="H14" s="1139"/>
      <c r="I14" s="1138"/>
      <c r="J14" s="1138"/>
      <c r="K14" s="1138"/>
      <c r="L14" s="1138"/>
      <c r="M14" s="1140"/>
      <c r="N14" s="1138"/>
      <c r="O14" s="142"/>
      <c r="P14" s="127" t="str">
        <f>IFERROR(VLOOKUP(O14,参数表!$H$2:$I$50,2,FALSE),"")</f>
        <v/>
      </c>
      <c r="Q14" s="128" t="str">
        <f t="shared" si="1"/>
        <v/>
      </c>
      <c r="R14" s="128" t="str">
        <f t="shared" si="2"/>
        <v/>
      </c>
      <c r="S14" s="1141"/>
      <c r="T14" s="1141"/>
      <c r="U14" s="1141"/>
      <c r="V14" s="1141"/>
      <c r="W14" s="1141"/>
      <c r="X14" s="1141"/>
      <c r="Y14" s="1141"/>
      <c r="Z14" s="1141"/>
      <c r="AA14" s="1136" t="str">
        <f t="shared" si="3"/>
        <v/>
      </c>
      <c r="AB14" s="1141"/>
      <c r="AC14" s="1141"/>
      <c r="AD14" s="1141"/>
      <c r="AE14" s="1141"/>
      <c r="AF14" s="1141"/>
      <c r="AG14" s="1141"/>
      <c r="AH14" s="1141"/>
      <c r="AI14" s="1141"/>
      <c r="AJ14" s="1141"/>
      <c r="AK14" s="1141"/>
      <c r="AL14" s="1136" t="str">
        <f t="shared" si="4"/>
        <v/>
      </c>
      <c r="AM14" s="1136" t="str">
        <f t="shared" si="5"/>
        <v/>
      </c>
      <c r="AN14" s="1136" t="str">
        <f t="shared" si="6"/>
        <v/>
      </c>
      <c r="AO14" s="1136" t="str">
        <f t="shared" si="7"/>
        <v/>
      </c>
      <c r="AP14" s="1136" t="str">
        <f t="shared" si="8"/>
        <v/>
      </c>
      <c r="AQ14" s="1136" t="str">
        <f t="shared" si="9"/>
        <v/>
      </c>
      <c r="AR14" s="1136" t="str">
        <f t="shared" si="10"/>
        <v/>
      </c>
      <c r="AS14" s="1136" t="str">
        <f t="shared" si="11"/>
        <v/>
      </c>
      <c r="AT14" s="1136" t="str">
        <f t="shared" si="12"/>
        <v/>
      </c>
      <c r="AU14" s="1136" t="str">
        <f t="shared" si="13"/>
        <v/>
      </c>
      <c r="AV14" s="1136" t="str">
        <f t="shared" si="14"/>
        <v/>
      </c>
      <c r="AW14" s="1136" t="str">
        <f t="shared" si="15"/>
        <v/>
      </c>
      <c r="AX14" s="1138"/>
      <c r="AY14" s="1137"/>
      <c r="AZ14" s="1137"/>
      <c r="BA14" s="78"/>
      <c r="BB14" s="132" t="s">
        <v>3193</v>
      </c>
      <c r="BC14" s="133"/>
      <c r="BD14" s="132" t="str">
        <f>IF(OR(B14="",BC14=""),"",COUNTIF(BC$8:BC14,"√"))</f>
        <v/>
      </c>
      <c r="BE14" s="134" t="str">
        <f t="shared" si="16"/>
        <v/>
      </c>
      <c r="BF14" s="135" t="str">
        <f t="shared" si="18"/>
        <v/>
      </c>
      <c r="BG14" s="135" t="str">
        <f t="shared" si="18"/>
        <v/>
      </c>
      <c r="BH14" s="136"/>
      <c r="BI14" s="136"/>
      <c r="BJ14" s="136"/>
      <c r="BK14" s="136"/>
      <c r="BL14" s="137"/>
      <c r="BM14" s="137"/>
      <c r="BP14" s="134" t="str">
        <f>IF(COUNTIF(BP$7:BP13,B14)&gt;0,"",B14)&amp;""</f>
        <v/>
      </c>
      <c r="BQ14" s="138">
        <f t="shared" si="19"/>
        <v>0</v>
      </c>
      <c r="BR14" s="132">
        <f t="shared" si="20"/>
        <v>1</v>
      </c>
      <c r="BS14" s="138">
        <f t="shared" si="21"/>
        <v>0</v>
      </c>
      <c r="BT14" s="132">
        <f t="shared" si="17"/>
        <v>1</v>
      </c>
      <c r="BU14" s="132">
        <v>5</v>
      </c>
      <c r="BV14" s="134" t="str">
        <f>IFERROR(INDEX(BP$8:BP$25,MATCH(BU14,IF(BU$8=0,BT$8:BT$25,BR$8:BR$25),0))&amp;"","")</f>
        <v/>
      </c>
      <c r="BW14" s="146"/>
    </row>
    <row r="15" customHeight="1" spans="1:75">
      <c r="A15" s="1132" t="str">
        <f>IF(B15="","",COUNT(A$7:A14)+1)</f>
        <v/>
      </c>
      <c r="B15" s="1138"/>
      <c r="C15" s="1139"/>
      <c r="D15" s="1139"/>
      <c r="E15" s="1139"/>
      <c r="F15" s="1139"/>
      <c r="G15" s="1139"/>
      <c r="H15" s="1139"/>
      <c r="I15" s="1138"/>
      <c r="J15" s="1138"/>
      <c r="K15" s="1138"/>
      <c r="L15" s="1138"/>
      <c r="M15" s="1140"/>
      <c r="N15" s="1138"/>
      <c r="O15" s="142"/>
      <c r="P15" s="127" t="str">
        <f>IFERROR(VLOOKUP(O15,参数表!$H$2:$I$50,2,FALSE),"")</f>
        <v/>
      </c>
      <c r="Q15" s="128" t="str">
        <f t="shared" si="1"/>
        <v/>
      </c>
      <c r="R15" s="128" t="str">
        <f t="shared" si="2"/>
        <v/>
      </c>
      <c r="S15" s="1141"/>
      <c r="T15" s="1141"/>
      <c r="U15" s="1141"/>
      <c r="V15" s="1141"/>
      <c r="W15" s="1141"/>
      <c r="X15" s="1141"/>
      <c r="Y15" s="1141"/>
      <c r="Z15" s="1141"/>
      <c r="AA15" s="1136" t="str">
        <f t="shared" si="3"/>
        <v/>
      </c>
      <c r="AB15" s="1141"/>
      <c r="AC15" s="1141"/>
      <c r="AD15" s="1141"/>
      <c r="AE15" s="1141"/>
      <c r="AF15" s="1141"/>
      <c r="AG15" s="1141"/>
      <c r="AH15" s="1141"/>
      <c r="AI15" s="1141"/>
      <c r="AJ15" s="1141"/>
      <c r="AK15" s="1141"/>
      <c r="AL15" s="1136" t="str">
        <f t="shared" si="4"/>
        <v/>
      </c>
      <c r="AM15" s="1136" t="str">
        <f t="shared" si="5"/>
        <v/>
      </c>
      <c r="AN15" s="1136" t="str">
        <f t="shared" si="6"/>
        <v/>
      </c>
      <c r="AO15" s="1136" t="str">
        <f t="shared" si="7"/>
        <v/>
      </c>
      <c r="AP15" s="1136" t="str">
        <f t="shared" si="8"/>
        <v/>
      </c>
      <c r="AQ15" s="1136" t="str">
        <f t="shared" si="9"/>
        <v/>
      </c>
      <c r="AR15" s="1136" t="str">
        <f t="shared" si="10"/>
        <v/>
      </c>
      <c r="AS15" s="1136" t="str">
        <f t="shared" si="11"/>
        <v/>
      </c>
      <c r="AT15" s="1136" t="str">
        <f t="shared" si="12"/>
        <v/>
      </c>
      <c r="AU15" s="1136" t="str">
        <f t="shared" si="13"/>
        <v/>
      </c>
      <c r="AV15" s="1136" t="str">
        <f t="shared" si="14"/>
        <v/>
      </c>
      <c r="AW15" s="1136" t="str">
        <f t="shared" si="15"/>
        <v/>
      </c>
      <c r="AX15" s="1138"/>
      <c r="AY15" s="1137"/>
      <c r="AZ15" s="1137"/>
      <c r="BA15" s="78"/>
      <c r="BB15" s="132" t="s">
        <v>3194</v>
      </c>
      <c r="BC15" s="133"/>
      <c r="BD15" s="132" t="str">
        <f>IF(OR(B15="",BC15=""),"",COUNTIF(BC$8:BC15,"√"))</f>
        <v/>
      </c>
      <c r="BE15" s="134" t="str">
        <f t="shared" si="16"/>
        <v/>
      </c>
      <c r="BF15" s="135" t="str">
        <f t="shared" si="18"/>
        <v/>
      </c>
      <c r="BG15" s="135" t="str">
        <f t="shared" si="18"/>
        <v/>
      </c>
      <c r="BH15" s="136"/>
      <c r="BI15" s="136"/>
      <c r="BJ15" s="136"/>
      <c r="BK15" s="136"/>
      <c r="BL15" s="137"/>
      <c r="BM15" s="137"/>
      <c r="BP15" s="134" t="str">
        <f>IF(COUNTIF(BP$7:BP14,B15)&gt;0,"",B15)&amp;""</f>
        <v/>
      </c>
      <c r="BQ15" s="138">
        <f t="shared" si="19"/>
        <v>0</v>
      </c>
      <c r="BR15" s="132">
        <f t="shared" si="20"/>
        <v>1</v>
      </c>
      <c r="BS15" s="138">
        <f t="shared" si="21"/>
        <v>0</v>
      </c>
      <c r="BT15" s="132">
        <f t="shared" si="17"/>
        <v>1</v>
      </c>
      <c r="BU15" s="147" t="s">
        <v>1659</v>
      </c>
      <c r="BV15" s="132" t="str">
        <f>CONCATENATE(BV10,BW10,BV11,BW11,BV12,BW12,BV13,BW13,BV14)</f>
        <v/>
      </c>
      <c r="BW15" s="132"/>
    </row>
    <row r="16" customHeight="1" spans="1:75">
      <c r="A16" s="1132" t="str">
        <f>IF(B16="","",COUNT(A$7:A15)+1)</f>
        <v/>
      </c>
      <c r="B16" s="1138"/>
      <c r="C16" s="1139"/>
      <c r="D16" s="1139"/>
      <c r="E16" s="1139"/>
      <c r="F16" s="1139"/>
      <c r="G16" s="1139"/>
      <c r="H16" s="1139"/>
      <c r="I16" s="1138"/>
      <c r="J16" s="1138"/>
      <c r="K16" s="1138"/>
      <c r="L16" s="1138"/>
      <c r="M16" s="1140"/>
      <c r="N16" s="1138"/>
      <c r="O16" s="142"/>
      <c r="P16" s="127" t="str">
        <f>IFERROR(VLOOKUP(O16,参数表!$H$2:$I$50,2,FALSE),"")</f>
        <v/>
      </c>
      <c r="Q16" s="128" t="str">
        <f t="shared" si="1"/>
        <v/>
      </c>
      <c r="R16" s="128" t="str">
        <f t="shared" si="2"/>
        <v/>
      </c>
      <c r="S16" s="1141"/>
      <c r="T16" s="1141"/>
      <c r="U16" s="1141"/>
      <c r="V16" s="1141"/>
      <c r="W16" s="1141"/>
      <c r="X16" s="1141"/>
      <c r="Y16" s="1141"/>
      <c r="Z16" s="1141"/>
      <c r="AA16" s="1136" t="str">
        <f t="shared" si="3"/>
        <v/>
      </c>
      <c r="AB16" s="1141"/>
      <c r="AC16" s="1141"/>
      <c r="AD16" s="1141"/>
      <c r="AE16" s="1141"/>
      <c r="AF16" s="1141"/>
      <c r="AG16" s="1141"/>
      <c r="AH16" s="1141"/>
      <c r="AI16" s="1141"/>
      <c r="AJ16" s="1141"/>
      <c r="AK16" s="1141"/>
      <c r="AL16" s="1136" t="str">
        <f t="shared" si="4"/>
        <v/>
      </c>
      <c r="AM16" s="1136" t="str">
        <f t="shared" si="5"/>
        <v/>
      </c>
      <c r="AN16" s="1136" t="str">
        <f t="shared" si="6"/>
        <v/>
      </c>
      <c r="AO16" s="1136" t="str">
        <f t="shared" si="7"/>
        <v/>
      </c>
      <c r="AP16" s="1136" t="str">
        <f t="shared" si="8"/>
        <v/>
      </c>
      <c r="AQ16" s="1136" t="str">
        <f t="shared" si="9"/>
        <v/>
      </c>
      <c r="AR16" s="1136" t="str">
        <f t="shared" si="10"/>
        <v/>
      </c>
      <c r="AS16" s="1136" t="str">
        <f t="shared" si="11"/>
        <v/>
      </c>
      <c r="AT16" s="1136" t="str">
        <f t="shared" si="12"/>
        <v/>
      </c>
      <c r="AU16" s="1136" t="str">
        <f t="shared" si="13"/>
        <v/>
      </c>
      <c r="AV16" s="1136" t="str">
        <f t="shared" si="14"/>
        <v/>
      </c>
      <c r="AW16" s="1136" t="str">
        <f t="shared" si="15"/>
        <v/>
      </c>
      <c r="AX16" s="1138"/>
      <c r="AY16" s="1137"/>
      <c r="AZ16" s="1137"/>
      <c r="BA16" s="78"/>
      <c r="BB16" s="132" t="s">
        <v>3195</v>
      </c>
      <c r="BC16" s="133"/>
      <c r="BD16" s="132" t="str">
        <f>IF(OR(B16="",BC16=""),"",COUNTIF(BC$8:BC16,"√"))</f>
        <v/>
      </c>
      <c r="BE16" s="134" t="str">
        <f t="shared" si="16"/>
        <v/>
      </c>
      <c r="BF16" s="135" t="str">
        <f t="shared" si="18"/>
        <v/>
      </c>
      <c r="BG16" s="135" t="str">
        <f t="shared" si="18"/>
        <v/>
      </c>
      <c r="BH16" s="136"/>
      <c r="BI16" s="136"/>
      <c r="BJ16" s="136"/>
      <c r="BK16" s="136"/>
      <c r="BL16" s="137"/>
      <c r="BM16" s="137"/>
      <c r="BP16" s="134" t="str">
        <f>IF(COUNTIF(BP$7:BP15,B16)&gt;0,"",B16)&amp;""</f>
        <v/>
      </c>
      <c r="BQ16" s="138">
        <f t="shared" si="19"/>
        <v>0</v>
      </c>
      <c r="BR16" s="132">
        <f t="shared" si="20"/>
        <v>1</v>
      </c>
      <c r="BS16" s="138">
        <f t="shared" si="21"/>
        <v>0</v>
      </c>
      <c r="BT16" s="132">
        <f t="shared" si="17"/>
        <v>1</v>
      </c>
      <c r="BU16" s="133"/>
      <c r="BV16" s="133"/>
    </row>
    <row r="17" customHeight="1" spans="1:75">
      <c r="A17" s="1132" t="str">
        <f>IF(B17="","",COUNT(A$7:A16)+1)</f>
        <v/>
      </c>
      <c r="B17" s="1138"/>
      <c r="C17" s="1139"/>
      <c r="D17" s="1139"/>
      <c r="E17" s="1139"/>
      <c r="F17" s="1139"/>
      <c r="G17" s="1139"/>
      <c r="H17" s="1139"/>
      <c r="I17" s="1138"/>
      <c r="J17" s="1138"/>
      <c r="K17" s="1138"/>
      <c r="L17" s="1138"/>
      <c r="M17" s="1140"/>
      <c r="N17" s="1138"/>
      <c r="O17" s="142"/>
      <c r="P17" s="127" t="str">
        <f>IFERROR(VLOOKUP(O17,参数表!$H$2:$I$50,2,FALSE),"")</f>
        <v/>
      </c>
      <c r="Q17" s="128" t="str">
        <f t="shared" si="1"/>
        <v/>
      </c>
      <c r="R17" s="128" t="str">
        <f t="shared" si="2"/>
        <v/>
      </c>
      <c r="S17" s="1141"/>
      <c r="T17" s="1141"/>
      <c r="U17" s="1141"/>
      <c r="V17" s="1141"/>
      <c r="W17" s="1141"/>
      <c r="X17" s="1141"/>
      <c r="Y17" s="1141"/>
      <c r="Z17" s="1141"/>
      <c r="AA17" s="1136" t="str">
        <f t="shared" si="3"/>
        <v/>
      </c>
      <c r="AB17" s="1141"/>
      <c r="AC17" s="1141"/>
      <c r="AD17" s="1141"/>
      <c r="AE17" s="1141"/>
      <c r="AF17" s="1141"/>
      <c r="AG17" s="1141"/>
      <c r="AH17" s="1141"/>
      <c r="AI17" s="1141"/>
      <c r="AJ17" s="1141"/>
      <c r="AK17" s="1141"/>
      <c r="AL17" s="1136" t="str">
        <f t="shared" si="4"/>
        <v/>
      </c>
      <c r="AM17" s="1136" t="str">
        <f t="shared" si="5"/>
        <v/>
      </c>
      <c r="AN17" s="1136" t="str">
        <f t="shared" si="6"/>
        <v/>
      </c>
      <c r="AO17" s="1136" t="str">
        <f t="shared" si="7"/>
        <v/>
      </c>
      <c r="AP17" s="1136" t="str">
        <f t="shared" si="8"/>
        <v/>
      </c>
      <c r="AQ17" s="1136" t="str">
        <f t="shared" si="9"/>
        <v/>
      </c>
      <c r="AR17" s="1136" t="str">
        <f t="shared" si="10"/>
        <v/>
      </c>
      <c r="AS17" s="1136" t="str">
        <f t="shared" si="11"/>
        <v/>
      </c>
      <c r="AT17" s="1136" t="str">
        <f t="shared" si="12"/>
        <v/>
      </c>
      <c r="AU17" s="1136" t="str">
        <f t="shared" si="13"/>
        <v/>
      </c>
      <c r="AV17" s="1136" t="str">
        <f t="shared" si="14"/>
        <v/>
      </c>
      <c r="AW17" s="1136" t="str">
        <f t="shared" si="15"/>
        <v/>
      </c>
      <c r="AX17" s="1138"/>
      <c r="AY17" s="1137"/>
      <c r="AZ17" s="1137"/>
      <c r="BA17" s="78"/>
      <c r="BB17" s="132" t="s">
        <v>3196</v>
      </c>
      <c r="BC17" s="133"/>
      <c r="BD17" s="132" t="str">
        <f>IF(OR(B17="",BC17=""),"",COUNTIF(BC$8:BC17,"√"))</f>
        <v/>
      </c>
      <c r="BE17" s="134" t="str">
        <f t="shared" si="16"/>
        <v/>
      </c>
      <c r="BF17" s="135" t="str">
        <f t="shared" si="18"/>
        <v/>
      </c>
      <c r="BG17" s="135" t="str">
        <f t="shared" si="18"/>
        <v/>
      </c>
      <c r="BH17" s="136"/>
      <c r="BI17" s="136"/>
      <c r="BJ17" s="136"/>
      <c r="BK17" s="136"/>
      <c r="BL17" s="137"/>
      <c r="BM17" s="137"/>
      <c r="BP17" s="134" t="str">
        <f>IF(COUNTIF(BP$7:BP16,B17)&gt;0,"",B17)&amp;""</f>
        <v/>
      </c>
      <c r="BQ17" s="138">
        <f t="shared" si="19"/>
        <v>0</v>
      </c>
      <c r="BR17" s="132">
        <f t="shared" si="20"/>
        <v>1</v>
      </c>
      <c r="BS17" s="138">
        <f t="shared" si="21"/>
        <v>0</v>
      </c>
      <c r="BT17" s="132">
        <f t="shared" si="17"/>
        <v>1</v>
      </c>
      <c r="BU17" s="133"/>
      <c r="BV17" s="148"/>
    </row>
    <row r="18" customHeight="1" spans="1:75">
      <c r="A18" s="1132" t="str">
        <f>IF(B18="","",COUNT(A$7:A17)+1)</f>
        <v/>
      </c>
      <c r="B18" s="1138"/>
      <c r="C18" s="1139"/>
      <c r="D18" s="1139"/>
      <c r="E18" s="1139"/>
      <c r="F18" s="1139"/>
      <c r="G18" s="1139"/>
      <c r="H18" s="1139"/>
      <c r="I18" s="1138"/>
      <c r="J18" s="1138"/>
      <c r="K18" s="1138"/>
      <c r="L18" s="1138"/>
      <c r="M18" s="1140"/>
      <c r="N18" s="1138"/>
      <c r="O18" s="142"/>
      <c r="P18" s="127" t="str">
        <f>IFERROR(VLOOKUP(O18,参数表!$H$2:$I$50,2,FALSE),"")</f>
        <v/>
      </c>
      <c r="Q18" s="128" t="str">
        <f t="shared" si="1"/>
        <v/>
      </c>
      <c r="R18" s="128" t="str">
        <f t="shared" si="2"/>
        <v/>
      </c>
      <c r="S18" s="1141"/>
      <c r="T18" s="1141"/>
      <c r="U18" s="1141"/>
      <c r="V18" s="1141"/>
      <c r="W18" s="1141"/>
      <c r="X18" s="1141"/>
      <c r="Y18" s="1141"/>
      <c r="Z18" s="1141"/>
      <c r="AA18" s="1136" t="str">
        <f t="shared" si="3"/>
        <v/>
      </c>
      <c r="AB18" s="1141"/>
      <c r="AC18" s="1141"/>
      <c r="AD18" s="1141"/>
      <c r="AE18" s="1141"/>
      <c r="AF18" s="1141"/>
      <c r="AG18" s="1141"/>
      <c r="AH18" s="1141"/>
      <c r="AI18" s="1141"/>
      <c r="AJ18" s="1141"/>
      <c r="AK18" s="1141"/>
      <c r="AL18" s="1136" t="str">
        <f t="shared" si="4"/>
        <v/>
      </c>
      <c r="AM18" s="1136" t="str">
        <f t="shared" si="5"/>
        <v/>
      </c>
      <c r="AN18" s="1136" t="str">
        <f t="shared" si="6"/>
        <v/>
      </c>
      <c r="AO18" s="1136" t="str">
        <f t="shared" si="7"/>
        <v/>
      </c>
      <c r="AP18" s="1136" t="str">
        <f t="shared" si="8"/>
        <v/>
      </c>
      <c r="AQ18" s="1136" t="str">
        <f t="shared" si="9"/>
        <v/>
      </c>
      <c r="AR18" s="1136" t="str">
        <f t="shared" si="10"/>
        <v/>
      </c>
      <c r="AS18" s="1136" t="str">
        <f t="shared" si="11"/>
        <v/>
      </c>
      <c r="AT18" s="1136" t="str">
        <f t="shared" si="12"/>
        <v/>
      </c>
      <c r="AU18" s="1136" t="str">
        <f t="shared" si="13"/>
        <v/>
      </c>
      <c r="AV18" s="1136" t="str">
        <f t="shared" si="14"/>
        <v/>
      </c>
      <c r="AW18" s="1136" t="str">
        <f t="shared" si="15"/>
        <v/>
      </c>
      <c r="AX18" s="1138"/>
      <c r="AY18" s="1137"/>
      <c r="AZ18" s="1137"/>
      <c r="BA18" s="78"/>
      <c r="BB18" s="132" t="s">
        <v>3197</v>
      </c>
      <c r="BC18" s="133"/>
      <c r="BD18" s="132" t="str">
        <f>IF(OR(B18="",BC18=""),"",COUNTIF(BC$8:BC18,"√"))</f>
        <v/>
      </c>
      <c r="BE18" s="134" t="str">
        <f t="shared" si="16"/>
        <v/>
      </c>
      <c r="BF18" s="135" t="str">
        <f t="shared" si="18"/>
        <v/>
      </c>
      <c r="BG18" s="135" t="str">
        <f t="shared" si="18"/>
        <v/>
      </c>
      <c r="BH18" s="136"/>
      <c r="BI18" s="136"/>
      <c r="BJ18" s="136"/>
      <c r="BK18" s="136"/>
      <c r="BL18" s="137"/>
      <c r="BM18" s="137"/>
      <c r="BP18" s="134" t="str">
        <f>IF(COUNTIF(BP$7:BP17,B18)&gt;0,"",B18)&amp;""</f>
        <v/>
      </c>
      <c r="BQ18" s="138">
        <f t="shared" si="19"/>
        <v>0</v>
      </c>
      <c r="BR18" s="132">
        <f t="shared" si="20"/>
        <v>1</v>
      </c>
      <c r="BS18" s="138">
        <f t="shared" si="21"/>
        <v>0</v>
      </c>
      <c r="BT18" s="132">
        <f t="shared" si="17"/>
        <v>1</v>
      </c>
      <c r="BU18" s="133"/>
      <c r="BV18" s="133"/>
    </row>
    <row r="19" customHeight="1" spans="1:75">
      <c r="A19" s="1132" t="str">
        <f>IF(B19="","",COUNT(A$7:A18)+1)</f>
        <v/>
      </c>
      <c r="B19" s="1138"/>
      <c r="C19" s="1139"/>
      <c r="D19" s="1139"/>
      <c r="E19" s="1139"/>
      <c r="F19" s="1139"/>
      <c r="G19" s="1139"/>
      <c r="H19" s="1139"/>
      <c r="I19" s="1138"/>
      <c r="J19" s="1138"/>
      <c r="K19" s="1138"/>
      <c r="L19" s="1138"/>
      <c r="M19" s="1140"/>
      <c r="N19" s="1138"/>
      <c r="O19" s="142"/>
      <c r="P19" s="127" t="str">
        <f>IFERROR(VLOOKUP(O19,参数表!$H$2:$I$50,2,FALSE),"")</f>
        <v/>
      </c>
      <c r="Q19" s="128" t="str">
        <f t="shared" si="1"/>
        <v/>
      </c>
      <c r="R19" s="128" t="str">
        <f t="shared" si="2"/>
        <v/>
      </c>
      <c r="S19" s="1141"/>
      <c r="T19" s="1141"/>
      <c r="U19" s="1141"/>
      <c r="V19" s="1141"/>
      <c r="W19" s="1141"/>
      <c r="X19" s="1141"/>
      <c r="Y19" s="1141"/>
      <c r="Z19" s="1141"/>
      <c r="AA19" s="1136" t="str">
        <f t="shared" si="3"/>
        <v/>
      </c>
      <c r="AB19" s="1141"/>
      <c r="AC19" s="1141"/>
      <c r="AD19" s="1141"/>
      <c r="AE19" s="1141"/>
      <c r="AF19" s="1141"/>
      <c r="AG19" s="1141"/>
      <c r="AH19" s="1141"/>
      <c r="AI19" s="1141"/>
      <c r="AJ19" s="1141"/>
      <c r="AK19" s="1141"/>
      <c r="AL19" s="1136" t="str">
        <f t="shared" si="4"/>
        <v/>
      </c>
      <c r="AM19" s="1136" t="str">
        <f t="shared" si="5"/>
        <v/>
      </c>
      <c r="AN19" s="1136" t="str">
        <f t="shared" si="6"/>
        <v/>
      </c>
      <c r="AO19" s="1136" t="str">
        <f t="shared" si="7"/>
        <v/>
      </c>
      <c r="AP19" s="1136" t="str">
        <f t="shared" si="8"/>
        <v/>
      </c>
      <c r="AQ19" s="1136" t="str">
        <f t="shared" si="9"/>
        <v/>
      </c>
      <c r="AR19" s="1136" t="str">
        <f t="shared" si="10"/>
        <v/>
      </c>
      <c r="AS19" s="1136" t="str">
        <f t="shared" si="11"/>
        <v/>
      </c>
      <c r="AT19" s="1136" t="str">
        <f t="shared" si="12"/>
        <v/>
      </c>
      <c r="AU19" s="1136" t="str">
        <f t="shared" si="13"/>
        <v/>
      </c>
      <c r="AV19" s="1136" t="str">
        <f t="shared" si="14"/>
        <v/>
      </c>
      <c r="AW19" s="1136" t="str">
        <f t="shared" si="15"/>
        <v/>
      </c>
      <c r="AX19" s="1138"/>
      <c r="AY19" s="1137"/>
      <c r="AZ19" s="1137"/>
      <c r="BA19" s="78"/>
      <c r="BB19" s="132" t="s">
        <v>3198</v>
      </c>
      <c r="BC19" s="133"/>
      <c r="BD19" s="132" t="str">
        <f>IF(OR(B19="",BC19=""),"",COUNTIF(BC$8:BC19,"√"))</f>
        <v/>
      </c>
      <c r="BE19" s="134" t="str">
        <f t="shared" si="16"/>
        <v/>
      </c>
      <c r="BF19" s="135" t="str">
        <f t="shared" si="18"/>
        <v/>
      </c>
      <c r="BG19" s="135" t="str">
        <f t="shared" si="18"/>
        <v/>
      </c>
      <c r="BH19" s="136"/>
      <c r="BI19" s="136"/>
      <c r="BJ19" s="136"/>
      <c r="BK19" s="136"/>
      <c r="BL19" s="137"/>
      <c r="BM19" s="137"/>
      <c r="BP19" s="134" t="str">
        <f>IF(COUNTIF(BP$7:BP18,B19)&gt;0,"",B19)&amp;""</f>
        <v/>
      </c>
      <c r="BQ19" s="138">
        <f t="shared" si="19"/>
        <v>0</v>
      </c>
      <c r="BR19" s="132">
        <f t="shared" si="20"/>
        <v>1</v>
      </c>
      <c r="BS19" s="138">
        <f t="shared" si="21"/>
        <v>0</v>
      </c>
      <c r="BT19" s="132">
        <f t="shared" si="17"/>
        <v>1</v>
      </c>
      <c r="BU19" s="133"/>
      <c r="BV19" s="133"/>
    </row>
    <row r="20" customHeight="1" spans="1:75">
      <c r="A20" s="1132" t="str">
        <f>IF(B20="","",COUNT(A$7:A19)+1)</f>
        <v/>
      </c>
      <c r="B20" s="1138"/>
      <c r="C20" s="1139"/>
      <c r="D20" s="1139"/>
      <c r="E20" s="1139"/>
      <c r="F20" s="1139"/>
      <c r="G20" s="1139"/>
      <c r="H20" s="1139"/>
      <c r="I20" s="1138"/>
      <c r="J20" s="1138"/>
      <c r="K20" s="1138"/>
      <c r="L20" s="1138"/>
      <c r="M20" s="1140"/>
      <c r="N20" s="1138"/>
      <c r="O20" s="142"/>
      <c r="P20" s="127" t="str">
        <f>IFERROR(VLOOKUP(O20,参数表!$H$2:$I$50,2,FALSE),"")</f>
        <v/>
      </c>
      <c r="Q20" s="128" t="str">
        <f t="shared" si="1"/>
        <v/>
      </c>
      <c r="R20" s="128" t="str">
        <f t="shared" si="2"/>
        <v/>
      </c>
      <c r="S20" s="1141"/>
      <c r="T20" s="1141"/>
      <c r="U20" s="1141"/>
      <c r="V20" s="1141"/>
      <c r="W20" s="1141"/>
      <c r="X20" s="1141"/>
      <c r="Y20" s="1141"/>
      <c r="Z20" s="1141"/>
      <c r="AA20" s="1136" t="str">
        <f t="shared" si="3"/>
        <v/>
      </c>
      <c r="AB20" s="1141"/>
      <c r="AC20" s="1141"/>
      <c r="AD20" s="1141"/>
      <c r="AE20" s="1141"/>
      <c r="AF20" s="1141"/>
      <c r="AG20" s="1141"/>
      <c r="AH20" s="1141"/>
      <c r="AI20" s="1141"/>
      <c r="AJ20" s="1141"/>
      <c r="AK20" s="1141"/>
      <c r="AL20" s="1136" t="str">
        <f t="shared" si="4"/>
        <v/>
      </c>
      <c r="AM20" s="1136" t="str">
        <f t="shared" si="5"/>
        <v/>
      </c>
      <c r="AN20" s="1136" t="str">
        <f t="shared" si="6"/>
        <v/>
      </c>
      <c r="AO20" s="1136" t="str">
        <f t="shared" si="7"/>
        <v/>
      </c>
      <c r="AP20" s="1136" t="str">
        <f t="shared" si="8"/>
        <v/>
      </c>
      <c r="AQ20" s="1136" t="str">
        <f t="shared" si="9"/>
        <v/>
      </c>
      <c r="AR20" s="1136" t="str">
        <f t="shared" si="10"/>
        <v/>
      </c>
      <c r="AS20" s="1136" t="str">
        <f t="shared" si="11"/>
        <v/>
      </c>
      <c r="AT20" s="1136" t="str">
        <f t="shared" si="12"/>
        <v/>
      </c>
      <c r="AU20" s="1136" t="str">
        <f t="shared" si="13"/>
        <v/>
      </c>
      <c r="AV20" s="1136" t="str">
        <f t="shared" si="14"/>
        <v/>
      </c>
      <c r="AW20" s="1136" t="str">
        <f t="shared" si="15"/>
        <v/>
      </c>
      <c r="AX20" s="1138"/>
      <c r="AY20" s="1137"/>
      <c r="AZ20" s="1137"/>
      <c r="BA20" s="78"/>
      <c r="BB20" s="132" t="s">
        <v>3199</v>
      </c>
      <c r="BC20" s="133"/>
      <c r="BD20" s="132" t="str">
        <f>IF(OR(B20="",BC20=""),"",COUNTIF(BC$8:BC20,"√"))</f>
        <v/>
      </c>
      <c r="BE20" s="134" t="str">
        <f t="shared" si="16"/>
        <v/>
      </c>
      <c r="BF20" s="135" t="str">
        <f t="shared" si="18"/>
        <v/>
      </c>
      <c r="BG20" s="135" t="str">
        <f t="shared" si="18"/>
        <v/>
      </c>
      <c r="BH20" s="136"/>
      <c r="BI20" s="136"/>
      <c r="BJ20" s="136"/>
      <c r="BK20" s="136"/>
      <c r="BL20" s="137"/>
      <c r="BM20" s="137"/>
      <c r="BP20" s="134" t="str">
        <f>IF(COUNTIF(BP$7:BP19,B20)&gt;0,"",B20)&amp;""</f>
        <v/>
      </c>
      <c r="BQ20" s="138">
        <f t="shared" si="19"/>
        <v>0</v>
      </c>
      <c r="BR20" s="132">
        <f t="shared" si="20"/>
        <v>1</v>
      </c>
      <c r="BS20" s="138">
        <f t="shared" si="21"/>
        <v>0</v>
      </c>
      <c r="BT20" s="132">
        <f t="shared" si="17"/>
        <v>1</v>
      </c>
      <c r="BU20" s="133"/>
      <c r="BV20" s="133"/>
    </row>
    <row r="21" customHeight="1" spans="1:75">
      <c r="A21" s="1132" t="str">
        <f>IF(B21="","",COUNT(A$7:A20)+1)</f>
        <v/>
      </c>
      <c r="B21" s="1138"/>
      <c r="C21" s="1139"/>
      <c r="D21" s="1139"/>
      <c r="E21" s="1139"/>
      <c r="F21" s="1139"/>
      <c r="G21" s="1139"/>
      <c r="H21" s="1139"/>
      <c r="I21" s="1138"/>
      <c r="J21" s="1138"/>
      <c r="K21" s="1138"/>
      <c r="L21" s="1138"/>
      <c r="M21" s="1140"/>
      <c r="N21" s="1138"/>
      <c r="O21" s="142"/>
      <c r="P21" s="127" t="str">
        <f>IFERROR(VLOOKUP(O21,参数表!$H$2:$I$50,2,FALSE),"")</f>
        <v/>
      </c>
      <c r="Q21" s="128" t="str">
        <f t="shared" si="1"/>
        <v/>
      </c>
      <c r="R21" s="128" t="str">
        <f t="shared" si="2"/>
        <v/>
      </c>
      <c r="S21" s="1141"/>
      <c r="T21" s="1141"/>
      <c r="U21" s="1141"/>
      <c r="V21" s="1141"/>
      <c r="W21" s="1141"/>
      <c r="X21" s="1141"/>
      <c r="Y21" s="1141"/>
      <c r="Z21" s="1141"/>
      <c r="AA21" s="1136" t="str">
        <f t="shared" si="3"/>
        <v/>
      </c>
      <c r="AB21" s="1141"/>
      <c r="AC21" s="1141"/>
      <c r="AD21" s="1141"/>
      <c r="AE21" s="1141"/>
      <c r="AF21" s="1141"/>
      <c r="AG21" s="1141"/>
      <c r="AH21" s="1141"/>
      <c r="AI21" s="1141"/>
      <c r="AJ21" s="1141"/>
      <c r="AK21" s="1141"/>
      <c r="AL21" s="1136" t="str">
        <f t="shared" si="4"/>
        <v/>
      </c>
      <c r="AM21" s="1136" t="str">
        <f t="shared" si="5"/>
        <v/>
      </c>
      <c r="AN21" s="1136" t="str">
        <f t="shared" si="6"/>
        <v/>
      </c>
      <c r="AO21" s="1136" t="str">
        <f t="shared" si="7"/>
        <v/>
      </c>
      <c r="AP21" s="1136" t="str">
        <f t="shared" si="8"/>
        <v/>
      </c>
      <c r="AQ21" s="1136" t="str">
        <f t="shared" si="9"/>
        <v/>
      </c>
      <c r="AR21" s="1136" t="str">
        <f t="shared" si="10"/>
        <v/>
      </c>
      <c r="AS21" s="1136" t="str">
        <f t="shared" si="11"/>
        <v/>
      </c>
      <c r="AT21" s="1136" t="str">
        <f t="shared" si="12"/>
        <v/>
      </c>
      <c r="AU21" s="1136" t="str">
        <f t="shared" si="13"/>
        <v/>
      </c>
      <c r="AV21" s="1136" t="str">
        <f t="shared" si="14"/>
        <v/>
      </c>
      <c r="AW21" s="1136" t="str">
        <f t="shared" si="15"/>
        <v/>
      </c>
      <c r="AX21" s="1138"/>
      <c r="AY21" s="1137"/>
      <c r="AZ21" s="1137"/>
      <c r="BA21" s="78"/>
      <c r="BB21" s="132" t="s">
        <v>3200</v>
      </c>
      <c r="BC21" s="133"/>
      <c r="BD21" s="132" t="str">
        <f>IF(OR(B21="",BC21=""),"",COUNTIF(BC$8:BC21,"√"))</f>
        <v/>
      </c>
      <c r="BE21" s="134" t="str">
        <f t="shared" si="16"/>
        <v/>
      </c>
      <c r="BF21" s="135" t="str">
        <f t="shared" si="18"/>
        <v/>
      </c>
      <c r="BG21" s="135" t="str">
        <f t="shared" si="18"/>
        <v/>
      </c>
      <c r="BH21" s="136"/>
      <c r="BI21" s="136"/>
      <c r="BJ21" s="136"/>
      <c r="BK21" s="136"/>
      <c r="BL21" s="137"/>
      <c r="BM21" s="137"/>
      <c r="BP21" s="134" t="str">
        <f>IF(COUNTIF(BP$7:BP20,B21)&gt;0,"",B21)&amp;""</f>
        <v/>
      </c>
      <c r="BQ21" s="138">
        <f t="shared" si="19"/>
        <v>0</v>
      </c>
      <c r="BR21" s="132">
        <f t="shared" si="20"/>
        <v>1</v>
      </c>
      <c r="BS21" s="138">
        <f t="shared" si="21"/>
        <v>0</v>
      </c>
      <c r="BT21" s="132">
        <f t="shared" si="17"/>
        <v>1</v>
      </c>
      <c r="BU21" s="133"/>
      <c r="BV21" s="133"/>
    </row>
    <row r="22" customHeight="1" spans="1:75">
      <c r="A22" s="1132" t="str">
        <f>IF(B22="","",COUNT(A$7:A21)+1)</f>
        <v/>
      </c>
      <c r="B22" s="1138"/>
      <c r="C22" s="1139"/>
      <c r="D22" s="1139"/>
      <c r="E22" s="1139"/>
      <c r="F22" s="1139"/>
      <c r="G22" s="1139"/>
      <c r="H22" s="1139"/>
      <c r="I22" s="1138"/>
      <c r="J22" s="1138"/>
      <c r="K22" s="1138"/>
      <c r="L22" s="1138"/>
      <c r="M22" s="1140"/>
      <c r="N22" s="1138"/>
      <c r="O22" s="142"/>
      <c r="P22" s="127" t="str">
        <f>IFERROR(VLOOKUP(O22,参数表!$H$2:$I$50,2,FALSE),"")</f>
        <v/>
      </c>
      <c r="Q22" s="128" t="str">
        <f t="shared" si="1"/>
        <v/>
      </c>
      <c r="R22" s="128" t="str">
        <f t="shared" si="2"/>
        <v/>
      </c>
      <c r="S22" s="1141"/>
      <c r="T22" s="1141"/>
      <c r="U22" s="1141"/>
      <c r="V22" s="1141"/>
      <c r="W22" s="1141"/>
      <c r="X22" s="1141"/>
      <c r="Y22" s="1141"/>
      <c r="Z22" s="1141"/>
      <c r="AA22" s="1136" t="str">
        <f t="shared" si="3"/>
        <v/>
      </c>
      <c r="AB22" s="1141"/>
      <c r="AC22" s="1141"/>
      <c r="AD22" s="1141"/>
      <c r="AE22" s="1141"/>
      <c r="AF22" s="1141"/>
      <c r="AG22" s="1141"/>
      <c r="AH22" s="1141"/>
      <c r="AI22" s="1141"/>
      <c r="AJ22" s="1141"/>
      <c r="AK22" s="1141"/>
      <c r="AL22" s="1136" t="str">
        <f t="shared" si="4"/>
        <v/>
      </c>
      <c r="AM22" s="1136" t="str">
        <f t="shared" si="5"/>
        <v/>
      </c>
      <c r="AN22" s="1136" t="str">
        <f t="shared" si="6"/>
        <v/>
      </c>
      <c r="AO22" s="1136" t="str">
        <f t="shared" si="7"/>
        <v/>
      </c>
      <c r="AP22" s="1136" t="str">
        <f t="shared" si="8"/>
        <v/>
      </c>
      <c r="AQ22" s="1136" t="str">
        <f t="shared" si="9"/>
        <v/>
      </c>
      <c r="AR22" s="1136" t="str">
        <f t="shared" si="10"/>
        <v/>
      </c>
      <c r="AS22" s="1136" t="str">
        <f t="shared" si="11"/>
        <v/>
      </c>
      <c r="AT22" s="1136" t="str">
        <f t="shared" si="12"/>
        <v/>
      </c>
      <c r="AU22" s="1136" t="str">
        <f t="shared" si="13"/>
        <v/>
      </c>
      <c r="AV22" s="1136" t="str">
        <f t="shared" si="14"/>
        <v/>
      </c>
      <c r="AW22" s="1136" t="str">
        <f t="shared" si="15"/>
        <v/>
      </c>
      <c r="AX22" s="1138"/>
      <c r="AY22" s="1137"/>
      <c r="AZ22" s="1137"/>
      <c r="BA22" s="78"/>
      <c r="BB22" s="132" t="s">
        <v>3201</v>
      </c>
      <c r="BC22" s="133"/>
      <c r="BD22" s="132" t="str">
        <f>IF(OR(B22="",BC22=""),"",COUNTIF(BC$8:BC22,"√"))</f>
        <v/>
      </c>
      <c r="BE22" s="134" t="str">
        <f t="shared" si="16"/>
        <v/>
      </c>
      <c r="BF22" s="135" t="str">
        <f t="shared" si="18"/>
        <v/>
      </c>
      <c r="BG22" s="135" t="str">
        <f t="shared" si="18"/>
        <v/>
      </c>
      <c r="BH22" s="136"/>
      <c r="BI22" s="136"/>
      <c r="BJ22" s="136"/>
      <c r="BK22" s="136"/>
      <c r="BL22" s="137"/>
      <c r="BM22" s="137"/>
      <c r="BP22" s="134" t="str">
        <f>IF(COUNTIF(BP$7:BP21,B22)&gt;0,"",B22)&amp;""</f>
        <v/>
      </c>
      <c r="BQ22" s="138">
        <f t="shared" si="19"/>
        <v>0</v>
      </c>
      <c r="BR22" s="132">
        <f t="shared" si="20"/>
        <v>1</v>
      </c>
      <c r="BS22" s="138">
        <f t="shared" si="21"/>
        <v>0</v>
      </c>
      <c r="BT22" s="132">
        <f t="shared" si="17"/>
        <v>1</v>
      </c>
      <c r="BU22" s="133"/>
      <c r="BV22" s="133"/>
    </row>
    <row r="23" customHeight="1" spans="1:75">
      <c r="A23" s="1132" t="str">
        <f>IF(B23="","",COUNT(A$7:A22)+1)</f>
        <v/>
      </c>
      <c r="B23" s="1138"/>
      <c r="C23" s="1139"/>
      <c r="D23" s="1139"/>
      <c r="E23" s="1139"/>
      <c r="F23" s="1139"/>
      <c r="G23" s="1139"/>
      <c r="H23" s="1139"/>
      <c r="I23" s="1138"/>
      <c r="J23" s="1138"/>
      <c r="K23" s="1138"/>
      <c r="L23" s="1138"/>
      <c r="M23" s="1140"/>
      <c r="N23" s="1138"/>
      <c r="O23" s="142"/>
      <c r="P23" s="127" t="str">
        <f>IFERROR(VLOOKUP(O23,参数表!$H$2:$I$50,2,FALSE),"")</f>
        <v/>
      </c>
      <c r="Q23" s="128" t="str">
        <f t="shared" si="1"/>
        <v/>
      </c>
      <c r="R23" s="128" t="str">
        <f t="shared" si="2"/>
        <v/>
      </c>
      <c r="S23" s="1141"/>
      <c r="T23" s="1141"/>
      <c r="U23" s="1141"/>
      <c r="V23" s="1141"/>
      <c r="W23" s="1141"/>
      <c r="X23" s="1141"/>
      <c r="Y23" s="1141"/>
      <c r="Z23" s="1141"/>
      <c r="AA23" s="1136" t="str">
        <f t="shared" si="3"/>
        <v/>
      </c>
      <c r="AB23" s="1141"/>
      <c r="AC23" s="1141"/>
      <c r="AD23" s="1141"/>
      <c r="AE23" s="1141"/>
      <c r="AF23" s="1141"/>
      <c r="AG23" s="1141"/>
      <c r="AH23" s="1141"/>
      <c r="AI23" s="1141"/>
      <c r="AJ23" s="1141"/>
      <c r="AK23" s="1141"/>
      <c r="AL23" s="1136" t="str">
        <f t="shared" si="4"/>
        <v/>
      </c>
      <c r="AM23" s="1136" t="str">
        <f t="shared" si="5"/>
        <v/>
      </c>
      <c r="AN23" s="1136" t="str">
        <f t="shared" si="6"/>
        <v/>
      </c>
      <c r="AO23" s="1136" t="str">
        <f t="shared" si="7"/>
        <v/>
      </c>
      <c r="AP23" s="1136" t="str">
        <f t="shared" si="8"/>
        <v/>
      </c>
      <c r="AQ23" s="1136" t="str">
        <f t="shared" si="9"/>
        <v/>
      </c>
      <c r="AR23" s="1136" t="str">
        <f t="shared" si="10"/>
        <v/>
      </c>
      <c r="AS23" s="1136" t="str">
        <f t="shared" si="11"/>
        <v/>
      </c>
      <c r="AT23" s="1136" t="str">
        <f t="shared" si="12"/>
        <v/>
      </c>
      <c r="AU23" s="1136" t="str">
        <f t="shared" si="13"/>
        <v/>
      </c>
      <c r="AV23" s="1136" t="str">
        <f t="shared" si="14"/>
        <v/>
      </c>
      <c r="AW23" s="1136" t="str">
        <f t="shared" si="15"/>
        <v/>
      </c>
      <c r="AX23" s="1138"/>
      <c r="AY23" s="1137"/>
      <c r="AZ23" s="1137"/>
      <c r="BA23" s="78"/>
      <c r="BB23" s="132" t="s">
        <v>3202</v>
      </c>
      <c r="BC23" s="133"/>
      <c r="BD23" s="132" t="str">
        <f>IF(OR(B23="",BC23=""),"",COUNTIF(BC$8:BC23,"√"))</f>
        <v/>
      </c>
      <c r="BE23" s="134" t="str">
        <f t="shared" si="16"/>
        <v/>
      </c>
      <c r="BF23" s="135" t="str">
        <f t="shared" si="18"/>
        <v/>
      </c>
      <c r="BG23" s="135" t="str">
        <f t="shared" si="18"/>
        <v/>
      </c>
      <c r="BH23" s="136"/>
      <c r="BI23" s="136"/>
      <c r="BJ23" s="136"/>
      <c r="BK23" s="136"/>
      <c r="BL23" s="137"/>
      <c r="BM23" s="137"/>
      <c r="BP23" s="134" t="str">
        <f>IF(COUNTIF(BP$7:BP22,B23)&gt;0,"",B23)&amp;""</f>
        <v/>
      </c>
      <c r="BQ23" s="138">
        <f t="shared" si="19"/>
        <v>0</v>
      </c>
      <c r="BR23" s="132">
        <f t="shared" si="20"/>
        <v>1</v>
      </c>
      <c r="BS23" s="138">
        <f t="shared" si="21"/>
        <v>0</v>
      </c>
      <c r="BT23" s="132">
        <f t="shared" si="17"/>
        <v>1</v>
      </c>
      <c r="BU23" s="133"/>
      <c r="BV23" s="133"/>
    </row>
    <row r="24" customHeight="1" spans="1:75">
      <c r="A24" s="1132" t="str">
        <f>IF(B24="","",COUNT(A$7:A23)+1)</f>
        <v/>
      </c>
      <c r="B24" s="1138"/>
      <c r="C24" s="1139"/>
      <c r="D24" s="1139"/>
      <c r="E24" s="1139"/>
      <c r="F24" s="1139"/>
      <c r="G24" s="1139"/>
      <c r="H24" s="1139"/>
      <c r="I24" s="1138"/>
      <c r="J24" s="1138"/>
      <c r="K24" s="1138"/>
      <c r="L24" s="1138"/>
      <c r="M24" s="1140"/>
      <c r="N24" s="1138"/>
      <c r="O24" s="142"/>
      <c r="P24" s="127" t="str">
        <f>IFERROR(VLOOKUP(O24,参数表!$H$2:$I$50,2,FALSE),"")</f>
        <v/>
      </c>
      <c r="Q24" s="128" t="str">
        <f t="shared" si="1"/>
        <v/>
      </c>
      <c r="R24" s="128" t="str">
        <f t="shared" si="2"/>
        <v/>
      </c>
      <c r="S24" s="1141"/>
      <c r="T24" s="1141"/>
      <c r="U24" s="1141"/>
      <c r="V24" s="1141"/>
      <c r="W24" s="1141"/>
      <c r="X24" s="1141"/>
      <c r="Y24" s="1141"/>
      <c r="Z24" s="1141"/>
      <c r="AA24" s="1136" t="str">
        <f t="shared" si="3"/>
        <v/>
      </c>
      <c r="AB24" s="1141"/>
      <c r="AC24" s="1141"/>
      <c r="AD24" s="1141"/>
      <c r="AE24" s="1141"/>
      <c r="AF24" s="1141"/>
      <c r="AG24" s="1141"/>
      <c r="AH24" s="1141"/>
      <c r="AI24" s="1141"/>
      <c r="AJ24" s="1141"/>
      <c r="AK24" s="1141"/>
      <c r="AL24" s="1136" t="str">
        <f t="shared" si="4"/>
        <v/>
      </c>
      <c r="AM24" s="1136" t="str">
        <f t="shared" si="5"/>
        <v/>
      </c>
      <c r="AN24" s="1136" t="str">
        <f t="shared" si="6"/>
        <v/>
      </c>
      <c r="AO24" s="1136" t="str">
        <f t="shared" si="7"/>
        <v/>
      </c>
      <c r="AP24" s="1136" t="str">
        <f t="shared" si="8"/>
        <v/>
      </c>
      <c r="AQ24" s="1136" t="str">
        <f t="shared" si="9"/>
        <v/>
      </c>
      <c r="AR24" s="1136" t="str">
        <f t="shared" si="10"/>
        <v/>
      </c>
      <c r="AS24" s="1136" t="str">
        <f t="shared" si="11"/>
        <v/>
      </c>
      <c r="AT24" s="1136" t="str">
        <f t="shared" si="12"/>
        <v/>
      </c>
      <c r="AU24" s="1136" t="str">
        <f t="shared" si="13"/>
        <v/>
      </c>
      <c r="AV24" s="1136" t="str">
        <f t="shared" si="14"/>
        <v/>
      </c>
      <c r="AW24" s="1136" t="str">
        <f t="shared" si="15"/>
        <v/>
      </c>
      <c r="AX24" s="1138"/>
      <c r="AY24" s="1137"/>
      <c r="AZ24" s="1137"/>
      <c r="BA24" s="78"/>
      <c r="BB24" s="132" t="s">
        <v>3203</v>
      </c>
      <c r="BC24" s="133"/>
      <c r="BD24" s="132" t="str">
        <f>IF(OR(B24="",BC24=""),"",COUNTIF(BC$8:BC24,"√"))</f>
        <v/>
      </c>
      <c r="BE24" s="134" t="str">
        <f t="shared" si="16"/>
        <v/>
      </c>
      <c r="BF24" s="135" t="str">
        <f t="shared" si="18"/>
        <v/>
      </c>
      <c r="BG24" s="135" t="str">
        <f t="shared" si="18"/>
        <v/>
      </c>
      <c r="BH24" s="136"/>
      <c r="BI24" s="136"/>
      <c r="BJ24" s="136"/>
      <c r="BK24" s="136"/>
      <c r="BL24" s="137"/>
      <c r="BM24" s="137"/>
      <c r="BP24" s="134" t="str">
        <f>IF(COUNTIF(BP$7:BP23,B24)&gt;0,"",B24)&amp;""</f>
        <v/>
      </c>
      <c r="BQ24" s="138">
        <f t="shared" si="19"/>
        <v>0</v>
      </c>
      <c r="BR24" s="132">
        <f t="shared" si="20"/>
        <v>1</v>
      </c>
      <c r="BS24" s="138">
        <f t="shared" si="21"/>
        <v>0</v>
      </c>
      <c r="BT24" s="132">
        <f t="shared" si="17"/>
        <v>1</v>
      </c>
      <c r="BU24" s="133"/>
      <c r="BV24" s="133"/>
    </row>
    <row r="25" customHeight="1" spans="1:75">
      <c r="A25" s="1132" t="str">
        <f>IF(B25="","",COUNT(A$7:A24)+1)</f>
        <v/>
      </c>
      <c r="B25" s="1133"/>
      <c r="C25" s="1134"/>
      <c r="D25" s="1134"/>
      <c r="E25" s="1134"/>
      <c r="F25" s="1134"/>
      <c r="G25" s="1134"/>
      <c r="H25" s="1134"/>
      <c r="I25" s="1133"/>
      <c r="J25" s="1133"/>
      <c r="K25" s="1133"/>
      <c r="L25" s="1133"/>
      <c r="M25" s="1135"/>
      <c r="N25" s="1133"/>
      <c r="O25" s="127"/>
      <c r="P25" s="127" t="str">
        <f>IFERROR(VLOOKUP(O25,参数表!$H$2:$I$50,2,FALSE),"")</f>
        <v/>
      </c>
      <c r="Q25" s="128" t="str">
        <f t="shared" si="1"/>
        <v/>
      </c>
      <c r="R25" s="128" t="str">
        <f t="shared" si="2"/>
        <v/>
      </c>
      <c r="S25" s="1136"/>
      <c r="T25" s="1136"/>
      <c r="U25" s="1136"/>
      <c r="V25" s="1136"/>
      <c r="W25" s="1136"/>
      <c r="X25" s="1136"/>
      <c r="Y25" s="1136"/>
      <c r="Z25" s="1136"/>
      <c r="AA25" s="1136" t="str">
        <f t="shared" si="3"/>
        <v/>
      </c>
      <c r="AB25" s="1136"/>
      <c r="AC25" s="1136"/>
      <c r="AD25" s="1136"/>
      <c r="AE25" s="1136"/>
      <c r="AF25" s="1136"/>
      <c r="AG25" s="1136"/>
      <c r="AH25" s="1136"/>
      <c r="AI25" s="1136"/>
      <c r="AJ25" s="1136"/>
      <c r="AK25" s="1136"/>
      <c r="AL25" s="1136" t="str">
        <f t="shared" si="4"/>
        <v/>
      </c>
      <c r="AM25" s="1136" t="str">
        <f t="shared" si="5"/>
        <v/>
      </c>
      <c r="AN25" s="1136" t="str">
        <f t="shared" si="6"/>
        <v/>
      </c>
      <c r="AO25" s="1136" t="str">
        <f t="shared" si="7"/>
        <v/>
      </c>
      <c r="AP25" s="1136" t="str">
        <f t="shared" si="8"/>
        <v/>
      </c>
      <c r="AQ25" s="1136" t="str">
        <f t="shared" si="9"/>
        <v/>
      </c>
      <c r="AR25" s="1136" t="str">
        <f t="shared" si="10"/>
        <v/>
      </c>
      <c r="AS25" s="1136" t="str">
        <f t="shared" si="11"/>
        <v/>
      </c>
      <c r="AT25" s="1136" t="str">
        <f t="shared" si="12"/>
        <v/>
      </c>
      <c r="AU25" s="1136" t="str">
        <f t="shared" si="13"/>
        <v/>
      </c>
      <c r="AV25" s="1136" t="str">
        <f t="shared" si="14"/>
        <v/>
      </c>
      <c r="AW25" s="1136" t="str">
        <f t="shared" si="15"/>
        <v/>
      </c>
      <c r="AX25" s="1133"/>
      <c r="AY25" s="1137"/>
      <c r="AZ25" s="1137"/>
      <c r="BA25" s="78"/>
      <c r="BB25" s="132" t="s">
        <v>3204</v>
      </c>
      <c r="BC25" s="133"/>
      <c r="BD25" s="132" t="str">
        <f>IF(OR(B25="",BC25=""),"",COUNTIF(BC$8:BC25,"√"))</f>
        <v/>
      </c>
      <c r="BE25" s="134" t="str">
        <f t="shared" si="16"/>
        <v/>
      </c>
      <c r="BF25" s="135" t="str">
        <f t="shared" si="18"/>
        <v/>
      </c>
      <c r="BG25" s="135" t="str">
        <f t="shared" si="18"/>
        <v/>
      </c>
      <c r="BH25" s="136"/>
      <c r="BI25" s="136"/>
      <c r="BJ25" s="136"/>
      <c r="BK25" s="136"/>
      <c r="BL25" s="137"/>
      <c r="BM25" s="137"/>
      <c r="BP25" s="134" t="str">
        <f>IF(COUNTIF(BP$7:BP24,B25)&gt;0,"",B25)&amp;""</f>
        <v/>
      </c>
      <c r="BQ25" s="138">
        <f t="shared" si="19"/>
        <v>0</v>
      </c>
      <c r="BR25" s="132">
        <f t="shared" si="20"/>
        <v>1</v>
      </c>
      <c r="BS25" s="138">
        <f t="shared" si="21"/>
        <v>0</v>
      </c>
      <c r="BT25" s="132">
        <f t="shared" si="17"/>
        <v>1</v>
      </c>
      <c r="BU25" s="133"/>
      <c r="BV25" s="133"/>
    </row>
    <row r="26" s="1107" customFormat="1" customHeight="1" spans="1:75">
      <c r="A26" s="1124" t="s">
        <v>3120</v>
      </c>
      <c r="B26" s="1142"/>
      <c r="C26" s="1142"/>
      <c r="D26" s="1143"/>
      <c r="E26" s="1144"/>
      <c r="F26" s="1144"/>
      <c r="G26" s="1144"/>
      <c r="H26" s="1144"/>
      <c r="I26" s="1144"/>
      <c r="J26" s="1144"/>
      <c r="K26" s="1144"/>
      <c r="L26" s="1144"/>
      <c r="M26" s="1144"/>
      <c r="N26" s="1144"/>
      <c r="O26" s="1145"/>
      <c r="P26" s="1145"/>
      <c r="Q26" s="1145"/>
      <c r="R26" s="1145"/>
      <c r="S26" s="1146">
        <f t="shared" ref="S26:AV26" si="23">SUM(S8:S25)</f>
        <v>0</v>
      </c>
      <c r="T26" s="1146">
        <f t="shared" si="23"/>
        <v>0</v>
      </c>
      <c r="U26" s="1146">
        <f t="shared" si="23"/>
        <v>0</v>
      </c>
      <c r="V26" s="1146">
        <f t="shared" si="23"/>
        <v>0</v>
      </c>
      <c r="W26" s="1146">
        <f t="shared" si="23"/>
        <v>0</v>
      </c>
      <c r="X26" s="1146">
        <f t="shared" si="23"/>
        <v>0</v>
      </c>
      <c r="Y26" s="1146">
        <f t="shared" si="23"/>
        <v>0</v>
      </c>
      <c r="Z26" s="1146">
        <f t="shared" si="23"/>
        <v>0</v>
      </c>
      <c r="AA26" s="1147">
        <f t="shared" si="23"/>
        <v>0</v>
      </c>
      <c r="AB26" s="1147">
        <f t="shared" si="23"/>
        <v>0</v>
      </c>
      <c r="AC26" s="1147"/>
      <c r="AD26" s="1147"/>
      <c r="AE26" s="1147"/>
      <c r="AF26" s="1147"/>
      <c r="AG26" s="1147"/>
      <c r="AH26" s="1147"/>
      <c r="AI26" s="1147"/>
      <c r="AJ26" s="1147"/>
      <c r="AK26" s="1147"/>
      <c r="AL26" s="1146">
        <f t="shared" si="23"/>
        <v>0</v>
      </c>
      <c r="AM26" s="1146">
        <f t="shared" si="23"/>
        <v>0</v>
      </c>
      <c r="AN26" s="1146">
        <f t="shared" si="23"/>
        <v>0</v>
      </c>
      <c r="AO26" s="1146">
        <f t="shared" si="23"/>
        <v>0</v>
      </c>
      <c r="AP26" s="1146">
        <f t="shared" si="23"/>
        <v>0</v>
      </c>
      <c r="AQ26" s="1146">
        <f t="shared" si="23"/>
        <v>0</v>
      </c>
      <c r="AR26" s="1146">
        <f t="shared" si="23"/>
        <v>0</v>
      </c>
      <c r="AS26" s="1146">
        <f t="shared" si="23"/>
        <v>0</v>
      </c>
      <c r="AT26" s="1147">
        <f t="shared" si="23"/>
        <v>0</v>
      </c>
      <c r="AU26" s="1147">
        <f t="shared" si="23"/>
        <v>0</v>
      </c>
      <c r="AV26" s="1147">
        <f t="shared" si="23"/>
        <v>0</v>
      </c>
      <c r="AW26" s="1147" t="str">
        <f t="shared" si="15"/>
        <v/>
      </c>
      <c r="AX26" s="1144"/>
      <c r="AY26" s="1148"/>
      <c r="AZ26" s="1148"/>
      <c r="BA26" s="1148"/>
      <c r="BB26" s="1148"/>
      <c r="BC26" s="1148"/>
      <c r="BD26" s="1148"/>
      <c r="BE26" s="1148"/>
      <c r="BF26" s="1128"/>
      <c r="BG26" s="1128"/>
      <c r="BH26" s="1128"/>
      <c r="BI26" s="1128"/>
      <c r="BO26" s="111"/>
      <c r="BP26" s="119"/>
      <c r="BQ26" s="77"/>
      <c r="BR26" s="77"/>
      <c r="BS26" s="77"/>
      <c r="BT26" s="119"/>
      <c r="BU26" s="119"/>
      <c r="BV26" s="119"/>
      <c r="BW26" s="111"/>
    </row>
    <row r="27" s="1107" customFormat="1" customHeight="1" spans="1:75">
      <c r="A27" s="1149" t="s">
        <v>1290</v>
      </c>
      <c r="B27" s="1150"/>
      <c r="C27" s="1150"/>
      <c r="D27" s="1151"/>
      <c r="E27" s="1144"/>
      <c r="F27" s="1144"/>
      <c r="G27" s="1144"/>
      <c r="H27" s="1144"/>
      <c r="I27" s="1144"/>
      <c r="J27" s="1144"/>
      <c r="K27" s="1144"/>
      <c r="L27" s="1144"/>
      <c r="M27" s="1144"/>
      <c r="N27" s="1144"/>
      <c r="O27" s="1145"/>
      <c r="P27" s="1145"/>
      <c r="Q27" s="1145"/>
      <c r="R27" s="1145"/>
      <c r="S27" s="1152"/>
      <c r="T27" s="1152"/>
      <c r="U27" s="1152"/>
      <c r="V27" s="1152"/>
      <c r="W27" s="1152"/>
      <c r="X27" s="1152"/>
      <c r="Y27" s="1152"/>
      <c r="Z27" s="1152"/>
      <c r="AA27" s="1136">
        <f>AB26</f>
        <v>0</v>
      </c>
      <c r="AB27" s="1136"/>
      <c r="AC27" s="1136"/>
      <c r="AD27" s="1136"/>
      <c r="AE27" s="1136"/>
      <c r="AF27" s="1136"/>
      <c r="AG27" s="1136"/>
      <c r="AH27" s="1136"/>
      <c r="AI27" s="1136"/>
      <c r="AJ27" s="1136"/>
      <c r="AK27" s="1136"/>
      <c r="AL27" s="1152"/>
      <c r="AM27" s="1152"/>
      <c r="AN27" s="1152"/>
      <c r="AO27" s="1152"/>
      <c r="AP27" s="1152"/>
      <c r="AQ27" s="1152"/>
      <c r="AR27" s="1152"/>
      <c r="AS27" s="1152"/>
      <c r="AT27" s="1136">
        <f>AU26</f>
        <v>0</v>
      </c>
      <c r="AU27" s="1136"/>
      <c r="AV27" s="1136"/>
      <c r="AW27" s="1136" t="str">
        <f t="shared" si="15"/>
        <v/>
      </c>
      <c r="AX27" s="1133"/>
      <c r="AY27" s="1148"/>
      <c r="AZ27" s="1148"/>
      <c r="BA27" s="1148"/>
      <c r="BB27" s="1148"/>
      <c r="BC27" s="1148"/>
      <c r="BD27" s="1148"/>
      <c r="BE27" s="1148"/>
      <c r="BF27" s="1128"/>
      <c r="BG27" s="1128"/>
      <c r="BH27" s="1128"/>
      <c r="BI27" s="1128"/>
      <c r="BO27" s="111"/>
      <c r="BP27" s="119"/>
      <c r="BQ27" s="77"/>
      <c r="BR27" s="77"/>
      <c r="BS27" s="77"/>
      <c r="BT27" s="119"/>
      <c r="BU27" s="119"/>
      <c r="BV27" s="119"/>
      <c r="BW27" s="111"/>
    </row>
    <row r="28" s="1107" customFormat="1" customHeight="1" spans="1:75">
      <c r="A28" s="1124" t="s">
        <v>3121</v>
      </c>
      <c r="B28" s="1142"/>
      <c r="C28" s="1142"/>
      <c r="D28" s="1143"/>
      <c r="E28" s="1144"/>
      <c r="F28" s="1144"/>
      <c r="G28" s="1144"/>
      <c r="H28" s="1144"/>
      <c r="I28" s="1144"/>
      <c r="J28" s="1144"/>
      <c r="K28" s="1144"/>
      <c r="L28" s="1144"/>
      <c r="M28" s="1144"/>
      <c r="N28" s="1144"/>
      <c r="O28" s="1145"/>
      <c r="P28" s="1145"/>
      <c r="Q28" s="1145"/>
      <c r="R28" s="1145"/>
      <c r="S28" s="1146"/>
      <c r="T28" s="1146"/>
      <c r="U28" s="1146"/>
      <c r="V28" s="1146"/>
      <c r="W28" s="1146"/>
      <c r="X28" s="1146"/>
      <c r="Y28" s="1146"/>
      <c r="Z28" s="1146"/>
      <c r="AA28" s="1147">
        <f>AA26-AA27</f>
        <v>0</v>
      </c>
      <c r="AB28" s="1147"/>
      <c r="AC28" s="1147"/>
      <c r="AD28" s="1147"/>
      <c r="AE28" s="1147"/>
      <c r="AF28" s="1147"/>
      <c r="AG28" s="1147"/>
      <c r="AH28" s="1147"/>
      <c r="AI28" s="1147"/>
      <c r="AJ28" s="1147"/>
      <c r="AK28" s="1147"/>
      <c r="AL28" s="1146"/>
      <c r="AM28" s="1146"/>
      <c r="AN28" s="1146"/>
      <c r="AO28" s="1146"/>
      <c r="AP28" s="1146"/>
      <c r="AQ28" s="1146"/>
      <c r="AR28" s="1146"/>
      <c r="AS28" s="1146"/>
      <c r="AT28" s="1147">
        <f>AT26-AT27</f>
        <v>0</v>
      </c>
      <c r="AU28" s="1147"/>
      <c r="AV28" s="1147">
        <f>AV26-AV27</f>
        <v>0</v>
      </c>
      <c r="AW28" s="1147" t="str">
        <f t="shared" si="15"/>
        <v/>
      </c>
      <c r="AX28" s="1144"/>
      <c r="AY28" s="1148"/>
      <c r="AZ28" s="1148"/>
      <c r="BA28" s="1148"/>
      <c r="BB28" s="1148"/>
      <c r="BC28" s="1148"/>
      <c r="BD28" s="1148"/>
      <c r="BE28" s="1148"/>
      <c r="BF28" s="1128"/>
      <c r="BG28" s="1128"/>
      <c r="BH28" s="1128"/>
      <c r="BI28" s="1128"/>
      <c r="BO28" s="111"/>
      <c r="BP28" s="119"/>
      <c r="BQ28" s="77"/>
      <c r="BR28" s="77"/>
      <c r="BS28" s="77"/>
      <c r="BT28" s="119"/>
      <c r="BU28" s="119"/>
      <c r="BV28" s="119"/>
      <c r="BW28" s="111"/>
    </row>
    <row r="29" customHeight="1" spans="1:75">
      <c r="A29" s="102" t="str">
        <f>参数表!F$6</f>
        <v>产权持有单位填表人：贾广东</v>
      </c>
      <c r="B29" s="1049"/>
      <c r="C29" s="1049"/>
      <c r="D29" s="1049"/>
      <c r="E29" s="1049"/>
      <c r="F29" s="1049"/>
      <c r="G29" s="1049"/>
      <c r="H29" s="1049"/>
      <c r="I29" s="1049"/>
      <c r="J29" s="1049"/>
      <c r="K29" s="1049"/>
      <c r="L29" s="1153"/>
      <c r="M29" s="1153"/>
      <c r="N29" s="1153"/>
      <c r="O29" s="1153"/>
      <c r="P29" s="1153"/>
      <c r="Q29" s="1153"/>
      <c r="R29" s="1153"/>
      <c r="S29" s="1153"/>
      <c r="T29" s="1153"/>
      <c r="U29" s="1153"/>
      <c r="V29" s="1153"/>
      <c r="W29" s="1153"/>
      <c r="X29" s="1153"/>
      <c r="Y29" s="1049"/>
      <c r="Z29" s="1049"/>
      <c r="AA29" s="1049"/>
      <c r="AB29" s="1049"/>
      <c r="AC29" s="1049"/>
      <c r="AD29" s="1049"/>
      <c r="AE29" s="1049"/>
      <c r="AF29" s="1049"/>
      <c r="AG29" s="1049"/>
      <c r="AH29" s="1049"/>
      <c r="AI29" s="1049"/>
      <c r="AJ29" s="1049"/>
      <c r="AK29" s="1049"/>
      <c r="AL29" s="1153"/>
      <c r="AM29" s="1153"/>
      <c r="AN29" s="1153"/>
      <c r="AO29" s="1153"/>
      <c r="AP29" s="1153"/>
      <c r="AQ29" s="1153"/>
      <c r="AR29" s="1049"/>
      <c r="AS29" s="1049"/>
      <c r="AT29" s="1049"/>
      <c r="AU29" s="1049"/>
      <c r="AV29" s="1049" t="str">
        <f>"评估人员："&amp;封面!$G$24</f>
        <v>评估人员：</v>
      </c>
      <c r="AW29" s="1049"/>
      <c r="AX29" s="1049"/>
      <c r="BC29" s="110"/>
      <c r="BD29" s="110"/>
      <c r="BE29" s="110"/>
      <c r="BH29" s="109"/>
      <c r="BI29" s="109"/>
      <c r="BJ29" s="109"/>
      <c r="BK29" s="109"/>
    </row>
    <row r="30" customHeight="1" spans="1:75">
      <c r="A30" s="102" t="str">
        <f>参数表!F$7</f>
        <v>填表日期：2025年9月20日</v>
      </c>
      <c r="B30" s="1049"/>
      <c r="C30" s="1049"/>
      <c r="D30" s="1049"/>
      <c r="E30" s="1049"/>
      <c r="F30" s="1049"/>
      <c r="G30" s="1049"/>
      <c r="H30" s="1049"/>
      <c r="I30" s="1049"/>
      <c r="J30" s="1049"/>
      <c r="K30" s="1049"/>
      <c r="L30" s="1153"/>
      <c r="M30" s="1153"/>
      <c r="N30" s="1153"/>
      <c r="O30" s="1153"/>
      <c r="P30" s="1153"/>
      <c r="Q30" s="1153"/>
      <c r="R30" s="1153"/>
      <c r="S30" s="1153"/>
      <c r="T30" s="1153"/>
      <c r="U30" s="1153"/>
      <c r="V30" s="1153"/>
      <c r="W30" s="1153"/>
      <c r="X30" s="1153"/>
      <c r="Y30" s="1049"/>
      <c r="Z30" s="1049"/>
      <c r="AA30" s="1049"/>
      <c r="AB30" s="1049"/>
      <c r="AC30" s="1049"/>
      <c r="AD30" s="1049"/>
      <c r="AE30" s="1049"/>
      <c r="AF30" s="1049"/>
      <c r="AG30" s="1049"/>
      <c r="AH30" s="1049"/>
      <c r="AI30" s="1049"/>
      <c r="AJ30" s="1049"/>
      <c r="AK30" s="1049"/>
      <c r="AL30" s="1153"/>
      <c r="AM30" s="1153"/>
      <c r="AN30" s="1153"/>
      <c r="AO30" s="1153"/>
      <c r="AP30" s="1153"/>
      <c r="AQ30" s="1153"/>
      <c r="AR30" s="1049"/>
      <c r="AS30" s="1049"/>
      <c r="AT30" s="1049"/>
      <c r="AU30" s="1049"/>
      <c r="AV30" s="1049"/>
      <c r="AW30" s="1049"/>
      <c r="AX30" s="1049"/>
      <c r="BC30" s="110"/>
      <c r="BD30" s="110"/>
      <c r="BE30" s="110"/>
      <c r="BH30" s="109"/>
      <c r="BI30" s="109"/>
      <c r="BJ30" s="109"/>
      <c r="BK30" s="109"/>
    </row>
    <row r="31" customHeight="1" spans="1:75">
      <c r="S31" s="1154"/>
      <c r="T31" s="1154"/>
      <c r="U31" s="1154"/>
      <c r="V31" s="1154"/>
      <c r="W31" s="1154"/>
      <c r="X31" s="1154"/>
      <c r="AL31" s="1154"/>
      <c r="AM31" s="1154"/>
      <c r="AN31" s="1154"/>
      <c r="AO31" s="1154"/>
      <c r="AP31" s="1154"/>
      <c r="AQ31" s="1154"/>
      <c r="BC31" s="110"/>
      <c r="BD31" s="110"/>
      <c r="BE31" s="110"/>
      <c r="BH31" s="109"/>
      <c r="BI31" s="109"/>
      <c r="BJ31" s="109"/>
      <c r="BK31" s="109"/>
    </row>
    <row r="32" customHeight="1" spans="1:75">
      <c r="A32" s="1155" t="s">
        <v>3170</v>
      </c>
      <c r="B32" s="110"/>
      <c r="C32" s="110"/>
      <c r="D32" s="110"/>
      <c r="E32" s="110"/>
      <c r="F32" s="110"/>
      <c r="G32" s="110"/>
      <c r="H32" s="110"/>
      <c r="AW32" s="110"/>
      <c r="BC32" s="110"/>
      <c r="BD32" s="110"/>
      <c r="BE32" s="110"/>
      <c r="BH32" s="109"/>
      <c r="BI32" s="109"/>
      <c r="BJ32" s="109"/>
      <c r="BK32" s="109"/>
    </row>
    <row r="33" customHeight="1" spans="1:63">
      <c r="A33" s="1156" t="s">
        <v>3123</v>
      </c>
      <c r="B33" s="1157"/>
      <c r="C33" s="110"/>
      <c r="D33" s="110"/>
      <c r="E33" s="110"/>
      <c r="F33" s="110"/>
      <c r="G33" s="110"/>
      <c r="H33" s="110"/>
      <c r="L33" s="1109"/>
      <c r="AW33" s="110"/>
      <c r="BC33" s="110"/>
      <c r="BD33" s="110"/>
      <c r="BE33" s="110"/>
      <c r="BH33" s="109"/>
      <c r="BI33" s="109"/>
      <c r="BJ33" s="109"/>
      <c r="BK33" s="109"/>
    </row>
    <row r="34" customHeight="1" spans="1:63">
      <c r="A34" s="1156" t="s">
        <v>3124</v>
      </c>
      <c r="B34" s="1157"/>
      <c r="C34" s="110"/>
      <c r="D34" s="110"/>
      <c r="E34" s="110"/>
      <c r="F34" s="110"/>
      <c r="G34" s="110"/>
      <c r="H34" s="110"/>
      <c r="L34" s="1109"/>
      <c r="AW34" s="110"/>
      <c r="BC34" s="110"/>
      <c r="BD34" s="110"/>
      <c r="BE34" s="110"/>
      <c r="BH34" s="109"/>
      <c r="BI34" s="109"/>
      <c r="BJ34" s="109"/>
      <c r="BK34" s="109"/>
    </row>
    <row r="35" customHeight="1" spans="1:63">
      <c r="A35" s="1156" t="s">
        <v>3125</v>
      </c>
      <c r="B35" s="1157"/>
      <c r="C35" s="110"/>
      <c r="D35" s="110"/>
      <c r="E35" s="110"/>
      <c r="F35" s="110"/>
      <c r="G35" s="110"/>
      <c r="H35" s="110"/>
      <c r="L35" s="1109"/>
      <c r="AW35" s="110"/>
      <c r="BC35" s="110"/>
      <c r="BD35" s="110"/>
      <c r="BE35" s="110"/>
      <c r="BH35" s="109"/>
      <c r="BI35" s="109"/>
      <c r="BJ35" s="109"/>
      <c r="BK35" s="109"/>
    </row>
    <row r="36" customHeight="1" spans="1:63">
      <c r="A36" s="1156" t="s">
        <v>3205</v>
      </c>
      <c r="B36" s="1157"/>
      <c r="C36" s="110"/>
      <c r="D36" s="110"/>
      <c r="E36" s="110"/>
      <c r="F36" s="110"/>
      <c r="G36" s="110"/>
      <c r="H36" s="110"/>
      <c r="L36" s="1109"/>
      <c r="AW36" s="110"/>
      <c r="BC36" s="110"/>
      <c r="BD36" s="110"/>
      <c r="BE36" s="110"/>
      <c r="BH36" s="109"/>
      <c r="BI36" s="109"/>
      <c r="BJ36" s="109"/>
      <c r="BK36" s="109"/>
    </row>
    <row r="37" customHeight="1" spans="1:63">
      <c r="A37" s="1156" t="s">
        <v>3206</v>
      </c>
      <c r="B37" s="1157"/>
      <c r="C37" s="110"/>
      <c r="D37" s="110"/>
      <c r="E37" s="110"/>
      <c r="F37" s="110"/>
      <c r="G37" s="110"/>
      <c r="H37" s="110"/>
      <c r="L37" s="1109"/>
      <c r="AW37" s="110"/>
      <c r="BC37" s="110"/>
      <c r="BD37" s="110"/>
      <c r="BE37" s="110"/>
      <c r="BH37" s="109"/>
      <c r="BI37" s="109"/>
      <c r="BJ37" s="109"/>
      <c r="BK37" s="109"/>
    </row>
    <row r="38" customHeight="1" spans="1:63">
      <c r="A38" s="1156" t="s">
        <v>3207</v>
      </c>
      <c r="B38" s="1157"/>
      <c r="C38" s="110"/>
      <c r="D38" s="110"/>
      <c r="E38" s="110"/>
      <c r="F38" s="110"/>
      <c r="G38" s="110"/>
      <c r="H38" s="110"/>
      <c r="L38" s="1109"/>
      <c r="AW38" s="110"/>
      <c r="BC38" s="110"/>
      <c r="BD38" s="110"/>
      <c r="BE38" s="110"/>
      <c r="BH38" s="109"/>
      <c r="BI38" s="109"/>
      <c r="BJ38" s="109"/>
      <c r="BK38" s="109"/>
    </row>
    <row r="39" customHeight="1" spans="1:63">
      <c r="A39" s="1156" t="s">
        <v>3208</v>
      </c>
      <c r="B39" s="1157"/>
      <c r="C39" s="110"/>
      <c r="D39" s="110"/>
      <c r="E39" s="110"/>
      <c r="F39" s="110"/>
      <c r="G39" s="110"/>
      <c r="H39" s="110"/>
      <c r="L39" s="1109"/>
      <c r="AW39" s="110"/>
      <c r="BC39" s="110"/>
      <c r="BD39" s="110"/>
      <c r="BE39" s="110"/>
      <c r="BH39" s="109"/>
      <c r="BI39" s="109"/>
      <c r="BJ39" s="109"/>
      <c r="BK39" s="109"/>
    </row>
    <row r="40" customHeight="1" spans="1:63">
      <c r="A40" s="1156" t="s">
        <v>3209</v>
      </c>
      <c r="B40" s="1157"/>
      <c r="C40" s="110"/>
      <c r="D40" s="110"/>
      <c r="E40" s="110"/>
      <c r="F40" s="110"/>
      <c r="G40" s="110"/>
      <c r="H40" s="110"/>
      <c r="L40" s="1109"/>
      <c r="AW40" s="110"/>
      <c r="BC40" s="110"/>
      <c r="BD40" s="110"/>
      <c r="BE40" s="110"/>
      <c r="BH40" s="109"/>
      <c r="BI40" s="109"/>
      <c r="BJ40" s="109"/>
      <c r="BK40" s="109"/>
    </row>
    <row r="41" customHeight="1" spans="1:63">
      <c r="A41" s="1156" t="s">
        <v>3210</v>
      </c>
      <c r="B41" s="1157"/>
      <c r="C41" s="110"/>
      <c r="D41" s="110"/>
      <c r="E41" s="110"/>
      <c r="F41" s="110"/>
      <c r="G41" s="110"/>
      <c r="H41" s="110"/>
      <c r="L41" s="1109"/>
      <c r="AW41" s="110"/>
      <c r="BC41" s="110"/>
      <c r="BD41" s="110"/>
      <c r="BE41" s="110"/>
      <c r="BH41" s="109"/>
      <c r="BI41" s="109"/>
      <c r="BJ41" s="109"/>
      <c r="BK41" s="109"/>
    </row>
    <row r="42" customHeight="1" spans="1:63">
      <c r="A42" s="1156" t="s">
        <v>3211</v>
      </c>
      <c r="B42" s="1157"/>
      <c r="C42" s="110"/>
      <c r="D42" s="110"/>
      <c r="E42" s="110"/>
      <c r="F42" s="110"/>
      <c r="G42" s="110"/>
      <c r="H42" s="110"/>
      <c r="AW42" s="110"/>
      <c r="BC42" s="110"/>
      <c r="BD42" s="110"/>
      <c r="BE42" s="110"/>
      <c r="BH42" s="109"/>
      <c r="BI42" s="109"/>
      <c r="BJ42" s="109"/>
      <c r="BK42" s="109"/>
    </row>
    <row r="43" customHeight="1" spans="1:63">
      <c r="A43" s="1156" t="s">
        <v>3212</v>
      </c>
      <c r="B43" s="1157"/>
      <c r="C43" s="110"/>
      <c r="D43" s="110"/>
      <c r="E43" s="110"/>
      <c r="F43" s="110"/>
      <c r="G43" s="110"/>
      <c r="H43" s="110"/>
      <c r="AW43" s="110"/>
      <c r="BC43" s="110"/>
      <c r="BD43" s="110"/>
      <c r="BE43" s="110"/>
      <c r="BH43" s="109"/>
      <c r="BI43" s="109"/>
      <c r="BJ43" s="109"/>
      <c r="BK43" s="109"/>
    </row>
    <row r="44" customHeight="1" spans="1:63">
      <c r="A44" s="1156" t="s">
        <v>3213</v>
      </c>
      <c r="B44" s="1157"/>
      <c r="C44" s="110"/>
      <c r="D44" s="110"/>
      <c r="E44" s="110"/>
      <c r="F44" s="110"/>
      <c r="G44" s="110"/>
      <c r="H44" s="110"/>
      <c r="AW44" s="110"/>
      <c r="BC44" s="110"/>
      <c r="BD44" s="110"/>
      <c r="BE44" s="110"/>
      <c r="BH44" s="109"/>
      <c r="BI44" s="109"/>
      <c r="BJ44" s="109"/>
      <c r="BK44" s="109"/>
    </row>
    <row r="45" customHeight="1" spans="1:63">
      <c r="A45" s="1156" t="s">
        <v>3214</v>
      </c>
      <c r="B45" s="1157"/>
      <c r="C45" s="110"/>
      <c r="D45" s="110"/>
      <c r="E45" s="110"/>
      <c r="F45" s="110"/>
      <c r="G45" s="110"/>
      <c r="H45" s="110"/>
      <c r="L45" s="1109"/>
      <c r="AW45" s="110"/>
      <c r="BC45" s="110"/>
      <c r="BD45" s="110"/>
      <c r="BE45" s="110"/>
      <c r="BH45" s="109"/>
      <c r="BI45" s="109"/>
      <c r="BJ45" s="109"/>
      <c r="BK45" s="109"/>
    </row>
    <row r="46" hidden="1" customHeight="1" outlineLevel="1" spans="1:63">
      <c r="B46" s="154" t="s">
        <v>1673</v>
      </c>
      <c r="AA46" s="628">
        <f>SUMIF($BA8:$BA25,$BA46,AA8:AA25)</f>
        <v>0</v>
      </c>
      <c r="AB46" s="628">
        <f>SUMIF($BA8:$BA25,$BA46,AB8:AB25)</f>
        <v>0</v>
      </c>
      <c r="AC46" s="1158"/>
      <c r="AD46" s="1158"/>
      <c r="AE46" s="1158"/>
      <c r="AF46" s="1158"/>
      <c r="AG46" s="1158"/>
      <c r="AH46" s="1158"/>
      <c r="AI46" s="1158"/>
      <c r="AJ46" s="1158"/>
      <c r="AK46" s="1158"/>
      <c r="AL46" s="1158"/>
      <c r="AM46" s="1158"/>
      <c r="AN46" s="1158"/>
      <c r="AO46" s="1158"/>
      <c r="AP46" s="1158"/>
      <c r="AQ46" s="1158"/>
      <c r="AR46" s="1158"/>
      <c r="AS46" s="1158"/>
      <c r="AT46" s="628">
        <f>SUMIF($BA8:$BA25,$BA46,AT8:AT25)</f>
        <v>0</v>
      </c>
      <c r="AU46" s="628">
        <f>SUMIF($BA8:$BA25,$BA46,AU8:AU25)</f>
        <v>0</v>
      </c>
      <c r="AV46" s="628">
        <f>SUMIF($BA8:$BA25,$BA46,AV8:AV25)</f>
        <v>0</v>
      </c>
      <c r="BA46" s="161" t="s">
        <v>1674</v>
      </c>
      <c r="BC46" s="110"/>
      <c r="BD46" s="110"/>
      <c r="BE46" s="110"/>
      <c r="BH46" s="1021" t="s">
        <v>3133</v>
      </c>
      <c r="BI46" s="1021" t="s">
        <v>3133</v>
      </c>
      <c r="BJ46" s="1021" t="s">
        <v>3133</v>
      </c>
      <c r="BK46" s="1021" t="s">
        <v>3133</v>
      </c>
    </row>
    <row r="47" hidden="1" customHeight="1" outlineLevel="1" spans="1:63">
      <c r="B47" s="154" t="s">
        <v>1676</v>
      </c>
      <c r="AA47" s="628">
        <f>AA26-AA46</f>
        <v>0</v>
      </c>
      <c r="AB47" s="628">
        <f>AB26-AB46</f>
        <v>0</v>
      </c>
      <c r="AC47" s="1158"/>
      <c r="AD47" s="1158"/>
      <c r="AE47" s="1158"/>
      <c r="AF47" s="1158"/>
      <c r="AG47" s="1158"/>
      <c r="AH47" s="1158"/>
      <c r="AI47" s="1158"/>
      <c r="AJ47" s="1158"/>
      <c r="AK47" s="1158"/>
      <c r="AL47" s="1158"/>
      <c r="AM47" s="1158"/>
      <c r="AN47" s="1158"/>
      <c r="AO47" s="1158"/>
      <c r="AP47" s="1158"/>
      <c r="AQ47" s="1158"/>
      <c r="AR47" s="1158"/>
      <c r="AS47" s="1158"/>
      <c r="AT47" s="628">
        <f>AT26-AT46</f>
        <v>0</v>
      </c>
      <c r="AU47" s="628">
        <f>AU26-AU46</f>
        <v>0</v>
      </c>
      <c r="AV47" s="628">
        <f>AV26-AV46</f>
        <v>0</v>
      </c>
      <c r="BA47" s="161" t="s">
        <v>1677</v>
      </c>
      <c r="BC47" s="110"/>
      <c r="BD47" s="110"/>
      <c r="BE47" s="110"/>
      <c r="BH47" s="1021" t="s">
        <v>3134</v>
      </c>
      <c r="BI47" s="1021" t="s">
        <v>3134</v>
      </c>
      <c r="BJ47" s="1021" t="s">
        <v>3134</v>
      </c>
      <c r="BK47" s="1021" t="s">
        <v>3134</v>
      </c>
    </row>
    <row r="48" customHeight="1" collapsed="1" spans="1:63">
      <c r="BC48" s="110"/>
      <c r="BD48" s="110"/>
      <c r="BE48" s="110"/>
      <c r="BH48" s="109"/>
      <c r="BI48" s="109"/>
      <c r="BJ48" s="109"/>
      <c r="BK48" s="109"/>
    </row>
    <row r="49" customHeight="1" spans="55:63">
      <c r="BC49" s="110"/>
      <c r="BD49" s="110"/>
      <c r="BE49" s="110"/>
      <c r="BH49" s="109"/>
      <c r="BI49" s="109"/>
      <c r="BJ49" s="109"/>
      <c r="BK49" s="109"/>
    </row>
    <row r="50" customHeight="1" spans="55:63">
      <c r="BC50" s="110"/>
      <c r="BD50" s="110"/>
      <c r="BE50" s="110"/>
      <c r="BH50" s="109"/>
      <c r="BI50" s="109"/>
      <c r="BJ50" s="109"/>
      <c r="BK50" s="109"/>
    </row>
  </sheetData>
  <sheetProtection autoFilter="0"/>
  <mergeCells count="34">
    <mergeCell ref="A2:AX2"/>
    <mergeCell ref="A3:AX3"/>
    <mergeCell ref="C6:G6"/>
    <mergeCell ref="O6:R6"/>
    <mergeCell ref="S6:AB6"/>
    <mergeCell ref="AC6:AK6"/>
    <mergeCell ref="AL6:AU6"/>
    <mergeCell ref="BU8:BW8"/>
    <mergeCell ref="BU9:BW9"/>
    <mergeCell ref="BV15:BW15"/>
    <mergeCell ref="A26:D26"/>
    <mergeCell ref="A27:D27"/>
    <mergeCell ref="A28:D28"/>
    <mergeCell ref="A6:A7"/>
    <mergeCell ref="B6:B7"/>
    <mergeCell ref="H6:H7"/>
    <mergeCell ref="I6:I7"/>
    <mergeCell ref="J6:J7"/>
    <mergeCell ref="K6:K7"/>
    <mergeCell ref="L6:L7"/>
    <mergeCell ref="M6:M7"/>
    <mergeCell ref="N6:N7"/>
    <mergeCell ref="AV6:AV7"/>
    <mergeCell ref="AW6:AW7"/>
    <mergeCell ref="AX6:AX7"/>
    <mergeCell ref="BF6:BF7"/>
    <mergeCell ref="BG6:BG7"/>
    <mergeCell ref="BH6:BH7"/>
    <mergeCell ref="BI6:BI7"/>
    <mergeCell ref="BJ6:BJ7"/>
    <mergeCell ref="BK6:BK7"/>
    <mergeCell ref="BL6:BL7"/>
    <mergeCell ref="BM6:BM7"/>
    <mergeCell ref="BN6:BN7"/>
  </mergeCells>
  <conditionalFormatting sqref="BL8:BL25">
    <cfRule type="expression" dxfId="5" priority="4" stopIfTrue="1">
      <formula>AND(BK8="无",BL8="")</formula>
    </cfRule>
  </conditionalFormatting>
  <conditionalFormatting sqref="BF8:BG25">
    <cfRule type="containsText" dxfId="6" priority="1" stopIfTrue="1" operator="between" text="出错">
      <formula>NOT(ISERROR(SEARCH("出错",BF8)))</formula>
    </cfRule>
  </conditionalFormatting>
  <conditionalFormatting sqref="BH8:BK25">
    <cfRule type="expression" dxfId="5" priority="5" stopIfTrue="1">
      <formula>AND(#REF!&lt;&gt;"",BH8="")</formula>
    </cfRule>
  </conditionalFormatting>
  <dataValidations count="4">
    <dataValidation type="list" allowBlank="1" showInputMessage="1" showErrorMessage="1" sqref="O8:O25">
      <formula1>OFFSET(参数表!$H$2:$H$50,,,COUNTA(参数表!$H$2:$H$50))</formula1>
    </dataValidation>
    <dataValidation type="list" allowBlank="1" showInputMessage="1" showErrorMessage="1" sqref="BA8:BA25 BA46:BA47">
      <formula1>"是,否"</formula1>
    </dataValidation>
    <dataValidation type="list" allowBlank="1" showInputMessage="1" showErrorMessage="1" sqref="BC8:BC25">
      <formula1>"  ,√"</formula1>
    </dataValidation>
    <dataValidation type="list" allowBlank="1" showInputMessage="1" showErrorMessage="1" sqref="BH8:BK25">
      <formula1>BH$46:BH$47</formula1>
    </dataValidation>
  </dataValidations>
  <hyperlinks>
    <hyperlink ref="A1" location="索引目录!E27" display="返回索引页"/>
  </hyperlinks>
  <printOptions horizontalCentered="1"/>
  <pageMargins left="0.393700787401575" right="0.393700787401575" top="0.984251968503937" bottom="0.393700787401575" header="0.984251968503937" footer="0.393700787401575"/>
  <pageSetup paperSize="9" orientation="landscape" blackAndWhite="1"/>
  <headerFooter alignWithMargins="0">
    <oddHeader>&amp;R&amp;"宋体,常规"&amp;11共&amp;N页，第&amp;P页&amp;"Times New Roman,常规"</oddHead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6"/>
  <dimension ref="A1:BZ36"/>
  <sheetViews>
    <sheetView zoomScaleSheetLayoutView="70" workbookViewId="0">
      <pane xSplit="2" ySplit="8" topLeftCell="C9" activePane="bottomRight" state="frozen"/>
      <selection/>
      <selection pane="topRight"/>
      <selection pane="bottomLeft"/>
      <selection pane="bottomRight" activeCell="E45" sqref="E45"/>
    </sheetView>
  </sheetViews>
  <sheetFormatPr defaultColWidth="9" defaultRowHeight="15.6"/>
  <cols>
    <col min="1" max="1" width="4.6" style="1022" customWidth="1"/>
    <col min="2" max="2" width="12.6" style="279" customWidth="1"/>
    <col min="3" max="3" width="10.6" style="279" customWidth="1"/>
    <col min="4" max="6" width="15.6" style="279" customWidth="1" outlineLevel="1"/>
    <col min="7" max="7" width="5.6" style="1023" customWidth="1"/>
    <col min="8" max="8" width="5.6" style="279" customWidth="1"/>
    <col min="9" max="9" width="5.8" style="279" customWidth="1"/>
    <col min="10" max="10" width="8.6" style="279" customWidth="1" outlineLevel="1"/>
    <col min="11" max="15" width="5.6" style="279" customWidth="1" outlineLevel="1"/>
    <col min="16" max="16" width="10.6" style="279" customWidth="1" outlineLevel="1"/>
    <col min="17" max="17" width="9.1" style="279" customWidth="1" outlineLevel="1"/>
    <col min="18" max="18" width="10.6" style="279" customWidth="1" outlineLevel="1"/>
    <col min="19" max="21" width="10.6" style="1023" customWidth="1" outlineLevel="1"/>
    <col min="22" max="23" width="10.6" style="279" customWidth="1" outlineLevel="1"/>
    <col min="24" max="25" width="4.6" style="279" customWidth="1" outlineLevel="1"/>
    <col min="26" max="27" width="6.1" style="279" customWidth="1" outlineLevel="1"/>
    <col min="28" max="29" width="10.6" style="279" customWidth="1" outlineLevel="1"/>
    <col min="30" max="31" width="10.6" style="1024" customWidth="1" outlineLevel="1"/>
    <col min="32" max="34" width="10.6" style="279" customWidth="1"/>
    <col min="35" max="35" width="8.6" style="279" customWidth="1"/>
    <col min="36" max="36" width="5.6" style="279" customWidth="1"/>
    <col min="37" max="37" width="6.6" style="279" customWidth="1"/>
    <col min="38" max="52" width="9" style="279" hidden="1" customWidth="1" outlineLevel="1"/>
    <col min="53" max="53" width="14.7" style="110" customWidth="1" collapsed="1"/>
    <col min="54" max="54" width="6.7" style="110" customWidth="1"/>
    <col min="55" max="56" width="5" style="109" customWidth="1"/>
    <col min="57" max="57" width="8.6" style="109" customWidth="1"/>
    <col min="58" max="59" width="9.6" style="110" customWidth="1"/>
    <col min="60" max="63" width="4.7" style="110" customWidth="1"/>
    <col min="64" max="64" width="10.3" style="110" customWidth="1"/>
    <col min="65" max="65" width="8.6" style="110" customWidth="1"/>
    <col min="66" max="66" width="1.6" style="110" customWidth="1"/>
    <col min="67" max="67" width="7.6" style="110" customWidth="1"/>
    <col min="68" max="69" width="7.6" style="279" customWidth="1"/>
    <col min="70" max="70" width="1.6" style="77" customWidth="1"/>
    <col min="71" max="71" width="10.6" style="78" customWidth="1"/>
    <col min="72" max="72" width="10.6" style="77" customWidth="1"/>
    <col min="73" max="73" width="4.6" style="78" customWidth="1"/>
    <col min="74" max="74" width="10.6" style="78" customWidth="1"/>
    <col min="75" max="76" width="4.6" style="78" customWidth="1"/>
    <col min="77" max="77" width="10.6" style="78" customWidth="1"/>
    <col min="78" max="78" width="5" style="77" customWidth="1"/>
    <col min="79" max="16384" width="9" style="279"/>
  </cols>
  <sheetData>
    <row r="1" spans="1:78">
      <c r="A1" s="1025" t="s">
        <v>233</v>
      </c>
      <c r="B1" s="1026"/>
      <c r="C1" s="1026"/>
      <c r="D1" s="1027"/>
      <c r="E1" s="1027"/>
      <c r="F1" s="1027"/>
      <c r="G1" s="1028"/>
      <c r="H1" s="1028"/>
      <c r="I1" s="1027"/>
      <c r="J1" s="1027"/>
      <c r="K1" s="1027"/>
      <c r="L1" s="1027"/>
      <c r="M1" s="1027"/>
      <c r="N1" s="1027"/>
      <c r="O1" s="1027"/>
      <c r="P1" s="1027"/>
      <c r="Q1" s="1026"/>
      <c r="R1" s="1026"/>
      <c r="S1" s="1027"/>
      <c r="T1" s="1027"/>
      <c r="U1" s="1029"/>
      <c r="V1" s="1030"/>
      <c r="W1" s="1031"/>
      <c r="X1" s="1031"/>
      <c r="Y1" s="1031"/>
      <c r="Z1" s="1031"/>
      <c r="AA1" s="1031"/>
      <c r="AB1" s="1026"/>
      <c r="AC1" s="1026"/>
      <c r="AD1" s="1032"/>
      <c r="AE1" s="1032"/>
      <c r="AF1" s="1027"/>
      <c r="AG1" s="1027"/>
      <c r="AH1" s="1027"/>
      <c r="AI1" s="1027"/>
      <c r="AJ1" s="1027"/>
      <c r="AK1" s="1027"/>
      <c r="BA1" s="84" t="str">
        <f>参数表!$BA$1</f>
        <v>注意：补充特殊事项、作价等均从BA列开始填写</v>
      </c>
      <c r="BB1" s="85"/>
      <c r="BD1" s="1033"/>
      <c r="BE1" s="1034"/>
      <c r="BR1" s="87"/>
      <c r="BS1" s="88"/>
      <c r="BT1" s="87"/>
      <c r="BU1" s="88"/>
      <c r="BV1" s="88"/>
      <c r="BW1" s="88"/>
      <c r="BX1" s="88"/>
      <c r="BY1" s="88"/>
      <c r="BZ1" s="87"/>
    </row>
    <row r="2" s="1003" customFormat="1" ht="25.2" spans="1:78">
      <c r="A2" s="1035" t="s">
        <v>3215</v>
      </c>
      <c r="B2" s="1036"/>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BA2" s="90" t="str">
        <f>参数表!$BA$2</f>
        <v>评估基准日：</v>
      </c>
      <c r="BB2" s="91" t="str">
        <f>参数表!$BB$2</f>
        <v>2025年7月31日</v>
      </c>
      <c r="BC2" s="1002"/>
      <c r="BD2" s="1002"/>
      <c r="BE2" s="1002"/>
      <c r="BF2" s="1002"/>
      <c r="BG2" s="1002"/>
      <c r="BH2" s="1002"/>
      <c r="BI2" s="1002"/>
      <c r="BJ2" s="1002"/>
      <c r="BK2" s="1002"/>
      <c r="BL2" s="1002"/>
      <c r="BM2" s="1002"/>
      <c r="BN2" s="1002"/>
      <c r="BO2" s="1002"/>
      <c r="BR2" s="92"/>
      <c r="BS2" s="93"/>
      <c r="BT2" s="92"/>
      <c r="BU2" s="93"/>
      <c r="BV2" s="93"/>
      <c r="BW2" s="93"/>
      <c r="BX2" s="93"/>
      <c r="BY2" s="93"/>
      <c r="BZ2" s="92"/>
    </row>
    <row r="3" ht="22.8" spans="1:78">
      <c r="A3" s="1037" t="str">
        <f>参数表!F5</f>
        <v>评估基准日：2025年7月31日</v>
      </c>
      <c r="B3" s="1037"/>
      <c r="C3" s="1037"/>
      <c r="D3" s="1037"/>
      <c r="E3" s="1037"/>
      <c r="F3" s="1037"/>
      <c r="G3" s="1037"/>
      <c r="H3" s="1037"/>
      <c r="I3" s="1037"/>
      <c r="J3" s="1037"/>
      <c r="K3" s="1037"/>
      <c r="L3" s="1037"/>
      <c r="M3" s="1037"/>
      <c r="N3" s="1037"/>
      <c r="O3" s="1037"/>
      <c r="P3" s="1037"/>
      <c r="Q3" s="1037"/>
      <c r="R3" s="1037"/>
      <c r="S3" s="1037"/>
      <c r="T3" s="1037"/>
      <c r="U3" s="1037"/>
      <c r="V3" s="1037"/>
      <c r="W3" s="1037"/>
      <c r="X3" s="1037"/>
      <c r="Y3" s="1037"/>
      <c r="Z3" s="1037"/>
      <c r="AA3" s="1037"/>
      <c r="AB3" s="1037"/>
      <c r="AC3" s="1037"/>
      <c r="AD3" s="1037"/>
      <c r="AE3" s="1037"/>
      <c r="AF3" s="1037"/>
      <c r="AG3" s="1037"/>
      <c r="AH3" s="1037"/>
      <c r="AI3" s="1037"/>
      <c r="AJ3" s="1037"/>
      <c r="AK3" s="1037"/>
      <c r="BA3" s="90" t="str">
        <f>参数表!$BA$3</f>
        <v>是否显示评估值：</v>
      </c>
      <c r="BB3" s="90" t="str">
        <f>参数表!$BB$3</f>
        <v>是</v>
      </c>
      <c r="BR3" s="92"/>
      <c r="BS3" s="93"/>
      <c r="BT3" s="92"/>
      <c r="BU3" s="93"/>
      <c r="BV3" s="93"/>
      <c r="BW3" s="93"/>
      <c r="BX3" s="93"/>
      <c r="BY3" s="93"/>
      <c r="BZ3" s="92"/>
    </row>
    <row r="4" spans="1:78">
      <c r="A4" s="1038"/>
      <c r="B4" s="1037"/>
      <c r="C4" s="1037"/>
      <c r="D4" s="1037"/>
      <c r="E4" s="1037"/>
      <c r="F4" s="1037"/>
      <c r="G4" s="1037"/>
      <c r="H4" s="1037"/>
      <c r="I4" s="1037"/>
      <c r="J4" s="1037"/>
      <c r="K4" s="1037"/>
      <c r="L4" s="1037"/>
      <c r="M4" s="1037"/>
      <c r="N4" s="1037"/>
      <c r="O4" s="1037"/>
      <c r="P4" s="1037"/>
      <c r="Q4" s="1037"/>
      <c r="R4" s="1037"/>
      <c r="S4" s="1037"/>
      <c r="T4" s="1037"/>
      <c r="U4" s="1037"/>
      <c r="V4" s="1037"/>
      <c r="W4" s="1037"/>
      <c r="X4" s="1037"/>
      <c r="Y4" s="1037"/>
      <c r="Z4" s="1037"/>
      <c r="AA4" s="1037"/>
      <c r="AB4" s="1037"/>
      <c r="AC4" s="1037"/>
      <c r="AD4" s="1039"/>
      <c r="AE4" s="1039"/>
      <c r="AF4" s="1037"/>
      <c r="AG4" s="1037"/>
      <c r="AH4" s="1037"/>
      <c r="AI4" s="1037"/>
      <c r="AJ4" s="1037"/>
      <c r="AK4" s="1037" t="str">
        <f>"表"&amp;BA4</f>
        <v>表3-10-12</v>
      </c>
      <c r="BA4" s="1040" t="str">
        <f>存货总!A18</f>
        <v>3-10-12</v>
      </c>
      <c r="BB4" s="100">
        <f>MAX(COUNTA(A8:A25),COUNTA(B8:B25),COUNTA(AE8:AE25),COUNTA(AF8:AF25))</f>
        <v>18</v>
      </c>
      <c r="BC4" s="101">
        <f>ROW(A7)+1</f>
        <v>8</v>
      </c>
      <c r="BD4" s="77"/>
      <c r="BE4" s="77"/>
      <c r="BT4" s="78"/>
    </row>
    <row r="5" spans="1:78">
      <c r="A5" s="1041" t="str">
        <f>参数表!F3</f>
        <v>产权持有单位:中煤第五建设有限公司</v>
      </c>
      <c r="B5" s="1041"/>
      <c r="C5" s="1041"/>
      <c r="D5" s="1041"/>
      <c r="E5" s="1041"/>
      <c r="F5" s="1041"/>
      <c r="G5" s="1042"/>
      <c r="H5" s="1043"/>
      <c r="I5" s="1041"/>
      <c r="J5" s="1041"/>
      <c r="K5" s="1041"/>
      <c r="L5" s="1041"/>
      <c r="M5" s="1041"/>
      <c r="N5" s="1041"/>
      <c r="O5" s="1041"/>
      <c r="P5" s="1041"/>
      <c r="Q5" s="1044"/>
      <c r="R5" s="1044"/>
      <c r="S5" s="1037"/>
      <c r="T5" s="1037"/>
      <c r="U5" s="1037"/>
      <c r="V5" s="1041"/>
      <c r="W5" s="1044"/>
      <c r="X5" s="1044"/>
      <c r="Y5" s="1044"/>
      <c r="Z5" s="1044"/>
      <c r="AA5" s="1044"/>
      <c r="AB5" s="1045"/>
      <c r="AC5" s="1045"/>
      <c r="AD5" s="1046"/>
      <c r="AE5" s="1047"/>
      <c r="AF5" s="1043"/>
      <c r="AG5" s="1043"/>
      <c r="AH5" s="1043"/>
      <c r="AI5" s="1043"/>
      <c r="AJ5" s="1043"/>
      <c r="AK5" s="1048" t="s">
        <v>3216</v>
      </c>
      <c r="BA5" s="1049"/>
      <c r="BB5" s="105" t="s">
        <v>3217</v>
      </c>
      <c r="BC5" s="106">
        <f>IFERROR(SUMIF(BC8:BC25,"√",AF8:AF25)/AF26,0)</f>
        <v>0</v>
      </c>
      <c r="BD5" s="107"/>
      <c r="BE5" s="107"/>
      <c r="BF5" s="108">
        <f>开发产品!BF5</f>
        <v>35557.52</v>
      </c>
      <c r="BG5" s="108">
        <f>开发产品!BG5</f>
        <v>35557.52</v>
      </c>
      <c r="BH5" s="109"/>
      <c r="BI5" s="109"/>
      <c r="BJ5" s="109"/>
      <c r="BK5" s="109"/>
      <c r="BT5" s="78"/>
    </row>
    <row r="6" s="1003" customFormat="1" ht="15.75" customHeight="1" spans="1:78">
      <c r="A6" s="1050" t="s">
        <v>3218</v>
      </c>
      <c r="B6" s="1051" t="s">
        <v>3219</v>
      </c>
      <c r="C6" s="1052" t="s">
        <v>3220</v>
      </c>
      <c r="D6" s="1051" t="s">
        <v>3221</v>
      </c>
      <c r="E6" s="1051" t="s">
        <v>3222</v>
      </c>
      <c r="F6" s="1051" t="s">
        <v>3223</v>
      </c>
      <c r="G6" s="1053" t="s">
        <v>3224</v>
      </c>
      <c r="H6" s="1053" t="s">
        <v>3225</v>
      </c>
      <c r="I6" s="1051" t="s">
        <v>3226</v>
      </c>
      <c r="J6" s="306" t="s">
        <v>3227</v>
      </c>
      <c r="K6" s="307" t="s">
        <v>3228</v>
      </c>
      <c r="L6" s="308"/>
      <c r="M6" s="308"/>
      <c r="N6" s="308"/>
      <c r="O6" s="308"/>
      <c r="P6" s="308"/>
      <c r="Q6" s="1054" t="s">
        <v>3229</v>
      </c>
      <c r="R6" s="1054" t="s">
        <v>3230</v>
      </c>
      <c r="S6" s="1051" t="s">
        <v>3231</v>
      </c>
      <c r="T6" s="1051" t="s">
        <v>3232</v>
      </c>
      <c r="U6" s="1051" t="s">
        <v>3233</v>
      </c>
      <c r="V6" s="1051" t="s">
        <v>3234</v>
      </c>
      <c r="W6" s="1054" t="s">
        <v>3235</v>
      </c>
      <c r="X6" s="511" t="s">
        <v>1964</v>
      </c>
      <c r="Y6" s="512"/>
      <c r="Z6" s="512"/>
      <c r="AA6" s="513"/>
      <c r="AB6" s="1055" t="s">
        <v>1598</v>
      </c>
      <c r="AC6" s="1055"/>
      <c r="AD6" s="1056" t="s">
        <v>3236</v>
      </c>
      <c r="AE6" s="1056"/>
      <c r="AF6" s="308" t="s">
        <v>1599</v>
      </c>
      <c r="AG6" s="308"/>
      <c r="AH6" s="302" t="s">
        <v>3237</v>
      </c>
      <c r="AI6" s="192" t="s">
        <v>1929</v>
      </c>
      <c r="AJ6" s="1051" t="s">
        <v>3238</v>
      </c>
      <c r="AK6" s="1051" t="s">
        <v>3239</v>
      </c>
      <c r="BA6" s="1057"/>
      <c r="BB6" s="100"/>
      <c r="BC6" s="100"/>
      <c r="BD6" s="100"/>
      <c r="BE6" s="100"/>
      <c r="BF6" s="192" t="s">
        <v>1639</v>
      </c>
      <c r="BG6" s="192" t="s">
        <v>1640</v>
      </c>
      <c r="BH6" s="113" t="s">
        <v>1748</v>
      </c>
      <c r="BI6" s="113" t="s">
        <v>1749</v>
      </c>
      <c r="BJ6" s="118" t="s">
        <v>1750</v>
      </c>
      <c r="BK6" s="118" t="s">
        <v>1641</v>
      </c>
      <c r="BL6" s="118" t="s">
        <v>2209</v>
      </c>
      <c r="BM6" s="113" t="s">
        <v>1644</v>
      </c>
      <c r="BN6" s="110"/>
      <c r="BO6" s="1005" t="s">
        <v>3240</v>
      </c>
      <c r="BP6" s="1006" t="s">
        <v>3241</v>
      </c>
      <c r="BQ6" s="1005" t="s">
        <v>526</v>
      </c>
      <c r="BR6" s="111"/>
      <c r="BS6" s="78"/>
      <c r="BT6" s="78"/>
      <c r="BU6" s="78"/>
      <c r="BV6" s="78"/>
      <c r="BW6" s="78"/>
      <c r="BX6" s="78"/>
      <c r="BY6" s="194"/>
      <c r="BZ6" s="111"/>
    </row>
    <row r="7" s="1003" customFormat="1" spans="1:78">
      <c r="A7" s="1058"/>
      <c r="B7" s="314"/>
      <c r="C7" s="1059"/>
      <c r="D7" s="314"/>
      <c r="E7" s="314"/>
      <c r="F7" s="314"/>
      <c r="G7" s="1060"/>
      <c r="H7" s="1060"/>
      <c r="I7" s="314"/>
      <c r="J7" s="314"/>
      <c r="K7" s="308" t="s">
        <v>3242</v>
      </c>
      <c r="L7" s="308" t="s">
        <v>3243</v>
      </c>
      <c r="M7" s="308" t="s">
        <v>3244</v>
      </c>
      <c r="N7" s="308" t="s">
        <v>3245</v>
      </c>
      <c r="O7" s="308" t="s">
        <v>3246</v>
      </c>
      <c r="P7" s="308" t="s">
        <v>3247</v>
      </c>
      <c r="Q7" s="1061"/>
      <c r="R7" s="1061"/>
      <c r="S7" s="1062"/>
      <c r="T7" s="1062"/>
      <c r="U7" s="314"/>
      <c r="V7" s="314"/>
      <c r="W7" s="1061"/>
      <c r="X7" s="519" t="s">
        <v>1968</v>
      </c>
      <c r="Y7" s="519" t="s">
        <v>1969</v>
      </c>
      <c r="Z7" s="519" t="s">
        <v>1970</v>
      </c>
      <c r="AA7" s="519" t="s">
        <v>3248</v>
      </c>
      <c r="AB7" s="1055" t="s">
        <v>3249</v>
      </c>
      <c r="AC7" s="1063" t="s">
        <v>3250</v>
      </c>
      <c r="AD7" s="1056" t="s">
        <v>3251</v>
      </c>
      <c r="AE7" s="1064" t="s">
        <v>3252</v>
      </c>
      <c r="AF7" s="1055" t="s">
        <v>3249</v>
      </c>
      <c r="AG7" s="1063" t="s">
        <v>3250</v>
      </c>
      <c r="AH7" s="302"/>
      <c r="AI7" s="197"/>
      <c r="AJ7" s="1062"/>
      <c r="AK7" s="314"/>
      <c r="BA7" s="100" t="s">
        <v>1545</v>
      </c>
      <c r="BB7" s="100" t="s">
        <v>1635</v>
      </c>
      <c r="BC7" s="100" t="s">
        <v>1636</v>
      </c>
      <c r="BD7" s="100" t="s">
        <v>1637</v>
      </c>
      <c r="BE7" s="100" t="s">
        <v>1638</v>
      </c>
      <c r="BF7" s="197"/>
      <c r="BG7" s="197"/>
      <c r="BH7" s="113"/>
      <c r="BI7" s="113"/>
      <c r="BJ7" s="118"/>
      <c r="BK7" s="118"/>
      <c r="BL7" s="118"/>
      <c r="BM7" s="113"/>
      <c r="BN7" s="110"/>
      <c r="BO7" s="1005"/>
      <c r="BP7" s="1005"/>
      <c r="BQ7" s="1005"/>
      <c r="BR7" s="119"/>
      <c r="BS7" s="120" t="s">
        <v>1645</v>
      </c>
      <c r="BT7" s="121" t="s">
        <v>1646</v>
      </c>
      <c r="BU7" s="121" t="s">
        <v>1647</v>
      </c>
      <c r="BV7" s="121" t="s">
        <v>1648</v>
      </c>
      <c r="BW7" s="121" t="s">
        <v>1647</v>
      </c>
      <c r="BX7" s="121" t="s">
        <v>1647</v>
      </c>
      <c r="BY7" s="121" t="s">
        <v>1649</v>
      </c>
      <c r="BZ7" s="122" t="s">
        <v>1650</v>
      </c>
    </row>
    <row r="8" spans="1:78">
      <c r="A8" s="1065" t="str">
        <f>IF(B8="","",COUNT(A$7:A7)+1)</f>
        <v/>
      </c>
      <c r="B8" s="1066"/>
      <c r="C8" s="1067"/>
      <c r="D8" s="1068"/>
      <c r="E8" s="1068"/>
      <c r="F8" s="1068"/>
      <c r="G8" s="1069"/>
      <c r="H8" s="1069"/>
      <c r="I8" s="1070"/>
      <c r="J8" s="1070"/>
      <c r="K8" s="1008"/>
      <c r="L8" s="1008"/>
      <c r="M8" s="1008"/>
      <c r="N8" s="1008"/>
      <c r="O8" s="1008"/>
      <c r="P8" s="1008" t="str">
        <f>IF(B8="","",SUM(K8:O8))</f>
        <v/>
      </c>
      <c r="Q8" s="1008"/>
      <c r="R8" s="1008"/>
      <c r="S8" s="1008"/>
      <c r="T8" s="1008"/>
      <c r="U8" s="1008"/>
      <c r="V8" s="1008"/>
      <c r="W8" s="1008"/>
      <c r="X8" s="127"/>
      <c r="Y8" s="127" t="str">
        <f>IFERROR(VLOOKUP(X8,参数表!$H$2:$I$50,2,FALSE),"")</f>
        <v/>
      </c>
      <c r="Z8" s="128" t="str">
        <f>IFERROR(IF(OR(X8="人民币",X8=""),"",AF8/Y8),"")</f>
        <v/>
      </c>
      <c r="AA8" s="128" t="str">
        <f>IFERROR(IF(OR(X8="人民币",X8=""),"",AG8/Y8),"")</f>
        <v/>
      </c>
      <c r="AB8" s="1008" t="str">
        <f>IF(B8="","",P8-Q8)</f>
        <v/>
      </c>
      <c r="AC8" s="1008"/>
      <c r="AD8" s="1071"/>
      <c r="AE8" s="1071"/>
      <c r="AF8" s="1008" t="str">
        <f>IFERROR(AB8+AD8,"")</f>
        <v/>
      </c>
      <c r="AG8" s="1008" t="str">
        <f>IF(B8="","",AC8+AE8)</f>
        <v/>
      </c>
      <c r="AH8" s="1008" t="str">
        <f t="shared" ref="AH8:AH25" si="0">IF(B8="","",IF(BB$3="是",BQ8,""))</f>
        <v/>
      </c>
      <c r="AI8" s="1008" t="str">
        <f t="shared" ref="AI8:AI25" si="1">IF(B8="","",IF(BB$3="是",AG8,""))</f>
        <v/>
      </c>
      <c r="AJ8" s="1072" t="str">
        <f>IFERROR(((AH8-AI8)-(AF8-AG8))/(AF8-AG8)*100,"")</f>
        <v/>
      </c>
      <c r="AK8" s="1066"/>
      <c r="BA8" s="78"/>
      <c r="BB8" s="132" t="s">
        <v>3253</v>
      </c>
      <c r="BC8" s="133"/>
      <c r="BD8" s="132" t="str">
        <f>IF(OR(B8="",BC8=""),"",COUNTIF(BC$8:BC8,"√"))</f>
        <v/>
      </c>
      <c r="BE8" s="134" t="str">
        <f t="shared" ref="BE8:BE25" si="2">IF(BC8="","",BB8&amp;"︱"&amp;B8&amp;"︱"&amp;TEXT(AF8,"#,##0.00"))</f>
        <v/>
      </c>
      <c r="BF8" s="135" t="str">
        <f>IF($B8="","",IF(BF$5=0,"OK","出错"))</f>
        <v/>
      </c>
      <c r="BG8" s="135" t="str">
        <f>IF($B8="","",IF(BG$5=0,"OK","出错"))</f>
        <v/>
      </c>
      <c r="BH8" s="136"/>
      <c r="BI8" s="136"/>
      <c r="BJ8" s="136"/>
      <c r="BK8" s="136"/>
      <c r="BL8" s="137"/>
      <c r="BM8" s="137"/>
      <c r="BO8" s="109"/>
      <c r="BP8" s="1010">
        <f>IFERROR(1-J8/C8,0)</f>
        <v>0</v>
      </c>
      <c r="BQ8" s="1011" t="str">
        <f t="shared" ref="BQ8:BQ25" si="3">IFERROR(IF(BO8="",AF8,AF8*(1+BP8)),0)</f>
        <v/>
      </c>
      <c r="BS8" s="134" t="str">
        <f>IF(COUNTIF(BS$7:BS7,F8)&gt;0,"",F8)&amp;""</f>
        <v/>
      </c>
      <c r="BT8" s="138">
        <f t="shared" ref="BT8:BT25" si="4">SUMIF(F$8:F$25,BS8,AF$8:AF$25)</f>
        <v>0</v>
      </c>
      <c r="BU8" s="132">
        <f>RANK(BT8,BT$8:BT$25)</f>
        <v>1</v>
      </c>
      <c r="BV8" s="138">
        <f t="shared" ref="BV8:BV25" si="5">SUMIF(F$8:F$25,BS8,AH$8:AH$25)</f>
        <v>0</v>
      </c>
      <c r="BW8" s="132">
        <f t="shared" ref="BW8:BW25" si="6">RANK(BV8,BV$8:BV$25)</f>
        <v>1</v>
      </c>
      <c r="BX8" s="138">
        <f>SUM(BT8:BT25)</f>
        <v>0</v>
      </c>
      <c r="BY8" s="138"/>
      <c r="BZ8" s="138"/>
    </row>
    <row r="9" spans="1:78">
      <c r="A9" s="1065" t="str">
        <f>IF(B9="","",COUNT(A$7:A8)+1)</f>
        <v/>
      </c>
      <c r="B9" s="1073"/>
      <c r="C9" s="1074"/>
      <c r="D9" s="1073"/>
      <c r="E9" s="1073"/>
      <c r="F9" s="1073"/>
      <c r="G9" s="1075"/>
      <c r="H9" s="1075"/>
      <c r="I9" s="1076"/>
      <c r="J9" s="1076"/>
      <c r="K9" s="1077"/>
      <c r="L9" s="1077"/>
      <c r="M9" s="1077"/>
      <c r="N9" s="1077"/>
      <c r="O9" s="1077"/>
      <c r="P9" s="1008" t="str">
        <f t="shared" ref="P9:P25" si="7">IF(B9="","",SUM(K9:O9))</f>
        <v/>
      </c>
      <c r="Q9" s="1077"/>
      <c r="R9" s="1077"/>
      <c r="S9" s="1077"/>
      <c r="T9" s="1077"/>
      <c r="U9" s="1077"/>
      <c r="V9" s="1077"/>
      <c r="W9" s="1077"/>
      <c r="X9" s="142"/>
      <c r="Y9" s="127" t="str">
        <f>IFERROR(VLOOKUP(X9,参数表!$H$2:$I$50,2,FALSE),"")</f>
        <v/>
      </c>
      <c r="Z9" s="128" t="str">
        <f t="shared" ref="Z9:Z25" si="8">IFERROR(IF(OR(X9="人民币",X9=""),"",AF9/Y9),"")</f>
        <v/>
      </c>
      <c r="AA9" s="128" t="str">
        <f t="shared" ref="AA9:AA25" si="9">IFERROR(IF(OR(X9="人民币",X9=""),"",AG9/Y9),"")</f>
        <v/>
      </c>
      <c r="AB9" s="1008" t="str">
        <f t="shared" ref="AB9:AB25" si="10">IF(B9="","",P9-Q9)</f>
        <v/>
      </c>
      <c r="AC9" s="1077"/>
      <c r="AD9" s="1078"/>
      <c r="AE9" s="1078"/>
      <c r="AF9" s="1008" t="str">
        <f t="shared" ref="AF9:AF25" si="11">IFERROR(AB9+AD9,"")</f>
        <v/>
      </c>
      <c r="AG9" s="1008" t="str">
        <f t="shared" ref="AG9:AG25" si="12">IF(B9="","",AC9+AE9)</f>
        <v/>
      </c>
      <c r="AH9" s="1008" t="str">
        <f t="shared" si="0"/>
        <v/>
      </c>
      <c r="AI9" s="1008" t="str">
        <f t="shared" si="1"/>
        <v/>
      </c>
      <c r="AJ9" s="1072" t="str">
        <f t="shared" ref="AJ9:AJ25" si="13">IFERROR(((AH9-AI9)-(AF9-AG9))/(AF9-AG9)*100,"")</f>
        <v/>
      </c>
      <c r="AK9" s="1073"/>
      <c r="BA9" s="78"/>
      <c r="BB9" s="132" t="s">
        <v>3254</v>
      </c>
      <c r="BC9" s="133"/>
      <c r="BD9" s="132" t="str">
        <f>IF(OR(B9="",BC9=""),"",COUNTIF(BC$8:BC9,"√"))</f>
        <v/>
      </c>
      <c r="BE9" s="134" t="str">
        <f t="shared" si="2"/>
        <v/>
      </c>
      <c r="BF9" s="135" t="str">
        <f t="shared" ref="BF9:BG25" si="14">IF($B9="","",IF(BF$5=0,"OK","出错"))</f>
        <v/>
      </c>
      <c r="BG9" s="135" t="str">
        <f t="shared" si="14"/>
        <v/>
      </c>
      <c r="BH9" s="136"/>
      <c r="BI9" s="136"/>
      <c r="BJ9" s="136"/>
      <c r="BK9" s="136"/>
      <c r="BL9" s="137"/>
      <c r="BM9" s="137"/>
      <c r="BO9" s="109"/>
      <c r="BP9" s="1010">
        <f t="shared" ref="BP9:BP25" si="15">IFERROR(1-J9/C9,0)</f>
        <v>0</v>
      </c>
      <c r="BQ9" s="1011" t="str">
        <f t="shared" si="3"/>
        <v/>
      </c>
      <c r="BS9" s="134" t="str">
        <f>IF(COUNTIF(BS$7:BS8,F9)&gt;0,"",F9)&amp;""</f>
        <v/>
      </c>
      <c r="BT9" s="138">
        <f t="shared" si="4"/>
        <v>0</v>
      </c>
      <c r="BU9" s="132">
        <f t="shared" ref="BU9:BU25" si="16">RANK(BT9,BT$8:BT$25)</f>
        <v>1</v>
      </c>
      <c r="BV9" s="138">
        <f t="shared" si="5"/>
        <v>0</v>
      </c>
      <c r="BW9" s="132">
        <f t="shared" si="6"/>
        <v>1</v>
      </c>
      <c r="BX9" s="138">
        <f>SUM(BV8:BV25)</f>
        <v>0</v>
      </c>
      <c r="BY9" s="138"/>
      <c r="BZ9" s="138"/>
    </row>
    <row r="10" spans="1:78">
      <c r="A10" s="1065" t="str">
        <f>IF(B10="","",COUNT(A$7:A9)+1)</f>
        <v/>
      </c>
      <c r="B10" s="1073"/>
      <c r="C10" s="1074"/>
      <c r="D10" s="1073"/>
      <c r="E10" s="1073"/>
      <c r="F10" s="1073"/>
      <c r="G10" s="1075"/>
      <c r="H10" s="1075"/>
      <c r="I10" s="1076"/>
      <c r="J10" s="1076"/>
      <c r="K10" s="1077"/>
      <c r="L10" s="1077"/>
      <c r="M10" s="1077"/>
      <c r="N10" s="1077"/>
      <c r="O10" s="1077"/>
      <c r="P10" s="1008" t="str">
        <f t="shared" si="7"/>
        <v/>
      </c>
      <c r="Q10" s="1077"/>
      <c r="R10" s="1077"/>
      <c r="S10" s="1077"/>
      <c r="T10" s="1077"/>
      <c r="U10" s="1077"/>
      <c r="V10" s="1077"/>
      <c r="W10" s="1077"/>
      <c r="X10" s="142"/>
      <c r="Y10" s="127" t="str">
        <f>IFERROR(VLOOKUP(X10,参数表!$H$2:$I$50,2,FALSE),"")</f>
        <v/>
      </c>
      <c r="Z10" s="128" t="str">
        <f t="shared" si="8"/>
        <v/>
      </c>
      <c r="AA10" s="128" t="str">
        <f t="shared" si="9"/>
        <v/>
      </c>
      <c r="AB10" s="1008" t="str">
        <f t="shared" si="10"/>
        <v/>
      </c>
      <c r="AC10" s="1077"/>
      <c r="AD10" s="1078"/>
      <c r="AE10" s="1078"/>
      <c r="AF10" s="1008" t="str">
        <f t="shared" si="11"/>
        <v/>
      </c>
      <c r="AG10" s="1008" t="str">
        <f t="shared" si="12"/>
        <v/>
      </c>
      <c r="AH10" s="1008" t="str">
        <f t="shared" si="0"/>
        <v/>
      </c>
      <c r="AI10" s="1008" t="str">
        <f t="shared" si="1"/>
        <v/>
      </c>
      <c r="AJ10" s="1072" t="str">
        <f t="shared" si="13"/>
        <v/>
      </c>
      <c r="AK10" s="1073"/>
      <c r="BA10" s="78"/>
      <c r="BB10" s="132" t="s">
        <v>3255</v>
      </c>
      <c r="BC10" s="133"/>
      <c r="BD10" s="132" t="str">
        <f>IF(OR(B10="",BC10=""),"",COUNTIF(BC$8:BC10,"√"))</f>
        <v/>
      </c>
      <c r="BE10" s="134" t="str">
        <f t="shared" si="2"/>
        <v/>
      </c>
      <c r="BF10" s="135" t="str">
        <f t="shared" si="14"/>
        <v/>
      </c>
      <c r="BG10" s="135" t="str">
        <f t="shared" si="14"/>
        <v/>
      </c>
      <c r="BH10" s="136"/>
      <c r="BI10" s="136"/>
      <c r="BJ10" s="136"/>
      <c r="BK10" s="136"/>
      <c r="BL10" s="137"/>
      <c r="BM10" s="137"/>
      <c r="BO10" s="109"/>
      <c r="BP10" s="1010">
        <f t="shared" si="15"/>
        <v>0</v>
      </c>
      <c r="BQ10" s="1011" t="str">
        <f t="shared" si="3"/>
        <v/>
      </c>
      <c r="BS10" s="134" t="str">
        <f>IF(COUNTIF(BS$7:BS9,F10)&gt;0,"",F10)&amp;""</f>
        <v/>
      </c>
      <c r="BT10" s="138">
        <f t="shared" si="4"/>
        <v>0</v>
      </c>
      <c r="BU10" s="132">
        <f t="shared" si="16"/>
        <v>1</v>
      </c>
      <c r="BV10" s="138">
        <f t="shared" si="5"/>
        <v>0</v>
      </c>
      <c r="BW10" s="132">
        <f t="shared" si="6"/>
        <v>1</v>
      </c>
      <c r="BX10" s="132">
        <v>1</v>
      </c>
      <c r="BY10" s="134" t="str">
        <f>IFERROR(INDEX(BS$8:BS$25,MATCH(BX10,IF(BX$8=0,BW$8:BW$25,BU$8:BU$25),0))&amp;"","")</f>
        <v/>
      </c>
      <c r="BZ10" s="146" t="str">
        <f>IF(BY11="","",IF(BY12="","和","、"))</f>
        <v/>
      </c>
    </row>
    <row r="11" spans="1:78">
      <c r="A11" s="1065" t="str">
        <f>IF(B11="","",COUNT(A$7:A10)+1)</f>
        <v/>
      </c>
      <c r="B11" s="1073"/>
      <c r="C11" s="1079"/>
      <c r="D11" s="1073"/>
      <c r="E11" s="1073"/>
      <c r="F11" s="1073"/>
      <c r="G11" s="1075"/>
      <c r="H11" s="1075"/>
      <c r="I11" s="1076"/>
      <c r="J11" s="1076"/>
      <c r="K11" s="1077"/>
      <c r="L11" s="1077"/>
      <c r="M11" s="1077"/>
      <c r="N11" s="1077"/>
      <c r="O11" s="1077"/>
      <c r="P11" s="1008" t="str">
        <f t="shared" si="7"/>
        <v/>
      </c>
      <c r="Q11" s="1077"/>
      <c r="R11" s="1077"/>
      <c r="S11" s="1077"/>
      <c r="T11" s="1077"/>
      <c r="U11" s="1077"/>
      <c r="V11" s="1077"/>
      <c r="W11" s="1077"/>
      <c r="X11" s="142"/>
      <c r="Y11" s="127" t="str">
        <f>IFERROR(VLOOKUP(X11,参数表!$H$2:$I$50,2,FALSE),"")</f>
        <v/>
      </c>
      <c r="Z11" s="128" t="str">
        <f t="shared" si="8"/>
        <v/>
      </c>
      <c r="AA11" s="128" t="str">
        <f t="shared" si="9"/>
        <v/>
      </c>
      <c r="AB11" s="1008" t="str">
        <f t="shared" si="10"/>
        <v/>
      </c>
      <c r="AC11" s="1077"/>
      <c r="AD11" s="1078"/>
      <c r="AE11" s="1078"/>
      <c r="AF11" s="1008" t="str">
        <f t="shared" si="11"/>
        <v/>
      </c>
      <c r="AG11" s="1008" t="str">
        <f t="shared" si="12"/>
        <v/>
      </c>
      <c r="AH11" s="1008" t="str">
        <f t="shared" si="0"/>
        <v/>
      </c>
      <c r="AI11" s="1008" t="str">
        <f t="shared" si="1"/>
        <v/>
      </c>
      <c r="AJ11" s="1072" t="str">
        <f t="shared" si="13"/>
        <v/>
      </c>
      <c r="AK11" s="1073"/>
      <c r="BA11" s="78"/>
      <c r="BB11" s="132" t="s">
        <v>3256</v>
      </c>
      <c r="BC11" s="133"/>
      <c r="BD11" s="132" t="str">
        <f>IF(OR(B11="",BC11=""),"",COUNTIF(BC$8:BC11,"√"))</f>
        <v/>
      </c>
      <c r="BE11" s="134" t="str">
        <f t="shared" si="2"/>
        <v/>
      </c>
      <c r="BF11" s="135" t="str">
        <f t="shared" si="14"/>
        <v/>
      </c>
      <c r="BG11" s="135" t="str">
        <f t="shared" si="14"/>
        <v/>
      </c>
      <c r="BH11" s="136"/>
      <c r="BI11" s="136"/>
      <c r="BJ11" s="136"/>
      <c r="BK11" s="136"/>
      <c r="BL11" s="137"/>
      <c r="BM11" s="137"/>
      <c r="BO11" s="109"/>
      <c r="BP11" s="1010">
        <f t="shared" si="15"/>
        <v>0</v>
      </c>
      <c r="BQ11" s="1011" t="str">
        <f t="shared" si="3"/>
        <v/>
      </c>
      <c r="BS11" s="134" t="str">
        <f>IF(COUNTIF(BS$7:BS10,F11)&gt;0,"",F11)&amp;""</f>
        <v/>
      </c>
      <c r="BT11" s="138">
        <f t="shared" si="4"/>
        <v>0</v>
      </c>
      <c r="BU11" s="132">
        <f t="shared" si="16"/>
        <v>1</v>
      </c>
      <c r="BV11" s="138">
        <f t="shared" si="5"/>
        <v>0</v>
      </c>
      <c r="BW11" s="132">
        <f t="shared" si="6"/>
        <v>1</v>
      </c>
      <c r="BX11" s="132">
        <v>2</v>
      </c>
      <c r="BY11" s="134" t="str">
        <f>IFERROR(INDEX(BS$8:BS$25,MATCH(BX11,IF(BX$8=0,BW$8:BW$25,BU$8:BU$25),0))&amp;"","")</f>
        <v/>
      </c>
      <c r="BZ11" s="146" t="str">
        <f t="shared" ref="BZ11:BZ12" si="17">IF(BY12="","",IF(BY13="","和","、"))</f>
        <v/>
      </c>
    </row>
    <row r="12" spans="1:78">
      <c r="A12" s="1065" t="str">
        <f>IF(B12="","",COUNT(A$7:A11)+1)</f>
        <v/>
      </c>
      <c r="B12" s="1073"/>
      <c r="C12" s="1079"/>
      <c r="D12" s="1073"/>
      <c r="E12" s="1073"/>
      <c r="F12" s="1073"/>
      <c r="G12" s="1075"/>
      <c r="H12" s="1075"/>
      <c r="I12" s="1076"/>
      <c r="J12" s="1076"/>
      <c r="K12" s="1077"/>
      <c r="L12" s="1077"/>
      <c r="M12" s="1077"/>
      <c r="N12" s="1077"/>
      <c r="O12" s="1077"/>
      <c r="P12" s="1008" t="str">
        <f t="shared" si="7"/>
        <v/>
      </c>
      <c r="Q12" s="1077"/>
      <c r="R12" s="1077"/>
      <c r="S12" s="1077"/>
      <c r="T12" s="1077"/>
      <c r="U12" s="1077"/>
      <c r="V12" s="1077"/>
      <c r="W12" s="1077"/>
      <c r="X12" s="142"/>
      <c r="Y12" s="127" t="str">
        <f>IFERROR(VLOOKUP(X12,参数表!$H$2:$I$50,2,FALSE),"")</f>
        <v/>
      </c>
      <c r="Z12" s="128" t="str">
        <f t="shared" si="8"/>
        <v/>
      </c>
      <c r="AA12" s="128" t="str">
        <f t="shared" si="9"/>
        <v/>
      </c>
      <c r="AB12" s="1008" t="str">
        <f t="shared" si="10"/>
        <v/>
      </c>
      <c r="AC12" s="1077"/>
      <c r="AD12" s="1078"/>
      <c r="AE12" s="1078"/>
      <c r="AF12" s="1008" t="str">
        <f t="shared" si="11"/>
        <v/>
      </c>
      <c r="AG12" s="1008" t="str">
        <f t="shared" si="12"/>
        <v/>
      </c>
      <c r="AH12" s="1008" t="str">
        <f t="shared" si="0"/>
        <v/>
      </c>
      <c r="AI12" s="1008" t="str">
        <f t="shared" si="1"/>
        <v/>
      </c>
      <c r="AJ12" s="1072" t="str">
        <f t="shared" si="13"/>
        <v/>
      </c>
      <c r="AK12" s="1073"/>
      <c r="BA12" s="78"/>
      <c r="BB12" s="132" t="s">
        <v>3257</v>
      </c>
      <c r="BC12" s="133"/>
      <c r="BD12" s="132" t="str">
        <f>IF(OR(B12="",BC12=""),"",COUNTIF(BC$8:BC12,"√"))</f>
        <v/>
      </c>
      <c r="BE12" s="134" t="str">
        <f t="shared" si="2"/>
        <v/>
      </c>
      <c r="BF12" s="135" t="str">
        <f t="shared" si="14"/>
        <v/>
      </c>
      <c r="BG12" s="135" t="str">
        <f t="shared" si="14"/>
        <v/>
      </c>
      <c r="BH12" s="136"/>
      <c r="BI12" s="136"/>
      <c r="BJ12" s="136"/>
      <c r="BK12" s="136"/>
      <c r="BL12" s="137"/>
      <c r="BM12" s="137"/>
      <c r="BO12" s="109"/>
      <c r="BP12" s="1010">
        <f t="shared" si="15"/>
        <v>0</v>
      </c>
      <c r="BQ12" s="1011" t="str">
        <f t="shared" si="3"/>
        <v/>
      </c>
      <c r="BS12" s="134" t="str">
        <f>IF(COUNTIF(BS$7:BS11,F12)&gt;0,"",F12)&amp;""</f>
        <v/>
      </c>
      <c r="BT12" s="138">
        <f t="shared" si="4"/>
        <v>0</v>
      </c>
      <c r="BU12" s="132">
        <f t="shared" si="16"/>
        <v>1</v>
      </c>
      <c r="BV12" s="138">
        <f t="shared" si="5"/>
        <v>0</v>
      </c>
      <c r="BW12" s="132">
        <f t="shared" si="6"/>
        <v>1</v>
      </c>
      <c r="BX12" s="132">
        <v>3</v>
      </c>
      <c r="BY12" s="134" t="str">
        <f>IFERROR(INDEX(BS$8:BS$25,MATCH(BX12,IF(BX$8=0,BW$8:BW$25,BU$8:BU$25),0))&amp;"","")</f>
        <v/>
      </c>
      <c r="BZ12" s="146" t="str">
        <f t="shared" si="17"/>
        <v/>
      </c>
    </row>
    <row r="13" spans="1:78">
      <c r="A13" s="1065" t="str">
        <f>IF(B13="","",COUNT(A$7:A12)+1)</f>
        <v/>
      </c>
      <c r="B13" s="1073"/>
      <c r="C13" s="1079"/>
      <c r="D13" s="1073"/>
      <c r="E13" s="1073"/>
      <c r="F13" s="1073"/>
      <c r="G13" s="1075"/>
      <c r="H13" s="1075"/>
      <c r="I13" s="1076"/>
      <c r="J13" s="1076"/>
      <c r="K13" s="1077"/>
      <c r="L13" s="1077"/>
      <c r="M13" s="1077"/>
      <c r="N13" s="1077"/>
      <c r="O13" s="1077"/>
      <c r="P13" s="1008" t="str">
        <f t="shared" si="7"/>
        <v/>
      </c>
      <c r="Q13" s="1077"/>
      <c r="R13" s="1077"/>
      <c r="S13" s="1077"/>
      <c r="T13" s="1077"/>
      <c r="U13" s="1077"/>
      <c r="V13" s="1077"/>
      <c r="W13" s="1077"/>
      <c r="X13" s="142"/>
      <c r="Y13" s="127" t="str">
        <f>IFERROR(VLOOKUP(X13,参数表!$H$2:$I$50,2,FALSE),"")</f>
        <v/>
      </c>
      <c r="Z13" s="128" t="str">
        <f t="shared" si="8"/>
        <v/>
      </c>
      <c r="AA13" s="128" t="str">
        <f t="shared" si="9"/>
        <v/>
      </c>
      <c r="AB13" s="1008" t="str">
        <f t="shared" si="10"/>
        <v/>
      </c>
      <c r="AC13" s="1077"/>
      <c r="AD13" s="1078"/>
      <c r="AE13" s="1078"/>
      <c r="AF13" s="1008" t="str">
        <f t="shared" si="11"/>
        <v/>
      </c>
      <c r="AG13" s="1008" t="str">
        <f t="shared" si="12"/>
        <v/>
      </c>
      <c r="AH13" s="1008" t="str">
        <f t="shared" si="0"/>
        <v/>
      </c>
      <c r="AI13" s="1008" t="str">
        <f t="shared" si="1"/>
        <v/>
      </c>
      <c r="AJ13" s="1072" t="str">
        <f t="shared" si="13"/>
        <v/>
      </c>
      <c r="AK13" s="1073"/>
      <c r="BA13" s="78"/>
      <c r="BB13" s="132" t="s">
        <v>3258</v>
      </c>
      <c r="BC13" s="133"/>
      <c r="BD13" s="132" t="str">
        <f>IF(OR(B13="",BC13=""),"",COUNTIF(BC$8:BC13,"√"))</f>
        <v/>
      </c>
      <c r="BE13" s="134" t="str">
        <f t="shared" si="2"/>
        <v/>
      </c>
      <c r="BF13" s="135" t="str">
        <f t="shared" si="14"/>
        <v/>
      </c>
      <c r="BG13" s="135" t="str">
        <f t="shared" si="14"/>
        <v/>
      </c>
      <c r="BH13" s="136"/>
      <c r="BI13" s="136"/>
      <c r="BJ13" s="136"/>
      <c r="BK13" s="136"/>
      <c r="BL13" s="137"/>
      <c r="BM13" s="137"/>
      <c r="BO13" s="109"/>
      <c r="BP13" s="1010">
        <f t="shared" si="15"/>
        <v>0</v>
      </c>
      <c r="BQ13" s="1011" t="str">
        <f t="shared" si="3"/>
        <v/>
      </c>
      <c r="BS13" s="134" t="str">
        <f>IF(COUNTIF(BS$7:BS12,F13)&gt;0,"",F13)&amp;""</f>
        <v/>
      </c>
      <c r="BT13" s="138">
        <f t="shared" si="4"/>
        <v>0</v>
      </c>
      <c r="BU13" s="132">
        <f t="shared" si="16"/>
        <v>1</v>
      </c>
      <c r="BV13" s="138">
        <f t="shared" si="5"/>
        <v>0</v>
      </c>
      <c r="BW13" s="132">
        <f t="shared" si="6"/>
        <v>1</v>
      </c>
      <c r="BX13" s="132">
        <v>4</v>
      </c>
      <c r="BY13" s="134" t="str">
        <f>IFERROR(INDEX(BS$8:BS$25,MATCH(BX13,IF(BX$8=0,BW$8:BW$25,BU$8:BU$25),0))&amp;"","")</f>
        <v/>
      </c>
      <c r="BZ13" s="146" t="str">
        <f>IF(BY14="","","和")</f>
        <v/>
      </c>
    </row>
    <row r="14" spans="1:78">
      <c r="A14" s="1065" t="str">
        <f>IF(B14="","",COUNT(A$7:A13)+1)</f>
        <v/>
      </c>
      <c r="B14" s="1073"/>
      <c r="C14" s="1079"/>
      <c r="D14" s="1073"/>
      <c r="E14" s="1073"/>
      <c r="F14" s="1073"/>
      <c r="G14" s="1075"/>
      <c r="H14" s="1075"/>
      <c r="I14" s="1076"/>
      <c r="J14" s="1076"/>
      <c r="K14" s="1077"/>
      <c r="L14" s="1077"/>
      <c r="M14" s="1077"/>
      <c r="N14" s="1077"/>
      <c r="O14" s="1077"/>
      <c r="P14" s="1008" t="str">
        <f t="shared" si="7"/>
        <v/>
      </c>
      <c r="Q14" s="1077"/>
      <c r="R14" s="1077"/>
      <c r="S14" s="1077"/>
      <c r="T14" s="1077"/>
      <c r="U14" s="1077"/>
      <c r="V14" s="1077"/>
      <c r="W14" s="1077"/>
      <c r="X14" s="142"/>
      <c r="Y14" s="127" t="str">
        <f>IFERROR(VLOOKUP(X14,参数表!$H$2:$I$50,2,FALSE),"")</f>
        <v/>
      </c>
      <c r="Z14" s="128" t="str">
        <f t="shared" si="8"/>
        <v/>
      </c>
      <c r="AA14" s="128" t="str">
        <f t="shared" si="9"/>
        <v/>
      </c>
      <c r="AB14" s="1008" t="str">
        <f t="shared" si="10"/>
        <v/>
      </c>
      <c r="AC14" s="1077"/>
      <c r="AD14" s="1078"/>
      <c r="AE14" s="1078"/>
      <c r="AF14" s="1008" t="str">
        <f t="shared" si="11"/>
        <v/>
      </c>
      <c r="AG14" s="1008" t="str">
        <f t="shared" si="12"/>
        <v/>
      </c>
      <c r="AH14" s="1008" t="str">
        <f t="shared" si="0"/>
        <v/>
      </c>
      <c r="AI14" s="1008" t="str">
        <f t="shared" si="1"/>
        <v/>
      </c>
      <c r="AJ14" s="1072" t="str">
        <f t="shared" si="13"/>
        <v/>
      </c>
      <c r="AK14" s="1073"/>
      <c r="BA14" s="78"/>
      <c r="BB14" s="132" t="s">
        <v>3259</v>
      </c>
      <c r="BC14" s="133"/>
      <c r="BD14" s="132" t="str">
        <f>IF(OR(B14="",BC14=""),"",COUNTIF(BC$8:BC14,"√"))</f>
        <v/>
      </c>
      <c r="BE14" s="134" t="str">
        <f t="shared" si="2"/>
        <v/>
      </c>
      <c r="BF14" s="135" t="str">
        <f t="shared" si="14"/>
        <v/>
      </c>
      <c r="BG14" s="135" t="str">
        <f t="shared" si="14"/>
        <v/>
      </c>
      <c r="BH14" s="136"/>
      <c r="BI14" s="136"/>
      <c r="BJ14" s="136"/>
      <c r="BK14" s="136"/>
      <c r="BL14" s="137"/>
      <c r="BM14" s="137"/>
      <c r="BO14" s="109"/>
      <c r="BP14" s="1010">
        <f t="shared" si="15"/>
        <v>0</v>
      </c>
      <c r="BQ14" s="1011" t="str">
        <f t="shared" si="3"/>
        <v/>
      </c>
      <c r="BS14" s="134" t="str">
        <f>IF(COUNTIF(BS$7:BS13,F14)&gt;0,"",F14)&amp;""</f>
        <v/>
      </c>
      <c r="BT14" s="138">
        <f t="shared" si="4"/>
        <v>0</v>
      </c>
      <c r="BU14" s="132">
        <f t="shared" si="16"/>
        <v>1</v>
      </c>
      <c r="BV14" s="138">
        <f t="shared" si="5"/>
        <v>0</v>
      </c>
      <c r="BW14" s="132">
        <f t="shared" si="6"/>
        <v>1</v>
      </c>
      <c r="BX14" s="132">
        <v>5</v>
      </c>
      <c r="BY14" s="134" t="str">
        <f>IFERROR(INDEX(BS$8:BS$25,MATCH(BX14,IF(BX$8=0,BW$8:BW$25,BU$8:BU$25),0))&amp;"","")</f>
        <v/>
      </c>
      <c r="BZ14" s="146"/>
    </row>
    <row r="15" ht="15.75" customHeight="1" spans="1:78">
      <c r="A15" s="1065" t="str">
        <f>IF(B15="","",COUNT(A$7:A14)+1)</f>
        <v/>
      </c>
      <c r="B15" s="1073"/>
      <c r="C15" s="1079"/>
      <c r="D15" s="1073"/>
      <c r="E15" s="1073"/>
      <c r="F15" s="1073"/>
      <c r="G15" s="1075"/>
      <c r="H15" s="1075"/>
      <c r="I15" s="1076"/>
      <c r="J15" s="1076"/>
      <c r="K15" s="1077"/>
      <c r="L15" s="1077"/>
      <c r="M15" s="1077"/>
      <c r="N15" s="1077"/>
      <c r="O15" s="1077"/>
      <c r="P15" s="1008" t="str">
        <f t="shared" si="7"/>
        <v/>
      </c>
      <c r="Q15" s="1077"/>
      <c r="R15" s="1077"/>
      <c r="S15" s="1077"/>
      <c r="T15" s="1077"/>
      <c r="U15" s="1077"/>
      <c r="V15" s="1077"/>
      <c r="W15" s="1077"/>
      <c r="X15" s="142"/>
      <c r="Y15" s="127" t="str">
        <f>IFERROR(VLOOKUP(X15,参数表!$H$2:$I$50,2,FALSE),"")</f>
        <v/>
      </c>
      <c r="Z15" s="128" t="str">
        <f t="shared" si="8"/>
        <v/>
      </c>
      <c r="AA15" s="128" t="str">
        <f t="shared" si="9"/>
        <v/>
      </c>
      <c r="AB15" s="1008" t="str">
        <f t="shared" si="10"/>
        <v/>
      </c>
      <c r="AC15" s="1077"/>
      <c r="AD15" s="1078"/>
      <c r="AE15" s="1078"/>
      <c r="AF15" s="1008" t="str">
        <f t="shared" si="11"/>
        <v/>
      </c>
      <c r="AG15" s="1008" t="str">
        <f t="shared" si="12"/>
        <v/>
      </c>
      <c r="AH15" s="1008" t="str">
        <f t="shared" si="0"/>
        <v/>
      </c>
      <c r="AI15" s="1008" t="str">
        <f t="shared" si="1"/>
        <v/>
      </c>
      <c r="AJ15" s="1072" t="str">
        <f t="shared" si="13"/>
        <v/>
      </c>
      <c r="AK15" s="1073"/>
      <c r="BA15" s="78"/>
      <c r="BB15" s="132" t="s">
        <v>3260</v>
      </c>
      <c r="BC15" s="133"/>
      <c r="BD15" s="132" t="str">
        <f>IF(OR(B15="",BC15=""),"",COUNTIF(BC$8:BC15,"√"))</f>
        <v/>
      </c>
      <c r="BE15" s="134" t="str">
        <f t="shared" si="2"/>
        <v/>
      </c>
      <c r="BF15" s="135" t="str">
        <f t="shared" si="14"/>
        <v/>
      </c>
      <c r="BG15" s="135" t="str">
        <f t="shared" si="14"/>
        <v/>
      </c>
      <c r="BH15" s="136"/>
      <c r="BI15" s="136"/>
      <c r="BJ15" s="136"/>
      <c r="BK15" s="136"/>
      <c r="BL15" s="137"/>
      <c r="BM15" s="137"/>
      <c r="BO15" s="109"/>
      <c r="BP15" s="1010">
        <f t="shared" si="15"/>
        <v>0</v>
      </c>
      <c r="BQ15" s="1011" t="str">
        <f t="shared" si="3"/>
        <v/>
      </c>
      <c r="BS15" s="134" t="str">
        <f>IF(COUNTIF(BS$7:BS14,F15)&gt;0,"",F15)&amp;""</f>
        <v/>
      </c>
      <c r="BT15" s="138">
        <f t="shared" si="4"/>
        <v>0</v>
      </c>
      <c r="BU15" s="132">
        <f t="shared" si="16"/>
        <v>1</v>
      </c>
      <c r="BV15" s="138">
        <f t="shared" si="5"/>
        <v>0</v>
      </c>
      <c r="BW15" s="132">
        <f t="shared" si="6"/>
        <v>1</v>
      </c>
      <c r="BX15" s="147" t="s">
        <v>1659</v>
      </c>
      <c r="BY15" s="132" t="str">
        <f>CONCATENATE(BY10,BZ10,BY11,BZ11,BY12,BZ12,BY13,BZ13,BY14)</f>
        <v/>
      </c>
      <c r="BZ15" s="132"/>
    </row>
    <row r="16" ht="15.75" customHeight="1" spans="1:78">
      <c r="A16" s="1065" t="str">
        <f>IF(B16="","",COUNT(A$7:A15)+1)</f>
        <v/>
      </c>
      <c r="B16" s="1073"/>
      <c r="C16" s="1079"/>
      <c r="D16" s="1073"/>
      <c r="E16" s="1073"/>
      <c r="F16" s="1073"/>
      <c r="G16" s="1075"/>
      <c r="H16" s="1075"/>
      <c r="I16" s="1076"/>
      <c r="J16" s="1076"/>
      <c r="K16" s="1077"/>
      <c r="L16" s="1077"/>
      <c r="M16" s="1077"/>
      <c r="N16" s="1077"/>
      <c r="O16" s="1077"/>
      <c r="P16" s="1008" t="str">
        <f t="shared" si="7"/>
        <v/>
      </c>
      <c r="Q16" s="1077"/>
      <c r="R16" s="1077"/>
      <c r="S16" s="1077"/>
      <c r="T16" s="1077"/>
      <c r="U16" s="1077"/>
      <c r="V16" s="1077"/>
      <c r="W16" s="1077"/>
      <c r="X16" s="142"/>
      <c r="Y16" s="127" t="str">
        <f>IFERROR(VLOOKUP(X16,参数表!$H$2:$I$50,2,FALSE),"")</f>
        <v/>
      </c>
      <c r="Z16" s="128" t="str">
        <f t="shared" si="8"/>
        <v/>
      </c>
      <c r="AA16" s="128" t="str">
        <f t="shared" si="9"/>
        <v/>
      </c>
      <c r="AB16" s="1008" t="str">
        <f t="shared" si="10"/>
        <v/>
      </c>
      <c r="AC16" s="1077"/>
      <c r="AD16" s="1078"/>
      <c r="AE16" s="1078"/>
      <c r="AF16" s="1008" t="str">
        <f t="shared" si="11"/>
        <v/>
      </c>
      <c r="AG16" s="1008" t="str">
        <f t="shared" si="12"/>
        <v/>
      </c>
      <c r="AH16" s="1008" t="str">
        <f t="shared" si="0"/>
        <v/>
      </c>
      <c r="AI16" s="1008" t="str">
        <f t="shared" si="1"/>
        <v/>
      </c>
      <c r="AJ16" s="1072" t="str">
        <f t="shared" si="13"/>
        <v/>
      </c>
      <c r="AK16" s="1073"/>
      <c r="BA16" s="78"/>
      <c r="BB16" s="132" t="s">
        <v>3261</v>
      </c>
      <c r="BC16" s="133"/>
      <c r="BD16" s="132" t="str">
        <f>IF(OR(B16="",BC16=""),"",COUNTIF(BC$8:BC16,"√"))</f>
        <v/>
      </c>
      <c r="BE16" s="134" t="str">
        <f t="shared" si="2"/>
        <v/>
      </c>
      <c r="BF16" s="135" t="str">
        <f t="shared" si="14"/>
        <v/>
      </c>
      <c r="BG16" s="135" t="str">
        <f t="shared" si="14"/>
        <v/>
      </c>
      <c r="BH16" s="136"/>
      <c r="BI16" s="136"/>
      <c r="BJ16" s="136"/>
      <c r="BK16" s="136"/>
      <c r="BL16" s="137"/>
      <c r="BM16" s="137"/>
      <c r="BO16" s="109"/>
      <c r="BP16" s="1010">
        <f t="shared" si="15"/>
        <v>0</v>
      </c>
      <c r="BQ16" s="1011" t="str">
        <f t="shared" si="3"/>
        <v/>
      </c>
      <c r="BS16" s="134" t="str">
        <f>IF(COUNTIF(BS$7:BS15,F16)&gt;0,"",F16)&amp;""</f>
        <v/>
      </c>
      <c r="BT16" s="138">
        <f t="shared" si="4"/>
        <v>0</v>
      </c>
      <c r="BU16" s="132">
        <f t="shared" si="16"/>
        <v>1</v>
      </c>
      <c r="BV16" s="138">
        <f t="shared" si="5"/>
        <v>0</v>
      </c>
      <c r="BW16" s="132">
        <f t="shared" si="6"/>
        <v>1</v>
      </c>
      <c r="BX16" s="133"/>
      <c r="BY16" s="133"/>
    </row>
    <row r="17" ht="15.75" customHeight="1" spans="1:78">
      <c r="A17" s="1065" t="str">
        <f>IF(B17="","",COUNT(A$7:A16)+1)</f>
        <v/>
      </c>
      <c r="B17" s="1073"/>
      <c r="C17" s="1079"/>
      <c r="D17" s="1073"/>
      <c r="E17" s="1073"/>
      <c r="F17" s="1073"/>
      <c r="G17" s="1075"/>
      <c r="H17" s="1075"/>
      <c r="I17" s="1076"/>
      <c r="J17" s="1076"/>
      <c r="K17" s="1077"/>
      <c r="L17" s="1077"/>
      <c r="M17" s="1077"/>
      <c r="N17" s="1077"/>
      <c r="O17" s="1077"/>
      <c r="P17" s="1008" t="str">
        <f t="shared" si="7"/>
        <v/>
      </c>
      <c r="Q17" s="1077"/>
      <c r="R17" s="1077"/>
      <c r="S17" s="1077"/>
      <c r="T17" s="1077"/>
      <c r="U17" s="1077"/>
      <c r="V17" s="1077"/>
      <c r="W17" s="1077"/>
      <c r="X17" s="142"/>
      <c r="Y17" s="127" t="str">
        <f>IFERROR(VLOOKUP(X17,参数表!$H$2:$I$50,2,FALSE),"")</f>
        <v/>
      </c>
      <c r="Z17" s="128" t="str">
        <f t="shared" si="8"/>
        <v/>
      </c>
      <c r="AA17" s="128" t="str">
        <f t="shared" si="9"/>
        <v/>
      </c>
      <c r="AB17" s="1008" t="str">
        <f t="shared" si="10"/>
        <v/>
      </c>
      <c r="AC17" s="1077"/>
      <c r="AD17" s="1078"/>
      <c r="AE17" s="1078"/>
      <c r="AF17" s="1008" t="str">
        <f t="shared" si="11"/>
        <v/>
      </c>
      <c r="AG17" s="1008" t="str">
        <f t="shared" si="12"/>
        <v/>
      </c>
      <c r="AH17" s="1008" t="str">
        <f t="shared" si="0"/>
        <v/>
      </c>
      <c r="AI17" s="1008" t="str">
        <f t="shared" si="1"/>
        <v/>
      </c>
      <c r="AJ17" s="1072" t="str">
        <f t="shared" si="13"/>
        <v/>
      </c>
      <c r="AK17" s="1073"/>
      <c r="BA17" s="78"/>
      <c r="BB17" s="132" t="s">
        <v>3262</v>
      </c>
      <c r="BC17" s="133"/>
      <c r="BD17" s="132" t="str">
        <f>IF(OR(B17="",BC17=""),"",COUNTIF(BC$8:BC17,"√"))</f>
        <v/>
      </c>
      <c r="BE17" s="134" t="str">
        <f t="shared" si="2"/>
        <v/>
      </c>
      <c r="BF17" s="135" t="str">
        <f t="shared" si="14"/>
        <v/>
      </c>
      <c r="BG17" s="135" t="str">
        <f t="shared" si="14"/>
        <v/>
      </c>
      <c r="BH17" s="136"/>
      <c r="BI17" s="136"/>
      <c r="BJ17" s="136"/>
      <c r="BK17" s="136"/>
      <c r="BL17" s="137"/>
      <c r="BM17" s="137"/>
      <c r="BO17" s="109"/>
      <c r="BP17" s="1010">
        <f t="shared" si="15"/>
        <v>0</v>
      </c>
      <c r="BQ17" s="1011" t="str">
        <f t="shared" si="3"/>
        <v/>
      </c>
      <c r="BS17" s="134" t="str">
        <f>IF(COUNTIF(BS$7:BS16,F17)&gt;0,"",F17)&amp;""</f>
        <v/>
      </c>
      <c r="BT17" s="138">
        <f t="shared" si="4"/>
        <v>0</v>
      </c>
      <c r="BU17" s="132">
        <f t="shared" si="16"/>
        <v>1</v>
      </c>
      <c r="BV17" s="138">
        <f t="shared" si="5"/>
        <v>0</v>
      </c>
      <c r="BW17" s="132">
        <f t="shared" si="6"/>
        <v>1</v>
      </c>
      <c r="BX17" s="133"/>
      <c r="BY17" s="148"/>
    </row>
    <row r="18" ht="15.75" customHeight="1" spans="1:78">
      <c r="A18" s="1065" t="str">
        <f>IF(B18="","",COUNT(A$7:A17)+1)</f>
        <v/>
      </c>
      <c r="B18" s="1073"/>
      <c r="C18" s="1079"/>
      <c r="D18" s="1073"/>
      <c r="E18" s="1073"/>
      <c r="F18" s="1073"/>
      <c r="G18" s="1075"/>
      <c r="H18" s="1075"/>
      <c r="I18" s="1076"/>
      <c r="J18" s="1076"/>
      <c r="K18" s="1077"/>
      <c r="L18" s="1077"/>
      <c r="M18" s="1077"/>
      <c r="N18" s="1077"/>
      <c r="O18" s="1077"/>
      <c r="P18" s="1008" t="str">
        <f t="shared" si="7"/>
        <v/>
      </c>
      <c r="Q18" s="1077"/>
      <c r="R18" s="1077"/>
      <c r="S18" s="1077"/>
      <c r="T18" s="1077"/>
      <c r="U18" s="1077"/>
      <c r="V18" s="1077"/>
      <c r="W18" s="1077"/>
      <c r="X18" s="142"/>
      <c r="Y18" s="127" t="str">
        <f>IFERROR(VLOOKUP(X18,参数表!$H$2:$I$50,2,FALSE),"")</f>
        <v/>
      </c>
      <c r="Z18" s="128" t="str">
        <f t="shared" si="8"/>
        <v/>
      </c>
      <c r="AA18" s="128" t="str">
        <f t="shared" si="9"/>
        <v/>
      </c>
      <c r="AB18" s="1008" t="str">
        <f t="shared" si="10"/>
        <v/>
      </c>
      <c r="AC18" s="1077"/>
      <c r="AD18" s="1078"/>
      <c r="AE18" s="1078"/>
      <c r="AF18" s="1008" t="str">
        <f t="shared" si="11"/>
        <v/>
      </c>
      <c r="AG18" s="1008" t="str">
        <f t="shared" si="12"/>
        <v/>
      </c>
      <c r="AH18" s="1008" t="str">
        <f t="shared" si="0"/>
        <v/>
      </c>
      <c r="AI18" s="1008" t="str">
        <f t="shared" si="1"/>
        <v/>
      </c>
      <c r="AJ18" s="1072" t="str">
        <f t="shared" si="13"/>
        <v/>
      </c>
      <c r="AK18" s="1073"/>
      <c r="BA18" s="78"/>
      <c r="BB18" s="132" t="s">
        <v>3263</v>
      </c>
      <c r="BC18" s="133"/>
      <c r="BD18" s="132" t="str">
        <f>IF(OR(B18="",BC18=""),"",COUNTIF(BC$8:BC18,"√"))</f>
        <v/>
      </c>
      <c r="BE18" s="134" t="str">
        <f t="shared" si="2"/>
        <v/>
      </c>
      <c r="BF18" s="135" t="str">
        <f t="shared" si="14"/>
        <v/>
      </c>
      <c r="BG18" s="135" t="str">
        <f t="shared" si="14"/>
        <v/>
      </c>
      <c r="BH18" s="136"/>
      <c r="BI18" s="136"/>
      <c r="BJ18" s="136"/>
      <c r="BK18" s="136"/>
      <c r="BL18" s="137"/>
      <c r="BM18" s="137"/>
      <c r="BO18" s="109"/>
      <c r="BP18" s="1010">
        <f t="shared" si="15"/>
        <v>0</v>
      </c>
      <c r="BQ18" s="1011" t="str">
        <f t="shared" si="3"/>
        <v/>
      </c>
      <c r="BS18" s="134" t="str">
        <f>IF(COUNTIF(BS$7:BS17,F18)&gt;0,"",F18)&amp;""</f>
        <v/>
      </c>
      <c r="BT18" s="138">
        <f t="shared" si="4"/>
        <v>0</v>
      </c>
      <c r="BU18" s="132">
        <f t="shared" si="16"/>
        <v>1</v>
      </c>
      <c r="BV18" s="138">
        <f t="shared" si="5"/>
        <v>0</v>
      </c>
      <c r="BW18" s="132">
        <f t="shared" si="6"/>
        <v>1</v>
      </c>
      <c r="BX18" s="133"/>
      <c r="BY18" s="133"/>
    </row>
    <row r="19" ht="15.75" customHeight="1" spans="1:78">
      <c r="A19" s="1065" t="str">
        <f>IF(B19="","",COUNT(A$7:A18)+1)</f>
        <v/>
      </c>
      <c r="B19" s="1073"/>
      <c r="C19" s="1079"/>
      <c r="D19" s="1073"/>
      <c r="E19" s="1073"/>
      <c r="F19" s="1073"/>
      <c r="G19" s="1075"/>
      <c r="H19" s="1075"/>
      <c r="I19" s="1073"/>
      <c r="J19" s="1073"/>
      <c r="K19" s="1077"/>
      <c r="L19" s="1077"/>
      <c r="M19" s="1077"/>
      <c r="N19" s="1077"/>
      <c r="O19" s="1077"/>
      <c r="P19" s="1008" t="str">
        <f t="shared" si="7"/>
        <v/>
      </c>
      <c r="Q19" s="1077"/>
      <c r="R19" s="1077"/>
      <c r="S19" s="1077"/>
      <c r="T19" s="1077"/>
      <c r="U19" s="1077"/>
      <c r="V19" s="1077"/>
      <c r="W19" s="1077"/>
      <c r="X19" s="142"/>
      <c r="Y19" s="127" t="str">
        <f>IFERROR(VLOOKUP(X19,参数表!$H$2:$I$50,2,FALSE),"")</f>
        <v/>
      </c>
      <c r="Z19" s="128" t="str">
        <f t="shared" si="8"/>
        <v/>
      </c>
      <c r="AA19" s="128" t="str">
        <f t="shared" si="9"/>
        <v/>
      </c>
      <c r="AB19" s="1008" t="str">
        <f t="shared" si="10"/>
        <v/>
      </c>
      <c r="AC19" s="1077"/>
      <c r="AD19" s="1078"/>
      <c r="AE19" s="1078"/>
      <c r="AF19" s="1008" t="str">
        <f t="shared" si="11"/>
        <v/>
      </c>
      <c r="AG19" s="1008" t="str">
        <f t="shared" si="12"/>
        <v/>
      </c>
      <c r="AH19" s="1008" t="str">
        <f t="shared" si="0"/>
        <v/>
      </c>
      <c r="AI19" s="1008" t="str">
        <f t="shared" si="1"/>
        <v/>
      </c>
      <c r="AJ19" s="1072" t="str">
        <f t="shared" si="13"/>
        <v/>
      </c>
      <c r="AK19" s="1073"/>
      <c r="BA19" s="78"/>
      <c r="BB19" s="132" t="s">
        <v>3264</v>
      </c>
      <c r="BC19" s="133"/>
      <c r="BD19" s="132" t="str">
        <f>IF(OR(B19="",BC19=""),"",COUNTIF(BC$8:BC19,"√"))</f>
        <v/>
      </c>
      <c r="BE19" s="134" t="str">
        <f t="shared" si="2"/>
        <v/>
      </c>
      <c r="BF19" s="135" t="str">
        <f t="shared" si="14"/>
        <v/>
      </c>
      <c r="BG19" s="135" t="str">
        <f t="shared" si="14"/>
        <v/>
      </c>
      <c r="BH19" s="136"/>
      <c r="BI19" s="136"/>
      <c r="BJ19" s="136"/>
      <c r="BK19" s="136"/>
      <c r="BL19" s="137"/>
      <c r="BM19" s="137"/>
      <c r="BO19" s="109"/>
      <c r="BP19" s="1010">
        <f t="shared" si="15"/>
        <v>0</v>
      </c>
      <c r="BQ19" s="1011" t="str">
        <f t="shared" si="3"/>
        <v/>
      </c>
      <c r="BS19" s="134" t="str">
        <f>IF(COUNTIF(BS$7:BS18,F19)&gt;0,"",F19)&amp;""</f>
        <v/>
      </c>
      <c r="BT19" s="138">
        <f t="shared" si="4"/>
        <v>0</v>
      </c>
      <c r="BU19" s="132">
        <f t="shared" si="16"/>
        <v>1</v>
      </c>
      <c r="BV19" s="138">
        <f t="shared" si="5"/>
        <v>0</v>
      </c>
      <c r="BW19" s="132">
        <f t="shared" si="6"/>
        <v>1</v>
      </c>
      <c r="BX19" s="133"/>
      <c r="BY19" s="133"/>
    </row>
    <row r="20" ht="15.75" customHeight="1" spans="1:78">
      <c r="A20" s="1065" t="str">
        <f>IF(B20="","",COUNT(A$7:A19)+1)</f>
        <v/>
      </c>
      <c r="B20" s="1073"/>
      <c r="C20" s="1079"/>
      <c r="D20" s="1073"/>
      <c r="E20" s="1073"/>
      <c r="F20" s="1073"/>
      <c r="G20" s="1075"/>
      <c r="H20" s="1075"/>
      <c r="I20" s="1073"/>
      <c r="J20" s="1073"/>
      <c r="K20" s="1077"/>
      <c r="L20" s="1077"/>
      <c r="M20" s="1077"/>
      <c r="N20" s="1077"/>
      <c r="O20" s="1077"/>
      <c r="P20" s="1008" t="str">
        <f t="shared" si="7"/>
        <v/>
      </c>
      <c r="Q20" s="1077"/>
      <c r="R20" s="1077"/>
      <c r="S20" s="1077"/>
      <c r="T20" s="1077"/>
      <c r="U20" s="1077"/>
      <c r="V20" s="1077"/>
      <c r="W20" s="1077"/>
      <c r="X20" s="142"/>
      <c r="Y20" s="127" t="str">
        <f>IFERROR(VLOOKUP(X20,参数表!$H$2:$I$50,2,FALSE),"")</f>
        <v/>
      </c>
      <c r="Z20" s="128" t="str">
        <f t="shared" si="8"/>
        <v/>
      </c>
      <c r="AA20" s="128" t="str">
        <f t="shared" si="9"/>
        <v/>
      </c>
      <c r="AB20" s="1008" t="str">
        <f t="shared" si="10"/>
        <v/>
      </c>
      <c r="AC20" s="1077"/>
      <c r="AD20" s="1078"/>
      <c r="AE20" s="1078"/>
      <c r="AF20" s="1008" t="str">
        <f t="shared" si="11"/>
        <v/>
      </c>
      <c r="AG20" s="1008" t="str">
        <f t="shared" si="12"/>
        <v/>
      </c>
      <c r="AH20" s="1008" t="str">
        <f t="shared" si="0"/>
        <v/>
      </c>
      <c r="AI20" s="1008" t="str">
        <f t="shared" si="1"/>
        <v/>
      </c>
      <c r="AJ20" s="1072" t="str">
        <f t="shared" si="13"/>
        <v/>
      </c>
      <c r="AK20" s="1073"/>
      <c r="BA20" s="78"/>
      <c r="BB20" s="132" t="s">
        <v>3265</v>
      </c>
      <c r="BC20" s="133"/>
      <c r="BD20" s="132" t="str">
        <f>IF(OR(B20="",BC20=""),"",COUNTIF(BC$8:BC20,"√"))</f>
        <v/>
      </c>
      <c r="BE20" s="134" t="str">
        <f t="shared" si="2"/>
        <v/>
      </c>
      <c r="BF20" s="135" t="str">
        <f t="shared" si="14"/>
        <v/>
      </c>
      <c r="BG20" s="135" t="str">
        <f t="shared" si="14"/>
        <v/>
      </c>
      <c r="BH20" s="136"/>
      <c r="BI20" s="136"/>
      <c r="BJ20" s="136"/>
      <c r="BK20" s="136"/>
      <c r="BL20" s="137"/>
      <c r="BM20" s="137"/>
      <c r="BO20" s="109"/>
      <c r="BP20" s="1010">
        <f t="shared" si="15"/>
        <v>0</v>
      </c>
      <c r="BQ20" s="1011" t="str">
        <f t="shared" si="3"/>
        <v/>
      </c>
      <c r="BS20" s="134" t="str">
        <f>IF(COUNTIF(BS$7:BS19,F20)&gt;0,"",F20)&amp;""</f>
        <v/>
      </c>
      <c r="BT20" s="138">
        <f t="shared" si="4"/>
        <v>0</v>
      </c>
      <c r="BU20" s="132">
        <f t="shared" si="16"/>
        <v>1</v>
      </c>
      <c r="BV20" s="138">
        <f t="shared" si="5"/>
        <v>0</v>
      </c>
      <c r="BW20" s="132">
        <f t="shared" si="6"/>
        <v>1</v>
      </c>
      <c r="BX20" s="133"/>
      <c r="BY20" s="133"/>
    </row>
    <row r="21" ht="15.75" customHeight="1" spans="1:78">
      <c r="A21" s="1065" t="str">
        <f>IF(B21="","",COUNT(A$7:A20)+1)</f>
        <v/>
      </c>
      <c r="B21" s="1073"/>
      <c r="C21" s="1079"/>
      <c r="D21" s="1073"/>
      <c r="E21" s="1073"/>
      <c r="F21" s="1073"/>
      <c r="G21" s="1075"/>
      <c r="H21" s="1075"/>
      <c r="I21" s="1073"/>
      <c r="J21" s="1073"/>
      <c r="K21" s="1077"/>
      <c r="L21" s="1077"/>
      <c r="M21" s="1077"/>
      <c r="N21" s="1077"/>
      <c r="O21" s="1077"/>
      <c r="P21" s="1008" t="str">
        <f t="shared" si="7"/>
        <v/>
      </c>
      <c r="Q21" s="1077"/>
      <c r="R21" s="1077"/>
      <c r="S21" s="1077"/>
      <c r="T21" s="1077"/>
      <c r="U21" s="1077"/>
      <c r="V21" s="1077"/>
      <c r="W21" s="1077"/>
      <c r="X21" s="142"/>
      <c r="Y21" s="127" t="str">
        <f>IFERROR(VLOOKUP(X21,参数表!$H$2:$I$50,2,FALSE),"")</f>
        <v/>
      </c>
      <c r="Z21" s="128" t="str">
        <f t="shared" si="8"/>
        <v/>
      </c>
      <c r="AA21" s="128" t="str">
        <f t="shared" si="9"/>
        <v/>
      </c>
      <c r="AB21" s="1008" t="str">
        <f t="shared" si="10"/>
        <v/>
      </c>
      <c r="AC21" s="1077"/>
      <c r="AD21" s="1078"/>
      <c r="AE21" s="1078"/>
      <c r="AF21" s="1008" t="str">
        <f t="shared" si="11"/>
        <v/>
      </c>
      <c r="AG21" s="1008" t="str">
        <f t="shared" si="12"/>
        <v/>
      </c>
      <c r="AH21" s="1008" t="str">
        <f t="shared" si="0"/>
        <v/>
      </c>
      <c r="AI21" s="1008" t="str">
        <f t="shared" si="1"/>
        <v/>
      </c>
      <c r="AJ21" s="1072" t="str">
        <f t="shared" si="13"/>
        <v/>
      </c>
      <c r="AK21" s="1073"/>
      <c r="BA21" s="78"/>
      <c r="BB21" s="132" t="s">
        <v>3266</v>
      </c>
      <c r="BC21" s="133"/>
      <c r="BD21" s="132" t="str">
        <f>IF(OR(B21="",BC21=""),"",COUNTIF(BC$8:BC21,"√"))</f>
        <v/>
      </c>
      <c r="BE21" s="134" t="str">
        <f t="shared" si="2"/>
        <v/>
      </c>
      <c r="BF21" s="135" t="str">
        <f t="shared" si="14"/>
        <v/>
      </c>
      <c r="BG21" s="135" t="str">
        <f t="shared" si="14"/>
        <v/>
      </c>
      <c r="BH21" s="136"/>
      <c r="BI21" s="136"/>
      <c r="BJ21" s="136"/>
      <c r="BK21" s="136"/>
      <c r="BL21" s="137"/>
      <c r="BM21" s="137"/>
      <c r="BO21" s="109"/>
      <c r="BP21" s="1010">
        <f t="shared" si="15"/>
        <v>0</v>
      </c>
      <c r="BQ21" s="1011" t="str">
        <f t="shared" si="3"/>
        <v/>
      </c>
      <c r="BS21" s="134" t="str">
        <f>IF(COUNTIF(BS$7:BS20,F21)&gt;0,"",F21)&amp;""</f>
        <v/>
      </c>
      <c r="BT21" s="138">
        <f t="shared" si="4"/>
        <v>0</v>
      </c>
      <c r="BU21" s="132">
        <f t="shared" si="16"/>
        <v>1</v>
      </c>
      <c r="BV21" s="138">
        <f t="shared" si="5"/>
        <v>0</v>
      </c>
      <c r="BW21" s="132">
        <f t="shared" si="6"/>
        <v>1</v>
      </c>
      <c r="BX21" s="133"/>
      <c r="BY21" s="133"/>
    </row>
    <row r="22" ht="15.75" customHeight="1" spans="1:78">
      <c r="A22" s="1065" t="str">
        <f>IF(B22="","",COUNT(A$7:A21)+1)</f>
        <v/>
      </c>
      <c r="B22" s="1073"/>
      <c r="C22" s="1079"/>
      <c r="D22" s="1073"/>
      <c r="E22" s="1073"/>
      <c r="F22" s="1073"/>
      <c r="G22" s="1075"/>
      <c r="H22" s="1075"/>
      <c r="I22" s="1073"/>
      <c r="J22" s="1073"/>
      <c r="K22" s="1077"/>
      <c r="L22" s="1077"/>
      <c r="M22" s="1077"/>
      <c r="N22" s="1077"/>
      <c r="O22" s="1077"/>
      <c r="P22" s="1008" t="str">
        <f t="shared" si="7"/>
        <v/>
      </c>
      <c r="Q22" s="1077"/>
      <c r="R22" s="1077"/>
      <c r="S22" s="1077"/>
      <c r="T22" s="1077"/>
      <c r="U22" s="1077"/>
      <c r="V22" s="1077"/>
      <c r="W22" s="1077"/>
      <c r="X22" s="142"/>
      <c r="Y22" s="127" t="str">
        <f>IFERROR(VLOOKUP(X22,参数表!$H$2:$I$50,2,FALSE),"")</f>
        <v/>
      </c>
      <c r="Z22" s="128" t="str">
        <f t="shared" si="8"/>
        <v/>
      </c>
      <c r="AA22" s="128" t="str">
        <f t="shared" si="9"/>
        <v/>
      </c>
      <c r="AB22" s="1008" t="str">
        <f t="shared" si="10"/>
        <v/>
      </c>
      <c r="AC22" s="1077"/>
      <c r="AD22" s="1078"/>
      <c r="AE22" s="1078"/>
      <c r="AF22" s="1008" t="str">
        <f t="shared" si="11"/>
        <v/>
      </c>
      <c r="AG22" s="1008" t="str">
        <f t="shared" si="12"/>
        <v/>
      </c>
      <c r="AH22" s="1008" t="str">
        <f t="shared" si="0"/>
        <v/>
      </c>
      <c r="AI22" s="1008" t="str">
        <f t="shared" si="1"/>
        <v/>
      </c>
      <c r="AJ22" s="1072" t="str">
        <f t="shared" si="13"/>
        <v/>
      </c>
      <c r="AK22" s="1073"/>
      <c r="BA22" s="78"/>
      <c r="BB22" s="132" t="s">
        <v>3267</v>
      </c>
      <c r="BC22" s="133"/>
      <c r="BD22" s="132" t="str">
        <f>IF(OR(B22="",BC22=""),"",COUNTIF(BC$8:BC22,"√"))</f>
        <v/>
      </c>
      <c r="BE22" s="134" t="str">
        <f t="shared" si="2"/>
        <v/>
      </c>
      <c r="BF22" s="135" t="str">
        <f t="shared" si="14"/>
        <v/>
      </c>
      <c r="BG22" s="135" t="str">
        <f t="shared" si="14"/>
        <v/>
      </c>
      <c r="BH22" s="136"/>
      <c r="BI22" s="136"/>
      <c r="BJ22" s="136"/>
      <c r="BK22" s="136"/>
      <c r="BL22" s="137"/>
      <c r="BM22" s="137"/>
      <c r="BO22" s="109"/>
      <c r="BP22" s="1010">
        <f t="shared" si="15"/>
        <v>0</v>
      </c>
      <c r="BQ22" s="1011" t="str">
        <f t="shared" si="3"/>
        <v/>
      </c>
      <c r="BS22" s="134" t="str">
        <f>IF(COUNTIF(BS$7:BS21,F22)&gt;0,"",F22)&amp;""</f>
        <v/>
      </c>
      <c r="BT22" s="138">
        <f t="shared" si="4"/>
        <v>0</v>
      </c>
      <c r="BU22" s="132">
        <f t="shared" si="16"/>
        <v>1</v>
      </c>
      <c r="BV22" s="138">
        <f t="shared" si="5"/>
        <v>0</v>
      </c>
      <c r="BW22" s="132">
        <f t="shared" si="6"/>
        <v>1</v>
      </c>
      <c r="BX22" s="133"/>
      <c r="BY22" s="133"/>
    </row>
    <row r="23" ht="15.75" customHeight="1" spans="1:78">
      <c r="A23" s="1065" t="str">
        <f>IF(B23="","",COUNT(A$7:A22)+1)</f>
        <v/>
      </c>
      <c r="B23" s="1073"/>
      <c r="C23" s="1079"/>
      <c r="D23" s="1073"/>
      <c r="E23" s="1073"/>
      <c r="F23" s="1073"/>
      <c r="G23" s="1075"/>
      <c r="H23" s="1075"/>
      <c r="I23" s="1073"/>
      <c r="J23" s="1073"/>
      <c r="K23" s="1077"/>
      <c r="L23" s="1077"/>
      <c r="M23" s="1077"/>
      <c r="N23" s="1077"/>
      <c r="O23" s="1077"/>
      <c r="P23" s="1008" t="str">
        <f t="shared" si="7"/>
        <v/>
      </c>
      <c r="Q23" s="1077"/>
      <c r="R23" s="1077"/>
      <c r="S23" s="1077"/>
      <c r="T23" s="1077"/>
      <c r="U23" s="1077"/>
      <c r="V23" s="1077"/>
      <c r="W23" s="1077"/>
      <c r="X23" s="142"/>
      <c r="Y23" s="127" t="str">
        <f>IFERROR(VLOOKUP(X23,参数表!$H$2:$I$50,2,FALSE),"")</f>
        <v/>
      </c>
      <c r="Z23" s="128" t="str">
        <f t="shared" si="8"/>
        <v/>
      </c>
      <c r="AA23" s="128" t="str">
        <f t="shared" si="9"/>
        <v/>
      </c>
      <c r="AB23" s="1008" t="str">
        <f t="shared" si="10"/>
        <v/>
      </c>
      <c r="AC23" s="1077"/>
      <c r="AD23" s="1078"/>
      <c r="AE23" s="1078"/>
      <c r="AF23" s="1008" t="str">
        <f t="shared" si="11"/>
        <v/>
      </c>
      <c r="AG23" s="1008" t="str">
        <f t="shared" si="12"/>
        <v/>
      </c>
      <c r="AH23" s="1008" t="str">
        <f t="shared" si="0"/>
        <v/>
      </c>
      <c r="AI23" s="1008" t="str">
        <f t="shared" si="1"/>
        <v/>
      </c>
      <c r="AJ23" s="1072" t="str">
        <f t="shared" si="13"/>
        <v/>
      </c>
      <c r="AK23" s="1073"/>
      <c r="BA23" s="78"/>
      <c r="BB23" s="132" t="s">
        <v>3268</v>
      </c>
      <c r="BC23" s="133"/>
      <c r="BD23" s="132" t="str">
        <f>IF(OR(B23="",BC23=""),"",COUNTIF(BC$8:BC23,"√"))</f>
        <v/>
      </c>
      <c r="BE23" s="134" t="str">
        <f t="shared" si="2"/>
        <v/>
      </c>
      <c r="BF23" s="135" t="str">
        <f t="shared" si="14"/>
        <v/>
      </c>
      <c r="BG23" s="135" t="str">
        <f t="shared" si="14"/>
        <v/>
      </c>
      <c r="BH23" s="136"/>
      <c r="BI23" s="136"/>
      <c r="BJ23" s="136"/>
      <c r="BK23" s="136"/>
      <c r="BL23" s="137"/>
      <c r="BM23" s="137"/>
      <c r="BO23" s="109"/>
      <c r="BP23" s="1010">
        <f t="shared" si="15"/>
        <v>0</v>
      </c>
      <c r="BQ23" s="1011" t="str">
        <f t="shared" si="3"/>
        <v/>
      </c>
      <c r="BS23" s="134" t="str">
        <f>IF(COUNTIF(BS$7:BS22,F23)&gt;0,"",F23)&amp;""</f>
        <v/>
      </c>
      <c r="BT23" s="138">
        <f t="shared" si="4"/>
        <v>0</v>
      </c>
      <c r="BU23" s="132">
        <f t="shared" si="16"/>
        <v>1</v>
      </c>
      <c r="BV23" s="138">
        <f t="shared" si="5"/>
        <v>0</v>
      </c>
      <c r="BW23" s="132">
        <f t="shared" si="6"/>
        <v>1</v>
      </c>
      <c r="BX23" s="133"/>
      <c r="BY23" s="133"/>
    </row>
    <row r="24" ht="15.75" customHeight="1" spans="1:78">
      <c r="A24" s="1065" t="str">
        <f>IF(B24="","",COUNT(A$7:A23)+1)</f>
        <v/>
      </c>
      <c r="B24" s="1073"/>
      <c r="C24" s="1079"/>
      <c r="D24" s="1073"/>
      <c r="E24" s="1073"/>
      <c r="F24" s="1073"/>
      <c r="G24" s="1075"/>
      <c r="H24" s="1075"/>
      <c r="I24" s="1073"/>
      <c r="J24" s="1073"/>
      <c r="K24" s="1077"/>
      <c r="L24" s="1077"/>
      <c r="M24" s="1077"/>
      <c r="N24" s="1077"/>
      <c r="O24" s="1077"/>
      <c r="P24" s="1008" t="str">
        <f t="shared" si="7"/>
        <v/>
      </c>
      <c r="Q24" s="1077"/>
      <c r="R24" s="1077"/>
      <c r="S24" s="1077"/>
      <c r="T24" s="1077"/>
      <c r="U24" s="1077"/>
      <c r="V24" s="1077"/>
      <c r="W24" s="1077"/>
      <c r="X24" s="142"/>
      <c r="Y24" s="127" t="str">
        <f>IFERROR(VLOOKUP(X24,参数表!$H$2:$I$50,2,FALSE),"")</f>
        <v/>
      </c>
      <c r="Z24" s="128" t="str">
        <f t="shared" si="8"/>
        <v/>
      </c>
      <c r="AA24" s="128" t="str">
        <f t="shared" si="9"/>
        <v/>
      </c>
      <c r="AB24" s="1008" t="str">
        <f t="shared" si="10"/>
        <v/>
      </c>
      <c r="AC24" s="1077"/>
      <c r="AD24" s="1078"/>
      <c r="AE24" s="1078"/>
      <c r="AF24" s="1008" t="str">
        <f t="shared" si="11"/>
        <v/>
      </c>
      <c r="AG24" s="1008" t="str">
        <f t="shared" si="12"/>
        <v/>
      </c>
      <c r="AH24" s="1008" t="str">
        <f t="shared" si="0"/>
        <v/>
      </c>
      <c r="AI24" s="1008" t="str">
        <f t="shared" si="1"/>
        <v/>
      </c>
      <c r="AJ24" s="1072" t="str">
        <f t="shared" si="13"/>
        <v/>
      </c>
      <c r="AK24" s="1073"/>
      <c r="BA24" s="78"/>
      <c r="BB24" s="132" t="s">
        <v>3269</v>
      </c>
      <c r="BC24" s="133"/>
      <c r="BD24" s="132" t="str">
        <f>IF(OR(B24="",BC24=""),"",COUNTIF(BC$8:BC24,"√"))</f>
        <v/>
      </c>
      <c r="BE24" s="134" t="str">
        <f t="shared" si="2"/>
        <v/>
      </c>
      <c r="BF24" s="135" t="str">
        <f t="shared" si="14"/>
        <v/>
      </c>
      <c r="BG24" s="135" t="str">
        <f t="shared" si="14"/>
        <v/>
      </c>
      <c r="BH24" s="136"/>
      <c r="BI24" s="136"/>
      <c r="BJ24" s="136"/>
      <c r="BK24" s="136"/>
      <c r="BL24" s="137"/>
      <c r="BM24" s="137"/>
      <c r="BO24" s="109"/>
      <c r="BP24" s="1010">
        <f t="shared" si="15"/>
        <v>0</v>
      </c>
      <c r="BQ24" s="1011" t="str">
        <f t="shared" si="3"/>
        <v/>
      </c>
      <c r="BS24" s="134" t="str">
        <f>IF(COUNTIF(BS$7:BS23,F24)&gt;0,"",F24)&amp;""</f>
        <v/>
      </c>
      <c r="BT24" s="138">
        <f t="shared" si="4"/>
        <v>0</v>
      </c>
      <c r="BU24" s="132">
        <f t="shared" si="16"/>
        <v>1</v>
      </c>
      <c r="BV24" s="138">
        <f t="shared" si="5"/>
        <v>0</v>
      </c>
      <c r="BW24" s="132">
        <f t="shared" si="6"/>
        <v>1</v>
      </c>
      <c r="BX24" s="133"/>
      <c r="BY24" s="133"/>
    </row>
    <row r="25" ht="15.75" customHeight="1" spans="1:78">
      <c r="A25" s="1065" t="str">
        <f>IF(B25="","",COUNT(A$7:A24)+1)</f>
        <v/>
      </c>
      <c r="B25" s="1080"/>
      <c r="C25" s="1081"/>
      <c r="D25" s="1068"/>
      <c r="E25" s="1068"/>
      <c r="F25" s="1068"/>
      <c r="G25" s="1069"/>
      <c r="H25" s="1069"/>
      <c r="I25" s="1068"/>
      <c r="J25" s="1068"/>
      <c r="K25" s="1008"/>
      <c r="L25" s="1008"/>
      <c r="M25" s="1008"/>
      <c r="N25" s="1008"/>
      <c r="O25" s="1008"/>
      <c r="P25" s="1008" t="str">
        <f t="shared" si="7"/>
        <v/>
      </c>
      <c r="Q25" s="1008"/>
      <c r="R25" s="1008"/>
      <c r="S25" s="1008"/>
      <c r="T25" s="1008"/>
      <c r="U25" s="1008"/>
      <c r="V25" s="1008"/>
      <c r="W25" s="1008"/>
      <c r="X25" s="127"/>
      <c r="Y25" s="127" t="str">
        <f>IFERROR(VLOOKUP(X25,参数表!$H$2:$I$50,2,FALSE),"")</f>
        <v/>
      </c>
      <c r="Z25" s="128" t="str">
        <f t="shared" si="8"/>
        <v/>
      </c>
      <c r="AA25" s="128" t="str">
        <f t="shared" si="9"/>
        <v/>
      </c>
      <c r="AB25" s="1008" t="str">
        <f t="shared" si="10"/>
        <v/>
      </c>
      <c r="AC25" s="1008"/>
      <c r="AD25" s="1071"/>
      <c r="AE25" s="1071"/>
      <c r="AF25" s="1008" t="str">
        <f t="shared" si="11"/>
        <v/>
      </c>
      <c r="AG25" s="1008" t="str">
        <f t="shared" si="12"/>
        <v/>
      </c>
      <c r="AH25" s="1008" t="str">
        <f t="shared" si="0"/>
        <v/>
      </c>
      <c r="AI25" s="1008" t="str">
        <f t="shared" si="1"/>
        <v/>
      </c>
      <c r="AJ25" s="1072" t="str">
        <f t="shared" si="13"/>
        <v/>
      </c>
      <c r="AK25" s="1068"/>
      <c r="BA25" s="78"/>
      <c r="BB25" s="132" t="s">
        <v>3270</v>
      </c>
      <c r="BC25" s="133"/>
      <c r="BD25" s="132" t="str">
        <f>IF(OR(B25="",BC25=""),"",COUNTIF(BC$8:BC25,"√"))</f>
        <v/>
      </c>
      <c r="BE25" s="134" t="str">
        <f t="shared" si="2"/>
        <v/>
      </c>
      <c r="BF25" s="135" t="str">
        <f t="shared" si="14"/>
        <v/>
      </c>
      <c r="BG25" s="135" t="str">
        <f t="shared" si="14"/>
        <v/>
      </c>
      <c r="BH25" s="136"/>
      <c r="BI25" s="136"/>
      <c r="BJ25" s="136"/>
      <c r="BK25" s="136"/>
      <c r="BL25" s="137"/>
      <c r="BM25" s="137"/>
      <c r="BO25" s="109"/>
      <c r="BP25" s="1010">
        <f t="shared" si="15"/>
        <v>0</v>
      </c>
      <c r="BQ25" s="1011" t="str">
        <f t="shared" si="3"/>
        <v/>
      </c>
      <c r="BS25" s="134" t="str">
        <f>IF(COUNTIF(BS$7:BS24,F25)&gt;0,"",F25)&amp;""</f>
        <v/>
      </c>
      <c r="BT25" s="138">
        <f t="shared" si="4"/>
        <v>0</v>
      </c>
      <c r="BU25" s="132">
        <f t="shared" si="16"/>
        <v>1</v>
      </c>
      <c r="BV25" s="138">
        <f t="shared" si="5"/>
        <v>0</v>
      </c>
      <c r="BW25" s="132">
        <f t="shared" si="6"/>
        <v>1</v>
      </c>
      <c r="BX25" s="133"/>
      <c r="BY25" s="133"/>
    </row>
    <row r="26" s="1015" customFormat="1" ht="15.75" customHeight="1" spans="1:78">
      <c r="A26" s="1082" t="s">
        <v>3271</v>
      </c>
      <c r="B26" s="1083"/>
      <c r="C26" s="1084"/>
      <c r="D26" s="1085"/>
      <c r="E26" s="1085"/>
      <c r="F26" s="1085"/>
      <c r="G26" s="1086"/>
      <c r="H26" s="1087"/>
      <c r="I26" s="1085"/>
      <c r="J26" s="1085"/>
      <c r="K26" s="1088">
        <f t="shared" ref="K26:W26" si="18">SUM(K8:K25)</f>
        <v>0</v>
      </c>
      <c r="L26" s="1088">
        <f t="shared" si="18"/>
        <v>0</v>
      </c>
      <c r="M26" s="1088">
        <f t="shared" si="18"/>
        <v>0</v>
      </c>
      <c r="N26" s="1088">
        <f t="shared" si="18"/>
        <v>0</v>
      </c>
      <c r="O26" s="1088">
        <f t="shared" si="18"/>
        <v>0</v>
      </c>
      <c r="P26" s="1088">
        <f t="shared" si="18"/>
        <v>0</v>
      </c>
      <c r="Q26" s="1088">
        <f t="shared" si="18"/>
        <v>0</v>
      </c>
      <c r="R26" s="1088">
        <f t="shared" si="18"/>
        <v>0</v>
      </c>
      <c r="S26" s="1088">
        <f t="shared" si="18"/>
        <v>0</v>
      </c>
      <c r="T26" s="1088">
        <f t="shared" si="18"/>
        <v>0</v>
      </c>
      <c r="U26" s="1088">
        <f t="shared" si="18"/>
        <v>0</v>
      </c>
      <c r="V26" s="1088">
        <f t="shared" si="18"/>
        <v>0</v>
      </c>
      <c r="W26" s="1088">
        <f t="shared" si="18"/>
        <v>0</v>
      </c>
      <c r="X26" s="1088"/>
      <c r="Y26" s="1088"/>
      <c r="Z26" s="1088"/>
      <c r="AA26" s="1088"/>
      <c r="AB26" s="1088">
        <f>SUM(AB8:AB25)</f>
        <v>0</v>
      </c>
      <c r="AC26" s="1088">
        <f>SUM(AC8:AC25)</f>
        <v>0</v>
      </c>
      <c r="AD26" s="1089"/>
      <c r="AE26" s="1089"/>
      <c r="AF26" s="1088">
        <f>SUM(AF8:AF25)</f>
        <v>0</v>
      </c>
      <c r="AG26" s="1088">
        <f>SUM(AG8:AG25)</f>
        <v>0</v>
      </c>
      <c r="AH26" s="1088">
        <f>SUM(AH8:AH25)</f>
        <v>0</v>
      </c>
      <c r="AI26" s="1088">
        <f>SUM(AI8:AI25)</f>
        <v>0</v>
      </c>
      <c r="AJ26" s="1090" t="str">
        <f t="shared" ref="AJ26:AJ29" si="19">IFERROR((AH26-(AF26-AK26))/(AF26-AK26)*100,"")</f>
        <v/>
      </c>
      <c r="AK26" s="1091"/>
      <c r="BA26" s="110"/>
      <c r="BB26" s="110"/>
      <c r="BC26" s="110"/>
      <c r="BD26" s="110"/>
      <c r="BE26" s="110"/>
      <c r="BF26" s="109"/>
      <c r="BG26" s="109"/>
      <c r="BH26" s="109"/>
      <c r="BI26" s="109"/>
      <c r="BJ26" s="110"/>
      <c r="BK26" s="110"/>
      <c r="BL26" s="110"/>
      <c r="BM26" s="110"/>
      <c r="BN26" s="110"/>
      <c r="BO26" s="110"/>
      <c r="BR26" s="111"/>
      <c r="BS26" s="119"/>
      <c r="BT26" s="77"/>
      <c r="BU26" s="77"/>
      <c r="BV26" s="77"/>
      <c r="BW26" s="119"/>
      <c r="BX26" s="119"/>
      <c r="BY26" s="119"/>
      <c r="BZ26" s="111"/>
    </row>
    <row r="27" s="1015" customFormat="1" ht="15.75" customHeight="1" spans="1:78">
      <c r="A27" s="1092" t="s">
        <v>1252</v>
      </c>
      <c r="B27" s="1093"/>
      <c r="C27" s="1094"/>
      <c r="D27" s="1095"/>
      <c r="E27" s="1095"/>
      <c r="F27" s="1095"/>
      <c r="G27" s="1069"/>
      <c r="H27" s="1096"/>
      <c r="I27" s="1095"/>
      <c r="J27" s="1095"/>
      <c r="K27" s="1008"/>
      <c r="L27" s="1008"/>
      <c r="M27" s="1008"/>
      <c r="N27" s="1008"/>
      <c r="O27" s="1008"/>
      <c r="P27" s="1008"/>
      <c r="Q27" s="1008"/>
      <c r="R27" s="1008"/>
      <c r="S27" s="1008"/>
      <c r="T27" s="1008"/>
      <c r="U27" s="1008"/>
      <c r="V27" s="1008"/>
      <c r="W27" s="1008"/>
      <c r="X27" s="1008"/>
      <c r="Y27" s="1008"/>
      <c r="Z27" s="1008"/>
      <c r="AA27" s="1008"/>
      <c r="AB27" s="1008">
        <f>AC26</f>
        <v>0</v>
      </c>
      <c r="AC27" s="1008"/>
      <c r="AD27" s="1071"/>
      <c r="AE27" s="1071"/>
      <c r="AF27" s="1008">
        <f>AG26</f>
        <v>0</v>
      </c>
      <c r="AG27" s="1008"/>
      <c r="AH27" s="1008">
        <f>0</f>
        <v>0</v>
      </c>
      <c r="AI27" s="1008"/>
      <c r="AJ27" s="1090" t="str">
        <f t="shared" si="19"/>
        <v/>
      </c>
      <c r="AK27" s="1091"/>
      <c r="BA27" s="110"/>
      <c r="BB27" s="110"/>
      <c r="BC27" s="110"/>
      <c r="BD27" s="110"/>
      <c r="BE27" s="110"/>
      <c r="BF27" s="110"/>
      <c r="BG27" s="110"/>
      <c r="BH27" s="109"/>
      <c r="BI27" s="109"/>
      <c r="BJ27" s="109"/>
      <c r="BK27" s="109"/>
      <c r="BL27" s="110"/>
      <c r="BM27" s="110"/>
      <c r="BN27" s="110"/>
      <c r="BO27" s="110"/>
      <c r="BR27" s="77"/>
      <c r="BS27" s="78"/>
      <c r="BT27" s="77"/>
      <c r="BU27" s="78"/>
      <c r="BV27" s="78"/>
      <c r="BW27" s="78"/>
      <c r="BX27" s="78"/>
      <c r="BY27" s="78"/>
      <c r="BZ27" s="77"/>
    </row>
    <row r="28" s="1015" customFormat="1" ht="15.75" customHeight="1" spans="1:78">
      <c r="A28" s="1092" t="s">
        <v>3272</v>
      </c>
      <c r="B28" s="1097"/>
      <c r="C28" s="1098"/>
      <c r="D28" s="1095"/>
      <c r="E28" s="1095"/>
      <c r="F28" s="1095"/>
      <c r="G28" s="1069"/>
      <c r="H28" s="1096"/>
      <c r="I28" s="1095"/>
      <c r="J28" s="1095"/>
      <c r="K28" s="1008"/>
      <c r="L28" s="1008"/>
      <c r="M28" s="1008"/>
      <c r="N28" s="1008"/>
      <c r="O28" s="1008"/>
      <c r="P28" s="1008"/>
      <c r="Q28" s="1008"/>
      <c r="R28" s="1008"/>
      <c r="S28" s="1008"/>
      <c r="T28" s="1008"/>
      <c r="U28" s="1008"/>
      <c r="V28" s="1008"/>
      <c r="W28" s="1008"/>
      <c r="X28" s="1008"/>
      <c r="Y28" s="1008"/>
      <c r="Z28" s="1008"/>
      <c r="AA28" s="1008"/>
      <c r="AB28" s="1008"/>
      <c r="AC28" s="1008"/>
      <c r="AD28" s="1071"/>
      <c r="AE28" s="1071"/>
      <c r="AF28" s="1008"/>
      <c r="AG28" s="1008"/>
      <c r="AH28" s="1008">
        <f>AI26</f>
        <v>0</v>
      </c>
      <c r="AI28" s="1008"/>
      <c r="AJ28" s="1090"/>
      <c r="AK28" s="1091"/>
      <c r="BA28" s="110"/>
      <c r="BB28" s="110"/>
      <c r="BC28" s="110"/>
      <c r="BD28" s="110"/>
      <c r="BE28" s="110"/>
      <c r="BF28" s="110"/>
      <c r="BG28" s="110"/>
      <c r="BH28" s="109"/>
      <c r="BI28" s="109"/>
      <c r="BJ28" s="109"/>
      <c r="BK28" s="109"/>
      <c r="BL28" s="110"/>
      <c r="BM28" s="110"/>
      <c r="BN28" s="110"/>
      <c r="BO28" s="110"/>
      <c r="BR28" s="77"/>
      <c r="BS28" s="78"/>
      <c r="BT28" s="77"/>
      <c r="BU28" s="78"/>
      <c r="BV28" s="78"/>
      <c r="BW28" s="78"/>
      <c r="BX28" s="78"/>
      <c r="BY28" s="78"/>
      <c r="BZ28" s="77"/>
    </row>
    <row r="29" s="1015" customFormat="1" ht="15.75" customHeight="1" spans="1:78">
      <c r="A29" s="1082" t="s">
        <v>3273</v>
      </c>
      <c r="B29" s="1083"/>
      <c r="C29" s="1084"/>
      <c r="D29" s="1099"/>
      <c r="E29" s="1099"/>
      <c r="F29" s="1099"/>
      <c r="G29" s="1100"/>
      <c r="H29" s="1101"/>
      <c r="I29" s="1099"/>
      <c r="J29" s="1099"/>
      <c r="K29" s="1088"/>
      <c r="L29" s="1088"/>
      <c r="M29" s="1088"/>
      <c r="N29" s="1088"/>
      <c r="O29" s="1088"/>
      <c r="P29" s="1088"/>
      <c r="Q29" s="1088"/>
      <c r="R29" s="1088"/>
      <c r="S29" s="1088"/>
      <c r="T29" s="1088"/>
      <c r="U29" s="1088"/>
      <c r="V29" s="1088"/>
      <c r="W29" s="1088"/>
      <c r="X29" s="1088"/>
      <c r="Y29" s="1088"/>
      <c r="Z29" s="1088"/>
      <c r="AA29" s="1088"/>
      <c r="AB29" s="1088">
        <f>AB26-AB27</f>
        <v>0</v>
      </c>
      <c r="AC29" s="1088"/>
      <c r="AD29" s="1089"/>
      <c r="AE29" s="1089"/>
      <c r="AF29" s="1088">
        <f>AF26-AF27</f>
        <v>0</v>
      </c>
      <c r="AG29" s="1088"/>
      <c r="AH29" s="1088">
        <f>AH26-AH27</f>
        <v>0</v>
      </c>
      <c r="AI29" s="1088"/>
      <c r="AJ29" s="1090" t="str">
        <f t="shared" si="19"/>
        <v/>
      </c>
      <c r="AK29" s="1102"/>
      <c r="BA29" s="110"/>
      <c r="BB29" s="110"/>
      <c r="BC29" s="110"/>
      <c r="BD29" s="110"/>
      <c r="BE29" s="110"/>
      <c r="BF29" s="110"/>
      <c r="BG29" s="110"/>
      <c r="BH29" s="109"/>
      <c r="BI29" s="109"/>
      <c r="BJ29" s="109"/>
      <c r="BK29" s="109"/>
      <c r="BL29" s="110"/>
      <c r="BM29" s="110"/>
      <c r="BN29" s="110"/>
      <c r="BO29" s="110"/>
      <c r="BR29" s="77"/>
      <c r="BS29" s="78"/>
      <c r="BT29" s="77"/>
      <c r="BU29" s="78"/>
      <c r="BV29" s="78"/>
      <c r="BW29" s="78"/>
      <c r="BX29" s="78"/>
      <c r="BY29" s="78"/>
      <c r="BZ29" s="77"/>
    </row>
    <row r="30" spans="1:78">
      <c r="A30" s="1103" t="str">
        <f>参数表!F$6</f>
        <v>产权持有单位填表人：贾广东</v>
      </c>
      <c r="B30" s="1104"/>
      <c r="C30" s="1043"/>
      <c r="D30" s="1043"/>
      <c r="E30" s="1043"/>
      <c r="F30" s="1043"/>
      <c r="G30" s="1042"/>
      <c r="H30" s="1043"/>
      <c r="I30" s="1043"/>
      <c r="J30" s="1043"/>
      <c r="K30" s="1043"/>
      <c r="L30" s="1043"/>
      <c r="M30" s="1043"/>
      <c r="N30" s="1043"/>
      <c r="O30" s="1043"/>
      <c r="P30" s="1043"/>
      <c r="Q30" s="1043"/>
      <c r="R30" s="1043"/>
      <c r="S30" s="1042"/>
      <c r="T30" s="1042"/>
      <c r="U30" s="1042"/>
      <c r="V30" s="1043"/>
      <c r="W30" s="1043"/>
      <c r="X30" s="1043"/>
      <c r="Y30" s="1043"/>
      <c r="Z30" s="1043"/>
      <c r="AA30" s="1043"/>
      <c r="AB30" s="1043"/>
      <c r="AC30" s="1043"/>
      <c r="AD30" s="1047"/>
      <c r="AE30" s="1047"/>
      <c r="AF30" s="1043"/>
      <c r="AG30" s="1043"/>
      <c r="AH30" s="1104" t="str">
        <f>在用周转!W404</f>
        <v>评估人员：栗祥宁</v>
      </c>
      <c r="AI30" s="1104"/>
      <c r="AJ30" s="1105"/>
      <c r="AK30" s="1105"/>
      <c r="BC30" s="110"/>
      <c r="BD30" s="110"/>
      <c r="BE30" s="110"/>
      <c r="BH30" s="109"/>
      <c r="BI30" s="109"/>
      <c r="BJ30" s="109"/>
      <c r="BK30" s="109"/>
    </row>
    <row r="31" spans="1:78">
      <c r="A31" s="1103" t="str">
        <f>参数表!F$7</f>
        <v>填表日期：2025年9月20日</v>
      </c>
      <c r="B31" s="1104"/>
      <c r="C31" s="1043"/>
      <c r="D31" s="1043"/>
      <c r="E31" s="1043"/>
      <c r="F31" s="1043"/>
      <c r="G31" s="1042"/>
      <c r="H31" s="1043"/>
      <c r="I31" s="1043"/>
      <c r="J31" s="1043"/>
      <c r="K31" s="1043"/>
      <c r="L31" s="1043"/>
      <c r="M31" s="1043"/>
      <c r="N31" s="1043"/>
      <c r="O31" s="1043"/>
      <c r="P31" s="1043"/>
      <c r="Q31" s="1043"/>
      <c r="R31" s="1043"/>
      <c r="S31" s="1042"/>
      <c r="T31" s="1042"/>
      <c r="U31" s="1042"/>
      <c r="V31" s="1043"/>
      <c r="W31" s="1043"/>
      <c r="X31" s="1043"/>
      <c r="Y31" s="1043"/>
      <c r="Z31" s="1043"/>
      <c r="AA31" s="1043"/>
      <c r="AB31" s="1043"/>
      <c r="AC31" s="1043"/>
      <c r="AD31" s="1047"/>
      <c r="AE31" s="1047"/>
      <c r="AF31" s="1043"/>
      <c r="AG31" s="1043"/>
      <c r="AH31" s="1043"/>
      <c r="AI31" s="1043"/>
      <c r="AJ31" s="1105"/>
      <c r="AK31" s="1105"/>
      <c r="BC31" s="110"/>
      <c r="BD31" s="110"/>
      <c r="BE31" s="110"/>
      <c r="BH31" s="109"/>
      <c r="BI31" s="109"/>
      <c r="BJ31" s="109"/>
      <c r="BK31" s="109"/>
    </row>
    <row r="32" ht="15.75" hidden="1" customHeight="1" outlineLevel="1" spans="1:78">
      <c r="B32" s="154" t="s">
        <v>1673</v>
      </c>
      <c r="P32" s="1106">
        <f>SUMIF($BA8:$BA25,$BA32,P8:P25)</f>
        <v>0</v>
      </c>
      <c r="AB32" s="1106">
        <f>SUMIF($BA8:$BA25,$BA32,AB8:AB25)</f>
        <v>0</v>
      </c>
      <c r="AC32" s="1106">
        <f>SUMIF($BA8:$BA25,$BA32,AC8:AC25)</f>
        <v>0</v>
      </c>
      <c r="AF32" s="1106">
        <f>SUMIF($BA8:$BA25,$BA32,AF8:AF25)</f>
        <v>0</v>
      </c>
      <c r="AG32" s="1106">
        <f>SUMIF($BA8:$BA25,$BA32,AG8:AG25)</f>
        <v>0</v>
      </c>
      <c r="AH32" s="1106">
        <f>SUMIF($BA8:$BA25,$BA32,AH8:AH25)</f>
        <v>0</v>
      </c>
      <c r="AI32" s="1106">
        <f>SUMIF($BA8:$BA25,$BA32,AI8:AI25)</f>
        <v>0</v>
      </c>
      <c r="BA32" s="161" t="s">
        <v>1674</v>
      </c>
      <c r="BC32" s="110"/>
      <c r="BD32" s="110"/>
      <c r="BE32" s="110"/>
      <c r="BH32" s="1021" t="s">
        <v>3133</v>
      </c>
      <c r="BI32" s="1021" t="s">
        <v>3133</v>
      </c>
      <c r="BJ32" s="1021" t="s">
        <v>3133</v>
      </c>
      <c r="BK32" s="1021" t="s">
        <v>3133</v>
      </c>
      <c r="BO32" s="161" t="s">
        <v>1674</v>
      </c>
    </row>
    <row r="33" ht="15.75" hidden="1" customHeight="1" outlineLevel="1" spans="2:67">
      <c r="B33" s="154" t="s">
        <v>1676</v>
      </c>
      <c r="P33" s="1106">
        <f>P26-P32</f>
        <v>0</v>
      </c>
      <c r="AB33" s="1106">
        <f>AB26-AB32</f>
        <v>0</v>
      </c>
      <c r="AC33" s="1106">
        <f>AC26-AC32</f>
        <v>0</v>
      </c>
      <c r="AF33" s="1106">
        <f>AF26-AF32</f>
        <v>0</v>
      </c>
      <c r="AG33" s="1106">
        <f>AG26-AG32</f>
        <v>0</v>
      </c>
      <c r="AH33" s="1106">
        <f>AH26-AH32</f>
        <v>0</v>
      </c>
      <c r="AI33" s="1106">
        <f>AI26-AI32</f>
        <v>0</v>
      </c>
      <c r="BA33" s="161" t="s">
        <v>1677</v>
      </c>
      <c r="BC33" s="110"/>
      <c r="BD33" s="110"/>
      <c r="BE33" s="110"/>
      <c r="BH33" s="1021" t="s">
        <v>3134</v>
      </c>
      <c r="BI33" s="1021" t="s">
        <v>3134</v>
      </c>
      <c r="BJ33" s="1021" t="s">
        <v>3134</v>
      </c>
      <c r="BK33" s="1021" t="s">
        <v>3134</v>
      </c>
      <c r="BO33" s="161" t="s">
        <v>1677</v>
      </c>
    </row>
    <row r="34" collapsed="1" spans="2:67">
      <c r="BC34" s="110"/>
      <c r="BD34" s="110"/>
      <c r="BE34" s="110"/>
      <c r="BH34" s="109"/>
      <c r="BI34" s="109"/>
      <c r="BJ34" s="109"/>
      <c r="BK34" s="109"/>
    </row>
    <row r="35" spans="2:67">
      <c r="BC35" s="110"/>
      <c r="BD35" s="110"/>
      <c r="BE35" s="110"/>
      <c r="BH35" s="109"/>
      <c r="BI35" s="109"/>
      <c r="BJ35" s="109"/>
      <c r="BK35" s="109"/>
    </row>
    <row r="36" spans="2:67">
      <c r="BC36" s="110"/>
      <c r="BD36" s="110"/>
      <c r="BE36" s="110"/>
      <c r="BH36" s="109"/>
      <c r="BI36" s="109"/>
      <c r="BJ36" s="109"/>
      <c r="BK36" s="109"/>
    </row>
  </sheetData>
  <sheetProtection autoFilter="0"/>
  <mergeCells count="47">
    <mergeCell ref="A2:AK2"/>
    <mergeCell ref="A3:AK3"/>
    <mergeCell ref="A5:C5"/>
    <mergeCell ref="K6:P6"/>
    <mergeCell ref="X6:AA6"/>
    <mergeCell ref="AB6:AC6"/>
    <mergeCell ref="AD6:AE6"/>
    <mergeCell ref="AF6:AG6"/>
    <mergeCell ref="BX8:BZ8"/>
    <mergeCell ref="BX9:BZ9"/>
    <mergeCell ref="BY15:BZ15"/>
    <mergeCell ref="A26:C26"/>
    <mergeCell ref="A27:C27"/>
    <mergeCell ref="A28:C28"/>
    <mergeCell ref="A29:C29"/>
    <mergeCell ref="A6:A7"/>
    <mergeCell ref="B6:B7"/>
    <mergeCell ref="C6:C7"/>
    <mergeCell ref="D6:D7"/>
    <mergeCell ref="E6:E7"/>
    <mergeCell ref="F6:F7"/>
    <mergeCell ref="G6:G7"/>
    <mergeCell ref="H6:H7"/>
    <mergeCell ref="I6:I7"/>
    <mergeCell ref="J6:J7"/>
    <mergeCell ref="Q6:Q7"/>
    <mergeCell ref="R6:R7"/>
    <mergeCell ref="S6:S7"/>
    <mergeCell ref="T6:T7"/>
    <mergeCell ref="U6:U7"/>
    <mergeCell ref="V6:V7"/>
    <mergeCell ref="W6:W7"/>
    <mergeCell ref="AH6:AH7"/>
    <mergeCell ref="AI6:AI7"/>
    <mergeCell ref="AJ6:AJ7"/>
    <mergeCell ref="AK6:AK7"/>
    <mergeCell ref="BF6:BF7"/>
    <mergeCell ref="BG6:BG7"/>
    <mergeCell ref="BH6:BH7"/>
    <mergeCell ref="BI6:BI7"/>
    <mergeCell ref="BJ6:BJ7"/>
    <mergeCell ref="BK6:BK7"/>
    <mergeCell ref="BL6:BL7"/>
    <mergeCell ref="BM6:BM7"/>
    <mergeCell ref="BO6:BO7"/>
    <mergeCell ref="BP6:BP7"/>
    <mergeCell ref="BQ6:BQ7"/>
  </mergeCells>
  <conditionalFormatting sqref="BL8:BL25">
    <cfRule type="expression" dxfId="5" priority="4" stopIfTrue="1">
      <formula>AND(BK8="无",BL8="")</formula>
    </cfRule>
  </conditionalFormatting>
  <conditionalFormatting sqref="BF8:BG25">
    <cfRule type="containsText" dxfId="6" priority="1" stopIfTrue="1" operator="between" text="出错">
      <formula>NOT(ISERROR(SEARCH("出错",BF8)))</formula>
    </cfRule>
  </conditionalFormatting>
  <conditionalFormatting sqref="BH8:BK25">
    <cfRule type="expression" dxfId="5" priority="5" stopIfTrue="1">
      <formula>AND($B8&lt;&gt;"",BH8="")</formula>
    </cfRule>
  </conditionalFormatting>
  <dataValidations count="5">
    <dataValidation type="list" allowBlank="1" showInputMessage="1" showErrorMessage="1" sqref="X8:X25">
      <formula1>OFFSET(参数表!$H$2:$H$50,,,COUNTA(参数表!$H$2:$H$50))</formula1>
    </dataValidation>
    <dataValidation type="list" allowBlank="1" showInputMessage="1" showErrorMessage="1" sqref="BA8:BA25 BA32:BA33 BO32:BO33">
      <formula1>"是,否"</formula1>
    </dataValidation>
    <dataValidation type="list" allowBlank="1" showInputMessage="1" showErrorMessage="1" sqref="BC8:BC25">
      <formula1>"  ,√"</formula1>
    </dataValidation>
    <dataValidation type="list" allowBlank="1" showInputMessage="1" showErrorMessage="1" sqref="BO8:BO25">
      <formula1>$BO$32:$BO$33</formula1>
    </dataValidation>
    <dataValidation type="list" allowBlank="1" showInputMessage="1" showErrorMessage="1" sqref="BH8:BK25">
      <formula1>BH$32:BH$33</formula1>
    </dataValidation>
  </dataValidations>
  <hyperlinks>
    <hyperlink ref="A1" location="索引目录!E27" display="返回索引页"/>
  </hyperlinks>
  <printOptions horizontalCentered="1"/>
  <pageMargins left="0.708661417322835" right="0.708661417322835" top="0.748031496062992" bottom="0.748031496062992" header="0.31496062992126" footer="0.31496062992126"/>
  <pageSetup paperSize="9" orientation="landscape" blackAndWhite="1"/>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4">
    <tabColor rgb="FFFF0000"/>
  </sheetPr>
  <dimension ref="A1:CE40"/>
  <sheetViews>
    <sheetView workbookViewId="0">
      <selection activeCell="E45" sqref="E45"/>
    </sheetView>
  </sheetViews>
  <sheetFormatPr defaultColWidth="9" defaultRowHeight="13.2"/>
  <cols>
    <col min="1" max="1" width="8.7" style="75" customWidth="1"/>
    <col min="2" max="2" width="30.8" style="75" customWidth="1"/>
    <col min="3" max="3" width="20.6" style="75" hidden="1" customWidth="1" outlineLevel="1"/>
    <col min="4" max="4" width="20.6" style="75" customWidth="1" collapsed="1"/>
    <col min="5" max="7" width="20.6" style="75" customWidth="1"/>
    <col min="8" max="52" width="9" style="75" hidden="1" customWidth="1" outlineLevel="1"/>
    <col min="53" max="53" width="10.6" style="227" customWidth="1" collapsed="1"/>
    <col min="54" max="60" width="10.6" style="227" customWidth="1"/>
    <col min="61" max="61" width="1.6" style="227" customWidth="1"/>
    <col min="62"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80" t="s">
        <v>1591</v>
      </c>
      <c r="B1" s="80" t="s">
        <v>1592</v>
      </c>
      <c r="C1" s="81"/>
      <c r="D1" s="81"/>
      <c r="E1" s="81"/>
      <c r="F1" s="81"/>
      <c r="G1" s="81"/>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337" t="s">
        <v>3274</v>
      </c>
      <c r="B2" s="233"/>
      <c r="C2" s="233"/>
      <c r="D2" s="233"/>
      <c r="E2" s="233"/>
      <c r="F2" s="233"/>
      <c r="G2" s="233"/>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5" customHeight="1" spans="1:83">
      <c r="A3" s="238" t="str">
        <f>参数表!F5</f>
        <v>评估基准日：2025年7月31日</v>
      </c>
      <c r="B3" s="238"/>
      <c r="C3" s="238"/>
      <c r="D3" s="238"/>
      <c r="E3" s="238"/>
      <c r="F3" s="238"/>
      <c r="G3" s="238"/>
      <c r="BA3" s="230" t="str">
        <f>参数表!BA3</f>
        <v>是否显示评估值：</v>
      </c>
      <c r="BB3" s="230" t="str">
        <f>参数表!BB3</f>
        <v>是</v>
      </c>
    </row>
    <row r="4" ht="15" customHeight="1" spans="1:83">
      <c r="A4" s="238"/>
      <c r="B4" s="238"/>
      <c r="C4" s="238"/>
      <c r="D4" s="238"/>
      <c r="E4" s="238"/>
      <c r="F4" s="238"/>
      <c r="G4" s="338" t="str">
        <f>"表"&amp;A28</f>
        <v>表3-11</v>
      </c>
      <c r="BA4" s="240" t="s">
        <v>1595</v>
      </c>
      <c r="BB4" s="241"/>
      <c r="BC4" s="241"/>
      <c r="BD4" s="241"/>
      <c r="BE4" s="241"/>
      <c r="BF4" s="241"/>
      <c r="BG4" s="241"/>
      <c r="BH4" s="241"/>
      <c r="BI4" s="242"/>
      <c r="BJ4" s="241" t="s">
        <v>1545</v>
      </c>
      <c r="BK4" s="241"/>
      <c r="BL4" s="241"/>
      <c r="BM4" s="241"/>
      <c r="BN4" s="241"/>
      <c r="BO4" s="241"/>
      <c r="BP4" s="241"/>
      <c r="BQ4" s="241"/>
      <c r="BS4" s="228" t="str">
        <f>LEFT(A2,LEN(A2)-5)</f>
        <v>合同资产</v>
      </c>
    </row>
    <row r="5" ht="15" customHeight="1" spans="1:83">
      <c r="A5" s="243" t="str">
        <f>参数表!F3</f>
        <v>产权持有单位:中煤第五建设有限公司</v>
      </c>
      <c r="G5" s="244" t="s">
        <v>236</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合同资产为：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1525</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339" t="str">
        <f>A$28&amp;"-"&amp;SUBTOTAL(103,B$7:B7)</f>
        <v>3-11-1</v>
      </c>
      <c r="B7" s="340" t="s">
        <v>1286</v>
      </c>
      <c r="C7" s="143">
        <f>'合同资-未完施工'!AB29</f>
        <v>0</v>
      </c>
      <c r="D7" s="143">
        <f>'合同资-未完施工'!AF29</f>
        <v>0</v>
      </c>
      <c r="E7" s="143">
        <f>'合同资-未完施工'!AH29</f>
        <v>0</v>
      </c>
      <c r="F7" s="143">
        <f t="shared" ref="F7:F8" si="0">E7-D7</f>
        <v>0</v>
      </c>
      <c r="G7" s="143" t="str">
        <f t="shared" ref="G7:G8" si="1">IF(D7=0,"",F7/D7*100)</f>
        <v/>
      </c>
      <c r="BA7" s="256">
        <f>BB7</f>
        <v>0</v>
      </c>
      <c r="BB7" s="256">
        <f>'合同资-未完施工'!AF26</f>
        <v>0</v>
      </c>
      <c r="BC7" s="256">
        <f>BB7-BD7</f>
        <v>0</v>
      </c>
      <c r="BD7" s="256">
        <f>D7</f>
        <v>0</v>
      </c>
      <c r="BE7" s="256">
        <f>BF7</f>
        <v>0</v>
      </c>
      <c r="BF7" s="256">
        <f>'合同资-未完施工'!AH26</f>
        <v>0</v>
      </c>
      <c r="BG7" s="256">
        <f>BF7-BH7</f>
        <v>0</v>
      </c>
      <c r="BH7" s="256">
        <f>E7</f>
        <v>0</v>
      </c>
      <c r="BI7" s="242"/>
      <c r="BJ7" s="143">
        <f>BK7</f>
        <v>0</v>
      </c>
      <c r="BK7" s="256">
        <f>'合同资-未完施工'!AF32</f>
        <v>0</v>
      </c>
      <c r="BL7" s="256">
        <f>'合同资-未完施工'!AG32</f>
        <v>0</v>
      </c>
      <c r="BM7" s="256">
        <f>BK7-BL7</f>
        <v>0</v>
      </c>
      <c r="BN7" s="143">
        <f>BO7</f>
        <v>0</v>
      </c>
      <c r="BO7" s="256">
        <f>'合同资-未完施工'!AH32</f>
        <v>0</v>
      </c>
      <c r="BP7" s="256">
        <f>'合同资-未完施工'!AI32</f>
        <v>0</v>
      </c>
      <c r="BQ7" s="256">
        <f>BO7-BP7</f>
        <v>0</v>
      </c>
      <c r="BS7" s="228" t="str">
        <f t="shared" ref="BS7:BS8" si="2">IF(F7&gt;0,"增值",IF(F7=0,"无增减值","减值"))</f>
        <v>无增减值</v>
      </c>
      <c r="BT7" s="257">
        <f t="shared" ref="BT7:BT8" si="3">ABS(F7)</f>
        <v>0</v>
      </c>
      <c r="BU7" s="257">
        <f t="shared" ref="BU7:BU8" si="4">IFERROR(ABS(G7),0)</f>
        <v>0</v>
      </c>
      <c r="BV7" s="258">
        <f t="shared" ref="BV7:BV8" si="5">IFERROR(FIND("-",B7),0)</f>
        <v>5</v>
      </c>
      <c r="BW7" s="259" t="str">
        <f>IF(SUM(BA7:BH7)=0,"",RIGHT(B7,LEN(B7)-BV7))</f>
        <v/>
      </c>
      <c r="BX7" s="158" t="str">
        <f>IF(BY7="","",IF(BZ7&gt;1,"、",IF(BZ7=1,"和","")))</f>
        <v/>
      </c>
      <c r="BY7" s="158" t="str">
        <f>IF(BW7="","",1)</f>
        <v/>
      </c>
      <c r="BZ7" s="228">
        <f>COUNT(BY8:BY$27)</f>
        <v>0</v>
      </c>
    </row>
    <row r="8" ht="15" customHeight="1" spans="1:83">
      <c r="A8" s="339" t="str">
        <f>A$28&amp;"-"&amp;SUBTOTAL(103,B$7:B8)</f>
        <v>3-11-2</v>
      </c>
      <c r="B8" s="340" t="s">
        <v>1293</v>
      </c>
      <c r="C8" s="143">
        <f>'合同资-其他'!J30</f>
        <v>0</v>
      </c>
      <c r="D8" s="143">
        <f>'合同资-其他'!N30</f>
        <v>0</v>
      </c>
      <c r="E8" s="143">
        <f>'合同资-其他'!P30</f>
        <v>0</v>
      </c>
      <c r="F8" s="143">
        <f t="shared" si="0"/>
        <v>0</v>
      </c>
      <c r="G8" s="143" t="str">
        <f t="shared" si="1"/>
        <v/>
      </c>
      <c r="BA8" s="256">
        <f>BB8</f>
        <v>0</v>
      </c>
      <c r="BB8" s="256">
        <f>'合同资-其他'!N27</f>
        <v>0</v>
      </c>
      <c r="BC8" s="256">
        <f>BB8-BD8</f>
        <v>0</v>
      </c>
      <c r="BD8" s="256">
        <f>D8</f>
        <v>0</v>
      </c>
      <c r="BE8" s="256">
        <f>BF8</f>
        <v>0</v>
      </c>
      <c r="BF8" s="256">
        <f>'合同资-其他'!P27</f>
        <v>0</v>
      </c>
      <c r="BG8" s="256">
        <f>BF8-BH8</f>
        <v>0</v>
      </c>
      <c r="BH8" s="256">
        <f>E8</f>
        <v>0</v>
      </c>
      <c r="BI8" s="242"/>
      <c r="BJ8" s="143">
        <f>BK8</f>
        <v>0</v>
      </c>
      <c r="BK8" s="256">
        <f>'合同资-其他'!N33</f>
        <v>0</v>
      </c>
      <c r="BL8" s="256">
        <f>'合同资-其他'!O33</f>
        <v>0</v>
      </c>
      <c r="BM8" s="256">
        <f>BK8-BL8</f>
        <v>0</v>
      </c>
      <c r="BN8" s="143">
        <f>BO8</f>
        <v>0</v>
      </c>
      <c r="BO8" s="256">
        <f>'合同资-其他'!P33</f>
        <v>0</v>
      </c>
      <c r="BP8" s="256">
        <f>'合同资-其他'!Q33</f>
        <v>0</v>
      </c>
      <c r="BQ8" s="256">
        <f>BO8-BP8</f>
        <v>0</v>
      </c>
      <c r="BS8" s="228" t="str">
        <f t="shared" si="2"/>
        <v>无增减值</v>
      </c>
      <c r="BT8" s="257">
        <f t="shared" si="3"/>
        <v>0</v>
      </c>
      <c r="BU8" s="257">
        <f t="shared" si="4"/>
        <v>0</v>
      </c>
      <c r="BV8" s="258">
        <f t="shared" si="5"/>
        <v>5</v>
      </c>
      <c r="BW8" s="259" t="str">
        <f t="shared" ref="BW8" si="6">IF(SUM(BA8:BH8)=0,"",RIGHT(B8,LEN(B8)-BV8))</f>
        <v/>
      </c>
      <c r="BX8" s="158" t="str">
        <f t="shared" ref="BX8" si="7">IF(BY8="","",IF(BZ8&gt;1,"、",IF(BZ8=1,"和","")))</f>
        <v/>
      </c>
      <c r="BY8" s="158" t="str">
        <f t="shared" ref="BY8" si="8">IF(BW8="","",1)</f>
        <v/>
      </c>
      <c r="BZ8" s="228">
        <f>COUNT(BY9:BY$27)</f>
        <v>0</v>
      </c>
    </row>
    <row r="9" ht="15" customHeight="1" spans="1:83">
      <c r="A9" s="141"/>
      <c r="B9" s="145"/>
      <c r="C9" s="143"/>
      <c r="D9" s="143"/>
      <c r="E9" s="143"/>
      <c r="F9" s="143"/>
      <c r="G9" s="143"/>
      <c r="BA9" s="256"/>
      <c r="BB9" s="256"/>
      <c r="BC9" s="256"/>
      <c r="BD9" s="256"/>
      <c r="BE9" s="256"/>
      <c r="BF9" s="256"/>
      <c r="BG9" s="256"/>
      <c r="BH9" s="256"/>
      <c r="BI9" s="242"/>
      <c r="BJ9" s="143"/>
      <c r="BK9" s="256"/>
      <c r="BL9" s="256"/>
      <c r="BM9" s="256"/>
      <c r="BN9" s="143"/>
      <c r="BO9" s="256"/>
      <c r="BP9" s="256"/>
      <c r="BQ9" s="256"/>
      <c r="BS9" s="228"/>
      <c r="BT9" s="257"/>
      <c r="BU9" s="257"/>
      <c r="BV9" s="258"/>
      <c r="BW9" s="259"/>
      <c r="BY9" s="158"/>
      <c r="BZ9" s="228"/>
    </row>
    <row r="10" ht="15" customHeight="1" spans="1:83">
      <c r="A10" s="141"/>
      <c r="B10" s="145"/>
      <c r="C10" s="143"/>
      <c r="D10" s="143"/>
      <c r="E10" s="143"/>
      <c r="F10" s="143"/>
      <c r="G10" s="143"/>
      <c r="BA10" s="256"/>
      <c r="BB10" s="256"/>
      <c r="BC10" s="256"/>
      <c r="BD10" s="256"/>
      <c r="BE10" s="256"/>
      <c r="BF10" s="256"/>
      <c r="BG10" s="256"/>
      <c r="BH10" s="256"/>
      <c r="BI10" s="242"/>
      <c r="BJ10" s="256"/>
      <c r="BK10" s="256"/>
      <c r="BL10" s="256"/>
      <c r="BM10" s="256"/>
      <c r="BN10" s="256"/>
      <c r="BO10" s="256"/>
      <c r="BP10" s="256"/>
      <c r="BQ10" s="256"/>
      <c r="BS10" s="228"/>
      <c r="BT10" s="257"/>
      <c r="BU10" s="257"/>
      <c r="BV10" s="258"/>
      <c r="BW10" s="259"/>
      <c r="BY10" s="158"/>
      <c r="BZ10" s="228"/>
    </row>
    <row r="11" ht="15" customHeight="1" spans="1:83">
      <c r="A11" s="141"/>
      <c r="B11" s="145"/>
      <c r="C11" s="143"/>
      <c r="D11" s="143"/>
      <c r="E11" s="143"/>
      <c r="F11" s="143"/>
      <c r="G11" s="143"/>
      <c r="BA11" s="256"/>
      <c r="BB11" s="256"/>
      <c r="BC11" s="256"/>
      <c r="BD11" s="256"/>
      <c r="BE11" s="256"/>
      <c r="BF11" s="256"/>
      <c r="BG11" s="256"/>
      <c r="BH11" s="256"/>
      <c r="BI11" s="242"/>
      <c r="BJ11" s="256"/>
      <c r="BK11" s="256"/>
      <c r="BL11" s="256"/>
      <c r="BM11" s="256"/>
      <c r="BN11" s="256"/>
      <c r="BO11" s="256"/>
      <c r="BP11" s="256"/>
      <c r="BQ11" s="256"/>
      <c r="BS11" s="228"/>
      <c r="BT11" s="257"/>
      <c r="BU11" s="257"/>
      <c r="BV11" s="258"/>
      <c r="BW11" s="259"/>
      <c r="BY11" s="158"/>
      <c r="BZ11" s="228"/>
    </row>
    <row r="12" ht="15" customHeight="1" spans="1:83">
      <c r="A12" s="141"/>
      <c r="B12" s="145"/>
      <c r="C12" s="143"/>
      <c r="D12" s="143"/>
      <c r="E12" s="143"/>
      <c r="F12" s="143"/>
      <c r="G12" s="143"/>
      <c r="BA12" s="256"/>
      <c r="BB12" s="256"/>
      <c r="BC12" s="256"/>
      <c r="BD12" s="256"/>
      <c r="BE12" s="256"/>
      <c r="BF12" s="256"/>
      <c r="BG12" s="256"/>
      <c r="BH12" s="256"/>
      <c r="BI12" s="242"/>
      <c r="BJ12" s="256"/>
      <c r="BK12" s="256"/>
      <c r="BL12" s="256"/>
      <c r="BM12" s="256"/>
      <c r="BN12" s="256"/>
      <c r="BO12" s="256"/>
      <c r="BP12" s="256"/>
      <c r="BQ12" s="256"/>
      <c r="BS12" s="228"/>
      <c r="BT12" s="257"/>
      <c r="BU12" s="257"/>
      <c r="BV12" s="258"/>
      <c r="BW12" s="259"/>
      <c r="BY12" s="158"/>
      <c r="BZ12" s="228"/>
    </row>
    <row r="13" ht="15" customHeight="1" spans="1:83">
      <c r="A13" s="141"/>
      <c r="B13" s="145"/>
      <c r="C13" s="143"/>
      <c r="D13" s="143"/>
      <c r="E13" s="143"/>
      <c r="F13" s="143"/>
      <c r="G13" s="143"/>
      <c r="BA13" s="256"/>
      <c r="BB13" s="256"/>
      <c r="BC13" s="256"/>
      <c r="BD13" s="256"/>
      <c r="BE13" s="256"/>
      <c r="BF13" s="256"/>
      <c r="BG13" s="256"/>
      <c r="BH13" s="256"/>
      <c r="BI13" s="242"/>
      <c r="BJ13" s="256"/>
      <c r="BK13" s="256"/>
      <c r="BL13" s="256"/>
      <c r="BM13" s="256"/>
      <c r="BN13" s="256"/>
      <c r="BO13" s="256"/>
      <c r="BP13" s="256"/>
      <c r="BQ13" s="256"/>
      <c r="BS13" s="228"/>
      <c r="BT13" s="257"/>
      <c r="BU13" s="257"/>
      <c r="BV13" s="258"/>
      <c r="BW13" s="259"/>
      <c r="BY13" s="158"/>
      <c r="BZ13" s="228"/>
    </row>
    <row r="14" ht="15" customHeight="1" spans="1:83">
      <c r="A14" s="141"/>
      <c r="B14" s="145"/>
      <c r="C14" s="143"/>
      <c r="D14" s="143"/>
      <c r="E14" s="143"/>
      <c r="F14" s="143"/>
      <c r="G14" s="143"/>
      <c r="BA14" s="256"/>
      <c r="BB14" s="256"/>
      <c r="BC14" s="256"/>
      <c r="BD14" s="256"/>
      <c r="BE14" s="256"/>
      <c r="BF14" s="256"/>
      <c r="BG14" s="256"/>
      <c r="BH14" s="256"/>
      <c r="BI14" s="242"/>
      <c r="BJ14" s="256"/>
      <c r="BK14" s="256"/>
      <c r="BL14" s="256"/>
      <c r="BM14" s="256"/>
      <c r="BN14" s="256"/>
      <c r="BO14" s="256"/>
      <c r="BP14" s="256"/>
      <c r="BQ14" s="256"/>
      <c r="BS14" s="228"/>
      <c r="BT14" s="257"/>
      <c r="BU14" s="257"/>
      <c r="BV14" s="258"/>
      <c r="BW14" s="259"/>
      <c r="BY14" s="158"/>
      <c r="BZ14" s="228"/>
    </row>
    <row r="15" ht="15" customHeight="1" spans="1:83">
      <c r="A15" s="141"/>
      <c r="B15" s="145"/>
      <c r="C15" s="143"/>
      <c r="D15" s="143"/>
      <c r="E15" s="143"/>
      <c r="F15" s="143"/>
      <c r="G15" s="143"/>
      <c r="BA15" s="256"/>
      <c r="BB15" s="256"/>
      <c r="BC15" s="256"/>
      <c r="BD15" s="256"/>
      <c r="BE15" s="256"/>
      <c r="BF15" s="256"/>
      <c r="BG15" s="256"/>
      <c r="BH15" s="256"/>
      <c r="BI15" s="242"/>
      <c r="BJ15" s="256"/>
      <c r="BK15" s="256"/>
      <c r="BL15" s="256"/>
      <c r="BM15" s="256"/>
      <c r="BN15" s="256"/>
      <c r="BO15" s="256"/>
      <c r="BP15" s="256"/>
      <c r="BQ15" s="256"/>
      <c r="BS15" s="228"/>
      <c r="BT15" s="257"/>
      <c r="BU15" s="257"/>
      <c r="BV15" s="258"/>
      <c r="BW15" s="259"/>
      <c r="BY15" s="158"/>
      <c r="BZ15" s="228"/>
    </row>
    <row r="16" ht="15" customHeight="1" spans="1:83">
      <c r="A16" s="141"/>
      <c r="B16" s="145"/>
      <c r="C16" s="143"/>
      <c r="D16" s="143"/>
      <c r="E16" s="143"/>
      <c r="F16" s="143"/>
      <c r="G16" s="143"/>
      <c r="BA16" s="256"/>
      <c r="BB16" s="256"/>
      <c r="BC16" s="256"/>
      <c r="BD16" s="256"/>
      <c r="BE16" s="256"/>
      <c r="BF16" s="256"/>
      <c r="BG16" s="256"/>
      <c r="BH16" s="256"/>
      <c r="BI16" s="242"/>
      <c r="BJ16" s="256"/>
      <c r="BK16" s="256"/>
      <c r="BL16" s="256"/>
      <c r="BM16" s="256"/>
      <c r="BN16" s="256"/>
      <c r="BO16" s="256"/>
      <c r="BP16" s="256"/>
      <c r="BQ16" s="256"/>
      <c r="BS16" s="228"/>
      <c r="BT16" s="257"/>
      <c r="BU16" s="257"/>
      <c r="BV16" s="258"/>
      <c r="BW16" s="259"/>
      <c r="BY16" s="158"/>
      <c r="BZ16" s="228"/>
    </row>
    <row r="17" ht="15" customHeight="1" spans="1:83">
      <c r="A17" s="141"/>
      <c r="B17" s="145"/>
      <c r="C17" s="143"/>
      <c r="D17" s="143"/>
      <c r="E17" s="143"/>
      <c r="F17" s="143"/>
      <c r="G17" s="143"/>
      <c r="BA17" s="256"/>
      <c r="BB17" s="256"/>
      <c r="BC17" s="256"/>
      <c r="BD17" s="256"/>
      <c r="BE17" s="256"/>
      <c r="BF17" s="256"/>
      <c r="BG17" s="256"/>
      <c r="BH17" s="256"/>
      <c r="BI17" s="242"/>
      <c r="BJ17" s="256"/>
      <c r="BK17" s="256"/>
      <c r="BL17" s="256"/>
      <c r="BM17" s="256"/>
      <c r="BN17" s="256"/>
      <c r="BO17" s="256"/>
      <c r="BP17" s="256"/>
      <c r="BQ17" s="256"/>
      <c r="BS17" s="228"/>
      <c r="BT17" s="257"/>
      <c r="BU17" s="257"/>
      <c r="BV17" s="258"/>
      <c r="BW17" s="259"/>
      <c r="BY17" s="158"/>
      <c r="BZ17" s="228"/>
    </row>
    <row r="18" ht="15" customHeight="1" spans="1:83">
      <c r="A18" s="141"/>
      <c r="B18" s="145"/>
      <c r="C18" s="143"/>
      <c r="D18" s="143"/>
      <c r="E18" s="143"/>
      <c r="F18" s="143"/>
      <c r="G18" s="143"/>
      <c r="BA18" s="256"/>
      <c r="BB18" s="256"/>
      <c r="BC18" s="256"/>
      <c r="BD18" s="256"/>
      <c r="BE18" s="256"/>
      <c r="BF18" s="256"/>
      <c r="BG18" s="256"/>
      <c r="BH18" s="256"/>
      <c r="BI18" s="242"/>
      <c r="BJ18" s="256"/>
      <c r="BK18" s="256"/>
      <c r="BL18" s="256"/>
      <c r="BM18" s="256"/>
      <c r="BN18" s="256"/>
      <c r="BO18" s="256"/>
      <c r="BP18" s="256"/>
      <c r="BQ18" s="256"/>
      <c r="BS18" s="228"/>
      <c r="BT18" s="257"/>
      <c r="BU18" s="257"/>
      <c r="BV18" s="258"/>
      <c r="BW18" s="259"/>
      <c r="BY18" s="158"/>
      <c r="BZ18" s="228"/>
    </row>
    <row r="19" ht="15" customHeight="1" spans="1:83">
      <c r="A19" s="141"/>
      <c r="B19" s="145"/>
      <c r="C19" s="143"/>
      <c r="D19" s="143"/>
      <c r="E19" s="143"/>
      <c r="F19" s="143"/>
      <c r="G19" s="143"/>
      <c r="BA19" s="256"/>
      <c r="BB19" s="256"/>
      <c r="BC19" s="256"/>
      <c r="BD19" s="256"/>
      <c r="BE19" s="256"/>
      <c r="BF19" s="256"/>
      <c r="BG19" s="256"/>
      <c r="BH19" s="256"/>
      <c r="BI19" s="242"/>
      <c r="BJ19" s="256"/>
      <c r="BK19" s="256"/>
      <c r="BL19" s="256"/>
      <c r="BM19" s="256"/>
      <c r="BN19" s="256"/>
      <c r="BO19" s="256"/>
      <c r="BP19" s="256"/>
      <c r="BQ19" s="256"/>
      <c r="BS19" s="228"/>
      <c r="BT19" s="257"/>
      <c r="BU19" s="257"/>
      <c r="BV19" s="258"/>
      <c r="BW19" s="259"/>
      <c r="BY19" s="158"/>
      <c r="BZ19" s="228"/>
    </row>
    <row r="20" ht="15" customHeight="1" spans="1:83">
      <c r="A20" s="141"/>
      <c r="B20" s="145"/>
      <c r="C20" s="143"/>
      <c r="D20" s="143"/>
      <c r="E20" s="143"/>
      <c r="F20" s="143"/>
      <c r="G20" s="143"/>
      <c r="BA20" s="256"/>
      <c r="BB20" s="256"/>
      <c r="BC20" s="256"/>
      <c r="BD20" s="256"/>
      <c r="BE20" s="256"/>
      <c r="BF20" s="256"/>
      <c r="BG20" s="256"/>
      <c r="BH20" s="256"/>
      <c r="BI20" s="242"/>
      <c r="BJ20" s="256"/>
      <c r="BK20" s="256"/>
      <c r="BL20" s="256"/>
      <c r="BM20" s="256"/>
      <c r="BN20" s="256"/>
      <c r="BO20" s="256"/>
      <c r="BP20" s="256"/>
      <c r="BQ20" s="256"/>
      <c r="BS20" s="228"/>
      <c r="BT20" s="257"/>
      <c r="BU20" s="257"/>
      <c r="BV20" s="258"/>
      <c r="BW20" s="259"/>
      <c r="BY20" s="158"/>
      <c r="BZ20" s="228"/>
    </row>
    <row r="21" ht="15" customHeight="1" spans="1:83">
      <c r="A21" s="141"/>
      <c r="B21" s="145"/>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ht="15" customHeight="1" spans="1:83">
      <c r="A22" s="141"/>
      <c r="B22" s="145"/>
      <c r="C22" s="143"/>
      <c r="D22" s="143"/>
      <c r="E22" s="143"/>
      <c r="F22" s="143"/>
      <c r="G22" s="143"/>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ht="15" customHeight="1" spans="1:83">
      <c r="A23" s="141"/>
      <c r="B23" s="145"/>
      <c r="C23" s="143"/>
      <c r="D23" s="143"/>
      <c r="E23" s="143"/>
      <c r="F23" s="143"/>
      <c r="G23" s="143"/>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ht="15" customHeight="1" spans="1:83">
      <c r="A24" s="145"/>
      <c r="B24" s="145"/>
      <c r="C24" s="145"/>
      <c r="D24" s="145"/>
      <c r="E24" s="145"/>
      <c r="F24" s="145"/>
      <c r="G24" s="145"/>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s="73" customFormat="1" ht="15" customHeight="1" spans="1:83">
      <c r="A25" s="145"/>
      <c r="B25" s="145"/>
      <c r="C25" s="145"/>
      <c r="D25" s="145"/>
      <c r="E25" s="145"/>
      <c r="F25" s="145"/>
      <c r="G25" s="145"/>
      <c r="BA25" s="256"/>
      <c r="BB25" s="256"/>
      <c r="BC25" s="256"/>
      <c r="BD25" s="256"/>
      <c r="BE25" s="256"/>
      <c r="BF25" s="256"/>
      <c r="BG25" s="256"/>
      <c r="BH25" s="256"/>
      <c r="BI25" s="242"/>
      <c r="BJ25" s="256"/>
      <c r="BK25" s="256"/>
      <c r="BL25" s="256"/>
      <c r="BM25" s="256"/>
      <c r="BN25" s="256"/>
      <c r="BO25" s="256"/>
      <c r="BP25" s="256"/>
      <c r="BQ25" s="256"/>
      <c r="BR25" s="75"/>
      <c r="BS25" s="228"/>
      <c r="BT25" s="257"/>
      <c r="BU25" s="257"/>
      <c r="BV25" s="258"/>
      <c r="BW25" s="259"/>
      <c r="BX25" s="158"/>
      <c r="BY25" s="158"/>
      <c r="BZ25" s="228"/>
      <c r="CA25" s="75"/>
      <c r="CB25" s="75"/>
      <c r="CC25" s="75"/>
      <c r="CD25" s="229"/>
      <c r="CE25" s="229"/>
    </row>
    <row r="26" ht="15" customHeight="1" spans="1:83">
      <c r="A26" s="145"/>
      <c r="B26" s="145"/>
      <c r="C26" s="145"/>
      <c r="D26" s="145"/>
      <c r="E26" s="145"/>
      <c r="F26" s="145"/>
      <c r="G26" s="145"/>
      <c r="BA26" s="256"/>
      <c r="BB26" s="256"/>
      <c r="BC26" s="256"/>
      <c r="BD26" s="256"/>
      <c r="BE26" s="256"/>
      <c r="BF26" s="256"/>
      <c r="BG26" s="256"/>
      <c r="BH26" s="256"/>
      <c r="BI26" s="242"/>
      <c r="BJ26" s="256"/>
      <c r="BK26" s="256"/>
      <c r="BL26" s="256"/>
      <c r="BM26" s="256"/>
      <c r="BN26" s="256"/>
      <c r="BO26" s="256"/>
      <c r="BP26" s="256"/>
      <c r="BQ26" s="256"/>
      <c r="BS26" s="228"/>
      <c r="BT26" s="257"/>
      <c r="BU26" s="257"/>
      <c r="BV26" s="258"/>
      <c r="BW26" s="259"/>
      <c r="BY26" s="158"/>
      <c r="BZ26" s="228"/>
    </row>
    <row r="27" ht="15" customHeight="1" spans="1:83">
      <c r="A27" s="145"/>
      <c r="B27" s="145"/>
      <c r="C27" s="145"/>
      <c r="D27" s="145"/>
      <c r="E27" s="145"/>
      <c r="F27" s="145"/>
      <c r="G27" s="145"/>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341" t="str">
        <f>流动资总!A17</f>
        <v>3-11</v>
      </c>
      <c r="B28" s="342" t="s">
        <v>1295</v>
      </c>
      <c r="C28" s="264">
        <f>SUM(C7:C27)</f>
        <v>0</v>
      </c>
      <c r="D28" s="264">
        <f t="shared" ref="D28:E28" si="9">SUM(D7:D27)</f>
        <v>0</v>
      </c>
      <c r="E28" s="264">
        <f t="shared" si="9"/>
        <v>0</v>
      </c>
      <c r="F28" s="264">
        <f>SUM(F7:F26)</f>
        <v>0</v>
      </c>
      <c r="G28" s="343" t="str">
        <f>IF(D28=0,"",F28/D28*100)</f>
        <v/>
      </c>
      <c r="BA28" s="266">
        <f t="shared" ref="BA28:BH28" si="10">SUM(BA7:BA27)</f>
        <v>0</v>
      </c>
      <c r="BB28" s="266">
        <f t="shared" si="10"/>
        <v>0</v>
      </c>
      <c r="BC28" s="266">
        <f t="shared" si="10"/>
        <v>0</v>
      </c>
      <c r="BD28" s="266">
        <f t="shared" si="10"/>
        <v>0</v>
      </c>
      <c r="BE28" s="266">
        <f t="shared" si="10"/>
        <v>0</v>
      </c>
      <c r="BF28" s="266">
        <f t="shared" si="10"/>
        <v>0</v>
      </c>
      <c r="BG28" s="266">
        <f t="shared" si="10"/>
        <v>0</v>
      </c>
      <c r="BH28" s="266">
        <f t="shared" si="10"/>
        <v>0</v>
      </c>
      <c r="BI28" s="267"/>
      <c r="BJ28" s="266">
        <f t="shared" ref="BJ28:BQ28" si="11">SUM(BJ7:BJ27)</f>
        <v>0</v>
      </c>
      <c r="BK28" s="266">
        <f t="shared" si="11"/>
        <v>0</v>
      </c>
      <c r="BL28" s="266">
        <f t="shared" si="11"/>
        <v>0</v>
      </c>
      <c r="BM28" s="266">
        <f t="shared" si="11"/>
        <v>0</v>
      </c>
      <c r="BN28" s="266">
        <f t="shared" si="11"/>
        <v>0</v>
      </c>
      <c r="BO28" s="266">
        <f t="shared" si="11"/>
        <v>0</v>
      </c>
      <c r="BP28" s="266">
        <f t="shared" si="11"/>
        <v>0</v>
      </c>
      <c r="BQ28" s="266">
        <f t="shared" si="11"/>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ht="15" customHeight="1" spans="1:83">
      <c r="A29" s="75" t="str">
        <f>参数表!F$6</f>
        <v>产权持有单位填表人：贾广东</v>
      </c>
      <c r="B29" s="158"/>
      <c r="C29" s="158"/>
      <c r="D29" s="158"/>
      <c r="E29" s="158" t="str">
        <f>"评估人员："&amp;封面!$G$20</f>
        <v>评估人员：栗祥宁</v>
      </c>
      <c r="F29" s="158"/>
      <c r="G29" s="277"/>
    </row>
    <row r="30" ht="15" customHeight="1" spans="1:83">
      <c r="A30" s="75" t="str">
        <f>参数表!F$7</f>
        <v>填表日期：2025年9月20日</v>
      </c>
      <c r="B30" s="158"/>
      <c r="C30" s="158"/>
      <c r="D30" s="158"/>
      <c r="E30" s="158"/>
      <c r="F30" s="158"/>
    </row>
    <row r="31" ht="15.75" customHeight="1" spans="1:83">
      <c r="A31" s="158"/>
      <c r="B31" s="158"/>
      <c r="C31" s="158"/>
      <c r="D31" s="158"/>
      <c r="E31" s="158"/>
      <c r="F31" s="158"/>
    </row>
    <row r="32" ht="15.75" customHeight="1" spans="1:83">
      <c r="A32" s="158"/>
      <c r="B32" s="158"/>
      <c r="C32" s="158"/>
      <c r="D32" s="158"/>
      <c r="E32" s="158"/>
      <c r="F32" s="158"/>
    </row>
    <row r="33" ht="15.75" customHeight="1" spans="1:6">
      <c r="A33" s="158"/>
      <c r="B33" s="158"/>
      <c r="C33" s="158"/>
      <c r="D33" s="158"/>
      <c r="E33" s="158"/>
      <c r="F33" s="158"/>
    </row>
    <row r="34" ht="15.75" customHeight="1" spans="1:6">
      <c r="A34" s="158"/>
      <c r="B34" s="158"/>
      <c r="C34" s="158"/>
      <c r="D34" s="158"/>
      <c r="E34" s="158"/>
      <c r="F34" s="158"/>
    </row>
    <row r="35" ht="15.75" customHeight="1" spans="1:6">
      <c r="A35" s="158"/>
      <c r="B35" s="158"/>
      <c r="C35" s="158"/>
      <c r="D35" s="158"/>
      <c r="E35" s="158"/>
      <c r="F35" s="158"/>
    </row>
    <row r="36" ht="15.75" customHeight="1" spans="1:6">
      <c r="A36" s="158"/>
      <c r="B36" s="158"/>
      <c r="C36" s="158"/>
      <c r="D36" s="158"/>
      <c r="E36" s="158"/>
      <c r="F36" s="158"/>
    </row>
    <row r="37" ht="15.75" customHeight="1" spans="1:6">
      <c r="A37" s="158"/>
      <c r="B37" s="158"/>
      <c r="C37" s="158"/>
      <c r="D37" s="158"/>
      <c r="E37" s="158"/>
      <c r="F37" s="158"/>
    </row>
    <row r="38" ht="15.75" customHeight="1" spans="1:6">
      <c r="A38" s="158"/>
      <c r="B38" s="158"/>
      <c r="C38" s="158"/>
      <c r="D38" s="158"/>
      <c r="E38" s="158"/>
      <c r="F38" s="158"/>
    </row>
    <row r="39" ht="15.75" customHeight="1" spans="1:6">
      <c r="A39" s="158"/>
      <c r="B39" s="158"/>
      <c r="C39" s="158"/>
      <c r="D39" s="158"/>
      <c r="E39" s="158"/>
      <c r="F39" s="158"/>
    </row>
    <row r="40" ht="15.75" customHeight="1" spans="1:6">
      <c r="A40" s="158"/>
      <c r="B40" s="158"/>
      <c r="C40" s="158"/>
      <c r="D40" s="158"/>
      <c r="E40" s="158"/>
      <c r="F40" s="158"/>
    </row>
  </sheetData>
  <mergeCells count="8">
    <mergeCell ref="A2:G2"/>
    <mergeCell ref="A3:G3"/>
    <mergeCell ref="BA4:BH4"/>
    <mergeCell ref="BJ4:BQ4"/>
    <mergeCell ref="BA5:BD5"/>
    <mergeCell ref="BE5:BH5"/>
    <mergeCell ref="BJ5:BM5"/>
    <mergeCell ref="BN5:BQ5"/>
  </mergeCells>
  <conditionalFormatting sqref="C7:G8">
    <cfRule type="expression" dxfId="3" priority="1">
      <formula>$D7+$E7=0</formula>
    </cfRule>
  </conditionalFormatting>
  <conditionalFormatting sqref="D9:G23">
    <cfRule type="expression" dxfId="3" priority="3">
      <formula>$D9+$E9=0</formula>
    </cfRule>
  </conditionalFormatting>
  <hyperlinks>
    <hyperlink ref="A1" location="索引目录!D9" display="返回索引页"/>
    <hyperlink ref="B1" location="流动资产汇总表!B8" display="返回"/>
  </hyperlinks>
  <printOptions horizontalCentered="1"/>
  <pageMargins left="0.708661417322835" right="0.708661417322835" top="0.748031496062992" bottom="0.748031496062992" header="0.31496062992126" footer="0.31496062992126"/>
  <pageSetup paperSize="9" orientation="landscape"/>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5"/>
  <dimension ref="A1:BZ36"/>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5" style="290" customWidth="1"/>
    <col min="2" max="3" width="8.7" style="229" customWidth="1"/>
    <col min="4" max="6" width="8.7" style="229" customWidth="1" outlineLevel="1"/>
    <col min="7" max="7" width="4.7" style="229" customWidth="1"/>
    <col min="8" max="8" width="6.7" style="229" customWidth="1"/>
    <col min="9" max="9" width="7.7" style="229" customWidth="1"/>
    <col min="10" max="10" width="8.6" style="229" customWidth="1" outlineLevel="1"/>
    <col min="11" max="23" width="7" style="229" customWidth="1" outlineLevel="1"/>
    <col min="24" max="25" width="4.6" style="229" customWidth="1" outlineLevel="1"/>
    <col min="26" max="27" width="6.1" style="229" customWidth="1" outlineLevel="1"/>
    <col min="28" max="28" width="10.6" style="229" customWidth="1" outlineLevel="1"/>
    <col min="29" max="29" width="8.6" style="229" customWidth="1" outlineLevel="1"/>
    <col min="30" max="30" width="10.6" style="229" customWidth="1" outlineLevel="1"/>
    <col min="31" max="31" width="8.6" style="229" customWidth="1" outlineLevel="1"/>
    <col min="32" max="32" width="10.6" style="229" customWidth="1"/>
    <col min="33" max="33" width="8.6" style="229" customWidth="1"/>
    <col min="34" max="34" width="10.7" style="229" customWidth="1"/>
    <col min="35" max="35" width="8.7" style="229" customWidth="1"/>
    <col min="36" max="36" width="6" style="229" customWidth="1"/>
    <col min="37" max="37" width="9" style="229"/>
    <col min="38" max="52" width="9" style="229" hidden="1" customWidth="1" outlineLevel="1"/>
    <col min="53" max="53" width="14.7" style="229" customWidth="1" collapsed="1"/>
    <col min="54" max="54" width="6.7" style="229" customWidth="1"/>
    <col min="55" max="56" width="5" style="254" customWidth="1"/>
    <col min="57" max="57" width="8.6" style="254" customWidth="1"/>
    <col min="58" max="59" width="9.6" style="229" customWidth="1"/>
    <col min="60" max="63" width="4.7" style="110" customWidth="1"/>
    <col min="64" max="64" width="10.3" style="110" customWidth="1"/>
    <col min="65" max="65" width="8.6" style="110" customWidth="1"/>
    <col min="66" max="66" width="1.6" style="77" customWidth="1"/>
    <col min="67" max="67" width="7.6" style="110" customWidth="1"/>
    <col min="68" max="69" width="7.6" style="279" customWidth="1"/>
    <col min="70" max="70" width="1.6" style="77" customWidth="1"/>
    <col min="71" max="71" width="10.6" style="78" customWidth="1"/>
    <col min="72" max="72" width="10.6" style="77" customWidth="1"/>
    <col min="73" max="73" width="4.6" style="78" customWidth="1"/>
    <col min="74" max="74" width="10.6" style="78" customWidth="1"/>
    <col min="75" max="76" width="4.6" style="78" customWidth="1"/>
    <col min="77" max="77" width="10.6" style="78" customWidth="1"/>
    <col min="78" max="78" width="5" style="77" customWidth="1"/>
    <col min="79" max="16384" width="9" style="229"/>
  </cols>
  <sheetData>
    <row r="1" customHeight="1" spans="1:78">
      <c r="A1" s="291" t="s">
        <v>233</v>
      </c>
      <c r="B1" s="292" t="s">
        <v>1541</v>
      </c>
      <c r="BA1" s="84" t="str">
        <f>参数表!BA1</f>
        <v>注意：补充特殊事项、作价等均从BA列开始填写</v>
      </c>
      <c r="BB1" s="85"/>
      <c r="BN1" s="87"/>
      <c r="BR1" s="87"/>
      <c r="BS1" s="88"/>
      <c r="BT1" s="87"/>
      <c r="BU1" s="88"/>
      <c r="BV1" s="88"/>
      <c r="BW1" s="88"/>
      <c r="BX1" s="88"/>
      <c r="BY1" s="88"/>
      <c r="BZ1" s="87"/>
    </row>
    <row r="2" s="237" customFormat="1" ht="30" customHeight="1" spans="1:78">
      <c r="A2" s="293" t="s">
        <v>3275</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BA2" s="90" t="str">
        <f>参数表!BA2</f>
        <v>评估基准日：</v>
      </c>
      <c r="BB2" s="91" t="str">
        <f>参数表!BB2</f>
        <v>2025年7月31日</v>
      </c>
      <c r="BC2" s="295"/>
      <c r="BD2" s="295"/>
      <c r="BE2" s="295"/>
      <c r="BH2" s="1002"/>
      <c r="BI2" s="1002"/>
      <c r="BJ2" s="1002"/>
      <c r="BK2" s="1002"/>
      <c r="BL2" s="1002"/>
      <c r="BM2" s="1002"/>
      <c r="BN2" s="92"/>
      <c r="BO2" s="1002"/>
      <c r="BP2" s="1003"/>
      <c r="BQ2" s="1003"/>
      <c r="BR2" s="92"/>
      <c r="BS2" s="93"/>
      <c r="BT2" s="92"/>
      <c r="BU2" s="93"/>
      <c r="BV2" s="93"/>
      <c r="BW2" s="93"/>
      <c r="BX2" s="93"/>
      <c r="BY2" s="93"/>
      <c r="BZ2" s="92"/>
    </row>
    <row r="3" ht="14.1" customHeight="1" spans="1:78">
      <c r="A3" s="296" t="str">
        <f>参数表!F5</f>
        <v>评估基准日：2025年7月31日</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162"/>
      <c r="AC3" s="162"/>
      <c r="AD3" s="162"/>
      <c r="AE3" s="162"/>
      <c r="AF3" s="162"/>
      <c r="AG3" s="162"/>
      <c r="AH3" s="162"/>
      <c r="AI3" s="162"/>
      <c r="AJ3" s="162"/>
      <c r="AK3" s="162"/>
      <c r="BA3" s="90" t="str">
        <f>参数表!BA3</f>
        <v>是否显示评估值：</v>
      </c>
      <c r="BB3" s="90" t="str">
        <f>参数表!BB3</f>
        <v>是</v>
      </c>
      <c r="BN3" s="92"/>
      <c r="BR3" s="92"/>
      <c r="BS3" s="93"/>
      <c r="BT3" s="92"/>
      <c r="BU3" s="93"/>
      <c r="BV3" s="93"/>
      <c r="BW3" s="93"/>
      <c r="BX3" s="93"/>
      <c r="BY3" s="93"/>
      <c r="BZ3" s="92"/>
    </row>
    <row r="4" ht="14.1" customHeight="1" spans="1:78">
      <c r="A4" s="297"/>
      <c r="B4" s="296"/>
      <c r="C4" s="296"/>
      <c r="D4" s="296"/>
      <c r="E4" s="296"/>
      <c r="F4" s="296"/>
      <c r="G4" s="296"/>
      <c r="H4" s="296"/>
      <c r="I4" s="296"/>
      <c r="J4" s="296"/>
      <c r="K4" s="296"/>
      <c r="L4" s="296"/>
      <c r="M4" s="296"/>
      <c r="N4" s="296"/>
      <c r="O4" s="296"/>
      <c r="P4" s="296"/>
      <c r="Q4" s="296"/>
      <c r="R4" s="296"/>
      <c r="S4" s="296"/>
      <c r="T4" s="296"/>
      <c r="U4" s="296"/>
      <c r="V4" s="296"/>
      <c r="W4" s="296"/>
      <c r="X4" s="296"/>
      <c r="Y4" s="296"/>
      <c r="Z4" s="296"/>
      <c r="AA4" s="296"/>
      <c r="AB4" s="162"/>
      <c r="AC4" s="162"/>
      <c r="AD4" s="162"/>
      <c r="AE4" s="162"/>
      <c r="AF4" s="162"/>
      <c r="AG4" s="162"/>
      <c r="AH4" s="162"/>
      <c r="AI4" s="162"/>
      <c r="AJ4" s="162"/>
      <c r="AK4" s="300" t="str">
        <f>"表"&amp;$BA4</f>
        <v>表3-11-1</v>
      </c>
      <c r="BA4" s="162" t="str">
        <f>合同资总!A7</f>
        <v>3-11-1</v>
      </c>
      <c r="BB4" s="100">
        <f>MAX(COUNTA(A8:A25),COUNTA(B8:B25),COUNTA(AD8:AD25),COUNTA(AF8:AF25))</f>
        <v>18</v>
      </c>
      <c r="BC4" s="101">
        <f>ROW(A7)+1</f>
        <v>8</v>
      </c>
      <c r="BD4" s="77"/>
      <c r="BE4" s="77"/>
      <c r="BT4" s="78"/>
    </row>
    <row r="5" customHeight="1" spans="1:78">
      <c r="A5" s="299" t="str">
        <f>参数表!F3</f>
        <v>产权持有单位:中煤第五建设有限公司</v>
      </c>
      <c r="B5" s="107"/>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300" t="s">
        <v>236</v>
      </c>
      <c r="BA5" s="107"/>
      <c r="BB5" s="105" t="str">
        <f ca="1">判断表!C43</f>
        <v>中煤第五建设有限公司第三工程处拟处置实物资产项目\[0000-3基础法明细表.xlsx]合同资-未完施工</v>
      </c>
      <c r="BC5" s="106">
        <f>IFERROR(SUMIF(BC8:BC25,"√",AF8:AF25)/AF26,0)</f>
        <v>0</v>
      </c>
      <c r="BD5" s="107"/>
      <c r="BE5" s="107"/>
      <c r="BF5" s="284">
        <f>分类汇总!I18</f>
        <v>0</v>
      </c>
      <c r="BG5" s="284">
        <f>分类汇总!K18</f>
        <v>0</v>
      </c>
      <c r="BH5" s="109"/>
      <c r="BI5" s="109"/>
      <c r="BJ5" s="109"/>
      <c r="BK5" s="109"/>
      <c r="BT5" s="78"/>
    </row>
    <row r="6" s="287" customFormat="1" customHeight="1" spans="1:78">
      <c r="A6" s="301" t="s">
        <v>305</v>
      </c>
      <c r="B6" s="302" t="s">
        <v>3219</v>
      </c>
      <c r="C6" s="303" t="s">
        <v>3220</v>
      </c>
      <c r="D6" s="302" t="s">
        <v>3221</v>
      </c>
      <c r="E6" s="304" t="s">
        <v>3222</v>
      </c>
      <c r="F6" s="304" t="s">
        <v>3223</v>
      </c>
      <c r="G6" s="305" t="s">
        <v>3224</v>
      </c>
      <c r="H6" s="305" t="s">
        <v>3225</v>
      </c>
      <c r="I6" s="302" t="s">
        <v>3226</v>
      </c>
      <c r="J6" s="306" t="s">
        <v>3227</v>
      </c>
      <c r="K6" s="307" t="s">
        <v>3228</v>
      </c>
      <c r="L6" s="308"/>
      <c r="M6" s="308"/>
      <c r="N6" s="308"/>
      <c r="O6" s="308"/>
      <c r="P6" s="308"/>
      <c r="Q6" s="309" t="s">
        <v>3276</v>
      </c>
      <c r="R6" s="309" t="s">
        <v>3230</v>
      </c>
      <c r="S6" s="302" t="s">
        <v>3231</v>
      </c>
      <c r="T6" s="302" t="s">
        <v>3232</v>
      </c>
      <c r="U6" s="302" t="s">
        <v>3233</v>
      </c>
      <c r="V6" s="302" t="s">
        <v>3234</v>
      </c>
      <c r="W6" s="309" t="s">
        <v>3235</v>
      </c>
      <c r="X6" s="511" t="s">
        <v>1964</v>
      </c>
      <c r="Y6" s="512"/>
      <c r="Z6" s="512"/>
      <c r="AA6" s="513"/>
      <c r="AB6" s="115" t="s">
        <v>1549</v>
      </c>
      <c r="AC6" s="116" t="s">
        <v>3277</v>
      </c>
      <c r="AD6" s="1004" t="s">
        <v>1927</v>
      </c>
      <c r="AE6" s="1004" t="s">
        <v>3278</v>
      </c>
      <c r="AF6" s="114" t="s">
        <v>1523</v>
      </c>
      <c r="AG6" s="115" t="s">
        <v>3277</v>
      </c>
      <c r="AH6" s="114" t="s">
        <v>1550</v>
      </c>
      <c r="AI6" s="192" t="s">
        <v>1929</v>
      </c>
      <c r="AJ6" s="115" t="s">
        <v>1551</v>
      </c>
      <c r="AK6" s="114" t="s">
        <v>308</v>
      </c>
      <c r="BA6" s="100"/>
      <c r="BB6" s="100"/>
      <c r="BC6" s="100"/>
      <c r="BD6" s="100"/>
      <c r="BE6" s="100"/>
      <c r="BF6" s="192" t="s">
        <v>1639</v>
      </c>
      <c r="BG6" s="192" t="s">
        <v>1640</v>
      </c>
      <c r="BH6" s="113" t="s">
        <v>1748</v>
      </c>
      <c r="BI6" s="113" t="s">
        <v>1749</v>
      </c>
      <c r="BJ6" s="118" t="s">
        <v>1750</v>
      </c>
      <c r="BK6" s="118" t="s">
        <v>1641</v>
      </c>
      <c r="BL6" s="118" t="s">
        <v>2209</v>
      </c>
      <c r="BM6" s="113" t="s">
        <v>1644</v>
      </c>
      <c r="BN6" s="111"/>
      <c r="BO6" s="1005" t="s">
        <v>3240</v>
      </c>
      <c r="BP6" s="1006" t="s">
        <v>3241</v>
      </c>
      <c r="BQ6" s="1005" t="s">
        <v>526</v>
      </c>
      <c r="BR6" s="111"/>
      <c r="BS6" s="78"/>
      <c r="BT6" s="78"/>
      <c r="BU6" s="78"/>
      <c r="BV6" s="78"/>
      <c r="BW6" s="78"/>
      <c r="BX6" s="78"/>
      <c r="BY6" s="78"/>
      <c r="BZ6" s="111"/>
    </row>
    <row r="7" s="271" customFormat="1" customHeight="1" spans="1:78">
      <c r="A7" s="301"/>
      <c r="B7" s="302"/>
      <c r="C7" s="303"/>
      <c r="D7" s="302"/>
      <c r="E7" s="304"/>
      <c r="F7" s="304"/>
      <c r="G7" s="305"/>
      <c r="H7" s="305"/>
      <c r="I7" s="302"/>
      <c r="J7" s="314"/>
      <c r="K7" s="302" t="s">
        <v>3242</v>
      </c>
      <c r="L7" s="302" t="s">
        <v>3243</v>
      </c>
      <c r="M7" s="302" t="s">
        <v>3244</v>
      </c>
      <c r="N7" s="302" t="s">
        <v>3245</v>
      </c>
      <c r="O7" s="302" t="s">
        <v>3246</v>
      </c>
      <c r="P7" s="302" t="s">
        <v>3247</v>
      </c>
      <c r="Q7" s="309"/>
      <c r="R7" s="309"/>
      <c r="S7" s="302"/>
      <c r="T7" s="302"/>
      <c r="U7" s="302"/>
      <c r="V7" s="302"/>
      <c r="W7" s="309"/>
      <c r="X7" s="519" t="s">
        <v>1968</v>
      </c>
      <c r="Y7" s="519" t="s">
        <v>1969</v>
      </c>
      <c r="Z7" s="519" t="s">
        <v>1970</v>
      </c>
      <c r="AA7" s="519" t="s">
        <v>3248</v>
      </c>
      <c r="AB7" s="115"/>
      <c r="AC7" s="115"/>
      <c r="AD7" s="1007"/>
      <c r="AE7" s="1007"/>
      <c r="AF7" s="114"/>
      <c r="AG7" s="115"/>
      <c r="AH7" s="114"/>
      <c r="AI7" s="197"/>
      <c r="AJ7" s="115"/>
      <c r="AK7" s="114"/>
      <c r="BA7" s="100" t="s">
        <v>1545</v>
      </c>
      <c r="BB7" s="100" t="s">
        <v>1635</v>
      </c>
      <c r="BC7" s="100" t="s">
        <v>1636</v>
      </c>
      <c r="BD7" s="100" t="s">
        <v>1637</v>
      </c>
      <c r="BE7" s="100" t="s">
        <v>1638</v>
      </c>
      <c r="BF7" s="197"/>
      <c r="BG7" s="197"/>
      <c r="BH7" s="113"/>
      <c r="BI7" s="113"/>
      <c r="BJ7" s="118"/>
      <c r="BK7" s="118"/>
      <c r="BL7" s="118"/>
      <c r="BM7" s="113"/>
      <c r="BN7" s="119"/>
      <c r="BO7" s="1005"/>
      <c r="BP7" s="1005"/>
      <c r="BQ7" s="1005"/>
      <c r="BR7" s="119"/>
      <c r="BS7" s="120" t="s">
        <v>1645</v>
      </c>
      <c r="BT7" s="121" t="s">
        <v>1646</v>
      </c>
      <c r="BU7" s="121" t="s">
        <v>1647</v>
      </c>
      <c r="BV7" s="121" t="s">
        <v>1648</v>
      </c>
      <c r="BW7" s="121" t="s">
        <v>1647</v>
      </c>
      <c r="BX7" s="121" t="s">
        <v>1647</v>
      </c>
      <c r="BY7" s="121" t="s">
        <v>1649</v>
      </c>
      <c r="BZ7" s="122" t="s">
        <v>1650</v>
      </c>
    </row>
    <row r="8" s="288" customFormat="1" customHeight="1" spans="1:78">
      <c r="A8" s="123" t="str">
        <f>IF(B8="","",COUNT(A$7:A7)+1)</f>
        <v/>
      </c>
      <c r="B8" s="315" t="s">
        <v>347</v>
      </c>
      <c r="C8" s="316" t="s">
        <v>347</v>
      </c>
      <c r="D8" s="317" t="s">
        <v>347</v>
      </c>
      <c r="E8" s="318" t="s">
        <v>347</v>
      </c>
      <c r="F8" s="318" t="s">
        <v>347</v>
      </c>
      <c r="G8" s="319"/>
      <c r="H8" s="319"/>
      <c r="I8" s="318"/>
      <c r="J8" s="318"/>
      <c r="K8" s="320"/>
      <c r="L8" s="320"/>
      <c r="M8" s="320"/>
      <c r="N8" s="320"/>
      <c r="O8" s="320"/>
      <c r="P8" s="1008" t="str">
        <f>IF(B8="","",SUM(K8:O8))</f>
        <v/>
      </c>
      <c r="Q8" s="320"/>
      <c r="R8" s="320"/>
      <c r="S8" s="320"/>
      <c r="T8" s="320"/>
      <c r="U8" s="320"/>
      <c r="V8" s="320"/>
      <c r="W8" s="320"/>
      <c r="X8" s="127"/>
      <c r="Y8" s="127" t="str">
        <f>IFERROR(VLOOKUP(X8,参数表!$H$2:$I$50,2,FALSE),"")</f>
        <v/>
      </c>
      <c r="Z8" s="128" t="str">
        <f>IFERROR(IF(OR(X8="人民币",X8=""),"",AF8/Y8),"")</f>
        <v/>
      </c>
      <c r="AA8" s="128" t="str">
        <f>IFERROR(IF(OR(X8="人民币",X8=""),"",AG8/Y8),"")</f>
        <v/>
      </c>
      <c r="AB8" s="1009" t="str">
        <f>IF(B8="","",P8-Q8)</f>
        <v/>
      </c>
      <c r="AC8" s="320"/>
      <c r="AD8" s="1008"/>
      <c r="AE8" s="320"/>
      <c r="AF8" s="1008" t="str">
        <f>IFERROR(AB8+AD8,"")</f>
        <v/>
      </c>
      <c r="AG8" s="320" t="str">
        <f>IF(B8="","",AC8+AE8)</f>
        <v/>
      </c>
      <c r="AH8" s="1008" t="str">
        <f t="shared" ref="AH8:AH25" si="0">IF(B8="","",IF(BB$3="是",BQ8,""))</f>
        <v/>
      </c>
      <c r="AI8" s="1008" t="str">
        <f t="shared" ref="AI8:AI25" si="1">IF(B8="","",IF(BB$3="是",AG8,""))</f>
        <v/>
      </c>
      <c r="AJ8" s="320" t="str">
        <f>IFERROR(((AH8-AI8)-(AF8-AG8))/(AF8-AG8)*100,"")</f>
        <v/>
      </c>
      <c r="AK8" s="321" t="s">
        <v>347</v>
      </c>
      <c r="BA8" s="78"/>
      <c r="BB8" s="132" t="s">
        <v>3279</v>
      </c>
      <c r="BC8" s="133"/>
      <c r="BD8" s="132" t="str">
        <f>IF(OR(B8="",BC8=""),"",COUNTIF(BC$8:BC8,"√"))</f>
        <v/>
      </c>
      <c r="BE8" s="134" t="str">
        <f t="shared" ref="BE8:BE25" si="2">IF(BC8="","",BB8&amp;"︱"&amp;B8&amp;"︱"&amp;TEXT(AB8,"#,##0.00"))</f>
        <v/>
      </c>
      <c r="BF8" s="135" t="str">
        <f>IF($B8="","",IF(BF$5=0,"OK","出错"))</f>
        <v/>
      </c>
      <c r="BG8" s="135" t="str">
        <f>IF($B8="","",IF(BG$5=0,"OK","出错"))</f>
        <v/>
      </c>
      <c r="BH8" s="136"/>
      <c r="BI8" s="136"/>
      <c r="BJ8" s="136"/>
      <c r="BK8" s="136"/>
      <c r="BL8" s="137"/>
      <c r="BM8" s="137"/>
      <c r="BN8" s="77"/>
      <c r="BO8" s="109"/>
      <c r="BP8" s="1010">
        <f>IFERROR(1-J8/C8,0)</f>
        <v>0</v>
      </c>
      <c r="BQ8" s="1011" t="str">
        <f t="shared" ref="BQ8:BQ25" si="3">IFERROR(IF(BO8="",AF8,AF8*(1+BP8)),0)</f>
        <v/>
      </c>
      <c r="BR8" s="77"/>
      <c r="BS8" s="134" t="str">
        <f>IF(COUNTIF(BS$7:BS7,F8)&gt;0,"",F8)&amp;""</f>
        <v/>
      </c>
      <c r="BT8" s="138">
        <f>SUMIF(F$8:F$25,BS8,AF$8:AF$25)</f>
        <v>0</v>
      </c>
      <c r="BU8" s="132">
        <f>RANK(BT8,BT$8:BT$25)</f>
        <v>1</v>
      </c>
      <c r="BV8" s="138">
        <f>SUMIF(F$8:F$25,BS8,AH$8:AH$25)</f>
        <v>0</v>
      </c>
      <c r="BW8" s="132">
        <f t="shared" ref="BW8:BW25" si="4">RANK(BV8,BV$8:BV$25)</f>
        <v>1</v>
      </c>
      <c r="BX8" s="138">
        <f>SUM(BT8:BT25)</f>
        <v>0</v>
      </c>
      <c r="BY8" s="138"/>
      <c r="BZ8" s="138"/>
    </row>
    <row r="9" s="288" customFormat="1" customHeight="1" spans="1:78">
      <c r="A9" s="123" t="str">
        <f>IF(B9="","",COUNT(A$7:A8)+1)</f>
        <v/>
      </c>
      <c r="B9" s="322" t="s">
        <v>347</v>
      </c>
      <c r="C9" s="323" t="s">
        <v>347</v>
      </c>
      <c r="D9" s="324" t="s">
        <v>347</v>
      </c>
      <c r="E9" s="325" t="s">
        <v>347</v>
      </c>
      <c r="F9" s="325" t="s">
        <v>347</v>
      </c>
      <c r="G9" s="326"/>
      <c r="H9" s="326"/>
      <c r="I9" s="325"/>
      <c r="J9" s="325"/>
      <c r="K9" s="256"/>
      <c r="L9" s="256"/>
      <c r="M9" s="256"/>
      <c r="N9" s="256"/>
      <c r="O9" s="256"/>
      <c r="P9" s="1008" t="str">
        <f t="shared" ref="P9:P25" si="5">IF(B9="","",SUM(K9:O9))</f>
        <v/>
      </c>
      <c r="Q9" s="256"/>
      <c r="R9" s="256"/>
      <c r="S9" s="256"/>
      <c r="T9" s="256"/>
      <c r="U9" s="256"/>
      <c r="V9" s="256"/>
      <c r="W9" s="256"/>
      <c r="X9" s="142"/>
      <c r="Y9" s="127" t="str">
        <f>IFERROR(VLOOKUP(X9,参数表!$H$2:$I$50,2,FALSE),"")</f>
        <v/>
      </c>
      <c r="Z9" s="128" t="str">
        <f t="shared" ref="Z9:Z25" si="6">IFERROR(IF(OR(X9="人民币",X9=""),"",AF9/Y9),"")</f>
        <v/>
      </c>
      <c r="AA9" s="128" t="str">
        <f t="shared" ref="AA9:AA25" si="7">IFERROR(IF(OR(X9="人民币",X9=""),"",AG9/Y9),"")</f>
        <v/>
      </c>
      <c r="AB9" s="1009" t="str">
        <f t="shared" ref="AB9:AB25" si="8">IF(B9="","",P9-Q9)</f>
        <v/>
      </c>
      <c r="AC9" s="256"/>
      <c r="AD9" s="256"/>
      <c r="AE9" s="256"/>
      <c r="AF9" s="1008" t="str">
        <f t="shared" ref="AF9:AF25" si="9">IFERROR(AB9+AD9,"")</f>
        <v/>
      </c>
      <c r="AG9" s="320" t="str">
        <f t="shared" ref="AG9:AG25" si="10">IF(B9="","",AC9+AE9)</f>
        <v/>
      </c>
      <c r="AH9" s="1008" t="str">
        <f t="shared" si="0"/>
        <v/>
      </c>
      <c r="AI9" s="1008" t="str">
        <f t="shared" si="1"/>
        <v/>
      </c>
      <c r="AJ9" s="320" t="str">
        <f t="shared" ref="AJ9:AJ29" si="11">IFERROR(((AH9-AI9)-(AF9-AG9))/(AF9-AG9)*100,"")</f>
        <v/>
      </c>
      <c r="AK9" s="327" t="s">
        <v>347</v>
      </c>
      <c r="BA9" s="78"/>
      <c r="BB9" s="132" t="s">
        <v>3280</v>
      </c>
      <c r="BC9" s="133"/>
      <c r="BD9" s="132" t="str">
        <f>IF(OR(B9="",BC9=""),"",COUNTIF(BC$8:BC9,"√"))</f>
        <v/>
      </c>
      <c r="BE9" s="134" t="str">
        <f t="shared" si="2"/>
        <v/>
      </c>
      <c r="BF9" s="135" t="str">
        <f t="shared" ref="BF9:BG25" si="12">IF($B9="","",IF(BF$5=0,"OK","出错"))</f>
        <v/>
      </c>
      <c r="BG9" s="135" t="str">
        <f>IF($B9="","",IF(BG$5=0,"OK","出错"))</f>
        <v/>
      </c>
      <c r="BH9" s="136"/>
      <c r="BI9" s="136"/>
      <c r="BJ9" s="136"/>
      <c r="BK9" s="136"/>
      <c r="BL9" s="137"/>
      <c r="BM9" s="137"/>
      <c r="BN9" s="77"/>
      <c r="BO9" s="109"/>
      <c r="BP9" s="1010">
        <f t="shared" ref="BP9:BP25" si="13">IFERROR(1-J9/C9,0)</f>
        <v>0</v>
      </c>
      <c r="BQ9" s="1011" t="str">
        <f t="shared" si="3"/>
        <v/>
      </c>
      <c r="BR9" s="77"/>
      <c r="BS9" s="134" t="str">
        <f>IF(COUNTIF(BS$7:BS8,G9)&gt;0,"",G9)&amp;""</f>
        <v/>
      </c>
      <c r="BT9" s="138">
        <f t="shared" ref="BT9:BT25" si="14">SUMIF(G$8:G$25,BS9,AG$8:AG$25)</f>
        <v>0</v>
      </c>
      <c r="BU9" s="132">
        <f t="shared" ref="BU9:BU25" si="15">RANK(BT9,BT$8:BT$25)</f>
        <v>1</v>
      </c>
      <c r="BV9" s="138">
        <f t="shared" ref="BV9:BV25" si="16">SUMIF(G$8:G$25,BS9,AI$8:AI$25)</f>
        <v>0</v>
      </c>
      <c r="BW9" s="132">
        <f t="shared" si="4"/>
        <v>1</v>
      </c>
      <c r="BX9" s="138">
        <f>SUM(BV8:BV25)</f>
        <v>0</v>
      </c>
      <c r="BY9" s="138"/>
      <c r="BZ9" s="138"/>
    </row>
    <row r="10" s="288" customFormat="1" customHeight="1" spans="1:78">
      <c r="A10" s="123" t="str">
        <f>IF(B10="","",COUNT(A$7:A9)+1)</f>
        <v/>
      </c>
      <c r="B10" s="322" t="s">
        <v>347</v>
      </c>
      <c r="C10" s="323" t="s">
        <v>347</v>
      </c>
      <c r="D10" s="324" t="s">
        <v>347</v>
      </c>
      <c r="E10" s="325" t="s">
        <v>347</v>
      </c>
      <c r="F10" s="325" t="s">
        <v>347</v>
      </c>
      <c r="G10" s="326"/>
      <c r="H10" s="326"/>
      <c r="I10" s="325"/>
      <c r="J10" s="325"/>
      <c r="K10" s="256"/>
      <c r="L10" s="256"/>
      <c r="M10" s="256"/>
      <c r="N10" s="256"/>
      <c r="O10" s="256"/>
      <c r="P10" s="1008" t="str">
        <f t="shared" si="5"/>
        <v/>
      </c>
      <c r="Q10" s="256"/>
      <c r="R10" s="256"/>
      <c r="S10" s="256"/>
      <c r="T10" s="256"/>
      <c r="U10" s="256"/>
      <c r="V10" s="256"/>
      <c r="W10" s="256"/>
      <c r="X10" s="142"/>
      <c r="Y10" s="127" t="str">
        <f>IFERROR(VLOOKUP(X10,参数表!$H$2:$I$50,2,FALSE),"")</f>
        <v/>
      </c>
      <c r="Z10" s="128" t="str">
        <f t="shared" si="6"/>
        <v/>
      </c>
      <c r="AA10" s="128" t="str">
        <f t="shared" si="7"/>
        <v/>
      </c>
      <c r="AB10" s="1009" t="str">
        <f t="shared" si="8"/>
        <v/>
      </c>
      <c r="AC10" s="256"/>
      <c r="AD10" s="256"/>
      <c r="AE10" s="256"/>
      <c r="AF10" s="1008" t="str">
        <f t="shared" si="9"/>
        <v/>
      </c>
      <c r="AG10" s="320" t="str">
        <f t="shared" si="10"/>
        <v/>
      </c>
      <c r="AH10" s="1008" t="str">
        <f t="shared" si="0"/>
        <v/>
      </c>
      <c r="AI10" s="1008" t="str">
        <f t="shared" si="1"/>
        <v/>
      </c>
      <c r="AJ10" s="320" t="str">
        <f t="shared" si="11"/>
        <v/>
      </c>
      <c r="AK10" s="327" t="s">
        <v>347</v>
      </c>
      <c r="BA10" s="78"/>
      <c r="BB10" s="132" t="s">
        <v>3281</v>
      </c>
      <c r="BC10" s="133"/>
      <c r="BD10" s="132" t="str">
        <f>IF(OR(B10="",BC10=""),"",COUNTIF(BC$8:BC10,"√"))</f>
        <v/>
      </c>
      <c r="BE10" s="134" t="str">
        <f t="shared" si="2"/>
        <v/>
      </c>
      <c r="BF10" s="135" t="str">
        <f t="shared" si="12"/>
        <v/>
      </c>
      <c r="BG10" s="135" t="str">
        <f t="shared" si="12"/>
        <v/>
      </c>
      <c r="BH10" s="136"/>
      <c r="BI10" s="136"/>
      <c r="BJ10" s="136"/>
      <c r="BK10" s="136"/>
      <c r="BL10" s="137"/>
      <c r="BM10" s="137"/>
      <c r="BN10" s="77"/>
      <c r="BO10" s="109"/>
      <c r="BP10" s="1010">
        <f t="shared" si="13"/>
        <v>0</v>
      </c>
      <c r="BQ10" s="1011" t="str">
        <f t="shared" si="3"/>
        <v/>
      </c>
      <c r="BR10" s="77"/>
      <c r="BS10" s="134" t="str">
        <f>IF(COUNTIF(BS$7:BS9,G10)&gt;0,"",G10)&amp;""</f>
        <v/>
      </c>
      <c r="BT10" s="138">
        <f t="shared" si="14"/>
        <v>0</v>
      </c>
      <c r="BU10" s="132">
        <f t="shared" si="15"/>
        <v>1</v>
      </c>
      <c r="BV10" s="138">
        <f t="shared" si="16"/>
        <v>0</v>
      </c>
      <c r="BW10" s="132">
        <f t="shared" si="4"/>
        <v>1</v>
      </c>
      <c r="BX10" s="132">
        <v>1</v>
      </c>
      <c r="BY10" s="134" t="str">
        <f>IFERROR(INDEX(BS$8:BS$25,MATCH(BX10,IF(BX$8=0,BW$8:BW$25,BU$8:BU$25),0))&amp;"","")</f>
        <v/>
      </c>
      <c r="BZ10" s="146" t="str">
        <f>IF(BY11="","",IF(BY12="","和","、"))</f>
        <v/>
      </c>
    </row>
    <row r="11" s="288" customFormat="1" customHeight="1" spans="1:78">
      <c r="A11" s="123" t="str">
        <f>IF(B11="","",COUNT(A$7:A10)+1)</f>
        <v/>
      </c>
      <c r="B11" s="322" t="s">
        <v>347</v>
      </c>
      <c r="C11" s="323" t="s">
        <v>347</v>
      </c>
      <c r="D11" s="324" t="s">
        <v>347</v>
      </c>
      <c r="E11" s="325" t="s">
        <v>347</v>
      </c>
      <c r="F11" s="325" t="s">
        <v>347</v>
      </c>
      <c r="G11" s="326"/>
      <c r="H11" s="326"/>
      <c r="I11" s="325"/>
      <c r="J11" s="325"/>
      <c r="K11" s="256"/>
      <c r="L11" s="256"/>
      <c r="M11" s="256"/>
      <c r="N11" s="256"/>
      <c r="O11" s="256"/>
      <c r="P11" s="1008" t="str">
        <f t="shared" si="5"/>
        <v/>
      </c>
      <c r="Q11" s="256"/>
      <c r="R11" s="256"/>
      <c r="S11" s="256"/>
      <c r="T11" s="256"/>
      <c r="U11" s="256"/>
      <c r="V11" s="256"/>
      <c r="W11" s="256"/>
      <c r="X11" s="142"/>
      <c r="Y11" s="127" t="str">
        <f>IFERROR(VLOOKUP(X11,参数表!$H$2:$I$50,2,FALSE),"")</f>
        <v/>
      </c>
      <c r="Z11" s="128" t="str">
        <f t="shared" si="6"/>
        <v/>
      </c>
      <c r="AA11" s="128" t="str">
        <f t="shared" si="7"/>
        <v/>
      </c>
      <c r="AB11" s="1009" t="str">
        <f t="shared" si="8"/>
        <v/>
      </c>
      <c r="AC11" s="256"/>
      <c r="AD11" s="256"/>
      <c r="AE11" s="256"/>
      <c r="AF11" s="1008" t="str">
        <f t="shared" si="9"/>
        <v/>
      </c>
      <c r="AG11" s="320" t="str">
        <f t="shared" si="10"/>
        <v/>
      </c>
      <c r="AH11" s="1008" t="str">
        <f t="shared" si="0"/>
        <v/>
      </c>
      <c r="AI11" s="1008" t="str">
        <f t="shared" si="1"/>
        <v/>
      </c>
      <c r="AJ11" s="320" t="str">
        <f t="shared" si="11"/>
        <v/>
      </c>
      <c r="AK11" s="327" t="s">
        <v>347</v>
      </c>
      <c r="BA11" s="78"/>
      <c r="BB11" s="132" t="s">
        <v>3282</v>
      </c>
      <c r="BC11" s="133"/>
      <c r="BD11" s="132" t="str">
        <f>IF(OR(B11="",BC11=""),"",COUNTIF(BC$8:BC11,"√"))</f>
        <v/>
      </c>
      <c r="BE11" s="134" t="str">
        <f t="shared" si="2"/>
        <v/>
      </c>
      <c r="BF11" s="135" t="str">
        <f t="shared" si="12"/>
        <v/>
      </c>
      <c r="BG11" s="135" t="str">
        <f t="shared" si="12"/>
        <v/>
      </c>
      <c r="BH11" s="136"/>
      <c r="BI11" s="136"/>
      <c r="BJ11" s="136"/>
      <c r="BK11" s="136"/>
      <c r="BL11" s="137"/>
      <c r="BM11" s="137"/>
      <c r="BN11" s="77"/>
      <c r="BO11" s="109"/>
      <c r="BP11" s="1010">
        <f t="shared" si="13"/>
        <v>0</v>
      </c>
      <c r="BQ11" s="1011" t="str">
        <f t="shared" si="3"/>
        <v/>
      </c>
      <c r="BR11" s="77"/>
      <c r="BS11" s="134" t="str">
        <f>IF(COUNTIF(BS$7:BS10,G11)&gt;0,"",G11)&amp;""</f>
        <v/>
      </c>
      <c r="BT11" s="138">
        <f t="shared" si="14"/>
        <v>0</v>
      </c>
      <c r="BU11" s="132">
        <f t="shared" si="15"/>
        <v>1</v>
      </c>
      <c r="BV11" s="138">
        <f t="shared" si="16"/>
        <v>0</v>
      </c>
      <c r="BW11" s="132">
        <f t="shared" si="4"/>
        <v>1</v>
      </c>
      <c r="BX11" s="132">
        <v>2</v>
      </c>
      <c r="BY11" s="134" t="str">
        <f>IFERROR(INDEX(BS$8:BS$25,MATCH(BX11,IF(BX$8=0,BW$8:BW$25,BU$8:BU$25),0))&amp;"","")</f>
        <v/>
      </c>
      <c r="BZ11" s="146" t="str">
        <f t="shared" ref="BZ11:BZ12" si="17">IF(BY12="","",IF(BY13="","和","、"))</f>
        <v/>
      </c>
    </row>
    <row r="12" s="288" customFormat="1" customHeight="1" spans="1:78">
      <c r="A12" s="123" t="str">
        <f>IF(B12="","",COUNT(A$7:A11)+1)</f>
        <v/>
      </c>
      <c r="B12" s="322" t="s">
        <v>347</v>
      </c>
      <c r="C12" s="323" t="s">
        <v>347</v>
      </c>
      <c r="D12" s="324" t="s">
        <v>347</v>
      </c>
      <c r="E12" s="325" t="s">
        <v>347</v>
      </c>
      <c r="F12" s="325" t="s">
        <v>347</v>
      </c>
      <c r="G12" s="326"/>
      <c r="H12" s="326"/>
      <c r="I12" s="325"/>
      <c r="J12" s="325"/>
      <c r="K12" s="256"/>
      <c r="L12" s="256"/>
      <c r="M12" s="256"/>
      <c r="N12" s="256"/>
      <c r="O12" s="256"/>
      <c r="P12" s="1008" t="str">
        <f t="shared" si="5"/>
        <v/>
      </c>
      <c r="Q12" s="256"/>
      <c r="R12" s="256"/>
      <c r="S12" s="256"/>
      <c r="T12" s="256"/>
      <c r="U12" s="256"/>
      <c r="V12" s="256"/>
      <c r="W12" s="256"/>
      <c r="X12" s="142"/>
      <c r="Y12" s="127" t="str">
        <f>IFERROR(VLOOKUP(X12,参数表!$H$2:$I$50,2,FALSE),"")</f>
        <v/>
      </c>
      <c r="Z12" s="128" t="str">
        <f t="shared" si="6"/>
        <v/>
      </c>
      <c r="AA12" s="128" t="str">
        <f t="shared" si="7"/>
        <v/>
      </c>
      <c r="AB12" s="1009" t="str">
        <f t="shared" si="8"/>
        <v/>
      </c>
      <c r="AC12" s="256"/>
      <c r="AD12" s="256"/>
      <c r="AE12" s="256"/>
      <c r="AF12" s="1008" t="str">
        <f t="shared" si="9"/>
        <v/>
      </c>
      <c r="AG12" s="320" t="str">
        <f t="shared" si="10"/>
        <v/>
      </c>
      <c r="AH12" s="1008" t="str">
        <f t="shared" si="0"/>
        <v/>
      </c>
      <c r="AI12" s="1008" t="str">
        <f t="shared" si="1"/>
        <v/>
      </c>
      <c r="AJ12" s="320" t="str">
        <f t="shared" si="11"/>
        <v/>
      </c>
      <c r="AK12" s="327" t="s">
        <v>347</v>
      </c>
      <c r="BA12" s="78"/>
      <c r="BB12" s="132" t="s">
        <v>3283</v>
      </c>
      <c r="BC12" s="133"/>
      <c r="BD12" s="132" t="str">
        <f>IF(OR(B12="",BC12=""),"",COUNTIF(BC$8:BC12,"√"))</f>
        <v/>
      </c>
      <c r="BE12" s="134" t="str">
        <f t="shared" si="2"/>
        <v/>
      </c>
      <c r="BF12" s="135" t="str">
        <f t="shared" si="12"/>
        <v/>
      </c>
      <c r="BG12" s="135" t="str">
        <f t="shared" si="12"/>
        <v/>
      </c>
      <c r="BH12" s="136"/>
      <c r="BI12" s="136"/>
      <c r="BJ12" s="136"/>
      <c r="BK12" s="136"/>
      <c r="BL12" s="137"/>
      <c r="BM12" s="137"/>
      <c r="BN12" s="77"/>
      <c r="BO12" s="109"/>
      <c r="BP12" s="1010">
        <f t="shared" si="13"/>
        <v>0</v>
      </c>
      <c r="BQ12" s="1011" t="str">
        <f t="shared" si="3"/>
        <v/>
      </c>
      <c r="BR12" s="77"/>
      <c r="BS12" s="134" t="str">
        <f>IF(COUNTIF(BS$7:BS11,G12)&gt;0,"",G12)&amp;""</f>
        <v/>
      </c>
      <c r="BT12" s="138">
        <f t="shared" si="14"/>
        <v>0</v>
      </c>
      <c r="BU12" s="132">
        <f t="shared" si="15"/>
        <v>1</v>
      </c>
      <c r="BV12" s="138">
        <f t="shared" si="16"/>
        <v>0</v>
      </c>
      <c r="BW12" s="132">
        <f t="shared" si="4"/>
        <v>1</v>
      </c>
      <c r="BX12" s="132">
        <v>3</v>
      </c>
      <c r="BY12" s="134" t="str">
        <f>IFERROR(INDEX(BS$8:BS$25,MATCH(BX12,IF(BX$8=0,BW$8:BW$25,BU$8:BU$25),0))&amp;"","")</f>
        <v/>
      </c>
      <c r="BZ12" s="146" t="str">
        <f t="shared" si="17"/>
        <v/>
      </c>
    </row>
    <row r="13" s="288" customFormat="1" customHeight="1" spans="1:78">
      <c r="A13" s="123" t="str">
        <f>IF(B13="","",COUNT(A$7:A12)+1)</f>
        <v/>
      </c>
      <c r="B13" s="322" t="s">
        <v>347</v>
      </c>
      <c r="C13" s="323" t="s">
        <v>347</v>
      </c>
      <c r="D13" s="324" t="s">
        <v>347</v>
      </c>
      <c r="E13" s="325" t="s">
        <v>347</v>
      </c>
      <c r="F13" s="325" t="s">
        <v>347</v>
      </c>
      <c r="G13" s="326"/>
      <c r="H13" s="326"/>
      <c r="I13" s="325"/>
      <c r="J13" s="325"/>
      <c r="K13" s="256"/>
      <c r="L13" s="256"/>
      <c r="M13" s="256"/>
      <c r="N13" s="256"/>
      <c r="O13" s="256"/>
      <c r="P13" s="1008" t="str">
        <f t="shared" si="5"/>
        <v/>
      </c>
      <c r="Q13" s="256"/>
      <c r="R13" s="256"/>
      <c r="S13" s="256"/>
      <c r="T13" s="256"/>
      <c r="U13" s="256"/>
      <c r="V13" s="256"/>
      <c r="W13" s="256"/>
      <c r="X13" s="142"/>
      <c r="Y13" s="127" t="str">
        <f>IFERROR(VLOOKUP(X13,参数表!$H$2:$I$50,2,FALSE),"")</f>
        <v/>
      </c>
      <c r="Z13" s="128" t="str">
        <f t="shared" si="6"/>
        <v/>
      </c>
      <c r="AA13" s="128" t="str">
        <f t="shared" si="7"/>
        <v/>
      </c>
      <c r="AB13" s="1009" t="str">
        <f t="shared" si="8"/>
        <v/>
      </c>
      <c r="AC13" s="256"/>
      <c r="AD13" s="256"/>
      <c r="AE13" s="256"/>
      <c r="AF13" s="1008" t="str">
        <f t="shared" si="9"/>
        <v/>
      </c>
      <c r="AG13" s="320" t="str">
        <f t="shared" si="10"/>
        <v/>
      </c>
      <c r="AH13" s="1008" t="str">
        <f t="shared" si="0"/>
        <v/>
      </c>
      <c r="AI13" s="1008" t="str">
        <f t="shared" si="1"/>
        <v/>
      </c>
      <c r="AJ13" s="320" t="str">
        <f t="shared" si="11"/>
        <v/>
      </c>
      <c r="AK13" s="327" t="s">
        <v>347</v>
      </c>
      <c r="BA13" s="78"/>
      <c r="BB13" s="132" t="s">
        <v>3284</v>
      </c>
      <c r="BC13" s="133"/>
      <c r="BD13" s="132" t="str">
        <f>IF(OR(B13="",BC13=""),"",COUNTIF(BC$8:BC13,"√"))</f>
        <v/>
      </c>
      <c r="BE13" s="134" t="str">
        <f t="shared" si="2"/>
        <v/>
      </c>
      <c r="BF13" s="135" t="str">
        <f t="shared" si="12"/>
        <v/>
      </c>
      <c r="BG13" s="135" t="str">
        <f t="shared" si="12"/>
        <v/>
      </c>
      <c r="BH13" s="136"/>
      <c r="BI13" s="136"/>
      <c r="BJ13" s="136"/>
      <c r="BK13" s="136"/>
      <c r="BL13" s="137"/>
      <c r="BM13" s="137"/>
      <c r="BN13" s="77"/>
      <c r="BO13" s="109"/>
      <c r="BP13" s="1010">
        <f t="shared" si="13"/>
        <v>0</v>
      </c>
      <c r="BQ13" s="1011" t="str">
        <f t="shared" si="3"/>
        <v/>
      </c>
      <c r="BR13" s="77"/>
      <c r="BS13" s="134" t="str">
        <f>IF(COUNTIF(BS$7:BS12,G13)&gt;0,"",G13)&amp;""</f>
        <v/>
      </c>
      <c r="BT13" s="138">
        <f t="shared" si="14"/>
        <v>0</v>
      </c>
      <c r="BU13" s="132">
        <f t="shared" si="15"/>
        <v>1</v>
      </c>
      <c r="BV13" s="138">
        <f t="shared" si="16"/>
        <v>0</v>
      </c>
      <c r="BW13" s="132">
        <f t="shared" si="4"/>
        <v>1</v>
      </c>
      <c r="BX13" s="132">
        <v>4</v>
      </c>
      <c r="BY13" s="134" t="str">
        <f>IFERROR(INDEX(BS$8:BS$25,MATCH(BX13,IF(BX$8=0,BW$8:BW$25,BU$8:BU$25),0))&amp;"","")</f>
        <v/>
      </c>
      <c r="BZ13" s="146" t="str">
        <f>IF(BY14="","","和")</f>
        <v/>
      </c>
    </row>
    <row r="14" s="288" customFormat="1" customHeight="1" spans="1:78">
      <c r="A14" s="123" t="str">
        <f>IF(B14="","",COUNT(A$7:A13)+1)</f>
        <v/>
      </c>
      <c r="B14" s="322" t="s">
        <v>347</v>
      </c>
      <c r="C14" s="323" t="s">
        <v>347</v>
      </c>
      <c r="D14" s="324" t="s">
        <v>347</v>
      </c>
      <c r="E14" s="325" t="s">
        <v>347</v>
      </c>
      <c r="F14" s="325" t="s">
        <v>347</v>
      </c>
      <c r="G14" s="326"/>
      <c r="H14" s="326"/>
      <c r="I14" s="325"/>
      <c r="J14" s="325"/>
      <c r="K14" s="256"/>
      <c r="L14" s="256"/>
      <c r="M14" s="256"/>
      <c r="N14" s="256"/>
      <c r="O14" s="256"/>
      <c r="P14" s="1008" t="str">
        <f t="shared" si="5"/>
        <v/>
      </c>
      <c r="Q14" s="256"/>
      <c r="R14" s="256"/>
      <c r="S14" s="256"/>
      <c r="T14" s="256"/>
      <c r="U14" s="256"/>
      <c r="V14" s="256"/>
      <c r="W14" s="256"/>
      <c r="X14" s="142"/>
      <c r="Y14" s="127" t="str">
        <f>IFERROR(VLOOKUP(X14,参数表!$H$2:$I$50,2,FALSE),"")</f>
        <v/>
      </c>
      <c r="Z14" s="128" t="str">
        <f t="shared" si="6"/>
        <v/>
      </c>
      <c r="AA14" s="128" t="str">
        <f t="shared" si="7"/>
        <v/>
      </c>
      <c r="AB14" s="1009" t="str">
        <f t="shared" si="8"/>
        <v/>
      </c>
      <c r="AC14" s="256"/>
      <c r="AD14" s="256"/>
      <c r="AE14" s="256"/>
      <c r="AF14" s="1008" t="str">
        <f t="shared" si="9"/>
        <v/>
      </c>
      <c r="AG14" s="320" t="str">
        <f t="shared" si="10"/>
        <v/>
      </c>
      <c r="AH14" s="1008" t="str">
        <f t="shared" si="0"/>
        <v/>
      </c>
      <c r="AI14" s="1008" t="str">
        <f t="shared" si="1"/>
        <v/>
      </c>
      <c r="AJ14" s="320" t="str">
        <f t="shared" si="11"/>
        <v/>
      </c>
      <c r="AK14" s="327" t="s">
        <v>347</v>
      </c>
      <c r="BA14" s="78"/>
      <c r="BB14" s="132" t="s">
        <v>3285</v>
      </c>
      <c r="BC14" s="133"/>
      <c r="BD14" s="132" t="str">
        <f>IF(OR(B14="",BC14=""),"",COUNTIF(BC$8:BC14,"√"))</f>
        <v/>
      </c>
      <c r="BE14" s="134" t="str">
        <f t="shared" si="2"/>
        <v/>
      </c>
      <c r="BF14" s="135" t="str">
        <f t="shared" si="12"/>
        <v/>
      </c>
      <c r="BG14" s="135" t="str">
        <f t="shared" si="12"/>
        <v/>
      </c>
      <c r="BH14" s="136"/>
      <c r="BI14" s="136"/>
      <c r="BJ14" s="136"/>
      <c r="BK14" s="136"/>
      <c r="BL14" s="137"/>
      <c r="BM14" s="137"/>
      <c r="BN14" s="77"/>
      <c r="BO14" s="109"/>
      <c r="BP14" s="1010">
        <f t="shared" si="13"/>
        <v>0</v>
      </c>
      <c r="BQ14" s="1011" t="str">
        <f t="shared" si="3"/>
        <v/>
      </c>
      <c r="BR14" s="77"/>
      <c r="BS14" s="134" t="str">
        <f>IF(COUNTIF(BS$7:BS13,G14)&gt;0,"",G14)&amp;""</f>
        <v/>
      </c>
      <c r="BT14" s="138">
        <f t="shared" si="14"/>
        <v>0</v>
      </c>
      <c r="BU14" s="132">
        <f t="shared" si="15"/>
        <v>1</v>
      </c>
      <c r="BV14" s="138">
        <f t="shared" si="16"/>
        <v>0</v>
      </c>
      <c r="BW14" s="132">
        <f t="shared" si="4"/>
        <v>1</v>
      </c>
      <c r="BX14" s="132">
        <v>5</v>
      </c>
      <c r="BY14" s="134" t="str">
        <f>IFERROR(INDEX(BS$8:BS$25,MATCH(BX14,IF(BX$8=0,BW$8:BW$25,BU$8:BU$25),0))&amp;"","")</f>
        <v/>
      </c>
      <c r="BZ14" s="146"/>
    </row>
    <row r="15" s="288" customFormat="1" customHeight="1" spans="1:78">
      <c r="A15" s="123" t="str">
        <f>IF(B15="","",COUNT(A$7:A14)+1)</f>
        <v/>
      </c>
      <c r="B15" s="322" t="s">
        <v>347</v>
      </c>
      <c r="C15" s="323" t="s">
        <v>347</v>
      </c>
      <c r="D15" s="324" t="s">
        <v>347</v>
      </c>
      <c r="E15" s="325" t="s">
        <v>347</v>
      </c>
      <c r="F15" s="325" t="s">
        <v>347</v>
      </c>
      <c r="G15" s="326"/>
      <c r="H15" s="326"/>
      <c r="I15" s="325"/>
      <c r="J15" s="325"/>
      <c r="K15" s="256"/>
      <c r="L15" s="256"/>
      <c r="M15" s="256"/>
      <c r="N15" s="256"/>
      <c r="O15" s="256"/>
      <c r="P15" s="1008" t="str">
        <f t="shared" si="5"/>
        <v/>
      </c>
      <c r="Q15" s="256"/>
      <c r="R15" s="256"/>
      <c r="S15" s="256"/>
      <c r="T15" s="256"/>
      <c r="U15" s="256"/>
      <c r="V15" s="256"/>
      <c r="W15" s="256"/>
      <c r="X15" s="142"/>
      <c r="Y15" s="127" t="str">
        <f>IFERROR(VLOOKUP(X15,参数表!$H$2:$I$50,2,FALSE),"")</f>
        <v/>
      </c>
      <c r="Z15" s="128" t="str">
        <f t="shared" si="6"/>
        <v/>
      </c>
      <c r="AA15" s="128" t="str">
        <f t="shared" si="7"/>
        <v/>
      </c>
      <c r="AB15" s="1009" t="str">
        <f t="shared" si="8"/>
        <v/>
      </c>
      <c r="AC15" s="256"/>
      <c r="AD15" s="256"/>
      <c r="AE15" s="256"/>
      <c r="AF15" s="1008" t="str">
        <f t="shared" si="9"/>
        <v/>
      </c>
      <c r="AG15" s="320" t="str">
        <f t="shared" si="10"/>
        <v/>
      </c>
      <c r="AH15" s="1008" t="str">
        <f t="shared" si="0"/>
        <v/>
      </c>
      <c r="AI15" s="1008" t="str">
        <f t="shared" si="1"/>
        <v/>
      </c>
      <c r="AJ15" s="320" t="str">
        <f t="shared" si="11"/>
        <v/>
      </c>
      <c r="AK15" s="327" t="s">
        <v>347</v>
      </c>
      <c r="BA15" s="78"/>
      <c r="BB15" s="132" t="s">
        <v>3286</v>
      </c>
      <c r="BC15" s="133"/>
      <c r="BD15" s="132" t="str">
        <f>IF(OR(B15="",BC15=""),"",COUNTIF(BC$8:BC15,"√"))</f>
        <v/>
      </c>
      <c r="BE15" s="134" t="str">
        <f t="shared" si="2"/>
        <v/>
      </c>
      <c r="BF15" s="135" t="str">
        <f t="shared" si="12"/>
        <v/>
      </c>
      <c r="BG15" s="135" t="str">
        <f t="shared" si="12"/>
        <v/>
      </c>
      <c r="BH15" s="136"/>
      <c r="BI15" s="136"/>
      <c r="BJ15" s="136"/>
      <c r="BK15" s="136"/>
      <c r="BL15" s="137"/>
      <c r="BM15" s="137"/>
      <c r="BN15" s="77"/>
      <c r="BO15" s="109"/>
      <c r="BP15" s="1010">
        <f t="shared" si="13"/>
        <v>0</v>
      </c>
      <c r="BQ15" s="1011" t="str">
        <f t="shared" si="3"/>
        <v/>
      </c>
      <c r="BR15" s="77"/>
      <c r="BS15" s="134" t="str">
        <f>IF(COUNTIF(BS$7:BS14,G15)&gt;0,"",G15)&amp;""</f>
        <v/>
      </c>
      <c r="BT15" s="138">
        <f t="shared" si="14"/>
        <v>0</v>
      </c>
      <c r="BU15" s="132">
        <f t="shared" si="15"/>
        <v>1</v>
      </c>
      <c r="BV15" s="138">
        <f t="shared" si="16"/>
        <v>0</v>
      </c>
      <c r="BW15" s="132">
        <f t="shared" si="4"/>
        <v>1</v>
      </c>
      <c r="BX15" s="147" t="s">
        <v>1659</v>
      </c>
      <c r="BY15" s="132" t="str">
        <f>CONCATENATE(BY10,BZ10,BY11,BZ11,BY12,BZ12,BY13,BZ13,BY14)</f>
        <v/>
      </c>
      <c r="BZ15" s="132"/>
    </row>
    <row r="16" s="288" customFormat="1" customHeight="1" spans="1:78">
      <c r="A16" s="123" t="str">
        <f>IF(B16="","",COUNT(A$7:A15)+1)</f>
        <v/>
      </c>
      <c r="B16" s="322" t="s">
        <v>347</v>
      </c>
      <c r="C16" s="323" t="s">
        <v>347</v>
      </c>
      <c r="D16" s="324" t="s">
        <v>347</v>
      </c>
      <c r="E16" s="325" t="s">
        <v>347</v>
      </c>
      <c r="F16" s="325" t="s">
        <v>347</v>
      </c>
      <c r="G16" s="326"/>
      <c r="H16" s="326"/>
      <c r="I16" s="325"/>
      <c r="J16" s="325"/>
      <c r="K16" s="256"/>
      <c r="L16" s="256"/>
      <c r="M16" s="256"/>
      <c r="N16" s="256"/>
      <c r="O16" s="256"/>
      <c r="P16" s="1008" t="str">
        <f t="shared" si="5"/>
        <v/>
      </c>
      <c r="Q16" s="256"/>
      <c r="R16" s="256"/>
      <c r="S16" s="256"/>
      <c r="T16" s="256"/>
      <c r="U16" s="256"/>
      <c r="V16" s="256"/>
      <c r="W16" s="256"/>
      <c r="X16" s="142"/>
      <c r="Y16" s="127" t="str">
        <f>IFERROR(VLOOKUP(X16,参数表!$H$2:$I$50,2,FALSE),"")</f>
        <v/>
      </c>
      <c r="Z16" s="128" t="str">
        <f t="shared" si="6"/>
        <v/>
      </c>
      <c r="AA16" s="128" t="str">
        <f t="shared" si="7"/>
        <v/>
      </c>
      <c r="AB16" s="1009" t="str">
        <f t="shared" si="8"/>
        <v/>
      </c>
      <c r="AC16" s="256"/>
      <c r="AD16" s="256"/>
      <c r="AE16" s="256"/>
      <c r="AF16" s="1008" t="str">
        <f t="shared" si="9"/>
        <v/>
      </c>
      <c r="AG16" s="320" t="str">
        <f t="shared" si="10"/>
        <v/>
      </c>
      <c r="AH16" s="1008" t="str">
        <f t="shared" si="0"/>
        <v/>
      </c>
      <c r="AI16" s="1008" t="str">
        <f t="shared" si="1"/>
        <v/>
      </c>
      <c r="AJ16" s="320" t="str">
        <f t="shared" si="11"/>
        <v/>
      </c>
      <c r="AK16" s="327" t="s">
        <v>347</v>
      </c>
      <c r="BA16" s="78"/>
      <c r="BB16" s="132" t="s">
        <v>3287</v>
      </c>
      <c r="BC16" s="133"/>
      <c r="BD16" s="132" t="str">
        <f>IF(OR(B16="",BC16=""),"",COUNTIF(BC$8:BC16,"√"))</f>
        <v/>
      </c>
      <c r="BE16" s="134" t="str">
        <f t="shared" si="2"/>
        <v/>
      </c>
      <c r="BF16" s="135" t="str">
        <f t="shared" si="12"/>
        <v/>
      </c>
      <c r="BG16" s="135" t="str">
        <f t="shared" si="12"/>
        <v/>
      </c>
      <c r="BH16" s="136"/>
      <c r="BI16" s="136"/>
      <c r="BJ16" s="136"/>
      <c r="BK16" s="136"/>
      <c r="BL16" s="137"/>
      <c r="BM16" s="137"/>
      <c r="BN16" s="77"/>
      <c r="BO16" s="109"/>
      <c r="BP16" s="1010">
        <f t="shared" si="13"/>
        <v>0</v>
      </c>
      <c r="BQ16" s="1011" t="str">
        <f t="shared" si="3"/>
        <v/>
      </c>
      <c r="BR16" s="77"/>
      <c r="BS16" s="134" t="str">
        <f>IF(COUNTIF(BS$7:BS15,G16)&gt;0,"",G16)&amp;""</f>
        <v/>
      </c>
      <c r="BT16" s="138">
        <f t="shared" si="14"/>
        <v>0</v>
      </c>
      <c r="BU16" s="132">
        <f t="shared" si="15"/>
        <v>1</v>
      </c>
      <c r="BV16" s="138">
        <f t="shared" si="16"/>
        <v>0</v>
      </c>
      <c r="BW16" s="132">
        <f t="shared" si="4"/>
        <v>1</v>
      </c>
      <c r="BX16" s="133"/>
      <c r="BY16" s="133"/>
      <c r="BZ16" s="77"/>
    </row>
    <row r="17" s="288" customFormat="1" customHeight="1" spans="1:78">
      <c r="A17" s="123" t="str">
        <f>IF(B17="","",COUNT(A$7:A16)+1)</f>
        <v/>
      </c>
      <c r="B17" s="322" t="s">
        <v>347</v>
      </c>
      <c r="C17" s="323" t="s">
        <v>347</v>
      </c>
      <c r="D17" s="324" t="s">
        <v>347</v>
      </c>
      <c r="E17" s="325" t="s">
        <v>347</v>
      </c>
      <c r="F17" s="325" t="s">
        <v>347</v>
      </c>
      <c r="G17" s="326"/>
      <c r="H17" s="326"/>
      <c r="I17" s="325"/>
      <c r="J17" s="325"/>
      <c r="K17" s="256"/>
      <c r="L17" s="256"/>
      <c r="M17" s="256"/>
      <c r="N17" s="256"/>
      <c r="O17" s="256"/>
      <c r="P17" s="1008" t="str">
        <f t="shared" si="5"/>
        <v/>
      </c>
      <c r="Q17" s="256"/>
      <c r="R17" s="256"/>
      <c r="S17" s="256"/>
      <c r="T17" s="256"/>
      <c r="U17" s="256"/>
      <c r="V17" s="256"/>
      <c r="W17" s="256"/>
      <c r="X17" s="142"/>
      <c r="Y17" s="127" t="str">
        <f>IFERROR(VLOOKUP(X17,参数表!$H$2:$I$50,2,FALSE),"")</f>
        <v/>
      </c>
      <c r="Z17" s="128" t="str">
        <f t="shared" si="6"/>
        <v/>
      </c>
      <c r="AA17" s="128" t="str">
        <f t="shared" si="7"/>
        <v/>
      </c>
      <c r="AB17" s="1009" t="str">
        <f t="shared" si="8"/>
        <v/>
      </c>
      <c r="AC17" s="256"/>
      <c r="AD17" s="256"/>
      <c r="AE17" s="256"/>
      <c r="AF17" s="1008" t="str">
        <f t="shared" si="9"/>
        <v/>
      </c>
      <c r="AG17" s="320" t="str">
        <f t="shared" si="10"/>
        <v/>
      </c>
      <c r="AH17" s="1008" t="str">
        <f t="shared" si="0"/>
        <v/>
      </c>
      <c r="AI17" s="1008" t="str">
        <f t="shared" si="1"/>
        <v/>
      </c>
      <c r="AJ17" s="320" t="str">
        <f t="shared" si="11"/>
        <v/>
      </c>
      <c r="AK17" s="327" t="s">
        <v>347</v>
      </c>
      <c r="BA17" s="78"/>
      <c r="BB17" s="132" t="s">
        <v>3288</v>
      </c>
      <c r="BC17" s="133"/>
      <c r="BD17" s="132" t="str">
        <f>IF(OR(B17="",BC17=""),"",COUNTIF(BC$8:BC17,"√"))</f>
        <v/>
      </c>
      <c r="BE17" s="134" t="str">
        <f t="shared" si="2"/>
        <v/>
      </c>
      <c r="BF17" s="135" t="str">
        <f t="shared" si="12"/>
        <v/>
      </c>
      <c r="BG17" s="135" t="str">
        <f t="shared" si="12"/>
        <v/>
      </c>
      <c r="BH17" s="136"/>
      <c r="BI17" s="136"/>
      <c r="BJ17" s="136"/>
      <c r="BK17" s="136"/>
      <c r="BL17" s="137"/>
      <c r="BM17" s="137"/>
      <c r="BN17" s="77"/>
      <c r="BO17" s="109"/>
      <c r="BP17" s="1010">
        <f t="shared" si="13"/>
        <v>0</v>
      </c>
      <c r="BQ17" s="1011" t="str">
        <f t="shared" si="3"/>
        <v/>
      </c>
      <c r="BR17" s="77"/>
      <c r="BS17" s="134" t="str">
        <f>IF(COUNTIF(BS$7:BS16,G17)&gt;0,"",G17)&amp;""</f>
        <v/>
      </c>
      <c r="BT17" s="138">
        <f t="shared" si="14"/>
        <v>0</v>
      </c>
      <c r="BU17" s="132">
        <f t="shared" si="15"/>
        <v>1</v>
      </c>
      <c r="BV17" s="138">
        <f t="shared" si="16"/>
        <v>0</v>
      </c>
      <c r="BW17" s="132">
        <f t="shared" si="4"/>
        <v>1</v>
      </c>
      <c r="BX17" s="133"/>
      <c r="BY17" s="133"/>
      <c r="BZ17" s="77"/>
    </row>
    <row r="18" s="288" customFormat="1" customHeight="1" spans="1:78">
      <c r="A18" s="123" t="str">
        <f>IF(B18="","",COUNT(A$7:A17)+1)</f>
        <v/>
      </c>
      <c r="B18" s="322" t="s">
        <v>347</v>
      </c>
      <c r="C18" s="323" t="s">
        <v>347</v>
      </c>
      <c r="D18" s="324" t="s">
        <v>347</v>
      </c>
      <c r="E18" s="325" t="s">
        <v>347</v>
      </c>
      <c r="F18" s="325" t="s">
        <v>347</v>
      </c>
      <c r="G18" s="326"/>
      <c r="H18" s="326"/>
      <c r="I18" s="325"/>
      <c r="J18" s="325"/>
      <c r="K18" s="256"/>
      <c r="L18" s="256"/>
      <c r="M18" s="256"/>
      <c r="N18" s="256"/>
      <c r="O18" s="256"/>
      <c r="P18" s="1008" t="str">
        <f t="shared" si="5"/>
        <v/>
      </c>
      <c r="Q18" s="256"/>
      <c r="R18" s="256"/>
      <c r="S18" s="256"/>
      <c r="T18" s="256"/>
      <c r="U18" s="256"/>
      <c r="V18" s="256"/>
      <c r="W18" s="256"/>
      <c r="X18" s="142"/>
      <c r="Y18" s="127" t="str">
        <f>IFERROR(VLOOKUP(X18,参数表!$H$2:$I$50,2,FALSE),"")</f>
        <v/>
      </c>
      <c r="Z18" s="128" t="str">
        <f t="shared" si="6"/>
        <v/>
      </c>
      <c r="AA18" s="128" t="str">
        <f t="shared" si="7"/>
        <v/>
      </c>
      <c r="AB18" s="1009" t="str">
        <f t="shared" si="8"/>
        <v/>
      </c>
      <c r="AC18" s="256"/>
      <c r="AD18" s="256"/>
      <c r="AE18" s="256"/>
      <c r="AF18" s="1008" t="str">
        <f t="shared" si="9"/>
        <v/>
      </c>
      <c r="AG18" s="320" t="str">
        <f t="shared" si="10"/>
        <v/>
      </c>
      <c r="AH18" s="1008" t="str">
        <f t="shared" si="0"/>
        <v/>
      </c>
      <c r="AI18" s="1008" t="str">
        <f t="shared" si="1"/>
        <v/>
      </c>
      <c r="AJ18" s="320" t="str">
        <f t="shared" si="11"/>
        <v/>
      </c>
      <c r="AK18" s="327" t="s">
        <v>347</v>
      </c>
      <c r="BA18" s="78"/>
      <c r="BB18" s="132" t="s">
        <v>3289</v>
      </c>
      <c r="BC18" s="133"/>
      <c r="BD18" s="132" t="str">
        <f>IF(OR(B18="",BC18=""),"",COUNTIF(BC$8:BC18,"√"))</f>
        <v/>
      </c>
      <c r="BE18" s="134" t="str">
        <f t="shared" si="2"/>
        <v/>
      </c>
      <c r="BF18" s="135" t="str">
        <f t="shared" si="12"/>
        <v/>
      </c>
      <c r="BG18" s="135" t="str">
        <f t="shared" si="12"/>
        <v/>
      </c>
      <c r="BH18" s="136"/>
      <c r="BI18" s="136"/>
      <c r="BJ18" s="136"/>
      <c r="BK18" s="136"/>
      <c r="BL18" s="137"/>
      <c r="BM18" s="137"/>
      <c r="BN18" s="77"/>
      <c r="BO18" s="109"/>
      <c r="BP18" s="1010">
        <f t="shared" si="13"/>
        <v>0</v>
      </c>
      <c r="BQ18" s="1011" t="str">
        <f t="shared" si="3"/>
        <v/>
      </c>
      <c r="BR18" s="77"/>
      <c r="BS18" s="134" t="str">
        <f>IF(COUNTIF(BS$7:BS17,G18)&gt;0,"",G18)&amp;""</f>
        <v/>
      </c>
      <c r="BT18" s="138">
        <f t="shared" si="14"/>
        <v>0</v>
      </c>
      <c r="BU18" s="132">
        <f t="shared" si="15"/>
        <v>1</v>
      </c>
      <c r="BV18" s="138">
        <f t="shared" si="16"/>
        <v>0</v>
      </c>
      <c r="BW18" s="132">
        <f t="shared" si="4"/>
        <v>1</v>
      </c>
      <c r="BX18" s="133"/>
      <c r="BY18" s="133"/>
      <c r="BZ18" s="77"/>
    </row>
    <row r="19" s="288" customFormat="1" customHeight="1" spans="1:78">
      <c r="A19" s="123" t="str">
        <f>IF(B19="","",COUNT(A$7:A18)+1)</f>
        <v/>
      </c>
      <c r="B19" s="322" t="s">
        <v>347</v>
      </c>
      <c r="C19" s="323" t="s">
        <v>347</v>
      </c>
      <c r="D19" s="324" t="s">
        <v>347</v>
      </c>
      <c r="E19" s="325" t="s">
        <v>347</v>
      </c>
      <c r="F19" s="325" t="s">
        <v>347</v>
      </c>
      <c r="G19" s="326"/>
      <c r="H19" s="326"/>
      <c r="I19" s="325"/>
      <c r="J19" s="325"/>
      <c r="K19" s="256"/>
      <c r="L19" s="256"/>
      <c r="M19" s="256"/>
      <c r="N19" s="256"/>
      <c r="O19" s="256"/>
      <c r="P19" s="1008" t="str">
        <f t="shared" si="5"/>
        <v/>
      </c>
      <c r="Q19" s="256"/>
      <c r="R19" s="256"/>
      <c r="S19" s="256"/>
      <c r="T19" s="256"/>
      <c r="U19" s="256"/>
      <c r="V19" s="256"/>
      <c r="W19" s="256"/>
      <c r="X19" s="142"/>
      <c r="Y19" s="127" t="str">
        <f>IFERROR(VLOOKUP(X19,参数表!$H$2:$I$50,2,FALSE),"")</f>
        <v/>
      </c>
      <c r="Z19" s="128" t="str">
        <f t="shared" si="6"/>
        <v/>
      </c>
      <c r="AA19" s="128" t="str">
        <f t="shared" si="7"/>
        <v/>
      </c>
      <c r="AB19" s="1009" t="str">
        <f t="shared" si="8"/>
        <v/>
      </c>
      <c r="AC19" s="256"/>
      <c r="AD19" s="256"/>
      <c r="AE19" s="256"/>
      <c r="AF19" s="1008" t="str">
        <f t="shared" si="9"/>
        <v/>
      </c>
      <c r="AG19" s="320" t="str">
        <f t="shared" si="10"/>
        <v/>
      </c>
      <c r="AH19" s="1008" t="str">
        <f t="shared" si="0"/>
        <v/>
      </c>
      <c r="AI19" s="1008" t="str">
        <f t="shared" si="1"/>
        <v/>
      </c>
      <c r="AJ19" s="320" t="str">
        <f t="shared" si="11"/>
        <v/>
      </c>
      <c r="AK19" s="327" t="s">
        <v>347</v>
      </c>
      <c r="BA19" s="78"/>
      <c r="BB19" s="132" t="s">
        <v>3290</v>
      </c>
      <c r="BC19" s="133"/>
      <c r="BD19" s="132" t="str">
        <f>IF(OR(B19="",BC19=""),"",COUNTIF(BC$8:BC19,"√"))</f>
        <v/>
      </c>
      <c r="BE19" s="134" t="str">
        <f t="shared" si="2"/>
        <v/>
      </c>
      <c r="BF19" s="135" t="str">
        <f t="shared" si="12"/>
        <v/>
      </c>
      <c r="BG19" s="135" t="str">
        <f t="shared" si="12"/>
        <v/>
      </c>
      <c r="BH19" s="136"/>
      <c r="BI19" s="136"/>
      <c r="BJ19" s="136"/>
      <c r="BK19" s="136"/>
      <c r="BL19" s="137"/>
      <c r="BM19" s="137"/>
      <c r="BN19" s="77"/>
      <c r="BO19" s="109"/>
      <c r="BP19" s="1010">
        <f t="shared" si="13"/>
        <v>0</v>
      </c>
      <c r="BQ19" s="1011" t="str">
        <f t="shared" si="3"/>
        <v/>
      </c>
      <c r="BR19" s="77"/>
      <c r="BS19" s="134" t="str">
        <f>IF(COUNTIF(BS$7:BS18,G19)&gt;0,"",G19)&amp;""</f>
        <v/>
      </c>
      <c r="BT19" s="138">
        <f t="shared" si="14"/>
        <v>0</v>
      </c>
      <c r="BU19" s="132">
        <f t="shared" si="15"/>
        <v>1</v>
      </c>
      <c r="BV19" s="138">
        <f t="shared" si="16"/>
        <v>0</v>
      </c>
      <c r="BW19" s="132">
        <f t="shared" si="4"/>
        <v>1</v>
      </c>
      <c r="BX19" s="133"/>
      <c r="BY19" s="133"/>
      <c r="BZ19" s="77"/>
    </row>
    <row r="20" s="288" customFormat="1" customHeight="1" spans="1:78">
      <c r="A20" s="123" t="str">
        <f>IF(B20="","",COUNT(A$7:A19)+1)</f>
        <v/>
      </c>
      <c r="B20" s="322" t="s">
        <v>347</v>
      </c>
      <c r="C20" s="323" t="s">
        <v>347</v>
      </c>
      <c r="D20" s="324" t="s">
        <v>347</v>
      </c>
      <c r="E20" s="325" t="s">
        <v>347</v>
      </c>
      <c r="F20" s="325" t="s">
        <v>347</v>
      </c>
      <c r="G20" s="326"/>
      <c r="H20" s="326"/>
      <c r="I20" s="325"/>
      <c r="J20" s="325"/>
      <c r="K20" s="256"/>
      <c r="L20" s="256"/>
      <c r="M20" s="256"/>
      <c r="N20" s="256"/>
      <c r="O20" s="256"/>
      <c r="P20" s="1008" t="str">
        <f t="shared" si="5"/>
        <v/>
      </c>
      <c r="Q20" s="256"/>
      <c r="R20" s="256"/>
      <c r="S20" s="256"/>
      <c r="T20" s="256"/>
      <c r="U20" s="256"/>
      <c r="V20" s="256"/>
      <c r="W20" s="256"/>
      <c r="X20" s="142"/>
      <c r="Y20" s="127" t="str">
        <f>IFERROR(VLOOKUP(X20,参数表!$H$2:$I$50,2,FALSE),"")</f>
        <v/>
      </c>
      <c r="Z20" s="128" t="str">
        <f t="shared" si="6"/>
        <v/>
      </c>
      <c r="AA20" s="128" t="str">
        <f t="shared" si="7"/>
        <v/>
      </c>
      <c r="AB20" s="1009" t="str">
        <f t="shared" si="8"/>
        <v/>
      </c>
      <c r="AC20" s="256"/>
      <c r="AD20" s="256"/>
      <c r="AE20" s="256"/>
      <c r="AF20" s="1008" t="str">
        <f t="shared" si="9"/>
        <v/>
      </c>
      <c r="AG20" s="320" t="str">
        <f t="shared" si="10"/>
        <v/>
      </c>
      <c r="AH20" s="1008" t="str">
        <f t="shared" si="0"/>
        <v/>
      </c>
      <c r="AI20" s="1008" t="str">
        <f t="shared" si="1"/>
        <v/>
      </c>
      <c r="AJ20" s="320" t="str">
        <f t="shared" si="11"/>
        <v/>
      </c>
      <c r="AK20" s="327" t="s">
        <v>347</v>
      </c>
      <c r="BA20" s="78"/>
      <c r="BB20" s="132" t="s">
        <v>3291</v>
      </c>
      <c r="BC20" s="133"/>
      <c r="BD20" s="132" t="str">
        <f>IF(OR(B20="",BC20=""),"",COUNTIF(BC$8:BC20,"√"))</f>
        <v/>
      </c>
      <c r="BE20" s="134" t="str">
        <f t="shared" si="2"/>
        <v/>
      </c>
      <c r="BF20" s="135" t="str">
        <f t="shared" si="12"/>
        <v/>
      </c>
      <c r="BG20" s="135" t="str">
        <f t="shared" si="12"/>
        <v/>
      </c>
      <c r="BH20" s="136"/>
      <c r="BI20" s="136"/>
      <c r="BJ20" s="136"/>
      <c r="BK20" s="136"/>
      <c r="BL20" s="137"/>
      <c r="BM20" s="137"/>
      <c r="BN20" s="77"/>
      <c r="BO20" s="109"/>
      <c r="BP20" s="1010">
        <f t="shared" si="13"/>
        <v>0</v>
      </c>
      <c r="BQ20" s="1011" t="str">
        <f t="shared" si="3"/>
        <v/>
      </c>
      <c r="BR20" s="77"/>
      <c r="BS20" s="134" t="str">
        <f>IF(COUNTIF(BS$7:BS19,G20)&gt;0,"",G20)&amp;""</f>
        <v/>
      </c>
      <c r="BT20" s="138">
        <f t="shared" si="14"/>
        <v>0</v>
      </c>
      <c r="BU20" s="132">
        <f t="shared" si="15"/>
        <v>1</v>
      </c>
      <c r="BV20" s="138">
        <f t="shared" si="16"/>
        <v>0</v>
      </c>
      <c r="BW20" s="132">
        <f t="shared" si="4"/>
        <v>1</v>
      </c>
      <c r="BX20" s="133"/>
      <c r="BY20" s="133"/>
      <c r="BZ20" s="77"/>
    </row>
    <row r="21" s="288" customFormat="1" customHeight="1" spans="1:78">
      <c r="A21" s="123" t="str">
        <f>IF(B21="","",COUNT(A$7:A20)+1)</f>
        <v/>
      </c>
      <c r="B21" s="322" t="s">
        <v>347</v>
      </c>
      <c r="C21" s="323" t="s">
        <v>347</v>
      </c>
      <c r="D21" s="324" t="s">
        <v>347</v>
      </c>
      <c r="E21" s="325" t="s">
        <v>347</v>
      </c>
      <c r="F21" s="325" t="s">
        <v>347</v>
      </c>
      <c r="G21" s="326"/>
      <c r="H21" s="326"/>
      <c r="I21" s="325"/>
      <c r="J21" s="325"/>
      <c r="K21" s="256"/>
      <c r="L21" s="256"/>
      <c r="M21" s="256"/>
      <c r="N21" s="256"/>
      <c r="O21" s="256"/>
      <c r="P21" s="1008" t="str">
        <f t="shared" si="5"/>
        <v/>
      </c>
      <c r="Q21" s="256"/>
      <c r="R21" s="256"/>
      <c r="S21" s="256"/>
      <c r="T21" s="256"/>
      <c r="U21" s="256"/>
      <c r="V21" s="256"/>
      <c r="W21" s="256"/>
      <c r="X21" s="142"/>
      <c r="Y21" s="127" t="str">
        <f>IFERROR(VLOOKUP(X21,参数表!$H$2:$I$50,2,FALSE),"")</f>
        <v/>
      </c>
      <c r="Z21" s="128" t="str">
        <f t="shared" si="6"/>
        <v/>
      </c>
      <c r="AA21" s="128" t="str">
        <f t="shared" si="7"/>
        <v/>
      </c>
      <c r="AB21" s="1009" t="str">
        <f t="shared" si="8"/>
        <v/>
      </c>
      <c r="AC21" s="256"/>
      <c r="AD21" s="256"/>
      <c r="AE21" s="256"/>
      <c r="AF21" s="1008" t="str">
        <f t="shared" si="9"/>
        <v/>
      </c>
      <c r="AG21" s="320" t="str">
        <f t="shared" si="10"/>
        <v/>
      </c>
      <c r="AH21" s="1008" t="str">
        <f t="shared" si="0"/>
        <v/>
      </c>
      <c r="AI21" s="1008" t="str">
        <f t="shared" si="1"/>
        <v/>
      </c>
      <c r="AJ21" s="320" t="str">
        <f t="shared" si="11"/>
        <v/>
      </c>
      <c r="AK21" s="327" t="s">
        <v>347</v>
      </c>
      <c r="BA21" s="78"/>
      <c r="BB21" s="132" t="s">
        <v>3292</v>
      </c>
      <c r="BC21" s="133"/>
      <c r="BD21" s="132" t="str">
        <f>IF(OR(B21="",BC21=""),"",COUNTIF(BC$8:BC21,"√"))</f>
        <v/>
      </c>
      <c r="BE21" s="134" t="str">
        <f t="shared" si="2"/>
        <v/>
      </c>
      <c r="BF21" s="135" t="str">
        <f t="shared" si="12"/>
        <v/>
      </c>
      <c r="BG21" s="135" t="str">
        <f t="shared" si="12"/>
        <v/>
      </c>
      <c r="BH21" s="136"/>
      <c r="BI21" s="136"/>
      <c r="BJ21" s="136"/>
      <c r="BK21" s="136"/>
      <c r="BL21" s="137"/>
      <c r="BM21" s="137"/>
      <c r="BN21" s="77"/>
      <c r="BO21" s="109"/>
      <c r="BP21" s="1010">
        <f t="shared" si="13"/>
        <v>0</v>
      </c>
      <c r="BQ21" s="1011" t="str">
        <f t="shared" si="3"/>
        <v/>
      </c>
      <c r="BR21" s="77"/>
      <c r="BS21" s="134" t="str">
        <f>IF(COUNTIF(BS$7:BS20,G21)&gt;0,"",G21)&amp;""</f>
        <v/>
      </c>
      <c r="BT21" s="138">
        <f t="shared" si="14"/>
        <v>0</v>
      </c>
      <c r="BU21" s="132">
        <f t="shared" si="15"/>
        <v>1</v>
      </c>
      <c r="BV21" s="138">
        <f t="shared" si="16"/>
        <v>0</v>
      </c>
      <c r="BW21" s="132">
        <f t="shared" si="4"/>
        <v>1</v>
      </c>
      <c r="BX21" s="133"/>
      <c r="BY21" s="133"/>
      <c r="BZ21" s="77"/>
    </row>
    <row r="22" s="288" customFormat="1" customHeight="1" spans="1:78">
      <c r="A22" s="123" t="str">
        <f>IF(B22="","",COUNT(A$7:A21)+1)</f>
        <v/>
      </c>
      <c r="B22" s="322" t="s">
        <v>347</v>
      </c>
      <c r="C22" s="323" t="s">
        <v>347</v>
      </c>
      <c r="D22" s="324" t="s">
        <v>347</v>
      </c>
      <c r="E22" s="325" t="s">
        <v>347</v>
      </c>
      <c r="F22" s="325" t="s">
        <v>347</v>
      </c>
      <c r="G22" s="326"/>
      <c r="H22" s="326"/>
      <c r="I22" s="325"/>
      <c r="J22" s="325"/>
      <c r="K22" s="256"/>
      <c r="L22" s="256"/>
      <c r="M22" s="256"/>
      <c r="N22" s="256"/>
      <c r="O22" s="256"/>
      <c r="P22" s="1008" t="str">
        <f t="shared" si="5"/>
        <v/>
      </c>
      <c r="Q22" s="256"/>
      <c r="R22" s="256"/>
      <c r="S22" s="256"/>
      <c r="T22" s="256"/>
      <c r="U22" s="256"/>
      <c r="V22" s="256"/>
      <c r="W22" s="256"/>
      <c r="X22" s="142"/>
      <c r="Y22" s="127" t="str">
        <f>IFERROR(VLOOKUP(X22,参数表!$H$2:$I$50,2,FALSE),"")</f>
        <v/>
      </c>
      <c r="Z22" s="128" t="str">
        <f t="shared" si="6"/>
        <v/>
      </c>
      <c r="AA22" s="128" t="str">
        <f t="shared" si="7"/>
        <v/>
      </c>
      <c r="AB22" s="1009" t="str">
        <f t="shared" si="8"/>
        <v/>
      </c>
      <c r="AC22" s="256"/>
      <c r="AD22" s="256"/>
      <c r="AE22" s="256"/>
      <c r="AF22" s="1008" t="str">
        <f t="shared" si="9"/>
        <v/>
      </c>
      <c r="AG22" s="320" t="str">
        <f t="shared" si="10"/>
        <v/>
      </c>
      <c r="AH22" s="1008" t="str">
        <f t="shared" si="0"/>
        <v/>
      </c>
      <c r="AI22" s="1008" t="str">
        <f t="shared" si="1"/>
        <v/>
      </c>
      <c r="AJ22" s="320" t="str">
        <f t="shared" si="11"/>
        <v/>
      </c>
      <c r="AK22" s="327" t="s">
        <v>347</v>
      </c>
      <c r="BA22" s="78"/>
      <c r="BB22" s="132" t="s">
        <v>3293</v>
      </c>
      <c r="BC22" s="133"/>
      <c r="BD22" s="132" t="str">
        <f>IF(OR(B22="",BC22=""),"",COUNTIF(BC$8:BC22,"√"))</f>
        <v/>
      </c>
      <c r="BE22" s="134" t="str">
        <f t="shared" si="2"/>
        <v/>
      </c>
      <c r="BF22" s="135" t="str">
        <f t="shared" si="12"/>
        <v/>
      </c>
      <c r="BG22" s="135" t="str">
        <f t="shared" si="12"/>
        <v/>
      </c>
      <c r="BH22" s="136"/>
      <c r="BI22" s="136"/>
      <c r="BJ22" s="136"/>
      <c r="BK22" s="136"/>
      <c r="BL22" s="137"/>
      <c r="BM22" s="137"/>
      <c r="BN22" s="77"/>
      <c r="BO22" s="109"/>
      <c r="BP22" s="1010">
        <f t="shared" si="13"/>
        <v>0</v>
      </c>
      <c r="BQ22" s="1011" t="str">
        <f t="shared" si="3"/>
        <v/>
      </c>
      <c r="BR22" s="77"/>
      <c r="BS22" s="134" t="str">
        <f>IF(COUNTIF(BS$7:BS21,G22)&gt;0,"",G22)&amp;""</f>
        <v/>
      </c>
      <c r="BT22" s="138">
        <f t="shared" si="14"/>
        <v>0</v>
      </c>
      <c r="BU22" s="132">
        <f t="shared" si="15"/>
        <v>1</v>
      </c>
      <c r="BV22" s="138">
        <f t="shared" si="16"/>
        <v>0</v>
      </c>
      <c r="BW22" s="132">
        <f t="shared" si="4"/>
        <v>1</v>
      </c>
      <c r="BX22" s="133"/>
      <c r="BY22" s="133"/>
      <c r="BZ22" s="77"/>
    </row>
    <row r="23" s="288" customFormat="1" customHeight="1" spans="1:78">
      <c r="A23" s="123" t="str">
        <f>IF(B23="","",COUNT(A$7:A22)+1)</f>
        <v/>
      </c>
      <c r="B23" s="322" t="s">
        <v>347</v>
      </c>
      <c r="C23" s="323" t="s">
        <v>347</v>
      </c>
      <c r="D23" s="324" t="s">
        <v>347</v>
      </c>
      <c r="E23" s="325" t="s">
        <v>347</v>
      </c>
      <c r="F23" s="325" t="s">
        <v>347</v>
      </c>
      <c r="G23" s="326"/>
      <c r="H23" s="326"/>
      <c r="I23" s="325"/>
      <c r="J23" s="325"/>
      <c r="K23" s="256"/>
      <c r="L23" s="256"/>
      <c r="M23" s="256"/>
      <c r="N23" s="256"/>
      <c r="O23" s="256"/>
      <c r="P23" s="1008" t="str">
        <f t="shared" si="5"/>
        <v/>
      </c>
      <c r="Q23" s="256"/>
      <c r="R23" s="256"/>
      <c r="S23" s="256"/>
      <c r="T23" s="256"/>
      <c r="U23" s="256"/>
      <c r="V23" s="256"/>
      <c r="W23" s="256"/>
      <c r="X23" s="142"/>
      <c r="Y23" s="127" t="str">
        <f>IFERROR(VLOOKUP(X23,参数表!$H$2:$I$50,2,FALSE),"")</f>
        <v/>
      </c>
      <c r="Z23" s="128" t="str">
        <f t="shared" si="6"/>
        <v/>
      </c>
      <c r="AA23" s="128" t="str">
        <f t="shared" si="7"/>
        <v/>
      </c>
      <c r="AB23" s="1009" t="str">
        <f t="shared" si="8"/>
        <v/>
      </c>
      <c r="AC23" s="256"/>
      <c r="AD23" s="256"/>
      <c r="AE23" s="256"/>
      <c r="AF23" s="1008" t="str">
        <f t="shared" si="9"/>
        <v/>
      </c>
      <c r="AG23" s="320" t="str">
        <f t="shared" si="10"/>
        <v/>
      </c>
      <c r="AH23" s="1008" t="str">
        <f t="shared" si="0"/>
        <v/>
      </c>
      <c r="AI23" s="1008" t="str">
        <f t="shared" si="1"/>
        <v/>
      </c>
      <c r="AJ23" s="320" t="str">
        <f t="shared" si="11"/>
        <v/>
      </c>
      <c r="AK23" s="327" t="s">
        <v>347</v>
      </c>
      <c r="BA23" s="78"/>
      <c r="BB23" s="132" t="s">
        <v>3294</v>
      </c>
      <c r="BC23" s="133"/>
      <c r="BD23" s="132" t="str">
        <f>IF(OR(B23="",BC23=""),"",COUNTIF(BC$8:BC23,"√"))</f>
        <v/>
      </c>
      <c r="BE23" s="134" t="str">
        <f t="shared" si="2"/>
        <v/>
      </c>
      <c r="BF23" s="135" t="str">
        <f t="shared" si="12"/>
        <v/>
      </c>
      <c r="BG23" s="135" t="str">
        <f t="shared" si="12"/>
        <v/>
      </c>
      <c r="BH23" s="136"/>
      <c r="BI23" s="136"/>
      <c r="BJ23" s="136"/>
      <c r="BK23" s="136"/>
      <c r="BL23" s="137"/>
      <c r="BM23" s="137"/>
      <c r="BN23" s="77"/>
      <c r="BO23" s="109"/>
      <c r="BP23" s="1010">
        <f t="shared" si="13"/>
        <v>0</v>
      </c>
      <c r="BQ23" s="1011" t="str">
        <f t="shared" si="3"/>
        <v/>
      </c>
      <c r="BR23" s="77"/>
      <c r="BS23" s="134" t="str">
        <f>IF(COUNTIF(BS$7:BS22,G23)&gt;0,"",G23)&amp;""</f>
        <v/>
      </c>
      <c r="BT23" s="138">
        <f t="shared" si="14"/>
        <v>0</v>
      </c>
      <c r="BU23" s="132">
        <f t="shared" si="15"/>
        <v>1</v>
      </c>
      <c r="BV23" s="138">
        <f t="shared" si="16"/>
        <v>0</v>
      </c>
      <c r="BW23" s="132">
        <f t="shared" si="4"/>
        <v>1</v>
      </c>
      <c r="BX23" s="133"/>
      <c r="BY23" s="133"/>
      <c r="BZ23" s="77"/>
    </row>
    <row r="24" s="288" customFormat="1" customHeight="1" spans="1:78">
      <c r="A24" s="123" t="str">
        <f>IF(B24="","",COUNT(A$7:A23)+1)</f>
        <v/>
      </c>
      <c r="B24" s="322" t="s">
        <v>347</v>
      </c>
      <c r="C24" s="323" t="s">
        <v>347</v>
      </c>
      <c r="D24" s="324" t="s">
        <v>347</v>
      </c>
      <c r="E24" s="325" t="s">
        <v>347</v>
      </c>
      <c r="F24" s="325" t="s">
        <v>347</v>
      </c>
      <c r="G24" s="326"/>
      <c r="H24" s="326"/>
      <c r="I24" s="325"/>
      <c r="J24" s="325"/>
      <c r="K24" s="256"/>
      <c r="L24" s="256"/>
      <c r="M24" s="256"/>
      <c r="N24" s="256"/>
      <c r="O24" s="256"/>
      <c r="P24" s="1008" t="str">
        <f t="shared" si="5"/>
        <v/>
      </c>
      <c r="Q24" s="256"/>
      <c r="R24" s="256"/>
      <c r="S24" s="256"/>
      <c r="T24" s="256"/>
      <c r="U24" s="256"/>
      <c r="V24" s="256"/>
      <c r="W24" s="256"/>
      <c r="X24" s="142"/>
      <c r="Y24" s="127" t="str">
        <f>IFERROR(VLOOKUP(X24,参数表!$H$2:$I$50,2,FALSE),"")</f>
        <v/>
      </c>
      <c r="Z24" s="128" t="str">
        <f t="shared" si="6"/>
        <v/>
      </c>
      <c r="AA24" s="128" t="str">
        <f t="shared" si="7"/>
        <v/>
      </c>
      <c r="AB24" s="1009" t="str">
        <f t="shared" si="8"/>
        <v/>
      </c>
      <c r="AC24" s="256"/>
      <c r="AD24" s="256"/>
      <c r="AE24" s="256"/>
      <c r="AF24" s="1008" t="str">
        <f t="shared" si="9"/>
        <v/>
      </c>
      <c r="AG24" s="320" t="str">
        <f t="shared" si="10"/>
        <v/>
      </c>
      <c r="AH24" s="1008" t="str">
        <f t="shared" si="0"/>
        <v/>
      </c>
      <c r="AI24" s="1008" t="str">
        <f t="shared" si="1"/>
        <v/>
      </c>
      <c r="AJ24" s="320" t="str">
        <f t="shared" si="11"/>
        <v/>
      </c>
      <c r="AK24" s="327" t="s">
        <v>347</v>
      </c>
      <c r="BA24" s="78"/>
      <c r="BB24" s="132" t="s">
        <v>3295</v>
      </c>
      <c r="BC24" s="133"/>
      <c r="BD24" s="132" t="str">
        <f>IF(OR(B24="",BC24=""),"",COUNTIF(BC$8:BC24,"√"))</f>
        <v/>
      </c>
      <c r="BE24" s="134" t="str">
        <f t="shared" si="2"/>
        <v/>
      </c>
      <c r="BF24" s="135" t="str">
        <f t="shared" si="12"/>
        <v/>
      </c>
      <c r="BG24" s="135" t="str">
        <f t="shared" si="12"/>
        <v/>
      </c>
      <c r="BH24" s="136"/>
      <c r="BI24" s="136"/>
      <c r="BJ24" s="136"/>
      <c r="BK24" s="136"/>
      <c r="BL24" s="137"/>
      <c r="BM24" s="137"/>
      <c r="BN24" s="77"/>
      <c r="BO24" s="109"/>
      <c r="BP24" s="1010">
        <f t="shared" si="13"/>
        <v>0</v>
      </c>
      <c r="BQ24" s="1011" t="str">
        <f t="shared" si="3"/>
        <v/>
      </c>
      <c r="BR24" s="77"/>
      <c r="BS24" s="134" t="str">
        <f>IF(COUNTIF(BS$7:BS23,G24)&gt;0,"",G24)&amp;""</f>
        <v/>
      </c>
      <c r="BT24" s="138">
        <f t="shared" si="14"/>
        <v>0</v>
      </c>
      <c r="BU24" s="132">
        <f t="shared" si="15"/>
        <v>1</v>
      </c>
      <c r="BV24" s="138">
        <f t="shared" si="16"/>
        <v>0</v>
      </c>
      <c r="BW24" s="132">
        <f t="shared" si="4"/>
        <v>1</v>
      </c>
      <c r="BX24" s="133"/>
      <c r="BY24" s="133"/>
      <c r="BZ24" s="77"/>
    </row>
    <row r="25" s="288" customFormat="1" customHeight="1" spans="1:78">
      <c r="A25" s="123" t="str">
        <f>IF(B25="","",COUNT(A$7:A24)+1)</f>
        <v/>
      </c>
      <c r="B25" s="315"/>
      <c r="C25" s="316"/>
      <c r="D25" s="317"/>
      <c r="E25" s="318"/>
      <c r="F25" s="318"/>
      <c r="G25" s="319"/>
      <c r="H25" s="319"/>
      <c r="I25" s="318"/>
      <c r="J25" s="318"/>
      <c r="K25" s="320"/>
      <c r="L25" s="320"/>
      <c r="M25" s="320"/>
      <c r="N25" s="320"/>
      <c r="O25" s="320"/>
      <c r="P25" s="1008" t="str">
        <f t="shared" si="5"/>
        <v/>
      </c>
      <c r="Q25" s="320"/>
      <c r="R25" s="320"/>
      <c r="S25" s="320"/>
      <c r="T25" s="320"/>
      <c r="U25" s="320"/>
      <c r="V25" s="320"/>
      <c r="W25" s="320"/>
      <c r="X25" s="127"/>
      <c r="Y25" s="127" t="str">
        <f>IFERROR(VLOOKUP(X25,参数表!$H$2:$I$50,2,FALSE),"")</f>
        <v/>
      </c>
      <c r="Z25" s="128" t="str">
        <f t="shared" si="6"/>
        <v/>
      </c>
      <c r="AA25" s="128" t="str">
        <f t="shared" si="7"/>
        <v/>
      </c>
      <c r="AB25" s="1009" t="str">
        <f t="shared" si="8"/>
        <v/>
      </c>
      <c r="AC25" s="320"/>
      <c r="AD25" s="320"/>
      <c r="AE25" s="320"/>
      <c r="AF25" s="1008" t="str">
        <f t="shared" si="9"/>
        <v/>
      </c>
      <c r="AG25" s="320" t="str">
        <f t="shared" si="10"/>
        <v/>
      </c>
      <c r="AH25" s="1008" t="str">
        <f t="shared" si="0"/>
        <v/>
      </c>
      <c r="AI25" s="1008" t="str">
        <f t="shared" si="1"/>
        <v/>
      </c>
      <c r="AJ25" s="320" t="str">
        <f t="shared" si="11"/>
        <v/>
      </c>
      <c r="AK25" s="321"/>
      <c r="BA25" s="78"/>
      <c r="BB25" s="132" t="s">
        <v>3296</v>
      </c>
      <c r="BC25" s="133"/>
      <c r="BD25" s="132" t="str">
        <f>IF(OR(B25="",BC25=""),"",COUNTIF(BC$8:BC25,"√"))</f>
        <v/>
      </c>
      <c r="BE25" s="134" t="str">
        <f t="shared" si="2"/>
        <v/>
      </c>
      <c r="BF25" s="135" t="str">
        <f t="shared" si="12"/>
        <v/>
      </c>
      <c r="BG25" s="135" t="str">
        <f t="shared" si="12"/>
        <v/>
      </c>
      <c r="BH25" s="136"/>
      <c r="BI25" s="136"/>
      <c r="BJ25" s="136"/>
      <c r="BK25" s="136"/>
      <c r="BL25" s="137"/>
      <c r="BM25" s="137"/>
      <c r="BN25" s="77"/>
      <c r="BO25" s="109"/>
      <c r="BP25" s="1010">
        <f t="shared" si="13"/>
        <v>0</v>
      </c>
      <c r="BQ25" s="1011" t="str">
        <f t="shared" si="3"/>
        <v/>
      </c>
      <c r="BR25" s="77"/>
      <c r="BS25" s="134" t="str">
        <f>IF(COUNTIF(BS$7:BS24,G25)&gt;0,"",G25)&amp;""</f>
        <v/>
      </c>
      <c r="BT25" s="138">
        <f t="shared" si="14"/>
        <v>0</v>
      </c>
      <c r="BU25" s="132">
        <f t="shared" si="15"/>
        <v>1</v>
      </c>
      <c r="BV25" s="138">
        <f t="shared" si="16"/>
        <v>0</v>
      </c>
      <c r="BW25" s="132">
        <f t="shared" si="4"/>
        <v>1</v>
      </c>
      <c r="BX25" s="133"/>
      <c r="BY25" s="133"/>
      <c r="BZ25" s="77"/>
    </row>
    <row r="26" s="289" customFormat="1" customHeight="1" spans="1:78">
      <c r="A26" s="1012" t="s">
        <v>1988</v>
      </c>
      <c r="B26" s="1013"/>
      <c r="C26" s="1013"/>
      <c r="D26" s="1014"/>
      <c r="E26" s="328" t="s">
        <v>347</v>
      </c>
      <c r="F26" s="328" t="s">
        <v>347</v>
      </c>
      <c r="G26" s="328"/>
      <c r="H26" s="328"/>
      <c r="I26" s="328"/>
      <c r="J26" s="328"/>
      <c r="K26" s="331">
        <f t="shared" ref="K26:W26" si="18">SUM(K8:K25)</f>
        <v>0</v>
      </c>
      <c r="L26" s="331">
        <f t="shared" si="18"/>
        <v>0</v>
      </c>
      <c r="M26" s="331">
        <f t="shared" si="18"/>
        <v>0</v>
      </c>
      <c r="N26" s="331">
        <f t="shared" si="18"/>
        <v>0</v>
      </c>
      <c r="O26" s="331">
        <f t="shared" si="18"/>
        <v>0</v>
      </c>
      <c r="P26" s="331">
        <f t="shared" si="18"/>
        <v>0</v>
      </c>
      <c r="Q26" s="331">
        <f t="shared" si="18"/>
        <v>0</v>
      </c>
      <c r="R26" s="331">
        <f t="shared" si="18"/>
        <v>0</v>
      </c>
      <c r="S26" s="331">
        <f t="shared" si="18"/>
        <v>0</v>
      </c>
      <c r="T26" s="331">
        <f t="shared" si="18"/>
        <v>0</v>
      </c>
      <c r="U26" s="331">
        <f t="shared" si="18"/>
        <v>0</v>
      </c>
      <c r="V26" s="331">
        <f t="shared" si="18"/>
        <v>0</v>
      </c>
      <c r="W26" s="331">
        <f t="shared" si="18"/>
        <v>0</v>
      </c>
      <c r="X26" s="331"/>
      <c r="Y26" s="331"/>
      <c r="Z26" s="331"/>
      <c r="AA26" s="331"/>
      <c r="AB26" s="331">
        <f>SUM(AB8:AB25)</f>
        <v>0</v>
      </c>
      <c r="AC26" s="331">
        <f>SUM(AC8:AC25)</f>
        <v>0</v>
      </c>
      <c r="AD26" s="331"/>
      <c r="AE26" s="331"/>
      <c r="AF26" s="331">
        <f>SUM(AF8:AF25)</f>
        <v>0</v>
      </c>
      <c r="AG26" s="331">
        <f>SUM(AG8:AG25)</f>
        <v>0</v>
      </c>
      <c r="AH26" s="331">
        <f>SUM(AH8:AH25)</f>
        <v>0</v>
      </c>
      <c r="AI26" s="331">
        <f>SUM(AI8:AI25)</f>
        <v>0</v>
      </c>
      <c r="AJ26" s="331" t="str">
        <f t="shared" si="11"/>
        <v/>
      </c>
      <c r="AK26" s="332" t="s">
        <v>347</v>
      </c>
      <c r="BH26" s="109"/>
      <c r="BI26" s="109"/>
      <c r="BJ26" s="110"/>
      <c r="BK26" s="110"/>
      <c r="BL26" s="110"/>
      <c r="BM26" s="110"/>
      <c r="BN26" s="111"/>
      <c r="BO26" s="110"/>
      <c r="BP26" s="1015"/>
      <c r="BQ26" s="1015"/>
      <c r="BR26" s="111"/>
      <c r="BS26" s="119"/>
      <c r="BT26" s="77"/>
      <c r="BU26" s="77"/>
      <c r="BV26" s="77"/>
      <c r="BW26" s="119"/>
      <c r="BX26" s="119"/>
      <c r="BY26" s="119"/>
      <c r="BZ26" s="111"/>
    </row>
    <row r="27" s="288" customFormat="1" customHeight="1" spans="1:78">
      <c r="A27" s="1016" t="s">
        <v>1281</v>
      </c>
      <c r="B27" s="1017"/>
      <c r="C27" s="1017"/>
      <c r="D27" s="1018"/>
      <c r="E27" s="318" t="s">
        <v>347</v>
      </c>
      <c r="F27" s="318" t="s">
        <v>347</v>
      </c>
      <c r="G27" s="318"/>
      <c r="H27" s="318"/>
      <c r="I27" s="318"/>
      <c r="J27" s="318"/>
      <c r="K27" s="320"/>
      <c r="L27" s="320"/>
      <c r="M27" s="320"/>
      <c r="N27" s="320"/>
      <c r="O27" s="320"/>
      <c r="P27" s="320"/>
      <c r="Q27" s="320"/>
      <c r="R27" s="320"/>
      <c r="S27" s="320"/>
      <c r="T27" s="320"/>
      <c r="U27" s="320"/>
      <c r="V27" s="320"/>
      <c r="W27" s="320"/>
      <c r="X27" s="320"/>
      <c r="Y27" s="320"/>
      <c r="Z27" s="320"/>
      <c r="AA27" s="320"/>
      <c r="AB27" s="320">
        <f>AC26</f>
        <v>0</v>
      </c>
      <c r="AC27" s="320"/>
      <c r="AD27" s="320"/>
      <c r="AE27" s="320"/>
      <c r="AF27" s="320">
        <f>AG26</f>
        <v>0</v>
      </c>
      <c r="AG27" s="320"/>
      <c r="AH27" s="320">
        <v>0</v>
      </c>
      <c r="AI27" s="320"/>
      <c r="AJ27" s="320" t="str">
        <f t="shared" si="11"/>
        <v/>
      </c>
      <c r="AK27" s="321" t="s">
        <v>347</v>
      </c>
      <c r="BH27" s="109"/>
      <c r="BI27" s="109"/>
      <c r="BJ27" s="109"/>
      <c r="BK27" s="109"/>
      <c r="BL27" s="110"/>
      <c r="BM27" s="110"/>
      <c r="BN27" s="77"/>
      <c r="BO27" s="110"/>
      <c r="BP27" s="1015"/>
      <c r="BQ27" s="1015"/>
      <c r="BR27" s="77"/>
      <c r="BS27" s="78"/>
      <c r="BT27" s="77"/>
      <c r="BU27" s="78"/>
      <c r="BV27" s="78"/>
      <c r="BW27" s="78"/>
      <c r="BX27" s="78"/>
      <c r="BY27" s="78"/>
      <c r="BZ27" s="77"/>
    </row>
    <row r="28" s="288" customFormat="1" customHeight="1" spans="1:78">
      <c r="A28" s="1016" t="s">
        <v>3272</v>
      </c>
      <c r="B28" s="1019"/>
      <c r="C28" s="1019"/>
      <c r="D28" s="1020"/>
      <c r="E28" s="318"/>
      <c r="F28" s="318"/>
      <c r="G28" s="318"/>
      <c r="H28" s="318"/>
      <c r="I28" s="318"/>
      <c r="J28" s="318"/>
      <c r="K28" s="320"/>
      <c r="L28" s="320"/>
      <c r="M28" s="320"/>
      <c r="N28" s="320"/>
      <c r="O28" s="320"/>
      <c r="P28" s="320"/>
      <c r="Q28" s="320"/>
      <c r="R28" s="320"/>
      <c r="S28" s="320"/>
      <c r="T28" s="320"/>
      <c r="U28" s="320"/>
      <c r="V28" s="320"/>
      <c r="W28" s="320"/>
      <c r="X28" s="320"/>
      <c r="Y28" s="320"/>
      <c r="Z28" s="320"/>
      <c r="AA28" s="320"/>
      <c r="AB28" s="320"/>
      <c r="AC28" s="320"/>
      <c r="AD28" s="320"/>
      <c r="AE28" s="320"/>
      <c r="AF28" s="320"/>
      <c r="AG28" s="320"/>
      <c r="AH28" s="320">
        <f>IF(BB$3="是",AI26,0)</f>
        <v>0</v>
      </c>
      <c r="AI28" s="320"/>
      <c r="AJ28" s="320" t="str">
        <f t="shared" si="11"/>
        <v/>
      </c>
      <c r="AK28" s="321"/>
      <c r="BH28" s="109"/>
      <c r="BI28" s="109"/>
      <c r="BJ28" s="109"/>
      <c r="BK28" s="109"/>
      <c r="BL28" s="110"/>
      <c r="BM28" s="110"/>
      <c r="BN28" s="77"/>
      <c r="BO28" s="110"/>
      <c r="BP28" s="1015"/>
      <c r="BQ28" s="1015"/>
      <c r="BR28" s="77"/>
      <c r="BS28" s="78"/>
      <c r="BT28" s="77"/>
      <c r="BU28" s="78"/>
      <c r="BV28" s="78"/>
      <c r="BW28" s="78"/>
      <c r="BX28" s="78"/>
      <c r="BY28" s="78"/>
      <c r="BZ28" s="77"/>
    </row>
    <row r="29" s="289" customFormat="1" customHeight="1" spans="1:78">
      <c r="A29" s="1012" t="s">
        <v>3297</v>
      </c>
      <c r="B29" s="1013"/>
      <c r="C29" s="1013"/>
      <c r="D29" s="1014"/>
      <c r="E29" s="332"/>
      <c r="F29" s="332"/>
      <c r="G29" s="332"/>
      <c r="H29" s="332"/>
      <c r="I29" s="332"/>
      <c r="J29" s="332"/>
      <c r="K29" s="331"/>
      <c r="L29" s="331"/>
      <c r="M29" s="331"/>
      <c r="N29" s="331"/>
      <c r="O29" s="331"/>
      <c r="P29" s="331"/>
      <c r="Q29" s="331"/>
      <c r="R29" s="331"/>
      <c r="S29" s="331"/>
      <c r="T29" s="331"/>
      <c r="U29" s="331"/>
      <c r="V29" s="331"/>
      <c r="W29" s="331"/>
      <c r="X29" s="331"/>
      <c r="Y29" s="331"/>
      <c r="Z29" s="331"/>
      <c r="AA29" s="331"/>
      <c r="AB29" s="331">
        <f>AB26-AB27</f>
        <v>0</v>
      </c>
      <c r="AC29" s="331"/>
      <c r="AD29" s="331"/>
      <c r="AE29" s="331"/>
      <c r="AF29" s="331">
        <f>AF26-AF27</f>
        <v>0</v>
      </c>
      <c r="AG29" s="331"/>
      <c r="AH29" s="331">
        <f>AH26-AH28</f>
        <v>0</v>
      </c>
      <c r="AI29" s="331"/>
      <c r="AJ29" s="331" t="str">
        <f t="shared" si="11"/>
        <v/>
      </c>
      <c r="AK29" s="332"/>
      <c r="BH29" s="109"/>
      <c r="BI29" s="109"/>
      <c r="BJ29" s="109"/>
      <c r="BK29" s="109"/>
      <c r="BL29" s="110"/>
      <c r="BM29" s="110"/>
      <c r="BN29" s="77"/>
      <c r="BO29" s="110"/>
      <c r="BP29" s="1015"/>
      <c r="BQ29" s="1015"/>
      <c r="BR29" s="77"/>
      <c r="BS29" s="78"/>
      <c r="BT29" s="77"/>
      <c r="BU29" s="78"/>
      <c r="BV29" s="78"/>
      <c r="BW29" s="78"/>
      <c r="BX29" s="78"/>
      <c r="BY29" s="78"/>
      <c r="BZ29" s="77"/>
    </row>
    <row r="30" customHeight="1" spans="1:78">
      <c r="A30" s="299" t="str">
        <f>参数表!F$6</f>
        <v>产权持有单位填表人：贾广东</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333"/>
      <c r="AC30" s="333"/>
      <c r="AD30" s="333"/>
      <c r="AE30" s="333"/>
      <c r="AF30" s="333"/>
      <c r="AG30" s="333"/>
      <c r="AH30" s="107" t="str">
        <f>预付账款!Q31</f>
        <v>评估人员：栗祥宁</v>
      </c>
      <c r="AI30" s="107"/>
      <c r="AJ30" s="107"/>
      <c r="AK30" s="107"/>
      <c r="BC30" s="229"/>
      <c r="BD30" s="229"/>
      <c r="BE30" s="229"/>
      <c r="BH30" s="109"/>
      <c r="BI30" s="109"/>
      <c r="BJ30" s="109"/>
      <c r="BK30" s="109"/>
    </row>
    <row r="31" customHeight="1" spans="1:78">
      <c r="A31" s="334" t="str">
        <f>参数表!F$7</f>
        <v>填表日期：2025年9月20日</v>
      </c>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BC31" s="229"/>
      <c r="BD31" s="229"/>
      <c r="BE31" s="229"/>
      <c r="BH31" s="109"/>
      <c r="BI31" s="109"/>
      <c r="BJ31" s="109"/>
      <c r="BK31" s="109"/>
    </row>
    <row r="32" hidden="1" customHeight="1" outlineLevel="1" spans="1:78">
      <c r="B32" s="154" t="s">
        <v>1673</v>
      </c>
      <c r="AB32" s="335">
        <f>SUMIF($BA8:$BA25,$BA32,AB8:AB25)</f>
        <v>0</v>
      </c>
      <c r="AC32" s="335">
        <f>SUMIF($BA8:$BA25,$BA32,AC8:AC25)</f>
        <v>0</v>
      </c>
      <c r="AD32" s="336"/>
      <c r="AE32" s="336"/>
      <c r="AF32" s="335">
        <f>SUMIF($BA8:$BA25,$BA32,AF8:AF25)</f>
        <v>0</v>
      </c>
      <c r="AG32" s="335">
        <f>SUMIF($BA8:$BA25,$BA32,AG8:AG25)</f>
        <v>0</v>
      </c>
      <c r="AH32" s="335">
        <f>SUMIF($BA8:$BA25,$BA32,AH8:AH25)</f>
        <v>0</v>
      </c>
      <c r="AI32" s="335">
        <f>SUMIF($BA8:$BA25,$BA32,AI8:AI25)</f>
        <v>0</v>
      </c>
      <c r="BA32" s="161" t="s">
        <v>1674</v>
      </c>
      <c r="BC32" s="229"/>
      <c r="BD32" s="229"/>
      <c r="BE32" s="229"/>
      <c r="BH32" s="1021" t="s">
        <v>3133</v>
      </c>
      <c r="BI32" s="1021" t="s">
        <v>3133</v>
      </c>
      <c r="BJ32" s="1021" t="s">
        <v>3133</v>
      </c>
      <c r="BK32" s="1021" t="s">
        <v>3133</v>
      </c>
      <c r="BO32" s="161" t="s">
        <v>1674</v>
      </c>
    </row>
    <row r="33" hidden="1" customHeight="1" outlineLevel="1" spans="2:67">
      <c r="B33" s="154" t="s">
        <v>1676</v>
      </c>
      <c r="AB33" s="335">
        <f>AB26-AB32</f>
        <v>0</v>
      </c>
      <c r="AC33" s="335">
        <f>AC26-AC32</f>
        <v>0</v>
      </c>
      <c r="AD33" s="336"/>
      <c r="AE33" s="336"/>
      <c r="AF33" s="335">
        <f>AF26-AF32</f>
        <v>0</v>
      </c>
      <c r="AG33" s="335">
        <f>AG26-AG32</f>
        <v>0</v>
      </c>
      <c r="AH33" s="335">
        <f>AH26-AH32</f>
        <v>0</v>
      </c>
      <c r="AI33" s="335">
        <f>AI26-AI32</f>
        <v>0</v>
      </c>
      <c r="BA33" s="161" t="s">
        <v>1677</v>
      </c>
      <c r="BC33" s="229"/>
      <c r="BD33" s="229"/>
      <c r="BE33" s="229"/>
      <c r="BH33" s="1021" t="s">
        <v>3134</v>
      </c>
      <c r="BI33" s="1021" t="s">
        <v>3134</v>
      </c>
      <c r="BJ33" s="1021" t="s">
        <v>3134</v>
      </c>
      <c r="BK33" s="1021" t="s">
        <v>3134</v>
      </c>
      <c r="BO33" s="161" t="s">
        <v>1677</v>
      </c>
    </row>
    <row r="34" customHeight="1" collapsed="1" spans="2:67">
      <c r="BC34" s="229"/>
      <c r="BD34" s="229"/>
      <c r="BE34" s="229"/>
      <c r="BH34" s="109"/>
      <c r="BI34" s="109"/>
      <c r="BJ34" s="109"/>
      <c r="BK34" s="109"/>
    </row>
    <row r="35" customHeight="1" spans="2:67">
      <c r="BH35" s="109"/>
      <c r="BI35" s="109"/>
      <c r="BJ35" s="109"/>
      <c r="BK35" s="109"/>
    </row>
    <row r="36" customHeight="1" spans="2:67">
      <c r="BH36" s="109"/>
      <c r="BI36" s="109"/>
      <c r="BJ36" s="109"/>
      <c r="BK36" s="109"/>
    </row>
  </sheetData>
  <sheetProtection autoFilter="0"/>
  <mergeCells count="49">
    <mergeCell ref="A2:AK2"/>
    <mergeCell ref="A3:AK3"/>
    <mergeCell ref="K6:P6"/>
    <mergeCell ref="X6:AA6"/>
    <mergeCell ref="BX8:BZ8"/>
    <mergeCell ref="BX9:BZ9"/>
    <mergeCell ref="BY15:BZ15"/>
    <mergeCell ref="A26:D26"/>
    <mergeCell ref="A27:D27"/>
    <mergeCell ref="A28:D28"/>
    <mergeCell ref="A29:D29"/>
    <mergeCell ref="A6:A7"/>
    <mergeCell ref="B6:B7"/>
    <mergeCell ref="C6:C7"/>
    <mergeCell ref="D6:D7"/>
    <mergeCell ref="E6:E7"/>
    <mergeCell ref="F6:F7"/>
    <mergeCell ref="G6:G7"/>
    <mergeCell ref="H6:H7"/>
    <mergeCell ref="I6:I7"/>
    <mergeCell ref="J6:J7"/>
    <mergeCell ref="Q6:Q7"/>
    <mergeCell ref="R6:R7"/>
    <mergeCell ref="S6:S7"/>
    <mergeCell ref="T6:T7"/>
    <mergeCell ref="U6:U7"/>
    <mergeCell ref="V6:V7"/>
    <mergeCell ref="W6:W7"/>
    <mergeCell ref="AB6:AB7"/>
    <mergeCell ref="AC6:AC7"/>
    <mergeCell ref="AD6:AD7"/>
    <mergeCell ref="AE6:AE7"/>
    <mergeCell ref="AF6:AF7"/>
    <mergeCell ref="AG6:AG7"/>
    <mergeCell ref="AH6:AH7"/>
    <mergeCell ref="AI6:AI7"/>
    <mergeCell ref="AJ6:AJ7"/>
    <mergeCell ref="AK6:AK7"/>
    <mergeCell ref="BF6:BF7"/>
    <mergeCell ref="BG6:BG7"/>
    <mergeCell ref="BH6:BH7"/>
    <mergeCell ref="BI6:BI7"/>
    <mergeCell ref="BJ6:BJ7"/>
    <mergeCell ref="BK6:BK7"/>
    <mergeCell ref="BL6:BL7"/>
    <mergeCell ref="BM6:BM7"/>
    <mergeCell ref="BO6:BO7"/>
    <mergeCell ref="BP6:BP7"/>
    <mergeCell ref="BQ6:BQ7"/>
  </mergeCells>
  <conditionalFormatting sqref="BL8:BL25">
    <cfRule type="expression" dxfId="5" priority="1" stopIfTrue="1">
      <formula>AND(BK8="无",BL8="")</formula>
    </cfRule>
  </conditionalFormatting>
  <conditionalFormatting sqref="BF8:BG25">
    <cfRule type="containsText" dxfId="6" priority="3" stopIfTrue="1" operator="between" text="出错">
      <formula>NOT(ISERROR(SEARCH("出错",BF8)))</formula>
    </cfRule>
  </conditionalFormatting>
  <conditionalFormatting sqref="BH8:BK25">
    <cfRule type="expression" dxfId="5" priority="2" stopIfTrue="1">
      <formula>AND($B8&lt;&gt;"",BH8="")</formula>
    </cfRule>
  </conditionalFormatting>
  <dataValidations count="6">
    <dataValidation allowBlank="1" showInputMessage="1" showErrorMessage="1" prompt="①发生日期：指利息结算日，填写到日，如2012年12月31日；②利息所属期间：如2012.10.1-2012.12.31" sqref="A2"/>
    <dataValidation type="list" allowBlank="1" showInputMessage="1" showErrorMessage="1" sqref="X8:X25">
      <formula1>OFFSET(参数表!$H$2:$H$50,,,COUNTA(参数表!$H$2:$H$50))</formula1>
    </dataValidation>
    <dataValidation type="list" allowBlank="1" showInputMessage="1" showErrorMessage="1" sqref="BA8:BA25 BA32:BA33 BO32:BO33">
      <formula1>"是,否"</formula1>
    </dataValidation>
    <dataValidation type="list" allowBlank="1" showInputMessage="1" showErrorMessage="1" sqref="BC8:BC25">
      <formula1>"  ,√"</formula1>
    </dataValidation>
    <dataValidation type="list" allowBlank="1" showInputMessage="1" showErrorMessage="1" sqref="BO8:BO25">
      <formula1>$BO$32:$BO$33</formula1>
    </dataValidation>
    <dataValidation type="list" allowBlank="1" showInputMessage="1" showErrorMessage="1" sqref="BH8:BK25">
      <formula1>BH$32:BH$33</formula1>
    </dataValidation>
  </dataValidations>
  <hyperlinks>
    <hyperlink ref="A1" location="索引目录!E27" display="返回索引页"/>
    <hyperlink ref="B1" location="存货汇总!B15" display="返回"/>
  </hyperlinks>
  <printOptions horizontalCentered="1"/>
  <pageMargins left="0.393700787401575" right="0.393700787401575" top="0.984251968503937" bottom="0.393700787401575" header="0.984251968503937" footer="0.393700787401575"/>
  <pageSetup paperSize="9" orientation="landscape" blackAndWhite="1"/>
  <headerFooter alignWithMargins="0">
    <oddHeader>&amp;R&amp;"宋体,常规"&amp;11共&amp;N页，第&amp;P页&amp;"Times New Roman,常规"</oddHead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5"/>
  <dimension ref="A1:BX41"/>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3.2"/>
  <cols>
    <col min="1" max="1" width="4.6" style="74" customWidth="1"/>
    <col min="2" max="2" width="20.7" style="75" customWidth="1"/>
    <col min="3" max="4" width="8.7" style="75" customWidth="1"/>
    <col min="5" max="5" width="5.7" style="75" customWidth="1"/>
    <col min="6" max="6" width="6.1" style="75" customWidth="1"/>
    <col min="7" max="8" width="4.6" style="75" customWidth="1" outlineLevel="1"/>
    <col min="9" max="9" width="6.1" style="75" customWidth="1" outlineLevel="1"/>
    <col min="10" max="10" width="12.7" style="75" customWidth="1" outlineLevel="1"/>
    <col min="11" max="11" width="8.7" style="75" customWidth="1" outlineLevel="1"/>
    <col min="12" max="13" width="12.7" style="76" customWidth="1" outlineLevel="1"/>
    <col min="14" max="14" width="14.6" style="75" customWidth="1"/>
    <col min="15" max="15" width="8.7" style="75" customWidth="1"/>
    <col min="16" max="16" width="14.6" style="75" customWidth="1"/>
    <col min="17" max="17" width="8.7" style="75" customWidth="1"/>
    <col min="18" max="19" width="4.7" style="75" customWidth="1"/>
    <col min="20" max="20" width="8.6" style="75" customWidth="1"/>
    <col min="21" max="52" width="9" style="75" hidden="1" customWidth="1" outlineLevel="1"/>
    <col min="53" max="53" width="14.7" style="75" customWidth="1" collapsed="1"/>
    <col min="54" max="54" width="6.7" style="75" customWidth="1"/>
    <col min="55" max="56" width="5.1" style="165" customWidth="1"/>
    <col min="57" max="57" width="8.7" style="165" customWidth="1"/>
    <col min="58" max="59" width="9.6" style="75" customWidth="1"/>
    <col min="60" max="62" width="5" style="75" customWidth="1"/>
    <col min="63" max="63" width="5.1" style="75" customWidth="1"/>
    <col min="64" max="64" width="6.7" style="75" customWidth="1"/>
    <col min="65" max="65" width="10.3" style="75" customWidth="1"/>
    <col min="66" max="66" width="8.7" style="75" customWidth="1"/>
    <col min="67" max="67" width="7.1" style="75" customWidth="1"/>
    <col min="68" max="68" width="1.6" style="77" customWidth="1"/>
    <col min="69" max="69" width="10.6" style="78" customWidth="1"/>
    <col min="70" max="70" width="10.6" style="77" customWidth="1"/>
    <col min="71" max="71" width="4.6" style="78" customWidth="1"/>
    <col min="72" max="72" width="10.6" style="78" customWidth="1"/>
    <col min="73" max="74" width="4.6" style="78" customWidth="1"/>
    <col min="75" max="75" width="10.6" style="78" customWidth="1"/>
    <col min="76" max="76" width="5" style="77" customWidth="1"/>
    <col min="77" max="16384" width="9" style="75"/>
  </cols>
  <sheetData>
    <row r="1" s="86" customFormat="1" ht="13.8" spans="1:76">
      <c r="A1" s="203" t="s">
        <v>1591</v>
      </c>
      <c r="B1" s="204" t="s">
        <v>1592</v>
      </c>
      <c r="C1" s="82"/>
      <c r="D1" s="82"/>
      <c r="E1" s="82"/>
      <c r="F1" s="82"/>
      <c r="G1" s="82"/>
      <c r="H1" s="82"/>
      <c r="I1" s="82"/>
      <c r="J1" s="82"/>
      <c r="K1" s="82"/>
      <c r="L1" s="205"/>
      <c r="M1" s="205"/>
      <c r="N1" s="82"/>
      <c r="O1" s="82"/>
      <c r="P1" s="82"/>
      <c r="Q1" s="82"/>
      <c r="R1" s="82"/>
      <c r="S1" s="82"/>
      <c r="T1" s="82"/>
      <c r="BA1" s="84" t="str">
        <f>参数表!BA1</f>
        <v>注意：补充特殊事项、作价等均从BA列开始填写</v>
      </c>
      <c r="BB1" s="85"/>
      <c r="BC1" s="82"/>
      <c r="BD1" s="82"/>
      <c r="BE1" s="82"/>
      <c r="BP1" s="87"/>
      <c r="BQ1" s="88"/>
      <c r="BR1" s="87"/>
      <c r="BS1" s="88"/>
      <c r="BT1" s="88"/>
      <c r="BU1" s="88"/>
      <c r="BV1" s="88"/>
      <c r="BW1" s="88"/>
      <c r="BX1" s="87"/>
    </row>
    <row r="2" s="71" customFormat="1" ht="30" customHeight="1" spans="1:76">
      <c r="A2" s="283" t="s">
        <v>3298</v>
      </c>
      <c r="B2" s="89"/>
      <c r="C2" s="89"/>
      <c r="D2" s="89"/>
      <c r="E2" s="89"/>
      <c r="F2" s="89"/>
      <c r="G2" s="89"/>
      <c r="H2" s="89"/>
      <c r="I2" s="89"/>
      <c r="J2" s="89"/>
      <c r="K2" s="89"/>
      <c r="L2" s="89"/>
      <c r="M2" s="89"/>
      <c r="N2" s="89"/>
      <c r="O2" s="89"/>
      <c r="P2" s="89"/>
      <c r="Q2" s="89"/>
      <c r="R2" s="89"/>
      <c r="S2" s="89"/>
      <c r="T2" s="89"/>
      <c r="BA2" s="90" t="str">
        <f>参数表!BA2</f>
        <v>评估基准日：</v>
      </c>
      <c r="BB2" s="91" t="str">
        <f>参数表!BB2</f>
        <v>2025年7月31日</v>
      </c>
      <c r="BC2" s="171"/>
      <c r="BD2" s="171"/>
      <c r="BE2" s="171"/>
      <c r="BP2" s="92"/>
      <c r="BQ2" s="93"/>
      <c r="BR2" s="92"/>
      <c r="BS2" s="93"/>
      <c r="BT2" s="93"/>
      <c r="BU2" s="93"/>
      <c r="BV2" s="93"/>
      <c r="BW2" s="93"/>
      <c r="BX2" s="92"/>
    </row>
    <row r="3" ht="15" customHeight="1" spans="1:76">
      <c r="A3" s="94" t="str">
        <f>参数表!F5</f>
        <v>评估基准日：2025年7月31日</v>
      </c>
      <c r="B3" s="94"/>
      <c r="C3" s="94"/>
      <c r="D3" s="94"/>
      <c r="E3" s="94"/>
      <c r="F3" s="94"/>
      <c r="G3" s="94"/>
      <c r="H3" s="94"/>
      <c r="I3" s="94"/>
      <c r="J3" s="94"/>
      <c r="K3" s="94"/>
      <c r="L3" s="94"/>
      <c r="M3" s="94"/>
      <c r="N3" s="94"/>
      <c r="O3" s="94"/>
      <c r="P3" s="95"/>
      <c r="Q3" s="95"/>
      <c r="R3" s="95"/>
      <c r="S3" s="95"/>
      <c r="T3" s="95"/>
      <c r="BA3" s="90" t="str">
        <f>参数表!BA3</f>
        <v>是否显示评估值：</v>
      </c>
      <c r="BB3" s="90" t="str">
        <f>参数表!BB3</f>
        <v>是</v>
      </c>
      <c r="BR3" s="78"/>
    </row>
    <row r="4" ht="15" customHeight="1" spans="1:76">
      <c r="A4" s="96"/>
      <c r="B4" s="94"/>
      <c r="C4" s="94"/>
      <c r="D4" s="94"/>
      <c r="E4" s="94"/>
      <c r="F4" s="94"/>
      <c r="G4" s="94"/>
      <c r="H4" s="94"/>
      <c r="I4" s="94"/>
      <c r="J4" s="94"/>
      <c r="K4" s="94"/>
      <c r="L4" s="97"/>
      <c r="M4" s="97"/>
      <c r="N4" s="94"/>
      <c r="O4" s="94"/>
      <c r="P4" s="95"/>
      <c r="Q4" s="95"/>
      <c r="R4" s="95"/>
      <c r="S4" s="95"/>
      <c r="T4" s="98" t="str">
        <f>"表"&amp;$BA4</f>
        <v>表3-11-2</v>
      </c>
      <c r="BA4" s="95" t="str">
        <f>合同资总!A8</f>
        <v>3-11-2</v>
      </c>
      <c r="BB4" s="100">
        <f>MAX(COUNTA(A7:A26),COUNTA(B7:B26),COUNTA(J7:J26),COUNTA(N7:N26))</f>
        <v>20</v>
      </c>
      <c r="BC4" s="101">
        <f>ROW(A6)+1</f>
        <v>7</v>
      </c>
      <c r="BD4" s="77"/>
      <c r="BE4" s="77"/>
      <c r="BR4" s="78"/>
    </row>
    <row r="5" ht="15" customHeight="1" spans="1:76">
      <c r="A5" s="102" t="str">
        <f>参数表!F3</f>
        <v>产权持有单位:中煤第五建设有限公司</v>
      </c>
      <c r="B5" s="103"/>
      <c r="C5" s="103"/>
      <c r="D5" s="103"/>
      <c r="E5" s="103"/>
      <c r="F5" s="103"/>
      <c r="G5" s="103"/>
      <c r="H5" s="103"/>
      <c r="I5" s="103"/>
      <c r="J5" s="103"/>
      <c r="K5" s="103"/>
      <c r="L5" s="104"/>
      <c r="M5" s="104"/>
      <c r="N5" s="103"/>
      <c r="O5" s="103"/>
      <c r="P5" s="103"/>
      <c r="Q5" s="103"/>
      <c r="R5" s="103"/>
      <c r="S5" s="103"/>
      <c r="T5" s="98" t="s">
        <v>236</v>
      </c>
      <c r="BA5" s="103"/>
      <c r="BB5" s="105" t="str">
        <f ca="1">判断表!C44</f>
        <v>中煤第五建设有限公司第三工程处拟处置实物资产项目\[0000-3基础法明细表.xlsx]合同资-其他</v>
      </c>
      <c r="BC5" s="106">
        <f>IFERROR(SUMIF(BC7:BC26,"√",N7:N26)/N27,0)</f>
        <v>0</v>
      </c>
      <c r="BD5" s="107"/>
      <c r="BE5" s="107"/>
      <c r="BF5" s="284">
        <f>分类汇总!I15</f>
        <v>0</v>
      </c>
      <c r="BG5" s="284">
        <f>分类汇总!K15</f>
        <v>0</v>
      </c>
      <c r="BH5" s="165"/>
      <c r="BI5" s="165"/>
      <c r="BJ5" s="165"/>
      <c r="BK5" s="165"/>
      <c r="BL5" s="165"/>
      <c r="BM5" s="165"/>
      <c r="BP5" s="111"/>
      <c r="BR5" s="78"/>
      <c r="BW5" s="194"/>
      <c r="BX5" s="111"/>
    </row>
    <row r="6" s="72" customFormat="1" ht="26.7" customHeight="1" spans="1:76">
      <c r="A6" s="112" t="s">
        <v>305</v>
      </c>
      <c r="B6" s="113" t="s">
        <v>2062</v>
      </c>
      <c r="C6" s="113" t="s">
        <v>1898</v>
      </c>
      <c r="D6" s="113" t="s">
        <v>1961</v>
      </c>
      <c r="E6" s="113" t="s">
        <v>1962</v>
      </c>
      <c r="F6" s="118" t="s">
        <v>1963</v>
      </c>
      <c r="G6" s="114" t="s">
        <v>1631</v>
      </c>
      <c r="H6" s="115" t="s">
        <v>1632</v>
      </c>
      <c r="I6" s="115" t="s">
        <v>1633</v>
      </c>
      <c r="J6" s="113" t="s">
        <v>1549</v>
      </c>
      <c r="K6" s="113" t="s">
        <v>1926</v>
      </c>
      <c r="L6" s="285" t="s">
        <v>1927</v>
      </c>
      <c r="M6" s="285" t="s">
        <v>1928</v>
      </c>
      <c r="N6" s="113" t="s">
        <v>1523</v>
      </c>
      <c r="O6" s="113" t="s">
        <v>1926</v>
      </c>
      <c r="P6" s="113" t="s">
        <v>1550</v>
      </c>
      <c r="Q6" s="113" t="s">
        <v>1929</v>
      </c>
      <c r="R6" s="118" t="s">
        <v>1525</v>
      </c>
      <c r="S6" s="118" t="s">
        <v>1551</v>
      </c>
      <c r="T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91" t="s">
        <v>467</v>
      </c>
      <c r="BP6" s="119"/>
      <c r="BQ6" s="120" t="s">
        <v>1645</v>
      </c>
      <c r="BR6" s="121" t="s">
        <v>1646</v>
      </c>
      <c r="BS6" s="121" t="s">
        <v>1647</v>
      </c>
      <c r="BT6" s="121" t="s">
        <v>1648</v>
      </c>
      <c r="BU6" s="121" t="s">
        <v>1647</v>
      </c>
      <c r="BV6" s="121" t="s">
        <v>1647</v>
      </c>
      <c r="BW6" s="121" t="s">
        <v>1649</v>
      </c>
      <c r="BX6" s="122" t="s">
        <v>1650</v>
      </c>
    </row>
    <row r="7" ht="15" customHeight="1" spans="1:76">
      <c r="A7" s="123" t="str">
        <f>IF(B7="","",COUNT(A$6:A6)+1)</f>
        <v/>
      </c>
      <c r="B7" s="124"/>
      <c r="C7" s="126"/>
      <c r="D7" s="125"/>
      <c r="E7" s="126" t="str">
        <f t="shared" ref="E7:E26" si="0">IF(OR(N7=0,N7=""),"",IF(BO7&gt;5,"5年以上",IF(BO7&gt;4,"4-5年",IF(BO7&gt;3,"3-4年",IF(BO7&gt;2,"2-3年",IF(BO7&gt;1,"1-2年","1年以内"))))))</f>
        <v/>
      </c>
      <c r="F7" s="126"/>
      <c r="G7" s="127"/>
      <c r="H7" s="127" t="str">
        <f>IFERROR(VLOOKUP(G7,参数表!$H$2:$I$50,2,FALSE),"")</f>
        <v/>
      </c>
      <c r="I7" s="128" t="str">
        <f>IFERROR(IF(OR(G7="人民币",G7=""),"",N7/H7),"")</f>
        <v/>
      </c>
      <c r="J7" s="129"/>
      <c r="K7" s="129"/>
      <c r="L7" s="130"/>
      <c r="M7" s="130"/>
      <c r="N7" s="129" t="str">
        <f>IF(B7="","",J7+L7)</f>
        <v/>
      </c>
      <c r="O7" s="129" t="str">
        <f>IF(B7="","",K7+M7)</f>
        <v/>
      </c>
      <c r="P7" s="129" t="str">
        <f t="shared" ref="P7:P26" si="1">IF(B7="","",IF($BB$3="是",N7,""))</f>
        <v/>
      </c>
      <c r="Q7" s="129" t="str">
        <f t="shared" ref="Q7:Q26" si="2">IF(B7="","",IF($BB$3="是",O7,""))</f>
        <v/>
      </c>
      <c r="R7" s="129" t="str">
        <f t="shared" ref="R7:R30" si="3">IFERROR((P7-Q7)-(N7-O7),"")</f>
        <v/>
      </c>
      <c r="S7" s="129" t="str">
        <f t="shared" ref="S7:S30" si="4">IFERROR(R7/(P7-Q7)*100,"")</f>
        <v/>
      </c>
      <c r="T7" s="131"/>
      <c r="BA7" s="78"/>
      <c r="BB7" s="132" t="s">
        <v>3299</v>
      </c>
      <c r="BC7" s="133"/>
      <c r="BD7" s="132" t="str">
        <f>IF(OR(B7="",BC7=""),"",COUNTIF(BC$7:BC7,"√"))</f>
        <v/>
      </c>
      <c r="BE7" s="134" t="str">
        <f t="shared" ref="BE7:BE26" si="5">IF(BC7="","",BB7&amp;"︱"&amp;B7&amp;"︱"&amp;TEXT(J7,"#,##0.00"))</f>
        <v/>
      </c>
      <c r="BF7" s="135" t="str">
        <f>IF($B7="","",IF(BF$5=0,"OK","出错"))</f>
        <v/>
      </c>
      <c r="BG7" s="135" t="str">
        <f>IF($B7="","",IF(BG$5=0,"OK","出错"))</f>
        <v/>
      </c>
      <c r="BH7" s="136"/>
      <c r="BI7" s="136"/>
      <c r="BJ7" s="136"/>
      <c r="BK7" s="136"/>
      <c r="BL7" s="136"/>
      <c r="BM7" s="137"/>
      <c r="BN7" s="137"/>
      <c r="BO7" s="156">
        <f t="shared" ref="BO7:BO26" si="6">(BB$2-D7)/365.25</f>
        <v>125.582477754962</v>
      </c>
      <c r="BQ7" s="134" t="str">
        <f>IF(COUNTIF(BQ$6:BQ6,C7)&gt;0,"",C7)&amp;""</f>
        <v/>
      </c>
      <c r="BR7" s="138">
        <f>SUMIF(C$7:C$26,BQ7,N$7:N$26)</f>
        <v>0</v>
      </c>
      <c r="BS7" s="132">
        <f t="shared" ref="BS7" si="7">RANK(BR7,BR$7:BR$26)</f>
        <v>1</v>
      </c>
      <c r="BT7" s="138">
        <f>SUMIF(C$7:C$26,BQ7,P$7:P$26)</f>
        <v>0</v>
      </c>
      <c r="BU7" s="132">
        <f>RANK(BT7,BT$7:BT$26)</f>
        <v>1</v>
      </c>
      <c r="BV7" s="138">
        <f>SUM(BR7:BR26)</f>
        <v>0</v>
      </c>
      <c r="BW7" s="138"/>
      <c r="BX7" s="138"/>
    </row>
    <row r="8" ht="15" customHeight="1" spans="1:76">
      <c r="A8" s="123" t="str">
        <f>IF(B8="","",COUNT(A$6:A7)+1)</f>
        <v/>
      </c>
      <c r="B8" s="139"/>
      <c r="C8" s="141"/>
      <c r="D8" s="140"/>
      <c r="E8" s="126" t="str">
        <f t="shared" si="0"/>
        <v/>
      </c>
      <c r="F8" s="145"/>
      <c r="G8" s="142"/>
      <c r="H8" s="127" t="str">
        <f>IFERROR(VLOOKUP(G8,参数表!$H$2:$I$50,2,FALSE),"")</f>
        <v/>
      </c>
      <c r="I8" s="128" t="str">
        <f>IFERROR(IF(OR(G8="人民币",G8=""),"",N8/H8),"")</f>
        <v/>
      </c>
      <c r="J8" s="143"/>
      <c r="K8" s="143"/>
      <c r="L8" s="144"/>
      <c r="M8" s="144"/>
      <c r="N8" s="129" t="str">
        <f t="shared" ref="N8:N26" si="8">IF(B8="","",J8+L8)</f>
        <v/>
      </c>
      <c r="O8" s="129" t="str">
        <f t="shared" ref="O8:O26" si="9">IF(B8="","",K8+M8)</f>
        <v/>
      </c>
      <c r="P8" s="129" t="str">
        <f t="shared" si="1"/>
        <v/>
      </c>
      <c r="Q8" s="129" t="str">
        <f t="shared" si="2"/>
        <v/>
      </c>
      <c r="R8" s="129" t="str">
        <f t="shared" si="3"/>
        <v/>
      </c>
      <c r="S8" s="129" t="str">
        <f t="shared" si="4"/>
        <v/>
      </c>
      <c r="T8" s="145"/>
      <c r="BA8" s="78"/>
      <c r="BB8" s="132" t="s">
        <v>3300</v>
      </c>
      <c r="BC8" s="133"/>
      <c r="BD8" s="132" t="str">
        <f>IF(OR(B8="",BC8=""),"",COUNTIF(BC$7:BC8,"√"))</f>
        <v/>
      </c>
      <c r="BE8" s="134" t="str">
        <f t="shared" si="5"/>
        <v/>
      </c>
      <c r="BF8" s="135" t="str">
        <f t="shared" ref="BF8:BG26" si="10">IF($B8="","",IF(BF$5=0,"OK","出错"))</f>
        <v/>
      </c>
      <c r="BG8" s="135" t="str">
        <f t="shared" si="10"/>
        <v/>
      </c>
      <c r="BH8" s="136"/>
      <c r="BI8" s="136"/>
      <c r="BJ8" s="136"/>
      <c r="BK8" s="136"/>
      <c r="BL8" s="136"/>
      <c r="BM8" s="137"/>
      <c r="BN8" s="137"/>
      <c r="BO8" s="156">
        <f t="shared" si="6"/>
        <v>125.582477754962</v>
      </c>
      <c r="BQ8" s="134" t="str">
        <f>IF(COUNTIF(BQ$6:BQ7,C8)&gt;0,"",C8)&amp;""</f>
        <v/>
      </c>
      <c r="BR8" s="138">
        <f t="shared" ref="BR8:BR26" si="11">SUMIF(C$7:C$26,BQ8,N$7:N$26)</f>
        <v>0</v>
      </c>
      <c r="BS8" s="132">
        <f t="shared" ref="BS8:BS26" si="12">RANK(BR8,BR$7:BR$26)</f>
        <v>1</v>
      </c>
      <c r="BT8" s="138">
        <f t="shared" ref="BT8:BT26" si="13">SUMIF(C$7:C$26,BQ8,P$7:P$26)</f>
        <v>0</v>
      </c>
      <c r="BU8" s="132">
        <f t="shared" ref="BU8:BU26" si="14">RANK(BT8,BT$7:BT$26)</f>
        <v>1</v>
      </c>
      <c r="BV8" s="138">
        <f>SUM(BT7:BT26)</f>
        <v>0</v>
      </c>
      <c r="BW8" s="138"/>
      <c r="BX8" s="138"/>
    </row>
    <row r="9" ht="15" customHeight="1" spans="1:76">
      <c r="A9" s="123" t="str">
        <f>IF(B9="","",COUNT(A$6:A8)+1)</f>
        <v/>
      </c>
      <c r="B9" s="139"/>
      <c r="C9" s="141"/>
      <c r="D9" s="140"/>
      <c r="E9" s="126" t="str">
        <f t="shared" si="0"/>
        <v/>
      </c>
      <c r="F9" s="145"/>
      <c r="G9" s="142"/>
      <c r="H9" s="127" t="str">
        <f>IFERROR(VLOOKUP(G9,参数表!$H$2:$I$50,2,FALSE),"")</f>
        <v/>
      </c>
      <c r="I9" s="128" t="str">
        <f>IFERROR(IF(OR(G9="人民币",G9=""),"",N9/H9),"")</f>
        <v/>
      </c>
      <c r="J9" s="143"/>
      <c r="K9" s="143"/>
      <c r="L9" s="144"/>
      <c r="M9" s="144"/>
      <c r="N9" s="129" t="str">
        <f t="shared" si="8"/>
        <v/>
      </c>
      <c r="O9" s="129" t="str">
        <f t="shared" si="9"/>
        <v/>
      </c>
      <c r="P9" s="129" t="str">
        <f t="shared" si="1"/>
        <v/>
      </c>
      <c r="Q9" s="129" t="str">
        <f t="shared" si="2"/>
        <v/>
      </c>
      <c r="R9" s="129" t="str">
        <f t="shared" si="3"/>
        <v/>
      </c>
      <c r="S9" s="129" t="str">
        <f t="shared" si="4"/>
        <v/>
      </c>
      <c r="T9" s="145"/>
      <c r="BA9" s="78"/>
      <c r="BB9" s="132" t="s">
        <v>3301</v>
      </c>
      <c r="BC9" s="133"/>
      <c r="BD9" s="132" t="str">
        <f>IF(OR(B9="",BC9=""),"",COUNTIF(BC$7:BC9,"√"))</f>
        <v/>
      </c>
      <c r="BE9" s="134" t="str">
        <f t="shared" si="5"/>
        <v/>
      </c>
      <c r="BF9" s="135" t="str">
        <f t="shared" si="10"/>
        <v/>
      </c>
      <c r="BG9" s="135" t="str">
        <f t="shared" si="10"/>
        <v/>
      </c>
      <c r="BH9" s="136"/>
      <c r="BI9" s="136"/>
      <c r="BJ9" s="136"/>
      <c r="BK9" s="136"/>
      <c r="BL9" s="136"/>
      <c r="BM9" s="137"/>
      <c r="BN9" s="137"/>
      <c r="BO9" s="156">
        <f t="shared" si="6"/>
        <v>125.582477754962</v>
      </c>
      <c r="BQ9" s="134" t="str">
        <f>IF(COUNTIF(BQ$6:BQ8,C9)&gt;0,"",C9)&amp;""</f>
        <v/>
      </c>
      <c r="BR9" s="138">
        <f t="shared" si="11"/>
        <v>0</v>
      </c>
      <c r="BS9" s="132">
        <f t="shared" si="12"/>
        <v>1</v>
      </c>
      <c r="BT9" s="138">
        <f t="shared" si="13"/>
        <v>0</v>
      </c>
      <c r="BU9" s="132">
        <f t="shared" si="14"/>
        <v>1</v>
      </c>
      <c r="BV9" s="132">
        <v>1</v>
      </c>
      <c r="BW9" s="134" t="str">
        <f>IFERROR(INDEX(BQ$7:BQ$26,MATCH(BV9,IF(BV$7=0,BU$7:BU$26,BS$7:BS$26),0))&amp;"","")</f>
        <v/>
      </c>
      <c r="BX9" s="146" t="str">
        <f>IF(BW10="","",IF(BW11="","和","、"))</f>
        <v/>
      </c>
    </row>
    <row r="10" ht="15" customHeight="1" spans="1:76">
      <c r="A10" s="123" t="str">
        <f>IF(B10="","",COUNT(A$6:A9)+1)</f>
        <v/>
      </c>
      <c r="B10" s="139"/>
      <c r="C10" s="141"/>
      <c r="D10" s="140"/>
      <c r="E10" s="126" t="str">
        <f t="shared" si="0"/>
        <v/>
      </c>
      <c r="F10" s="145"/>
      <c r="G10" s="142"/>
      <c r="H10" s="127" t="str">
        <f>IFERROR(VLOOKUP(G10,参数表!$H$2:$I$50,2,FALSE),"")</f>
        <v/>
      </c>
      <c r="I10" s="128" t="str">
        <f t="shared" ref="I10:I26" si="15">IFERROR(IF(OR(G10="人民币",G10=""),"",N10/H10),"")</f>
        <v/>
      </c>
      <c r="J10" s="143"/>
      <c r="K10" s="143"/>
      <c r="L10" s="144"/>
      <c r="M10" s="144"/>
      <c r="N10" s="129" t="str">
        <f t="shared" si="8"/>
        <v/>
      </c>
      <c r="O10" s="129" t="str">
        <f t="shared" si="9"/>
        <v/>
      </c>
      <c r="P10" s="129" t="str">
        <f t="shared" si="1"/>
        <v/>
      </c>
      <c r="Q10" s="129" t="str">
        <f t="shared" si="2"/>
        <v/>
      </c>
      <c r="R10" s="129" t="str">
        <f t="shared" si="3"/>
        <v/>
      </c>
      <c r="S10" s="129" t="str">
        <f t="shared" si="4"/>
        <v/>
      </c>
      <c r="T10" s="145"/>
      <c r="BA10" s="78"/>
      <c r="BB10" s="132" t="s">
        <v>3302</v>
      </c>
      <c r="BC10" s="133"/>
      <c r="BD10" s="132" t="str">
        <f>IF(OR(B10="",BC10=""),"",COUNTIF(BC$7:BC10,"√"))</f>
        <v/>
      </c>
      <c r="BE10" s="134" t="str">
        <f t="shared" si="5"/>
        <v/>
      </c>
      <c r="BF10" s="135" t="str">
        <f t="shared" si="10"/>
        <v/>
      </c>
      <c r="BG10" s="135" t="str">
        <f t="shared" si="10"/>
        <v/>
      </c>
      <c r="BH10" s="136"/>
      <c r="BI10" s="136"/>
      <c r="BJ10" s="136"/>
      <c r="BK10" s="136"/>
      <c r="BL10" s="136"/>
      <c r="BM10" s="137"/>
      <c r="BN10" s="137"/>
      <c r="BO10" s="156">
        <f t="shared" si="6"/>
        <v>125.582477754962</v>
      </c>
      <c r="BQ10" s="134" t="str">
        <f>IF(COUNTIF(BQ$6:BQ9,C10)&gt;0,"",C10)&amp;""</f>
        <v/>
      </c>
      <c r="BR10" s="138">
        <f t="shared" si="11"/>
        <v>0</v>
      </c>
      <c r="BS10" s="132">
        <f t="shared" si="12"/>
        <v>1</v>
      </c>
      <c r="BT10" s="138">
        <f t="shared" si="13"/>
        <v>0</v>
      </c>
      <c r="BU10" s="132">
        <f t="shared" si="14"/>
        <v>1</v>
      </c>
      <c r="BV10" s="132">
        <v>2</v>
      </c>
      <c r="BW10" s="134" t="str">
        <f t="shared" ref="BW10:BW13" si="16">IFERROR(INDEX(BQ$7:BQ$26,MATCH(BV10,IF(BV$7=0,BU$7:BU$26,BS$7:BS$26),0))&amp;"","")</f>
        <v/>
      </c>
      <c r="BX10" s="146" t="str">
        <f t="shared" ref="BX10:BX11" si="17">IF(BW11="","",IF(BW12="","和","、"))</f>
        <v/>
      </c>
    </row>
    <row r="11" ht="15" customHeight="1" spans="1:76">
      <c r="A11" s="123" t="str">
        <f>IF(B11="","",COUNT(A$6:A10)+1)</f>
        <v/>
      </c>
      <c r="B11" s="139"/>
      <c r="C11" s="141"/>
      <c r="D11" s="140"/>
      <c r="E11" s="126" t="str">
        <f t="shared" si="0"/>
        <v/>
      </c>
      <c r="F11" s="145"/>
      <c r="G11" s="142"/>
      <c r="H11" s="127" t="str">
        <f>IFERROR(VLOOKUP(G11,参数表!$H$2:$I$50,2,FALSE),"")</f>
        <v/>
      </c>
      <c r="I11" s="128" t="str">
        <f t="shared" si="15"/>
        <v/>
      </c>
      <c r="J11" s="143"/>
      <c r="K11" s="143"/>
      <c r="L11" s="144"/>
      <c r="M11" s="144"/>
      <c r="N11" s="129" t="str">
        <f t="shared" si="8"/>
        <v/>
      </c>
      <c r="O11" s="129" t="str">
        <f t="shared" si="9"/>
        <v/>
      </c>
      <c r="P11" s="129" t="str">
        <f t="shared" si="1"/>
        <v/>
      </c>
      <c r="Q11" s="129" t="str">
        <f t="shared" si="2"/>
        <v/>
      </c>
      <c r="R11" s="129" t="str">
        <f t="shared" si="3"/>
        <v/>
      </c>
      <c r="S11" s="129" t="str">
        <f t="shared" si="4"/>
        <v/>
      </c>
      <c r="T11" s="145"/>
      <c r="BA11" s="78"/>
      <c r="BB11" s="132" t="s">
        <v>3303</v>
      </c>
      <c r="BC11" s="133"/>
      <c r="BD11" s="132" t="str">
        <f>IF(OR(B11="",BC11=""),"",COUNTIF(BC$7:BC11,"√"))</f>
        <v/>
      </c>
      <c r="BE11" s="134" t="str">
        <f t="shared" si="5"/>
        <v/>
      </c>
      <c r="BF11" s="135" t="str">
        <f t="shared" si="10"/>
        <v/>
      </c>
      <c r="BG11" s="135" t="str">
        <f t="shared" si="10"/>
        <v/>
      </c>
      <c r="BH11" s="136"/>
      <c r="BI11" s="136"/>
      <c r="BJ11" s="136"/>
      <c r="BK11" s="136"/>
      <c r="BL11" s="136"/>
      <c r="BM11" s="137"/>
      <c r="BN11" s="137"/>
      <c r="BO11" s="156">
        <f t="shared" si="6"/>
        <v>125.582477754962</v>
      </c>
      <c r="BQ11" s="134" t="str">
        <f>IF(COUNTIF(BQ$6:BQ10,C11)&gt;0,"",C11)&amp;""</f>
        <v/>
      </c>
      <c r="BR11" s="138">
        <f t="shared" si="11"/>
        <v>0</v>
      </c>
      <c r="BS11" s="132">
        <f t="shared" si="12"/>
        <v>1</v>
      </c>
      <c r="BT11" s="138">
        <f t="shared" si="13"/>
        <v>0</v>
      </c>
      <c r="BU11" s="132">
        <f t="shared" si="14"/>
        <v>1</v>
      </c>
      <c r="BV11" s="132">
        <v>3</v>
      </c>
      <c r="BW11" s="134" t="str">
        <f t="shared" si="16"/>
        <v/>
      </c>
      <c r="BX11" s="146" t="str">
        <f t="shared" si="17"/>
        <v/>
      </c>
    </row>
    <row r="12" ht="15" customHeight="1" spans="1:76">
      <c r="A12" s="123" t="str">
        <f>IF(B12="","",COUNT(A$6:A11)+1)</f>
        <v/>
      </c>
      <c r="B12" s="139"/>
      <c r="C12" s="141"/>
      <c r="D12" s="140"/>
      <c r="E12" s="126" t="str">
        <f t="shared" si="0"/>
        <v/>
      </c>
      <c r="F12" s="145"/>
      <c r="G12" s="142"/>
      <c r="H12" s="127" t="str">
        <f>IFERROR(VLOOKUP(G12,参数表!$H$2:$I$50,2,FALSE),"")</f>
        <v/>
      </c>
      <c r="I12" s="128" t="str">
        <f t="shared" si="15"/>
        <v/>
      </c>
      <c r="J12" s="143"/>
      <c r="K12" s="143"/>
      <c r="L12" s="144"/>
      <c r="M12" s="144"/>
      <c r="N12" s="129" t="str">
        <f t="shared" si="8"/>
        <v/>
      </c>
      <c r="O12" s="129" t="str">
        <f t="shared" si="9"/>
        <v/>
      </c>
      <c r="P12" s="129" t="str">
        <f t="shared" si="1"/>
        <v/>
      </c>
      <c r="Q12" s="129" t="str">
        <f t="shared" si="2"/>
        <v/>
      </c>
      <c r="R12" s="129" t="str">
        <f t="shared" si="3"/>
        <v/>
      </c>
      <c r="S12" s="129" t="str">
        <f t="shared" si="4"/>
        <v/>
      </c>
      <c r="T12" s="145"/>
      <c r="BA12" s="78"/>
      <c r="BB12" s="132" t="s">
        <v>3304</v>
      </c>
      <c r="BC12" s="133"/>
      <c r="BD12" s="132" t="str">
        <f>IF(OR(B12="",BC12=""),"",COUNTIF(BC$7:BC12,"√"))</f>
        <v/>
      </c>
      <c r="BE12" s="134" t="str">
        <f t="shared" si="5"/>
        <v/>
      </c>
      <c r="BF12" s="135" t="str">
        <f t="shared" si="10"/>
        <v/>
      </c>
      <c r="BG12" s="135" t="str">
        <f t="shared" si="10"/>
        <v/>
      </c>
      <c r="BH12" s="136"/>
      <c r="BI12" s="136"/>
      <c r="BJ12" s="136"/>
      <c r="BK12" s="136"/>
      <c r="BL12" s="136"/>
      <c r="BM12" s="137"/>
      <c r="BN12" s="137"/>
      <c r="BO12" s="156">
        <f t="shared" si="6"/>
        <v>125.582477754962</v>
      </c>
      <c r="BQ12" s="134" t="str">
        <f>IF(COUNTIF(BQ$6:BQ11,C12)&gt;0,"",C12)&amp;""</f>
        <v/>
      </c>
      <c r="BR12" s="138">
        <f t="shared" si="11"/>
        <v>0</v>
      </c>
      <c r="BS12" s="132">
        <f t="shared" si="12"/>
        <v>1</v>
      </c>
      <c r="BT12" s="138">
        <f t="shared" si="13"/>
        <v>0</v>
      </c>
      <c r="BU12" s="132">
        <f t="shared" si="14"/>
        <v>1</v>
      </c>
      <c r="BV12" s="132">
        <v>4</v>
      </c>
      <c r="BW12" s="134" t="str">
        <f t="shared" si="16"/>
        <v/>
      </c>
      <c r="BX12" s="146" t="str">
        <f>IF(BW13="","","和")</f>
        <v/>
      </c>
    </row>
    <row r="13" ht="15" customHeight="1" spans="1:76">
      <c r="A13" s="123" t="str">
        <f>IF(B13="","",COUNT(A$6:A12)+1)</f>
        <v/>
      </c>
      <c r="B13" s="139"/>
      <c r="C13" s="141"/>
      <c r="D13" s="140"/>
      <c r="E13" s="126" t="str">
        <f t="shared" si="0"/>
        <v/>
      </c>
      <c r="F13" s="145"/>
      <c r="G13" s="142"/>
      <c r="H13" s="127" t="str">
        <f>IFERROR(VLOOKUP(G13,参数表!$H$2:$I$50,2,FALSE),"")</f>
        <v/>
      </c>
      <c r="I13" s="128" t="str">
        <f t="shared" si="15"/>
        <v/>
      </c>
      <c r="J13" s="143"/>
      <c r="K13" s="143"/>
      <c r="L13" s="144"/>
      <c r="M13" s="144"/>
      <c r="N13" s="129" t="str">
        <f t="shared" si="8"/>
        <v/>
      </c>
      <c r="O13" s="129" t="str">
        <f t="shared" si="9"/>
        <v/>
      </c>
      <c r="P13" s="129" t="str">
        <f t="shared" si="1"/>
        <v/>
      </c>
      <c r="Q13" s="129" t="str">
        <f t="shared" si="2"/>
        <v/>
      </c>
      <c r="R13" s="129" t="str">
        <f t="shared" si="3"/>
        <v/>
      </c>
      <c r="S13" s="129" t="str">
        <f t="shared" si="4"/>
        <v/>
      </c>
      <c r="T13" s="145"/>
      <c r="BA13" s="78"/>
      <c r="BB13" s="132" t="s">
        <v>3305</v>
      </c>
      <c r="BC13" s="133"/>
      <c r="BD13" s="132" t="str">
        <f>IF(OR(B13="",BC13=""),"",COUNTIF(BC$7:BC13,"√"))</f>
        <v/>
      </c>
      <c r="BE13" s="134" t="str">
        <f t="shared" si="5"/>
        <v/>
      </c>
      <c r="BF13" s="135" t="str">
        <f t="shared" si="10"/>
        <v/>
      </c>
      <c r="BG13" s="135" t="str">
        <f t="shared" si="10"/>
        <v/>
      </c>
      <c r="BH13" s="136"/>
      <c r="BI13" s="136"/>
      <c r="BJ13" s="136"/>
      <c r="BK13" s="136"/>
      <c r="BL13" s="136"/>
      <c r="BM13" s="137"/>
      <c r="BN13" s="137"/>
      <c r="BO13" s="156">
        <f t="shared" si="6"/>
        <v>125.582477754962</v>
      </c>
      <c r="BQ13" s="134" t="str">
        <f>IF(COUNTIF(BQ$6:BQ12,C13)&gt;0,"",C13)&amp;""</f>
        <v/>
      </c>
      <c r="BR13" s="138">
        <f t="shared" si="11"/>
        <v>0</v>
      </c>
      <c r="BS13" s="132">
        <f t="shared" si="12"/>
        <v>1</v>
      </c>
      <c r="BT13" s="138">
        <f t="shared" si="13"/>
        <v>0</v>
      </c>
      <c r="BU13" s="132">
        <f t="shared" si="14"/>
        <v>1</v>
      </c>
      <c r="BV13" s="132">
        <v>5</v>
      </c>
      <c r="BW13" s="134" t="str">
        <f t="shared" si="16"/>
        <v/>
      </c>
      <c r="BX13" s="146"/>
    </row>
    <row r="14" ht="15" customHeight="1" spans="1:76">
      <c r="A14" s="123" t="str">
        <f>IF(B14="","",COUNT(A$6:A13)+1)</f>
        <v/>
      </c>
      <c r="B14" s="139"/>
      <c r="C14" s="141"/>
      <c r="D14" s="140"/>
      <c r="E14" s="126" t="str">
        <f t="shared" si="0"/>
        <v/>
      </c>
      <c r="F14" s="145"/>
      <c r="G14" s="142"/>
      <c r="H14" s="127" t="str">
        <f>IFERROR(VLOOKUP(G14,参数表!$H$2:$I$50,2,FALSE),"")</f>
        <v/>
      </c>
      <c r="I14" s="128" t="str">
        <f t="shared" si="15"/>
        <v/>
      </c>
      <c r="J14" s="143"/>
      <c r="K14" s="143"/>
      <c r="L14" s="144"/>
      <c r="M14" s="144"/>
      <c r="N14" s="129" t="str">
        <f t="shared" si="8"/>
        <v/>
      </c>
      <c r="O14" s="129" t="str">
        <f t="shared" si="9"/>
        <v/>
      </c>
      <c r="P14" s="129" t="str">
        <f t="shared" si="1"/>
        <v/>
      </c>
      <c r="Q14" s="129" t="str">
        <f t="shared" si="2"/>
        <v/>
      </c>
      <c r="R14" s="129" t="str">
        <f t="shared" si="3"/>
        <v/>
      </c>
      <c r="S14" s="129" t="str">
        <f t="shared" si="4"/>
        <v/>
      </c>
      <c r="T14" s="145"/>
      <c r="BA14" s="78"/>
      <c r="BB14" s="132" t="s">
        <v>3306</v>
      </c>
      <c r="BC14" s="133"/>
      <c r="BD14" s="132" t="str">
        <f>IF(OR(B14="",BC14=""),"",COUNTIF(BC$7:BC14,"√"))</f>
        <v/>
      </c>
      <c r="BE14" s="134" t="str">
        <f t="shared" si="5"/>
        <v/>
      </c>
      <c r="BF14" s="135" t="str">
        <f t="shared" si="10"/>
        <v/>
      </c>
      <c r="BG14" s="135" t="str">
        <f t="shared" si="10"/>
        <v/>
      </c>
      <c r="BH14" s="136"/>
      <c r="BI14" s="136"/>
      <c r="BJ14" s="136"/>
      <c r="BK14" s="136"/>
      <c r="BL14" s="136"/>
      <c r="BM14" s="137"/>
      <c r="BN14" s="137"/>
      <c r="BO14" s="156">
        <f t="shared" si="6"/>
        <v>125.582477754962</v>
      </c>
      <c r="BQ14" s="134" t="str">
        <f>IF(COUNTIF(BQ$6:BQ13,C14)&gt;0,"",C14)&amp;""</f>
        <v/>
      </c>
      <c r="BR14" s="138">
        <f t="shared" si="11"/>
        <v>0</v>
      </c>
      <c r="BS14" s="132">
        <f t="shared" si="12"/>
        <v>1</v>
      </c>
      <c r="BT14" s="138">
        <f t="shared" si="13"/>
        <v>0</v>
      </c>
      <c r="BU14" s="132">
        <f t="shared" si="14"/>
        <v>1</v>
      </c>
      <c r="BV14" s="147" t="s">
        <v>1659</v>
      </c>
      <c r="BW14" s="132" t="str">
        <f>CONCATENATE(BW9,BX9,BW10,BX10,BW11,BX11,BW12,BX12,BW13)</f>
        <v/>
      </c>
      <c r="BX14" s="132"/>
    </row>
    <row r="15" ht="15" customHeight="1" spans="1:76">
      <c r="A15" s="123" t="str">
        <f>IF(B15="","",COUNT(A$6:A14)+1)</f>
        <v/>
      </c>
      <c r="B15" s="139"/>
      <c r="C15" s="141"/>
      <c r="D15" s="140"/>
      <c r="E15" s="126" t="str">
        <f t="shared" si="0"/>
        <v/>
      </c>
      <c r="F15" s="145"/>
      <c r="G15" s="142"/>
      <c r="H15" s="127" t="str">
        <f>IFERROR(VLOOKUP(G15,参数表!$H$2:$I$50,2,FALSE),"")</f>
        <v/>
      </c>
      <c r="I15" s="128" t="str">
        <f t="shared" si="15"/>
        <v/>
      </c>
      <c r="J15" s="143"/>
      <c r="K15" s="143"/>
      <c r="L15" s="144"/>
      <c r="M15" s="144"/>
      <c r="N15" s="129" t="str">
        <f t="shared" si="8"/>
        <v/>
      </c>
      <c r="O15" s="129" t="str">
        <f t="shared" si="9"/>
        <v/>
      </c>
      <c r="P15" s="129" t="str">
        <f t="shared" si="1"/>
        <v/>
      </c>
      <c r="Q15" s="129" t="str">
        <f t="shared" si="2"/>
        <v/>
      </c>
      <c r="R15" s="129" t="str">
        <f t="shared" si="3"/>
        <v/>
      </c>
      <c r="S15" s="129" t="str">
        <f t="shared" si="4"/>
        <v/>
      </c>
      <c r="T15" s="145"/>
      <c r="BA15" s="78"/>
      <c r="BB15" s="132" t="s">
        <v>3307</v>
      </c>
      <c r="BC15" s="133"/>
      <c r="BD15" s="132" t="str">
        <f>IF(OR(B15="",BC15=""),"",COUNTIF(BC$7:BC15,"√"))</f>
        <v/>
      </c>
      <c r="BE15" s="134" t="str">
        <f t="shared" si="5"/>
        <v/>
      </c>
      <c r="BF15" s="135" t="str">
        <f t="shared" si="10"/>
        <v/>
      </c>
      <c r="BG15" s="135" t="str">
        <f t="shared" si="10"/>
        <v/>
      </c>
      <c r="BH15" s="136"/>
      <c r="BI15" s="136"/>
      <c r="BJ15" s="136"/>
      <c r="BK15" s="136"/>
      <c r="BL15" s="136"/>
      <c r="BM15" s="137"/>
      <c r="BN15" s="137"/>
      <c r="BO15" s="156">
        <f t="shared" si="6"/>
        <v>125.582477754962</v>
      </c>
      <c r="BQ15" s="134" t="str">
        <f>IF(COUNTIF(BQ$6:BQ14,C15)&gt;0,"",C15)&amp;""</f>
        <v/>
      </c>
      <c r="BR15" s="138">
        <f t="shared" si="11"/>
        <v>0</v>
      </c>
      <c r="BS15" s="132">
        <f t="shared" si="12"/>
        <v>1</v>
      </c>
      <c r="BT15" s="138">
        <f t="shared" si="13"/>
        <v>0</v>
      </c>
      <c r="BU15" s="132">
        <f t="shared" si="14"/>
        <v>1</v>
      </c>
      <c r="BV15" s="133"/>
      <c r="BW15" s="133"/>
    </row>
    <row r="16" ht="15" customHeight="1" spans="1:76">
      <c r="A16" s="123" t="str">
        <f>IF(B16="","",COUNT(A$6:A15)+1)</f>
        <v/>
      </c>
      <c r="B16" s="139"/>
      <c r="C16" s="141"/>
      <c r="D16" s="140"/>
      <c r="E16" s="126" t="str">
        <f t="shared" si="0"/>
        <v/>
      </c>
      <c r="F16" s="145"/>
      <c r="G16" s="142"/>
      <c r="H16" s="127" t="str">
        <f>IFERROR(VLOOKUP(G16,参数表!$H$2:$I$50,2,FALSE),"")</f>
        <v/>
      </c>
      <c r="I16" s="128" t="str">
        <f t="shared" si="15"/>
        <v/>
      </c>
      <c r="J16" s="143"/>
      <c r="K16" s="143"/>
      <c r="L16" s="144"/>
      <c r="M16" s="144"/>
      <c r="N16" s="129" t="str">
        <f t="shared" si="8"/>
        <v/>
      </c>
      <c r="O16" s="129" t="str">
        <f t="shared" si="9"/>
        <v/>
      </c>
      <c r="P16" s="129" t="str">
        <f t="shared" si="1"/>
        <v/>
      </c>
      <c r="Q16" s="129" t="str">
        <f t="shared" si="2"/>
        <v/>
      </c>
      <c r="R16" s="129" t="str">
        <f t="shared" si="3"/>
        <v/>
      </c>
      <c r="S16" s="129" t="str">
        <f t="shared" si="4"/>
        <v/>
      </c>
      <c r="T16" s="145"/>
      <c r="BA16" s="78"/>
      <c r="BB16" s="132" t="s">
        <v>3308</v>
      </c>
      <c r="BC16" s="133"/>
      <c r="BD16" s="132" t="str">
        <f>IF(OR(B16="",BC16=""),"",COUNTIF(BC$7:BC16,"√"))</f>
        <v/>
      </c>
      <c r="BE16" s="134" t="str">
        <f t="shared" si="5"/>
        <v/>
      </c>
      <c r="BF16" s="135" t="str">
        <f t="shared" si="10"/>
        <v/>
      </c>
      <c r="BG16" s="135" t="str">
        <f t="shared" si="10"/>
        <v/>
      </c>
      <c r="BH16" s="136"/>
      <c r="BI16" s="136"/>
      <c r="BJ16" s="136"/>
      <c r="BK16" s="136"/>
      <c r="BL16" s="136"/>
      <c r="BM16" s="137"/>
      <c r="BN16" s="137"/>
      <c r="BO16" s="156">
        <f t="shared" si="6"/>
        <v>125.582477754962</v>
      </c>
      <c r="BQ16" s="134" t="str">
        <f>IF(COUNTIF(BQ$6:BQ15,C16)&gt;0,"",C16)&amp;""</f>
        <v/>
      </c>
      <c r="BR16" s="138">
        <f t="shared" si="11"/>
        <v>0</v>
      </c>
      <c r="BS16" s="132">
        <f t="shared" si="12"/>
        <v>1</v>
      </c>
      <c r="BT16" s="138">
        <f t="shared" si="13"/>
        <v>0</v>
      </c>
      <c r="BU16" s="132">
        <f t="shared" si="14"/>
        <v>1</v>
      </c>
      <c r="BV16" s="133"/>
      <c r="BW16" s="148"/>
    </row>
    <row r="17" ht="15" customHeight="1" spans="1:76">
      <c r="A17" s="123" t="str">
        <f>IF(B17="","",COUNT(A$6:A16)+1)</f>
        <v/>
      </c>
      <c r="B17" s="139"/>
      <c r="C17" s="141"/>
      <c r="D17" s="140"/>
      <c r="E17" s="126" t="str">
        <f t="shared" si="0"/>
        <v/>
      </c>
      <c r="F17" s="145"/>
      <c r="G17" s="142"/>
      <c r="H17" s="127" t="str">
        <f>IFERROR(VLOOKUP(G17,参数表!$H$2:$I$50,2,FALSE),"")</f>
        <v/>
      </c>
      <c r="I17" s="128" t="str">
        <f t="shared" si="15"/>
        <v/>
      </c>
      <c r="J17" s="143"/>
      <c r="K17" s="143"/>
      <c r="L17" s="144"/>
      <c r="M17" s="144"/>
      <c r="N17" s="129" t="str">
        <f t="shared" si="8"/>
        <v/>
      </c>
      <c r="O17" s="129" t="str">
        <f t="shared" si="9"/>
        <v/>
      </c>
      <c r="P17" s="129" t="str">
        <f t="shared" si="1"/>
        <v/>
      </c>
      <c r="Q17" s="129" t="str">
        <f t="shared" si="2"/>
        <v/>
      </c>
      <c r="R17" s="129" t="str">
        <f t="shared" si="3"/>
        <v/>
      </c>
      <c r="S17" s="129" t="str">
        <f t="shared" si="4"/>
        <v/>
      </c>
      <c r="T17" s="145"/>
      <c r="BA17" s="78"/>
      <c r="BB17" s="132" t="s">
        <v>3309</v>
      </c>
      <c r="BC17" s="133"/>
      <c r="BD17" s="132" t="str">
        <f>IF(OR(B17="",BC17=""),"",COUNTIF(BC$7:BC17,"√"))</f>
        <v/>
      </c>
      <c r="BE17" s="134" t="str">
        <f t="shared" si="5"/>
        <v/>
      </c>
      <c r="BF17" s="135" t="str">
        <f t="shared" si="10"/>
        <v/>
      </c>
      <c r="BG17" s="135" t="str">
        <f t="shared" si="10"/>
        <v/>
      </c>
      <c r="BH17" s="136"/>
      <c r="BI17" s="136"/>
      <c r="BJ17" s="136"/>
      <c r="BK17" s="136"/>
      <c r="BL17" s="136"/>
      <c r="BM17" s="137"/>
      <c r="BN17" s="137"/>
      <c r="BO17" s="156">
        <f t="shared" si="6"/>
        <v>125.582477754962</v>
      </c>
      <c r="BQ17" s="134" t="str">
        <f>IF(COUNTIF(BQ$6:BQ16,C17)&gt;0,"",C17)&amp;""</f>
        <v/>
      </c>
      <c r="BR17" s="138">
        <f t="shared" si="11"/>
        <v>0</v>
      </c>
      <c r="BS17" s="132">
        <f t="shared" si="12"/>
        <v>1</v>
      </c>
      <c r="BT17" s="138">
        <f t="shared" si="13"/>
        <v>0</v>
      </c>
      <c r="BU17" s="132">
        <f t="shared" si="14"/>
        <v>1</v>
      </c>
      <c r="BV17" s="133"/>
      <c r="BW17" s="133"/>
    </row>
    <row r="18" ht="15" customHeight="1" spans="1:76">
      <c r="A18" s="123" t="str">
        <f>IF(B18="","",COUNT(A$6:A17)+1)</f>
        <v/>
      </c>
      <c r="B18" s="139"/>
      <c r="C18" s="141"/>
      <c r="D18" s="140"/>
      <c r="E18" s="126" t="str">
        <f t="shared" si="0"/>
        <v/>
      </c>
      <c r="F18" s="145"/>
      <c r="G18" s="142"/>
      <c r="H18" s="127" t="str">
        <f>IFERROR(VLOOKUP(G18,参数表!$H$2:$I$50,2,FALSE),"")</f>
        <v/>
      </c>
      <c r="I18" s="128" t="str">
        <f t="shared" si="15"/>
        <v/>
      </c>
      <c r="J18" s="143"/>
      <c r="K18" s="143"/>
      <c r="L18" s="144"/>
      <c r="M18" s="144"/>
      <c r="N18" s="129" t="str">
        <f t="shared" si="8"/>
        <v/>
      </c>
      <c r="O18" s="129" t="str">
        <f t="shared" si="9"/>
        <v/>
      </c>
      <c r="P18" s="129" t="str">
        <f t="shared" si="1"/>
        <v/>
      </c>
      <c r="Q18" s="129" t="str">
        <f t="shared" si="2"/>
        <v/>
      </c>
      <c r="R18" s="129" t="str">
        <f t="shared" si="3"/>
        <v/>
      </c>
      <c r="S18" s="129" t="str">
        <f t="shared" si="4"/>
        <v/>
      </c>
      <c r="T18" s="145"/>
      <c r="BA18" s="78"/>
      <c r="BB18" s="132" t="s">
        <v>3310</v>
      </c>
      <c r="BC18" s="133"/>
      <c r="BD18" s="132" t="str">
        <f>IF(OR(B18="",BC18=""),"",COUNTIF(BC$7:BC18,"√"))</f>
        <v/>
      </c>
      <c r="BE18" s="134" t="str">
        <f t="shared" si="5"/>
        <v/>
      </c>
      <c r="BF18" s="135" t="str">
        <f t="shared" si="10"/>
        <v/>
      </c>
      <c r="BG18" s="135" t="str">
        <f t="shared" si="10"/>
        <v/>
      </c>
      <c r="BH18" s="136"/>
      <c r="BI18" s="136"/>
      <c r="BJ18" s="136"/>
      <c r="BK18" s="136"/>
      <c r="BL18" s="136"/>
      <c r="BM18" s="137"/>
      <c r="BN18" s="137"/>
      <c r="BO18" s="156">
        <f t="shared" si="6"/>
        <v>125.582477754962</v>
      </c>
      <c r="BQ18" s="134" t="str">
        <f>IF(COUNTIF(BQ$6:BQ17,C18)&gt;0,"",C18)&amp;""</f>
        <v/>
      </c>
      <c r="BR18" s="138">
        <f t="shared" si="11"/>
        <v>0</v>
      </c>
      <c r="BS18" s="132">
        <f t="shared" si="12"/>
        <v>1</v>
      </c>
      <c r="BT18" s="138">
        <f t="shared" si="13"/>
        <v>0</v>
      </c>
      <c r="BU18" s="132">
        <f t="shared" si="14"/>
        <v>1</v>
      </c>
      <c r="BV18" s="133"/>
      <c r="BW18" s="133"/>
    </row>
    <row r="19" ht="15" customHeight="1" spans="1:76">
      <c r="A19" s="123" t="str">
        <f>IF(B19="","",COUNT(A$6:A18)+1)</f>
        <v/>
      </c>
      <c r="B19" s="139"/>
      <c r="C19" s="141"/>
      <c r="D19" s="140"/>
      <c r="E19" s="126" t="str">
        <f t="shared" si="0"/>
        <v/>
      </c>
      <c r="F19" s="145"/>
      <c r="G19" s="142"/>
      <c r="H19" s="127" t="str">
        <f>IFERROR(VLOOKUP(G19,参数表!$H$2:$I$50,2,FALSE),"")</f>
        <v/>
      </c>
      <c r="I19" s="128" t="str">
        <f t="shared" si="15"/>
        <v/>
      </c>
      <c r="J19" s="143"/>
      <c r="K19" s="143"/>
      <c r="L19" s="144"/>
      <c r="M19" s="144"/>
      <c r="N19" s="129" t="str">
        <f t="shared" si="8"/>
        <v/>
      </c>
      <c r="O19" s="129" t="str">
        <f t="shared" si="9"/>
        <v/>
      </c>
      <c r="P19" s="129" t="str">
        <f t="shared" si="1"/>
        <v/>
      </c>
      <c r="Q19" s="129" t="str">
        <f t="shared" si="2"/>
        <v/>
      </c>
      <c r="R19" s="129" t="str">
        <f t="shared" si="3"/>
        <v/>
      </c>
      <c r="S19" s="129" t="str">
        <f t="shared" si="4"/>
        <v/>
      </c>
      <c r="T19" s="145"/>
      <c r="BA19" s="78"/>
      <c r="BB19" s="132" t="s">
        <v>3311</v>
      </c>
      <c r="BC19" s="133"/>
      <c r="BD19" s="132" t="str">
        <f>IF(OR(B19="",BC19=""),"",COUNTIF(BC$7:BC19,"√"))</f>
        <v/>
      </c>
      <c r="BE19" s="134" t="str">
        <f t="shared" si="5"/>
        <v/>
      </c>
      <c r="BF19" s="135" t="str">
        <f t="shared" si="10"/>
        <v/>
      </c>
      <c r="BG19" s="135" t="str">
        <f t="shared" si="10"/>
        <v/>
      </c>
      <c r="BH19" s="136"/>
      <c r="BI19" s="136"/>
      <c r="BJ19" s="136"/>
      <c r="BK19" s="136"/>
      <c r="BL19" s="136"/>
      <c r="BM19" s="137"/>
      <c r="BN19" s="137"/>
      <c r="BO19" s="156">
        <f t="shared" si="6"/>
        <v>125.582477754962</v>
      </c>
      <c r="BQ19" s="134" t="str">
        <f>IF(COUNTIF(BQ$6:BQ18,C19)&gt;0,"",C19)&amp;""</f>
        <v/>
      </c>
      <c r="BR19" s="138">
        <f t="shared" si="11"/>
        <v>0</v>
      </c>
      <c r="BS19" s="132">
        <f t="shared" si="12"/>
        <v>1</v>
      </c>
      <c r="BT19" s="138">
        <f t="shared" si="13"/>
        <v>0</v>
      </c>
      <c r="BU19" s="132">
        <f t="shared" si="14"/>
        <v>1</v>
      </c>
      <c r="BV19" s="133"/>
      <c r="BW19" s="133"/>
    </row>
    <row r="20" ht="15" customHeight="1" spans="1:76">
      <c r="A20" s="123" t="str">
        <f>IF(B20="","",COUNT(A$6:A19)+1)</f>
        <v/>
      </c>
      <c r="B20" s="139"/>
      <c r="C20" s="141"/>
      <c r="D20" s="140"/>
      <c r="E20" s="126" t="str">
        <f t="shared" si="0"/>
        <v/>
      </c>
      <c r="F20" s="145"/>
      <c r="G20" s="142"/>
      <c r="H20" s="127" t="str">
        <f>IFERROR(VLOOKUP(G20,参数表!$H$2:$I$50,2,FALSE),"")</f>
        <v/>
      </c>
      <c r="I20" s="128" t="str">
        <f t="shared" si="15"/>
        <v/>
      </c>
      <c r="J20" s="143"/>
      <c r="K20" s="143"/>
      <c r="L20" s="144"/>
      <c r="M20" s="144"/>
      <c r="N20" s="129" t="str">
        <f t="shared" si="8"/>
        <v/>
      </c>
      <c r="O20" s="129" t="str">
        <f t="shared" si="9"/>
        <v/>
      </c>
      <c r="P20" s="129" t="str">
        <f t="shared" si="1"/>
        <v/>
      </c>
      <c r="Q20" s="129" t="str">
        <f t="shared" si="2"/>
        <v/>
      </c>
      <c r="R20" s="129" t="str">
        <f t="shared" si="3"/>
        <v/>
      </c>
      <c r="S20" s="129" t="str">
        <f t="shared" si="4"/>
        <v/>
      </c>
      <c r="T20" s="145"/>
      <c r="BA20" s="78"/>
      <c r="BB20" s="132" t="s">
        <v>3312</v>
      </c>
      <c r="BC20" s="133"/>
      <c r="BD20" s="132" t="str">
        <f>IF(OR(B20="",BC20=""),"",COUNTIF(BC$7:BC20,"√"))</f>
        <v/>
      </c>
      <c r="BE20" s="134" t="str">
        <f t="shared" si="5"/>
        <v/>
      </c>
      <c r="BF20" s="135" t="str">
        <f t="shared" si="10"/>
        <v/>
      </c>
      <c r="BG20" s="135" t="str">
        <f t="shared" si="10"/>
        <v/>
      </c>
      <c r="BH20" s="136"/>
      <c r="BI20" s="136"/>
      <c r="BJ20" s="136"/>
      <c r="BK20" s="136"/>
      <c r="BL20" s="136"/>
      <c r="BM20" s="137"/>
      <c r="BN20" s="137"/>
      <c r="BO20" s="156">
        <f t="shared" si="6"/>
        <v>125.582477754962</v>
      </c>
      <c r="BQ20" s="134" t="str">
        <f>IF(COUNTIF(BQ$6:BQ19,C20)&gt;0,"",C20)&amp;""</f>
        <v/>
      </c>
      <c r="BR20" s="138">
        <f t="shared" si="11"/>
        <v>0</v>
      </c>
      <c r="BS20" s="132">
        <f t="shared" si="12"/>
        <v>1</v>
      </c>
      <c r="BT20" s="138">
        <f t="shared" si="13"/>
        <v>0</v>
      </c>
      <c r="BU20" s="132">
        <f t="shared" si="14"/>
        <v>1</v>
      </c>
      <c r="BV20" s="133"/>
      <c r="BW20" s="133"/>
    </row>
    <row r="21" ht="15" customHeight="1" spans="1:76">
      <c r="A21" s="123" t="str">
        <f>IF(B21="","",COUNT(A$6:A20)+1)</f>
        <v/>
      </c>
      <c r="B21" s="139"/>
      <c r="C21" s="141"/>
      <c r="D21" s="140"/>
      <c r="E21" s="126" t="str">
        <f t="shared" si="0"/>
        <v/>
      </c>
      <c r="F21" s="145"/>
      <c r="G21" s="142"/>
      <c r="H21" s="127" t="str">
        <f>IFERROR(VLOOKUP(G21,参数表!$H$2:$I$50,2,FALSE),"")</f>
        <v/>
      </c>
      <c r="I21" s="128" t="str">
        <f t="shared" si="15"/>
        <v/>
      </c>
      <c r="J21" s="143"/>
      <c r="K21" s="143"/>
      <c r="L21" s="144"/>
      <c r="M21" s="144"/>
      <c r="N21" s="129" t="str">
        <f t="shared" si="8"/>
        <v/>
      </c>
      <c r="O21" s="129" t="str">
        <f t="shared" si="9"/>
        <v/>
      </c>
      <c r="P21" s="129" t="str">
        <f t="shared" si="1"/>
        <v/>
      </c>
      <c r="Q21" s="129" t="str">
        <f t="shared" si="2"/>
        <v/>
      </c>
      <c r="R21" s="129" t="str">
        <f t="shared" si="3"/>
        <v/>
      </c>
      <c r="S21" s="129" t="str">
        <f t="shared" si="4"/>
        <v/>
      </c>
      <c r="T21" s="145"/>
      <c r="BA21" s="78"/>
      <c r="BB21" s="132" t="s">
        <v>3313</v>
      </c>
      <c r="BC21" s="133"/>
      <c r="BD21" s="132" t="str">
        <f>IF(OR(B21="",BC21=""),"",COUNTIF(BC$7:BC21,"√"))</f>
        <v/>
      </c>
      <c r="BE21" s="134" t="str">
        <f t="shared" si="5"/>
        <v/>
      </c>
      <c r="BF21" s="135" t="str">
        <f t="shared" si="10"/>
        <v/>
      </c>
      <c r="BG21" s="135" t="str">
        <f t="shared" si="10"/>
        <v/>
      </c>
      <c r="BH21" s="136"/>
      <c r="BI21" s="136"/>
      <c r="BJ21" s="136"/>
      <c r="BK21" s="136"/>
      <c r="BL21" s="136"/>
      <c r="BM21" s="137"/>
      <c r="BN21" s="137"/>
      <c r="BO21" s="156">
        <f t="shared" si="6"/>
        <v>125.582477754962</v>
      </c>
      <c r="BQ21" s="134" t="str">
        <f>IF(COUNTIF(BQ$6:BQ20,C21)&gt;0,"",C21)&amp;""</f>
        <v/>
      </c>
      <c r="BR21" s="138">
        <f t="shared" si="11"/>
        <v>0</v>
      </c>
      <c r="BS21" s="132">
        <f t="shared" si="12"/>
        <v>1</v>
      </c>
      <c r="BT21" s="138">
        <f t="shared" si="13"/>
        <v>0</v>
      </c>
      <c r="BU21" s="132">
        <f t="shared" si="14"/>
        <v>1</v>
      </c>
      <c r="BV21" s="133"/>
      <c r="BW21" s="133"/>
    </row>
    <row r="22" ht="15" customHeight="1" spans="1:76">
      <c r="A22" s="123" t="str">
        <f>IF(B22="","",COUNT(A$6:A21)+1)</f>
        <v/>
      </c>
      <c r="B22" s="139"/>
      <c r="C22" s="141"/>
      <c r="D22" s="140"/>
      <c r="E22" s="126" t="str">
        <f t="shared" si="0"/>
        <v/>
      </c>
      <c r="F22" s="145"/>
      <c r="G22" s="142"/>
      <c r="H22" s="127" t="str">
        <f>IFERROR(VLOOKUP(G22,参数表!$H$2:$I$50,2,FALSE),"")</f>
        <v/>
      </c>
      <c r="I22" s="128" t="str">
        <f t="shared" si="15"/>
        <v/>
      </c>
      <c r="J22" s="143"/>
      <c r="K22" s="143"/>
      <c r="L22" s="144"/>
      <c r="M22" s="144"/>
      <c r="N22" s="129" t="str">
        <f t="shared" si="8"/>
        <v/>
      </c>
      <c r="O22" s="129" t="str">
        <f t="shared" si="9"/>
        <v/>
      </c>
      <c r="P22" s="129" t="str">
        <f t="shared" si="1"/>
        <v/>
      </c>
      <c r="Q22" s="129" t="str">
        <f t="shared" si="2"/>
        <v/>
      </c>
      <c r="R22" s="129" t="str">
        <f t="shared" si="3"/>
        <v/>
      </c>
      <c r="S22" s="129" t="str">
        <f t="shared" si="4"/>
        <v/>
      </c>
      <c r="T22" s="145"/>
      <c r="BA22" s="78"/>
      <c r="BB22" s="132" t="s">
        <v>3314</v>
      </c>
      <c r="BC22" s="133"/>
      <c r="BD22" s="132" t="str">
        <f>IF(OR(B22="",BC22=""),"",COUNTIF(BC$7:BC22,"√"))</f>
        <v/>
      </c>
      <c r="BE22" s="134" t="str">
        <f t="shared" si="5"/>
        <v/>
      </c>
      <c r="BF22" s="135" t="str">
        <f t="shared" si="10"/>
        <v/>
      </c>
      <c r="BG22" s="135" t="str">
        <f t="shared" si="10"/>
        <v/>
      </c>
      <c r="BH22" s="136"/>
      <c r="BI22" s="136"/>
      <c r="BJ22" s="136"/>
      <c r="BK22" s="136"/>
      <c r="BL22" s="136"/>
      <c r="BM22" s="137"/>
      <c r="BN22" s="137"/>
      <c r="BO22" s="156">
        <f t="shared" si="6"/>
        <v>125.582477754962</v>
      </c>
      <c r="BQ22" s="134" t="str">
        <f>IF(COUNTIF(BQ$6:BQ21,C22)&gt;0,"",C22)&amp;""</f>
        <v/>
      </c>
      <c r="BR22" s="138">
        <f t="shared" si="11"/>
        <v>0</v>
      </c>
      <c r="BS22" s="132">
        <f t="shared" si="12"/>
        <v>1</v>
      </c>
      <c r="BT22" s="138">
        <f t="shared" si="13"/>
        <v>0</v>
      </c>
      <c r="BU22" s="132">
        <f t="shared" si="14"/>
        <v>1</v>
      </c>
      <c r="BV22" s="133"/>
      <c r="BW22" s="133"/>
    </row>
    <row r="23" ht="15" customHeight="1" spans="1:76">
      <c r="A23" s="123" t="str">
        <f>IF(B23="","",COUNT(A$6:A22)+1)</f>
        <v/>
      </c>
      <c r="B23" s="139"/>
      <c r="C23" s="141"/>
      <c r="D23" s="140"/>
      <c r="E23" s="126" t="str">
        <f t="shared" si="0"/>
        <v/>
      </c>
      <c r="F23" s="145"/>
      <c r="G23" s="142"/>
      <c r="H23" s="127" t="str">
        <f>IFERROR(VLOOKUP(G23,参数表!$H$2:$I$50,2,FALSE),"")</f>
        <v/>
      </c>
      <c r="I23" s="128" t="str">
        <f t="shared" si="15"/>
        <v/>
      </c>
      <c r="J23" s="143"/>
      <c r="K23" s="143"/>
      <c r="L23" s="144"/>
      <c r="M23" s="144"/>
      <c r="N23" s="129" t="str">
        <f t="shared" si="8"/>
        <v/>
      </c>
      <c r="O23" s="129" t="str">
        <f t="shared" si="9"/>
        <v/>
      </c>
      <c r="P23" s="129" t="str">
        <f t="shared" si="1"/>
        <v/>
      </c>
      <c r="Q23" s="129" t="str">
        <f t="shared" si="2"/>
        <v/>
      </c>
      <c r="R23" s="129" t="str">
        <f t="shared" si="3"/>
        <v/>
      </c>
      <c r="S23" s="129" t="str">
        <f t="shared" si="4"/>
        <v/>
      </c>
      <c r="T23" s="145"/>
      <c r="BA23" s="78"/>
      <c r="BB23" s="132" t="s">
        <v>3315</v>
      </c>
      <c r="BC23" s="133"/>
      <c r="BD23" s="132" t="str">
        <f>IF(OR(B23="",BC23=""),"",COUNTIF(BC$7:BC23,"√"))</f>
        <v/>
      </c>
      <c r="BE23" s="134" t="str">
        <f t="shared" si="5"/>
        <v/>
      </c>
      <c r="BF23" s="135" t="str">
        <f t="shared" si="10"/>
        <v/>
      </c>
      <c r="BG23" s="135" t="str">
        <f t="shared" si="10"/>
        <v/>
      </c>
      <c r="BH23" s="136"/>
      <c r="BI23" s="136"/>
      <c r="BJ23" s="136"/>
      <c r="BK23" s="136"/>
      <c r="BL23" s="136"/>
      <c r="BM23" s="137"/>
      <c r="BN23" s="137"/>
      <c r="BO23" s="156">
        <f t="shared" si="6"/>
        <v>125.582477754962</v>
      </c>
      <c r="BQ23" s="134" t="str">
        <f>IF(COUNTIF(BQ$6:BQ22,C23)&gt;0,"",C23)&amp;""</f>
        <v/>
      </c>
      <c r="BR23" s="138">
        <f t="shared" si="11"/>
        <v>0</v>
      </c>
      <c r="BS23" s="132">
        <f t="shared" si="12"/>
        <v>1</v>
      </c>
      <c r="BT23" s="138">
        <f t="shared" si="13"/>
        <v>0</v>
      </c>
      <c r="BU23" s="132">
        <f t="shared" si="14"/>
        <v>1</v>
      </c>
      <c r="BV23" s="133"/>
      <c r="BW23" s="133"/>
    </row>
    <row r="24" ht="15" customHeight="1" spans="1:76">
      <c r="A24" s="123" t="str">
        <f>IF(B24="","",COUNT(A$6:A23)+1)</f>
        <v/>
      </c>
      <c r="B24" s="139"/>
      <c r="C24" s="141"/>
      <c r="D24" s="140"/>
      <c r="E24" s="126" t="str">
        <f t="shared" si="0"/>
        <v/>
      </c>
      <c r="F24" s="145"/>
      <c r="G24" s="142"/>
      <c r="H24" s="127" t="str">
        <f>IFERROR(VLOOKUP(G24,参数表!$H$2:$I$50,2,FALSE),"")</f>
        <v/>
      </c>
      <c r="I24" s="128" t="str">
        <f t="shared" si="15"/>
        <v/>
      </c>
      <c r="J24" s="143"/>
      <c r="K24" s="143"/>
      <c r="L24" s="144"/>
      <c r="M24" s="144"/>
      <c r="N24" s="129" t="str">
        <f t="shared" si="8"/>
        <v/>
      </c>
      <c r="O24" s="129" t="str">
        <f t="shared" si="9"/>
        <v/>
      </c>
      <c r="P24" s="129" t="str">
        <f t="shared" si="1"/>
        <v/>
      </c>
      <c r="Q24" s="129" t="str">
        <f t="shared" si="2"/>
        <v/>
      </c>
      <c r="R24" s="129" t="str">
        <f t="shared" si="3"/>
        <v/>
      </c>
      <c r="S24" s="129" t="str">
        <f t="shared" si="4"/>
        <v/>
      </c>
      <c r="T24" s="145"/>
      <c r="BA24" s="78"/>
      <c r="BB24" s="132" t="s">
        <v>3316</v>
      </c>
      <c r="BC24" s="133"/>
      <c r="BD24" s="132" t="str">
        <f>IF(OR(B24="",BC24=""),"",COUNTIF(BC$7:BC24,"√"))</f>
        <v/>
      </c>
      <c r="BE24" s="134" t="str">
        <f t="shared" si="5"/>
        <v/>
      </c>
      <c r="BF24" s="135" t="str">
        <f t="shared" si="10"/>
        <v/>
      </c>
      <c r="BG24" s="135" t="str">
        <f t="shared" si="10"/>
        <v/>
      </c>
      <c r="BH24" s="136"/>
      <c r="BI24" s="136"/>
      <c r="BJ24" s="136"/>
      <c r="BK24" s="136"/>
      <c r="BL24" s="136"/>
      <c r="BM24" s="137"/>
      <c r="BN24" s="137"/>
      <c r="BO24" s="156">
        <f t="shared" si="6"/>
        <v>125.582477754962</v>
      </c>
      <c r="BQ24" s="134" t="str">
        <f>IF(COUNTIF(BQ$6:BQ23,C24)&gt;0,"",C24)&amp;""</f>
        <v/>
      </c>
      <c r="BR24" s="138">
        <f t="shared" si="11"/>
        <v>0</v>
      </c>
      <c r="BS24" s="132">
        <f t="shared" si="12"/>
        <v>1</v>
      </c>
      <c r="BT24" s="138">
        <f t="shared" si="13"/>
        <v>0</v>
      </c>
      <c r="BU24" s="132">
        <f t="shared" si="14"/>
        <v>1</v>
      </c>
      <c r="BV24" s="133"/>
      <c r="BW24" s="133"/>
    </row>
    <row r="25" ht="15" customHeight="1" spans="1:76">
      <c r="A25" s="123" t="str">
        <f>IF(B25="","",COUNT(A$6:A24)+1)</f>
        <v/>
      </c>
      <c r="B25" s="139"/>
      <c r="C25" s="141"/>
      <c r="D25" s="140"/>
      <c r="E25" s="126" t="str">
        <f t="shared" si="0"/>
        <v/>
      </c>
      <c r="F25" s="145"/>
      <c r="G25" s="142"/>
      <c r="H25" s="127" t="str">
        <f>IFERROR(VLOOKUP(G25,参数表!$H$2:$I$50,2,FALSE),"")</f>
        <v/>
      </c>
      <c r="I25" s="128" t="str">
        <f t="shared" si="15"/>
        <v/>
      </c>
      <c r="J25" s="143"/>
      <c r="K25" s="143"/>
      <c r="L25" s="144"/>
      <c r="M25" s="144"/>
      <c r="N25" s="129" t="str">
        <f t="shared" si="8"/>
        <v/>
      </c>
      <c r="O25" s="129" t="str">
        <f t="shared" si="9"/>
        <v/>
      </c>
      <c r="P25" s="129" t="str">
        <f t="shared" si="1"/>
        <v/>
      </c>
      <c r="Q25" s="129" t="str">
        <f t="shared" si="2"/>
        <v/>
      </c>
      <c r="R25" s="129" t="str">
        <f t="shared" si="3"/>
        <v/>
      </c>
      <c r="S25" s="129" t="str">
        <f t="shared" si="4"/>
        <v/>
      </c>
      <c r="T25" s="145"/>
      <c r="BA25" s="78"/>
      <c r="BB25" s="132" t="s">
        <v>3317</v>
      </c>
      <c r="BC25" s="133"/>
      <c r="BD25" s="132" t="str">
        <f>IF(OR(B25="",BC25=""),"",COUNTIF(BC$7:BC25,"√"))</f>
        <v/>
      </c>
      <c r="BE25" s="134" t="str">
        <f t="shared" si="5"/>
        <v/>
      </c>
      <c r="BF25" s="135" t="str">
        <f t="shared" si="10"/>
        <v/>
      </c>
      <c r="BG25" s="135" t="str">
        <f t="shared" si="10"/>
        <v/>
      </c>
      <c r="BH25" s="136"/>
      <c r="BI25" s="136"/>
      <c r="BJ25" s="136"/>
      <c r="BK25" s="136"/>
      <c r="BL25" s="136"/>
      <c r="BM25" s="137"/>
      <c r="BN25" s="137"/>
      <c r="BO25" s="156">
        <f t="shared" si="6"/>
        <v>125.582477754962</v>
      </c>
      <c r="BQ25" s="134" t="str">
        <f>IF(COUNTIF(BQ$6:BQ24,C25)&gt;0,"",C25)&amp;""</f>
        <v/>
      </c>
      <c r="BR25" s="138">
        <f t="shared" si="11"/>
        <v>0</v>
      </c>
      <c r="BS25" s="132">
        <f t="shared" si="12"/>
        <v>1</v>
      </c>
      <c r="BT25" s="138">
        <f t="shared" si="13"/>
        <v>0</v>
      </c>
      <c r="BU25" s="132">
        <f t="shared" si="14"/>
        <v>1</v>
      </c>
      <c r="BV25" s="133"/>
      <c r="BW25" s="133"/>
    </row>
    <row r="26" ht="15" customHeight="1" spans="1:76">
      <c r="A26" s="123" t="str">
        <f>IF(B26="","",COUNT(A$6:A25)+1)</f>
        <v/>
      </c>
      <c r="B26" s="124"/>
      <c r="C26" s="126"/>
      <c r="D26" s="125"/>
      <c r="E26" s="126" t="str">
        <f t="shared" si="0"/>
        <v/>
      </c>
      <c r="F26" s="131"/>
      <c r="G26" s="127"/>
      <c r="H26" s="127" t="str">
        <f>IFERROR(VLOOKUP(G26,参数表!$H$2:$I$50,2,FALSE),"")</f>
        <v/>
      </c>
      <c r="I26" s="128" t="str">
        <f t="shared" si="15"/>
        <v/>
      </c>
      <c r="J26" s="129"/>
      <c r="K26" s="129"/>
      <c r="L26" s="130"/>
      <c r="M26" s="130"/>
      <c r="N26" s="129" t="str">
        <f t="shared" si="8"/>
        <v/>
      </c>
      <c r="O26" s="129" t="str">
        <f t="shared" si="9"/>
        <v/>
      </c>
      <c r="P26" s="129" t="str">
        <f t="shared" si="1"/>
        <v/>
      </c>
      <c r="Q26" s="129" t="str">
        <f t="shared" si="2"/>
        <v/>
      </c>
      <c r="R26" s="129" t="str">
        <f t="shared" si="3"/>
        <v/>
      </c>
      <c r="S26" s="129" t="str">
        <f t="shared" si="4"/>
        <v/>
      </c>
      <c r="T26" s="131"/>
      <c r="BA26" s="78"/>
      <c r="BB26" s="132" t="s">
        <v>3318</v>
      </c>
      <c r="BC26" s="133"/>
      <c r="BD26" s="132" t="str">
        <f>IF(OR(B26="",BC26=""),"",COUNTIF(BC$7:BC26,"√"))</f>
        <v/>
      </c>
      <c r="BE26" s="134" t="str">
        <f t="shared" si="5"/>
        <v/>
      </c>
      <c r="BF26" s="135" t="str">
        <f t="shared" si="10"/>
        <v/>
      </c>
      <c r="BG26" s="135" t="str">
        <f t="shared" si="10"/>
        <v/>
      </c>
      <c r="BH26" s="136"/>
      <c r="BI26" s="136"/>
      <c r="BJ26" s="136"/>
      <c r="BK26" s="136"/>
      <c r="BL26" s="136"/>
      <c r="BM26" s="137"/>
      <c r="BN26" s="137"/>
      <c r="BO26" s="156">
        <f t="shared" si="6"/>
        <v>125.582477754962</v>
      </c>
      <c r="BQ26" s="134" t="str">
        <f>IF(COUNTIF(BQ$6:BQ25,C26)&gt;0,"",C26)&amp;""</f>
        <v/>
      </c>
      <c r="BR26" s="138">
        <f t="shared" si="11"/>
        <v>0</v>
      </c>
      <c r="BS26" s="132">
        <f t="shared" si="12"/>
        <v>1</v>
      </c>
      <c r="BT26" s="138">
        <f t="shared" si="13"/>
        <v>0</v>
      </c>
      <c r="BU26" s="132">
        <f t="shared" si="14"/>
        <v>1</v>
      </c>
      <c r="BV26" s="133"/>
      <c r="BW26" s="133"/>
    </row>
    <row r="27" s="73" customFormat="1" ht="15" customHeight="1" spans="1:76">
      <c r="A27" s="149" t="s">
        <v>1954</v>
      </c>
      <c r="B27" s="149"/>
      <c r="C27" s="149"/>
      <c r="D27" s="150"/>
      <c r="E27" s="151"/>
      <c r="F27" s="151"/>
      <c r="G27" s="151"/>
      <c r="H27" s="151"/>
      <c r="I27" s="151"/>
      <c r="J27" s="152">
        <f>SUM(J7:J26)</f>
        <v>0</v>
      </c>
      <c r="K27" s="152">
        <f>SUM(K7:K26)</f>
        <v>0</v>
      </c>
      <c r="L27" s="153"/>
      <c r="M27" s="153"/>
      <c r="N27" s="152">
        <f>SUM(N7:N26)</f>
        <v>0</v>
      </c>
      <c r="O27" s="152">
        <f>SUM(O7:O26)</f>
        <v>0</v>
      </c>
      <c r="P27" s="152">
        <f>SUM(P7:P26)</f>
        <v>0</v>
      </c>
      <c r="Q27" s="152">
        <f>SUM(Q7:Q26)</f>
        <v>0</v>
      </c>
      <c r="R27" s="152">
        <f t="shared" si="3"/>
        <v>0</v>
      </c>
      <c r="S27" s="152" t="str">
        <f t="shared" si="4"/>
        <v/>
      </c>
      <c r="T27" s="151"/>
      <c r="BH27" s="72"/>
      <c r="BI27" s="72"/>
      <c r="BJ27" s="72"/>
      <c r="BK27" s="72"/>
      <c r="BL27" s="72"/>
      <c r="BM27" s="72"/>
      <c r="BP27" s="111"/>
      <c r="BQ27" s="119"/>
      <c r="BR27" s="77"/>
      <c r="BS27" s="77"/>
      <c r="BT27" s="77"/>
      <c r="BU27" s="119"/>
      <c r="BV27" s="119"/>
      <c r="BW27" s="119"/>
      <c r="BX27" s="111"/>
    </row>
    <row r="28" ht="15" customHeight="1" spans="1:76">
      <c r="A28" s="126" t="s">
        <v>1955</v>
      </c>
      <c r="B28" s="126"/>
      <c r="C28" s="126"/>
      <c r="D28" s="213"/>
      <c r="E28" s="131"/>
      <c r="F28" s="131"/>
      <c r="G28" s="131"/>
      <c r="H28" s="131"/>
      <c r="I28" s="131"/>
      <c r="J28" s="129">
        <f>K27</f>
        <v>0</v>
      </c>
      <c r="K28" s="129"/>
      <c r="L28" s="130"/>
      <c r="M28" s="130"/>
      <c r="N28" s="129">
        <f>O27</f>
        <v>0</v>
      </c>
      <c r="O28" s="129"/>
      <c r="P28" s="129">
        <v>0</v>
      </c>
      <c r="Q28" s="129"/>
      <c r="R28" s="129">
        <f t="shared" si="3"/>
        <v>0</v>
      </c>
      <c r="S28" s="129" t="str">
        <f t="shared" si="4"/>
        <v/>
      </c>
      <c r="T28" s="131"/>
      <c r="BC28" s="75"/>
      <c r="BD28" s="75"/>
      <c r="BE28" s="75"/>
      <c r="BH28" s="165"/>
      <c r="BI28" s="165"/>
      <c r="BJ28" s="165"/>
      <c r="BK28" s="165"/>
      <c r="BL28" s="165"/>
      <c r="BM28" s="165"/>
    </row>
    <row r="29" ht="15" customHeight="1" spans="1:76">
      <c r="A29" s="126" t="s">
        <v>1956</v>
      </c>
      <c r="B29" s="126"/>
      <c r="C29" s="126"/>
      <c r="D29" s="213"/>
      <c r="E29" s="131"/>
      <c r="F29" s="131"/>
      <c r="G29" s="131"/>
      <c r="H29" s="131"/>
      <c r="I29" s="131"/>
      <c r="J29" s="129"/>
      <c r="K29" s="129"/>
      <c r="L29" s="130"/>
      <c r="M29" s="130"/>
      <c r="N29" s="129"/>
      <c r="O29" s="129"/>
      <c r="P29" s="129">
        <f>IF(BB$3="是",Q27,0)</f>
        <v>0</v>
      </c>
      <c r="Q29" s="129"/>
      <c r="R29" s="129">
        <f t="shared" si="3"/>
        <v>0</v>
      </c>
      <c r="S29" s="129" t="str">
        <f t="shared" si="4"/>
        <v/>
      </c>
      <c r="T29" s="131"/>
      <c r="BC29" s="75"/>
      <c r="BD29" s="75"/>
      <c r="BE29" s="75"/>
      <c r="BH29" s="165"/>
      <c r="BI29" s="165"/>
      <c r="BJ29" s="165"/>
      <c r="BK29" s="165"/>
      <c r="BL29" s="165"/>
      <c r="BM29" s="165"/>
    </row>
    <row r="30" s="73" customFormat="1" ht="15" customHeight="1" spans="1:76">
      <c r="A30" s="149" t="s">
        <v>1957</v>
      </c>
      <c r="B30" s="149"/>
      <c r="C30" s="151"/>
      <c r="D30" s="356"/>
      <c r="E30" s="151"/>
      <c r="F30" s="151"/>
      <c r="G30" s="151"/>
      <c r="H30" s="151"/>
      <c r="I30" s="151"/>
      <c r="J30" s="152">
        <f>J27-J28</f>
        <v>0</v>
      </c>
      <c r="K30" s="152"/>
      <c r="L30" s="153"/>
      <c r="M30" s="153"/>
      <c r="N30" s="152">
        <f>N27-N28</f>
        <v>0</v>
      </c>
      <c r="O30" s="152"/>
      <c r="P30" s="152">
        <f>P27-P29</f>
        <v>0</v>
      </c>
      <c r="Q30" s="152"/>
      <c r="R30" s="152">
        <f t="shared" si="3"/>
        <v>0</v>
      </c>
      <c r="S30" s="152" t="str">
        <f t="shared" si="4"/>
        <v/>
      </c>
      <c r="T30" s="151"/>
      <c r="BH30" s="72"/>
      <c r="BI30" s="72"/>
      <c r="BJ30" s="72"/>
      <c r="BK30" s="72"/>
      <c r="BL30" s="72"/>
      <c r="BM30" s="72"/>
      <c r="BP30" s="77"/>
      <c r="BQ30" s="78"/>
      <c r="BR30" s="77"/>
      <c r="BS30" s="78"/>
      <c r="BT30" s="78"/>
      <c r="BU30" s="78"/>
      <c r="BV30" s="78"/>
      <c r="BW30" s="78"/>
      <c r="BX30" s="77"/>
    </row>
    <row r="31" ht="15.75" customHeight="1" spans="1:76">
      <c r="A31" s="102" t="str">
        <f>参数表!F$6</f>
        <v>产权持有单位填表人：贾广东</v>
      </c>
      <c r="B31" s="154"/>
      <c r="C31" s="154"/>
      <c r="D31" s="154"/>
      <c r="E31" s="154"/>
      <c r="F31" s="154"/>
      <c r="G31" s="154"/>
      <c r="H31" s="154"/>
      <c r="I31" s="154"/>
      <c r="J31" s="103"/>
      <c r="K31" s="103"/>
      <c r="L31" s="104"/>
      <c r="M31" s="104"/>
      <c r="N31" s="103"/>
      <c r="O31" s="103"/>
      <c r="P31" s="103" t="str">
        <f>"评估人员："&amp;封面!$G$20</f>
        <v>评估人员：栗祥宁</v>
      </c>
      <c r="Q31" s="103"/>
      <c r="R31" s="103"/>
      <c r="S31" s="103"/>
      <c r="T31" s="103"/>
      <c r="BC31" s="75"/>
      <c r="BD31" s="75"/>
      <c r="BE31" s="75"/>
      <c r="BH31" s="165"/>
      <c r="BI31" s="165"/>
      <c r="BJ31" s="165"/>
      <c r="BK31" s="165"/>
      <c r="BL31" s="165"/>
      <c r="BM31" s="165"/>
    </row>
    <row r="32" ht="15.75" customHeight="1" spans="1:76">
      <c r="A32" s="102" t="str">
        <f>参数表!F$7</f>
        <v>填表日期：2025年9月20日</v>
      </c>
      <c r="B32" s="154"/>
      <c r="C32" s="154"/>
      <c r="D32" s="154"/>
      <c r="E32" s="154"/>
      <c r="F32" s="154"/>
      <c r="G32" s="154"/>
      <c r="H32" s="154"/>
      <c r="I32" s="154"/>
      <c r="J32" s="103"/>
      <c r="K32" s="103"/>
      <c r="L32" s="104"/>
      <c r="M32" s="104"/>
      <c r="N32" s="103"/>
      <c r="O32" s="103"/>
      <c r="P32" s="103"/>
      <c r="Q32" s="103"/>
      <c r="R32" s="103"/>
      <c r="S32" s="103"/>
      <c r="T32" s="103"/>
      <c r="BC32" s="75"/>
      <c r="BD32" s="75"/>
      <c r="BE32" s="75"/>
      <c r="BH32" s="165"/>
      <c r="BI32" s="165"/>
      <c r="BJ32" s="165"/>
      <c r="BK32" s="165"/>
      <c r="BL32" s="165"/>
      <c r="BM32" s="165"/>
    </row>
    <row r="33" ht="15.75" hidden="1" customHeight="1" outlineLevel="1" spans="1:65">
      <c r="A33" s="157"/>
      <c r="B33" s="154" t="s">
        <v>1673</v>
      </c>
      <c r="C33" s="158"/>
      <c r="D33" s="158"/>
      <c r="E33" s="158"/>
      <c r="F33" s="158"/>
      <c r="G33" s="158"/>
      <c r="H33" s="158"/>
      <c r="I33" s="158"/>
      <c r="J33" s="159">
        <f>SUMIF($BA7:$BA26,$BA33,J7:J26)</f>
        <v>0</v>
      </c>
      <c r="K33" s="159">
        <f>SUMIF($BA7:$BA26,$BA33,K7:K26)</f>
        <v>0</v>
      </c>
      <c r="L33" s="202"/>
      <c r="M33" s="202"/>
      <c r="N33" s="159">
        <f>SUMIF($BA7:$BA26,$BA33,N7:N26)</f>
        <v>0</v>
      </c>
      <c r="O33" s="159">
        <f>SUMIF($BA7:$BA26,$BA33,O7:O26)</f>
        <v>0</v>
      </c>
      <c r="P33" s="159">
        <f>SUMIF($BA7:$BA26,$BA33,P7:P26)</f>
        <v>0</v>
      </c>
      <c r="Q33" s="159">
        <f>SUMIF($BA7:$BA26,$BA33,Q7:Q26)</f>
        <v>0</v>
      </c>
      <c r="BA33" s="161" t="s">
        <v>1674</v>
      </c>
      <c r="BC33" s="75"/>
      <c r="BD33" s="75"/>
      <c r="BE33" s="75"/>
      <c r="BH33" s="95" t="s">
        <v>1675</v>
      </c>
      <c r="BI33" s="95" t="s">
        <v>1675</v>
      </c>
      <c r="BJ33" s="95" t="s">
        <v>1675</v>
      </c>
      <c r="BK33" s="95" t="s">
        <v>1674</v>
      </c>
      <c r="BL33" s="95" t="s">
        <v>1674</v>
      </c>
      <c r="BM33" s="165"/>
    </row>
    <row r="34" ht="15.75" hidden="1" customHeight="1" outlineLevel="1" spans="1:65">
      <c r="A34" s="157"/>
      <c r="B34" s="154" t="s">
        <v>1676</v>
      </c>
      <c r="C34" s="158"/>
      <c r="D34" s="158"/>
      <c r="E34" s="158"/>
      <c r="F34" s="158"/>
      <c r="G34" s="158"/>
      <c r="H34" s="158"/>
      <c r="I34" s="158"/>
      <c r="J34" s="159">
        <f>J27-J33</f>
        <v>0</v>
      </c>
      <c r="K34" s="159">
        <f>K27-K33</f>
        <v>0</v>
      </c>
      <c r="L34" s="202"/>
      <c r="M34" s="202"/>
      <c r="N34" s="159">
        <f>N27-N33</f>
        <v>0</v>
      </c>
      <c r="O34" s="159">
        <f>O27-O33</f>
        <v>0</v>
      </c>
      <c r="P34" s="159">
        <f>P27-P33</f>
        <v>0</v>
      </c>
      <c r="Q34" s="159">
        <f>Q27-Q33</f>
        <v>0</v>
      </c>
      <c r="BA34" s="161" t="s">
        <v>1677</v>
      </c>
      <c r="BC34" s="75"/>
      <c r="BD34" s="75"/>
      <c r="BE34" s="75"/>
      <c r="BH34" s="95" t="s">
        <v>1678</v>
      </c>
      <c r="BI34" s="95" t="s">
        <v>1678</v>
      </c>
      <c r="BJ34" s="95" t="s">
        <v>1678</v>
      </c>
      <c r="BK34" s="95" t="s">
        <v>1677</v>
      </c>
      <c r="BL34" s="95" t="s">
        <v>1677</v>
      </c>
      <c r="BM34" s="165"/>
    </row>
    <row r="35" ht="15.75" customHeight="1" collapsed="1" spans="1:65">
      <c r="A35" s="157"/>
      <c r="B35" s="158"/>
      <c r="C35" s="158"/>
      <c r="D35" s="158"/>
      <c r="E35" s="158"/>
      <c r="F35" s="158"/>
      <c r="G35" s="158"/>
      <c r="H35" s="158"/>
      <c r="I35" s="158"/>
      <c r="BC35" s="75"/>
      <c r="BD35" s="75"/>
      <c r="BE35" s="75"/>
      <c r="BH35" s="165"/>
      <c r="BI35" s="165"/>
      <c r="BJ35" s="165"/>
      <c r="BK35" s="165"/>
      <c r="BL35" s="165"/>
      <c r="BM35" s="165"/>
    </row>
    <row r="36" ht="15.75" customHeight="1" spans="1:65">
      <c r="A36" s="157"/>
      <c r="B36" s="158"/>
      <c r="C36" s="158"/>
      <c r="D36" s="158"/>
      <c r="E36" s="158"/>
      <c r="F36" s="158"/>
      <c r="G36" s="158"/>
      <c r="H36" s="158"/>
      <c r="I36" s="158"/>
    </row>
    <row r="37" ht="15.75" customHeight="1" spans="1:65">
      <c r="A37" s="157"/>
      <c r="B37" s="158"/>
      <c r="C37" s="158"/>
      <c r="D37" s="158"/>
      <c r="E37" s="158"/>
      <c r="F37" s="158"/>
      <c r="G37" s="158"/>
      <c r="H37" s="158"/>
      <c r="I37" s="158"/>
    </row>
    <row r="38" ht="15.75" customHeight="1" spans="1:65">
      <c r="A38" s="157"/>
      <c r="B38" s="158"/>
      <c r="C38" s="158"/>
      <c r="D38" s="158"/>
      <c r="E38" s="158"/>
      <c r="F38" s="158"/>
      <c r="G38" s="158"/>
      <c r="H38" s="158"/>
      <c r="I38" s="158"/>
    </row>
    <row r="39" ht="15.75" customHeight="1" spans="1:65">
      <c r="A39" s="157"/>
      <c r="B39" s="158"/>
      <c r="C39" s="158"/>
      <c r="D39" s="158"/>
      <c r="E39" s="158"/>
      <c r="F39" s="158"/>
      <c r="G39" s="158"/>
      <c r="H39" s="158"/>
      <c r="I39" s="158"/>
    </row>
    <row r="40" ht="15.75" customHeight="1" spans="1:65">
      <c r="A40" s="157"/>
      <c r="B40" s="158"/>
      <c r="C40" s="158"/>
      <c r="D40" s="158"/>
      <c r="E40" s="158"/>
      <c r="F40" s="158"/>
      <c r="G40" s="158"/>
      <c r="H40" s="158"/>
      <c r="I40" s="158"/>
    </row>
    <row r="41" ht="15.75" customHeight="1" spans="1:65">
      <c r="A41" s="157"/>
      <c r="B41" s="158"/>
      <c r="C41" s="158"/>
      <c r="D41" s="158"/>
      <c r="E41" s="158"/>
      <c r="F41" s="158"/>
      <c r="G41" s="158"/>
      <c r="H41" s="158"/>
      <c r="I41" s="158"/>
    </row>
  </sheetData>
  <mergeCells count="9">
    <mergeCell ref="A2:T2"/>
    <mergeCell ref="A3:T3"/>
    <mergeCell ref="BV7:BX7"/>
    <mergeCell ref="BV8:BX8"/>
    <mergeCell ref="BW14:BX14"/>
    <mergeCell ref="A27:B27"/>
    <mergeCell ref="A28:B28"/>
    <mergeCell ref="A29:B29"/>
    <mergeCell ref="A30:B30"/>
  </mergeCells>
  <conditionalFormatting sqref="BI7:BL7">
    <cfRule type="expression" dxfId="5" priority="4" stopIfTrue="1">
      <formula>AND($B7&lt;&gt;"",BI7="")</formula>
    </cfRule>
  </conditionalFormatting>
  <conditionalFormatting sqref="BM7:BM26">
    <cfRule type="expression" dxfId="5" priority="3"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M8:BM25 BH26:BM26 BH7:BL25">
    <cfRule type="expression" dxfId="5" priority="5" stopIfTrue="1">
      <formula>AND($B7&lt;&gt;"",BH7="")</formula>
    </cfRule>
  </conditionalFormatting>
  <dataValidations count="4">
    <dataValidation type="list" allowBlank="1" showInputMessage="1" showErrorMessage="1" sqref="G7:G26">
      <formula1>OFFSET(参数表!$H$2:$H$50,,,COUNTA(参数表!$H$2:$H$50))</formula1>
    </dataValidation>
    <dataValidation type="list" allowBlank="1" showInputMessage="1" showErrorMessage="1" sqref="BA7:BA26 BA33:BA34">
      <formula1>"是,否"</formula1>
    </dataValidation>
    <dataValidation type="list" allowBlank="1" showInputMessage="1" showErrorMessage="1" sqref="BC7:BC26">
      <formula1>"  ,√"</formula1>
    </dataValidation>
    <dataValidation type="list" allowBlank="1" showInputMessage="1" showErrorMessage="1" sqref="BH7:BL26">
      <formula1>BH$33:BH$34</formula1>
    </dataValidation>
  </dataValidations>
  <hyperlinks>
    <hyperlink ref="A1" location="索引目录!D14" display="返回索引页"/>
    <hyperlink ref="B1" location="流动资产汇总表!B15" display="返回"/>
  </hyperlinks>
  <printOptions horizontalCentered="1"/>
  <pageMargins left="0.708661417322835" right="0.708661417322835" top="0.748031496062992" bottom="0.748031496062992" header="0.31496062992126" footer="0.31496062992126"/>
  <pageSetup paperSize="9" orientation="landscape" blackAndWhite="1"/>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dimension ref="A1:BW32"/>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5.5" style="290" customWidth="1"/>
    <col min="2" max="2" width="24.8" style="229" customWidth="1"/>
    <col min="3" max="3" width="10" style="229" customWidth="1"/>
    <col min="4" max="4" width="12.5" style="229" customWidth="1"/>
    <col min="5" max="6" width="4.6" style="229" customWidth="1" outlineLevel="1"/>
    <col min="7" max="7" width="6.1" style="229" customWidth="1" outlineLevel="1"/>
    <col min="8" max="9" width="17.5" style="229" customWidth="1" outlineLevel="1"/>
    <col min="10" max="10" width="17.5" style="229" customWidth="1"/>
    <col min="11" max="11" width="18.2" style="229" customWidth="1"/>
    <col min="12" max="12" width="10.3" style="229" customWidth="1"/>
    <col min="13" max="13" width="10.2" style="229" customWidth="1"/>
    <col min="14" max="52" width="9" style="229" hidden="1" customWidth="1" outlineLevel="1"/>
    <col min="53" max="53" width="14.7" style="229" customWidth="1" collapsed="1"/>
    <col min="54" max="54" width="6.7" style="229" customWidth="1"/>
    <col min="55" max="56" width="5.1" style="254" customWidth="1"/>
    <col min="57" max="57" width="8.7" style="254" customWidth="1"/>
    <col min="58" max="59" width="9.8" style="254" customWidth="1"/>
    <col min="60" max="63" width="4.7" style="229" customWidth="1"/>
    <col min="64" max="64" width="6.7" style="229" customWidth="1"/>
    <col min="65" max="65" width="10.3" style="229" customWidth="1"/>
    <col min="66" max="66" width="8.7" style="229"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229"/>
  </cols>
  <sheetData>
    <row r="1" customHeight="1" spans="1:75">
      <c r="A1" s="203" t="s">
        <v>1591</v>
      </c>
      <c r="B1" s="204" t="s">
        <v>1592</v>
      </c>
      <c r="BA1" s="84" t="str">
        <f>参数表!BA1</f>
        <v>注意：补充特殊事项、作价等均从BA列开始填写</v>
      </c>
      <c r="BB1" s="85"/>
      <c r="BO1" s="87"/>
      <c r="BP1" s="88"/>
      <c r="BQ1" s="87"/>
      <c r="BR1" s="88"/>
      <c r="BS1" s="88"/>
      <c r="BT1" s="88"/>
      <c r="BU1" s="88"/>
      <c r="BV1" s="88"/>
      <c r="BW1" s="87"/>
    </row>
    <row r="2" s="237" customFormat="1" ht="30" customHeight="1" spans="1:75">
      <c r="A2" s="294" t="s">
        <v>3319</v>
      </c>
      <c r="B2" s="294"/>
      <c r="C2" s="294"/>
      <c r="D2" s="294"/>
      <c r="E2" s="294"/>
      <c r="F2" s="294"/>
      <c r="G2" s="294"/>
      <c r="H2" s="294"/>
      <c r="I2" s="294"/>
      <c r="J2" s="294"/>
      <c r="K2" s="294"/>
      <c r="L2" s="294"/>
      <c r="M2" s="294"/>
      <c r="BA2" s="90" t="str">
        <f>参数表!BA2</f>
        <v>评估基准日：</v>
      </c>
      <c r="BB2" s="91" t="str">
        <f>参数表!BB2</f>
        <v>2025年7月31日</v>
      </c>
      <c r="BC2" s="295"/>
      <c r="BD2" s="295"/>
      <c r="BE2" s="295"/>
      <c r="BF2" s="295"/>
      <c r="BG2" s="295"/>
      <c r="BO2" s="92"/>
      <c r="BP2" s="93"/>
      <c r="BQ2" s="92"/>
      <c r="BR2" s="93"/>
      <c r="BS2" s="93"/>
      <c r="BT2" s="93"/>
      <c r="BU2" s="93"/>
      <c r="BV2" s="93"/>
      <c r="BW2" s="92"/>
    </row>
    <row r="3" ht="14.1" customHeight="1" spans="1:75">
      <c r="A3" s="296" t="str">
        <f>参数表!F5</f>
        <v>评估基准日：2025年7月31日</v>
      </c>
      <c r="B3" s="296"/>
      <c r="C3" s="296"/>
      <c r="D3" s="296"/>
      <c r="E3" s="296"/>
      <c r="F3" s="296"/>
      <c r="G3" s="296"/>
      <c r="H3" s="296"/>
      <c r="I3" s="296"/>
      <c r="J3" s="296"/>
      <c r="K3" s="296"/>
      <c r="L3" s="162"/>
      <c r="M3" s="162"/>
      <c r="BA3" s="90" t="str">
        <f>参数表!BA3</f>
        <v>是否显示评估值：</v>
      </c>
      <c r="BB3" s="90" t="str">
        <f>参数表!BB3</f>
        <v>是</v>
      </c>
      <c r="BQ3" s="78"/>
    </row>
    <row r="4" ht="14.1" customHeight="1" spans="1:75">
      <c r="A4" s="297"/>
      <c r="B4" s="296"/>
      <c r="C4" s="296"/>
      <c r="D4" s="296"/>
      <c r="E4" s="296"/>
      <c r="F4" s="296"/>
      <c r="G4" s="296"/>
      <c r="H4" s="296"/>
      <c r="I4" s="296"/>
      <c r="J4" s="296"/>
      <c r="K4" s="296"/>
      <c r="L4" s="162"/>
      <c r="M4" s="300" t="str">
        <f>"表"&amp;$BA4</f>
        <v>表3-12</v>
      </c>
      <c r="BA4" s="162" t="str">
        <f>流动资总!A18</f>
        <v>3-12</v>
      </c>
      <c r="BB4" s="100">
        <f>MAX(COUNTA(A7:A26),COUNTA(B7:B26),COUNTA(H7:H26),COUNTA(J7:J26))</f>
        <v>20</v>
      </c>
      <c r="BC4" s="101">
        <f>ROW(A6)+1</f>
        <v>7</v>
      </c>
      <c r="BD4" s="77"/>
      <c r="BE4" s="77"/>
      <c r="BQ4" s="78"/>
    </row>
    <row r="5" customHeight="1" spans="1:75">
      <c r="A5" s="299" t="str">
        <f>参数表!F3</f>
        <v>产权持有单位:中煤第五建设有限公司</v>
      </c>
      <c r="B5" s="107"/>
      <c r="C5" s="107"/>
      <c r="D5" s="107"/>
      <c r="E5" s="107"/>
      <c r="F5" s="107"/>
      <c r="G5" s="107"/>
      <c r="H5" s="107"/>
      <c r="I5" s="107"/>
      <c r="J5" s="107"/>
      <c r="K5" s="107"/>
      <c r="L5" s="107"/>
      <c r="M5" s="300" t="s">
        <v>236</v>
      </c>
      <c r="BA5" s="107"/>
      <c r="BB5" s="105" t="str">
        <f ca="1">判断表!C45</f>
        <v>中煤第五建设有限公司第三工程处拟处置实物资产项目\[0000-3基础法明细表.xlsx]持有待售资</v>
      </c>
      <c r="BC5" s="106">
        <f>IFERROR(SUMIF(BC7:BC26,"√",J7:J26)/J27,0)</f>
        <v>0</v>
      </c>
      <c r="BD5" s="107"/>
      <c r="BE5" s="107"/>
      <c r="BF5" s="284">
        <f>分类汇总!I19</f>
        <v>0</v>
      </c>
      <c r="BG5" s="284">
        <f>分类汇总!K19</f>
        <v>0</v>
      </c>
      <c r="BH5" s="254"/>
      <c r="BI5" s="254"/>
      <c r="BJ5" s="254"/>
      <c r="BK5" s="254"/>
      <c r="BL5" s="254"/>
      <c r="BO5" s="111"/>
      <c r="BQ5" s="78"/>
      <c r="BV5" s="194"/>
      <c r="BW5" s="111"/>
    </row>
    <row r="6" s="254" customFormat="1" ht="24" customHeight="1" spans="1:75">
      <c r="A6" s="301" t="s">
        <v>305</v>
      </c>
      <c r="B6" s="114" t="s">
        <v>1897</v>
      </c>
      <c r="C6" s="114" t="s">
        <v>1961</v>
      </c>
      <c r="D6" s="999" t="s">
        <v>3320</v>
      </c>
      <c r="E6" s="114" t="s">
        <v>1631</v>
      </c>
      <c r="F6" s="115" t="s">
        <v>1632</v>
      </c>
      <c r="G6" s="115" t="s">
        <v>1633</v>
      </c>
      <c r="H6" s="313" t="s">
        <v>1901</v>
      </c>
      <c r="I6" s="313" t="s">
        <v>1634</v>
      </c>
      <c r="J6" s="114" t="s">
        <v>1523</v>
      </c>
      <c r="K6" s="114" t="s">
        <v>1550</v>
      </c>
      <c r="L6" s="114" t="s">
        <v>1551</v>
      </c>
      <c r="M6" s="114" t="s">
        <v>308</v>
      </c>
      <c r="BA6" s="100" t="s">
        <v>1545</v>
      </c>
      <c r="BB6" s="100" t="s">
        <v>1635</v>
      </c>
      <c r="BC6" s="100" t="s">
        <v>1636</v>
      </c>
      <c r="BD6" s="100" t="s">
        <v>1637</v>
      </c>
      <c r="BE6" s="100" t="s">
        <v>1638</v>
      </c>
      <c r="BF6" s="115" t="s">
        <v>1639</v>
      </c>
      <c r="BG6" s="115" t="s">
        <v>1640</v>
      </c>
      <c r="BH6" s="113" t="s">
        <v>1748</v>
      </c>
      <c r="BI6" s="113" t="s">
        <v>1749</v>
      </c>
      <c r="BJ6" s="118" t="s">
        <v>1712</v>
      </c>
      <c r="BK6" s="118" t="s">
        <v>1686</v>
      </c>
      <c r="BL6" s="118" t="s">
        <v>1687</v>
      </c>
      <c r="BM6" s="118" t="s">
        <v>2063</v>
      </c>
      <c r="BN6" s="113" t="s">
        <v>1644</v>
      </c>
      <c r="BO6" s="119"/>
      <c r="BP6" s="120" t="s">
        <v>1645</v>
      </c>
      <c r="BQ6" s="121" t="s">
        <v>1646</v>
      </c>
      <c r="BR6" s="121" t="s">
        <v>1647</v>
      </c>
      <c r="BS6" s="121" t="s">
        <v>1648</v>
      </c>
      <c r="BT6" s="121" t="s">
        <v>1647</v>
      </c>
      <c r="BU6" s="121" t="s">
        <v>1647</v>
      </c>
      <c r="BV6" s="121" t="s">
        <v>1649</v>
      </c>
      <c r="BW6" s="122" t="s">
        <v>1650</v>
      </c>
    </row>
    <row r="7" customHeight="1" spans="1:75">
      <c r="A7" s="123" t="str">
        <f>IF(B7="","",COUNT(A$6:A6)+1)</f>
        <v/>
      </c>
      <c r="B7" s="315" t="s">
        <v>347</v>
      </c>
      <c r="C7" s="319" t="s">
        <v>347</v>
      </c>
      <c r="D7" s="321" t="s">
        <v>347</v>
      </c>
      <c r="E7" s="127"/>
      <c r="F7" s="127" t="str">
        <f>IFERROR(VLOOKUP(E7,参数表!$H$2:$I$50,2,FALSE),"")</f>
        <v/>
      </c>
      <c r="G7" s="128" t="str">
        <f>IFERROR(IF(OR(E7="人民币",E7=""),"",J7/F7),"")</f>
        <v/>
      </c>
      <c r="H7" s="955"/>
      <c r="I7" s="955"/>
      <c r="J7" s="955" t="str">
        <f>IF(B7="","",H7+I7)</f>
        <v/>
      </c>
      <c r="K7" s="955" t="str">
        <f t="shared" ref="K7:K26" si="0">IF(B7="","",IF($BB$3="是",J7,""))</f>
        <v/>
      </c>
      <c r="L7" s="955" t="str">
        <f>IFERROR((K7-J7)/J7*100,"")</f>
        <v/>
      </c>
      <c r="M7" s="957" t="s">
        <v>347</v>
      </c>
      <c r="BA7" s="78"/>
      <c r="BB7" s="132" t="s">
        <v>3321</v>
      </c>
      <c r="BC7" s="133"/>
      <c r="BD7" s="132" t="str">
        <f>IF(OR(B7="",BC7=""),"",COUNTIF(BC$7:BC7,"√"))</f>
        <v/>
      </c>
      <c r="BE7" s="134" t="str">
        <f t="shared" ref="BE7:BE26" si="1">IF(BC7="","",BB7&amp;"︱"&amp;B7&amp;"︱"&amp;TEXT(H7,"#,##0.00"))</f>
        <v/>
      </c>
      <c r="BF7" s="135" t="str">
        <f>IF($B7="","",IF(BF$5=0,"OK","出错"))</f>
        <v/>
      </c>
      <c r="BG7" s="135" t="str">
        <f>IF($B7="","",IF(BG$5=0,"OK","出错"))</f>
        <v/>
      </c>
      <c r="BH7" s="136"/>
      <c r="BI7" s="136"/>
      <c r="BJ7" s="136"/>
      <c r="BK7" s="136"/>
      <c r="BL7" s="136"/>
      <c r="BM7" s="137"/>
      <c r="BN7" s="137"/>
      <c r="BP7" s="134" t="str">
        <f>IF(COUNTIF(BP$6:BP6,D7)&gt;0,"",D7)&amp;""</f>
        <v/>
      </c>
      <c r="BQ7" s="138">
        <f>SUMIF(D$7:D$26,BP7,J$7:J$26)</f>
        <v>0</v>
      </c>
      <c r="BR7" s="132">
        <f t="shared" ref="BR7" si="2">RANK(BQ7,BQ$7:BQ$26)</f>
        <v>1</v>
      </c>
      <c r="BS7" s="138">
        <f>SUMIF(D$7:D$26,BP7,K$7:K$26)</f>
        <v>0</v>
      </c>
      <c r="BT7" s="132">
        <f>RANK(BS7,BS$7:BS$26)</f>
        <v>1</v>
      </c>
      <c r="BU7" s="138">
        <f>SUM(BQ7:BQ26)</f>
        <v>0</v>
      </c>
      <c r="BV7" s="138"/>
      <c r="BW7" s="138"/>
    </row>
    <row r="8" customHeight="1" spans="1:75">
      <c r="A8" s="123" t="str">
        <f>IF(B8="","",COUNT(A$6:A7)+1)</f>
        <v/>
      </c>
      <c r="B8" s="322" t="s">
        <v>347</v>
      </c>
      <c r="C8" s="326" t="s">
        <v>347</v>
      </c>
      <c r="D8" s="327" t="s">
        <v>347</v>
      </c>
      <c r="E8" s="142"/>
      <c r="F8" s="127" t="str">
        <f>IFERROR(VLOOKUP(E8,参数表!$H$2:$I$50,2,FALSE),"")</f>
        <v/>
      </c>
      <c r="G8" s="128" t="str">
        <f t="shared" ref="G8:G26" si="3">IFERROR(IF(OR(E8="人民币",E8=""),"",J8/F8),"")</f>
        <v/>
      </c>
      <c r="H8" s="958"/>
      <c r="I8" s="958"/>
      <c r="J8" s="955" t="str">
        <f t="shared" ref="J8:J26" si="4">IF(B8="","",H8+I8)</f>
        <v/>
      </c>
      <c r="K8" s="955" t="str">
        <f t="shared" si="0"/>
        <v/>
      </c>
      <c r="L8" s="955" t="str">
        <f t="shared" ref="L8:L27" si="5">IFERROR((K8-J8)/J8*100,"")</f>
        <v/>
      </c>
      <c r="M8" s="959" t="s">
        <v>347</v>
      </c>
      <c r="BA8" s="78"/>
      <c r="BB8" s="132" t="s">
        <v>3322</v>
      </c>
      <c r="BC8" s="133"/>
      <c r="BD8" s="132" t="str">
        <f>IF(OR(B8="",BC8=""),"",COUNTIF(BC$7:BC8,"√"))</f>
        <v/>
      </c>
      <c r="BE8" s="134" t="str">
        <f t="shared" si="1"/>
        <v/>
      </c>
      <c r="BF8" s="135" t="str">
        <f t="shared" ref="BF8:BG26" si="6">IF($B8="","",IF(BF$5=0,"OK","出错"))</f>
        <v/>
      </c>
      <c r="BG8" s="135" t="str">
        <f t="shared" si="6"/>
        <v/>
      </c>
      <c r="BH8" s="136"/>
      <c r="BI8" s="136"/>
      <c r="BJ8" s="136"/>
      <c r="BK8" s="136"/>
      <c r="BL8" s="136"/>
      <c r="BM8" s="137"/>
      <c r="BN8" s="137"/>
      <c r="BP8" s="134" t="str">
        <f>IF(COUNTIF(BP$6:BP7,D8)&gt;0,"",D8)&amp;""</f>
        <v/>
      </c>
      <c r="BQ8" s="138">
        <f t="shared" ref="BQ8:BQ26" si="7">SUMIF(D$7:D$26,BP8,J$7:J$26)</f>
        <v>0</v>
      </c>
      <c r="BR8" s="132">
        <f t="shared" ref="BR8:BR26" si="8">RANK(BQ8,BQ$7:BQ$26)</f>
        <v>1</v>
      </c>
      <c r="BS8" s="138">
        <f t="shared" ref="BS8:BS26" si="9">SUMIF(D$7:D$26,BP8,K$7:K$26)</f>
        <v>0</v>
      </c>
      <c r="BT8" s="132">
        <f t="shared" ref="BT8:BT26" si="10">RANK(BS8,BS$7:BS$26)</f>
        <v>1</v>
      </c>
      <c r="BU8" s="138">
        <f>SUM(BS7:BS26)</f>
        <v>0</v>
      </c>
      <c r="BV8" s="138"/>
      <c r="BW8" s="138"/>
    </row>
    <row r="9" customHeight="1" spans="1:75">
      <c r="A9" s="123" t="str">
        <f>IF(B9="","",COUNT(A$6:A8)+1)</f>
        <v/>
      </c>
      <c r="B9" s="322" t="s">
        <v>347</v>
      </c>
      <c r="C9" s="326" t="s">
        <v>347</v>
      </c>
      <c r="D9" s="327" t="s">
        <v>347</v>
      </c>
      <c r="E9" s="142"/>
      <c r="F9" s="127" t="str">
        <f>IFERROR(VLOOKUP(E9,参数表!$H$2:$I$50,2,FALSE),"")</f>
        <v/>
      </c>
      <c r="G9" s="128" t="str">
        <f t="shared" si="3"/>
        <v/>
      </c>
      <c r="H9" s="958"/>
      <c r="I9" s="958"/>
      <c r="J9" s="955" t="str">
        <f t="shared" si="4"/>
        <v/>
      </c>
      <c r="K9" s="955" t="str">
        <f t="shared" si="0"/>
        <v/>
      </c>
      <c r="L9" s="955" t="str">
        <f t="shared" si="5"/>
        <v/>
      </c>
      <c r="M9" s="959" t="s">
        <v>347</v>
      </c>
      <c r="BA9" s="78"/>
      <c r="BB9" s="132" t="s">
        <v>3323</v>
      </c>
      <c r="BC9" s="133"/>
      <c r="BD9" s="132" t="str">
        <f>IF(OR(B9="",BC9=""),"",COUNTIF(BC$7:BC9,"√"))</f>
        <v/>
      </c>
      <c r="BE9" s="134" t="str">
        <f t="shared" si="1"/>
        <v/>
      </c>
      <c r="BF9" s="135" t="str">
        <f t="shared" si="6"/>
        <v/>
      </c>
      <c r="BG9" s="135" t="str">
        <f t="shared" si="6"/>
        <v/>
      </c>
      <c r="BH9" s="136"/>
      <c r="BI9" s="136"/>
      <c r="BJ9" s="136"/>
      <c r="BK9" s="136"/>
      <c r="BL9" s="136"/>
      <c r="BM9" s="137"/>
      <c r="BN9" s="137"/>
      <c r="BP9" s="134" t="str">
        <f>IF(COUNTIF(BP$6:BP8,D9)&gt;0,"",D9)&amp;""</f>
        <v/>
      </c>
      <c r="BQ9" s="138">
        <f t="shared" si="7"/>
        <v>0</v>
      </c>
      <c r="BR9" s="132">
        <f t="shared" si="8"/>
        <v>1</v>
      </c>
      <c r="BS9" s="138">
        <f t="shared" si="9"/>
        <v>0</v>
      </c>
      <c r="BT9" s="132">
        <f t="shared" si="10"/>
        <v>1</v>
      </c>
      <c r="BU9" s="132">
        <v>1</v>
      </c>
      <c r="BV9" s="134" t="str">
        <f>IFERROR(INDEX(BP$7:BP$26,MATCH(BU9,IF(BU$7=0,BT$7:BT$26,BR$7:BR$26),0))&amp;"","")</f>
        <v/>
      </c>
      <c r="BW9" s="146" t="str">
        <f>IF(BV10="","",IF(BV11="","和","、"))</f>
        <v/>
      </c>
    </row>
    <row r="10" customHeight="1" spans="1:75">
      <c r="A10" s="123" t="str">
        <f>IF(B10="","",COUNT(A$6:A9)+1)</f>
        <v/>
      </c>
      <c r="B10" s="322" t="s">
        <v>347</v>
      </c>
      <c r="C10" s="326" t="s">
        <v>347</v>
      </c>
      <c r="D10" s="327" t="s">
        <v>347</v>
      </c>
      <c r="E10" s="142"/>
      <c r="F10" s="127" t="str">
        <f>IFERROR(VLOOKUP(E10,参数表!$H$2:$I$50,2,FALSE),"")</f>
        <v/>
      </c>
      <c r="G10" s="128" t="str">
        <f t="shared" si="3"/>
        <v/>
      </c>
      <c r="H10" s="958"/>
      <c r="I10" s="958"/>
      <c r="J10" s="955" t="str">
        <f t="shared" si="4"/>
        <v/>
      </c>
      <c r="K10" s="955" t="str">
        <f t="shared" si="0"/>
        <v/>
      </c>
      <c r="L10" s="955" t="str">
        <f t="shared" si="5"/>
        <v/>
      </c>
      <c r="M10" s="959" t="s">
        <v>347</v>
      </c>
      <c r="BA10" s="78"/>
      <c r="BB10" s="132" t="s">
        <v>3324</v>
      </c>
      <c r="BC10" s="133"/>
      <c r="BD10" s="132" t="str">
        <f>IF(OR(B10="",BC10=""),"",COUNTIF(BC$7:BC10,"√"))</f>
        <v/>
      </c>
      <c r="BE10" s="134" t="str">
        <f t="shared" si="1"/>
        <v/>
      </c>
      <c r="BF10" s="135" t="str">
        <f t="shared" si="6"/>
        <v/>
      </c>
      <c r="BG10" s="135" t="str">
        <f t="shared" si="6"/>
        <v/>
      </c>
      <c r="BH10" s="136"/>
      <c r="BI10" s="136"/>
      <c r="BJ10" s="136"/>
      <c r="BK10" s="136"/>
      <c r="BL10" s="136"/>
      <c r="BM10" s="137"/>
      <c r="BN10" s="137"/>
      <c r="BP10" s="134" t="str">
        <f>IF(COUNTIF(BP$6:BP9,D10)&gt;0,"",D10)&amp;""</f>
        <v/>
      </c>
      <c r="BQ10" s="138">
        <f t="shared" si="7"/>
        <v>0</v>
      </c>
      <c r="BR10" s="132">
        <f t="shared" si="8"/>
        <v>1</v>
      </c>
      <c r="BS10" s="138">
        <f t="shared" si="9"/>
        <v>0</v>
      </c>
      <c r="BT10" s="132">
        <f t="shared" si="10"/>
        <v>1</v>
      </c>
      <c r="BU10" s="132">
        <v>2</v>
      </c>
      <c r="BV10" s="134" t="str">
        <f t="shared" ref="BV10:BV13" si="11">IFERROR(INDEX(BP$7:BP$26,MATCH(BU10,IF(BU$7=0,BT$7:BT$26,BR$7:BR$26),0))&amp;"","")</f>
        <v/>
      </c>
      <c r="BW10" s="146" t="str">
        <f t="shared" ref="BW10:BW11" si="12">IF(BV11="","",IF(BV12="","和","、"))</f>
        <v/>
      </c>
    </row>
    <row r="11" customHeight="1" spans="1:75">
      <c r="A11" s="123" t="str">
        <f>IF(B11="","",COUNT(A$6:A10)+1)</f>
        <v/>
      </c>
      <c r="B11" s="322" t="s">
        <v>347</v>
      </c>
      <c r="C11" s="326" t="s">
        <v>347</v>
      </c>
      <c r="D11" s="327" t="s">
        <v>347</v>
      </c>
      <c r="E11" s="142"/>
      <c r="F11" s="127" t="str">
        <f>IFERROR(VLOOKUP(E11,参数表!$H$2:$I$50,2,FALSE),"")</f>
        <v/>
      </c>
      <c r="G11" s="128" t="str">
        <f t="shared" si="3"/>
        <v/>
      </c>
      <c r="H11" s="958"/>
      <c r="I11" s="958"/>
      <c r="J11" s="955" t="str">
        <f t="shared" si="4"/>
        <v/>
      </c>
      <c r="K11" s="955" t="str">
        <f t="shared" si="0"/>
        <v/>
      </c>
      <c r="L11" s="955" t="str">
        <f t="shared" si="5"/>
        <v/>
      </c>
      <c r="M11" s="959" t="s">
        <v>347</v>
      </c>
      <c r="BA11" s="78"/>
      <c r="BB11" s="132" t="s">
        <v>3325</v>
      </c>
      <c r="BC11" s="133"/>
      <c r="BD11" s="132" t="str">
        <f>IF(OR(B11="",BC11=""),"",COUNTIF(BC$7:BC11,"√"))</f>
        <v/>
      </c>
      <c r="BE11" s="134" t="str">
        <f t="shared" si="1"/>
        <v/>
      </c>
      <c r="BF11" s="135" t="str">
        <f t="shared" si="6"/>
        <v/>
      </c>
      <c r="BG11" s="135" t="str">
        <f t="shared" si="6"/>
        <v/>
      </c>
      <c r="BH11" s="136"/>
      <c r="BI11" s="136"/>
      <c r="BJ11" s="136"/>
      <c r="BK11" s="136"/>
      <c r="BL11" s="136"/>
      <c r="BM11" s="137"/>
      <c r="BN11" s="137"/>
      <c r="BP11" s="134" t="str">
        <f>IF(COUNTIF(BP$6:BP10,D11)&gt;0,"",D11)&amp;""</f>
        <v/>
      </c>
      <c r="BQ11" s="138">
        <f t="shared" si="7"/>
        <v>0</v>
      </c>
      <c r="BR11" s="132">
        <f t="shared" si="8"/>
        <v>1</v>
      </c>
      <c r="BS11" s="138">
        <f t="shared" si="9"/>
        <v>0</v>
      </c>
      <c r="BT11" s="132">
        <f t="shared" si="10"/>
        <v>1</v>
      </c>
      <c r="BU11" s="132">
        <v>3</v>
      </c>
      <c r="BV11" s="134" t="str">
        <f t="shared" si="11"/>
        <v/>
      </c>
      <c r="BW11" s="146" t="str">
        <f t="shared" si="12"/>
        <v/>
      </c>
    </row>
    <row r="12" customHeight="1" spans="1:75">
      <c r="A12" s="123" t="str">
        <f>IF(B12="","",COUNT(A$6:A11)+1)</f>
        <v/>
      </c>
      <c r="B12" s="322" t="s">
        <v>347</v>
      </c>
      <c r="C12" s="326" t="s">
        <v>347</v>
      </c>
      <c r="D12" s="327" t="s">
        <v>347</v>
      </c>
      <c r="E12" s="142"/>
      <c r="F12" s="127" t="str">
        <f>IFERROR(VLOOKUP(E12,参数表!$H$2:$I$50,2,FALSE),"")</f>
        <v/>
      </c>
      <c r="G12" s="128" t="str">
        <f t="shared" si="3"/>
        <v/>
      </c>
      <c r="H12" s="958"/>
      <c r="I12" s="958"/>
      <c r="J12" s="955" t="str">
        <f t="shared" si="4"/>
        <v/>
      </c>
      <c r="K12" s="955" t="str">
        <f t="shared" si="0"/>
        <v/>
      </c>
      <c r="L12" s="955" t="str">
        <f t="shared" si="5"/>
        <v/>
      </c>
      <c r="M12" s="959" t="s">
        <v>347</v>
      </c>
      <c r="BA12" s="78"/>
      <c r="BB12" s="132" t="s">
        <v>3326</v>
      </c>
      <c r="BC12" s="133"/>
      <c r="BD12" s="132" t="str">
        <f>IF(OR(B12="",BC12=""),"",COUNTIF(BC$7:BC12,"√"))</f>
        <v/>
      </c>
      <c r="BE12" s="134" t="str">
        <f t="shared" si="1"/>
        <v/>
      </c>
      <c r="BF12" s="135" t="str">
        <f t="shared" si="6"/>
        <v/>
      </c>
      <c r="BG12" s="135" t="str">
        <f t="shared" si="6"/>
        <v/>
      </c>
      <c r="BH12" s="136"/>
      <c r="BI12" s="136"/>
      <c r="BJ12" s="136"/>
      <c r="BK12" s="136"/>
      <c r="BL12" s="136"/>
      <c r="BM12" s="137"/>
      <c r="BN12" s="137"/>
      <c r="BP12" s="134" t="str">
        <f>IF(COUNTIF(BP$6:BP11,D12)&gt;0,"",D12)&amp;""</f>
        <v/>
      </c>
      <c r="BQ12" s="138">
        <f t="shared" si="7"/>
        <v>0</v>
      </c>
      <c r="BR12" s="132">
        <f t="shared" si="8"/>
        <v>1</v>
      </c>
      <c r="BS12" s="138">
        <f t="shared" si="9"/>
        <v>0</v>
      </c>
      <c r="BT12" s="132">
        <f t="shared" si="10"/>
        <v>1</v>
      </c>
      <c r="BU12" s="132">
        <v>4</v>
      </c>
      <c r="BV12" s="134" t="str">
        <f t="shared" si="11"/>
        <v/>
      </c>
      <c r="BW12" s="146" t="str">
        <f>IF(BV13="","","和")</f>
        <v/>
      </c>
    </row>
    <row r="13" customHeight="1" spans="1:75">
      <c r="A13" s="123" t="str">
        <f>IF(B13="","",COUNT(A$6:A12)+1)</f>
        <v/>
      </c>
      <c r="B13" s="322" t="s">
        <v>347</v>
      </c>
      <c r="C13" s="326" t="s">
        <v>347</v>
      </c>
      <c r="D13" s="327" t="s">
        <v>347</v>
      </c>
      <c r="E13" s="142"/>
      <c r="F13" s="127" t="str">
        <f>IFERROR(VLOOKUP(E13,参数表!$H$2:$I$50,2,FALSE),"")</f>
        <v/>
      </c>
      <c r="G13" s="128" t="str">
        <f t="shared" si="3"/>
        <v/>
      </c>
      <c r="H13" s="958"/>
      <c r="I13" s="958"/>
      <c r="J13" s="955" t="str">
        <f t="shared" si="4"/>
        <v/>
      </c>
      <c r="K13" s="955" t="str">
        <f t="shared" si="0"/>
        <v/>
      </c>
      <c r="L13" s="955" t="str">
        <f t="shared" si="5"/>
        <v/>
      </c>
      <c r="M13" s="959" t="s">
        <v>347</v>
      </c>
      <c r="BA13" s="78"/>
      <c r="BB13" s="132" t="s">
        <v>3327</v>
      </c>
      <c r="BC13" s="133"/>
      <c r="BD13" s="132" t="str">
        <f>IF(OR(B13="",BC13=""),"",COUNTIF(BC$7:BC13,"√"))</f>
        <v/>
      </c>
      <c r="BE13" s="134" t="str">
        <f t="shared" si="1"/>
        <v/>
      </c>
      <c r="BF13" s="135" t="str">
        <f t="shared" si="6"/>
        <v/>
      </c>
      <c r="BG13" s="135" t="str">
        <f t="shared" si="6"/>
        <v/>
      </c>
      <c r="BH13" s="136"/>
      <c r="BI13" s="136"/>
      <c r="BJ13" s="136"/>
      <c r="BK13" s="136"/>
      <c r="BL13" s="136"/>
      <c r="BM13" s="137"/>
      <c r="BN13" s="137"/>
      <c r="BP13" s="134" t="str">
        <f>IF(COUNTIF(BP$6:BP12,D13)&gt;0,"",D13)&amp;""</f>
        <v/>
      </c>
      <c r="BQ13" s="138">
        <f t="shared" si="7"/>
        <v>0</v>
      </c>
      <c r="BR13" s="132">
        <f t="shared" si="8"/>
        <v>1</v>
      </c>
      <c r="BS13" s="138">
        <f t="shared" si="9"/>
        <v>0</v>
      </c>
      <c r="BT13" s="132">
        <f t="shared" si="10"/>
        <v>1</v>
      </c>
      <c r="BU13" s="132">
        <v>5</v>
      </c>
      <c r="BV13" s="134" t="str">
        <f t="shared" si="11"/>
        <v/>
      </c>
      <c r="BW13" s="146"/>
    </row>
    <row r="14" customHeight="1" spans="1:75">
      <c r="A14" s="123" t="str">
        <f>IF(B14="","",COUNT(A$6:A13)+1)</f>
        <v/>
      </c>
      <c r="B14" s="322" t="s">
        <v>347</v>
      </c>
      <c r="C14" s="326" t="s">
        <v>347</v>
      </c>
      <c r="D14" s="327" t="s">
        <v>347</v>
      </c>
      <c r="E14" s="142"/>
      <c r="F14" s="127" t="str">
        <f>IFERROR(VLOOKUP(E14,参数表!$H$2:$I$50,2,FALSE),"")</f>
        <v/>
      </c>
      <c r="G14" s="128" t="str">
        <f t="shared" si="3"/>
        <v/>
      </c>
      <c r="H14" s="958"/>
      <c r="I14" s="958"/>
      <c r="J14" s="955" t="str">
        <f t="shared" si="4"/>
        <v/>
      </c>
      <c r="K14" s="955" t="str">
        <f t="shared" si="0"/>
        <v/>
      </c>
      <c r="L14" s="955" t="str">
        <f t="shared" si="5"/>
        <v/>
      </c>
      <c r="M14" s="959" t="s">
        <v>347</v>
      </c>
      <c r="BA14" s="78"/>
      <c r="BB14" s="132" t="s">
        <v>3328</v>
      </c>
      <c r="BC14" s="133"/>
      <c r="BD14" s="132" t="str">
        <f>IF(OR(B14="",BC14=""),"",COUNTIF(BC$7:BC14,"√"))</f>
        <v/>
      </c>
      <c r="BE14" s="134" t="str">
        <f t="shared" si="1"/>
        <v/>
      </c>
      <c r="BF14" s="135" t="str">
        <f t="shared" si="6"/>
        <v/>
      </c>
      <c r="BG14" s="135" t="str">
        <f t="shared" si="6"/>
        <v/>
      </c>
      <c r="BH14" s="136"/>
      <c r="BI14" s="136"/>
      <c r="BJ14" s="136"/>
      <c r="BK14" s="136"/>
      <c r="BL14" s="136"/>
      <c r="BM14" s="137"/>
      <c r="BN14" s="137"/>
      <c r="BP14" s="134" t="str">
        <f>IF(COUNTIF(BP$6:BP13,D14)&gt;0,"",D14)&amp;""</f>
        <v/>
      </c>
      <c r="BQ14" s="138">
        <f t="shared" si="7"/>
        <v>0</v>
      </c>
      <c r="BR14" s="132">
        <f t="shared" si="8"/>
        <v>1</v>
      </c>
      <c r="BS14" s="138">
        <f t="shared" si="9"/>
        <v>0</v>
      </c>
      <c r="BT14" s="132">
        <f t="shared" si="10"/>
        <v>1</v>
      </c>
      <c r="BU14" s="147" t="s">
        <v>1659</v>
      </c>
      <c r="BV14" s="132" t="str">
        <f>CONCATENATE(BV9,BW9,BV10,BW10,BV11,BW11,BV12,BW12,BV13)</f>
        <v/>
      </c>
      <c r="BW14" s="132"/>
    </row>
    <row r="15" customHeight="1" spans="1:75">
      <c r="A15" s="123" t="str">
        <f>IF(B15="","",COUNT(A$6:A14)+1)</f>
        <v/>
      </c>
      <c r="B15" s="322" t="s">
        <v>347</v>
      </c>
      <c r="C15" s="326" t="s">
        <v>347</v>
      </c>
      <c r="D15" s="327" t="s">
        <v>347</v>
      </c>
      <c r="E15" s="142"/>
      <c r="F15" s="127" t="str">
        <f>IFERROR(VLOOKUP(E15,参数表!$H$2:$I$50,2,FALSE),"")</f>
        <v/>
      </c>
      <c r="G15" s="128" t="str">
        <f t="shared" si="3"/>
        <v/>
      </c>
      <c r="H15" s="958"/>
      <c r="I15" s="958"/>
      <c r="J15" s="955" t="str">
        <f t="shared" si="4"/>
        <v/>
      </c>
      <c r="K15" s="955" t="str">
        <f t="shared" si="0"/>
        <v/>
      </c>
      <c r="L15" s="955" t="str">
        <f t="shared" si="5"/>
        <v/>
      </c>
      <c r="M15" s="959" t="s">
        <v>347</v>
      </c>
      <c r="BA15" s="78"/>
      <c r="BB15" s="132" t="s">
        <v>3329</v>
      </c>
      <c r="BC15" s="133"/>
      <c r="BD15" s="132" t="str">
        <f>IF(OR(B15="",BC15=""),"",COUNTIF(BC$7:BC15,"√"))</f>
        <v/>
      </c>
      <c r="BE15" s="134" t="str">
        <f t="shared" si="1"/>
        <v/>
      </c>
      <c r="BF15" s="135" t="str">
        <f t="shared" si="6"/>
        <v/>
      </c>
      <c r="BG15" s="135" t="str">
        <f t="shared" si="6"/>
        <v/>
      </c>
      <c r="BH15" s="136"/>
      <c r="BI15" s="136"/>
      <c r="BJ15" s="136"/>
      <c r="BK15" s="136"/>
      <c r="BL15" s="136"/>
      <c r="BM15" s="137"/>
      <c r="BN15" s="137"/>
      <c r="BP15" s="134" t="str">
        <f>IF(COUNTIF(BP$6:BP14,D15)&gt;0,"",D15)&amp;""</f>
        <v/>
      </c>
      <c r="BQ15" s="138">
        <f t="shared" si="7"/>
        <v>0</v>
      </c>
      <c r="BR15" s="132">
        <f t="shared" si="8"/>
        <v>1</v>
      </c>
      <c r="BS15" s="138">
        <f t="shared" si="9"/>
        <v>0</v>
      </c>
      <c r="BT15" s="132">
        <f t="shared" si="10"/>
        <v>1</v>
      </c>
      <c r="BU15" s="133"/>
      <c r="BV15" s="133"/>
    </row>
    <row r="16" customHeight="1" spans="1:75">
      <c r="A16" s="123" t="str">
        <f>IF(B16="","",COUNT(A$6:A15)+1)</f>
        <v/>
      </c>
      <c r="B16" s="322" t="s">
        <v>347</v>
      </c>
      <c r="C16" s="326" t="s">
        <v>347</v>
      </c>
      <c r="D16" s="327" t="s">
        <v>347</v>
      </c>
      <c r="E16" s="142"/>
      <c r="F16" s="127" t="str">
        <f>IFERROR(VLOOKUP(E16,参数表!$H$2:$I$50,2,FALSE),"")</f>
        <v/>
      </c>
      <c r="G16" s="128" t="str">
        <f t="shared" si="3"/>
        <v/>
      </c>
      <c r="H16" s="958"/>
      <c r="I16" s="958"/>
      <c r="J16" s="955" t="str">
        <f t="shared" si="4"/>
        <v/>
      </c>
      <c r="K16" s="955" t="str">
        <f t="shared" si="0"/>
        <v/>
      </c>
      <c r="L16" s="955" t="str">
        <f t="shared" si="5"/>
        <v/>
      </c>
      <c r="M16" s="959" t="s">
        <v>347</v>
      </c>
      <c r="BA16" s="78"/>
      <c r="BB16" s="132" t="s">
        <v>3330</v>
      </c>
      <c r="BC16" s="133"/>
      <c r="BD16" s="132" t="str">
        <f>IF(OR(B16="",BC16=""),"",COUNTIF(BC$7:BC16,"√"))</f>
        <v/>
      </c>
      <c r="BE16" s="134" t="str">
        <f t="shared" si="1"/>
        <v/>
      </c>
      <c r="BF16" s="135" t="str">
        <f t="shared" si="6"/>
        <v/>
      </c>
      <c r="BG16" s="135" t="str">
        <f t="shared" si="6"/>
        <v/>
      </c>
      <c r="BH16" s="136"/>
      <c r="BI16" s="136"/>
      <c r="BJ16" s="136"/>
      <c r="BK16" s="136"/>
      <c r="BL16" s="136"/>
      <c r="BM16" s="137"/>
      <c r="BN16" s="137"/>
      <c r="BP16" s="134" t="str">
        <f>IF(COUNTIF(BP$6:BP15,D16)&gt;0,"",D16)&amp;""</f>
        <v/>
      </c>
      <c r="BQ16" s="138">
        <f t="shared" si="7"/>
        <v>0</v>
      </c>
      <c r="BR16" s="132">
        <f t="shared" si="8"/>
        <v>1</v>
      </c>
      <c r="BS16" s="138">
        <f t="shared" si="9"/>
        <v>0</v>
      </c>
      <c r="BT16" s="132">
        <f t="shared" si="10"/>
        <v>1</v>
      </c>
      <c r="BU16" s="133"/>
      <c r="BV16" s="148"/>
    </row>
    <row r="17" customHeight="1" spans="1:75">
      <c r="A17" s="123" t="str">
        <f>IF(B17="","",COUNT(A$6:A16)+1)</f>
        <v/>
      </c>
      <c r="B17" s="322" t="s">
        <v>347</v>
      </c>
      <c r="C17" s="326" t="s">
        <v>347</v>
      </c>
      <c r="D17" s="327" t="s">
        <v>347</v>
      </c>
      <c r="E17" s="142"/>
      <c r="F17" s="127" t="str">
        <f>IFERROR(VLOOKUP(E17,参数表!$H$2:$I$50,2,FALSE),"")</f>
        <v/>
      </c>
      <c r="G17" s="128" t="str">
        <f t="shared" si="3"/>
        <v/>
      </c>
      <c r="H17" s="958"/>
      <c r="I17" s="958"/>
      <c r="J17" s="955" t="str">
        <f t="shared" si="4"/>
        <v/>
      </c>
      <c r="K17" s="955" t="str">
        <f t="shared" si="0"/>
        <v/>
      </c>
      <c r="L17" s="955" t="str">
        <f t="shared" si="5"/>
        <v/>
      </c>
      <c r="M17" s="959" t="s">
        <v>347</v>
      </c>
      <c r="BA17" s="78"/>
      <c r="BB17" s="132" t="s">
        <v>3331</v>
      </c>
      <c r="BC17" s="133"/>
      <c r="BD17" s="132" t="str">
        <f>IF(OR(B17="",BC17=""),"",COUNTIF(BC$7:BC17,"√"))</f>
        <v/>
      </c>
      <c r="BE17" s="134" t="str">
        <f t="shared" si="1"/>
        <v/>
      </c>
      <c r="BF17" s="135" t="str">
        <f t="shared" si="6"/>
        <v/>
      </c>
      <c r="BG17" s="135" t="str">
        <f t="shared" si="6"/>
        <v/>
      </c>
      <c r="BH17" s="136"/>
      <c r="BI17" s="136"/>
      <c r="BJ17" s="136"/>
      <c r="BK17" s="136"/>
      <c r="BL17" s="136"/>
      <c r="BM17" s="137"/>
      <c r="BN17" s="137"/>
      <c r="BP17" s="134" t="str">
        <f>IF(COUNTIF(BP$6:BP16,D17)&gt;0,"",D17)&amp;""</f>
        <v/>
      </c>
      <c r="BQ17" s="138">
        <f t="shared" si="7"/>
        <v>0</v>
      </c>
      <c r="BR17" s="132">
        <f t="shared" si="8"/>
        <v>1</v>
      </c>
      <c r="BS17" s="138">
        <f t="shared" si="9"/>
        <v>0</v>
      </c>
      <c r="BT17" s="132">
        <f t="shared" si="10"/>
        <v>1</v>
      </c>
      <c r="BU17" s="133"/>
      <c r="BV17" s="133"/>
    </row>
    <row r="18" customHeight="1" spans="1:75">
      <c r="A18" s="123" t="str">
        <f>IF(B18="","",COUNT(A$6:A17)+1)</f>
        <v/>
      </c>
      <c r="B18" s="322" t="s">
        <v>347</v>
      </c>
      <c r="C18" s="326" t="s">
        <v>347</v>
      </c>
      <c r="D18" s="327" t="s">
        <v>347</v>
      </c>
      <c r="E18" s="142"/>
      <c r="F18" s="127" t="str">
        <f>IFERROR(VLOOKUP(E18,参数表!$H$2:$I$50,2,FALSE),"")</f>
        <v/>
      </c>
      <c r="G18" s="128" t="str">
        <f t="shared" si="3"/>
        <v/>
      </c>
      <c r="H18" s="958"/>
      <c r="I18" s="958"/>
      <c r="J18" s="955" t="str">
        <f t="shared" si="4"/>
        <v/>
      </c>
      <c r="K18" s="955" t="str">
        <f t="shared" si="0"/>
        <v/>
      </c>
      <c r="L18" s="955" t="str">
        <f t="shared" si="5"/>
        <v/>
      </c>
      <c r="M18" s="959" t="s">
        <v>347</v>
      </c>
      <c r="BA18" s="78"/>
      <c r="BB18" s="132" t="s">
        <v>3332</v>
      </c>
      <c r="BC18" s="133"/>
      <c r="BD18" s="132" t="str">
        <f>IF(OR(B18="",BC18=""),"",COUNTIF(BC$7:BC18,"√"))</f>
        <v/>
      </c>
      <c r="BE18" s="134" t="str">
        <f t="shared" si="1"/>
        <v/>
      </c>
      <c r="BF18" s="135" t="str">
        <f t="shared" si="6"/>
        <v/>
      </c>
      <c r="BG18" s="135" t="str">
        <f t="shared" si="6"/>
        <v/>
      </c>
      <c r="BH18" s="136"/>
      <c r="BI18" s="136"/>
      <c r="BJ18" s="136"/>
      <c r="BK18" s="136"/>
      <c r="BL18" s="136"/>
      <c r="BM18" s="137"/>
      <c r="BN18" s="137"/>
      <c r="BP18" s="134" t="str">
        <f>IF(COUNTIF(BP$6:BP17,D18)&gt;0,"",D18)&amp;""</f>
        <v/>
      </c>
      <c r="BQ18" s="138">
        <f t="shared" si="7"/>
        <v>0</v>
      </c>
      <c r="BR18" s="132">
        <f t="shared" si="8"/>
        <v>1</v>
      </c>
      <c r="BS18" s="138">
        <f t="shared" si="9"/>
        <v>0</v>
      </c>
      <c r="BT18" s="132">
        <f t="shared" si="10"/>
        <v>1</v>
      </c>
      <c r="BU18" s="133"/>
      <c r="BV18" s="133"/>
    </row>
    <row r="19" customHeight="1" spans="1:75">
      <c r="A19" s="123" t="str">
        <f>IF(B19="","",COUNT(A$6:A18)+1)</f>
        <v/>
      </c>
      <c r="B19" s="322" t="s">
        <v>347</v>
      </c>
      <c r="C19" s="326" t="s">
        <v>347</v>
      </c>
      <c r="D19" s="327" t="s">
        <v>347</v>
      </c>
      <c r="E19" s="142"/>
      <c r="F19" s="127" t="str">
        <f>IFERROR(VLOOKUP(E19,参数表!$H$2:$I$50,2,FALSE),"")</f>
        <v/>
      </c>
      <c r="G19" s="128" t="str">
        <f t="shared" si="3"/>
        <v/>
      </c>
      <c r="H19" s="958"/>
      <c r="I19" s="958"/>
      <c r="J19" s="955" t="str">
        <f t="shared" si="4"/>
        <v/>
      </c>
      <c r="K19" s="955" t="str">
        <f t="shared" si="0"/>
        <v/>
      </c>
      <c r="L19" s="955" t="str">
        <f t="shared" si="5"/>
        <v/>
      </c>
      <c r="M19" s="959" t="s">
        <v>347</v>
      </c>
      <c r="BA19" s="78"/>
      <c r="BB19" s="132" t="s">
        <v>3333</v>
      </c>
      <c r="BC19" s="133"/>
      <c r="BD19" s="132" t="str">
        <f>IF(OR(B19="",BC19=""),"",COUNTIF(BC$7:BC19,"√"))</f>
        <v/>
      </c>
      <c r="BE19" s="134" t="str">
        <f t="shared" si="1"/>
        <v/>
      </c>
      <c r="BF19" s="135" t="str">
        <f t="shared" si="6"/>
        <v/>
      </c>
      <c r="BG19" s="135" t="str">
        <f t="shared" si="6"/>
        <v/>
      </c>
      <c r="BH19" s="136"/>
      <c r="BI19" s="136"/>
      <c r="BJ19" s="136"/>
      <c r="BK19" s="136"/>
      <c r="BL19" s="136"/>
      <c r="BM19" s="137"/>
      <c r="BN19" s="137"/>
      <c r="BP19" s="134" t="str">
        <f>IF(COUNTIF(BP$6:BP18,D19)&gt;0,"",D19)&amp;""</f>
        <v/>
      </c>
      <c r="BQ19" s="138">
        <f t="shared" si="7"/>
        <v>0</v>
      </c>
      <c r="BR19" s="132">
        <f t="shared" si="8"/>
        <v>1</v>
      </c>
      <c r="BS19" s="138">
        <f t="shared" si="9"/>
        <v>0</v>
      </c>
      <c r="BT19" s="132">
        <f t="shared" si="10"/>
        <v>1</v>
      </c>
      <c r="BU19" s="133"/>
      <c r="BV19" s="133"/>
    </row>
    <row r="20" customHeight="1" spans="1:75">
      <c r="A20" s="123" t="str">
        <f>IF(B20="","",COUNT(A$6:A19)+1)</f>
        <v/>
      </c>
      <c r="B20" s="322" t="s">
        <v>347</v>
      </c>
      <c r="C20" s="326" t="s">
        <v>347</v>
      </c>
      <c r="D20" s="327" t="s">
        <v>347</v>
      </c>
      <c r="E20" s="142"/>
      <c r="F20" s="127" t="str">
        <f>IFERROR(VLOOKUP(E20,参数表!$H$2:$I$50,2,FALSE),"")</f>
        <v/>
      </c>
      <c r="G20" s="128" t="str">
        <f t="shared" si="3"/>
        <v/>
      </c>
      <c r="H20" s="958"/>
      <c r="I20" s="958"/>
      <c r="J20" s="955" t="str">
        <f t="shared" si="4"/>
        <v/>
      </c>
      <c r="K20" s="955" t="str">
        <f t="shared" si="0"/>
        <v/>
      </c>
      <c r="L20" s="955" t="str">
        <f t="shared" si="5"/>
        <v/>
      </c>
      <c r="M20" s="959" t="s">
        <v>347</v>
      </c>
      <c r="BA20" s="78"/>
      <c r="BB20" s="132" t="s">
        <v>3334</v>
      </c>
      <c r="BC20" s="133"/>
      <c r="BD20" s="132" t="str">
        <f>IF(OR(B20="",BC20=""),"",COUNTIF(BC$7:BC20,"√"))</f>
        <v/>
      </c>
      <c r="BE20" s="134" t="str">
        <f t="shared" si="1"/>
        <v/>
      </c>
      <c r="BF20" s="135" t="str">
        <f t="shared" si="6"/>
        <v/>
      </c>
      <c r="BG20" s="135" t="str">
        <f t="shared" si="6"/>
        <v/>
      </c>
      <c r="BH20" s="136"/>
      <c r="BI20" s="136"/>
      <c r="BJ20" s="136"/>
      <c r="BK20" s="136"/>
      <c r="BL20" s="136"/>
      <c r="BM20" s="137"/>
      <c r="BN20" s="137"/>
      <c r="BP20" s="134" t="str">
        <f>IF(COUNTIF(BP$6:BP19,D20)&gt;0,"",D20)&amp;""</f>
        <v/>
      </c>
      <c r="BQ20" s="138">
        <f t="shared" si="7"/>
        <v>0</v>
      </c>
      <c r="BR20" s="132">
        <f t="shared" si="8"/>
        <v>1</v>
      </c>
      <c r="BS20" s="138">
        <f t="shared" si="9"/>
        <v>0</v>
      </c>
      <c r="BT20" s="132">
        <f t="shared" si="10"/>
        <v>1</v>
      </c>
      <c r="BU20" s="133"/>
      <c r="BV20" s="133"/>
    </row>
    <row r="21" customHeight="1" spans="1:75">
      <c r="A21" s="123" t="str">
        <f>IF(B21="","",COUNT(A$6:A20)+1)</f>
        <v/>
      </c>
      <c r="B21" s="322" t="s">
        <v>347</v>
      </c>
      <c r="C21" s="326" t="s">
        <v>347</v>
      </c>
      <c r="D21" s="327" t="s">
        <v>347</v>
      </c>
      <c r="E21" s="142"/>
      <c r="F21" s="127" t="str">
        <f>IFERROR(VLOOKUP(E21,参数表!$H$2:$I$50,2,FALSE),"")</f>
        <v/>
      </c>
      <c r="G21" s="128" t="str">
        <f t="shared" si="3"/>
        <v/>
      </c>
      <c r="H21" s="958"/>
      <c r="I21" s="958"/>
      <c r="J21" s="955" t="str">
        <f t="shared" si="4"/>
        <v/>
      </c>
      <c r="K21" s="955" t="str">
        <f t="shared" si="0"/>
        <v/>
      </c>
      <c r="L21" s="955" t="str">
        <f t="shared" si="5"/>
        <v/>
      </c>
      <c r="M21" s="959" t="s">
        <v>347</v>
      </c>
      <c r="BA21" s="78"/>
      <c r="BB21" s="132" t="s">
        <v>3335</v>
      </c>
      <c r="BC21" s="133"/>
      <c r="BD21" s="132" t="str">
        <f>IF(OR(B21="",BC21=""),"",COUNTIF(BC$7:BC21,"√"))</f>
        <v/>
      </c>
      <c r="BE21" s="134" t="str">
        <f t="shared" si="1"/>
        <v/>
      </c>
      <c r="BF21" s="135" t="str">
        <f t="shared" si="6"/>
        <v/>
      </c>
      <c r="BG21" s="135" t="str">
        <f t="shared" si="6"/>
        <v/>
      </c>
      <c r="BH21" s="136"/>
      <c r="BI21" s="136"/>
      <c r="BJ21" s="136"/>
      <c r="BK21" s="136"/>
      <c r="BL21" s="136"/>
      <c r="BM21" s="137"/>
      <c r="BN21" s="137"/>
      <c r="BP21" s="134" t="str">
        <f>IF(COUNTIF(BP$6:BP20,D21)&gt;0,"",D21)&amp;""</f>
        <v/>
      </c>
      <c r="BQ21" s="138">
        <f t="shared" si="7"/>
        <v>0</v>
      </c>
      <c r="BR21" s="132">
        <f t="shared" si="8"/>
        <v>1</v>
      </c>
      <c r="BS21" s="138">
        <f t="shared" si="9"/>
        <v>0</v>
      </c>
      <c r="BT21" s="132">
        <f t="shared" si="10"/>
        <v>1</v>
      </c>
      <c r="BU21" s="133"/>
      <c r="BV21" s="133"/>
    </row>
    <row r="22" customHeight="1" spans="1:75">
      <c r="A22" s="123" t="str">
        <f>IF(B22="","",COUNT(A$6:A21)+1)</f>
        <v/>
      </c>
      <c r="B22" s="322" t="s">
        <v>347</v>
      </c>
      <c r="C22" s="326" t="s">
        <v>347</v>
      </c>
      <c r="D22" s="327" t="s">
        <v>347</v>
      </c>
      <c r="E22" s="142"/>
      <c r="F22" s="127" t="str">
        <f>IFERROR(VLOOKUP(E22,参数表!$H$2:$I$50,2,FALSE),"")</f>
        <v/>
      </c>
      <c r="G22" s="128" t="str">
        <f t="shared" si="3"/>
        <v/>
      </c>
      <c r="H22" s="958"/>
      <c r="I22" s="958"/>
      <c r="J22" s="955" t="str">
        <f t="shared" si="4"/>
        <v/>
      </c>
      <c r="K22" s="955" t="str">
        <f t="shared" si="0"/>
        <v/>
      </c>
      <c r="L22" s="955" t="str">
        <f t="shared" si="5"/>
        <v/>
      </c>
      <c r="M22" s="959" t="s">
        <v>347</v>
      </c>
      <c r="BA22" s="78"/>
      <c r="BB22" s="132" t="s">
        <v>3336</v>
      </c>
      <c r="BC22" s="133"/>
      <c r="BD22" s="132" t="str">
        <f>IF(OR(B22="",BC22=""),"",COUNTIF(BC$7:BC22,"√"))</f>
        <v/>
      </c>
      <c r="BE22" s="134" t="str">
        <f t="shared" si="1"/>
        <v/>
      </c>
      <c r="BF22" s="135" t="str">
        <f t="shared" si="6"/>
        <v/>
      </c>
      <c r="BG22" s="135" t="str">
        <f t="shared" si="6"/>
        <v/>
      </c>
      <c r="BH22" s="136"/>
      <c r="BI22" s="136"/>
      <c r="BJ22" s="136"/>
      <c r="BK22" s="136"/>
      <c r="BL22" s="136"/>
      <c r="BM22" s="137"/>
      <c r="BN22" s="137"/>
      <c r="BP22" s="134" t="str">
        <f>IF(COUNTIF(BP$6:BP21,D22)&gt;0,"",D22)&amp;""</f>
        <v/>
      </c>
      <c r="BQ22" s="138">
        <f t="shared" si="7"/>
        <v>0</v>
      </c>
      <c r="BR22" s="132">
        <f t="shared" si="8"/>
        <v>1</v>
      </c>
      <c r="BS22" s="138">
        <f t="shared" si="9"/>
        <v>0</v>
      </c>
      <c r="BT22" s="132">
        <f t="shared" si="10"/>
        <v>1</v>
      </c>
      <c r="BU22" s="133"/>
      <c r="BV22" s="133"/>
    </row>
    <row r="23" customHeight="1" spans="1:75">
      <c r="A23" s="123" t="str">
        <f>IF(B23="","",COUNT(A$6:A22)+1)</f>
        <v/>
      </c>
      <c r="B23" s="322" t="s">
        <v>347</v>
      </c>
      <c r="C23" s="326" t="s">
        <v>347</v>
      </c>
      <c r="D23" s="327" t="s">
        <v>347</v>
      </c>
      <c r="E23" s="142"/>
      <c r="F23" s="127" t="str">
        <f>IFERROR(VLOOKUP(E23,参数表!$H$2:$I$50,2,FALSE),"")</f>
        <v/>
      </c>
      <c r="G23" s="128" t="str">
        <f t="shared" si="3"/>
        <v/>
      </c>
      <c r="H23" s="958"/>
      <c r="I23" s="958"/>
      <c r="J23" s="955" t="str">
        <f t="shared" si="4"/>
        <v/>
      </c>
      <c r="K23" s="955" t="str">
        <f t="shared" si="0"/>
        <v/>
      </c>
      <c r="L23" s="955" t="str">
        <f t="shared" si="5"/>
        <v/>
      </c>
      <c r="M23" s="959" t="s">
        <v>347</v>
      </c>
      <c r="BA23" s="78"/>
      <c r="BB23" s="132" t="s">
        <v>3337</v>
      </c>
      <c r="BC23" s="133"/>
      <c r="BD23" s="132" t="str">
        <f>IF(OR(B23="",BC23=""),"",COUNTIF(BC$7:BC23,"√"))</f>
        <v/>
      </c>
      <c r="BE23" s="134" t="str">
        <f t="shared" si="1"/>
        <v/>
      </c>
      <c r="BF23" s="135" t="str">
        <f t="shared" si="6"/>
        <v/>
      </c>
      <c r="BG23" s="135" t="str">
        <f t="shared" si="6"/>
        <v/>
      </c>
      <c r="BH23" s="136"/>
      <c r="BI23" s="136"/>
      <c r="BJ23" s="136"/>
      <c r="BK23" s="136"/>
      <c r="BL23" s="136"/>
      <c r="BM23" s="137"/>
      <c r="BN23" s="137"/>
      <c r="BP23" s="134" t="str">
        <f>IF(COUNTIF(BP$6:BP22,D23)&gt;0,"",D23)&amp;""</f>
        <v/>
      </c>
      <c r="BQ23" s="138">
        <f t="shared" si="7"/>
        <v>0</v>
      </c>
      <c r="BR23" s="132">
        <f t="shared" si="8"/>
        <v>1</v>
      </c>
      <c r="BS23" s="138">
        <f t="shared" si="9"/>
        <v>0</v>
      </c>
      <c r="BT23" s="132">
        <f t="shared" si="10"/>
        <v>1</v>
      </c>
      <c r="BU23" s="133"/>
      <c r="BV23" s="133"/>
    </row>
    <row r="24" customHeight="1" spans="1:75">
      <c r="A24" s="123" t="str">
        <f>IF(B24="","",COUNT(A$6:A23)+1)</f>
        <v/>
      </c>
      <c r="B24" s="322" t="s">
        <v>347</v>
      </c>
      <c r="C24" s="326" t="s">
        <v>347</v>
      </c>
      <c r="D24" s="327" t="s">
        <v>347</v>
      </c>
      <c r="E24" s="142"/>
      <c r="F24" s="127" t="str">
        <f>IFERROR(VLOOKUP(E24,参数表!$H$2:$I$50,2,FALSE),"")</f>
        <v/>
      </c>
      <c r="G24" s="128" t="str">
        <f t="shared" si="3"/>
        <v/>
      </c>
      <c r="H24" s="958"/>
      <c r="I24" s="958"/>
      <c r="J24" s="955" t="str">
        <f t="shared" si="4"/>
        <v/>
      </c>
      <c r="K24" s="955" t="str">
        <f t="shared" si="0"/>
        <v/>
      </c>
      <c r="L24" s="955" t="str">
        <f t="shared" si="5"/>
        <v/>
      </c>
      <c r="M24" s="959" t="s">
        <v>347</v>
      </c>
      <c r="BA24" s="78"/>
      <c r="BB24" s="132" t="s">
        <v>3338</v>
      </c>
      <c r="BC24" s="133"/>
      <c r="BD24" s="132" t="str">
        <f>IF(OR(B24="",BC24=""),"",COUNTIF(BC$7:BC24,"√"))</f>
        <v/>
      </c>
      <c r="BE24" s="134" t="str">
        <f t="shared" si="1"/>
        <v/>
      </c>
      <c r="BF24" s="135" t="str">
        <f t="shared" si="6"/>
        <v/>
      </c>
      <c r="BG24" s="135" t="str">
        <f t="shared" si="6"/>
        <v/>
      </c>
      <c r="BH24" s="136"/>
      <c r="BI24" s="136"/>
      <c r="BJ24" s="136"/>
      <c r="BK24" s="136"/>
      <c r="BL24" s="136"/>
      <c r="BM24" s="137"/>
      <c r="BN24" s="137"/>
      <c r="BP24" s="134" t="str">
        <f>IF(COUNTIF(BP$6:BP23,D24)&gt;0,"",D24)&amp;""</f>
        <v/>
      </c>
      <c r="BQ24" s="138">
        <f t="shared" si="7"/>
        <v>0</v>
      </c>
      <c r="BR24" s="132">
        <f t="shared" si="8"/>
        <v>1</v>
      </c>
      <c r="BS24" s="138">
        <f t="shared" si="9"/>
        <v>0</v>
      </c>
      <c r="BT24" s="132">
        <f t="shared" si="10"/>
        <v>1</v>
      </c>
      <c r="BU24" s="133"/>
      <c r="BV24" s="133"/>
    </row>
    <row r="25" customHeight="1" spans="1:75">
      <c r="A25" s="123" t="str">
        <f>IF(B25="","",COUNT(A$6:A24)+1)</f>
        <v/>
      </c>
      <c r="B25" s="322" t="s">
        <v>347</v>
      </c>
      <c r="C25" s="326" t="s">
        <v>347</v>
      </c>
      <c r="D25" s="327" t="s">
        <v>347</v>
      </c>
      <c r="E25" s="142"/>
      <c r="F25" s="127" t="str">
        <f>IFERROR(VLOOKUP(E25,参数表!$H$2:$I$50,2,FALSE),"")</f>
        <v/>
      </c>
      <c r="G25" s="128" t="str">
        <f t="shared" si="3"/>
        <v/>
      </c>
      <c r="H25" s="958"/>
      <c r="I25" s="958"/>
      <c r="J25" s="955" t="str">
        <f t="shared" si="4"/>
        <v/>
      </c>
      <c r="K25" s="955" t="str">
        <f t="shared" si="0"/>
        <v/>
      </c>
      <c r="L25" s="955" t="str">
        <f t="shared" si="5"/>
        <v/>
      </c>
      <c r="M25" s="959" t="s">
        <v>347</v>
      </c>
      <c r="BA25" s="78"/>
      <c r="BB25" s="132" t="s">
        <v>3339</v>
      </c>
      <c r="BC25" s="133"/>
      <c r="BD25" s="132" t="str">
        <f>IF(OR(B25="",BC25=""),"",COUNTIF(BC$7:BC25,"√"))</f>
        <v/>
      </c>
      <c r="BE25" s="134" t="str">
        <f t="shared" si="1"/>
        <v/>
      </c>
      <c r="BF25" s="135" t="str">
        <f t="shared" si="6"/>
        <v/>
      </c>
      <c r="BG25" s="135" t="str">
        <f t="shared" si="6"/>
        <v/>
      </c>
      <c r="BH25" s="136"/>
      <c r="BI25" s="136"/>
      <c r="BJ25" s="136"/>
      <c r="BK25" s="136"/>
      <c r="BL25" s="136"/>
      <c r="BM25" s="137"/>
      <c r="BN25" s="137"/>
      <c r="BP25" s="134" t="str">
        <f>IF(COUNTIF(BP$6:BP24,D25)&gt;0,"",D25)&amp;""</f>
        <v/>
      </c>
      <c r="BQ25" s="138">
        <f t="shared" si="7"/>
        <v>0</v>
      </c>
      <c r="BR25" s="132">
        <f t="shared" si="8"/>
        <v>1</v>
      </c>
      <c r="BS25" s="138">
        <f t="shared" si="9"/>
        <v>0</v>
      </c>
      <c r="BT25" s="132">
        <f t="shared" si="10"/>
        <v>1</v>
      </c>
      <c r="BU25" s="133"/>
      <c r="BV25" s="133"/>
    </row>
    <row r="26" customHeight="1" spans="1:75">
      <c r="A26" s="123" t="str">
        <f>IF(B26="","",COUNT(A$6:A25)+1)</f>
        <v/>
      </c>
      <c r="B26" s="315" t="s">
        <v>347</v>
      </c>
      <c r="C26" s="319" t="s">
        <v>347</v>
      </c>
      <c r="D26" s="321" t="s">
        <v>347</v>
      </c>
      <c r="E26" s="127"/>
      <c r="F26" s="127" t="str">
        <f>IFERROR(VLOOKUP(E26,参数表!$H$2:$I$50,2,FALSE),"")</f>
        <v/>
      </c>
      <c r="G26" s="128" t="str">
        <f t="shared" si="3"/>
        <v/>
      </c>
      <c r="H26" s="955"/>
      <c r="I26" s="955"/>
      <c r="J26" s="955" t="str">
        <f t="shared" si="4"/>
        <v/>
      </c>
      <c r="K26" s="955" t="str">
        <f t="shared" si="0"/>
        <v/>
      </c>
      <c r="L26" s="955" t="str">
        <f t="shared" si="5"/>
        <v/>
      </c>
      <c r="M26" s="957" t="s">
        <v>347</v>
      </c>
      <c r="BA26" s="78"/>
      <c r="BB26" s="132" t="s">
        <v>3340</v>
      </c>
      <c r="BC26" s="133"/>
      <c r="BD26" s="132" t="str">
        <f>IF(OR(B26="",BC26=""),"",COUNTIF(BC$7:BC26,"√"))</f>
        <v/>
      </c>
      <c r="BE26" s="134" t="str">
        <f t="shared" si="1"/>
        <v/>
      </c>
      <c r="BF26" s="135" t="str">
        <f t="shared" si="6"/>
        <v/>
      </c>
      <c r="BG26" s="135" t="str">
        <f t="shared" si="6"/>
        <v/>
      </c>
      <c r="BH26" s="136"/>
      <c r="BI26" s="136"/>
      <c r="BJ26" s="136"/>
      <c r="BK26" s="136"/>
      <c r="BL26" s="136"/>
      <c r="BM26" s="137"/>
      <c r="BN26" s="137"/>
      <c r="BP26" s="134" t="str">
        <f>IF(COUNTIF(BP$6:BP25,D26)&gt;0,"",D26)&amp;""</f>
        <v/>
      </c>
      <c r="BQ26" s="138">
        <f t="shared" si="7"/>
        <v>0</v>
      </c>
      <c r="BR26" s="132">
        <f t="shared" si="8"/>
        <v>1</v>
      </c>
      <c r="BS26" s="138">
        <f t="shared" si="9"/>
        <v>0</v>
      </c>
      <c r="BT26" s="132">
        <f t="shared" si="10"/>
        <v>1</v>
      </c>
      <c r="BU26" s="133"/>
      <c r="BV26" s="133"/>
    </row>
    <row r="27" s="271" customFormat="1" customHeight="1" spans="1:75">
      <c r="A27" s="1000" t="s">
        <v>1922</v>
      </c>
      <c r="B27" s="954"/>
      <c r="C27" s="1001"/>
      <c r="D27" s="962"/>
      <c r="E27" s="962"/>
      <c r="F27" s="962"/>
      <c r="G27" s="962"/>
      <c r="H27" s="961">
        <f>SUM(H7:H26)</f>
        <v>0</v>
      </c>
      <c r="I27" s="961"/>
      <c r="J27" s="961">
        <f>SUM(J7:J26)</f>
        <v>0</v>
      </c>
      <c r="K27" s="961">
        <f>SUM(K7:K26)</f>
        <v>0</v>
      </c>
      <c r="L27" s="961" t="str">
        <f t="shared" si="5"/>
        <v/>
      </c>
      <c r="M27" s="962"/>
      <c r="BH27" s="287"/>
      <c r="BI27" s="287"/>
      <c r="BJ27" s="287"/>
      <c r="BK27" s="287"/>
      <c r="BL27" s="287"/>
      <c r="BO27" s="111"/>
      <c r="BP27" s="119"/>
      <c r="BQ27" s="77"/>
      <c r="BR27" s="77"/>
      <c r="BS27" s="77"/>
      <c r="BT27" s="119"/>
      <c r="BU27" s="119"/>
      <c r="BV27" s="119"/>
      <c r="BW27" s="111"/>
    </row>
    <row r="28" customHeight="1" spans="1:75">
      <c r="A28" s="299" t="str">
        <f>参数表!F$6</f>
        <v>产权持有单位填表人：贾广东</v>
      </c>
      <c r="B28" s="107"/>
      <c r="C28" s="107"/>
      <c r="D28" s="107"/>
      <c r="E28" s="107"/>
      <c r="F28" s="107"/>
      <c r="G28" s="107"/>
      <c r="H28" s="107"/>
      <c r="I28" s="107"/>
      <c r="J28" s="333"/>
      <c r="K28" s="107" t="str">
        <f>'合同资-未完施工'!AH30</f>
        <v>评估人员：栗祥宁</v>
      </c>
      <c r="L28" s="107"/>
      <c r="M28" s="107"/>
      <c r="BC28" s="229"/>
      <c r="BD28" s="229"/>
      <c r="BE28" s="229"/>
      <c r="BF28" s="229"/>
      <c r="BG28" s="229"/>
      <c r="BH28" s="254"/>
      <c r="BI28" s="254"/>
      <c r="BJ28" s="254"/>
      <c r="BK28" s="254"/>
      <c r="BL28" s="254"/>
    </row>
    <row r="29" customHeight="1" spans="1:75">
      <c r="A29" s="334" t="str">
        <f>参数表!F$7</f>
        <v>填表日期：2025年9月20日</v>
      </c>
      <c r="B29" s="107"/>
      <c r="C29" s="107"/>
      <c r="D29" s="107"/>
      <c r="E29" s="107"/>
      <c r="F29" s="107"/>
      <c r="G29" s="107"/>
      <c r="H29" s="107"/>
      <c r="I29" s="107"/>
      <c r="J29" s="107"/>
      <c r="K29" s="107"/>
      <c r="L29" s="107"/>
      <c r="M29" s="107"/>
      <c r="BC29" s="229"/>
      <c r="BD29" s="229"/>
      <c r="BE29" s="229"/>
      <c r="BF29" s="229"/>
      <c r="BG29" s="229"/>
      <c r="BH29" s="254"/>
      <c r="BI29" s="254"/>
      <c r="BJ29" s="254"/>
      <c r="BK29" s="254"/>
      <c r="BL29" s="254"/>
    </row>
    <row r="30" hidden="1" customHeight="1" outlineLevel="1" spans="1:75">
      <c r="B30" s="154" t="s">
        <v>1673</v>
      </c>
      <c r="H30" s="335">
        <f>SUMIF($BA7:$BA26,$BA30,H7:H26)</f>
        <v>0</v>
      </c>
      <c r="I30" s="336"/>
      <c r="J30" s="335">
        <f>SUMIF($BA7:$BA26,$BA30,J7:J26)</f>
        <v>0</v>
      </c>
      <c r="K30" s="335">
        <f>SUMIF($BA7:$BA26,$BA30,K7:K26)</f>
        <v>0</v>
      </c>
      <c r="BA30" s="161" t="s">
        <v>1674</v>
      </c>
      <c r="BC30" s="229"/>
      <c r="BD30" s="229"/>
      <c r="BE30" s="229"/>
      <c r="BF30" s="229"/>
      <c r="BG30" s="229"/>
      <c r="BH30" s="162" t="s">
        <v>1675</v>
      </c>
      <c r="BI30" s="162" t="s">
        <v>1675</v>
      </c>
      <c r="BJ30" s="162" t="s">
        <v>1675</v>
      </c>
      <c r="BK30" s="162" t="s">
        <v>1674</v>
      </c>
      <c r="BL30" s="162" t="s">
        <v>1674</v>
      </c>
    </row>
    <row r="31" hidden="1" customHeight="1" outlineLevel="1" spans="1:75">
      <c r="B31" s="154" t="s">
        <v>1676</v>
      </c>
      <c r="H31" s="335">
        <f>H27-H30</f>
        <v>0</v>
      </c>
      <c r="I31" s="336"/>
      <c r="J31" s="335">
        <f>J27-J30</f>
        <v>0</v>
      </c>
      <c r="K31" s="335">
        <f>K27-K30</f>
        <v>0</v>
      </c>
      <c r="BA31" s="161" t="s">
        <v>1677</v>
      </c>
      <c r="BC31" s="229"/>
      <c r="BD31" s="229"/>
      <c r="BE31" s="229"/>
      <c r="BF31" s="229"/>
      <c r="BG31" s="229"/>
      <c r="BH31" s="162" t="s">
        <v>1678</v>
      </c>
      <c r="BI31" s="162" t="s">
        <v>1678</v>
      </c>
      <c r="BJ31" s="162" t="s">
        <v>1678</v>
      </c>
      <c r="BK31" s="162" t="s">
        <v>1677</v>
      </c>
      <c r="BL31" s="162" t="s">
        <v>1677</v>
      </c>
    </row>
    <row r="32" customHeight="1" collapsed="1" spans="1:75">
      <c r="BC32" s="229"/>
      <c r="BD32" s="229"/>
      <c r="BE32" s="229"/>
      <c r="BF32" s="229"/>
      <c r="BG32" s="229"/>
      <c r="BH32" s="254"/>
      <c r="BI32" s="254"/>
      <c r="BJ32" s="254"/>
      <c r="BK32" s="254"/>
      <c r="BL32" s="254"/>
    </row>
  </sheetData>
  <sheetProtection autoFilter="0"/>
  <mergeCells count="6">
    <mergeCell ref="A2:M2"/>
    <mergeCell ref="A3:M3"/>
    <mergeCell ref="BU7:BW7"/>
    <mergeCell ref="BU8:BW8"/>
    <mergeCell ref="BV14:BW14"/>
    <mergeCell ref="A27:B27"/>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6" stopIfTrue="1">
      <formula>AND($B7&lt;&gt;"",BH7="")</formula>
    </cfRule>
  </conditionalFormatting>
  <dataValidations count="5">
    <dataValidation allowBlank="1" showInputMessage="1" showErrorMessage="1" prompt="①发生日期：指的是利润或股利分配时间，可根据股东会决议或收到利润分配相关通知的日期；②股利所属期间”指股利发生的期间，如2010年应收2009年的股利，则该栏目填写“2009年度”。" sqref="A2:M2"/>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L26">
      <formula1>BH$30:BH$31</formula1>
    </dataValidation>
  </dataValidations>
  <hyperlinks>
    <hyperlink ref="A1" location="索引目录!D26" display="返回索引页"/>
    <hyperlink ref="B1" location="流动资产汇总表!B26" display="返回"/>
  </hyperlinks>
  <printOptions horizontalCentered="1"/>
  <pageMargins left="0.393700787401575" right="0.393700787401575" top="0.984251968503937" bottom="0.393700787401575" header="0.984251968503937" footer="0.393700787401575"/>
  <pageSetup paperSize="9" orientation="landscape" blackAndWhite="1"/>
  <headerFooter alignWithMargins="0">
    <oddHeader>&amp;R&amp;"宋体,常规"&amp;11共&amp;N页，第&amp;P页&amp;"Times New Roman,常规"</oddHead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7"/>
  <dimension ref="A1:BW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4.5" style="75" customWidth="1"/>
    <col min="3" max="3" width="9.7" style="75" customWidth="1"/>
    <col min="4" max="4" width="17.2" style="75" customWidth="1"/>
    <col min="5" max="6" width="4.6" style="75" customWidth="1" outlineLevel="1"/>
    <col min="7" max="7" width="6.1" style="75" customWidth="1" outlineLevel="1"/>
    <col min="8" max="8" width="16.6" style="75" customWidth="1" outlineLevel="1"/>
    <col min="9" max="9" width="16.6" style="76" customWidth="1" outlineLevel="1"/>
    <col min="10" max="11" width="16.6" style="75" customWidth="1"/>
    <col min="12" max="13" width="10.6" style="75" customWidth="1"/>
    <col min="14" max="14" width="14.6" style="75" customWidth="1"/>
    <col min="15" max="52" width="9" style="75" hidden="1" customWidth="1" outlineLevel="1"/>
    <col min="53" max="53" width="14.7" style="75" customWidth="1" collapsed="1"/>
    <col min="54" max="54" width="6.7" style="75" customWidth="1"/>
    <col min="55" max="56" width="5.1" style="75" customWidth="1"/>
    <col min="57" max="57" width="8.7" style="75" customWidth="1"/>
    <col min="58" max="59" width="9.8" style="75" customWidth="1"/>
    <col min="60" max="63" width="4.7" style="165" customWidth="1"/>
    <col min="64" max="64" width="6.7" style="165" customWidth="1"/>
    <col min="65" max="65" width="10.3" style="75" customWidth="1"/>
    <col min="66" max="66" width="8.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82"/>
      <c r="D1" s="82"/>
      <c r="E1" s="82"/>
      <c r="F1" s="82"/>
      <c r="G1" s="82"/>
      <c r="H1" s="82"/>
      <c r="I1" s="205"/>
      <c r="J1" s="82"/>
      <c r="K1" s="82"/>
      <c r="L1" s="82"/>
      <c r="M1" s="82"/>
      <c r="N1" s="82"/>
      <c r="BA1" s="84" t="str">
        <f>参数表!BA1</f>
        <v>注意：补充特殊事项、作价等均从BA列开始填写</v>
      </c>
      <c r="BB1" s="85"/>
      <c r="BH1" s="82"/>
      <c r="BI1" s="82"/>
      <c r="BJ1" s="82"/>
      <c r="BK1" s="82"/>
      <c r="BL1" s="82"/>
      <c r="BO1" s="87"/>
      <c r="BP1" s="88"/>
      <c r="BQ1" s="87"/>
      <c r="BR1" s="88"/>
      <c r="BS1" s="88"/>
      <c r="BT1" s="88"/>
      <c r="BU1" s="88"/>
      <c r="BV1" s="88"/>
      <c r="BW1" s="87"/>
    </row>
    <row r="2" s="71" customFormat="1" ht="30" customHeight="1" spans="1:75">
      <c r="A2" s="89" t="s">
        <v>3341</v>
      </c>
      <c r="B2" s="89"/>
      <c r="C2" s="89"/>
      <c r="D2" s="89"/>
      <c r="E2" s="89"/>
      <c r="F2" s="89"/>
      <c r="G2" s="89"/>
      <c r="H2" s="89"/>
      <c r="I2" s="89"/>
      <c r="J2" s="89"/>
      <c r="K2" s="89"/>
      <c r="L2" s="89"/>
      <c r="M2" s="89"/>
      <c r="N2" s="89"/>
      <c r="BA2" s="90" t="str">
        <f>参数表!BA2</f>
        <v>评估基准日：</v>
      </c>
      <c r="BB2" s="91" t="str">
        <f>参数表!BB2</f>
        <v>2025年7月31日</v>
      </c>
      <c r="BH2" s="171"/>
      <c r="BI2" s="171"/>
      <c r="BJ2" s="171"/>
      <c r="BK2" s="171"/>
      <c r="BL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5"/>
      <c r="L3" s="95"/>
      <c r="M3" s="95"/>
      <c r="N3" s="95"/>
      <c r="BA3" s="90" t="str">
        <f>参数表!BA3</f>
        <v>是否显示评估值：</v>
      </c>
      <c r="BB3" s="90" t="str">
        <f>参数表!BB3</f>
        <v>是</v>
      </c>
      <c r="BQ3" s="78"/>
    </row>
    <row r="4" ht="15" customHeight="1" spans="1:75">
      <c r="A4" s="96"/>
      <c r="B4" s="94"/>
      <c r="C4" s="94"/>
      <c r="D4" s="94"/>
      <c r="E4" s="94"/>
      <c r="F4" s="94"/>
      <c r="G4" s="94"/>
      <c r="H4" s="94"/>
      <c r="I4" s="97"/>
      <c r="J4" s="94"/>
      <c r="K4" s="95"/>
      <c r="L4" s="95"/>
      <c r="M4" s="95"/>
      <c r="N4" s="300" t="str">
        <f>"表"&amp;$BA4</f>
        <v>表3-13</v>
      </c>
      <c r="O4" s="277"/>
      <c r="BA4" s="95" t="str">
        <f>流动资总!A19</f>
        <v>3-13</v>
      </c>
      <c r="BB4" s="100">
        <f>MAX(COUNTA(A7:A26),COUNTA(B7:B26),COUNTA(H7:H26),COUNTA(J7:J26))</f>
        <v>20</v>
      </c>
      <c r="BC4" s="101">
        <f>ROW(A6)+1</f>
        <v>7</v>
      </c>
      <c r="BD4" s="77"/>
      <c r="BE4" s="77"/>
      <c r="BQ4" s="78"/>
    </row>
    <row r="5" ht="15" customHeight="1" spans="1:75">
      <c r="A5" s="102" t="str">
        <f>参数表!F3</f>
        <v>产权持有单位:中煤第五建设有限公司</v>
      </c>
      <c r="B5" s="103"/>
      <c r="C5" s="103"/>
      <c r="D5" s="103"/>
      <c r="E5" s="103"/>
      <c r="F5" s="103"/>
      <c r="G5" s="103"/>
      <c r="H5" s="103"/>
      <c r="I5" s="104"/>
      <c r="J5" s="103"/>
      <c r="K5" s="103"/>
      <c r="L5" s="103"/>
      <c r="M5" s="103"/>
      <c r="N5" s="98" t="s">
        <v>236</v>
      </c>
      <c r="BA5" s="103"/>
      <c r="BB5" s="105" t="str">
        <f ca="1">判断表!C46</f>
        <v>中煤第五建设有限公司第三工程处拟处置实物资产项目\[0000-3基础法明细表.xlsx]一年到期资</v>
      </c>
      <c r="BC5" s="106">
        <f>IFERROR(SUMIF(BC7:BC26,"√",J7:J26)/J27,0)</f>
        <v>0</v>
      </c>
      <c r="BD5" s="107"/>
      <c r="BE5" s="107"/>
      <c r="BF5" s="177">
        <f>分类汇总!I20</f>
        <v>0</v>
      </c>
      <c r="BG5" s="177">
        <f>分类汇总!K20</f>
        <v>0</v>
      </c>
      <c r="BO5" s="111"/>
      <c r="BQ5" s="78"/>
      <c r="BW5" s="111"/>
    </row>
    <row r="6" s="72" customFormat="1" ht="27" customHeight="1" spans="1:75">
      <c r="A6" s="112" t="s">
        <v>305</v>
      </c>
      <c r="B6" s="276" t="s">
        <v>463</v>
      </c>
      <c r="C6" s="113" t="s">
        <v>1961</v>
      </c>
      <c r="D6" s="113" t="s">
        <v>3342</v>
      </c>
      <c r="E6" s="114" t="s">
        <v>1631</v>
      </c>
      <c r="F6" s="115" t="s">
        <v>1632</v>
      </c>
      <c r="G6" s="115" t="s">
        <v>1633</v>
      </c>
      <c r="H6" s="113" t="s">
        <v>1549</v>
      </c>
      <c r="I6" s="117" t="s">
        <v>1634</v>
      </c>
      <c r="J6" s="118" t="s">
        <v>1523</v>
      </c>
      <c r="K6" s="113" t="s">
        <v>1550</v>
      </c>
      <c r="L6" s="113" t="s">
        <v>1525</v>
      </c>
      <c r="M6" s="113" t="s">
        <v>1551</v>
      </c>
      <c r="N6" s="113" t="s">
        <v>308</v>
      </c>
      <c r="BA6" s="100" t="s">
        <v>1545</v>
      </c>
      <c r="BB6" s="100" t="s">
        <v>1635</v>
      </c>
      <c r="BC6" s="100" t="s">
        <v>1636</v>
      </c>
      <c r="BD6" s="100" t="s">
        <v>1637</v>
      </c>
      <c r="BE6" s="100" t="s">
        <v>1638</v>
      </c>
      <c r="BF6" s="115" t="s">
        <v>1639</v>
      </c>
      <c r="BG6" s="115" t="s">
        <v>1640</v>
      </c>
      <c r="BH6" s="113" t="s">
        <v>1748</v>
      </c>
      <c r="BI6" s="113" t="s">
        <v>1749</v>
      </c>
      <c r="BJ6" s="118" t="s">
        <v>1712</v>
      </c>
      <c r="BK6" s="118" t="s">
        <v>1686</v>
      </c>
      <c r="BL6" s="118" t="s">
        <v>1687</v>
      </c>
      <c r="BM6" s="118" t="s">
        <v>2063</v>
      </c>
      <c r="BN6" s="113" t="s">
        <v>1644</v>
      </c>
      <c r="BO6" s="119"/>
      <c r="BP6" s="120" t="s">
        <v>1645</v>
      </c>
      <c r="BQ6" s="121" t="s">
        <v>1646</v>
      </c>
      <c r="BR6" s="121" t="s">
        <v>1647</v>
      </c>
      <c r="BS6" s="121" t="s">
        <v>1648</v>
      </c>
      <c r="BT6" s="121" t="s">
        <v>1647</v>
      </c>
      <c r="BU6" s="121" t="s">
        <v>1647</v>
      </c>
      <c r="BV6" s="121" t="s">
        <v>1649</v>
      </c>
      <c r="BW6" s="122" t="s">
        <v>1650</v>
      </c>
    </row>
    <row r="7" ht="15" customHeight="1" spans="1:75">
      <c r="A7" s="123" t="str">
        <f>IF(B7="","",COUNT(A$6:A6)+1)</f>
        <v/>
      </c>
      <c r="B7" s="124"/>
      <c r="C7" s="125"/>
      <c r="D7" s="126"/>
      <c r="E7" s="127"/>
      <c r="F7" s="127" t="str">
        <f>IFERROR(VLOOKUP(E7,参数表!$H$2:$I$50,2,FALSE),"")</f>
        <v/>
      </c>
      <c r="G7" s="128" t="str">
        <f>IFERROR(IF(OR(E7="人民币",E7=""),"",J7/F7),"")</f>
        <v/>
      </c>
      <c r="H7" s="129"/>
      <c r="I7" s="130"/>
      <c r="J7" s="129" t="str">
        <f>IF(B7="","",H7+I7)</f>
        <v/>
      </c>
      <c r="K7" s="129" t="str">
        <f t="shared" ref="K7:K26" si="0">IF(B7="","",IF($BB$3="是",J7,""))</f>
        <v/>
      </c>
      <c r="L7" s="129" t="str">
        <f>IFERROR(K7-J7,"")</f>
        <v/>
      </c>
      <c r="M7" s="129" t="str">
        <f>IFERROR(L7/J7*100,"")</f>
        <v/>
      </c>
      <c r="N7" s="131"/>
      <c r="BA7" s="78"/>
      <c r="BB7" s="132" t="s">
        <v>3343</v>
      </c>
      <c r="BC7" s="133"/>
      <c r="BD7" s="132" t="str">
        <f>IF(OR(B7="",BC7=""),"",COUNTIF(BC$7:BC7,"√"))</f>
        <v/>
      </c>
      <c r="BE7" s="134" t="str">
        <f t="shared" ref="BE7:BE26" si="1">IF(BC7="","",BB7&amp;"︱"&amp;B7&amp;"︱"&amp;TEXT(H7,"#,##0.00"))</f>
        <v/>
      </c>
      <c r="BF7" s="135" t="str">
        <f>IF($B7="","",IF(BF$5=0,"OK","出错"))</f>
        <v/>
      </c>
      <c r="BG7" s="135" t="str">
        <f>IF($B7="","",IF(BG$5=0,"OK","出错"))</f>
        <v/>
      </c>
      <c r="BH7" s="136"/>
      <c r="BI7" s="136"/>
      <c r="BJ7" s="136"/>
      <c r="BK7" s="136"/>
      <c r="BL7" s="136"/>
      <c r="BM7" s="137"/>
      <c r="BN7" s="137"/>
      <c r="BP7" s="134" t="str">
        <f>IF(COUNTIF(BP$6:BP6,F7)&gt;0,"",F7)&amp;""</f>
        <v/>
      </c>
      <c r="BQ7" s="138">
        <f>SUMIF(F$7:F$26,BP7,K$7:K$26)</f>
        <v>0</v>
      </c>
      <c r="BR7" s="132">
        <f t="shared" ref="BR7" si="2">RANK(BQ7,BQ$7:BQ$26)</f>
        <v>1</v>
      </c>
      <c r="BS7" s="138">
        <f>SUMIF(F$7:F$26,BP7,L$7:L$26)</f>
        <v>0</v>
      </c>
      <c r="BT7" s="132">
        <f>RANK(BS7,BS$7:BS$26)</f>
        <v>1</v>
      </c>
      <c r="BU7" s="138">
        <f>SUM(BQ7:BQ26)</f>
        <v>0</v>
      </c>
      <c r="BV7" s="138"/>
      <c r="BW7" s="138"/>
    </row>
    <row r="8" ht="15" customHeight="1" spans="1:75">
      <c r="A8" s="123" t="str">
        <f>IF(B8="","",COUNT(A$6:A7)+1)</f>
        <v/>
      </c>
      <c r="B8" s="139"/>
      <c r="C8" s="140"/>
      <c r="D8" s="140"/>
      <c r="E8" s="142"/>
      <c r="F8" s="127" t="str">
        <f>IFERROR(VLOOKUP(E8,参数表!$H$2:$I$50,2,FALSE),"")</f>
        <v/>
      </c>
      <c r="G8" s="128" t="str">
        <f>IFERROR(IF(OR(E8="人民币",E8=""),"",J8/F8),"")</f>
        <v/>
      </c>
      <c r="H8" s="143"/>
      <c r="I8" s="144"/>
      <c r="J8" s="129" t="str">
        <f t="shared" ref="J8:J26" si="3">IF(B8="","",H8+I8)</f>
        <v/>
      </c>
      <c r="K8" s="129" t="str">
        <f t="shared" si="0"/>
        <v/>
      </c>
      <c r="L8" s="129" t="str">
        <f t="shared" ref="L8:L26" si="4">IFERROR(K8-J8,"")</f>
        <v/>
      </c>
      <c r="M8" s="129" t="str">
        <f t="shared" ref="M8:M27" si="5">IFERROR(L8/J8*100,"")</f>
        <v/>
      </c>
      <c r="N8" s="145"/>
      <c r="BA8" s="78"/>
      <c r="BB8" s="132" t="s">
        <v>3344</v>
      </c>
      <c r="BC8" s="133"/>
      <c r="BD8" s="132" t="str">
        <f>IF(OR(B8="",BC8=""),"",COUNTIF(BC$7:BC8,"√"))</f>
        <v/>
      </c>
      <c r="BE8" s="134" t="str">
        <f t="shared" si="1"/>
        <v/>
      </c>
      <c r="BF8" s="135" t="str">
        <f t="shared" ref="BF8:BG26" si="6">IF($B8="","",IF(BF$5=0,"OK","出错"))</f>
        <v/>
      </c>
      <c r="BG8" s="135" t="str">
        <f t="shared" si="6"/>
        <v/>
      </c>
      <c r="BH8" s="136"/>
      <c r="BI8" s="136"/>
      <c r="BJ8" s="136"/>
      <c r="BK8" s="136"/>
      <c r="BL8" s="136"/>
      <c r="BM8" s="137"/>
      <c r="BN8" s="137"/>
      <c r="BP8" s="134" t="str">
        <f>IF(COUNTIF(BP$6:BP7,F8)&gt;0,"",F8)&amp;""</f>
        <v/>
      </c>
      <c r="BQ8" s="138">
        <f t="shared" ref="BQ8:BQ26" si="7">SUMIF(F$7:F$26,BP8,K$7:K$26)</f>
        <v>0</v>
      </c>
      <c r="BR8" s="132">
        <f t="shared" ref="BR8:BR26" si="8">RANK(BQ8,BQ$7:BQ$26)</f>
        <v>1</v>
      </c>
      <c r="BS8" s="138">
        <f t="shared" ref="BS8:BS26" si="9">SUMIF(F$7:F$26,BP8,L$7:L$26)</f>
        <v>0</v>
      </c>
      <c r="BT8" s="132">
        <f t="shared" ref="BT8:BT26" si="10">RANK(BS8,BS$7:BS$26)</f>
        <v>1</v>
      </c>
      <c r="BU8" s="138">
        <f>SUM(BS7:BS26)</f>
        <v>0</v>
      </c>
      <c r="BV8" s="138"/>
      <c r="BW8" s="138"/>
    </row>
    <row r="9" ht="15" customHeight="1" spans="1:75">
      <c r="A9" s="123" t="str">
        <f>IF(B9="","",COUNT(A$6:A8)+1)</f>
        <v/>
      </c>
      <c r="B9" s="139"/>
      <c r="C9" s="140"/>
      <c r="D9" s="140"/>
      <c r="E9" s="142"/>
      <c r="F9" s="127" t="str">
        <f>IFERROR(VLOOKUP(E9,参数表!$H$2:$I$50,2,FALSE),"")</f>
        <v/>
      </c>
      <c r="G9" s="128" t="str">
        <f t="shared" ref="G9:G26" si="11">IFERROR(IF(OR(E9="人民币",E9=""),"",J9/F9),"")</f>
        <v/>
      </c>
      <c r="H9" s="143"/>
      <c r="I9" s="144"/>
      <c r="J9" s="129" t="str">
        <f t="shared" si="3"/>
        <v/>
      </c>
      <c r="K9" s="129" t="str">
        <f t="shared" si="0"/>
        <v/>
      </c>
      <c r="L9" s="129" t="str">
        <f t="shared" si="4"/>
        <v/>
      </c>
      <c r="M9" s="129" t="str">
        <f t="shared" si="5"/>
        <v/>
      </c>
      <c r="N9" s="145"/>
      <c r="BA9" s="78"/>
      <c r="BB9" s="132" t="s">
        <v>3345</v>
      </c>
      <c r="BC9" s="133"/>
      <c r="BD9" s="132" t="str">
        <f>IF(OR(B9="",BC9=""),"",COUNTIF(BC$7:BC9,"√"))</f>
        <v/>
      </c>
      <c r="BE9" s="134" t="str">
        <f t="shared" si="1"/>
        <v/>
      </c>
      <c r="BF9" s="135" t="str">
        <f t="shared" si="6"/>
        <v/>
      </c>
      <c r="BG9" s="135" t="str">
        <f t="shared" si="6"/>
        <v/>
      </c>
      <c r="BH9" s="136"/>
      <c r="BI9" s="136"/>
      <c r="BJ9" s="136"/>
      <c r="BK9" s="136"/>
      <c r="BL9" s="136"/>
      <c r="BM9" s="137"/>
      <c r="BN9" s="137"/>
      <c r="BP9" s="134" t="str">
        <f>IF(COUNTIF(BP$6:BP8,F9)&gt;0,"",F9)&amp;""</f>
        <v/>
      </c>
      <c r="BQ9" s="138">
        <f t="shared" si="7"/>
        <v>0</v>
      </c>
      <c r="BR9" s="132">
        <f t="shared" si="8"/>
        <v>1</v>
      </c>
      <c r="BS9" s="138">
        <f t="shared" si="9"/>
        <v>0</v>
      </c>
      <c r="BT9" s="132">
        <f t="shared" si="10"/>
        <v>1</v>
      </c>
      <c r="BU9" s="132">
        <v>1</v>
      </c>
      <c r="BV9" s="134" t="str">
        <f>IFERROR(INDEX(BP$7:BP$26,MATCH(BU9,IF(BU$7=0,BT$7:BT$26,BR$7:BR$26),0))&amp;"","")</f>
        <v/>
      </c>
      <c r="BW9" s="146" t="str">
        <f>IF(BV10="","",IF(BV11="","和","、"))</f>
        <v/>
      </c>
    </row>
    <row r="10" ht="15" customHeight="1" spans="1:75">
      <c r="A10" s="123" t="str">
        <f>IF(B10="","",COUNT(A$6:A9)+1)</f>
        <v/>
      </c>
      <c r="B10" s="139"/>
      <c r="C10" s="140"/>
      <c r="D10" s="140"/>
      <c r="E10" s="142"/>
      <c r="F10" s="127" t="str">
        <f>IFERROR(VLOOKUP(E10,参数表!$H$2:$I$50,2,FALSE),"")</f>
        <v/>
      </c>
      <c r="G10" s="128" t="str">
        <f t="shared" si="11"/>
        <v/>
      </c>
      <c r="H10" s="143"/>
      <c r="I10" s="144"/>
      <c r="J10" s="129" t="str">
        <f t="shared" si="3"/>
        <v/>
      </c>
      <c r="K10" s="129" t="str">
        <f t="shared" si="0"/>
        <v/>
      </c>
      <c r="L10" s="129" t="str">
        <f t="shared" si="4"/>
        <v/>
      </c>
      <c r="M10" s="129" t="str">
        <f t="shared" si="5"/>
        <v/>
      </c>
      <c r="N10" s="145"/>
      <c r="BA10" s="78"/>
      <c r="BB10" s="132" t="s">
        <v>3346</v>
      </c>
      <c r="BC10" s="133"/>
      <c r="BD10" s="132" t="str">
        <f>IF(OR(B10="",BC10=""),"",COUNTIF(BC$7:BC10,"√"))</f>
        <v/>
      </c>
      <c r="BE10" s="134" t="str">
        <f t="shared" si="1"/>
        <v/>
      </c>
      <c r="BF10" s="135" t="str">
        <f t="shared" si="6"/>
        <v/>
      </c>
      <c r="BG10" s="135" t="str">
        <f t="shared" si="6"/>
        <v/>
      </c>
      <c r="BH10" s="136"/>
      <c r="BI10" s="136"/>
      <c r="BJ10" s="136"/>
      <c r="BK10" s="136"/>
      <c r="BL10" s="136"/>
      <c r="BM10" s="137"/>
      <c r="BN10" s="137"/>
      <c r="BP10" s="134" t="str">
        <f>IF(COUNTIF(BP$6:BP9,F10)&gt;0,"",F10)&amp;""</f>
        <v/>
      </c>
      <c r="BQ10" s="138">
        <f t="shared" si="7"/>
        <v>0</v>
      </c>
      <c r="BR10" s="132">
        <f t="shared" si="8"/>
        <v>1</v>
      </c>
      <c r="BS10" s="138">
        <f t="shared" si="9"/>
        <v>0</v>
      </c>
      <c r="BT10" s="132">
        <f t="shared" si="10"/>
        <v>1</v>
      </c>
      <c r="BU10" s="132">
        <v>2</v>
      </c>
      <c r="BV10" s="134" t="str">
        <f t="shared" ref="BV10:BV13" si="12">IFERROR(INDEX(BP$7:BP$26,MATCH(BU10,IF(BU$7=0,BT$7:BT$26,BR$7:BR$26),0))&amp;"","")</f>
        <v/>
      </c>
      <c r="BW10" s="146" t="str">
        <f t="shared" ref="BW10:BW11" si="13">IF(BV11="","",IF(BV12="","和","、"))</f>
        <v/>
      </c>
    </row>
    <row r="11" ht="15" customHeight="1" spans="1:75">
      <c r="A11" s="123" t="str">
        <f>IF(B11="","",COUNT(A$6:A10)+1)</f>
        <v/>
      </c>
      <c r="B11" s="139"/>
      <c r="C11" s="140"/>
      <c r="D11" s="140"/>
      <c r="E11" s="142"/>
      <c r="F11" s="127" t="str">
        <f>IFERROR(VLOOKUP(E11,参数表!$H$2:$I$50,2,FALSE),"")</f>
        <v/>
      </c>
      <c r="G11" s="128" t="str">
        <f t="shared" si="11"/>
        <v/>
      </c>
      <c r="H11" s="143"/>
      <c r="I11" s="144"/>
      <c r="J11" s="129" t="str">
        <f t="shared" si="3"/>
        <v/>
      </c>
      <c r="K11" s="129" t="str">
        <f t="shared" si="0"/>
        <v/>
      </c>
      <c r="L11" s="129" t="str">
        <f t="shared" si="4"/>
        <v/>
      </c>
      <c r="M11" s="129" t="str">
        <f t="shared" si="5"/>
        <v/>
      </c>
      <c r="N11" s="145"/>
      <c r="BA11" s="78"/>
      <c r="BB11" s="132" t="s">
        <v>3347</v>
      </c>
      <c r="BC11" s="133"/>
      <c r="BD11" s="132" t="str">
        <f>IF(OR(B11="",BC11=""),"",COUNTIF(BC$7:BC11,"√"))</f>
        <v/>
      </c>
      <c r="BE11" s="134" t="str">
        <f t="shared" si="1"/>
        <v/>
      </c>
      <c r="BF11" s="135" t="str">
        <f t="shared" si="6"/>
        <v/>
      </c>
      <c r="BG11" s="135" t="str">
        <f t="shared" si="6"/>
        <v/>
      </c>
      <c r="BH11" s="136"/>
      <c r="BI11" s="136"/>
      <c r="BJ11" s="136"/>
      <c r="BK11" s="136"/>
      <c r="BL11" s="136"/>
      <c r="BM11" s="137"/>
      <c r="BN11" s="137"/>
      <c r="BP11" s="134" t="str">
        <f>IF(COUNTIF(BP$6:BP10,F11)&gt;0,"",F11)&amp;""</f>
        <v/>
      </c>
      <c r="BQ11" s="138">
        <f t="shared" si="7"/>
        <v>0</v>
      </c>
      <c r="BR11" s="132">
        <f t="shared" si="8"/>
        <v>1</v>
      </c>
      <c r="BS11" s="138">
        <f t="shared" si="9"/>
        <v>0</v>
      </c>
      <c r="BT11" s="132">
        <f t="shared" si="10"/>
        <v>1</v>
      </c>
      <c r="BU11" s="132">
        <v>3</v>
      </c>
      <c r="BV11" s="134" t="str">
        <f t="shared" si="12"/>
        <v/>
      </c>
      <c r="BW11" s="146" t="str">
        <f t="shared" si="13"/>
        <v/>
      </c>
    </row>
    <row r="12" ht="15" customHeight="1" spans="1:75">
      <c r="A12" s="123" t="str">
        <f>IF(B12="","",COUNT(A$6:A11)+1)</f>
        <v/>
      </c>
      <c r="B12" s="139"/>
      <c r="C12" s="140"/>
      <c r="D12" s="140"/>
      <c r="E12" s="142"/>
      <c r="F12" s="127" t="str">
        <f>IFERROR(VLOOKUP(E12,参数表!$H$2:$I$50,2,FALSE),"")</f>
        <v/>
      </c>
      <c r="G12" s="128" t="str">
        <f t="shared" si="11"/>
        <v/>
      </c>
      <c r="H12" s="143"/>
      <c r="I12" s="144"/>
      <c r="J12" s="129" t="str">
        <f t="shared" si="3"/>
        <v/>
      </c>
      <c r="K12" s="129" t="str">
        <f t="shared" si="0"/>
        <v/>
      </c>
      <c r="L12" s="129" t="str">
        <f t="shared" si="4"/>
        <v/>
      </c>
      <c r="M12" s="129" t="str">
        <f t="shared" si="5"/>
        <v/>
      </c>
      <c r="N12" s="145"/>
      <c r="BA12" s="78"/>
      <c r="BB12" s="132" t="s">
        <v>3348</v>
      </c>
      <c r="BC12" s="133"/>
      <c r="BD12" s="132" t="str">
        <f>IF(OR(B12="",BC12=""),"",COUNTIF(BC$7:BC12,"√"))</f>
        <v/>
      </c>
      <c r="BE12" s="134" t="str">
        <f t="shared" si="1"/>
        <v/>
      </c>
      <c r="BF12" s="135" t="str">
        <f t="shared" si="6"/>
        <v/>
      </c>
      <c r="BG12" s="135" t="str">
        <f t="shared" si="6"/>
        <v/>
      </c>
      <c r="BH12" s="136"/>
      <c r="BI12" s="136"/>
      <c r="BJ12" s="136"/>
      <c r="BK12" s="136"/>
      <c r="BL12" s="136"/>
      <c r="BM12" s="137"/>
      <c r="BN12" s="137"/>
      <c r="BP12" s="134" t="str">
        <f>IF(COUNTIF(BP$6:BP11,F12)&gt;0,"",F12)&amp;""</f>
        <v/>
      </c>
      <c r="BQ12" s="138">
        <f t="shared" si="7"/>
        <v>0</v>
      </c>
      <c r="BR12" s="132">
        <f t="shared" si="8"/>
        <v>1</v>
      </c>
      <c r="BS12" s="138">
        <f t="shared" si="9"/>
        <v>0</v>
      </c>
      <c r="BT12" s="132">
        <f t="shared" si="10"/>
        <v>1</v>
      </c>
      <c r="BU12" s="132">
        <v>4</v>
      </c>
      <c r="BV12" s="134" t="str">
        <f t="shared" si="12"/>
        <v/>
      </c>
      <c r="BW12" s="146" t="str">
        <f>IF(BV13="","","和")</f>
        <v/>
      </c>
    </row>
    <row r="13" ht="15" customHeight="1" spans="1:75">
      <c r="A13" s="123" t="str">
        <f>IF(B13="","",COUNT(A$6:A12)+1)</f>
        <v/>
      </c>
      <c r="B13" s="139"/>
      <c r="C13" s="140"/>
      <c r="D13" s="140"/>
      <c r="E13" s="142"/>
      <c r="F13" s="127" t="str">
        <f>IFERROR(VLOOKUP(E13,参数表!$H$2:$I$50,2,FALSE),"")</f>
        <v/>
      </c>
      <c r="G13" s="128" t="str">
        <f t="shared" si="11"/>
        <v/>
      </c>
      <c r="H13" s="143"/>
      <c r="I13" s="144"/>
      <c r="J13" s="129" t="str">
        <f t="shared" si="3"/>
        <v/>
      </c>
      <c r="K13" s="129" t="str">
        <f t="shared" si="0"/>
        <v/>
      </c>
      <c r="L13" s="129" t="str">
        <f t="shared" si="4"/>
        <v/>
      </c>
      <c r="M13" s="129" t="str">
        <f t="shared" si="5"/>
        <v/>
      </c>
      <c r="N13" s="145"/>
      <c r="BA13" s="78"/>
      <c r="BB13" s="132" t="s">
        <v>3349</v>
      </c>
      <c r="BC13" s="133"/>
      <c r="BD13" s="132" t="str">
        <f>IF(OR(B13="",BC13=""),"",COUNTIF(BC$7:BC13,"√"))</f>
        <v/>
      </c>
      <c r="BE13" s="134" t="str">
        <f t="shared" si="1"/>
        <v/>
      </c>
      <c r="BF13" s="135" t="str">
        <f t="shared" si="6"/>
        <v/>
      </c>
      <c r="BG13" s="135" t="str">
        <f t="shared" si="6"/>
        <v/>
      </c>
      <c r="BH13" s="136"/>
      <c r="BI13" s="136"/>
      <c r="BJ13" s="136"/>
      <c r="BK13" s="136"/>
      <c r="BL13" s="136"/>
      <c r="BM13" s="137"/>
      <c r="BN13" s="137"/>
      <c r="BP13" s="134" t="str">
        <f>IF(COUNTIF(BP$6:BP12,F13)&gt;0,"",F13)&amp;""</f>
        <v/>
      </c>
      <c r="BQ13" s="138">
        <f t="shared" si="7"/>
        <v>0</v>
      </c>
      <c r="BR13" s="132">
        <f t="shared" si="8"/>
        <v>1</v>
      </c>
      <c r="BS13" s="138">
        <f t="shared" si="9"/>
        <v>0</v>
      </c>
      <c r="BT13" s="132">
        <f t="shared" si="10"/>
        <v>1</v>
      </c>
      <c r="BU13" s="132">
        <v>5</v>
      </c>
      <c r="BV13" s="134" t="str">
        <f t="shared" si="12"/>
        <v/>
      </c>
      <c r="BW13" s="146"/>
    </row>
    <row r="14" ht="15" customHeight="1" spans="1:75">
      <c r="A14" s="123" t="str">
        <f>IF(B14="","",COUNT(A$6:A13)+1)</f>
        <v/>
      </c>
      <c r="B14" s="139"/>
      <c r="C14" s="140"/>
      <c r="D14" s="140"/>
      <c r="E14" s="142"/>
      <c r="F14" s="127" t="str">
        <f>IFERROR(VLOOKUP(E14,参数表!$H$2:$I$50,2,FALSE),"")</f>
        <v/>
      </c>
      <c r="G14" s="128" t="str">
        <f t="shared" si="11"/>
        <v/>
      </c>
      <c r="H14" s="143"/>
      <c r="I14" s="144"/>
      <c r="J14" s="129" t="str">
        <f t="shared" si="3"/>
        <v/>
      </c>
      <c r="K14" s="129" t="str">
        <f t="shared" si="0"/>
        <v/>
      </c>
      <c r="L14" s="129" t="str">
        <f t="shared" si="4"/>
        <v/>
      </c>
      <c r="M14" s="129" t="str">
        <f t="shared" si="5"/>
        <v/>
      </c>
      <c r="N14" s="145"/>
      <c r="BA14" s="78"/>
      <c r="BB14" s="132" t="s">
        <v>3350</v>
      </c>
      <c r="BC14" s="133"/>
      <c r="BD14" s="132" t="str">
        <f>IF(OR(B14="",BC14=""),"",COUNTIF(BC$7:BC14,"√"))</f>
        <v/>
      </c>
      <c r="BE14" s="134" t="str">
        <f t="shared" si="1"/>
        <v/>
      </c>
      <c r="BF14" s="135" t="str">
        <f t="shared" si="6"/>
        <v/>
      </c>
      <c r="BG14" s="135" t="str">
        <f t="shared" si="6"/>
        <v/>
      </c>
      <c r="BH14" s="136"/>
      <c r="BI14" s="136"/>
      <c r="BJ14" s="136"/>
      <c r="BK14" s="136"/>
      <c r="BL14" s="136"/>
      <c r="BM14" s="137"/>
      <c r="BN14" s="137"/>
      <c r="BP14" s="134" t="str">
        <f>IF(COUNTIF(BP$6:BP13,F14)&gt;0,"",F14)&amp;""</f>
        <v/>
      </c>
      <c r="BQ14" s="138">
        <f t="shared" si="7"/>
        <v>0</v>
      </c>
      <c r="BR14" s="132">
        <f t="shared" si="8"/>
        <v>1</v>
      </c>
      <c r="BS14" s="138">
        <f t="shared" si="9"/>
        <v>0</v>
      </c>
      <c r="BT14" s="132">
        <f t="shared" si="10"/>
        <v>1</v>
      </c>
      <c r="BU14" s="147" t="s">
        <v>1659</v>
      </c>
      <c r="BV14" s="132" t="str">
        <f>CONCATENATE(BV9,BW9,BV10,BW10,BV11,BW11,BV12,BW12,BV13)</f>
        <v/>
      </c>
      <c r="BW14" s="132"/>
    </row>
    <row r="15" ht="15" customHeight="1" spans="1:75">
      <c r="A15" s="123" t="str">
        <f>IF(B15="","",COUNT(A$6:A14)+1)</f>
        <v/>
      </c>
      <c r="B15" s="139"/>
      <c r="C15" s="140"/>
      <c r="D15" s="140"/>
      <c r="E15" s="142"/>
      <c r="F15" s="127" t="str">
        <f>IFERROR(VLOOKUP(E15,参数表!$H$2:$I$50,2,FALSE),"")</f>
        <v/>
      </c>
      <c r="G15" s="128" t="str">
        <f t="shared" si="11"/>
        <v/>
      </c>
      <c r="H15" s="143"/>
      <c r="I15" s="144"/>
      <c r="J15" s="129" t="str">
        <f t="shared" si="3"/>
        <v/>
      </c>
      <c r="K15" s="129" t="str">
        <f t="shared" si="0"/>
        <v/>
      </c>
      <c r="L15" s="129" t="str">
        <f t="shared" si="4"/>
        <v/>
      </c>
      <c r="M15" s="129" t="str">
        <f t="shared" si="5"/>
        <v/>
      </c>
      <c r="N15" s="145"/>
      <c r="BA15" s="78"/>
      <c r="BB15" s="132" t="s">
        <v>3351</v>
      </c>
      <c r="BC15" s="133"/>
      <c r="BD15" s="132" t="str">
        <f>IF(OR(B15="",BC15=""),"",COUNTIF(BC$7:BC15,"√"))</f>
        <v/>
      </c>
      <c r="BE15" s="134" t="str">
        <f t="shared" si="1"/>
        <v/>
      </c>
      <c r="BF15" s="135" t="str">
        <f t="shared" si="6"/>
        <v/>
      </c>
      <c r="BG15" s="135" t="str">
        <f t="shared" si="6"/>
        <v/>
      </c>
      <c r="BH15" s="136"/>
      <c r="BI15" s="136"/>
      <c r="BJ15" s="136"/>
      <c r="BK15" s="136"/>
      <c r="BL15" s="136"/>
      <c r="BM15" s="137"/>
      <c r="BN15" s="137"/>
      <c r="BP15" s="134" t="str">
        <f>IF(COUNTIF(BP$6:BP14,F15)&gt;0,"",F15)&amp;""</f>
        <v/>
      </c>
      <c r="BQ15" s="138">
        <f t="shared" si="7"/>
        <v>0</v>
      </c>
      <c r="BR15" s="132">
        <f t="shared" si="8"/>
        <v>1</v>
      </c>
      <c r="BS15" s="138">
        <f t="shared" si="9"/>
        <v>0</v>
      </c>
      <c r="BT15" s="132">
        <f t="shared" si="10"/>
        <v>1</v>
      </c>
      <c r="BU15" s="133"/>
      <c r="BV15" s="133"/>
    </row>
    <row r="16" ht="15" customHeight="1" spans="1:75">
      <c r="A16" s="123" t="str">
        <f>IF(B16="","",COUNT(A$6:A15)+1)</f>
        <v/>
      </c>
      <c r="B16" s="139"/>
      <c r="C16" s="140"/>
      <c r="D16" s="140"/>
      <c r="E16" s="142"/>
      <c r="F16" s="127" t="str">
        <f>IFERROR(VLOOKUP(E16,参数表!$H$2:$I$50,2,FALSE),"")</f>
        <v/>
      </c>
      <c r="G16" s="128" t="str">
        <f t="shared" si="11"/>
        <v/>
      </c>
      <c r="H16" s="143"/>
      <c r="I16" s="144"/>
      <c r="J16" s="129" t="str">
        <f t="shared" si="3"/>
        <v/>
      </c>
      <c r="K16" s="129" t="str">
        <f t="shared" si="0"/>
        <v/>
      </c>
      <c r="L16" s="129" t="str">
        <f t="shared" si="4"/>
        <v/>
      </c>
      <c r="M16" s="129" t="str">
        <f t="shared" si="5"/>
        <v/>
      </c>
      <c r="N16" s="145"/>
      <c r="BA16" s="78"/>
      <c r="BB16" s="132" t="s">
        <v>3352</v>
      </c>
      <c r="BC16" s="133"/>
      <c r="BD16" s="132" t="str">
        <f>IF(OR(B16="",BC16=""),"",COUNTIF(BC$7:BC16,"√"))</f>
        <v/>
      </c>
      <c r="BE16" s="134" t="str">
        <f t="shared" si="1"/>
        <v/>
      </c>
      <c r="BF16" s="135" t="str">
        <f t="shared" si="6"/>
        <v/>
      </c>
      <c r="BG16" s="135" t="str">
        <f t="shared" si="6"/>
        <v/>
      </c>
      <c r="BH16" s="136"/>
      <c r="BI16" s="136"/>
      <c r="BJ16" s="136"/>
      <c r="BK16" s="136"/>
      <c r="BL16" s="136"/>
      <c r="BM16" s="137"/>
      <c r="BN16" s="137"/>
      <c r="BP16" s="134" t="str">
        <f>IF(COUNTIF(BP$6:BP15,F16)&gt;0,"",F16)&amp;""</f>
        <v/>
      </c>
      <c r="BQ16" s="138">
        <f t="shared" si="7"/>
        <v>0</v>
      </c>
      <c r="BR16" s="132">
        <f t="shared" si="8"/>
        <v>1</v>
      </c>
      <c r="BS16" s="138">
        <f t="shared" si="9"/>
        <v>0</v>
      </c>
      <c r="BT16" s="132">
        <f t="shared" si="10"/>
        <v>1</v>
      </c>
      <c r="BU16" s="133"/>
      <c r="BV16" s="148"/>
    </row>
    <row r="17" ht="15" customHeight="1" spans="1:75">
      <c r="A17" s="123" t="str">
        <f>IF(B17="","",COUNT(A$6:A16)+1)</f>
        <v/>
      </c>
      <c r="B17" s="139"/>
      <c r="C17" s="140"/>
      <c r="D17" s="140"/>
      <c r="E17" s="142"/>
      <c r="F17" s="127" t="str">
        <f>IFERROR(VLOOKUP(E17,参数表!$H$2:$I$50,2,FALSE),"")</f>
        <v/>
      </c>
      <c r="G17" s="128" t="str">
        <f t="shared" si="11"/>
        <v/>
      </c>
      <c r="H17" s="143"/>
      <c r="I17" s="144"/>
      <c r="J17" s="129" t="str">
        <f t="shared" si="3"/>
        <v/>
      </c>
      <c r="K17" s="129" t="str">
        <f t="shared" si="0"/>
        <v/>
      </c>
      <c r="L17" s="129" t="str">
        <f t="shared" si="4"/>
        <v/>
      </c>
      <c r="M17" s="129" t="str">
        <f t="shared" si="5"/>
        <v/>
      </c>
      <c r="N17" s="145"/>
      <c r="BA17" s="78"/>
      <c r="BB17" s="132" t="s">
        <v>3353</v>
      </c>
      <c r="BC17" s="133"/>
      <c r="BD17" s="132" t="str">
        <f>IF(OR(B17="",BC17=""),"",COUNTIF(BC$7:BC17,"√"))</f>
        <v/>
      </c>
      <c r="BE17" s="134" t="str">
        <f t="shared" si="1"/>
        <v/>
      </c>
      <c r="BF17" s="135" t="str">
        <f t="shared" si="6"/>
        <v/>
      </c>
      <c r="BG17" s="135" t="str">
        <f t="shared" si="6"/>
        <v/>
      </c>
      <c r="BH17" s="136"/>
      <c r="BI17" s="136"/>
      <c r="BJ17" s="136"/>
      <c r="BK17" s="136"/>
      <c r="BL17" s="136"/>
      <c r="BM17" s="137"/>
      <c r="BN17" s="137"/>
      <c r="BP17" s="134" t="str">
        <f>IF(COUNTIF(BP$6:BP16,F17)&gt;0,"",F17)&amp;""</f>
        <v/>
      </c>
      <c r="BQ17" s="138">
        <f t="shared" si="7"/>
        <v>0</v>
      </c>
      <c r="BR17" s="132">
        <f t="shared" si="8"/>
        <v>1</v>
      </c>
      <c r="BS17" s="138">
        <f t="shared" si="9"/>
        <v>0</v>
      </c>
      <c r="BT17" s="132">
        <f t="shared" si="10"/>
        <v>1</v>
      </c>
      <c r="BU17" s="133"/>
      <c r="BV17" s="133"/>
    </row>
    <row r="18" ht="15" customHeight="1" spans="1:75">
      <c r="A18" s="123" t="str">
        <f>IF(B18="","",COUNT(A$6:A17)+1)</f>
        <v/>
      </c>
      <c r="B18" s="139"/>
      <c r="C18" s="140"/>
      <c r="D18" s="140"/>
      <c r="E18" s="142"/>
      <c r="F18" s="127" t="str">
        <f>IFERROR(VLOOKUP(E18,参数表!$H$2:$I$50,2,FALSE),"")</f>
        <v/>
      </c>
      <c r="G18" s="128" t="str">
        <f t="shared" si="11"/>
        <v/>
      </c>
      <c r="H18" s="143"/>
      <c r="I18" s="144"/>
      <c r="J18" s="129" t="str">
        <f t="shared" si="3"/>
        <v/>
      </c>
      <c r="K18" s="129" t="str">
        <f t="shared" si="0"/>
        <v/>
      </c>
      <c r="L18" s="129" t="str">
        <f t="shared" si="4"/>
        <v/>
      </c>
      <c r="M18" s="129" t="str">
        <f t="shared" si="5"/>
        <v/>
      </c>
      <c r="N18" s="145"/>
      <c r="BA18" s="78"/>
      <c r="BB18" s="132" t="s">
        <v>3354</v>
      </c>
      <c r="BC18" s="133"/>
      <c r="BD18" s="132" t="str">
        <f>IF(OR(B18="",BC18=""),"",COUNTIF(BC$7:BC18,"√"))</f>
        <v/>
      </c>
      <c r="BE18" s="134" t="str">
        <f t="shared" si="1"/>
        <v/>
      </c>
      <c r="BF18" s="135" t="str">
        <f t="shared" si="6"/>
        <v/>
      </c>
      <c r="BG18" s="135" t="str">
        <f t="shared" si="6"/>
        <v/>
      </c>
      <c r="BH18" s="136"/>
      <c r="BI18" s="136"/>
      <c r="BJ18" s="136"/>
      <c r="BK18" s="136"/>
      <c r="BL18" s="136"/>
      <c r="BM18" s="137"/>
      <c r="BN18" s="137"/>
      <c r="BP18" s="134" t="str">
        <f>IF(COUNTIF(BP$6:BP17,F18)&gt;0,"",F18)&amp;""</f>
        <v/>
      </c>
      <c r="BQ18" s="138">
        <f t="shared" si="7"/>
        <v>0</v>
      </c>
      <c r="BR18" s="132">
        <f t="shared" si="8"/>
        <v>1</v>
      </c>
      <c r="BS18" s="138">
        <f t="shared" si="9"/>
        <v>0</v>
      </c>
      <c r="BT18" s="132">
        <f t="shared" si="10"/>
        <v>1</v>
      </c>
      <c r="BU18" s="133"/>
      <c r="BV18" s="133"/>
    </row>
    <row r="19" ht="15" customHeight="1" spans="1:75">
      <c r="A19" s="123" t="str">
        <f>IF(B19="","",COUNT(A$6:A18)+1)</f>
        <v/>
      </c>
      <c r="B19" s="139"/>
      <c r="C19" s="140"/>
      <c r="D19" s="140"/>
      <c r="E19" s="142"/>
      <c r="F19" s="127" t="str">
        <f>IFERROR(VLOOKUP(E19,参数表!$H$2:$I$50,2,FALSE),"")</f>
        <v/>
      </c>
      <c r="G19" s="128" t="str">
        <f t="shared" si="11"/>
        <v/>
      </c>
      <c r="H19" s="143"/>
      <c r="I19" s="144"/>
      <c r="J19" s="129" t="str">
        <f t="shared" si="3"/>
        <v/>
      </c>
      <c r="K19" s="129" t="str">
        <f t="shared" si="0"/>
        <v/>
      </c>
      <c r="L19" s="129" t="str">
        <f t="shared" si="4"/>
        <v/>
      </c>
      <c r="M19" s="129" t="str">
        <f t="shared" si="5"/>
        <v/>
      </c>
      <c r="N19" s="145"/>
      <c r="BA19" s="78"/>
      <c r="BB19" s="132" t="s">
        <v>3355</v>
      </c>
      <c r="BC19" s="133"/>
      <c r="BD19" s="132" t="str">
        <f>IF(OR(B19="",BC19=""),"",COUNTIF(BC$7:BC19,"√"))</f>
        <v/>
      </c>
      <c r="BE19" s="134" t="str">
        <f t="shared" si="1"/>
        <v/>
      </c>
      <c r="BF19" s="135" t="str">
        <f t="shared" si="6"/>
        <v/>
      </c>
      <c r="BG19" s="135" t="str">
        <f t="shared" si="6"/>
        <v/>
      </c>
      <c r="BH19" s="136"/>
      <c r="BI19" s="136"/>
      <c r="BJ19" s="136"/>
      <c r="BK19" s="136"/>
      <c r="BL19" s="136"/>
      <c r="BM19" s="137"/>
      <c r="BN19" s="137"/>
      <c r="BP19" s="134" t="str">
        <f>IF(COUNTIF(BP$6:BP18,F19)&gt;0,"",F19)&amp;""</f>
        <v/>
      </c>
      <c r="BQ19" s="138">
        <f t="shared" si="7"/>
        <v>0</v>
      </c>
      <c r="BR19" s="132">
        <f t="shared" si="8"/>
        <v>1</v>
      </c>
      <c r="BS19" s="138">
        <f t="shared" si="9"/>
        <v>0</v>
      </c>
      <c r="BT19" s="132">
        <f t="shared" si="10"/>
        <v>1</v>
      </c>
      <c r="BU19" s="133"/>
      <c r="BV19" s="133"/>
    </row>
    <row r="20" ht="15" customHeight="1" spans="1:75">
      <c r="A20" s="123" t="str">
        <f>IF(B20="","",COUNT(A$6:A19)+1)</f>
        <v/>
      </c>
      <c r="B20" s="139"/>
      <c r="C20" s="140"/>
      <c r="D20" s="140"/>
      <c r="E20" s="142"/>
      <c r="F20" s="127" t="str">
        <f>IFERROR(VLOOKUP(E20,参数表!$H$2:$I$50,2,FALSE),"")</f>
        <v/>
      </c>
      <c r="G20" s="128" t="str">
        <f t="shared" si="11"/>
        <v/>
      </c>
      <c r="H20" s="143"/>
      <c r="I20" s="144"/>
      <c r="J20" s="129" t="str">
        <f t="shared" si="3"/>
        <v/>
      </c>
      <c r="K20" s="129" t="str">
        <f t="shared" si="0"/>
        <v/>
      </c>
      <c r="L20" s="129" t="str">
        <f t="shared" si="4"/>
        <v/>
      </c>
      <c r="M20" s="129" t="str">
        <f t="shared" si="5"/>
        <v/>
      </c>
      <c r="N20" s="145"/>
      <c r="BA20" s="78"/>
      <c r="BB20" s="132" t="s">
        <v>3356</v>
      </c>
      <c r="BC20" s="133"/>
      <c r="BD20" s="132" t="str">
        <f>IF(OR(B20="",BC20=""),"",COUNTIF(BC$7:BC20,"√"))</f>
        <v/>
      </c>
      <c r="BE20" s="134" t="str">
        <f t="shared" si="1"/>
        <v/>
      </c>
      <c r="BF20" s="135" t="str">
        <f t="shared" si="6"/>
        <v/>
      </c>
      <c r="BG20" s="135" t="str">
        <f t="shared" si="6"/>
        <v/>
      </c>
      <c r="BH20" s="136"/>
      <c r="BI20" s="136"/>
      <c r="BJ20" s="136"/>
      <c r="BK20" s="136"/>
      <c r="BL20" s="136"/>
      <c r="BM20" s="137"/>
      <c r="BN20" s="137"/>
      <c r="BP20" s="134" t="str">
        <f>IF(COUNTIF(BP$6:BP19,F20)&gt;0,"",F20)&amp;""</f>
        <v/>
      </c>
      <c r="BQ20" s="138">
        <f t="shared" si="7"/>
        <v>0</v>
      </c>
      <c r="BR20" s="132">
        <f t="shared" si="8"/>
        <v>1</v>
      </c>
      <c r="BS20" s="138">
        <f t="shared" si="9"/>
        <v>0</v>
      </c>
      <c r="BT20" s="132">
        <f t="shared" si="10"/>
        <v>1</v>
      </c>
      <c r="BU20" s="133"/>
      <c r="BV20" s="133"/>
    </row>
    <row r="21" ht="15" customHeight="1" spans="1:75">
      <c r="A21" s="123" t="str">
        <f>IF(B21="","",COUNT(A$6:A20)+1)</f>
        <v/>
      </c>
      <c r="B21" s="139"/>
      <c r="C21" s="140"/>
      <c r="D21" s="140"/>
      <c r="E21" s="142"/>
      <c r="F21" s="127" t="str">
        <f>IFERROR(VLOOKUP(E21,参数表!$H$2:$I$50,2,FALSE),"")</f>
        <v/>
      </c>
      <c r="G21" s="128" t="str">
        <f t="shared" si="11"/>
        <v/>
      </c>
      <c r="H21" s="143"/>
      <c r="I21" s="144"/>
      <c r="J21" s="129" t="str">
        <f t="shared" si="3"/>
        <v/>
      </c>
      <c r="K21" s="129" t="str">
        <f t="shared" si="0"/>
        <v/>
      </c>
      <c r="L21" s="129" t="str">
        <f t="shared" si="4"/>
        <v/>
      </c>
      <c r="M21" s="129" t="str">
        <f t="shared" si="5"/>
        <v/>
      </c>
      <c r="N21" s="145"/>
      <c r="BA21" s="78"/>
      <c r="BB21" s="132" t="s">
        <v>3357</v>
      </c>
      <c r="BC21" s="133"/>
      <c r="BD21" s="132" t="str">
        <f>IF(OR(B21="",BC21=""),"",COUNTIF(BC$7:BC21,"√"))</f>
        <v/>
      </c>
      <c r="BE21" s="134" t="str">
        <f t="shared" si="1"/>
        <v/>
      </c>
      <c r="BF21" s="135" t="str">
        <f t="shared" si="6"/>
        <v/>
      </c>
      <c r="BG21" s="135" t="str">
        <f t="shared" si="6"/>
        <v/>
      </c>
      <c r="BH21" s="136"/>
      <c r="BI21" s="136"/>
      <c r="BJ21" s="136"/>
      <c r="BK21" s="136"/>
      <c r="BL21" s="136"/>
      <c r="BM21" s="137"/>
      <c r="BN21" s="137"/>
      <c r="BP21" s="134" t="str">
        <f>IF(COUNTIF(BP$6:BP20,F21)&gt;0,"",F21)&amp;""</f>
        <v/>
      </c>
      <c r="BQ21" s="138">
        <f t="shared" si="7"/>
        <v>0</v>
      </c>
      <c r="BR21" s="132">
        <f t="shared" si="8"/>
        <v>1</v>
      </c>
      <c r="BS21" s="138">
        <f t="shared" si="9"/>
        <v>0</v>
      </c>
      <c r="BT21" s="132">
        <f t="shared" si="10"/>
        <v>1</v>
      </c>
      <c r="BU21" s="133"/>
      <c r="BV21" s="133"/>
    </row>
    <row r="22" ht="15" customHeight="1" spans="1:75">
      <c r="A22" s="123" t="str">
        <f>IF(B22="","",COUNT(A$6:A21)+1)</f>
        <v/>
      </c>
      <c r="B22" s="139"/>
      <c r="C22" s="140"/>
      <c r="D22" s="140"/>
      <c r="E22" s="142"/>
      <c r="F22" s="127" t="str">
        <f>IFERROR(VLOOKUP(E22,参数表!$H$2:$I$50,2,FALSE),"")</f>
        <v/>
      </c>
      <c r="G22" s="128" t="str">
        <f t="shared" si="11"/>
        <v/>
      </c>
      <c r="H22" s="143"/>
      <c r="I22" s="144"/>
      <c r="J22" s="129" t="str">
        <f t="shared" si="3"/>
        <v/>
      </c>
      <c r="K22" s="129" t="str">
        <f t="shared" si="0"/>
        <v/>
      </c>
      <c r="L22" s="129" t="str">
        <f t="shared" si="4"/>
        <v/>
      </c>
      <c r="M22" s="129" t="str">
        <f t="shared" si="5"/>
        <v/>
      </c>
      <c r="N22" s="145"/>
      <c r="BA22" s="78"/>
      <c r="BB22" s="132" t="s">
        <v>3358</v>
      </c>
      <c r="BC22" s="133"/>
      <c r="BD22" s="132" t="str">
        <f>IF(OR(B22="",BC22=""),"",COUNTIF(BC$7:BC22,"√"))</f>
        <v/>
      </c>
      <c r="BE22" s="134" t="str">
        <f t="shared" si="1"/>
        <v/>
      </c>
      <c r="BF22" s="135" t="str">
        <f t="shared" si="6"/>
        <v/>
      </c>
      <c r="BG22" s="135" t="str">
        <f t="shared" si="6"/>
        <v/>
      </c>
      <c r="BH22" s="136"/>
      <c r="BI22" s="136"/>
      <c r="BJ22" s="136"/>
      <c r="BK22" s="136"/>
      <c r="BL22" s="136"/>
      <c r="BM22" s="137"/>
      <c r="BN22" s="137"/>
      <c r="BP22" s="134" t="str">
        <f>IF(COUNTIF(BP$6:BP21,F22)&gt;0,"",F22)&amp;""</f>
        <v/>
      </c>
      <c r="BQ22" s="138">
        <f t="shared" si="7"/>
        <v>0</v>
      </c>
      <c r="BR22" s="132">
        <f t="shared" si="8"/>
        <v>1</v>
      </c>
      <c r="BS22" s="138">
        <f t="shared" si="9"/>
        <v>0</v>
      </c>
      <c r="BT22" s="132">
        <f t="shared" si="10"/>
        <v>1</v>
      </c>
      <c r="BU22" s="133"/>
      <c r="BV22" s="133"/>
    </row>
    <row r="23" ht="15" customHeight="1" spans="1:75">
      <c r="A23" s="123" t="str">
        <f>IF(B23="","",COUNT(A$6:A22)+1)</f>
        <v/>
      </c>
      <c r="B23" s="139"/>
      <c r="C23" s="140"/>
      <c r="D23" s="140"/>
      <c r="E23" s="142"/>
      <c r="F23" s="127" t="str">
        <f>IFERROR(VLOOKUP(E23,参数表!$H$2:$I$50,2,FALSE),"")</f>
        <v/>
      </c>
      <c r="G23" s="128" t="str">
        <f t="shared" si="11"/>
        <v/>
      </c>
      <c r="H23" s="143"/>
      <c r="I23" s="144"/>
      <c r="J23" s="129" t="str">
        <f t="shared" si="3"/>
        <v/>
      </c>
      <c r="K23" s="129" t="str">
        <f t="shared" si="0"/>
        <v/>
      </c>
      <c r="L23" s="129" t="str">
        <f t="shared" si="4"/>
        <v/>
      </c>
      <c r="M23" s="129" t="str">
        <f t="shared" si="5"/>
        <v/>
      </c>
      <c r="N23" s="145"/>
      <c r="BA23" s="78"/>
      <c r="BB23" s="132" t="s">
        <v>3359</v>
      </c>
      <c r="BC23" s="133"/>
      <c r="BD23" s="132" t="str">
        <f>IF(OR(B23="",BC23=""),"",COUNTIF(BC$7:BC23,"√"))</f>
        <v/>
      </c>
      <c r="BE23" s="134" t="str">
        <f t="shared" si="1"/>
        <v/>
      </c>
      <c r="BF23" s="135" t="str">
        <f t="shared" si="6"/>
        <v/>
      </c>
      <c r="BG23" s="135" t="str">
        <f t="shared" si="6"/>
        <v/>
      </c>
      <c r="BH23" s="136"/>
      <c r="BI23" s="136"/>
      <c r="BJ23" s="136"/>
      <c r="BK23" s="136"/>
      <c r="BL23" s="136"/>
      <c r="BM23" s="137"/>
      <c r="BN23" s="137"/>
      <c r="BP23" s="134" t="str">
        <f>IF(COUNTIF(BP$6:BP22,F23)&gt;0,"",F23)&amp;""</f>
        <v/>
      </c>
      <c r="BQ23" s="138">
        <f t="shared" si="7"/>
        <v>0</v>
      </c>
      <c r="BR23" s="132">
        <f t="shared" si="8"/>
        <v>1</v>
      </c>
      <c r="BS23" s="138">
        <f t="shared" si="9"/>
        <v>0</v>
      </c>
      <c r="BT23" s="132">
        <f t="shared" si="10"/>
        <v>1</v>
      </c>
      <c r="BU23" s="133"/>
      <c r="BV23" s="133"/>
    </row>
    <row r="24" ht="15" customHeight="1" spans="1:75">
      <c r="A24" s="123" t="str">
        <f>IF(B24="","",COUNT(A$6:A23)+1)</f>
        <v/>
      </c>
      <c r="B24" s="139"/>
      <c r="C24" s="140"/>
      <c r="D24" s="140"/>
      <c r="E24" s="142"/>
      <c r="F24" s="127" t="str">
        <f>IFERROR(VLOOKUP(E24,参数表!$H$2:$I$50,2,FALSE),"")</f>
        <v/>
      </c>
      <c r="G24" s="128" t="str">
        <f t="shared" si="11"/>
        <v/>
      </c>
      <c r="H24" s="143"/>
      <c r="I24" s="144"/>
      <c r="J24" s="129" t="str">
        <f t="shared" si="3"/>
        <v/>
      </c>
      <c r="K24" s="129" t="str">
        <f t="shared" si="0"/>
        <v/>
      </c>
      <c r="L24" s="129" t="str">
        <f t="shared" si="4"/>
        <v/>
      </c>
      <c r="M24" s="129" t="str">
        <f t="shared" si="5"/>
        <v/>
      </c>
      <c r="N24" s="145"/>
      <c r="BA24" s="78"/>
      <c r="BB24" s="132" t="s">
        <v>3360</v>
      </c>
      <c r="BC24" s="133"/>
      <c r="BD24" s="132" t="str">
        <f>IF(OR(B24="",BC24=""),"",COUNTIF(BC$7:BC24,"√"))</f>
        <v/>
      </c>
      <c r="BE24" s="134" t="str">
        <f t="shared" si="1"/>
        <v/>
      </c>
      <c r="BF24" s="135" t="str">
        <f t="shared" si="6"/>
        <v/>
      </c>
      <c r="BG24" s="135" t="str">
        <f t="shared" si="6"/>
        <v/>
      </c>
      <c r="BH24" s="136"/>
      <c r="BI24" s="136"/>
      <c r="BJ24" s="136"/>
      <c r="BK24" s="136"/>
      <c r="BL24" s="136"/>
      <c r="BM24" s="137"/>
      <c r="BN24" s="137"/>
      <c r="BP24" s="134" t="str">
        <f>IF(COUNTIF(BP$6:BP23,F24)&gt;0,"",F24)&amp;""</f>
        <v/>
      </c>
      <c r="BQ24" s="138">
        <f t="shared" si="7"/>
        <v>0</v>
      </c>
      <c r="BR24" s="132">
        <f t="shared" si="8"/>
        <v>1</v>
      </c>
      <c r="BS24" s="138">
        <f t="shared" si="9"/>
        <v>0</v>
      </c>
      <c r="BT24" s="132">
        <f t="shared" si="10"/>
        <v>1</v>
      </c>
      <c r="BU24" s="133"/>
      <c r="BV24" s="133"/>
    </row>
    <row r="25" ht="15" customHeight="1" spans="1:75">
      <c r="A25" s="123" t="str">
        <f>IF(B25="","",COUNT(A$6:A24)+1)</f>
        <v/>
      </c>
      <c r="B25" s="139"/>
      <c r="C25" s="140"/>
      <c r="D25" s="140"/>
      <c r="E25" s="142"/>
      <c r="F25" s="127" t="str">
        <f>IFERROR(VLOOKUP(E25,参数表!$H$2:$I$50,2,FALSE),"")</f>
        <v/>
      </c>
      <c r="G25" s="128" t="str">
        <f t="shared" si="11"/>
        <v/>
      </c>
      <c r="H25" s="143"/>
      <c r="I25" s="144"/>
      <c r="J25" s="129" t="str">
        <f t="shared" si="3"/>
        <v/>
      </c>
      <c r="K25" s="129" t="str">
        <f t="shared" si="0"/>
        <v/>
      </c>
      <c r="L25" s="129" t="str">
        <f t="shared" si="4"/>
        <v/>
      </c>
      <c r="M25" s="129" t="str">
        <f t="shared" si="5"/>
        <v/>
      </c>
      <c r="N25" s="145"/>
      <c r="BA25" s="78"/>
      <c r="BB25" s="132" t="s">
        <v>3361</v>
      </c>
      <c r="BC25" s="133"/>
      <c r="BD25" s="132" t="str">
        <f>IF(OR(B25="",BC25=""),"",COUNTIF(BC$7:BC25,"√"))</f>
        <v/>
      </c>
      <c r="BE25" s="134" t="str">
        <f t="shared" si="1"/>
        <v/>
      </c>
      <c r="BF25" s="135" t="str">
        <f t="shared" si="6"/>
        <v/>
      </c>
      <c r="BG25" s="135" t="str">
        <f t="shared" si="6"/>
        <v/>
      </c>
      <c r="BH25" s="136"/>
      <c r="BI25" s="136"/>
      <c r="BJ25" s="136"/>
      <c r="BK25" s="136"/>
      <c r="BL25" s="136"/>
      <c r="BM25" s="137"/>
      <c r="BN25" s="137"/>
      <c r="BP25" s="134" t="str">
        <f>IF(COUNTIF(BP$6:BP24,F25)&gt;0,"",F25)&amp;""</f>
        <v/>
      </c>
      <c r="BQ25" s="138">
        <f t="shared" si="7"/>
        <v>0</v>
      </c>
      <c r="BR25" s="132">
        <f t="shared" si="8"/>
        <v>1</v>
      </c>
      <c r="BS25" s="138">
        <f t="shared" si="9"/>
        <v>0</v>
      </c>
      <c r="BT25" s="132">
        <f t="shared" si="10"/>
        <v>1</v>
      </c>
      <c r="BU25" s="133"/>
      <c r="BV25" s="133"/>
    </row>
    <row r="26" ht="15" customHeight="1" spans="1:75">
      <c r="A26" s="123" t="str">
        <f>IF(B26="","",COUNT(A$6:A25)+1)</f>
        <v/>
      </c>
      <c r="B26" s="124"/>
      <c r="C26" s="125"/>
      <c r="D26" s="125"/>
      <c r="E26" s="127"/>
      <c r="F26" s="127" t="str">
        <f>IFERROR(VLOOKUP(E26,参数表!$H$2:$I$50,2,FALSE),"")</f>
        <v/>
      </c>
      <c r="G26" s="128" t="str">
        <f t="shared" si="11"/>
        <v/>
      </c>
      <c r="H26" s="129"/>
      <c r="I26" s="130"/>
      <c r="J26" s="129" t="str">
        <f t="shared" si="3"/>
        <v/>
      </c>
      <c r="K26" s="129" t="str">
        <f t="shared" si="0"/>
        <v/>
      </c>
      <c r="L26" s="129" t="str">
        <f t="shared" si="4"/>
        <v/>
      </c>
      <c r="M26" s="129" t="str">
        <f t="shared" si="5"/>
        <v/>
      </c>
      <c r="N26" s="131"/>
      <c r="BA26" s="78"/>
      <c r="BB26" s="132" t="s">
        <v>3362</v>
      </c>
      <c r="BC26" s="133"/>
      <c r="BD26" s="132" t="str">
        <f>IF(OR(B26="",BC26=""),"",COUNTIF(BC$7:BC26,"√"))</f>
        <v/>
      </c>
      <c r="BE26" s="134" t="str">
        <f t="shared" si="1"/>
        <v/>
      </c>
      <c r="BF26" s="135" t="str">
        <f t="shared" si="6"/>
        <v/>
      </c>
      <c r="BG26" s="135" t="str">
        <f t="shared" si="6"/>
        <v/>
      </c>
      <c r="BH26" s="136"/>
      <c r="BI26" s="136"/>
      <c r="BJ26" s="136"/>
      <c r="BK26" s="136"/>
      <c r="BL26" s="136"/>
      <c r="BM26" s="137"/>
      <c r="BN26" s="137"/>
      <c r="BP26" s="134" t="str">
        <f>IF(COUNTIF(BP$6:BP25,F26)&gt;0,"",F26)&amp;""</f>
        <v/>
      </c>
      <c r="BQ26" s="138">
        <f t="shared" si="7"/>
        <v>0</v>
      </c>
      <c r="BR26" s="132">
        <f t="shared" si="8"/>
        <v>1</v>
      </c>
      <c r="BS26" s="138">
        <f t="shared" si="9"/>
        <v>0</v>
      </c>
      <c r="BT26" s="132">
        <f t="shared" si="10"/>
        <v>1</v>
      </c>
      <c r="BU26" s="133"/>
      <c r="BV26" s="133"/>
    </row>
    <row r="27" s="73" customFormat="1" ht="15" customHeight="1" spans="1:75">
      <c r="A27" s="149" t="s">
        <v>1922</v>
      </c>
      <c r="B27" s="149"/>
      <c r="C27" s="150"/>
      <c r="D27" s="356"/>
      <c r="E27" s="356"/>
      <c r="F27" s="356"/>
      <c r="G27" s="356"/>
      <c r="H27" s="152">
        <f>SUM(H7:H26)</f>
        <v>0</v>
      </c>
      <c r="I27" s="153"/>
      <c r="J27" s="152">
        <f>SUM(J7:J26)</f>
        <v>0</v>
      </c>
      <c r="K27" s="152">
        <f>SUM(K7:K26)</f>
        <v>0</v>
      </c>
      <c r="L27" s="152">
        <f>SUM(L7:L26)</f>
        <v>0</v>
      </c>
      <c r="M27" s="152" t="str">
        <f t="shared" si="5"/>
        <v/>
      </c>
      <c r="N27" s="151"/>
      <c r="BH27" s="72"/>
      <c r="BI27" s="72"/>
      <c r="BJ27" s="72"/>
      <c r="BK27" s="72"/>
      <c r="BL27" s="72"/>
      <c r="BO27" s="111"/>
      <c r="BP27" s="119"/>
      <c r="BQ27" s="77"/>
      <c r="BR27" s="77"/>
      <c r="BS27" s="77"/>
      <c r="BT27" s="119"/>
      <c r="BU27" s="119"/>
      <c r="BV27" s="119"/>
      <c r="BW27" s="111"/>
    </row>
    <row r="28" customHeight="1" spans="1:75">
      <c r="A28" s="102" t="str">
        <f>参数表!F$6</f>
        <v>产权持有单位填表人：贾广东</v>
      </c>
      <c r="B28" s="154"/>
      <c r="C28" s="154"/>
      <c r="D28" s="154"/>
      <c r="E28" s="154"/>
      <c r="F28" s="154"/>
      <c r="G28" s="154"/>
      <c r="H28" s="154"/>
      <c r="I28" s="155"/>
      <c r="J28" s="103"/>
      <c r="K28" s="103" t="str">
        <f>"评估人员："&amp;封面!$G$20</f>
        <v>评估人员：栗祥宁</v>
      </c>
      <c r="L28" s="103"/>
      <c r="M28" s="103"/>
      <c r="N28" s="103"/>
    </row>
    <row r="29" customHeight="1" spans="1:75">
      <c r="A29" s="102" t="str">
        <f>参数表!F$7</f>
        <v>填表日期：2025年9月20日</v>
      </c>
      <c r="B29" s="154"/>
      <c r="C29" s="154"/>
      <c r="D29" s="154"/>
      <c r="E29" s="154"/>
      <c r="F29" s="154"/>
      <c r="G29" s="154"/>
      <c r="H29" s="154"/>
      <c r="I29" s="155"/>
      <c r="J29" s="103"/>
      <c r="K29" s="103"/>
      <c r="L29" s="103"/>
      <c r="M29" s="103"/>
      <c r="N29" s="103"/>
    </row>
    <row r="30" hidden="1" customHeight="1" outlineLevel="1" spans="1:75">
      <c r="A30" s="157"/>
      <c r="B30" s="154" t="s">
        <v>1673</v>
      </c>
      <c r="C30" s="158"/>
      <c r="D30" s="158"/>
      <c r="E30" s="158"/>
      <c r="F30" s="158"/>
      <c r="G30" s="158"/>
      <c r="H30" s="159">
        <f>SUMIF($BA7:$BA26,$BA30,H7:H26)</f>
        <v>0</v>
      </c>
      <c r="I30" s="160"/>
      <c r="J30" s="159">
        <f>SUMIF($BA7:$BA26,$BA30,J7:J26)</f>
        <v>0</v>
      </c>
      <c r="K30" s="159">
        <f>SUMIF($BA7:$BA26,$BA30,K7:K26)</f>
        <v>0</v>
      </c>
      <c r="BA30" s="161" t="s">
        <v>1674</v>
      </c>
      <c r="BH30" s="95" t="s">
        <v>1675</v>
      </c>
      <c r="BI30" s="95" t="s">
        <v>1675</v>
      </c>
      <c r="BJ30" s="95" t="s">
        <v>1675</v>
      </c>
      <c r="BK30" s="95" t="s">
        <v>1674</v>
      </c>
      <c r="BL30" s="95" t="s">
        <v>1674</v>
      </c>
    </row>
    <row r="31" hidden="1" customHeight="1" outlineLevel="1" spans="1:75">
      <c r="A31" s="157"/>
      <c r="B31" s="154" t="s">
        <v>1676</v>
      </c>
      <c r="C31" s="158"/>
      <c r="D31" s="158"/>
      <c r="E31" s="158"/>
      <c r="F31" s="158"/>
      <c r="G31" s="158"/>
      <c r="H31" s="159">
        <f>H27-H30</f>
        <v>0</v>
      </c>
      <c r="I31" s="160"/>
      <c r="J31" s="159">
        <f>J27-J30</f>
        <v>0</v>
      </c>
      <c r="K31" s="159">
        <f>K27-K30</f>
        <v>0</v>
      </c>
      <c r="BA31" s="161" t="s">
        <v>1677</v>
      </c>
      <c r="BH31" s="95" t="s">
        <v>1678</v>
      </c>
      <c r="BI31" s="95" t="s">
        <v>1678</v>
      </c>
      <c r="BJ31" s="95" t="s">
        <v>1678</v>
      </c>
      <c r="BK31" s="95" t="s">
        <v>1677</v>
      </c>
      <c r="BL31" s="95" t="s">
        <v>1677</v>
      </c>
    </row>
    <row r="32" customHeight="1" collapsed="1" spans="1:75">
      <c r="A32" s="157"/>
      <c r="B32" s="158"/>
      <c r="C32" s="158"/>
      <c r="D32" s="158"/>
      <c r="E32" s="158"/>
      <c r="F32" s="158"/>
      <c r="G32" s="158"/>
      <c r="H32" s="158"/>
      <c r="I32" s="164"/>
    </row>
    <row r="33" customHeight="1" spans="1:9">
      <c r="A33" s="157"/>
      <c r="B33" s="158"/>
      <c r="C33" s="158"/>
      <c r="D33" s="158"/>
      <c r="E33" s="158"/>
      <c r="F33" s="158"/>
      <c r="G33" s="158"/>
      <c r="H33" s="158"/>
      <c r="I33" s="164"/>
    </row>
    <row r="34" customHeight="1" spans="1:9">
      <c r="A34" s="157"/>
      <c r="B34" s="158"/>
      <c r="C34" s="158"/>
      <c r="D34" s="158"/>
      <c r="E34" s="158"/>
      <c r="F34" s="158"/>
      <c r="G34" s="158"/>
      <c r="H34" s="158"/>
      <c r="I34" s="164"/>
    </row>
    <row r="35" customHeight="1" spans="1:9">
      <c r="A35" s="157"/>
      <c r="B35" s="158"/>
      <c r="C35" s="158"/>
      <c r="D35" s="158"/>
      <c r="E35" s="158"/>
      <c r="F35" s="158"/>
      <c r="G35" s="158"/>
      <c r="H35" s="158"/>
      <c r="I35" s="164"/>
    </row>
    <row r="36" customHeight="1" spans="1:9">
      <c r="A36" s="157"/>
      <c r="B36" s="158"/>
      <c r="C36" s="158"/>
      <c r="D36" s="158"/>
      <c r="E36" s="158"/>
      <c r="F36" s="158"/>
      <c r="G36" s="158"/>
      <c r="H36" s="158"/>
      <c r="I36" s="164"/>
    </row>
    <row r="37" customHeight="1" spans="1:9">
      <c r="A37" s="157"/>
      <c r="B37" s="158"/>
      <c r="C37" s="158"/>
      <c r="D37" s="158"/>
      <c r="E37" s="158"/>
      <c r="F37" s="158"/>
      <c r="G37" s="158"/>
      <c r="H37" s="158"/>
      <c r="I37" s="164"/>
    </row>
  </sheetData>
  <sheetProtection autoFilter="0"/>
  <mergeCells count="6">
    <mergeCell ref="A2:N2"/>
    <mergeCell ref="A3:N3"/>
    <mergeCell ref="BU7:BW7"/>
    <mergeCell ref="BU8:BW8"/>
    <mergeCell ref="BV14:BW14"/>
    <mergeCell ref="A27:B27"/>
  </mergeCells>
  <conditionalFormatting sqref="BM7:BM26">
    <cfRule type="expression" dxfId="5" priority="5"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6" stopIfTrue="1">
      <formula>AND($B7&lt;&gt;"",BH7="")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L26">
      <formula1>BH$30:BH$31</formula1>
    </dataValidation>
  </dataValidations>
  <hyperlinks>
    <hyperlink ref="A1" location="索引目录!D26" display="返回索引页"/>
    <hyperlink ref="B1" location="流动资产汇总表!B26"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8"/>
  <dimension ref="A1:BW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3.2" style="75" customWidth="1"/>
    <col min="3" max="3" width="9.2" style="75" customWidth="1"/>
    <col min="4" max="4" width="15.5" style="75" customWidth="1"/>
    <col min="5" max="5" width="4.6" style="75" customWidth="1" outlineLevel="1"/>
    <col min="6" max="6" width="6.5" style="75" customWidth="1" outlineLevel="1"/>
    <col min="7" max="8" width="6.1" style="75" customWidth="1" outlineLevel="1"/>
    <col min="9" max="9" width="13.6" style="75" customWidth="1"/>
    <col min="10" max="10" width="13.6" style="75" customWidth="1" outlineLevel="1"/>
    <col min="11" max="11" width="13.6" style="76" customWidth="1" outlineLevel="1"/>
    <col min="12" max="13" width="13.6" style="75" customWidth="1"/>
    <col min="14" max="15" width="10.6" style="75" customWidth="1"/>
    <col min="16" max="16" width="12.1" style="75" customWidth="1"/>
    <col min="17" max="52" width="9" style="75" hidden="1" customWidth="1" outlineLevel="1"/>
    <col min="53" max="53" width="14.7" style="75" customWidth="1" collapsed="1"/>
    <col min="54" max="54" width="6.7" style="75" customWidth="1"/>
    <col min="55" max="56" width="5.1" style="75" customWidth="1"/>
    <col min="57" max="57" width="8.7" style="75" customWidth="1"/>
    <col min="58" max="59" width="9.8" style="75" customWidth="1"/>
    <col min="60" max="63" width="4.7" style="165" customWidth="1"/>
    <col min="64" max="64" width="6.7" style="165" customWidth="1"/>
    <col min="65" max="65" width="10.3" style="75" customWidth="1"/>
    <col min="66" max="66" width="8.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204"/>
      <c r="D1" s="204"/>
      <c r="E1" s="204"/>
      <c r="F1" s="204"/>
      <c r="G1" s="204"/>
      <c r="H1" s="204"/>
      <c r="I1" s="204"/>
      <c r="J1" s="82"/>
      <c r="K1" s="205"/>
      <c r="L1" s="82"/>
      <c r="M1" s="82"/>
      <c r="N1" s="82"/>
      <c r="O1" s="82"/>
      <c r="P1" s="82"/>
      <c r="BA1" s="84" t="str">
        <f>参数表!BA1</f>
        <v>注意：补充特殊事项、作价等均从BA列开始填写</v>
      </c>
      <c r="BB1" s="85"/>
      <c r="BH1" s="82"/>
      <c r="BI1" s="82"/>
      <c r="BJ1" s="82"/>
      <c r="BK1" s="82"/>
      <c r="BL1" s="82"/>
      <c r="BO1" s="87"/>
      <c r="BP1" s="88"/>
      <c r="BQ1" s="87"/>
      <c r="BR1" s="88"/>
      <c r="BS1" s="88"/>
      <c r="BT1" s="88"/>
      <c r="BU1" s="88"/>
      <c r="BV1" s="88"/>
      <c r="BW1" s="87"/>
    </row>
    <row r="2" s="71" customFormat="1" ht="30" customHeight="1" spans="1:75">
      <c r="A2" s="89" t="s">
        <v>3363</v>
      </c>
      <c r="B2" s="89"/>
      <c r="C2" s="89"/>
      <c r="D2" s="89"/>
      <c r="E2" s="89"/>
      <c r="F2" s="89"/>
      <c r="G2" s="89"/>
      <c r="H2" s="89"/>
      <c r="I2" s="89"/>
      <c r="J2" s="89"/>
      <c r="K2" s="89"/>
      <c r="L2" s="89"/>
      <c r="M2" s="89"/>
      <c r="N2" s="89"/>
      <c r="O2" s="89"/>
      <c r="P2" s="89"/>
      <c r="BA2" s="90" t="str">
        <f>参数表!BA2</f>
        <v>评估基准日：</v>
      </c>
      <c r="BB2" s="91" t="str">
        <f>参数表!BB2</f>
        <v>2025年7月31日</v>
      </c>
      <c r="BH2" s="171"/>
      <c r="BI2" s="171"/>
      <c r="BJ2" s="171"/>
      <c r="BK2" s="171"/>
      <c r="BL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4"/>
      <c r="L3" s="94"/>
      <c r="M3" s="94"/>
      <c r="N3" s="94"/>
      <c r="O3" s="94"/>
      <c r="P3" s="94"/>
      <c r="BA3" s="90" t="str">
        <f>参数表!BA3</f>
        <v>是否显示评估值：</v>
      </c>
      <c r="BB3" s="90" t="str">
        <f>参数表!BB3</f>
        <v>是</v>
      </c>
      <c r="BQ3" s="78"/>
    </row>
    <row r="4" ht="15" customHeight="1" spans="1:75">
      <c r="A4" s="96"/>
      <c r="B4" s="94"/>
      <c r="C4" s="94"/>
      <c r="D4" s="94"/>
      <c r="E4" s="94"/>
      <c r="F4" s="94"/>
      <c r="G4" s="94"/>
      <c r="H4" s="94"/>
      <c r="I4" s="94"/>
      <c r="J4" s="94"/>
      <c r="K4" s="97"/>
      <c r="L4" s="94"/>
      <c r="M4" s="94"/>
      <c r="N4" s="94"/>
      <c r="O4" s="94"/>
      <c r="P4" s="300" t="str">
        <f>"表"&amp;$BA4</f>
        <v>表3-14</v>
      </c>
      <c r="BA4" s="95" t="str">
        <f>流动资总!A20</f>
        <v>3-14</v>
      </c>
      <c r="BB4" s="100">
        <f>MAX(COUNTA(A7:A26),COUNTA(B7:B26),COUNTA(J7:J26),COUNTA(L7:L26))</f>
        <v>20</v>
      </c>
      <c r="BC4" s="101">
        <f>ROW(A6)+1</f>
        <v>7</v>
      </c>
      <c r="BD4" s="77"/>
      <c r="BE4" s="77"/>
      <c r="BQ4" s="78"/>
    </row>
    <row r="5" ht="15" customHeight="1" spans="1:75">
      <c r="A5" s="102" t="str">
        <f>参数表!F3</f>
        <v>产权持有单位:中煤第五建设有限公司</v>
      </c>
      <c r="B5" s="103"/>
      <c r="C5" s="103"/>
      <c r="D5" s="103"/>
      <c r="E5" s="103"/>
      <c r="F5" s="103"/>
      <c r="G5" s="103"/>
      <c r="H5" s="103"/>
      <c r="I5" s="103"/>
      <c r="J5" s="103"/>
      <c r="K5" s="104"/>
      <c r="L5" s="103"/>
      <c r="M5" s="103"/>
      <c r="N5" s="103"/>
      <c r="O5" s="103"/>
      <c r="P5" s="98" t="s">
        <v>236</v>
      </c>
      <c r="BA5" s="103"/>
      <c r="BB5" s="105" t="str">
        <f ca="1">判断表!C47</f>
        <v>中煤第五建设有限公司第三工程处拟处置实物资产项目\[0000-3基础法明细表.xlsx]其他流资</v>
      </c>
      <c r="BC5" s="106">
        <f>IFERROR(SUMIF(BC7:BC26,"√",L7:L26)/L27,0)</f>
        <v>0</v>
      </c>
      <c r="BD5" s="107"/>
      <c r="BE5" s="107"/>
      <c r="BF5" s="177">
        <f>分类汇总!I21</f>
        <v>0</v>
      </c>
      <c r="BG5" s="177">
        <f>分类汇总!K21</f>
        <v>0</v>
      </c>
      <c r="BO5" s="111"/>
      <c r="BQ5" s="78"/>
      <c r="BW5" s="111"/>
    </row>
    <row r="6" s="72" customFormat="1" ht="27" customHeight="1" spans="1:75">
      <c r="A6" s="112" t="s">
        <v>305</v>
      </c>
      <c r="B6" s="113" t="s">
        <v>3364</v>
      </c>
      <c r="C6" s="113" t="s">
        <v>1961</v>
      </c>
      <c r="D6" s="113" t="s">
        <v>3342</v>
      </c>
      <c r="E6" s="114" t="s">
        <v>1631</v>
      </c>
      <c r="F6" s="115" t="s">
        <v>1632</v>
      </c>
      <c r="G6" s="116" t="s">
        <v>1745</v>
      </c>
      <c r="H6" s="115" t="s">
        <v>1633</v>
      </c>
      <c r="I6" s="113" t="s">
        <v>1746</v>
      </c>
      <c r="J6" s="113" t="s">
        <v>1549</v>
      </c>
      <c r="K6" s="117" t="s">
        <v>1634</v>
      </c>
      <c r="L6" s="118" t="s">
        <v>1523</v>
      </c>
      <c r="M6" s="113" t="s">
        <v>1550</v>
      </c>
      <c r="N6" s="113" t="s">
        <v>1525</v>
      </c>
      <c r="O6" s="113" t="s">
        <v>1551</v>
      </c>
      <c r="P6" s="113" t="s">
        <v>308</v>
      </c>
      <c r="BA6" s="100" t="s">
        <v>1545</v>
      </c>
      <c r="BB6" s="100" t="s">
        <v>1635</v>
      </c>
      <c r="BC6" s="100" t="s">
        <v>1636</v>
      </c>
      <c r="BD6" s="100" t="s">
        <v>1637</v>
      </c>
      <c r="BE6" s="100" t="s">
        <v>1638</v>
      </c>
      <c r="BF6" s="115" t="s">
        <v>1639</v>
      </c>
      <c r="BG6" s="115" t="s">
        <v>1640</v>
      </c>
      <c r="BH6" s="113" t="s">
        <v>1748</v>
      </c>
      <c r="BI6" s="113" t="s">
        <v>1749</v>
      </c>
      <c r="BJ6" s="118" t="s">
        <v>1712</v>
      </c>
      <c r="BK6" s="118" t="s">
        <v>1686</v>
      </c>
      <c r="BL6" s="118" t="s">
        <v>1687</v>
      </c>
      <c r="BM6" s="118" t="s">
        <v>2063</v>
      </c>
      <c r="BN6" s="113" t="s">
        <v>1644</v>
      </c>
      <c r="BO6" s="119"/>
      <c r="BP6" s="120" t="s">
        <v>1645</v>
      </c>
      <c r="BQ6" s="121" t="s">
        <v>1646</v>
      </c>
      <c r="BR6" s="121" t="s">
        <v>1647</v>
      </c>
      <c r="BS6" s="121" t="s">
        <v>1648</v>
      </c>
      <c r="BT6" s="121" t="s">
        <v>1647</v>
      </c>
      <c r="BU6" s="121" t="s">
        <v>1647</v>
      </c>
      <c r="BV6" s="121" t="s">
        <v>1649</v>
      </c>
      <c r="BW6" s="122" t="s">
        <v>1650</v>
      </c>
    </row>
    <row r="7" ht="15" customHeight="1" spans="1:75">
      <c r="A7" s="123" t="str">
        <f>IF(B7="","",COUNT(A$6:A6)+1)</f>
        <v/>
      </c>
      <c r="B7" s="124"/>
      <c r="C7" s="125"/>
      <c r="D7" s="124"/>
      <c r="E7" s="127"/>
      <c r="F7" s="127" t="str">
        <f>IFERROR(VLOOKUP(E7,参数表!$H$2:$I$50,2,FALSE),"")</f>
        <v/>
      </c>
      <c r="G7" s="128" t="str">
        <f>IFERROR(IF(OR(E7="人民币",E7=""),"",I7/F7),"")</f>
        <v/>
      </c>
      <c r="H7" s="128" t="str">
        <f>IFERROR(IF(OR(E7="人民币",E7=""),"",L7/F7),"")</f>
        <v/>
      </c>
      <c r="I7" s="129"/>
      <c r="J7" s="129"/>
      <c r="K7" s="130"/>
      <c r="L7" s="129" t="str">
        <f>IF(B7="","",J7+K7)</f>
        <v/>
      </c>
      <c r="M7" s="129" t="str">
        <f t="shared" ref="M7:M26" si="0">IF(B7="","",IF($BB$3="是",L7,""))</f>
        <v/>
      </c>
      <c r="N7" s="129" t="str">
        <f t="shared" ref="N7:N27" si="1">IFERROR(M7-L7,"")</f>
        <v/>
      </c>
      <c r="O7" s="129" t="str">
        <f t="shared" ref="O7:O27" si="2">IFERROR(N7/L7*100,"")</f>
        <v/>
      </c>
      <c r="P7" s="131"/>
      <c r="BA7" s="78"/>
      <c r="BB7" s="132" t="s">
        <v>3365</v>
      </c>
      <c r="BC7" s="133"/>
      <c r="BD7" s="132" t="str">
        <f>IF(OR(B7="",BC7=""),"",COUNTIF(BC$7:BC7,"√"))</f>
        <v/>
      </c>
      <c r="BE7" s="134" t="str">
        <f t="shared" ref="BE7:BE26" si="3">IF(BC7="","",BB7&amp;"︱"&amp;B7&amp;"︱"&amp;TEXT(J7,"#,##0.00"))</f>
        <v/>
      </c>
      <c r="BF7" s="135" t="str">
        <f>IF($B7="","",IF(BF$5=0,"OK","出错"))</f>
        <v/>
      </c>
      <c r="BG7" s="135" t="str">
        <f>IF($B7="","",IF(BG$5=0,"OK","出错"))</f>
        <v/>
      </c>
      <c r="BH7" s="136"/>
      <c r="BI7" s="136"/>
      <c r="BJ7" s="136"/>
      <c r="BK7" s="136"/>
      <c r="BL7" s="136"/>
      <c r="BM7" s="137"/>
      <c r="BN7" s="137"/>
      <c r="BP7" s="134" t="str">
        <f>IF(COUNTIF(BP$6:BP6,D7)&gt;0,"",D7)&amp;""</f>
        <v/>
      </c>
      <c r="BQ7" s="138">
        <f>SUMIF(D$7:D$26,BP7,L$7:L$26)</f>
        <v>0</v>
      </c>
      <c r="BR7" s="132">
        <f t="shared" ref="BR7" si="4">RANK(BQ7,BQ$7:BQ$26)</f>
        <v>1</v>
      </c>
      <c r="BS7" s="138">
        <f>SUMIF(D$7:D$26,BP7,M$7:M$26)</f>
        <v>0</v>
      </c>
      <c r="BT7" s="132">
        <f>RANK(BS7,BS$7:BS$26)</f>
        <v>1</v>
      </c>
      <c r="BU7" s="138">
        <f>SUM(BQ7:BQ26)</f>
        <v>0</v>
      </c>
      <c r="BV7" s="138"/>
      <c r="BW7" s="138"/>
    </row>
    <row r="8" ht="15" customHeight="1" spans="1:75">
      <c r="A8" s="123" t="str">
        <f>IF(B8="","",COUNT(A$6:A7)+1)</f>
        <v/>
      </c>
      <c r="B8" s="139"/>
      <c r="C8" s="140"/>
      <c r="D8" s="141"/>
      <c r="E8" s="142"/>
      <c r="F8" s="127" t="str">
        <f>IFERROR(VLOOKUP(E8,参数表!$H$2:$I$50,2,FALSE),"")</f>
        <v/>
      </c>
      <c r="G8" s="128" t="str">
        <f t="shared" ref="G8:G26" si="5">IFERROR(IF(OR(E8="人民币",E8=""),"",I8/F8),"")</f>
        <v/>
      </c>
      <c r="H8" s="128" t="str">
        <f t="shared" ref="H8:H26" si="6">IFERROR(IF(OR(E8="人民币",E8=""),"",L8/F8),"")</f>
        <v/>
      </c>
      <c r="I8" s="143"/>
      <c r="J8" s="143"/>
      <c r="K8" s="144"/>
      <c r="L8" s="129" t="str">
        <f t="shared" ref="L8:L26" si="7">IF(B8="","",J8+K8)</f>
        <v/>
      </c>
      <c r="M8" s="129" t="str">
        <f t="shared" si="0"/>
        <v/>
      </c>
      <c r="N8" s="129" t="str">
        <f t="shared" si="1"/>
        <v/>
      </c>
      <c r="O8" s="129" t="str">
        <f t="shared" si="2"/>
        <v/>
      </c>
      <c r="P8" s="145"/>
      <c r="BA8" s="78"/>
      <c r="BB8" s="132" t="s">
        <v>3366</v>
      </c>
      <c r="BC8" s="133"/>
      <c r="BD8" s="132" t="str">
        <f>IF(OR(B8="",BC8=""),"",COUNTIF(BC$7:BC8,"√"))</f>
        <v/>
      </c>
      <c r="BE8" s="134" t="str">
        <f t="shared" si="3"/>
        <v/>
      </c>
      <c r="BF8" s="135" t="str">
        <f t="shared" ref="BF8:BG26" si="8">IF($B8="","",IF(BF$5=0,"OK","出错"))</f>
        <v/>
      </c>
      <c r="BG8" s="135" t="str">
        <f t="shared" si="8"/>
        <v/>
      </c>
      <c r="BH8" s="136"/>
      <c r="BI8" s="136"/>
      <c r="BJ8" s="136"/>
      <c r="BK8" s="136"/>
      <c r="BL8" s="136"/>
      <c r="BM8" s="137"/>
      <c r="BN8" s="137"/>
      <c r="BP8" s="134" t="str">
        <f>IF(COUNTIF(BP$6:BP7,D8)&gt;0,"",D8)&amp;""</f>
        <v/>
      </c>
      <c r="BQ8" s="138">
        <f t="shared" ref="BQ8:BQ26" si="9">SUMIF(D$7:D$26,BP8,L$7:L$26)</f>
        <v>0</v>
      </c>
      <c r="BR8" s="132">
        <f t="shared" ref="BR8:BR26" si="10">RANK(BQ8,BQ$7:BQ$26)</f>
        <v>1</v>
      </c>
      <c r="BS8" s="138">
        <f t="shared" ref="BS8:BS26" si="11">SUMIF(D$7:D$26,BP8,M$7:M$26)</f>
        <v>0</v>
      </c>
      <c r="BT8" s="132">
        <f t="shared" ref="BT8:BT26" si="12">RANK(BS8,BS$7:BS$26)</f>
        <v>1</v>
      </c>
      <c r="BU8" s="138">
        <f>SUM(BS7:BS26)</f>
        <v>0</v>
      </c>
      <c r="BV8" s="138"/>
      <c r="BW8" s="138"/>
    </row>
    <row r="9" ht="15" customHeight="1" spans="1:75">
      <c r="A9" s="123" t="str">
        <f>IF(B9="","",COUNT(A$6:A8)+1)</f>
        <v/>
      </c>
      <c r="B9" s="139"/>
      <c r="C9" s="140"/>
      <c r="D9" s="139"/>
      <c r="E9" s="142"/>
      <c r="F9" s="127" t="str">
        <f>IFERROR(VLOOKUP(E9,参数表!$H$2:$I$50,2,FALSE),"")</f>
        <v/>
      </c>
      <c r="G9" s="128" t="str">
        <f t="shared" si="5"/>
        <v/>
      </c>
      <c r="H9" s="128" t="str">
        <f t="shared" si="6"/>
        <v/>
      </c>
      <c r="I9" s="143"/>
      <c r="J9" s="143"/>
      <c r="K9" s="144"/>
      <c r="L9" s="129" t="str">
        <f t="shared" si="7"/>
        <v/>
      </c>
      <c r="M9" s="129" t="str">
        <f t="shared" si="0"/>
        <v/>
      </c>
      <c r="N9" s="129" t="str">
        <f t="shared" si="1"/>
        <v/>
      </c>
      <c r="O9" s="129" t="str">
        <f t="shared" si="2"/>
        <v/>
      </c>
      <c r="P9" s="145"/>
      <c r="BA9" s="78"/>
      <c r="BB9" s="132" t="s">
        <v>3367</v>
      </c>
      <c r="BC9" s="133"/>
      <c r="BD9" s="132" t="str">
        <f>IF(OR(B9="",BC9=""),"",COUNTIF(BC$7:BC9,"√"))</f>
        <v/>
      </c>
      <c r="BE9" s="134" t="str">
        <f t="shared" si="3"/>
        <v/>
      </c>
      <c r="BF9" s="135" t="str">
        <f t="shared" si="8"/>
        <v/>
      </c>
      <c r="BG9" s="135" t="str">
        <f t="shared" si="8"/>
        <v/>
      </c>
      <c r="BH9" s="136"/>
      <c r="BI9" s="136"/>
      <c r="BJ9" s="136"/>
      <c r="BK9" s="136"/>
      <c r="BL9" s="136"/>
      <c r="BM9" s="137"/>
      <c r="BN9" s="137"/>
      <c r="BP9" s="134" t="str">
        <f>IF(COUNTIF(BP$6:BP8,D9)&gt;0,"",D9)&amp;""</f>
        <v/>
      </c>
      <c r="BQ9" s="138">
        <f t="shared" si="9"/>
        <v>0</v>
      </c>
      <c r="BR9" s="132">
        <f t="shared" si="10"/>
        <v>1</v>
      </c>
      <c r="BS9" s="138">
        <f t="shared" si="11"/>
        <v>0</v>
      </c>
      <c r="BT9" s="132">
        <f t="shared" si="12"/>
        <v>1</v>
      </c>
      <c r="BU9" s="132">
        <v>1</v>
      </c>
      <c r="BV9" s="134" t="str">
        <f>IFERROR(INDEX(BP$7:BP$26,MATCH(BU9,IF(BU$7=0,BT$7:BT$26,BR$7:BR$26),0))&amp;"","")</f>
        <v/>
      </c>
      <c r="BW9" s="146" t="str">
        <f>IF(BV10="","",IF(BV11="","和","、"))</f>
        <v/>
      </c>
    </row>
    <row r="10" ht="15" customHeight="1" spans="1:75">
      <c r="A10" s="123" t="str">
        <f>IF(B10="","",COUNT(A$6:A9)+1)</f>
        <v/>
      </c>
      <c r="B10" s="139"/>
      <c r="C10" s="140"/>
      <c r="D10" s="139"/>
      <c r="E10" s="142"/>
      <c r="F10" s="127" t="str">
        <f>IFERROR(VLOOKUP(E10,参数表!$H$2:$I$50,2,FALSE),"")</f>
        <v/>
      </c>
      <c r="G10" s="128" t="str">
        <f t="shared" si="5"/>
        <v/>
      </c>
      <c r="H10" s="128" t="str">
        <f t="shared" si="6"/>
        <v/>
      </c>
      <c r="I10" s="143"/>
      <c r="J10" s="143"/>
      <c r="K10" s="144"/>
      <c r="L10" s="129" t="str">
        <f t="shared" si="7"/>
        <v/>
      </c>
      <c r="M10" s="129" t="str">
        <f t="shared" si="0"/>
        <v/>
      </c>
      <c r="N10" s="129" t="str">
        <f t="shared" si="1"/>
        <v/>
      </c>
      <c r="O10" s="129" t="str">
        <f t="shared" si="2"/>
        <v/>
      </c>
      <c r="P10" s="145"/>
      <c r="BA10" s="78"/>
      <c r="BB10" s="132" t="s">
        <v>3368</v>
      </c>
      <c r="BC10" s="133"/>
      <c r="BD10" s="132" t="str">
        <f>IF(OR(B10="",BC10=""),"",COUNTIF(BC$7:BC10,"√"))</f>
        <v/>
      </c>
      <c r="BE10" s="134" t="str">
        <f t="shared" si="3"/>
        <v/>
      </c>
      <c r="BF10" s="135" t="str">
        <f t="shared" si="8"/>
        <v/>
      </c>
      <c r="BG10" s="135" t="str">
        <f t="shared" si="8"/>
        <v/>
      </c>
      <c r="BH10" s="136"/>
      <c r="BI10" s="136"/>
      <c r="BJ10" s="136"/>
      <c r="BK10" s="136"/>
      <c r="BL10" s="136"/>
      <c r="BM10" s="137"/>
      <c r="BN10" s="137"/>
      <c r="BP10" s="134" t="str">
        <f>IF(COUNTIF(BP$6:BP9,D10)&gt;0,"",D10)&amp;""</f>
        <v/>
      </c>
      <c r="BQ10" s="138">
        <f t="shared" si="9"/>
        <v>0</v>
      </c>
      <c r="BR10" s="132">
        <f t="shared" si="10"/>
        <v>1</v>
      </c>
      <c r="BS10" s="138">
        <f t="shared" si="11"/>
        <v>0</v>
      </c>
      <c r="BT10" s="132">
        <f t="shared" si="12"/>
        <v>1</v>
      </c>
      <c r="BU10" s="132">
        <v>2</v>
      </c>
      <c r="BV10" s="134" t="str">
        <f t="shared" ref="BV10:BV13" si="13">IFERROR(INDEX(BP$7:BP$26,MATCH(BU10,IF(BU$7=0,BT$7:BT$26,BR$7:BR$26),0))&amp;"","")</f>
        <v/>
      </c>
      <c r="BW10" s="146" t="str">
        <f t="shared" ref="BW10:BW11" si="14">IF(BV11="","",IF(BV12="","和","、"))</f>
        <v/>
      </c>
    </row>
    <row r="11" ht="15" customHeight="1" spans="1:75">
      <c r="A11" s="123" t="str">
        <f>IF(B11="","",COUNT(A$6:A10)+1)</f>
        <v/>
      </c>
      <c r="B11" s="139"/>
      <c r="C11" s="140"/>
      <c r="D11" s="139"/>
      <c r="E11" s="142"/>
      <c r="F11" s="127" t="str">
        <f>IFERROR(VLOOKUP(E11,参数表!$H$2:$I$50,2,FALSE),"")</f>
        <v/>
      </c>
      <c r="G11" s="128" t="str">
        <f t="shared" si="5"/>
        <v/>
      </c>
      <c r="H11" s="128" t="str">
        <f t="shared" si="6"/>
        <v/>
      </c>
      <c r="I11" s="143"/>
      <c r="J11" s="143"/>
      <c r="K11" s="144"/>
      <c r="L11" s="129" t="str">
        <f t="shared" si="7"/>
        <v/>
      </c>
      <c r="M11" s="129" t="str">
        <f t="shared" si="0"/>
        <v/>
      </c>
      <c r="N11" s="129" t="str">
        <f t="shared" si="1"/>
        <v/>
      </c>
      <c r="O11" s="129" t="str">
        <f t="shared" si="2"/>
        <v/>
      </c>
      <c r="P11" s="145"/>
      <c r="BA11" s="78"/>
      <c r="BB11" s="132" t="s">
        <v>3369</v>
      </c>
      <c r="BC11" s="133"/>
      <c r="BD11" s="132" t="str">
        <f>IF(OR(B11="",BC11=""),"",COUNTIF(BC$7:BC11,"√"))</f>
        <v/>
      </c>
      <c r="BE11" s="134" t="str">
        <f t="shared" si="3"/>
        <v/>
      </c>
      <c r="BF11" s="135" t="str">
        <f t="shared" si="8"/>
        <v/>
      </c>
      <c r="BG11" s="135" t="str">
        <f t="shared" si="8"/>
        <v/>
      </c>
      <c r="BH11" s="136"/>
      <c r="BI11" s="136"/>
      <c r="BJ11" s="136"/>
      <c r="BK11" s="136"/>
      <c r="BL11" s="136"/>
      <c r="BM11" s="137"/>
      <c r="BN11" s="137"/>
      <c r="BP11" s="134" t="str">
        <f>IF(COUNTIF(BP$6:BP10,D11)&gt;0,"",D11)&amp;""</f>
        <v/>
      </c>
      <c r="BQ11" s="138">
        <f t="shared" si="9"/>
        <v>0</v>
      </c>
      <c r="BR11" s="132">
        <f t="shared" si="10"/>
        <v>1</v>
      </c>
      <c r="BS11" s="138">
        <f t="shared" si="11"/>
        <v>0</v>
      </c>
      <c r="BT11" s="132">
        <f t="shared" si="12"/>
        <v>1</v>
      </c>
      <c r="BU11" s="132">
        <v>3</v>
      </c>
      <c r="BV11" s="134" t="str">
        <f t="shared" si="13"/>
        <v/>
      </c>
      <c r="BW11" s="146" t="str">
        <f t="shared" si="14"/>
        <v/>
      </c>
    </row>
    <row r="12" ht="15" customHeight="1" spans="1:75">
      <c r="A12" s="123" t="str">
        <f>IF(B12="","",COUNT(A$6:A11)+1)</f>
        <v/>
      </c>
      <c r="B12" s="139"/>
      <c r="C12" s="140"/>
      <c r="D12" s="139"/>
      <c r="E12" s="142"/>
      <c r="F12" s="127" t="str">
        <f>IFERROR(VLOOKUP(E12,参数表!$H$2:$I$50,2,FALSE),"")</f>
        <v/>
      </c>
      <c r="G12" s="128" t="str">
        <f t="shared" si="5"/>
        <v/>
      </c>
      <c r="H12" s="128" t="str">
        <f t="shared" si="6"/>
        <v/>
      </c>
      <c r="I12" s="143"/>
      <c r="J12" s="143"/>
      <c r="K12" s="144"/>
      <c r="L12" s="129" t="str">
        <f t="shared" si="7"/>
        <v/>
      </c>
      <c r="M12" s="129" t="str">
        <f t="shared" si="0"/>
        <v/>
      </c>
      <c r="N12" s="129" t="str">
        <f t="shared" si="1"/>
        <v/>
      </c>
      <c r="O12" s="129" t="str">
        <f t="shared" si="2"/>
        <v/>
      </c>
      <c r="P12" s="145"/>
      <c r="BA12" s="78"/>
      <c r="BB12" s="132" t="s">
        <v>3370</v>
      </c>
      <c r="BC12" s="133"/>
      <c r="BD12" s="132" t="str">
        <f>IF(OR(B12="",BC12=""),"",COUNTIF(BC$7:BC12,"√"))</f>
        <v/>
      </c>
      <c r="BE12" s="134" t="str">
        <f t="shared" si="3"/>
        <v/>
      </c>
      <c r="BF12" s="135" t="str">
        <f t="shared" si="8"/>
        <v/>
      </c>
      <c r="BG12" s="135" t="str">
        <f t="shared" si="8"/>
        <v/>
      </c>
      <c r="BH12" s="136"/>
      <c r="BI12" s="136"/>
      <c r="BJ12" s="136"/>
      <c r="BK12" s="136"/>
      <c r="BL12" s="136"/>
      <c r="BM12" s="137"/>
      <c r="BN12" s="137"/>
      <c r="BP12" s="134" t="str">
        <f>IF(COUNTIF(BP$6:BP11,D12)&gt;0,"",D12)&amp;""</f>
        <v/>
      </c>
      <c r="BQ12" s="138">
        <f t="shared" si="9"/>
        <v>0</v>
      </c>
      <c r="BR12" s="132">
        <f t="shared" si="10"/>
        <v>1</v>
      </c>
      <c r="BS12" s="138">
        <f t="shared" si="11"/>
        <v>0</v>
      </c>
      <c r="BT12" s="132">
        <f t="shared" si="12"/>
        <v>1</v>
      </c>
      <c r="BU12" s="132">
        <v>4</v>
      </c>
      <c r="BV12" s="134" t="str">
        <f t="shared" si="13"/>
        <v/>
      </c>
      <c r="BW12" s="146" t="str">
        <f>IF(BV13="","","和")</f>
        <v/>
      </c>
    </row>
    <row r="13" ht="15" customHeight="1" spans="1:75">
      <c r="A13" s="123" t="str">
        <f>IF(B13="","",COUNT(A$6:A12)+1)</f>
        <v/>
      </c>
      <c r="B13" s="139"/>
      <c r="C13" s="140"/>
      <c r="D13" s="139"/>
      <c r="E13" s="142"/>
      <c r="F13" s="127" t="str">
        <f>IFERROR(VLOOKUP(E13,参数表!$H$2:$I$50,2,FALSE),"")</f>
        <v/>
      </c>
      <c r="G13" s="128" t="str">
        <f t="shared" si="5"/>
        <v/>
      </c>
      <c r="H13" s="128" t="str">
        <f t="shared" si="6"/>
        <v/>
      </c>
      <c r="I13" s="143"/>
      <c r="J13" s="143"/>
      <c r="K13" s="144"/>
      <c r="L13" s="129" t="str">
        <f t="shared" si="7"/>
        <v/>
      </c>
      <c r="M13" s="129" t="str">
        <f t="shared" si="0"/>
        <v/>
      </c>
      <c r="N13" s="129" t="str">
        <f t="shared" si="1"/>
        <v/>
      </c>
      <c r="O13" s="129" t="str">
        <f t="shared" si="2"/>
        <v/>
      </c>
      <c r="P13" s="145"/>
      <c r="BA13" s="78"/>
      <c r="BB13" s="132" t="s">
        <v>3371</v>
      </c>
      <c r="BC13" s="133"/>
      <c r="BD13" s="132" t="str">
        <f>IF(OR(B13="",BC13=""),"",COUNTIF(BC$7:BC13,"√"))</f>
        <v/>
      </c>
      <c r="BE13" s="134" t="str">
        <f t="shared" si="3"/>
        <v/>
      </c>
      <c r="BF13" s="135" t="str">
        <f t="shared" si="8"/>
        <v/>
      </c>
      <c r="BG13" s="135" t="str">
        <f t="shared" si="8"/>
        <v/>
      </c>
      <c r="BH13" s="136"/>
      <c r="BI13" s="136"/>
      <c r="BJ13" s="136"/>
      <c r="BK13" s="136"/>
      <c r="BL13" s="136"/>
      <c r="BM13" s="137"/>
      <c r="BN13" s="137"/>
      <c r="BP13" s="134" t="str">
        <f>IF(COUNTIF(BP$6:BP12,D13)&gt;0,"",D13)&amp;""</f>
        <v/>
      </c>
      <c r="BQ13" s="138">
        <f t="shared" si="9"/>
        <v>0</v>
      </c>
      <c r="BR13" s="132">
        <f t="shared" si="10"/>
        <v>1</v>
      </c>
      <c r="BS13" s="138">
        <f t="shared" si="11"/>
        <v>0</v>
      </c>
      <c r="BT13" s="132">
        <f t="shared" si="12"/>
        <v>1</v>
      </c>
      <c r="BU13" s="132">
        <v>5</v>
      </c>
      <c r="BV13" s="134" t="str">
        <f t="shared" si="13"/>
        <v/>
      </c>
      <c r="BW13" s="146"/>
    </row>
    <row r="14" ht="15" customHeight="1" spans="1:75">
      <c r="A14" s="123" t="str">
        <f>IF(B14="","",COUNT(A$6:A13)+1)</f>
        <v/>
      </c>
      <c r="B14" s="139"/>
      <c r="C14" s="140"/>
      <c r="D14" s="139"/>
      <c r="E14" s="142"/>
      <c r="F14" s="127" t="str">
        <f>IFERROR(VLOOKUP(E14,参数表!$H$2:$I$50,2,FALSE),"")</f>
        <v/>
      </c>
      <c r="G14" s="128" t="str">
        <f t="shared" si="5"/>
        <v/>
      </c>
      <c r="H14" s="128" t="str">
        <f t="shared" si="6"/>
        <v/>
      </c>
      <c r="I14" s="143"/>
      <c r="J14" s="143"/>
      <c r="K14" s="144"/>
      <c r="L14" s="129" t="str">
        <f t="shared" si="7"/>
        <v/>
      </c>
      <c r="M14" s="129" t="str">
        <f t="shared" si="0"/>
        <v/>
      </c>
      <c r="N14" s="129" t="str">
        <f t="shared" si="1"/>
        <v/>
      </c>
      <c r="O14" s="129" t="str">
        <f t="shared" si="2"/>
        <v/>
      </c>
      <c r="P14" s="145"/>
      <c r="BA14" s="78"/>
      <c r="BB14" s="132" t="s">
        <v>3372</v>
      </c>
      <c r="BC14" s="133"/>
      <c r="BD14" s="132" t="str">
        <f>IF(OR(B14="",BC14=""),"",COUNTIF(BC$7:BC14,"√"))</f>
        <v/>
      </c>
      <c r="BE14" s="134" t="str">
        <f t="shared" si="3"/>
        <v/>
      </c>
      <c r="BF14" s="135" t="str">
        <f t="shared" si="8"/>
        <v/>
      </c>
      <c r="BG14" s="135" t="str">
        <f t="shared" si="8"/>
        <v/>
      </c>
      <c r="BH14" s="136"/>
      <c r="BI14" s="136"/>
      <c r="BJ14" s="136"/>
      <c r="BK14" s="136"/>
      <c r="BL14" s="136"/>
      <c r="BM14" s="137"/>
      <c r="BN14" s="137"/>
      <c r="BP14" s="134" t="str">
        <f>IF(COUNTIF(BP$6:BP13,D14)&gt;0,"",D14)&amp;""</f>
        <v/>
      </c>
      <c r="BQ14" s="138">
        <f t="shared" si="9"/>
        <v>0</v>
      </c>
      <c r="BR14" s="132">
        <f t="shared" si="10"/>
        <v>1</v>
      </c>
      <c r="BS14" s="138">
        <f t="shared" si="11"/>
        <v>0</v>
      </c>
      <c r="BT14" s="132">
        <f t="shared" si="12"/>
        <v>1</v>
      </c>
      <c r="BU14" s="147" t="s">
        <v>1659</v>
      </c>
      <c r="BV14" s="132" t="str">
        <f>CONCATENATE(BV9,BW9,BV10,BW10,BV11,BW11,BV12,BW12,BV13)</f>
        <v/>
      </c>
      <c r="BW14" s="132"/>
    </row>
    <row r="15" ht="15" customHeight="1" spans="1:75">
      <c r="A15" s="123" t="str">
        <f>IF(B15="","",COUNT(A$6:A14)+1)</f>
        <v/>
      </c>
      <c r="B15" s="139"/>
      <c r="C15" s="140"/>
      <c r="D15" s="139"/>
      <c r="E15" s="142"/>
      <c r="F15" s="127" t="str">
        <f>IFERROR(VLOOKUP(E15,参数表!$H$2:$I$50,2,FALSE),"")</f>
        <v/>
      </c>
      <c r="G15" s="128" t="str">
        <f t="shared" si="5"/>
        <v/>
      </c>
      <c r="H15" s="128" t="str">
        <f t="shared" si="6"/>
        <v/>
      </c>
      <c r="I15" s="143"/>
      <c r="J15" s="143"/>
      <c r="K15" s="144"/>
      <c r="L15" s="129" t="str">
        <f t="shared" si="7"/>
        <v/>
      </c>
      <c r="M15" s="129" t="str">
        <f t="shared" si="0"/>
        <v/>
      </c>
      <c r="N15" s="129" t="str">
        <f t="shared" si="1"/>
        <v/>
      </c>
      <c r="O15" s="129" t="str">
        <f t="shared" si="2"/>
        <v/>
      </c>
      <c r="P15" s="145"/>
      <c r="BA15" s="78"/>
      <c r="BB15" s="132" t="s">
        <v>3373</v>
      </c>
      <c r="BC15" s="133"/>
      <c r="BD15" s="132" t="str">
        <f>IF(OR(B15="",BC15=""),"",COUNTIF(BC$7:BC15,"√"))</f>
        <v/>
      </c>
      <c r="BE15" s="134" t="str">
        <f t="shared" si="3"/>
        <v/>
      </c>
      <c r="BF15" s="135" t="str">
        <f t="shared" si="8"/>
        <v/>
      </c>
      <c r="BG15" s="135" t="str">
        <f t="shared" si="8"/>
        <v/>
      </c>
      <c r="BH15" s="136"/>
      <c r="BI15" s="136"/>
      <c r="BJ15" s="136"/>
      <c r="BK15" s="136"/>
      <c r="BL15" s="136"/>
      <c r="BM15" s="137"/>
      <c r="BN15" s="137"/>
      <c r="BP15" s="134" t="str">
        <f>IF(COUNTIF(BP$6:BP14,D15)&gt;0,"",D15)&amp;""</f>
        <v/>
      </c>
      <c r="BQ15" s="138">
        <f t="shared" si="9"/>
        <v>0</v>
      </c>
      <c r="BR15" s="132">
        <f t="shared" si="10"/>
        <v>1</v>
      </c>
      <c r="BS15" s="138">
        <f t="shared" si="11"/>
        <v>0</v>
      </c>
      <c r="BT15" s="132">
        <f t="shared" si="12"/>
        <v>1</v>
      </c>
      <c r="BU15" s="133"/>
      <c r="BV15" s="133"/>
    </row>
    <row r="16" ht="15" customHeight="1" spans="1:75">
      <c r="A16" s="123" t="str">
        <f>IF(B16="","",COUNT(A$6:A15)+1)</f>
        <v/>
      </c>
      <c r="B16" s="139"/>
      <c r="C16" s="140"/>
      <c r="D16" s="139"/>
      <c r="E16" s="142"/>
      <c r="F16" s="127" t="str">
        <f>IFERROR(VLOOKUP(E16,参数表!$H$2:$I$50,2,FALSE),"")</f>
        <v/>
      </c>
      <c r="G16" s="128" t="str">
        <f t="shared" si="5"/>
        <v/>
      </c>
      <c r="H16" s="128" t="str">
        <f t="shared" si="6"/>
        <v/>
      </c>
      <c r="I16" s="143"/>
      <c r="J16" s="143"/>
      <c r="K16" s="144"/>
      <c r="L16" s="129" t="str">
        <f t="shared" si="7"/>
        <v/>
      </c>
      <c r="M16" s="129" t="str">
        <f t="shared" si="0"/>
        <v/>
      </c>
      <c r="N16" s="129" t="str">
        <f t="shared" si="1"/>
        <v/>
      </c>
      <c r="O16" s="129" t="str">
        <f t="shared" si="2"/>
        <v/>
      </c>
      <c r="P16" s="145"/>
      <c r="BA16" s="78"/>
      <c r="BB16" s="132" t="s">
        <v>3374</v>
      </c>
      <c r="BC16" s="133"/>
      <c r="BD16" s="132" t="str">
        <f>IF(OR(B16="",BC16=""),"",COUNTIF(BC$7:BC16,"√"))</f>
        <v/>
      </c>
      <c r="BE16" s="134" t="str">
        <f t="shared" si="3"/>
        <v/>
      </c>
      <c r="BF16" s="135" t="str">
        <f t="shared" si="8"/>
        <v/>
      </c>
      <c r="BG16" s="135" t="str">
        <f t="shared" si="8"/>
        <v/>
      </c>
      <c r="BH16" s="136"/>
      <c r="BI16" s="136"/>
      <c r="BJ16" s="136"/>
      <c r="BK16" s="136"/>
      <c r="BL16" s="136"/>
      <c r="BM16" s="137"/>
      <c r="BN16" s="137"/>
      <c r="BP16" s="134" t="str">
        <f>IF(COUNTIF(BP$6:BP15,D16)&gt;0,"",D16)&amp;""</f>
        <v/>
      </c>
      <c r="BQ16" s="138">
        <f t="shared" si="9"/>
        <v>0</v>
      </c>
      <c r="BR16" s="132">
        <f t="shared" si="10"/>
        <v>1</v>
      </c>
      <c r="BS16" s="138">
        <f t="shared" si="11"/>
        <v>0</v>
      </c>
      <c r="BT16" s="132">
        <f t="shared" si="12"/>
        <v>1</v>
      </c>
      <c r="BU16" s="133"/>
      <c r="BV16" s="148"/>
    </row>
    <row r="17" ht="15" customHeight="1" spans="1:75">
      <c r="A17" s="123" t="str">
        <f>IF(B17="","",COUNT(A$6:A16)+1)</f>
        <v/>
      </c>
      <c r="B17" s="139"/>
      <c r="C17" s="140"/>
      <c r="D17" s="139"/>
      <c r="E17" s="142"/>
      <c r="F17" s="127" t="str">
        <f>IFERROR(VLOOKUP(E17,参数表!$H$2:$I$50,2,FALSE),"")</f>
        <v/>
      </c>
      <c r="G17" s="128" t="str">
        <f t="shared" si="5"/>
        <v/>
      </c>
      <c r="H17" s="128" t="str">
        <f t="shared" si="6"/>
        <v/>
      </c>
      <c r="I17" s="143"/>
      <c r="J17" s="143"/>
      <c r="K17" s="144"/>
      <c r="L17" s="129" t="str">
        <f t="shared" si="7"/>
        <v/>
      </c>
      <c r="M17" s="129" t="str">
        <f t="shared" si="0"/>
        <v/>
      </c>
      <c r="N17" s="129" t="str">
        <f t="shared" si="1"/>
        <v/>
      </c>
      <c r="O17" s="129" t="str">
        <f t="shared" si="2"/>
        <v/>
      </c>
      <c r="P17" s="145"/>
      <c r="BA17" s="78"/>
      <c r="BB17" s="132" t="s">
        <v>3375</v>
      </c>
      <c r="BC17" s="133"/>
      <c r="BD17" s="132" t="str">
        <f>IF(OR(B17="",BC17=""),"",COUNTIF(BC$7:BC17,"√"))</f>
        <v/>
      </c>
      <c r="BE17" s="134" t="str">
        <f t="shared" si="3"/>
        <v/>
      </c>
      <c r="BF17" s="135" t="str">
        <f t="shared" si="8"/>
        <v/>
      </c>
      <c r="BG17" s="135" t="str">
        <f t="shared" si="8"/>
        <v/>
      </c>
      <c r="BH17" s="136"/>
      <c r="BI17" s="136"/>
      <c r="BJ17" s="136"/>
      <c r="BK17" s="136"/>
      <c r="BL17" s="136"/>
      <c r="BM17" s="137"/>
      <c r="BN17" s="137"/>
      <c r="BP17" s="134" t="str">
        <f>IF(COUNTIF(BP$6:BP16,D17)&gt;0,"",D17)&amp;""</f>
        <v/>
      </c>
      <c r="BQ17" s="138">
        <f t="shared" si="9"/>
        <v>0</v>
      </c>
      <c r="BR17" s="132">
        <f t="shared" si="10"/>
        <v>1</v>
      </c>
      <c r="BS17" s="138">
        <f t="shared" si="11"/>
        <v>0</v>
      </c>
      <c r="BT17" s="132">
        <f t="shared" si="12"/>
        <v>1</v>
      </c>
      <c r="BU17" s="133"/>
      <c r="BV17" s="133"/>
    </row>
    <row r="18" ht="15" customHeight="1" spans="1:75">
      <c r="A18" s="123" t="str">
        <f>IF(B18="","",COUNT(A$6:A17)+1)</f>
        <v/>
      </c>
      <c r="B18" s="139"/>
      <c r="C18" s="140"/>
      <c r="D18" s="139"/>
      <c r="E18" s="142"/>
      <c r="F18" s="127" t="str">
        <f>IFERROR(VLOOKUP(E18,参数表!$H$2:$I$50,2,FALSE),"")</f>
        <v/>
      </c>
      <c r="G18" s="128" t="str">
        <f t="shared" si="5"/>
        <v/>
      </c>
      <c r="H18" s="128" t="str">
        <f t="shared" si="6"/>
        <v/>
      </c>
      <c r="I18" s="143"/>
      <c r="J18" s="143"/>
      <c r="K18" s="144"/>
      <c r="L18" s="129" t="str">
        <f t="shared" si="7"/>
        <v/>
      </c>
      <c r="M18" s="129" t="str">
        <f t="shared" si="0"/>
        <v/>
      </c>
      <c r="N18" s="129" t="str">
        <f t="shared" si="1"/>
        <v/>
      </c>
      <c r="O18" s="129" t="str">
        <f t="shared" si="2"/>
        <v/>
      </c>
      <c r="P18" s="145"/>
      <c r="BA18" s="78"/>
      <c r="BB18" s="132" t="s">
        <v>3376</v>
      </c>
      <c r="BC18" s="133"/>
      <c r="BD18" s="132" t="str">
        <f>IF(OR(B18="",BC18=""),"",COUNTIF(BC$7:BC18,"√"))</f>
        <v/>
      </c>
      <c r="BE18" s="134" t="str">
        <f t="shared" si="3"/>
        <v/>
      </c>
      <c r="BF18" s="135" t="str">
        <f t="shared" si="8"/>
        <v/>
      </c>
      <c r="BG18" s="135" t="str">
        <f t="shared" si="8"/>
        <v/>
      </c>
      <c r="BH18" s="136"/>
      <c r="BI18" s="136"/>
      <c r="BJ18" s="136"/>
      <c r="BK18" s="136"/>
      <c r="BL18" s="136"/>
      <c r="BM18" s="137"/>
      <c r="BN18" s="137"/>
      <c r="BP18" s="134" t="str">
        <f>IF(COUNTIF(BP$6:BP17,D18)&gt;0,"",D18)&amp;""</f>
        <v/>
      </c>
      <c r="BQ18" s="138">
        <f t="shared" si="9"/>
        <v>0</v>
      </c>
      <c r="BR18" s="132">
        <f t="shared" si="10"/>
        <v>1</v>
      </c>
      <c r="BS18" s="138">
        <f t="shared" si="11"/>
        <v>0</v>
      </c>
      <c r="BT18" s="132">
        <f t="shared" si="12"/>
        <v>1</v>
      </c>
      <c r="BU18" s="133"/>
      <c r="BV18" s="133"/>
    </row>
    <row r="19" ht="15" customHeight="1" spans="1:75">
      <c r="A19" s="123" t="str">
        <f>IF(B19="","",COUNT(A$6:A18)+1)</f>
        <v/>
      </c>
      <c r="B19" s="139"/>
      <c r="C19" s="140"/>
      <c r="D19" s="139"/>
      <c r="E19" s="142"/>
      <c r="F19" s="127" t="str">
        <f>IFERROR(VLOOKUP(E19,参数表!$H$2:$I$50,2,FALSE),"")</f>
        <v/>
      </c>
      <c r="G19" s="128" t="str">
        <f t="shared" si="5"/>
        <v/>
      </c>
      <c r="H19" s="128" t="str">
        <f t="shared" si="6"/>
        <v/>
      </c>
      <c r="I19" s="143"/>
      <c r="J19" s="143"/>
      <c r="K19" s="144"/>
      <c r="L19" s="129" t="str">
        <f t="shared" si="7"/>
        <v/>
      </c>
      <c r="M19" s="129" t="str">
        <f t="shared" si="0"/>
        <v/>
      </c>
      <c r="N19" s="129" t="str">
        <f t="shared" si="1"/>
        <v/>
      </c>
      <c r="O19" s="129" t="str">
        <f t="shared" si="2"/>
        <v/>
      </c>
      <c r="P19" s="145"/>
      <c r="BA19" s="78"/>
      <c r="BB19" s="132" t="s">
        <v>3377</v>
      </c>
      <c r="BC19" s="133"/>
      <c r="BD19" s="132" t="str">
        <f>IF(OR(B19="",BC19=""),"",COUNTIF(BC$7:BC19,"√"))</f>
        <v/>
      </c>
      <c r="BE19" s="134" t="str">
        <f t="shared" si="3"/>
        <v/>
      </c>
      <c r="BF19" s="135" t="str">
        <f t="shared" si="8"/>
        <v/>
      </c>
      <c r="BG19" s="135" t="str">
        <f t="shared" si="8"/>
        <v/>
      </c>
      <c r="BH19" s="136"/>
      <c r="BI19" s="136"/>
      <c r="BJ19" s="136"/>
      <c r="BK19" s="136"/>
      <c r="BL19" s="136"/>
      <c r="BM19" s="137"/>
      <c r="BN19" s="137"/>
      <c r="BP19" s="134" t="str">
        <f>IF(COUNTIF(BP$6:BP18,D19)&gt;0,"",D19)&amp;""</f>
        <v/>
      </c>
      <c r="BQ19" s="138">
        <f t="shared" si="9"/>
        <v>0</v>
      </c>
      <c r="BR19" s="132">
        <f t="shared" si="10"/>
        <v>1</v>
      </c>
      <c r="BS19" s="138">
        <f t="shared" si="11"/>
        <v>0</v>
      </c>
      <c r="BT19" s="132">
        <f t="shared" si="12"/>
        <v>1</v>
      </c>
      <c r="BU19" s="133"/>
      <c r="BV19" s="133"/>
    </row>
    <row r="20" ht="15" customHeight="1" spans="1:75">
      <c r="A20" s="123" t="str">
        <f>IF(B20="","",COUNT(A$6:A19)+1)</f>
        <v/>
      </c>
      <c r="B20" s="139"/>
      <c r="C20" s="140"/>
      <c r="D20" s="139"/>
      <c r="E20" s="142"/>
      <c r="F20" s="127" t="str">
        <f>IFERROR(VLOOKUP(E20,参数表!$H$2:$I$50,2,FALSE),"")</f>
        <v/>
      </c>
      <c r="G20" s="128" t="str">
        <f t="shared" si="5"/>
        <v/>
      </c>
      <c r="H20" s="128" t="str">
        <f t="shared" si="6"/>
        <v/>
      </c>
      <c r="I20" s="143"/>
      <c r="J20" s="143"/>
      <c r="K20" s="144"/>
      <c r="L20" s="129" t="str">
        <f t="shared" si="7"/>
        <v/>
      </c>
      <c r="M20" s="129" t="str">
        <f t="shared" si="0"/>
        <v/>
      </c>
      <c r="N20" s="129" t="str">
        <f t="shared" si="1"/>
        <v/>
      </c>
      <c r="O20" s="129" t="str">
        <f t="shared" si="2"/>
        <v/>
      </c>
      <c r="P20" s="145"/>
      <c r="BA20" s="78"/>
      <c r="BB20" s="132" t="s">
        <v>3378</v>
      </c>
      <c r="BC20" s="133"/>
      <c r="BD20" s="132" t="str">
        <f>IF(OR(B20="",BC20=""),"",COUNTIF(BC$7:BC20,"√"))</f>
        <v/>
      </c>
      <c r="BE20" s="134" t="str">
        <f t="shared" si="3"/>
        <v/>
      </c>
      <c r="BF20" s="135" t="str">
        <f t="shared" si="8"/>
        <v/>
      </c>
      <c r="BG20" s="135" t="str">
        <f t="shared" si="8"/>
        <v/>
      </c>
      <c r="BH20" s="136"/>
      <c r="BI20" s="136"/>
      <c r="BJ20" s="136"/>
      <c r="BK20" s="136"/>
      <c r="BL20" s="136"/>
      <c r="BM20" s="137"/>
      <c r="BN20" s="137"/>
      <c r="BP20" s="134" t="str">
        <f>IF(COUNTIF(BP$6:BP19,D20)&gt;0,"",D20)&amp;""</f>
        <v/>
      </c>
      <c r="BQ20" s="138">
        <f t="shared" si="9"/>
        <v>0</v>
      </c>
      <c r="BR20" s="132">
        <f t="shared" si="10"/>
        <v>1</v>
      </c>
      <c r="BS20" s="138">
        <f t="shared" si="11"/>
        <v>0</v>
      </c>
      <c r="BT20" s="132">
        <f t="shared" si="12"/>
        <v>1</v>
      </c>
      <c r="BU20" s="133"/>
      <c r="BV20" s="133"/>
    </row>
    <row r="21" ht="15" customHeight="1" spans="1:75">
      <c r="A21" s="123" t="str">
        <f>IF(B21="","",COUNT(A$6:A20)+1)</f>
        <v/>
      </c>
      <c r="B21" s="139"/>
      <c r="C21" s="140"/>
      <c r="D21" s="139"/>
      <c r="E21" s="142"/>
      <c r="F21" s="127" t="str">
        <f>IFERROR(VLOOKUP(E21,参数表!$H$2:$I$50,2,FALSE),"")</f>
        <v/>
      </c>
      <c r="G21" s="128" t="str">
        <f t="shared" si="5"/>
        <v/>
      </c>
      <c r="H21" s="128" t="str">
        <f t="shared" si="6"/>
        <v/>
      </c>
      <c r="I21" s="143"/>
      <c r="J21" s="143"/>
      <c r="K21" s="144"/>
      <c r="L21" s="129" t="str">
        <f t="shared" si="7"/>
        <v/>
      </c>
      <c r="M21" s="129" t="str">
        <f t="shared" si="0"/>
        <v/>
      </c>
      <c r="N21" s="129" t="str">
        <f t="shared" si="1"/>
        <v/>
      </c>
      <c r="O21" s="129" t="str">
        <f t="shared" si="2"/>
        <v/>
      </c>
      <c r="P21" s="145"/>
      <c r="BA21" s="78"/>
      <c r="BB21" s="132" t="s">
        <v>3379</v>
      </c>
      <c r="BC21" s="133"/>
      <c r="BD21" s="132" t="str">
        <f>IF(OR(B21="",BC21=""),"",COUNTIF(BC$7:BC21,"√"))</f>
        <v/>
      </c>
      <c r="BE21" s="134" t="str">
        <f t="shared" si="3"/>
        <v/>
      </c>
      <c r="BF21" s="135" t="str">
        <f t="shared" si="8"/>
        <v/>
      </c>
      <c r="BG21" s="135" t="str">
        <f t="shared" si="8"/>
        <v/>
      </c>
      <c r="BH21" s="136"/>
      <c r="BI21" s="136"/>
      <c r="BJ21" s="136"/>
      <c r="BK21" s="136"/>
      <c r="BL21" s="136"/>
      <c r="BM21" s="137"/>
      <c r="BN21" s="137"/>
      <c r="BP21" s="134" t="str">
        <f>IF(COUNTIF(BP$6:BP20,D21)&gt;0,"",D21)&amp;""</f>
        <v/>
      </c>
      <c r="BQ21" s="138">
        <f t="shared" si="9"/>
        <v>0</v>
      </c>
      <c r="BR21" s="132">
        <f t="shared" si="10"/>
        <v>1</v>
      </c>
      <c r="BS21" s="138">
        <f t="shared" si="11"/>
        <v>0</v>
      </c>
      <c r="BT21" s="132">
        <f t="shared" si="12"/>
        <v>1</v>
      </c>
      <c r="BU21" s="133"/>
      <c r="BV21" s="133"/>
    </row>
    <row r="22" ht="15" customHeight="1" spans="1:75">
      <c r="A22" s="123" t="str">
        <f>IF(B22="","",COUNT(A$6:A21)+1)</f>
        <v/>
      </c>
      <c r="B22" s="139"/>
      <c r="C22" s="140"/>
      <c r="D22" s="139"/>
      <c r="E22" s="142"/>
      <c r="F22" s="127" t="str">
        <f>IFERROR(VLOOKUP(E22,参数表!$H$2:$I$50,2,FALSE),"")</f>
        <v/>
      </c>
      <c r="G22" s="128" t="str">
        <f t="shared" si="5"/>
        <v/>
      </c>
      <c r="H22" s="128" t="str">
        <f t="shared" si="6"/>
        <v/>
      </c>
      <c r="I22" s="143"/>
      <c r="J22" s="143"/>
      <c r="K22" s="144"/>
      <c r="L22" s="129" t="str">
        <f t="shared" si="7"/>
        <v/>
      </c>
      <c r="M22" s="129" t="str">
        <f t="shared" si="0"/>
        <v/>
      </c>
      <c r="N22" s="129" t="str">
        <f t="shared" si="1"/>
        <v/>
      </c>
      <c r="O22" s="129" t="str">
        <f t="shared" si="2"/>
        <v/>
      </c>
      <c r="P22" s="145"/>
      <c r="BA22" s="78"/>
      <c r="BB22" s="132" t="s">
        <v>3380</v>
      </c>
      <c r="BC22" s="133"/>
      <c r="BD22" s="132" t="str">
        <f>IF(OR(B22="",BC22=""),"",COUNTIF(BC$7:BC22,"√"))</f>
        <v/>
      </c>
      <c r="BE22" s="134" t="str">
        <f t="shared" si="3"/>
        <v/>
      </c>
      <c r="BF22" s="135" t="str">
        <f t="shared" si="8"/>
        <v/>
      </c>
      <c r="BG22" s="135" t="str">
        <f t="shared" si="8"/>
        <v/>
      </c>
      <c r="BH22" s="136"/>
      <c r="BI22" s="136"/>
      <c r="BJ22" s="136"/>
      <c r="BK22" s="136"/>
      <c r="BL22" s="136"/>
      <c r="BM22" s="137"/>
      <c r="BN22" s="137"/>
      <c r="BP22" s="134" t="str">
        <f>IF(COUNTIF(BP$6:BP21,D22)&gt;0,"",D22)&amp;""</f>
        <v/>
      </c>
      <c r="BQ22" s="138">
        <f t="shared" si="9"/>
        <v>0</v>
      </c>
      <c r="BR22" s="132">
        <f t="shared" si="10"/>
        <v>1</v>
      </c>
      <c r="BS22" s="138">
        <f t="shared" si="11"/>
        <v>0</v>
      </c>
      <c r="BT22" s="132">
        <f t="shared" si="12"/>
        <v>1</v>
      </c>
      <c r="BU22" s="133"/>
      <c r="BV22" s="133"/>
    </row>
    <row r="23" ht="15" customHeight="1" spans="1:75">
      <c r="A23" s="123" t="str">
        <f>IF(B23="","",COUNT(A$6:A22)+1)</f>
        <v/>
      </c>
      <c r="B23" s="139"/>
      <c r="C23" s="140"/>
      <c r="D23" s="139"/>
      <c r="E23" s="142"/>
      <c r="F23" s="127" t="str">
        <f>IFERROR(VLOOKUP(E23,参数表!$H$2:$I$50,2,FALSE),"")</f>
        <v/>
      </c>
      <c r="G23" s="128" t="str">
        <f t="shared" si="5"/>
        <v/>
      </c>
      <c r="H23" s="128" t="str">
        <f t="shared" si="6"/>
        <v/>
      </c>
      <c r="I23" s="143"/>
      <c r="J23" s="143"/>
      <c r="K23" s="144"/>
      <c r="L23" s="129" t="str">
        <f t="shared" si="7"/>
        <v/>
      </c>
      <c r="M23" s="129" t="str">
        <f t="shared" si="0"/>
        <v/>
      </c>
      <c r="N23" s="129" t="str">
        <f t="shared" si="1"/>
        <v/>
      </c>
      <c r="O23" s="129" t="str">
        <f t="shared" si="2"/>
        <v/>
      </c>
      <c r="P23" s="145"/>
      <c r="BA23" s="78"/>
      <c r="BB23" s="132" t="s">
        <v>3381</v>
      </c>
      <c r="BC23" s="133"/>
      <c r="BD23" s="132" t="str">
        <f>IF(OR(B23="",BC23=""),"",COUNTIF(BC$7:BC23,"√"))</f>
        <v/>
      </c>
      <c r="BE23" s="134" t="str">
        <f t="shared" si="3"/>
        <v/>
      </c>
      <c r="BF23" s="135" t="str">
        <f t="shared" si="8"/>
        <v/>
      </c>
      <c r="BG23" s="135" t="str">
        <f t="shared" si="8"/>
        <v/>
      </c>
      <c r="BH23" s="136"/>
      <c r="BI23" s="136"/>
      <c r="BJ23" s="136"/>
      <c r="BK23" s="136"/>
      <c r="BL23" s="136"/>
      <c r="BM23" s="137"/>
      <c r="BN23" s="137"/>
      <c r="BP23" s="134" t="str">
        <f>IF(COUNTIF(BP$6:BP22,D23)&gt;0,"",D23)&amp;""</f>
        <v/>
      </c>
      <c r="BQ23" s="138">
        <f t="shared" si="9"/>
        <v>0</v>
      </c>
      <c r="BR23" s="132">
        <f t="shared" si="10"/>
        <v>1</v>
      </c>
      <c r="BS23" s="138">
        <f t="shared" si="11"/>
        <v>0</v>
      </c>
      <c r="BT23" s="132">
        <f t="shared" si="12"/>
        <v>1</v>
      </c>
      <c r="BU23" s="133"/>
      <c r="BV23" s="133"/>
    </row>
    <row r="24" ht="15" customHeight="1" spans="1:75">
      <c r="A24" s="123" t="str">
        <f>IF(B24="","",COUNT(A$6:A23)+1)</f>
        <v/>
      </c>
      <c r="B24" s="139"/>
      <c r="C24" s="140"/>
      <c r="D24" s="139"/>
      <c r="E24" s="142"/>
      <c r="F24" s="127" t="str">
        <f>IFERROR(VLOOKUP(E24,参数表!$H$2:$I$50,2,FALSE),"")</f>
        <v/>
      </c>
      <c r="G24" s="128" t="str">
        <f t="shared" si="5"/>
        <v/>
      </c>
      <c r="H24" s="128" t="str">
        <f t="shared" si="6"/>
        <v/>
      </c>
      <c r="I24" s="143"/>
      <c r="J24" s="143"/>
      <c r="K24" s="144"/>
      <c r="L24" s="129" t="str">
        <f t="shared" si="7"/>
        <v/>
      </c>
      <c r="M24" s="129" t="str">
        <f t="shared" si="0"/>
        <v/>
      </c>
      <c r="N24" s="129" t="str">
        <f t="shared" si="1"/>
        <v/>
      </c>
      <c r="O24" s="129" t="str">
        <f t="shared" si="2"/>
        <v/>
      </c>
      <c r="P24" s="145"/>
      <c r="BA24" s="78"/>
      <c r="BB24" s="132" t="s">
        <v>3382</v>
      </c>
      <c r="BC24" s="133"/>
      <c r="BD24" s="132" t="str">
        <f>IF(OR(B24="",BC24=""),"",COUNTIF(BC$7:BC24,"√"))</f>
        <v/>
      </c>
      <c r="BE24" s="134" t="str">
        <f t="shared" si="3"/>
        <v/>
      </c>
      <c r="BF24" s="135" t="str">
        <f t="shared" si="8"/>
        <v/>
      </c>
      <c r="BG24" s="135" t="str">
        <f t="shared" si="8"/>
        <v/>
      </c>
      <c r="BH24" s="136"/>
      <c r="BI24" s="136"/>
      <c r="BJ24" s="136"/>
      <c r="BK24" s="136"/>
      <c r="BL24" s="136"/>
      <c r="BM24" s="137"/>
      <c r="BN24" s="137"/>
      <c r="BP24" s="134" t="str">
        <f>IF(COUNTIF(BP$6:BP23,D24)&gt;0,"",D24)&amp;""</f>
        <v/>
      </c>
      <c r="BQ24" s="138">
        <f t="shared" si="9"/>
        <v>0</v>
      </c>
      <c r="BR24" s="132">
        <f t="shared" si="10"/>
        <v>1</v>
      </c>
      <c r="BS24" s="138">
        <f t="shared" si="11"/>
        <v>0</v>
      </c>
      <c r="BT24" s="132">
        <f t="shared" si="12"/>
        <v>1</v>
      </c>
      <c r="BU24" s="133"/>
      <c r="BV24" s="133"/>
    </row>
    <row r="25" ht="15" customHeight="1" spans="1:75">
      <c r="A25" s="123" t="str">
        <f>IF(B25="","",COUNT(A$6:A24)+1)</f>
        <v/>
      </c>
      <c r="B25" s="139"/>
      <c r="C25" s="140"/>
      <c r="D25" s="139"/>
      <c r="E25" s="142"/>
      <c r="F25" s="127" t="str">
        <f>IFERROR(VLOOKUP(E25,参数表!$H$2:$I$50,2,FALSE),"")</f>
        <v/>
      </c>
      <c r="G25" s="128" t="str">
        <f t="shared" si="5"/>
        <v/>
      </c>
      <c r="H25" s="128" t="str">
        <f t="shared" si="6"/>
        <v/>
      </c>
      <c r="I25" s="143"/>
      <c r="J25" s="143"/>
      <c r="K25" s="144"/>
      <c r="L25" s="129" t="str">
        <f t="shared" si="7"/>
        <v/>
      </c>
      <c r="M25" s="129" t="str">
        <f t="shared" si="0"/>
        <v/>
      </c>
      <c r="N25" s="129" t="str">
        <f t="shared" si="1"/>
        <v/>
      </c>
      <c r="O25" s="129" t="str">
        <f t="shared" si="2"/>
        <v/>
      </c>
      <c r="P25" s="145"/>
      <c r="BA25" s="78"/>
      <c r="BB25" s="132" t="s">
        <v>3383</v>
      </c>
      <c r="BC25" s="133"/>
      <c r="BD25" s="132" t="str">
        <f>IF(OR(B25="",BC25=""),"",COUNTIF(BC$7:BC25,"√"))</f>
        <v/>
      </c>
      <c r="BE25" s="134" t="str">
        <f t="shared" si="3"/>
        <v/>
      </c>
      <c r="BF25" s="135" t="str">
        <f t="shared" si="8"/>
        <v/>
      </c>
      <c r="BG25" s="135" t="str">
        <f t="shared" si="8"/>
        <v/>
      </c>
      <c r="BH25" s="136"/>
      <c r="BI25" s="136"/>
      <c r="BJ25" s="136"/>
      <c r="BK25" s="136"/>
      <c r="BL25" s="136"/>
      <c r="BM25" s="137"/>
      <c r="BN25" s="137"/>
      <c r="BP25" s="134" t="str">
        <f>IF(COUNTIF(BP$6:BP24,D25)&gt;0,"",D25)&amp;""</f>
        <v/>
      </c>
      <c r="BQ25" s="138">
        <f t="shared" si="9"/>
        <v>0</v>
      </c>
      <c r="BR25" s="132">
        <f t="shared" si="10"/>
        <v>1</v>
      </c>
      <c r="BS25" s="138">
        <f t="shared" si="11"/>
        <v>0</v>
      </c>
      <c r="BT25" s="132">
        <f t="shared" si="12"/>
        <v>1</v>
      </c>
      <c r="BU25" s="133"/>
      <c r="BV25" s="133"/>
    </row>
    <row r="26" ht="15" customHeight="1" spans="1:75">
      <c r="A26" s="123" t="str">
        <f>IF(B26="","",COUNT(A$6:A25)+1)</f>
        <v/>
      </c>
      <c r="B26" s="124"/>
      <c r="C26" s="125"/>
      <c r="D26" s="124"/>
      <c r="E26" s="127"/>
      <c r="F26" s="127" t="str">
        <f>IFERROR(VLOOKUP(E26,参数表!$H$2:$I$50,2,FALSE),"")</f>
        <v/>
      </c>
      <c r="G26" s="128" t="str">
        <f t="shared" si="5"/>
        <v/>
      </c>
      <c r="H26" s="128" t="str">
        <f t="shared" si="6"/>
        <v/>
      </c>
      <c r="I26" s="129"/>
      <c r="J26" s="129"/>
      <c r="K26" s="130"/>
      <c r="L26" s="129" t="str">
        <f t="shared" si="7"/>
        <v/>
      </c>
      <c r="M26" s="129" t="str">
        <f t="shared" si="0"/>
        <v/>
      </c>
      <c r="N26" s="129" t="str">
        <f t="shared" si="1"/>
        <v/>
      </c>
      <c r="O26" s="129" t="str">
        <f t="shared" si="2"/>
        <v/>
      </c>
      <c r="P26" s="131"/>
      <c r="BA26" s="78"/>
      <c r="BB26" s="132" t="s">
        <v>3384</v>
      </c>
      <c r="BC26" s="133"/>
      <c r="BD26" s="132" t="str">
        <f>IF(OR(B26="",BC26=""),"",COUNTIF(BC$7:BC26,"√"))</f>
        <v/>
      </c>
      <c r="BE26" s="134" t="str">
        <f t="shared" si="3"/>
        <v/>
      </c>
      <c r="BF26" s="135" t="str">
        <f t="shared" si="8"/>
        <v/>
      </c>
      <c r="BG26" s="135" t="str">
        <f t="shared" si="8"/>
        <v/>
      </c>
      <c r="BH26" s="136"/>
      <c r="BI26" s="136"/>
      <c r="BJ26" s="136"/>
      <c r="BK26" s="136"/>
      <c r="BL26" s="136"/>
      <c r="BM26" s="137"/>
      <c r="BN26" s="137"/>
      <c r="BP26" s="134" t="str">
        <f>IF(COUNTIF(BP$6:BP25,D26)&gt;0,"",D26)&amp;""</f>
        <v/>
      </c>
      <c r="BQ26" s="138">
        <f t="shared" si="9"/>
        <v>0</v>
      </c>
      <c r="BR26" s="132">
        <f t="shared" si="10"/>
        <v>1</v>
      </c>
      <c r="BS26" s="138">
        <f t="shared" si="11"/>
        <v>0</v>
      </c>
      <c r="BT26" s="132">
        <f t="shared" si="12"/>
        <v>1</v>
      </c>
      <c r="BU26" s="133"/>
      <c r="BV26" s="133"/>
    </row>
    <row r="27" s="73" customFormat="1" ht="15" customHeight="1" spans="1:75">
      <c r="A27" s="149" t="s">
        <v>1922</v>
      </c>
      <c r="B27" s="149"/>
      <c r="C27" s="150"/>
      <c r="D27" s="149"/>
      <c r="E27" s="149"/>
      <c r="F27" s="149"/>
      <c r="G27" s="149"/>
      <c r="H27" s="149"/>
      <c r="I27" s="152">
        <f>SUM(I7:I26)</f>
        <v>0</v>
      </c>
      <c r="J27" s="152">
        <f>SUM(J7:J26)</f>
        <v>0</v>
      </c>
      <c r="K27" s="153"/>
      <c r="L27" s="152">
        <f>SUM(L7:L26)</f>
        <v>0</v>
      </c>
      <c r="M27" s="152">
        <f>SUM(M7:M26)</f>
        <v>0</v>
      </c>
      <c r="N27" s="152">
        <f t="shared" si="1"/>
        <v>0</v>
      </c>
      <c r="O27" s="152" t="str">
        <f t="shared" si="2"/>
        <v/>
      </c>
      <c r="P27" s="151"/>
      <c r="BH27" s="72"/>
      <c r="BI27" s="72"/>
      <c r="BJ27" s="72"/>
      <c r="BK27" s="72"/>
      <c r="BL27" s="72"/>
      <c r="BO27" s="111"/>
      <c r="BP27" s="119"/>
      <c r="BQ27" s="77"/>
      <c r="BR27" s="77"/>
      <c r="BS27" s="77"/>
      <c r="BT27" s="119"/>
      <c r="BU27" s="119"/>
      <c r="BV27" s="119"/>
      <c r="BW27" s="111"/>
    </row>
    <row r="28" customHeight="1" spans="1:75">
      <c r="A28" s="102" t="str">
        <f>参数表!F$6</f>
        <v>产权持有单位填表人：贾广东</v>
      </c>
      <c r="B28" s="154"/>
      <c r="C28" s="154"/>
      <c r="D28" s="154"/>
      <c r="E28" s="154"/>
      <c r="F28" s="154"/>
      <c r="G28" s="154"/>
      <c r="H28" s="154"/>
      <c r="I28" s="154"/>
      <c r="J28" s="154"/>
      <c r="K28" s="104"/>
      <c r="L28" s="103"/>
      <c r="M28" s="103" t="str">
        <f>"评估人员："&amp;封面!$G$20</f>
        <v>评估人员：栗祥宁</v>
      </c>
      <c r="N28" s="103"/>
      <c r="O28" s="103"/>
      <c r="P28" s="103"/>
    </row>
    <row r="29" customHeight="1" spans="1:75">
      <c r="A29" s="102" t="str">
        <f>参数表!F$7</f>
        <v>填表日期：2025年9月20日</v>
      </c>
      <c r="B29" s="154"/>
      <c r="C29" s="154"/>
      <c r="D29" s="154"/>
      <c r="E29" s="154"/>
      <c r="F29" s="154"/>
      <c r="G29" s="154"/>
      <c r="H29" s="154"/>
      <c r="I29" s="154"/>
      <c r="J29" s="154"/>
      <c r="K29" s="104"/>
      <c r="L29" s="103"/>
      <c r="M29" s="103"/>
      <c r="N29" s="103"/>
      <c r="O29" s="103"/>
      <c r="P29" s="103"/>
    </row>
    <row r="30" hidden="1" customHeight="1" outlineLevel="1" spans="1:75">
      <c r="A30" s="157"/>
      <c r="B30" s="154" t="s">
        <v>1673</v>
      </c>
      <c r="C30" s="158"/>
      <c r="D30" s="158"/>
      <c r="E30" s="158"/>
      <c r="F30" s="158"/>
      <c r="G30" s="158"/>
      <c r="H30" s="158"/>
      <c r="I30" s="159">
        <f>SUMIF($BA7:$BA26,$BA30,I7:I26)</f>
        <v>0</v>
      </c>
      <c r="J30" s="159">
        <f>SUMIF($BA7:$BA26,$BA30,J7:J26)</f>
        <v>0</v>
      </c>
      <c r="K30" s="202"/>
      <c r="L30" s="159">
        <f>SUMIF($BA7:$BA26,$BA30,L7:L26)</f>
        <v>0</v>
      </c>
      <c r="M30" s="159">
        <f>SUMIF($BA7:$BA26,$BA30,M7:M26)</f>
        <v>0</v>
      </c>
      <c r="BA30" s="161" t="s">
        <v>1674</v>
      </c>
      <c r="BH30" s="95" t="s">
        <v>1675</v>
      </c>
      <c r="BI30" s="95" t="s">
        <v>1675</v>
      </c>
      <c r="BJ30" s="95" t="s">
        <v>1675</v>
      </c>
      <c r="BK30" s="95" t="s">
        <v>1674</v>
      </c>
      <c r="BL30" s="95" t="s">
        <v>1674</v>
      </c>
    </row>
    <row r="31" hidden="1" customHeight="1" outlineLevel="1" spans="1:75">
      <c r="A31" s="157"/>
      <c r="B31" s="154" t="s">
        <v>1676</v>
      </c>
      <c r="C31" s="158"/>
      <c r="D31" s="158"/>
      <c r="E31" s="158"/>
      <c r="F31" s="158"/>
      <c r="G31" s="158"/>
      <c r="H31" s="158"/>
      <c r="I31" s="159">
        <f>I27-I30</f>
        <v>0</v>
      </c>
      <c r="J31" s="159">
        <f>J27-J30</f>
        <v>0</v>
      </c>
      <c r="K31" s="202"/>
      <c r="L31" s="159">
        <f>L27-L30</f>
        <v>0</v>
      </c>
      <c r="M31" s="159">
        <f>M27-M30</f>
        <v>0</v>
      </c>
      <c r="BA31" s="161" t="s">
        <v>1677</v>
      </c>
      <c r="BH31" s="95" t="s">
        <v>1678</v>
      </c>
      <c r="BI31" s="95" t="s">
        <v>1678</v>
      </c>
      <c r="BJ31" s="95" t="s">
        <v>1678</v>
      </c>
      <c r="BK31" s="95" t="s">
        <v>1677</v>
      </c>
      <c r="BL31" s="95" t="s">
        <v>1677</v>
      </c>
    </row>
    <row r="32" customHeight="1" collapsed="1" spans="1:75">
      <c r="A32" s="157"/>
      <c r="B32" s="158"/>
      <c r="C32" s="158"/>
      <c r="D32" s="158"/>
      <c r="E32" s="158"/>
      <c r="F32" s="158"/>
      <c r="G32" s="158"/>
      <c r="H32" s="158"/>
      <c r="I32" s="158"/>
      <c r="J32" s="158"/>
    </row>
    <row r="33" customHeight="1" spans="1:10">
      <c r="A33" s="157"/>
      <c r="B33" s="158"/>
      <c r="C33" s="158"/>
      <c r="D33" s="158"/>
      <c r="E33" s="158"/>
      <c r="F33" s="158"/>
      <c r="G33" s="158"/>
      <c r="H33" s="158"/>
      <c r="I33" s="158"/>
      <c r="J33" s="158"/>
    </row>
    <row r="34" customHeight="1" spans="1:10">
      <c r="A34" s="157"/>
      <c r="B34" s="158"/>
      <c r="C34" s="158"/>
      <c r="D34" s="158"/>
      <c r="E34" s="158"/>
      <c r="F34" s="158"/>
      <c r="G34" s="158"/>
      <c r="H34" s="158"/>
      <c r="I34" s="158"/>
      <c r="J34" s="158"/>
    </row>
    <row r="35" customHeight="1" spans="1:10">
      <c r="A35" s="157"/>
      <c r="B35" s="158"/>
      <c r="C35" s="158"/>
      <c r="D35" s="158"/>
      <c r="E35" s="158"/>
      <c r="F35" s="158"/>
      <c r="G35" s="158"/>
      <c r="H35" s="158"/>
      <c r="I35" s="158"/>
      <c r="J35" s="158"/>
    </row>
    <row r="36" customHeight="1" spans="1:10">
      <c r="A36" s="157"/>
      <c r="B36" s="158"/>
      <c r="C36" s="158"/>
      <c r="D36" s="158"/>
      <c r="E36" s="158"/>
      <c r="F36" s="158"/>
      <c r="G36" s="158"/>
      <c r="H36" s="158"/>
      <c r="I36" s="158"/>
      <c r="J36" s="158"/>
    </row>
    <row r="37" customHeight="1" spans="1:10">
      <c r="A37" s="157"/>
      <c r="B37" s="158"/>
      <c r="C37" s="158"/>
      <c r="D37" s="158"/>
      <c r="E37" s="158"/>
      <c r="F37" s="158"/>
      <c r="G37" s="158"/>
      <c r="H37" s="158"/>
      <c r="I37" s="158"/>
      <c r="J37" s="158"/>
    </row>
  </sheetData>
  <sheetProtection autoFilter="0"/>
  <mergeCells count="6">
    <mergeCell ref="A2:P2"/>
    <mergeCell ref="A3:P3"/>
    <mergeCell ref="BU7:BW7"/>
    <mergeCell ref="BU8:BW8"/>
    <mergeCell ref="BV14:BW14"/>
    <mergeCell ref="A27:B27"/>
  </mergeCells>
  <conditionalFormatting sqref="BM7:BM26">
    <cfRule type="expression" dxfId="5" priority="5"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6" stopIfTrue="1">
      <formula>AND($B7&lt;&gt;"",BH7="")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0:BA31">
      <formula1>"是,否"</formula1>
    </dataValidation>
    <dataValidation type="list" allowBlank="1" showInputMessage="1" showErrorMessage="1" sqref="BC7:BC26">
      <formula1>"  ,√"</formula1>
    </dataValidation>
    <dataValidation type="list" allowBlank="1" showInputMessage="1" showErrorMessage="1" sqref="BH7:BL26">
      <formula1>BH$30:BH$31</formula1>
    </dataValidation>
  </dataValidations>
  <hyperlinks>
    <hyperlink ref="A1" location="索引目录!D27" display="返回索引页"/>
    <hyperlink ref="B1" location="流动资产汇总表!B27"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B0F0"/>
  </sheetPr>
  <dimension ref="A1:BB42"/>
  <sheetViews>
    <sheetView workbookViewId="0">
      <pane xSplit="2" ySplit="6" topLeftCell="C7" activePane="bottomRight" state="frozen"/>
      <selection/>
      <selection pane="topRight"/>
      <selection pane="bottomLeft"/>
      <selection pane="bottomRight" activeCell="E45" sqref="E45"/>
    </sheetView>
  </sheetViews>
  <sheetFormatPr defaultColWidth="7" defaultRowHeight="18" customHeight="1"/>
  <cols>
    <col min="1" max="1" width="19.1" style="1800" customWidth="1"/>
    <col min="2" max="2" width="4.6" style="1801" customWidth="1"/>
    <col min="3" max="4" width="15.6" style="1802" customWidth="1"/>
    <col min="5" max="5" width="5.6" style="1800" customWidth="1"/>
    <col min="6" max="6" width="19.1" style="1800" customWidth="1"/>
    <col min="7" max="7" width="4.6" style="1801" customWidth="1"/>
    <col min="8" max="9" width="15.6" style="1802" customWidth="1"/>
    <col min="10" max="10" width="5.6" style="1800" customWidth="1"/>
    <col min="11" max="11" width="7" style="1800"/>
    <col min="12" max="52" width="7" style="1800" hidden="1" customWidth="1" outlineLevel="1"/>
    <col min="53" max="53" width="14.7" style="1800" customWidth="1" collapsed="1"/>
    <col min="54" max="16384" width="7" style="1800"/>
  </cols>
  <sheetData>
    <row r="1" s="1797" customFormat="1" customHeight="1" spans="1:54">
      <c r="A1" s="1803" t="s">
        <v>233</v>
      </c>
      <c r="B1" s="1804"/>
      <c r="C1" s="1804"/>
      <c r="D1" s="1804"/>
      <c r="E1" s="1804"/>
      <c r="F1" s="1804"/>
      <c r="G1" s="1804"/>
      <c r="H1" s="1804"/>
      <c r="I1" s="1804"/>
      <c r="J1" s="1804"/>
      <c r="BA1" s="1805" t="str">
        <f>参数表!BA1</f>
        <v>注意：补充特殊事项、作价等均从BA列开始填写</v>
      </c>
      <c r="BB1" s="1805"/>
    </row>
    <row r="2" s="1797" customFormat="1" customHeight="1" spans="1:54">
      <c r="A2" s="1806" t="s">
        <v>302</v>
      </c>
      <c r="B2" s="1806"/>
      <c r="C2" s="1806"/>
      <c r="D2" s="1806"/>
      <c r="E2" s="1806"/>
      <c r="F2" s="1806"/>
      <c r="G2" s="1806"/>
      <c r="H2" s="1806"/>
      <c r="I2" s="1806"/>
      <c r="J2" s="1806"/>
      <c r="BA2" s="1805" t="str">
        <f>参数表!BA2</f>
        <v>评估基准日：</v>
      </c>
      <c r="BB2" s="1805" t="str">
        <f>参数表!BB2</f>
        <v>2025年7月31日</v>
      </c>
    </row>
    <row r="3" s="1798" customFormat="1" ht="15" customHeight="1" spans="1:54">
      <c r="A3" s="1807" t="str">
        <f>参数表!F5</f>
        <v>评估基准日：2025年7月31日</v>
      </c>
      <c r="B3" s="1807"/>
      <c r="C3" s="1807"/>
      <c r="D3" s="1807"/>
      <c r="E3" s="1807"/>
      <c r="F3" s="1807"/>
      <c r="G3" s="1807"/>
      <c r="H3" s="1807"/>
      <c r="I3" s="1807"/>
      <c r="J3" s="1807"/>
      <c r="BA3" s="1808" t="str">
        <f>参数表!BA3</f>
        <v>是否显示评估值：</v>
      </c>
      <c r="BB3" s="1808" t="str">
        <f>参数表!BB3</f>
        <v>是</v>
      </c>
    </row>
    <row r="4" customHeight="1" spans="1:54">
      <c r="A4" s="1809" t="str">
        <f>"编制单位:"&amp;封面!F7</f>
        <v>编制单位:中煤第五建设有限公司</v>
      </c>
      <c r="B4" s="1809"/>
      <c r="C4" s="1809"/>
      <c r="D4" s="1810"/>
      <c r="E4" s="1811"/>
      <c r="F4" s="1812"/>
      <c r="G4" s="1813"/>
      <c r="H4" s="1810"/>
      <c r="I4" s="1810"/>
      <c r="J4" s="1814" t="s">
        <v>303</v>
      </c>
      <c r="BA4" s="1799"/>
    </row>
    <row r="5" s="1799" customFormat="1" customHeight="1" spans="1:54">
      <c r="A5" s="1815" t="s">
        <v>304</v>
      </c>
      <c r="B5" s="1815" t="s">
        <v>305</v>
      </c>
      <c r="C5" s="1815" t="s">
        <v>306</v>
      </c>
      <c r="D5" s="1815" t="s">
        <v>307</v>
      </c>
      <c r="E5" s="1815" t="s">
        <v>308</v>
      </c>
      <c r="F5" s="1815" t="s">
        <v>309</v>
      </c>
      <c r="G5" s="1815" t="s">
        <v>305</v>
      </c>
      <c r="H5" s="1815" t="s">
        <v>306</v>
      </c>
      <c r="I5" s="1815" t="s">
        <v>307</v>
      </c>
      <c r="J5" s="1815" t="s">
        <v>308</v>
      </c>
    </row>
    <row r="6" customHeight="1" spans="1:54">
      <c r="A6" s="1816" t="s">
        <v>310</v>
      </c>
      <c r="B6" s="1817">
        <f>IF(A6="","",SUBTOTAL(3,A$6:A6))</f>
        <v>1</v>
      </c>
      <c r="C6" s="1818"/>
      <c r="D6" s="1818"/>
      <c r="E6" s="1819"/>
      <c r="F6" s="1819" t="s">
        <v>311</v>
      </c>
      <c r="G6" s="1817">
        <f>IF(F6="","",SUBTOTAL(3,A$6:A$40,F$6:F6))</f>
        <v>32</v>
      </c>
      <c r="H6" s="1818"/>
      <c r="I6" s="1818"/>
      <c r="J6" s="1819"/>
    </row>
    <row r="7" customHeight="1" spans="1:54">
      <c r="A7" s="1820" t="str">
        <f>分类汇总!B8</f>
        <v>货币资金</v>
      </c>
      <c r="B7" s="1817">
        <f>IF(A7="","",SUBTOTAL(3,A$6:A7))</f>
        <v>2</v>
      </c>
      <c r="C7" s="1821"/>
      <c r="D7" s="1824"/>
      <c r="E7" s="1822"/>
      <c r="F7" s="1820" t="str">
        <f>分类汇总!B45</f>
        <v>短期借款</v>
      </c>
      <c r="G7" s="1817">
        <f>IF(F7="","",SUBTOTAL(3,A$6:A$40,F$6:F7))</f>
        <v>33</v>
      </c>
      <c r="H7" s="1821"/>
      <c r="I7" s="1821"/>
      <c r="J7" s="1822"/>
    </row>
    <row r="8" ht="36" spans="1:54">
      <c r="A8" s="1823" t="str">
        <f>分类汇总!B9</f>
        <v>以公允价值计量且其变动计入当期损益的金融资产</v>
      </c>
      <c r="B8" s="1817">
        <f>IF(A8="","",SUBTOTAL(3,A$6:A8))</f>
        <v>3</v>
      </c>
      <c r="C8" s="1821"/>
      <c r="D8" s="1824"/>
      <c r="E8" s="1822"/>
      <c r="F8" s="1823" t="str">
        <f>分类汇总!B46</f>
        <v>以公允价值计量其其变动计入当期损益的金融负债</v>
      </c>
      <c r="G8" s="1817">
        <f>IF(F8="","",SUBTOTAL(3,A$6:A$40,F$6:F8))</f>
        <v>34</v>
      </c>
      <c r="H8" s="1821"/>
      <c r="I8" s="1821"/>
      <c r="J8" s="1822"/>
    </row>
    <row r="9" customHeight="1" spans="1:54">
      <c r="A9" s="1820" t="str">
        <f>分类汇总!B11</f>
        <v>衍生金融资产</v>
      </c>
      <c r="B9" s="1817">
        <f>IF(A9="","",SUBTOTAL(3,A$6:A9))</f>
        <v>4</v>
      </c>
      <c r="C9" s="1821"/>
      <c r="D9" s="1824"/>
      <c r="E9" s="1822"/>
      <c r="F9" s="1820" t="str">
        <f>分类汇总!B48</f>
        <v>衍生金融负债</v>
      </c>
      <c r="G9" s="1817">
        <f>IF(F9="","",SUBTOTAL(3,A$6:A$40,F$6:F9))</f>
        <v>35</v>
      </c>
      <c r="H9" s="1821"/>
      <c r="I9" s="1821"/>
      <c r="J9" s="1822"/>
    </row>
    <row r="10" customHeight="1" spans="1:54">
      <c r="A10" s="1820" t="str">
        <f>分类汇总!B12</f>
        <v>应收票据</v>
      </c>
      <c r="B10" s="1817">
        <f>IF(A10="","",SUBTOTAL(3,A$6:A10))</f>
        <v>5</v>
      </c>
      <c r="C10" s="1821"/>
      <c r="D10" s="1824"/>
      <c r="E10" s="1822"/>
      <c r="F10" s="1820" t="str">
        <f>分类汇总!B49</f>
        <v>应付票据</v>
      </c>
      <c r="G10" s="1817">
        <f>IF(F10="","",SUBTOTAL(3,A$6:A$40,F$6:F10))</f>
        <v>36</v>
      </c>
      <c r="H10" s="1821"/>
      <c r="I10" s="1821"/>
      <c r="J10" s="1822"/>
    </row>
    <row r="11" customHeight="1" spans="1:54">
      <c r="A11" s="1820" t="str">
        <f>分类汇总!B13</f>
        <v>应收账款</v>
      </c>
      <c r="B11" s="1817">
        <f>IF(A11="","",SUBTOTAL(3,A$6:A11))</f>
        <v>6</v>
      </c>
      <c r="C11" s="1821"/>
      <c r="D11" s="1824"/>
      <c r="E11" s="1822"/>
      <c r="F11" s="1820" t="str">
        <f>分类汇总!B50</f>
        <v>应付账款</v>
      </c>
      <c r="G11" s="1817">
        <f>IF(F11="","",SUBTOTAL(3,A$6:A$40,F$6:F11))</f>
        <v>37</v>
      </c>
      <c r="H11" s="1821"/>
      <c r="I11" s="1821"/>
      <c r="J11" s="1822"/>
    </row>
    <row r="12" customHeight="1" spans="1:54">
      <c r="A12" s="1820" t="str">
        <f>分类汇总!B15</f>
        <v>预付账款</v>
      </c>
      <c r="B12" s="1817">
        <f>IF(A12="","",SUBTOTAL(3,A$6:A12))</f>
        <v>7</v>
      </c>
      <c r="C12" s="1821"/>
      <c r="D12" s="1824"/>
      <c r="E12" s="1822"/>
      <c r="F12" s="1820" t="str">
        <f>分类汇总!B51</f>
        <v>预收款项</v>
      </c>
      <c r="G12" s="1817">
        <f>IF(F12="","",SUBTOTAL(3,A$6:A$40,F$6:F12))</f>
        <v>38</v>
      </c>
      <c r="H12" s="1821"/>
      <c r="I12" s="1821"/>
      <c r="J12" s="1822"/>
    </row>
    <row r="13" customHeight="1" spans="1:54">
      <c r="A13" s="1820" t="str">
        <f>分类汇总!B16</f>
        <v>其他应收款</v>
      </c>
      <c r="B13" s="1817">
        <f>IF(A13="","",SUBTOTAL(3,A$6:A13))</f>
        <v>8</v>
      </c>
      <c r="C13" s="1821"/>
      <c r="D13" s="1824"/>
      <c r="E13" s="1822"/>
      <c r="F13" s="1820" t="str">
        <f>分类汇总!B53</f>
        <v>应付职工薪酬</v>
      </c>
      <c r="G13" s="1817">
        <f>IF(F13="","",SUBTOTAL(3,A$6:A$40,F$6:F13))</f>
        <v>39</v>
      </c>
      <c r="H13" s="1821"/>
      <c r="I13" s="1821"/>
      <c r="J13" s="1822"/>
    </row>
    <row r="14" customHeight="1" spans="1:54">
      <c r="A14" s="1820" t="str">
        <f>分类汇总!B17</f>
        <v>存货</v>
      </c>
      <c r="B14" s="1817">
        <f>IF(A14="","",SUBTOTAL(3,A$6:A14))</f>
        <v>9</v>
      </c>
      <c r="C14" s="1824"/>
      <c r="D14" s="1824"/>
      <c r="E14" s="1822"/>
      <c r="F14" s="1820" t="str">
        <f>分类汇总!B54</f>
        <v>应交税费</v>
      </c>
      <c r="G14" s="1817">
        <f>IF(F14="","",SUBTOTAL(3,A$6:A$40,F$6:F14))</f>
        <v>40</v>
      </c>
      <c r="H14" s="1821"/>
      <c r="I14" s="1821"/>
      <c r="J14" s="1822"/>
    </row>
    <row r="15" customHeight="1" spans="1:54">
      <c r="A15" s="1820" t="str">
        <f>分类汇总!B19</f>
        <v>持有待售资产</v>
      </c>
      <c r="B15" s="1817">
        <f>IF(A15="","",SUBTOTAL(3,A$6:A15))</f>
        <v>10</v>
      </c>
      <c r="C15" s="1824"/>
      <c r="D15" s="1824"/>
      <c r="E15" s="1822"/>
      <c r="F15" s="1820" t="str">
        <f>分类汇总!B55</f>
        <v>其他应付款</v>
      </c>
      <c r="G15" s="1817">
        <f>IF(F15="","",SUBTOTAL(3,A$6:A$40,F$6:F15))</f>
        <v>41</v>
      </c>
      <c r="H15" s="1821"/>
      <c r="I15" s="1821"/>
      <c r="J15" s="1822"/>
    </row>
    <row r="16" customHeight="1" spans="1:54">
      <c r="A16" s="1820" t="str">
        <f>分类汇总!B20</f>
        <v>一年内到期的非流动资产</v>
      </c>
      <c r="B16" s="1817">
        <f>IF(A16="","",SUBTOTAL(3,A$6:A16))</f>
        <v>11</v>
      </c>
      <c r="C16" s="1824"/>
      <c r="D16" s="1824"/>
      <c r="E16" s="1822"/>
      <c r="F16" s="1820" t="str">
        <f>分类汇总!B56</f>
        <v>持有待售负债</v>
      </c>
      <c r="G16" s="1817">
        <f>IF(F16="","",SUBTOTAL(3,A$6:A$40,F$6:F16))</f>
        <v>42</v>
      </c>
      <c r="H16" s="1821"/>
      <c r="I16" s="1821"/>
      <c r="J16" s="1822"/>
    </row>
    <row r="17" customHeight="1" spans="1:10">
      <c r="A17" s="1820" t="str">
        <f>分类汇总!B21</f>
        <v>其他流动资产</v>
      </c>
      <c r="B17" s="1817">
        <f>IF(A17="","",SUBTOTAL(3,A$6:A17))</f>
        <v>12</v>
      </c>
      <c r="C17" s="1824"/>
      <c r="D17" s="1824"/>
      <c r="E17" s="1822"/>
      <c r="F17" s="1820" t="str">
        <f>分类汇总!B57</f>
        <v>一年内到期的非流动负债</v>
      </c>
      <c r="G17" s="1817">
        <f>IF(F17="","",SUBTOTAL(3,A$6:A$40,F$6:F17))</f>
        <v>43</v>
      </c>
      <c r="H17" s="1821"/>
      <c r="I17" s="1821"/>
      <c r="J17" s="1822"/>
    </row>
    <row r="18" customHeight="1" spans="1:10">
      <c r="A18" s="1820"/>
      <c r="B18" s="1817" t="str">
        <f>IF(A18="","",SUBTOTAL(3,A$6:A18))</f>
        <v/>
      </c>
      <c r="C18" s="1830"/>
      <c r="D18" s="1830"/>
      <c r="E18" s="1831"/>
      <c r="F18" s="1820" t="str">
        <f>分类汇总!B58</f>
        <v>其他流动负债</v>
      </c>
      <c r="G18" s="1817">
        <f>IF(F18="","",SUBTOTAL(3,A$6:A$40,F$6:F18))</f>
        <v>44</v>
      </c>
      <c r="H18" s="1821"/>
      <c r="I18" s="1821"/>
      <c r="J18" s="1822"/>
    </row>
    <row r="19" customHeight="1" spans="1:10">
      <c r="A19" s="1815" t="s">
        <v>312</v>
      </c>
      <c r="B19" s="1817">
        <f>IF(A19="","",SUBTOTAL(3,A$6:A19))</f>
        <v>13</v>
      </c>
      <c r="C19" s="1818">
        <f>SUM(C7:C18)</f>
        <v>0</v>
      </c>
      <c r="D19" s="1818">
        <f>SUM(D7:D18)</f>
        <v>0</v>
      </c>
      <c r="E19" s="1819"/>
      <c r="F19" s="1825" t="s">
        <v>313</v>
      </c>
      <c r="G19" s="1817">
        <f>IF(F19="","",SUBTOTAL(3,A$6:A$40,F$6:F19))</f>
        <v>45</v>
      </c>
      <c r="H19" s="1826">
        <f>SUM(H7:H18)</f>
        <v>0</v>
      </c>
      <c r="I19" s="1826">
        <f>SUM(I7:I18)</f>
        <v>0</v>
      </c>
      <c r="J19" s="1819"/>
    </row>
    <row r="20" customHeight="1" spans="1:10">
      <c r="A20" s="1820" t="s">
        <v>314</v>
      </c>
      <c r="B20" s="1817">
        <f>IF(A20="","",SUBTOTAL(3,A$6:A20))</f>
        <v>14</v>
      </c>
      <c r="C20" s="1826"/>
      <c r="D20" s="1826"/>
      <c r="E20" s="1819"/>
      <c r="F20" s="1819" t="s">
        <v>315</v>
      </c>
      <c r="G20" s="1817">
        <f>IF(F20="","",SUBTOTAL(3,A$6:A$40,F$6:F20))</f>
        <v>46</v>
      </c>
      <c r="H20" s="1826"/>
      <c r="I20" s="1826"/>
      <c r="J20" s="1819"/>
    </row>
    <row r="21" customHeight="1" spans="1:10">
      <c r="A21" s="1820" t="str">
        <f>分类汇总!B23</f>
        <v>可供出售金融资产</v>
      </c>
      <c r="B21" s="1817">
        <f>IF(A21="","",SUBTOTAL(3,A$6:A21))</f>
        <v>15</v>
      </c>
      <c r="C21" s="1824"/>
      <c r="D21" s="1824"/>
      <c r="E21" s="1822"/>
      <c r="F21" s="1820" t="str">
        <f>分类汇总!B60</f>
        <v>长期借款</v>
      </c>
      <c r="G21" s="1817">
        <f>IF(F21="","",SUBTOTAL(3,A$6:A$40,F$6:F21))</f>
        <v>47</v>
      </c>
      <c r="H21" s="1821"/>
      <c r="I21" s="1821"/>
      <c r="J21" s="1822"/>
    </row>
    <row r="22" customHeight="1" spans="1:10">
      <c r="A22" s="1820" t="str">
        <f>分类汇总!B24</f>
        <v>持有至到期投资</v>
      </c>
      <c r="B22" s="1817">
        <f>IF(A22="","",SUBTOTAL(3,A$6:A22))</f>
        <v>16</v>
      </c>
      <c r="C22" s="1824"/>
      <c r="D22" s="1824"/>
      <c r="E22" s="1822"/>
      <c r="F22" s="1820" t="str">
        <f>分类汇总!B61</f>
        <v>应付债券</v>
      </c>
      <c r="G22" s="1817">
        <f>IF(F22="","",SUBTOTAL(3,A$6:A$40,F$6:F22))</f>
        <v>48</v>
      </c>
      <c r="H22" s="1821"/>
      <c r="I22" s="1821"/>
      <c r="J22" s="1822"/>
    </row>
    <row r="23" customHeight="1" spans="1:10">
      <c r="A23" s="1820" t="str">
        <f>分类汇总!B27</f>
        <v>长期应收款</v>
      </c>
      <c r="B23" s="1817">
        <f>IF(A23="","",SUBTOTAL(3,A$6:A23))</f>
        <v>17</v>
      </c>
      <c r="C23" s="1824"/>
      <c r="D23" s="1824"/>
      <c r="E23" s="1822"/>
      <c r="F23" s="1820" t="str">
        <f>分类汇总!B63</f>
        <v>长期应付款</v>
      </c>
      <c r="G23" s="1817">
        <f>IF(F23="","",SUBTOTAL(3,A$6:A$40,F$6:F23))</f>
        <v>49</v>
      </c>
      <c r="H23" s="1821"/>
      <c r="I23" s="1821"/>
      <c r="J23" s="1822"/>
    </row>
    <row r="24" customHeight="1" spans="1:10">
      <c r="A24" s="1820" t="str">
        <f>分类汇总!B28</f>
        <v>长期股权投资</v>
      </c>
      <c r="B24" s="1817">
        <f>IF(A24="","",SUBTOTAL(3,A$6:A24))</f>
        <v>18</v>
      </c>
      <c r="C24" s="1824"/>
      <c r="D24" s="1824"/>
      <c r="E24" s="1822"/>
      <c r="F24" s="1820" t="str">
        <f>分类汇总!B64</f>
        <v>预计负债</v>
      </c>
      <c r="G24" s="1817">
        <f>IF(F24="","",SUBTOTAL(3,A$6:A$40,F$6:F24))</f>
        <v>50</v>
      </c>
      <c r="H24" s="1821"/>
      <c r="I24" s="1821"/>
      <c r="J24" s="1822"/>
    </row>
    <row r="25" customHeight="1" spans="1:10">
      <c r="A25" s="1820" t="str">
        <f>分类汇总!B31</f>
        <v>投资性房地产</v>
      </c>
      <c r="B25" s="1817">
        <f>IF(A25="","",SUBTOTAL(3,A$6:A25))</f>
        <v>19</v>
      </c>
      <c r="C25" s="1824"/>
      <c r="D25" s="1824"/>
      <c r="E25" s="1822"/>
      <c r="F25" s="1820" t="str">
        <f>分类汇总!B65</f>
        <v>递延收益</v>
      </c>
      <c r="G25" s="1817">
        <f>IF(F25="","",SUBTOTAL(3,A$6:A$40,F$6:F25))</f>
        <v>51</v>
      </c>
      <c r="H25" s="1821"/>
      <c r="I25" s="1821"/>
      <c r="J25" s="1822"/>
    </row>
    <row r="26" customHeight="1" spans="1:10">
      <c r="A26" s="1820" t="str">
        <f>分类汇总!B32</f>
        <v>固定资产</v>
      </c>
      <c r="B26" s="1817">
        <f>IF(A26="","",SUBTOTAL(3,A$6:A26))</f>
        <v>20</v>
      </c>
      <c r="C26" s="1824"/>
      <c r="D26" s="1824"/>
      <c r="E26" s="1822"/>
      <c r="F26" s="1820" t="str">
        <f>分类汇总!B66</f>
        <v>递延所得税负债</v>
      </c>
      <c r="G26" s="1817">
        <f>IF(F26="","",SUBTOTAL(3,A$6:A$40,F$6:F26))</f>
        <v>52</v>
      </c>
      <c r="H26" s="1821"/>
      <c r="I26" s="1821"/>
      <c r="J26" s="1822"/>
    </row>
    <row r="27" customHeight="1" spans="1:10">
      <c r="A27" s="1820" t="str">
        <f>分类汇总!B33</f>
        <v>在建工程</v>
      </c>
      <c r="B27" s="1817">
        <f>IF(A27="","",SUBTOTAL(3,A$6:A27))</f>
        <v>21</v>
      </c>
      <c r="C27" s="1824"/>
      <c r="D27" s="1824"/>
      <c r="E27" s="1822"/>
      <c r="F27" s="1820" t="str">
        <f>分类汇总!B67</f>
        <v>其他非流动负债</v>
      </c>
      <c r="G27" s="1817">
        <f>IF(F27="","",SUBTOTAL(3,A$6:A$40,F$6:F27))</f>
        <v>53</v>
      </c>
      <c r="H27" s="1821"/>
      <c r="I27" s="1821"/>
      <c r="J27" s="1822"/>
    </row>
    <row r="28" customHeight="1" spans="1:10">
      <c r="A28" s="1820" t="str">
        <f>分类汇总!B34</f>
        <v>生产性生物资产</v>
      </c>
      <c r="B28" s="1817">
        <f>IF(A28="","",SUBTOTAL(3,A$6:A28))</f>
        <v>22</v>
      </c>
      <c r="C28" s="1824"/>
      <c r="D28" s="1824"/>
      <c r="E28" s="1822"/>
      <c r="F28" s="1825" t="s">
        <v>316</v>
      </c>
      <c r="G28" s="1817">
        <f>IF(F28="","",SUBTOTAL(3,A$6:A$40,F$6:F28))</f>
        <v>54</v>
      </c>
      <c r="H28" s="1826">
        <f>SUM(H21:H27)</f>
        <v>0</v>
      </c>
      <c r="I28" s="1826">
        <f>SUM(I21:I27)</f>
        <v>0</v>
      </c>
      <c r="J28" s="1819"/>
    </row>
    <row r="29" customHeight="1" spans="1:10">
      <c r="A29" s="1820" t="str">
        <f>分类汇总!B35</f>
        <v>油气资产</v>
      </c>
      <c r="B29" s="1817">
        <f>IF(A29="","",SUBTOTAL(3,A$6:A29))</f>
        <v>23</v>
      </c>
      <c r="C29" s="1824"/>
      <c r="D29" s="1824"/>
      <c r="E29" s="1822"/>
      <c r="F29" s="1825" t="s">
        <v>317</v>
      </c>
      <c r="G29" s="1817">
        <f>IF(F29="","",SUBTOTAL(3,A$6:A$40,F$6:F29))</f>
        <v>55</v>
      </c>
      <c r="H29" s="1827">
        <f>H19+H28</f>
        <v>0</v>
      </c>
      <c r="I29" s="1827">
        <f>I19+I28</f>
        <v>0</v>
      </c>
      <c r="J29" s="1819"/>
    </row>
    <row r="30" customHeight="1" spans="1:10">
      <c r="A30" s="1820" t="str">
        <f>分类汇总!B37</f>
        <v>无形资产</v>
      </c>
      <c r="B30" s="1817">
        <f>IF(A30="","",SUBTOTAL(3,A$6:A30))</f>
        <v>24</v>
      </c>
      <c r="C30" s="1824"/>
      <c r="D30" s="1824"/>
      <c r="E30" s="1822"/>
      <c r="F30" s="1819" t="s">
        <v>318</v>
      </c>
      <c r="G30" s="1817">
        <f>IF(F30="","",SUBTOTAL(3,A$6:A$40,F$6:F30))</f>
        <v>56</v>
      </c>
      <c r="H30" s="1824"/>
      <c r="I30" s="1824"/>
      <c r="J30" s="1828"/>
    </row>
    <row r="31" customHeight="1" spans="1:10">
      <c r="A31" s="1820" t="str">
        <f>分类汇总!B38</f>
        <v>开发支出</v>
      </c>
      <c r="B31" s="1817">
        <f>IF(A31="","",SUBTOTAL(3,A$6:A31))</f>
        <v>25</v>
      </c>
      <c r="C31" s="1824"/>
      <c r="D31" s="1824"/>
      <c r="E31" s="1822"/>
      <c r="F31" s="1820" t="s">
        <v>319</v>
      </c>
      <c r="G31" s="1817">
        <f>IF(F31="","",SUBTOTAL(3,A$6:A$40,F$6:F31))</f>
        <v>57</v>
      </c>
      <c r="H31" s="1821"/>
      <c r="I31" s="1821"/>
      <c r="J31" s="1822"/>
    </row>
    <row r="32" customHeight="1" spans="1:10">
      <c r="A32" s="1820" t="str">
        <f>分类汇总!B39</f>
        <v>商誉</v>
      </c>
      <c r="B32" s="1817">
        <f>IF(A32="","",SUBTOTAL(3,A$6:A32))</f>
        <v>26</v>
      </c>
      <c r="C32" s="1824"/>
      <c r="D32" s="1824"/>
      <c r="E32" s="1822"/>
      <c r="F32" s="1820" t="s">
        <v>320</v>
      </c>
      <c r="G32" s="1817">
        <f>IF(F32="","",SUBTOTAL(3,A$6:A$40,F$6:F32))</f>
        <v>58</v>
      </c>
      <c r="H32" s="1821"/>
      <c r="I32" s="1821"/>
      <c r="J32" s="1822"/>
    </row>
    <row r="33" customHeight="1" spans="1:10">
      <c r="A33" s="1820" t="str">
        <f>分类汇总!B40</f>
        <v>长期待摊费用</v>
      </c>
      <c r="B33" s="1817">
        <f>IF(A33="","",SUBTOTAL(3,A$6:A33))</f>
        <v>27</v>
      </c>
      <c r="C33" s="1824"/>
      <c r="D33" s="1824"/>
      <c r="E33" s="1822"/>
      <c r="F33" s="1820" t="s">
        <v>321</v>
      </c>
      <c r="G33" s="1817">
        <f>IF(F33="","",SUBTOTAL(3,A$6:A$40,F$6:F33))</f>
        <v>59</v>
      </c>
      <c r="H33" s="1829"/>
      <c r="I33" s="1829"/>
      <c r="J33" s="1822"/>
    </row>
    <row r="34" customHeight="1" spans="1:10">
      <c r="A34" s="1820" t="str">
        <f>分类汇总!B41</f>
        <v>递延所得税资产</v>
      </c>
      <c r="B34" s="1817">
        <f>IF(A34="","",SUBTOTAL(3,A$6:A34))</f>
        <v>28</v>
      </c>
      <c r="C34" s="1824"/>
      <c r="D34" s="1824"/>
      <c r="E34" s="1822"/>
      <c r="F34" s="1820" t="s">
        <v>322</v>
      </c>
      <c r="G34" s="1817">
        <f>IF(F34="","",SUBTOTAL(3,A$6:A$40,F$6:F34))</f>
        <v>60</v>
      </c>
      <c r="H34" s="1824"/>
      <c r="I34" s="1824"/>
      <c r="J34" s="1822"/>
    </row>
    <row r="35" customHeight="1" spans="1:10">
      <c r="A35" s="1820" t="str">
        <f>分类汇总!B42</f>
        <v>其他非流动资产</v>
      </c>
      <c r="B35" s="1817">
        <f>IF(A35="","",SUBTOTAL(3,A$6:A35))</f>
        <v>29</v>
      </c>
      <c r="C35" s="1824"/>
      <c r="D35" s="1824"/>
      <c r="E35" s="1822"/>
      <c r="F35" s="1820" t="s">
        <v>323</v>
      </c>
      <c r="G35" s="1817">
        <f>IF(F35="","",SUBTOTAL(3,A$6:A$40,F$6:F35))</f>
        <v>61</v>
      </c>
      <c r="H35" s="1821"/>
      <c r="I35" s="1821"/>
      <c r="J35" s="1822"/>
    </row>
    <row r="36" customHeight="1" spans="1:10">
      <c r="A36" s="1820"/>
      <c r="B36" s="1817" t="str">
        <f>IF(A36="","",SUBTOTAL(3,A$6:A36))</f>
        <v/>
      </c>
      <c r="C36" s="1830"/>
      <c r="D36" s="1830"/>
      <c r="E36" s="1831"/>
      <c r="F36" s="1820" t="s">
        <v>324</v>
      </c>
      <c r="G36" s="1817">
        <f>IF(F36="","",SUBTOTAL(3,A$6:A$40,F$6:F36))</f>
        <v>62</v>
      </c>
      <c r="H36" s="1821"/>
      <c r="I36" s="1821"/>
      <c r="J36" s="1822"/>
    </row>
    <row r="37" customHeight="1" spans="1:10">
      <c r="A37" s="1820"/>
      <c r="B37" s="1817" t="str">
        <f>IF(A37="","",SUBTOTAL(3,A$6:A37))</f>
        <v/>
      </c>
      <c r="C37" s="1830"/>
      <c r="D37" s="1830"/>
      <c r="E37" s="1831"/>
      <c r="F37" s="1820" t="s">
        <v>325</v>
      </c>
      <c r="G37" s="1817">
        <f>IF(F37="","",SUBTOTAL(3,A$6:A$40,F$6:F37))</f>
        <v>63</v>
      </c>
      <c r="H37" s="1821"/>
      <c r="I37" s="1821"/>
      <c r="J37" s="1822"/>
    </row>
    <row r="38" customHeight="1" spans="1:10">
      <c r="A38" s="1820"/>
      <c r="B38" s="1817" t="str">
        <f>IF(A38="","",SUBTOTAL(3,A$6:A38))</f>
        <v/>
      </c>
      <c r="C38" s="1830"/>
      <c r="D38" s="1830"/>
      <c r="E38" s="1831"/>
      <c r="F38" s="1820" t="s">
        <v>326</v>
      </c>
      <c r="G38" s="1817">
        <f>IF(F38="","",SUBTOTAL(3,A$6:A$40,F$6:F38))</f>
        <v>64</v>
      </c>
      <c r="H38" s="1821"/>
      <c r="I38" s="1821"/>
      <c r="J38" s="1822"/>
    </row>
    <row r="39" customHeight="1" spans="1:10">
      <c r="A39" s="1815" t="s">
        <v>327</v>
      </c>
      <c r="B39" s="1817">
        <f>IF(A39="","",SUBTOTAL(3,A$6:A39))</f>
        <v>30</v>
      </c>
      <c r="C39" s="1818">
        <f>SUM(C21:C38)</f>
        <v>0</v>
      </c>
      <c r="D39" s="1818">
        <f>SUM(D21:D38)</f>
        <v>0</v>
      </c>
      <c r="E39" s="1819"/>
      <c r="F39" s="1832" t="s">
        <v>328</v>
      </c>
      <c r="G39" s="1817">
        <f>IF(F39="","",SUBTOTAL(3,A$6:A$40,F$6:F39))</f>
        <v>65</v>
      </c>
      <c r="H39" s="1833">
        <f>SUM(H31:H33,H35:H38)-H34</f>
        <v>0</v>
      </c>
      <c r="I39" s="1833">
        <f>SUM(I31:I33,I35:I38)-I34</f>
        <v>0</v>
      </c>
      <c r="J39" s="1819"/>
    </row>
    <row r="40" customHeight="1" spans="1:10">
      <c r="A40" s="1834" t="s">
        <v>329</v>
      </c>
      <c r="B40" s="1835">
        <f>IF(A40="","",SUBTOTAL(3,A$6:A40))</f>
        <v>31</v>
      </c>
      <c r="C40" s="1827">
        <f>SUM(C39,C19)</f>
        <v>0</v>
      </c>
      <c r="D40" s="1827">
        <f>SUM(D39,D19)</f>
        <v>0</v>
      </c>
      <c r="E40" s="1836"/>
      <c r="F40" s="1832" t="s">
        <v>330</v>
      </c>
      <c r="G40" s="1817">
        <f>IF(F40="","",SUBTOTAL(3,A$6:A$40,F$6:F40))</f>
        <v>66</v>
      </c>
      <c r="H40" s="1833">
        <f>H29+H39</f>
        <v>0</v>
      </c>
      <c r="I40" s="1833">
        <f>I29+I39</f>
        <v>0</v>
      </c>
      <c r="J40" s="1837"/>
    </row>
    <row r="41" customHeight="1" spans="1:10">
      <c r="A41" s="1820"/>
      <c r="B41" s="1817"/>
      <c r="C41" s="1838"/>
      <c r="D41" s="1838"/>
      <c r="E41" s="1839"/>
      <c r="F41" s="1819" t="s">
        <v>331</v>
      </c>
      <c r="G41" s="1817">
        <f>IF(F41="","",SUBTOTAL(3,A$6:A$40,F$6:F41))</f>
        <v>67</v>
      </c>
      <c r="H41" s="1818">
        <f>H40-C40</f>
        <v>0</v>
      </c>
      <c r="I41" s="1818">
        <f>I40-D40</f>
        <v>0</v>
      </c>
      <c r="J41" s="1819"/>
    </row>
    <row r="42" s="1843" customFormat="1" customHeight="1" spans="1:10">
      <c r="A42" s="1843" t="str">
        <f>"填表人："&amp;封面!F11</f>
        <v>填表人：贾广东</v>
      </c>
      <c r="B42" s="1844"/>
      <c r="D42" s="1845" t="str">
        <f>"财务主管："&amp;基本情况!I8</f>
        <v>财务主管：</v>
      </c>
      <c r="E42" s="1845"/>
      <c r="F42" s="1846"/>
      <c r="G42" s="1847" t="str">
        <f>"负责人："&amp;基本情况!I5</f>
        <v>负责人：</v>
      </c>
      <c r="H42" s="1847"/>
    </row>
  </sheetData>
  <sheetProtection selectLockedCells="1" autoFilter="0"/>
  <mergeCells count="5">
    <mergeCell ref="A2:J2"/>
    <mergeCell ref="A3:J3"/>
    <mergeCell ref="A4:C4"/>
    <mergeCell ref="D42:E42"/>
    <mergeCell ref="G42:H42"/>
  </mergeCells>
  <conditionalFormatting sqref="H41:I41">
    <cfRule type="cellIs" dxfId="1" priority="1" stopIfTrue="1" operator="notEqual">
      <formula>0</formula>
    </cfRule>
  </conditionalFormatting>
  <hyperlinks>
    <hyperlink ref="A1" location="索引目录!C4" display="返回索引页"/>
  </hyperlinks>
  <printOptions horizontalCentered="1"/>
  <pageMargins left="0.708661417322835" right="0.708661417322835" top="0.748031496062992" bottom="0.748031496062992" header="0.31496062992126" footer="0.31496062992126"/>
  <pageSetup paperSize="9" orientation="landscape" blackAndWhite="1"/>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9">
    <tabColor rgb="FFFF0000"/>
  </sheetPr>
  <dimension ref="A1:CE32"/>
  <sheetViews>
    <sheetView zoomScale="90" zoomScaleNormal="90" workbookViewId="0">
      <pane xSplit="2" ySplit="6" topLeftCell="D7" activePane="bottomRight" state="frozen"/>
      <selection/>
      <selection pane="topRight"/>
      <selection pane="bottomLeft"/>
      <selection pane="bottomRight" activeCell="E45" sqref="E45"/>
    </sheetView>
  </sheetViews>
  <sheetFormatPr defaultColWidth="9" defaultRowHeight="15.75" customHeight="1"/>
  <cols>
    <col min="1" max="1" width="7.6" style="75" customWidth="1"/>
    <col min="2" max="2" width="35.2" style="75" customWidth="1"/>
    <col min="3" max="3" width="20.6" style="75" hidden="1" customWidth="1" outlineLevel="1"/>
    <col min="4" max="4" width="20.6" style="75" customWidth="1" collapsed="1"/>
    <col min="5" max="7" width="20.6" style="75" customWidth="1"/>
    <col min="8" max="9" width="4.7" style="165" hidden="1" customWidth="1" outlineLevel="1"/>
    <col min="10" max="52" width="9" style="75" hidden="1" customWidth="1" outlineLevel="1"/>
    <col min="53" max="53" width="10.6" style="227" customWidth="1" collapsed="1"/>
    <col min="54" max="60" width="10.6" style="227" customWidth="1"/>
    <col min="61" max="61" width="1.6" style="227" customWidth="1"/>
    <col min="62"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997" t="s">
        <v>1591</v>
      </c>
      <c r="B1" s="997" t="s">
        <v>1592</v>
      </c>
      <c r="C1" s="81"/>
      <c r="D1" s="81"/>
      <c r="E1" s="81"/>
      <c r="F1" s="81"/>
      <c r="G1" s="81"/>
      <c r="H1" s="168"/>
      <c r="I1" s="168"/>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233" t="s">
        <v>3385</v>
      </c>
      <c r="B2" s="233"/>
      <c r="C2" s="233"/>
      <c r="D2" s="233"/>
      <c r="E2" s="233"/>
      <c r="F2" s="233"/>
      <c r="G2" s="233"/>
      <c r="H2" s="171"/>
      <c r="I2" s="171"/>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4.1" customHeight="1" spans="1:83">
      <c r="A3" s="238" t="str">
        <f>CONCATENATE(封面!D9,封面!F9,封面!G9,封面!H9,封面!I9,封面!J9,封面!K9)</f>
        <v>评估基准日：2025年7月31日</v>
      </c>
      <c r="B3" s="238"/>
      <c r="C3" s="238"/>
      <c r="D3" s="238"/>
      <c r="E3" s="238"/>
      <c r="F3" s="238"/>
      <c r="G3" s="238"/>
      <c r="BA3" s="230" t="str">
        <f>参数表!BA3</f>
        <v>是否显示评估值：</v>
      </c>
      <c r="BB3" s="230" t="str">
        <f>参数表!BB3</f>
        <v>是</v>
      </c>
    </row>
    <row r="4" ht="14.1" customHeight="1" spans="1:83">
      <c r="A4" s="238"/>
      <c r="B4" s="238"/>
      <c r="C4" s="238"/>
      <c r="D4" s="238"/>
      <c r="E4" s="238"/>
      <c r="F4" s="238"/>
      <c r="G4" s="338" t="s">
        <v>3386</v>
      </c>
      <c r="K4" s="277"/>
      <c r="BA4" s="240" t="s">
        <v>1595</v>
      </c>
      <c r="BB4" s="241"/>
      <c r="BC4" s="241"/>
      <c r="BD4" s="241"/>
      <c r="BE4" s="241"/>
      <c r="BF4" s="241"/>
      <c r="BG4" s="241"/>
      <c r="BH4" s="241"/>
      <c r="BI4" s="242"/>
      <c r="BJ4" s="241" t="s">
        <v>1545</v>
      </c>
      <c r="BK4" s="241"/>
      <c r="BL4" s="241"/>
      <c r="BM4" s="241"/>
      <c r="BN4" s="241"/>
      <c r="BO4" s="241"/>
      <c r="BP4" s="241"/>
      <c r="BQ4" s="241"/>
      <c r="BS4" s="228" t="str">
        <f>LEFT(A2,LEN(A2)-5)</f>
        <v>非流动资产</v>
      </c>
    </row>
    <row r="5" customHeight="1" spans="1:83">
      <c r="A5" s="243" t="str">
        <f>参数表!F3</f>
        <v>产权持有单位:中煤第五建设有限公司</v>
      </c>
      <c r="G5" s="244" t="s">
        <v>236</v>
      </c>
      <c r="H5" s="165">
        <v>11</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非流动资产为：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1525</v>
      </c>
      <c r="G6" s="249" t="s">
        <v>1551</v>
      </c>
      <c r="H6" s="251" t="s">
        <v>1603</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255" t="str">
        <f>A$28&amp;"-"&amp;SUBTOTAL(103,B$7:B7)</f>
        <v>4-1</v>
      </c>
      <c r="B7" s="145" t="s">
        <v>3387</v>
      </c>
      <c r="C7" s="143">
        <f>可供出售总!C28</f>
        <v>0</v>
      </c>
      <c r="D7" s="143">
        <f>可供出售总!D28</f>
        <v>0</v>
      </c>
      <c r="E7" s="143">
        <f>可供出售总!E28</f>
        <v>0</v>
      </c>
      <c r="F7" s="143">
        <f t="shared" ref="F7:F9" si="0">E7-D7</f>
        <v>0</v>
      </c>
      <c r="G7" s="143" t="str">
        <f t="shared" ref="G7:G9" si="1">IF(D7=0,"",F7/D7*100)</f>
        <v/>
      </c>
      <c r="H7" s="165" t="str">
        <f>VLOOKUP(B7,分类汇总!B$7:L$69,H$5,FALSE)</f>
        <v>旧</v>
      </c>
      <c r="BA7" s="256">
        <f>BB7</f>
        <v>0</v>
      </c>
      <c r="BB7" s="256">
        <f>可供出售总!BB28</f>
        <v>0</v>
      </c>
      <c r="BC7" s="256">
        <f>BB7-BD7</f>
        <v>0</v>
      </c>
      <c r="BD7" s="256">
        <f>D7</f>
        <v>0</v>
      </c>
      <c r="BE7" s="256">
        <f>BF7</f>
        <v>0</v>
      </c>
      <c r="BF7" s="256">
        <f>可供出售总!BF28</f>
        <v>0</v>
      </c>
      <c r="BG7" s="256">
        <f>BF7-BH7</f>
        <v>0</v>
      </c>
      <c r="BH7" s="256">
        <f>E7</f>
        <v>0</v>
      </c>
      <c r="BI7" s="242"/>
      <c r="BJ7" s="143">
        <f>BK7</f>
        <v>0</v>
      </c>
      <c r="BK7" s="256">
        <f>可供出售总!BK28</f>
        <v>0</v>
      </c>
      <c r="BL7" s="256">
        <f>可供出售总!BL28</f>
        <v>0</v>
      </c>
      <c r="BM7" s="256">
        <f>BK7-BL7</f>
        <v>0</v>
      </c>
      <c r="BN7" s="143">
        <f>BO7</f>
        <v>0</v>
      </c>
      <c r="BO7" s="256">
        <f>可供出售总!BO28</f>
        <v>0</v>
      </c>
      <c r="BP7" s="256">
        <f>可供出售总!BP28</f>
        <v>0</v>
      </c>
      <c r="BQ7" s="256">
        <f>BO7-BP7</f>
        <v>0</v>
      </c>
      <c r="BS7" s="228" t="str">
        <f t="shared" ref="BS7:BS20" si="2">IF(F7&gt;0,"增值",IF(F7=0,"无增减值","减值"))</f>
        <v>无增减值</v>
      </c>
      <c r="BT7" s="257">
        <f t="shared" ref="BT7:BT20" si="3">ABS(F7)</f>
        <v>0</v>
      </c>
      <c r="BU7" s="257">
        <f t="shared" ref="BU7:BU20" si="4">IFERROR(ABS(G7),0)</f>
        <v>0</v>
      </c>
      <c r="BV7" s="258">
        <f t="shared" ref="BV7:BV20" si="5">IFERROR(FIND("-",B7),0)</f>
        <v>0</v>
      </c>
      <c r="BW7" s="259" t="str">
        <f>IF(SUM(BA7:BH7)=0,"",RIGHT(B7,LEN(B7)-BV7))</f>
        <v/>
      </c>
      <c r="BX7" s="158" t="str">
        <f>IF(BY7="","",IF(BZ7&gt;1,"、",IF(BZ7=1,"和","")))</f>
        <v/>
      </c>
      <c r="BY7" s="158" t="str">
        <f>IF(BW7="","",1)</f>
        <v/>
      </c>
      <c r="BZ7" s="228">
        <f>COUNT(BY8:BY$27)</f>
        <v>0</v>
      </c>
    </row>
    <row r="8" ht="15" customHeight="1" spans="1:83">
      <c r="A8" s="255" t="str">
        <f>A$28&amp;"-"&amp;SUBTOTAL(103,B$7:B8)</f>
        <v>4-2</v>
      </c>
      <c r="B8" s="145" t="s">
        <v>3388</v>
      </c>
      <c r="C8" s="143">
        <f>持有到期!L29</f>
        <v>0</v>
      </c>
      <c r="D8" s="143">
        <f>持有到期!N29</f>
        <v>0</v>
      </c>
      <c r="E8" s="143">
        <f>持有到期!O29</f>
        <v>0</v>
      </c>
      <c r="F8" s="143">
        <f t="shared" si="0"/>
        <v>0</v>
      </c>
      <c r="G8" s="143" t="str">
        <f t="shared" si="1"/>
        <v/>
      </c>
      <c r="H8" s="165" t="str">
        <f>VLOOKUP(B8,分类汇总!B$7:L$69,H$5,FALSE)</f>
        <v>旧</v>
      </c>
      <c r="BA8" s="256">
        <f t="shared" ref="BA8:BA26" si="6">BB8</f>
        <v>0</v>
      </c>
      <c r="BB8" s="256">
        <f>持有到期!N27</f>
        <v>0</v>
      </c>
      <c r="BC8" s="256">
        <f t="shared" ref="BC8:BC26" si="7">BB8-BD8</f>
        <v>0</v>
      </c>
      <c r="BD8" s="256">
        <f t="shared" ref="BD8:BD26" si="8">D8</f>
        <v>0</v>
      </c>
      <c r="BE8" s="256">
        <f t="shared" ref="BE8:BE26" si="9">BF8</f>
        <v>0</v>
      </c>
      <c r="BF8" s="256">
        <f>持有到期!O27</f>
        <v>0</v>
      </c>
      <c r="BG8" s="256">
        <f t="shared" ref="BG8:BG26" si="10">BF8-BH8</f>
        <v>0</v>
      </c>
      <c r="BH8" s="256">
        <f t="shared" ref="BH8:BH26" si="11">E8</f>
        <v>0</v>
      </c>
      <c r="BI8" s="242"/>
      <c r="BJ8" s="143">
        <f t="shared" ref="BJ8:BJ26" si="12">BK8</f>
        <v>0</v>
      </c>
      <c r="BK8" s="256">
        <f>持有到期!N32</f>
        <v>0</v>
      </c>
      <c r="BL8" s="256">
        <f>0</f>
        <v>0</v>
      </c>
      <c r="BM8" s="256">
        <f t="shared" ref="BM8:BM26" si="13">BK8-BL8</f>
        <v>0</v>
      </c>
      <c r="BN8" s="143">
        <f t="shared" ref="BN8:BN26" si="14">BO8</f>
        <v>0</v>
      </c>
      <c r="BO8" s="256">
        <f>持有到期!O32</f>
        <v>0</v>
      </c>
      <c r="BP8" s="256">
        <f>0</f>
        <v>0</v>
      </c>
      <c r="BQ8" s="256">
        <f t="shared" ref="BQ8:BQ26" si="15">BO8-BP8</f>
        <v>0</v>
      </c>
      <c r="BS8" s="228" t="str">
        <f t="shared" si="2"/>
        <v>无增减值</v>
      </c>
      <c r="BT8" s="257">
        <f t="shared" si="3"/>
        <v>0</v>
      </c>
      <c r="BU8" s="257">
        <f t="shared" si="4"/>
        <v>0</v>
      </c>
      <c r="BV8" s="258">
        <f t="shared" si="5"/>
        <v>0</v>
      </c>
      <c r="BW8" s="259" t="str">
        <f t="shared" ref="BW8:BW26" si="16">IF(SUM(BA8:BH8)=0,"",RIGHT(B8,LEN(B8)-BV8))</f>
        <v/>
      </c>
      <c r="BX8" s="158" t="str">
        <f t="shared" ref="BX8:BX26" si="17">IF(BY8="","",IF(BZ8&gt;1,"、",IF(BZ8=1,"和","")))</f>
        <v/>
      </c>
      <c r="BY8" s="158" t="str">
        <f t="shared" ref="BY8:BY26" si="18">IF(BW8="","",1)</f>
        <v/>
      </c>
      <c r="BZ8" s="228">
        <f>COUNT(BY9:BY$27)</f>
        <v>0</v>
      </c>
    </row>
    <row r="9" ht="15" customHeight="1" spans="1:83">
      <c r="A9" s="255" t="str">
        <f>A$28&amp;"-"&amp;SUBTOTAL(103,B$7:B9)</f>
        <v>4-3</v>
      </c>
      <c r="B9" s="145" t="s">
        <v>3389</v>
      </c>
      <c r="C9" s="143">
        <f>债权投资!L29</f>
        <v>0</v>
      </c>
      <c r="D9" s="143">
        <f>债权投资!N29</f>
        <v>0</v>
      </c>
      <c r="E9" s="143">
        <f>债权投资!O29</f>
        <v>0</v>
      </c>
      <c r="F9" s="143">
        <f t="shared" si="0"/>
        <v>0</v>
      </c>
      <c r="G9" s="143" t="str">
        <f t="shared" si="1"/>
        <v/>
      </c>
      <c r="H9" s="165" t="str">
        <f>VLOOKUP(B9,分类汇总!B$7:L$69,H$5,FALSE)</f>
        <v>新</v>
      </c>
      <c r="BA9" s="256">
        <f t="shared" si="6"/>
        <v>0</v>
      </c>
      <c r="BB9" s="256">
        <f>债权投资!N27</f>
        <v>0</v>
      </c>
      <c r="BC9" s="256">
        <f t="shared" si="7"/>
        <v>0</v>
      </c>
      <c r="BD9" s="256">
        <f t="shared" si="8"/>
        <v>0</v>
      </c>
      <c r="BE9" s="256">
        <f t="shared" si="9"/>
        <v>0</v>
      </c>
      <c r="BF9" s="256">
        <f>债权投资!O27</f>
        <v>0</v>
      </c>
      <c r="BG9" s="256">
        <f t="shared" si="10"/>
        <v>0</v>
      </c>
      <c r="BH9" s="256">
        <f t="shared" si="11"/>
        <v>0</v>
      </c>
      <c r="BI9" s="242"/>
      <c r="BJ9" s="143">
        <f t="shared" si="12"/>
        <v>0</v>
      </c>
      <c r="BK9" s="256">
        <f>债权投资!N32</f>
        <v>0</v>
      </c>
      <c r="BL9" s="256">
        <f>0</f>
        <v>0</v>
      </c>
      <c r="BM9" s="256">
        <f t="shared" si="13"/>
        <v>0</v>
      </c>
      <c r="BN9" s="143">
        <f t="shared" si="14"/>
        <v>0</v>
      </c>
      <c r="BO9" s="256">
        <f>债权投资!O32</f>
        <v>0</v>
      </c>
      <c r="BP9" s="256">
        <f>0</f>
        <v>0</v>
      </c>
      <c r="BQ9" s="256">
        <f t="shared" si="15"/>
        <v>0</v>
      </c>
      <c r="BS9" s="228" t="str">
        <f t="shared" si="2"/>
        <v>无增减值</v>
      </c>
      <c r="BT9" s="257">
        <f t="shared" si="3"/>
        <v>0</v>
      </c>
      <c r="BU9" s="257">
        <f t="shared" si="4"/>
        <v>0</v>
      </c>
      <c r="BV9" s="258">
        <f t="shared" si="5"/>
        <v>0</v>
      </c>
      <c r="BW9" s="259" t="str">
        <f t="shared" si="16"/>
        <v/>
      </c>
      <c r="BX9" s="158" t="str">
        <f t="shared" si="17"/>
        <v/>
      </c>
      <c r="BY9" s="158" t="str">
        <f t="shared" si="18"/>
        <v/>
      </c>
      <c r="BZ9" s="228">
        <f>COUNT(BY10:BY$27)</f>
        <v>0</v>
      </c>
    </row>
    <row r="10" ht="15" customHeight="1" spans="1:83">
      <c r="A10" s="255" t="str">
        <f>A$28&amp;"-"&amp;SUBTOTAL(103,B$7:B10)</f>
        <v>4-4</v>
      </c>
      <c r="B10" s="145" t="s">
        <v>3390</v>
      </c>
      <c r="C10" s="143">
        <f>其他债权!L29</f>
        <v>0</v>
      </c>
      <c r="D10" s="143">
        <f>其他债权!N29</f>
        <v>0</v>
      </c>
      <c r="E10" s="143">
        <f>其他债权!O29</f>
        <v>0</v>
      </c>
      <c r="F10" s="143">
        <f t="shared" ref="F10:F26" si="19">E10-D10</f>
        <v>0</v>
      </c>
      <c r="G10" s="143" t="str">
        <f t="shared" ref="G10:G26" si="20">IF(D10=0,"",F10/D10*100)</f>
        <v/>
      </c>
      <c r="H10" s="165" t="str">
        <f>VLOOKUP(B10,分类汇总!B$7:L$69,H$5,FALSE)</f>
        <v>新</v>
      </c>
      <c r="BA10" s="256">
        <f t="shared" si="6"/>
        <v>0</v>
      </c>
      <c r="BB10" s="256">
        <f>其他债权!N27</f>
        <v>0</v>
      </c>
      <c r="BC10" s="256">
        <f t="shared" si="7"/>
        <v>0</v>
      </c>
      <c r="BD10" s="256">
        <f t="shared" si="8"/>
        <v>0</v>
      </c>
      <c r="BE10" s="256">
        <f t="shared" si="9"/>
        <v>0</v>
      </c>
      <c r="BF10" s="256">
        <f>其他债权!O27</f>
        <v>0</v>
      </c>
      <c r="BG10" s="256">
        <f t="shared" si="10"/>
        <v>0</v>
      </c>
      <c r="BH10" s="256">
        <f t="shared" si="11"/>
        <v>0</v>
      </c>
      <c r="BI10" s="242"/>
      <c r="BJ10" s="143">
        <f t="shared" si="12"/>
        <v>0</v>
      </c>
      <c r="BK10" s="256">
        <f>其他债权!N32</f>
        <v>0</v>
      </c>
      <c r="BL10" s="256">
        <f>0</f>
        <v>0</v>
      </c>
      <c r="BM10" s="256">
        <f t="shared" si="13"/>
        <v>0</v>
      </c>
      <c r="BN10" s="143">
        <f t="shared" si="14"/>
        <v>0</v>
      </c>
      <c r="BO10" s="256">
        <f>其他债权!O32</f>
        <v>0</v>
      </c>
      <c r="BP10" s="256">
        <f>0</f>
        <v>0</v>
      </c>
      <c r="BQ10" s="256">
        <f t="shared" si="15"/>
        <v>0</v>
      </c>
      <c r="BS10" s="228" t="str">
        <f t="shared" si="2"/>
        <v>无增减值</v>
      </c>
      <c r="BT10" s="257">
        <f t="shared" si="3"/>
        <v>0</v>
      </c>
      <c r="BU10" s="257">
        <f t="shared" si="4"/>
        <v>0</v>
      </c>
      <c r="BV10" s="258">
        <f t="shared" si="5"/>
        <v>0</v>
      </c>
      <c r="BW10" s="259" t="str">
        <f t="shared" si="16"/>
        <v/>
      </c>
      <c r="BX10" s="158" t="str">
        <f t="shared" si="17"/>
        <v/>
      </c>
      <c r="BY10" s="158" t="str">
        <f t="shared" si="18"/>
        <v/>
      </c>
      <c r="BZ10" s="228">
        <f>COUNT(BY11:BY$27)</f>
        <v>0</v>
      </c>
    </row>
    <row r="11" ht="15" customHeight="1" spans="1:83">
      <c r="A11" s="255" t="str">
        <f>A$28&amp;"-"&amp;SUBTOTAL(103,B$7:B11)</f>
        <v>4-5</v>
      </c>
      <c r="B11" s="145" t="s">
        <v>3391</v>
      </c>
      <c r="C11" s="143">
        <f>长期应收!I30</f>
        <v>0</v>
      </c>
      <c r="D11" s="143">
        <f>长期应收!M30</f>
        <v>0</v>
      </c>
      <c r="E11" s="143">
        <f>长期应收!O30</f>
        <v>0</v>
      </c>
      <c r="F11" s="143">
        <f t="shared" si="19"/>
        <v>0</v>
      </c>
      <c r="G11" s="143" t="str">
        <f t="shared" si="20"/>
        <v/>
      </c>
      <c r="H11" s="165" t="str">
        <f>VLOOKUP(B11,分类汇总!B$7:L$69,H$5,FALSE)</f>
        <v>共</v>
      </c>
      <c r="BA11" s="256">
        <f t="shared" si="6"/>
        <v>0</v>
      </c>
      <c r="BB11" s="256">
        <f>长期应收!M27</f>
        <v>0</v>
      </c>
      <c r="BC11" s="256">
        <f t="shared" si="7"/>
        <v>0</v>
      </c>
      <c r="BD11" s="256">
        <f t="shared" si="8"/>
        <v>0</v>
      </c>
      <c r="BE11" s="256">
        <f t="shared" si="9"/>
        <v>0</v>
      </c>
      <c r="BF11" s="256">
        <f>长期应收!O27</f>
        <v>0</v>
      </c>
      <c r="BG11" s="256">
        <f t="shared" si="10"/>
        <v>0</v>
      </c>
      <c r="BH11" s="256">
        <f t="shared" si="11"/>
        <v>0</v>
      </c>
      <c r="BI11" s="242"/>
      <c r="BJ11" s="143">
        <f t="shared" si="12"/>
        <v>0</v>
      </c>
      <c r="BK11" s="256">
        <f>长期应收!M36</f>
        <v>0</v>
      </c>
      <c r="BL11" s="256">
        <f>长期应收!N36</f>
        <v>0</v>
      </c>
      <c r="BM11" s="256">
        <f t="shared" si="13"/>
        <v>0</v>
      </c>
      <c r="BN11" s="143">
        <f t="shared" si="14"/>
        <v>0</v>
      </c>
      <c r="BO11" s="256">
        <f>长期应收!O36</f>
        <v>0</v>
      </c>
      <c r="BP11" s="256">
        <f>长期应收!P36</f>
        <v>0</v>
      </c>
      <c r="BQ11" s="256">
        <f t="shared" si="15"/>
        <v>0</v>
      </c>
      <c r="BS11" s="228" t="str">
        <f t="shared" si="2"/>
        <v>无增减值</v>
      </c>
      <c r="BT11" s="257">
        <f t="shared" si="3"/>
        <v>0</v>
      </c>
      <c r="BU11" s="257">
        <f t="shared" si="4"/>
        <v>0</v>
      </c>
      <c r="BV11" s="258">
        <f t="shared" si="5"/>
        <v>0</v>
      </c>
      <c r="BW11" s="259" t="str">
        <f t="shared" si="16"/>
        <v/>
      </c>
      <c r="BX11" s="158" t="str">
        <f t="shared" si="17"/>
        <v/>
      </c>
      <c r="BY11" s="158" t="str">
        <f t="shared" si="18"/>
        <v/>
      </c>
      <c r="BZ11" s="228">
        <f>COUNT(BY12:BY$27)</f>
        <v>0</v>
      </c>
    </row>
    <row r="12" ht="15" customHeight="1" spans="1:83">
      <c r="A12" s="255" t="str">
        <f>A$28&amp;"-"&amp;SUBTOTAL(103,B$7:B12)</f>
        <v>4-6</v>
      </c>
      <c r="B12" s="145" t="s">
        <v>3392</v>
      </c>
      <c r="C12" s="143">
        <f>股权投资!J29</f>
        <v>0</v>
      </c>
      <c r="D12" s="143">
        <f>股权投资!L29</f>
        <v>0</v>
      </c>
      <c r="E12" s="143">
        <f>股权投资!M29</f>
        <v>0</v>
      </c>
      <c r="F12" s="143">
        <f t="shared" si="19"/>
        <v>0</v>
      </c>
      <c r="G12" s="143" t="str">
        <f t="shared" si="20"/>
        <v/>
      </c>
      <c r="H12" s="165" t="str">
        <f>VLOOKUP(B12,分类汇总!B$7:L$69,H$5,FALSE)</f>
        <v>共</v>
      </c>
      <c r="BA12" s="256">
        <f t="shared" si="6"/>
        <v>0</v>
      </c>
      <c r="BB12" s="256">
        <f>股权投资!L27</f>
        <v>0</v>
      </c>
      <c r="BC12" s="256">
        <f t="shared" si="7"/>
        <v>0</v>
      </c>
      <c r="BD12" s="256">
        <f t="shared" si="8"/>
        <v>0</v>
      </c>
      <c r="BE12" s="256">
        <f t="shared" si="9"/>
        <v>0</v>
      </c>
      <c r="BF12" s="256">
        <f>股权投资!M27</f>
        <v>0</v>
      </c>
      <c r="BG12" s="256">
        <f t="shared" si="10"/>
        <v>0</v>
      </c>
      <c r="BH12" s="256">
        <f t="shared" si="11"/>
        <v>0</v>
      </c>
      <c r="BI12" s="242"/>
      <c r="BJ12" s="143">
        <f t="shared" si="12"/>
        <v>0</v>
      </c>
      <c r="BK12" s="256">
        <f>股权投资!L32</f>
        <v>0</v>
      </c>
      <c r="BL12" s="256">
        <f>0</f>
        <v>0</v>
      </c>
      <c r="BM12" s="256">
        <f t="shared" si="13"/>
        <v>0</v>
      </c>
      <c r="BN12" s="143">
        <f t="shared" si="14"/>
        <v>0</v>
      </c>
      <c r="BO12" s="256">
        <f>股权投资!M32</f>
        <v>0</v>
      </c>
      <c r="BP12" s="256">
        <f>0</f>
        <v>0</v>
      </c>
      <c r="BQ12" s="256">
        <f t="shared" si="15"/>
        <v>0</v>
      </c>
      <c r="BS12" s="228" t="str">
        <f t="shared" si="2"/>
        <v>无增减值</v>
      </c>
      <c r="BT12" s="257">
        <f t="shared" si="3"/>
        <v>0</v>
      </c>
      <c r="BU12" s="257">
        <f t="shared" si="4"/>
        <v>0</v>
      </c>
      <c r="BV12" s="258">
        <f t="shared" si="5"/>
        <v>0</v>
      </c>
      <c r="BW12" s="259" t="str">
        <f t="shared" si="16"/>
        <v/>
      </c>
      <c r="BX12" s="158" t="str">
        <f t="shared" si="17"/>
        <v/>
      </c>
      <c r="BY12" s="158" t="str">
        <f t="shared" si="18"/>
        <v/>
      </c>
      <c r="BZ12" s="228">
        <f>COUNT(BY13:BY$27)</f>
        <v>0</v>
      </c>
    </row>
    <row r="13" ht="15" customHeight="1" spans="1:83">
      <c r="A13" s="255" t="str">
        <f>A$28&amp;"-"&amp;SUBTOTAL(103,B$7:B13)</f>
        <v>4-7</v>
      </c>
      <c r="B13" s="145" t="s">
        <v>320</v>
      </c>
      <c r="C13" s="143">
        <f>其他权益工具!K29</f>
        <v>0</v>
      </c>
      <c r="D13" s="143">
        <f>其他权益工具!M29</f>
        <v>0</v>
      </c>
      <c r="E13" s="143">
        <f>其他权益工具!N29</f>
        <v>0</v>
      </c>
      <c r="F13" s="143">
        <f t="shared" si="19"/>
        <v>0</v>
      </c>
      <c r="G13" s="143" t="str">
        <f t="shared" si="20"/>
        <v/>
      </c>
      <c r="H13" s="165" t="str">
        <f>VLOOKUP(B13,分类汇总!B$7:L$69,H$5,FALSE)</f>
        <v>新</v>
      </c>
      <c r="BA13" s="256">
        <f t="shared" si="6"/>
        <v>0</v>
      </c>
      <c r="BB13" s="256">
        <f>其他权益工具!M27</f>
        <v>0</v>
      </c>
      <c r="BC13" s="256">
        <f t="shared" si="7"/>
        <v>0</v>
      </c>
      <c r="BD13" s="256">
        <f t="shared" si="8"/>
        <v>0</v>
      </c>
      <c r="BE13" s="256">
        <f t="shared" si="9"/>
        <v>0</v>
      </c>
      <c r="BF13" s="256">
        <f>其他权益工具!N27</f>
        <v>0</v>
      </c>
      <c r="BG13" s="256">
        <f t="shared" si="10"/>
        <v>0</v>
      </c>
      <c r="BH13" s="256">
        <f t="shared" si="11"/>
        <v>0</v>
      </c>
      <c r="BI13" s="242"/>
      <c r="BJ13" s="143">
        <f t="shared" si="12"/>
        <v>0</v>
      </c>
      <c r="BK13" s="256">
        <f>其他权益工具!M32</f>
        <v>0</v>
      </c>
      <c r="BL13" s="256">
        <f>0</f>
        <v>0</v>
      </c>
      <c r="BM13" s="256">
        <f t="shared" si="13"/>
        <v>0</v>
      </c>
      <c r="BN13" s="143">
        <f t="shared" si="14"/>
        <v>0</v>
      </c>
      <c r="BO13" s="256">
        <f>其他权益工具!N32</f>
        <v>0</v>
      </c>
      <c r="BP13" s="256">
        <f>0</f>
        <v>0</v>
      </c>
      <c r="BQ13" s="256">
        <f t="shared" si="15"/>
        <v>0</v>
      </c>
      <c r="BS13" s="228" t="str">
        <f t="shared" si="2"/>
        <v>无增减值</v>
      </c>
      <c r="BT13" s="257">
        <f t="shared" si="3"/>
        <v>0</v>
      </c>
      <c r="BU13" s="257">
        <f t="shared" si="4"/>
        <v>0</v>
      </c>
      <c r="BV13" s="258">
        <f t="shared" si="5"/>
        <v>0</v>
      </c>
      <c r="BW13" s="259" t="str">
        <f t="shared" si="16"/>
        <v/>
      </c>
      <c r="BX13" s="158" t="str">
        <f t="shared" si="17"/>
        <v/>
      </c>
      <c r="BY13" s="158" t="str">
        <f t="shared" si="18"/>
        <v/>
      </c>
      <c r="BZ13" s="228">
        <f>COUNT(BY14:BY$27)</f>
        <v>0</v>
      </c>
    </row>
    <row r="14" ht="15" customHeight="1" spans="1:83">
      <c r="A14" s="255" t="str">
        <f>A$28&amp;"-"&amp;SUBTOTAL(103,B$7:B14)</f>
        <v>4-8</v>
      </c>
      <c r="B14" s="145" t="s">
        <v>3393</v>
      </c>
      <c r="C14" s="143">
        <f>其他金资!K29</f>
        <v>0</v>
      </c>
      <c r="D14" s="143">
        <f>其他金资!M29</f>
        <v>0</v>
      </c>
      <c r="E14" s="143">
        <f>其他金资!N29</f>
        <v>0</v>
      </c>
      <c r="F14" s="143">
        <f t="shared" si="19"/>
        <v>0</v>
      </c>
      <c r="G14" s="143" t="str">
        <f t="shared" si="20"/>
        <v/>
      </c>
      <c r="H14" s="165" t="str">
        <f>VLOOKUP(B14,分类汇总!B$7:L$69,H$5,FALSE)</f>
        <v>新</v>
      </c>
      <c r="BA14" s="256">
        <f t="shared" si="6"/>
        <v>0</v>
      </c>
      <c r="BB14" s="256">
        <f>其他金资!M27</f>
        <v>0</v>
      </c>
      <c r="BC14" s="256">
        <f t="shared" si="7"/>
        <v>0</v>
      </c>
      <c r="BD14" s="256">
        <f t="shared" si="8"/>
        <v>0</v>
      </c>
      <c r="BE14" s="256">
        <f t="shared" si="9"/>
        <v>0</v>
      </c>
      <c r="BF14" s="256">
        <f>其他金资!N27</f>
        <v>0</v>
      </c>
      <c r="BG14" s="256">
        <f t="shared" si="10"/>
        <v>0</v>
      </c>
      <c r="BH14" s="256">
        <f t="shared" si="11"/>
        <v>0</v>
      </c>
      <c r="BI14" s="242"/>
      <c r="BJ14" s="143">
        <f t="shared" si="12"/>
        <v>0</v>
      </c>
      <c r="BK14" s="256">
        <f>其他金资!M32</f>
        <v>0</v>
      </c>
      <c r="BL14" s="256">
        <f>0</f>
        <v>0</v>
      </c>
      <c r="BM14" s="256">
        <f t="shared" si="13"/>
        <v>0</v>
      </c>
      <c r="BN14" s="143">
        <f t="shared" si="14"/>
        <v>0</v>
      </c>
      <c r="BO14" s="256">
        <f>其他金资!N32</f>
        <v>0</v>
      </c>
      <c r="BP14" s="256">
        <f>0</f>
        <v>0</v>
      </c>
      <c r="BQ14" s="256">
        <f t="shared" si="15"/>
        <v>0</v>
      </c>
      <c r="BS14" s="228" t="str">
        <f t="shared" si="2"/>
        <v>无增减值</v>
      </c>
      <c r="BT14" s="257">
        <f t="shared" si="3"/>
        <v>0</v>
      </c>
      <c r="BU14" s="257">
        <f t="shared" si="4"/>
        <v>0</v>
      </c>
      <c r="BV14" s="258">
        <f t="shared" si="5"/>
        <v>0</v>
      </c>
      <c r="BW14" s="259" t="str">
        <f t="shared" si="16"/>
        <v/>
      </c>
      <c r="BX14" s="158" t="str">
        <f t="shared" si="17"/>
        <v/>
      </c>
      <c r="BY14" s="158" t="str">
        <f t="shared" si="18"/>
        <v/>
      </c>
      <c r="BZ14" s="228">
        <f>COUNT(BY15:BY$27)</f>
        <v>0</v>
      </c>
    </row>
    <row r="15" ht="15" customHeight="1" spans="1:83">
      <c r="A15" s="255" t="str">
        <f>A$28&amp;"-"&amp;SUBTOTAL(103,B$7:B15)</f>
        <v>4-9</v>
      </c>
      <c r="B15" s="145" t="s">
        <v>3394</v>
      </c>
      <c r="C15" s="143">
        <f>投资性房产总!C28</f>
        <v>0</v>
      </c>
      <c r="D15" s="143">
        <f>投资性房产总!D28</f>
        <v>0</v>
      </c>
      <c r="E15" s="143">
        <f>投资性房产总!E28</f>
        <v>0</v>
      </c>
      <c r="F15" s="143">
        <f t="shared" si="19"/>
        <v>0</v>
      </c>
      <c r="G15" s="143" t="str">
        <f t="shared" si="20"/>
        <v/>
      </c>
      <c r="H15" s="165" t="str">
        <f>VLOOKUP(B15,分类汇总!B$7:L$69,H$5,FALSE)</f>
        <v>共</v>
      </c>
      <c r="BA15" s="256">
        <f>投资性房产总!BA28</f>
        <v>0</v>
      </c>
      <c r="BB15" s="256">
        <f>投资性房产总!BB28</f>
        <v>0</v>
      </c>
      <c r="BC15" s="256">
        <f t="shared" si="7"/>
        <v>0</v>
      </c>
      <c r="BD15" s="256">
        <f t="shared" si="8"/>
        <v>0</v>
      </c>
      <c r="BE15" s="256">
        <f>投资性房产总!BE28</f>
        <v>0</v>
      </c>
      <c r="BF15" s="256">
        <f>投资性房产总!BF28</f>
        <v>0</v>
      </c>
      <c r="BG15" s="256">
        <f t="shared" si="10"/>
        <v>0</v>
      </c>
      <c r="BH15" s="256">
        <f t="shared" si="11"/>
        <v>0</v>
      </c>
      <c r="BI15" s="242"/>
      <c r="BJ15" s="256">
        <f>投资性房产总!BJ28</f>
        <v>0</v>
      </c>
      <c r="BK15" s="256">
        <f>投资性房产总!BK28</f>
        <v>0</v>
      </c>
      <c r="BL15" s="256">
        <f>投资性房产总!BL28</f>
        <v>0</v>
      </c>
      <c r="BM15" s="256">
        <f t="shared" si="13"/>
        <v>0</v>
      </c>
      <c r="BN15" s="256">
        <f>投资性房产总!BN28</f>
        <v>0</v>
      </c>
      <c r="BO15" s="256">
        <f>投资性房产总!BO28</f>
        <v>0</v>
      </c>
      <c r="BP15" s="256">
        <f>投资性房产总!BP28</f>
        <v>0</v>
      </c>
      <c r="BQ15" s="256">
        <f t="shared" si="15"/>
        <v>0</v>
      </c>
      <c r="BS15" s="228" t="str">
        <f t="shared" si="2"/>
        <v>无增减值</v>
      </c>
      <c r="BT15" s="257">
        <f t="shared" si="3"/>
        <v>0</v>
      </c>
      <c r="BU15" s="257">
        <f t="shared" si="4"/>
        <v>0</v>
      </c>
      <c r="BV15" s="258">
        <f t="shared" si="5"/>
        <v>0</v>
      </c>
      <c r="BW15" s="259" t="str">
        <f t="shared" si="16"/>
        <v/>
      </c>
      <c r="BX15" s="158" t="str">
        <f t="shared" si="17"/>
        <v/>
      </c>
      <c r="BY15" s="158" t="str">
        <f t="shared" si="18"/>
        <v/>
      </c>
      <c r="BZ15" s="228">
        <f>COUNT(BY16:BY$27)</f>
        <v>0</v>
      </c>
    </row>
    <row r="16" ht="15" customHeight="1" spans="1:83">
      <c r="A16" s="255" t="str">
        <f>A$28&amp;"-"&amp;SUBTOTAL(103,B$7:B16)</f>
        <v>4-10</v>
      </c>
      <c r="B16" s="145" t="s">
        <v>3395</v>
      </c>
      <c r="C16" s="143">
        <f>固定资产总!D29</f>
        <v>0</v>
      </c>
      <c r="D16" s="143">
        <f>固定资产总!F29</f>
        <v>0</v>
      </c>
      <c r="E16" s="143">
        <f>固定资产总!H29</f>
        <v>0</v>
      </c>
      <c r="F16" s="143">
        <f t="shared" si="19"/>
        <v>0</v>
      </c>
      <c r="G16" s="143" t="str">
        <f t="shared" si="20"/>
        <v/>
      </c>
      <c r="H16" s="165" t="str">
        <f>VLOOKUP(B16,分类汇总!B$7:L$69,H$5,FALSE)</f>
        <v>共</v>
      </c>
      <c r="BA16" s="256">
        <f>固定资产总!BA29</f>
        <v>0</v>
      </c>
      <c r="BB16" s="256">
        <f>固定资产总!BB29</f>
        <v>0</v>
      </c>
      <c r="BC16" s="256">
        <f t="shared" si="7"/>
        <v>0</v>
      </c>
      <c r="BD16" s="256">
        <f t="shared" si="8"/>
        <v>0</v>
      </c>
      <c r="BE16" s="256">
        <f>固定资产总!BE29</f>
        <v>0</v>
      </c>
      <c r="BF16" s="256">
        <f>固定资产总!BF29</f>
        <v>0</v>
      </c>
      <c r="BG16" s="256">
        <f t="shared" si="10"/>
        <v>0</v>
      </c>
      <c r="BH16" s="256">
        <f t="shared" si="11"/>
        <v>0</v>
      </c>
      <c r="BI16" s="242"/>
      <c r="BJ16" s="256">
        <f>固定资产总!BJ29</f>
        <v>0</v>
      </c>
      <c r="BK16" s="256">
        <f>固定资产总!BK29</f>
        <v>0</v>
      </c>
      <c r="BL16" s="256">
        <f>固定资产总!BL29</f>
        <v>0</v>
      </c>
      <c r="BM16" s="256">
        <f t="shared" si="13"/>
        <v>0</v>
      </c>
      <c r="BN16" s="256">
        <f>固定资产总!BN29</f>
        <v>0</v>
      </c>
      <c r="BO16" s="256">
        <f>固定资产总!BO29</f>
        <v>0</v>
      </c>
      <c r="BP16" s="256">
        <f>固定资产总!BP29</f>
        <v>0</v>
      </c>
      <c r="BQ16" s="256">
        <f t="shared" si="15"/>
        <v>0</v>
      </c>
      <c r="BS16" s="228" t="str">
        <f t="shared" si="2"/>
        <v>无增减值</v>
      </c>
      <c r="BT16" s="257">
        <f t="shared" si="3"/>
        <v>0</v>
      </c>
      <c r="BU16" s="257">
        <f t="shared" si="4"/>
        <v>0</v>
      </c>
      <c r="BV16" s="258">
        <f t="shared" si="5"/>
        <v>0</v>
      </c>
      <c r="BW16" s="259" t="str">
        <f t="shared" si="16"/>
        <v/>
      </c>
      <c r="BX16" s="158" t="str">
        <f t="shared" si="17"/>
        <v/>
      </c>
      <c r="BY16" s="158" t="str">
        <f t="shared" si="18"/>
        <v/>
      </c>
      <c r="BZ16" s="228">
        <f>COUNT(BY17:BY$27)</f>
        <v>0</v>
      </c>
    </row>
    <row r="17" ht="15" customHeight="1" spans="1:83">
      <c r="A17" s="255" t="str">
        <f>A$28&amp;"-"&amp;SUBTOTAL(103,B$7:B17)</f>
        <v>4-11</v>
      </c>
      <c r="B17" s="145" t="s">
        <v>3396</v>
      </c>
      <c r="C17" s="143">
        <f>在建总!C28</f>
        <v>0</v>
      </c>
      <c r="D17" s="143">
        <f>在建总!D28</f>
        <v>0</v>
      </c>
      <c r="E17" s="143">
        <f>在建总!E28</f>
        <v>0</v>
      </c>
      <c r="F17" s="143">
        <f t="shared" si="19"/>
        <v>0</v>
      </c>
      <c r="G17" s="143" t="str">
        <f t="shared" si="20"/>
        <v/>
      </c>
      <c r="H17" s="165" t="str">
        <f>VLOOKUP(B17,分类汇总!B$7:L$69,H$5,FALSE)</f>
        <v>共</v>
      </c>
      <c r="BA17" s="256">
        <f t="shared" si="6"/>
        <v>0</v>
      </c>
      <c r="BB17" s="256">
        <f>在建总!BB28</f>
        <v>0</v>
      </c>
      <c r="BC17" s="256">
        <f t="shared" si="7"/>
        <v>0</v>
      </c>
      <c r="BD17" s="256">
        <f t="shared" si="8"/>
        <v>0</v>
      </c>
      <c r="BE17" s="256">
        <f t="shared" si="9"/>
        <v>0</v>
      </c>
      <c r="BF17" s="256">
        <f>在建总!BF28</f>
        <v>0</v>
      </c>
      <c r="BG17" s="256">
        <f t="shared" si="10"/>
        <v>0</v>
      </c>
      <c r="BH17" s="256">
        <f t="shared" si="11"/>
        <v>0</v>
      </c>
      <c r="BI17" s="242"/>
      <c r="BJ17" s="143">
        <f t="shared" si="12"/>
        <v>0</v>
      </c>
      <c r="BK17" s="256">
        <f>在建总!BK28</f>
        <v>0</v>
      </c>
      <c r="BL17" s="256">
        <f>在建总!BL28</f>
        <v>0</v>
      </c>
      <c r="BM17" s="256">
        <f t="shared" si="13"/>
        <v>0</v>
      </c>
      <c r="BN17" s="143">
        <f t="shared" si="14"/>
        <v>0</v>
      </c>
      <c r="BO17" s="256">
        <f>在建总!BO28</f>
        <v>0</v>
      </c>
      <c r="BP17" s="256">
        <f>在建总!BP28</f>
        <v>0</v>
      </c>
      <c r="BQ17" s="256">
        <f t="shared" si="15"/>
        <v>0</v>
      </c>
      <c r="BS17" s="228" t="str">
        <f t="shared" si="2"/>
        <v>无增减值</v>
      </c>
      <c r="BT17" s="257">
        <f t="shared" si="3"/>
        <v>0</v>
      </c>
      <c r="BU17" s="257">
        <f t="shared" si="4"/>
        <v>0</v>
      </c>
      <c r="BV17" s="258">
        <f t="shared" si="5"/>
        <v>0</v>
      </c>
      <c r="BW17" s="259" t="str">
        <f t="shared" si="16"/>
        <v/>
      </c>
      <c r="BX17" s="158" t="str">
        <f t="shared" si="17"/>
        <v/>
      </c>
      <c r="BY17" s="158" t="str">
        <f t="shared" si="18"/>
        <v/>
      </c>
      <c r="BZ17" s="228">
        <f>COUNT(BY18:BY$27)</f>
        <v>0</v>
      </c>
    </row>
    <row r="18" ht="15" customHeight="1" spans="1:83">
      <c r="A18" s="255" t="str">
        <f>A$28&amp;"-"&amp;SUBTOTAL(103,B$7:B18)</f>
        <v>4-12</v>
      </c>
      <c r="B18" s="145" t="s">
        <v>3397</v>
      </c>
      <c r="C18" s="143">
        <f>生物资!P30</f>
        <v>0</v>
      </c>
      <c r="D18" s="143">
        <f>生物资!V30</f>
        <v>0</v>
      </c>
      <c r="E18" s="143">
        <f>生物资!Z30</f>
        <v>0</v>
      </c>
      <c r="F18" s="143">
        <f t="shared" si="19"/>
        <v>0</v>
      </c>
      <c r="G18" s="143" t="str">
        <f t="shared" si="20"/>
        <v/>
      </c>
      <c r="H18" s="165" t="str">
        <f>VLOOKUP(B18,分类汇总!B$7:L$69,H$5,FALSE)</f>
        <v>共</v>
      </c>
      <c r="BA18" s="256">
        <f>生物资!U28</f>
        <v>0</v>
      </c>
      <c r="BB18" s="256">
        <f>生物资!V28</f>
        <v>0</v>
      </c>
      <c r="BC18" s="256">
        <f t="shared" si="7"/>
        <v>0</v>
      </c>
      <c r="BD18" s="256">
        <f t="shared" si="8"/>
        <v>0</v>
      </c>
      <c r="BE18" s="256">
        <f>生物资!X28</f>
        <v>0</v>
      </c>
      <c r="BF18" s="256">
        <f>生物资!Z28</f>
        <v>0</v>
      </c>
      <c r="BG18" s="256">
        <f t="shared" si="10"/>
        <v>0</v>
      </c>
      <c r="BH18" s="256">
        <f t="shared" si="11"/>
        <v>0</v>
      </c>
      <c r="BI18" s="242"/>
      <c r="BJ18" s="143">
        <f>生物资!U33</f>
        <v>0</v>
      </c>
      <c r="BK18" s="143">
        <f>生物资!V33</f>
        <v>0</v>
      </c>
      <c r="BL18" s="143">
        <f>生物资!W33</f>
        <v>0</v>
      </c>
      <c r="BM18" s="256">
        <f t="shared" si="13"/>
        <v>0</v>
      </c>
      <c r="BN18" s="143">
        <f>生物资!X33</f>
        <v>0</v>
      </c>
      <c r="BO18" s="256">
        <f>生物资!Z33</f>
        <v>0</v>
      </c>
      <c r="BP18" s="256">
        <f>0</f>
        <v>0</v>
      </c>
      <c r="BQ18" s="256">
        <f t="shared" si="15"/>
        <v>0</v>
      </c>
      <c r="BS18" s="228" t="str">
        <f t="shared" si="2"/>
        <v>无增减值</v>
      </c>
      <c r="BT18" s="257">
        <f t="shared" si="3"/>
        <v>0</v>
      </c>
      <c r="BU18" s="257">
        <f t="shared" si="4"/>
        <v>0</v>
      </c>
      <c r="BV18" s="258">
        <f t="shared" si="5"/>
        <v>0</v>
      </c>
      <c r="BW18" s="259" t="str">
        <f t="shared" si="16"/>
        <v/>
      </c>
      <c r="BX18" s="158" t="str">
        <f t="shared" si="17"/>
        <v/>
      </c>
      <c r="BY18" s="158" t="str">
        <f t="shared" si="18"/>
        <v/>
      </c>
      <c r="BZ18" s="228">
        <f>COUNT(BY19:BY$27)</f>
        <v>0</v>
      </c>
    </row>
    <row r="19" ht="15" customHeight="1" spans="1:83">
      <c r="A19" s="255" t="str">
        <f>A$28&amp;"-"&amp;SUBTOTAL(103,B$7:B19)</f>
        <v>4-13</v>
      </c>
      <c r="B19" s="145" t="s">
        <v>3398</v>
      </c>
      <c r="C19" s="143">
        <f>油气资!Q30</f>
        <v>0</v>
      </c>
      <c r="D19" s="143">
        <f>油气资!W30</f>
        <v>0</v>
      </c>
      <c r="E19" s="143">
        <f>油气资!AA30</f>
        <v>0</v>
      </c>
      <c r="F19" s="143">
        <f t="shared" si="19"/>
        <v>0</v>
      </c>
      <c r="G19" s="143" t="str">
        <f t="shared" si="20"/>
        <v/>
      </c>
      <c r="H19" s="165" t="str">
        <f>VLOOKUP(B19,分类汇总!B$7:L$69,H$5,FALSE)</f>
        <v>共</v>
      </c>
      <c r="BA19" s="256">
        <f>油气资!V28</f>
        <v>0</v>
      </c>
      <c r="BB19" s="256">
        <f>油气资!W28</f>
        <v>0</v>
      </c>
      <c r="BC19" s="256">
        <f t="shared" si="7"/>
        <v>0</v>
      </c>
      <c r="BD19" s="256">
        <f t="shared" si="8"/>
        <v>0</v>
      </c>
      <c r="BE19" s="256">
        <f>油气资!Y28</f>
        <v>0</v>
      </c>
      <c r="BF19" s="256">
        <f>油气资!AA28</f>
        <v>0</v>
      </c>
      <c r="BG19" s="256">
        <f t="shared" si="10"/>
        <v>0</v>
      </c>
      <c r="BH19" s="256">
        <f t="shared" si="11"/>
        <v>0</v>
      </c>
      <c r="BI19" s="242"/>
      <c r="BJ19" s="143">
        <f>油气资!V33</f>
        <v>0</v>
      </c>
      <c r="BK19" s="143">
        <f>油气资!W33</f>
        <v>0</v>
      </c>
      <c r="BL19" s="143">
        <f>油气资!X33</f>
        <v>0</v>
      </c>
      <c r="BM19" s="256">
        <f t="shared" si="13"/>
        <v>0</v>
      </c>
      <c r="BN19" s="143">
        <f>油气资!Y33</f>
        <v>0</v>
      </c>
      <c r="BO19" s="256">
        <f>油气资!AA33</f>
        <v>0</v>
      </c>
      <c r="BP19" s="256">
        <f>0</f>
        <v>0</v>
      </c>
      <c r="BQ19" s="256">
        <f t="shared" si="15"/>
        <v>0</v>
      </c>
      <c r="BS19" s="228" t="str">
        <f t="shared" si="2"/>
        <v>无增减值</v>
      </c>
      <c r="BT19" s="257">
        <f t="shared" si="3"/>
        <v>0</v>
      </c>
      <c r="BU19" s="257">
        <f t="shared" si="4"/>
        <v>0</v>
      </c>
      <c r="BV19" s="258">
        <f t="shared" si="5"/>
        <v>0</v>
      </c>
      <c r="BW19" s="259" t="str">
        <f t="shared" si="16"/>
        <v/>
      </c>
      <c r="BX19" s="158" t="str">
        <f t="shared" si="17"/>
        <v/>
      </c>
      <c r="BY19" s="158" t="str">
        <f t="shared" si="18"/>
        <v/>
      </c>
      <c r="BZ19" s="228">
        <f>COUNT(BY20:BY$27)</f>
        <v>0</v>
      </c>
    </row>
    <row r="20" ht="15" customHeight="1" spans="1:83">
      <c r="A20" s="255" t="str">
        <f>A$28&amp;"-"&amp;SUBTOTAL(103,B$7:B20)</f>
        <v>4-14</v>
      </c>
      <c r="B20" s="145" t="s">
        <v>3399</v>
      </c>
      <c r="C20" s="143">
        <f>使用权资!Q30</f>
        <v>0</v>
      </c>
      <c r="D20" s="143">
        <f>使用权资!W30</f>
        <v>0</v>
      </c>
      <c r="E20" s="143">
        <f>使用权资!AA30</f>
        <v>0</v>
      </c>
      <c r="F20" s="143">
        <f t="shared" si="19"/>
        <v>0</v>
      </c>
      <c r="G20" s="143" t="str">
        <f t="shared" si="20"/>
        <v/>
      </c>
      <c r="H20" s="165" t="str">
        <f>VLOOKUP(B20,分类汇总!B$7:L$69,H$5,FALSE)</f>
        <v>新</v>
      </c>
      <c r="BA20" s="256">
        <f>使用权资!V28</f>
        <v>0</v>
      </c>
      <c r="BB20" s="256">
        <f>使用权资!W28</f>
        <v>0</v>
      </c>
      <c r="BC20" s="256">
        <f t="shared" si="7"/>
        <v>0</v>
      </c>
      <c r="BD20" s="256">
        <f t="shared" si="8"/>
        <v>0</v>
      </c>
      <c r="BE20" s="256">
        <f>使用权资!Y28</f>
        <v>0</v>
      </c>
      <c r="BF20" s="256">
        <f>使用权资!AA28</f>
        <v>0</v>
      </c>
      <c r="BG20" s="256">
        <f t="shared" si="10"/>
        <v>0</v>
      </c>
      <c r="BH20" s="256">
        <f t="shared" si="11"/>
        <v>0</v>
      </c>
      <c r="BI20" s="242"/>
      <c r="BJ20" s="143">
        <f>使用权资!V33</f>
        <v>0</v>
      </c>
      <c r="BK20" s="143">
        <f>使用权资!W33</f>
        <v>0</v>
      </c>
      <c r="BL20" s="143">
        <f>使用权资!X33</f>
        <v>0</v>
      </c>
      <c r="BM20" s="256">
        <f t="shared" si="13"/>
        <v>0</v>
      </c>
      <c r="BN20" s="143">
        <f>使用权资!Y33</f>
        <v>0</v>
      </c>
      <c r="BO20" s="256">
        <f>使用权资!AA33</f>
        <v>0</v>
      </c>
      <c r="BP20" s="256">
        <f>0</f>
        <v>0</v>
      </c>
      <c r="BQ20" s="256">
        <f t="shared" si="15"/>
        <v>0</v>
      </c>
      <c r="BS20" s="228" t="str">
        <f t="shared" si="2"/>
        <v>无增减值</v>
      </c>
      <c r="BT20" s="257">
        <f t="shared" si="3"/>
        <v>0</v>
      </c>
      <c r="BU20" s="257">
        <f t="shared" si="4"/>
        <v>0</v>
      </c>
      <c r="BV20" s="258">
        <f t="shared" si="5"/>
        <v>0</v>
      </c>
      <c r="BW20" s="259" t="str">
        <f t="shared" si="16"/>
        <v/>
      </c>
      <c r="BX20" s="158" t="str">
        <f t="shared" si="17"/>
        <v/>
      </c>
      <c r="BY20" s="158" t="str">
        <f t="shared" si="18"/>
        <v/>
      </c>
      <c r="BZ20" s="228">
        <f>COUNT(BY21:BY$27)</f>
        <v>0</v>
      </c>
    </row>
    <row r="21" ht="15" customHeight="1" spans="1:83">
      <c r="A21" s="255" t="str">
        <f>A$28&amp;"-"&amp;SUBTOTAL(103,B$7:B21)</f>
        <v>4-15</v>
      </c>
      <c r="B21" s="145" t="s">
        <v>299</v>
      </c>
      <c r="C21" s="143">
        <f>无形资总!C28</f>
        <v>0</v>
      </c>
      <c r="D21" s="143">
        <f>无形资总!D28</f>
        <v>0</v>
      </c>
      <c r="E21" s="143">
        <f>无形资总!E28</f>
        <v>0</v>
      </c>
      <c r="F21" s="143">
        <f t="shared" si="19"/>
        <v>0</v>
      </c>
      <c r="G21" s="143" t="str">
        <f t="shared" si="20"/>
        <v/>
      </c>
      <c r="H21" s="165" t="str">
        <f>VLOOKUP(B21,分类汇总!B$7:L$69,H$5,FALSE)</f>
        <v>共</v>
      </c>
      <c r="BA21" s="256">
        <f t="shared" si="6"/>
        <v>0</v>
      </c>
      <c r="BB21" s="256">
        <f>无形资总!BB28</f>
        <v>0</v>
      </c>
      <c r="BC21" s="256">
        <f t="shared" si="7"/>
        <v>0</v>
      </c>
      <c r="BD21" s="256">
        <f t="shared" si="8"/>
        <v>0</v>
      </c>
      <c r="BE21" s="256">
        <f t="shared" si="9"/>
        <v>0</v>
      </c>
      <c r="BF21" s="256">
        <f>无形资总!BF28</f>
        <v>0</v>
      </c>
      <c r="BG21" s="256">
        <f t="shared" si="10"/>
        <v>0</v>
      </c>
      <c r="BH21" s="256">
        <f t="shared" si="11"/>
        <v>0</v>
      </c>
      <c r="BI21" s="242"/>
      <c r="BJ21" s="143">
        <f t="shared" si="12"/>
        <v>0</v>
      </c>
      <c r="BK21" s="256">
        <f>无形资总!BK28</f>
        <v>0</v>
      </c>
      <c r="BL21" s="256">
        <f>无形资总!BL28</f>
        <v>0</v>
      </c>
      <c r="BM21" s="256">
        <f t="shared" si="13"/>
        <v>0</v>
      </c>
      <c r="BN21" s="143">
        <f t="shared" si="14"/>
        <v>0</v>
      </c>
      <c r="BO21" s="256">
        <f>无形资总!BO28</f>
        <v>0</v>
      </c>
      <c r="BP21" s="256">
        <f>无形资总!BP28</f>
        <v>0</v>
      </c>
      <c r="BQ21" s="256">
        <f t="shared" si="15"/>
        <v>0</v>
      </c>
      <c r="BS21" s="228" t="str">
        <f t="shared" ref="BS21:BS26" si="21">IF(F21&gt;0,"增值",IF(F21=0,"无增减值","减值"))</f>
        <v>无增减值</v>
      </c>
      <c r="BT21" s="257">
        <f t="shared" ref="BT21:BT26" si="22">ABS(F21)</f>
        <v>0</v>
      </c>
      <c r="BU21" s="257">
        <f t="shared" ref="BU21:BU26" si="23">IFERROR(ABS(G21),0)</f>
        <v>0</v>
      </c>
      <c r="BV21" s="258">
        <f t="shared" ref="BV21:BV26" si="24">IFERROR(FIND("-",B21),0)</f>
        <v>0</v>
      </c>
      <c r="BW21" s="259" t="str">
        <f t="shared" si="16"/>
        <v/>
      </c>
      <c r="BX21" s="158" t="str">
        <f t="shared" si="17"/>
        <v/>
      </c>
      <c r="BY21" s="158" t="str">
        <f t="shared" si="18"/>
        <v/>
      </c>
      <c r="BZ21" s="228">
        <f>COUNT(BY22:BY$27)</f>
        <v>0</v>
      </c>
    </row>
    <row r="22" ht="15" customHeight="1" spans="1:83">
      <c r="A22" s="255" t="str">
        <f>A$28&amp;"-"&amp;SUBTOTAL(103,B$7:B22)</f>
        <v>4-16</v>
      </c>
      <c r="B22" s="137" t="s">
        <v>3400</v>
      </c>
      <c r="C22" s="143">
        <f>开发支出!G27</f>
        <v>0</v>
      </c>
      <c r="D22" s="143">
        <f>开发支出!I27</f>
        <v>0</v>
      </c>
      <c r="E22" s="143">
        <f>开发支出!J27</f>
        <v>0</v>
      </c>
      <c r="F22" s="143">
        <f t="shared" si="19"/>
        <v>0</v>
      </c>
      <c r="G22" s="143" t="str">
        <f t="shared" si="20"/>
        <v/>
      </c>
      <c r="H22" s="165" t="str">
        <f>VLOOKUP(B22,分类汇总!B$7:L$69,H$5,FALSE)</f>
        <v>共</v>
      </c>
      <c r="BA22" s="256">
        <f t="shared" si="6"/>
        <v>0</v>
      </c>
      <c r="BB22" s="256">
        <f>开发支出!I27</f>
        <v>0</v>
      </c>
      <c r="BC22" s="256">
        <f t="shared" si="7"/>
        <v>0</v>
      </c>
      <c r="BD22" s="256">
        <f t="shared" si="8"/>
        <v>0</v>
      </c>
      <c r="BE22" s="256">
        <f t="shared" si="9"/>
        <v>0</v>
      </c>
      <c r="BF22" s="256">
        <f>开发支出!J27</f>
        <v>0</v>
      </c>
      <c r="BG22" s="256">
        <f t="shared" si="10"/>
        <v>0</v>
      </c>
      <c r="BH22" s="256">
        <f t="shared" si="11"/>
        <v>0</v>
      </c>
      <c r="BI22" s="242"/>
      <c r="BJ22" s="143">
        <f t="shared" si="12"/>
        <v>0</v>
      </c>
      <c r="BK22" s="256">
        <f>开发支出!I30</f>
        <v>0</v>
      </c>
      <c r="BL22" s="256">
        <f>0</f>
        <v>0</v>
      </c>
      <c r="BM22" s="256">
        <f t="shared" si="13"/>
        <v>0</v>
      </c>
      <c r="BN22" s="143">
        <f t="shared" si="14"/>
        <v>0</v>
      </c>
      <c r="BO22" s="256">
        <f>开发支出!J30</f>
        <v>0</v>
      </c>
      <c r="BP22" s="256">
        <f>0</f>
        <v>0</v>
      </c>
      <c r="BQ22" s="256">
        <f t="shared" si="15"/>
        <v>0</v>
      </c>
      <c r="BS22" s="228" t="str">
        <f t="shared" si="21"/>
        <v>无增减值</v>
      </c>
      <c r="BT22" s="257">
        <f t="shared" si="22"/>
        <v>0</v>
      </c>
      <c r="BU22" s="257">
        <f t="shared" si="23"/>
        <v>0</v>
      </c>
      <c r="BV22" s="258">
        <f t="shared" si="24"/>
        <v>0</v>
      </c>
      <c r="BW22" s="259" t="str">
        <f t="shared" si="16"/>
        <v/>
      </c>
      <c r="BX22" s="158" t="str">
        <f t="shared" si="17"/>
        <v/>
      </c>
      <c r="BY22" s="158" t="str">
        <f t="shared" si="18"/>
        <v/>
      </c>
      <c r="BZ22" s="228">
        <f>COUNT(BY23:BY$27)</f>
        <v>0</v>
      </c>
    </row>
    <row r="23" ht="15" customHeight="1" spans="1:83">
      <c r="A23" s="255" t="str">
        <f>A$28&amp;"-"&amp;SUBTOTAL(103,B$7:B23)</f>
        <v>4-17</v>
      </c>
      <c r="B23" s="137" t="s">
        <v>3401</v>
      </c>
      <c r="C23" s="143">
        <f>商誉!G29</f>
        <v>0</v>
      </c>
      <c r="D23" s="143">
        <f>商誉!I29</f>
        <v>0</v>
      </c>
      <c r="E23" s="143">
        <f>商誉!J29</f>
        <v>0</v>
      </c>
      <c r="F23" s="143">
        <f t="shared" si="19"/>
        <v>0</v>
      </c>
      <c r="G23" s="143" t="str">
        <f t="shared" si="20"/>
        <v/>
      </c>
      <c r="H23" s="165" t="str">
        <f>VLOOKUP(B23,分类汇总!B$7:L$69,H$5,FALSE)</f>
        <v>共</v>
      </c>
      <c r="BA23" s="256">
        <f t="shared" si="6"/>
        <v>0</v>
      </c>
      <c r="BB23" s="256">
        <f>商誉!I27</f>
        <v>0</v>
      </c>
      <c r="BC23" s="256">
        <f t="shared" si="7"/>
        <v>0</v>
      </c>
      <c r="BD23" s="256">
        <f t="shared" si="8"/>
        <v>0</v>
      </c>
      <c r="BE23" s="256">
        <f t="shared" si="9"/>
        <v>0</v>
      </c>
      <c r="BF23" s="256">
        <f>商誉!J27</f>
        <v>0</v>
      </c>
      <c r="BG23" s="256">
        <f t="shared" si="10"/>
        <v>0</v>
      </c>
      <c r="BH23" s="256">
        <f t="shared" si="11"/>
        <v>0</v>
      </c>
      <c r="BI23" s="242"/>
      <c r="BJ23" s="143">
        <f t="shared" si="12"/>
        <v>0</v>
      </c>
      <c r="BK23" s="256">
        <f>商誉!I32</f>
        <v>0</v>
      </c>
      <c r="BL23" s="256">
        <f>0</f>
        <v>0</v>
      </c>
      <c r="BM23" s="256">
        <f t="shared" si="13"/>
        <v>0</v>
      </c>
      <c r="BN23" s="143">
        <f t="shared" si="14"/>
        <v>0</v>
      </c>
      <c r="BO23" s="256">
        <f>商誉!J32</f>
        <v>0</v>
      </c>
      <c r="BP23" s="256">
        <f>0</f>
        <v>0</v>
      </c>
      <c r="BQ23" s="256">
        <f t="shared" si="15"/>
        <v>0</v>
      </c>
      <c r="BS23" s="228" t="str">
        <f t="shared" si="21"/>
        <v>无增减值</v>
      </c>
      <c r="BT23" s="257">
        <f t="shared" si="22"/>
        <v>0</v>
      </c>
      <c r="BU23" s="257">
        <f t="shared" si="23"/>
        <v>0</v>
      </c>
      <c r="BV23" s="258">
        <f t="shared" si="24"/>
        <v>0</v>
      </c>
      <c r="BW23" s="259" t="str">
        <f t="shared" si="16"/>
        <v/>
      </c>
      <c r="BX23" s="158" t="str">
        <f t="shared" si="17"/>
        <v/>
      </c>
      <c r="BY23" s="158" t="str">
        <f t="shared" si="18"/>
        <v/>
      </c>
      <c r="BZ23" s="228">
        <f>COUNT(BY24:BY$27)</f>
        <v>0</v>
      </c>
    </row>
    <row r="24" ht="15" customHeight="1" spans="1:83">
      <c r="A24" s="255" t="str">
        <f>A$28&amp;"-"&amp;SUBTOTAL(103,B$7:B24)</f>
        <v>4-18</v>
      </c>
      <c r="B24" s="137" t="s">
        <v>3402</v>
      </c>
      <c r="C24" s="143">
        <f>长期待摊!J27</f>
        <v>0</v>
      </c>
      <c r="D24" s="143">
        <f>长期待摊!L27</f>
        <v>0</v>
      </c>
      <c r="E24" s="143">
        <f>长期待摊!N27</f>
        <v>0</v>
      </c>
      <c r="F24" s="143">
        <f t="shared" si="19"/>
        <v>0</v>
      </c>
      <c r="G24" s="143" t="str">
        <f t="shared" si="20"/>
        <v/>
      </c>
      <c r="H24" s="165" t="str">
        <f>VLOOKUP(B24,分类汇总!B$7:L$69,H$5,FALSE)</f>
        <v>共</v>
      </c>
      <c r="BA24" s="256">
        <f t="shared" si="6"/>
        <v>0</v>
      </c>
      <c r="BB24" s="256">
        <f>长期待摊!L27</f>
        <v>0</v>
      </c>
      <c r="BC24" s="256">
        <f t="shared" si="7"/>
        <v>0</v>
      </c>
      <c r="BD24" s="256">
        <f t="shared" si="8"/>
        <v>0</v>
      </c>
      <c r="BE24" s="256">
        <f t="shared" si="9"/>
        <v>0</v>
      </c>
      <c r="BF24" s="256">
        <f>长期待摊!N27</f>
        <v>0</v>
      </c>
      <c r="BG24" s="256">
        <f t="shared" si="10"/>
        <v>0</v>
      </c>
      <c r="BH24" s="256">
        <f t="shared" si="11"/>
        <v>0</v>
      </c>
      <c r="BI24" s="242"/>
      <c r="BJ24" s="143">
        <f t="shared" si="12"/>
        <v>0</v>
      </c>
      <c r="BK24" s="256">
        <f>长期待摊!L30</f>
        <v>0</v>
      </c>
      <c r="BL24" s="256">
        <f>0</f>
        <v>0</v>
      </c>
      <c r="BM24" s="256">
        <f t="shared" si="13"/>
        <v>0</v>
      </c>
      <c r="BN24" s="143">
        <f t="shared" si="14"/>
        <v>0</v>
      </c>
      <c r="BO24" s="256">
        <f>长期待摊!N30</f>
        <v>0</v>
      </c>
      <c r="BP24" s="256">
        <f>0</f>
        <v>0</v>
      </c>
      <c r="BQ24" s="256">
        <f t="shared" si="15"/>
        <v>0</v>
      </c>
      <c r="BS24" s="228" t="str">
        <f t="shared" si="21"/>
        <v>无增减值</v>
      </c>
      <c r="BT24" s="257">
        <f t="shared" si="22"/>
        <v>0</v>
      </c>
      <c r="BU24" s="257">
        <f t="shared" si="23"/>
        <v>0</v>
      </c>
      <c r="BV24" s="258">
        <f t="shared" si="24"/>
        <v>0</v>
      </c>
      <c r="BW24" s="259" t="str">
        <f t="shared" si="16"/>
        <v/>
      </c>
      <c r="BX24" s="158" t="str">
        <f t="shared" si="17"/>
        <v/>
      </c>
      <c r="BY24" s="158" t="str">
        <f t="shared" si="18"/>
        <v/>
      </c>
      <c r="BZ24" s="228">
        <f>COUNT(BY25:BY$27)</f>
        <v>0</v>
      </c>
    </row>
    <row r="25" ht="15" customHeight="1" spans="1:83">
      <c r="A25" s="255" t="str">
        <f>A$28&amp;"-"&amp;SUBTOTAL(103,B$7:B25)</f>
        <v>4-19</v>
      </c>
      <c r="B25" s="137" t="s">
        <v>3403</v>
      </c>
      <c r="C25" s="143">
        <f>递延资!G27</f>
        <v>0</v>
      </c>
      <c r="D25" s="143">
        <f>递延资!I27</f>
        <v>0</v>
      </c>
      <c r="E25" s="143">
        <f>递延资!J27</f>
        <v>0</v>
      </c>
      <c r="F25" s="143">
        <f t="shared" si="19"/>
        <v>0</v>
      </c>
      <c r="G25" s="143" t="str">
        <f t="shared" si="20"/>
        <v/>
      </c>
      <c r="H25" s="165" t="str">
        <f>VLOOKUP(B25,分类汇总!B$7:L$69,H$5,FALSE)</f>
        <v>共</v>
      </c>
      <c r="BA25" s="256">
        <f t="shared" si="6"/>
        <v>0</v>
      </c>
      <c r="BB25" s="256">
        <f>递延资!I27</f>
        <v>0</v>
      </c>
      <c r="BC25" s="256">
        <f t="shared" si="7"/>
        <v>0</v>
      </c>
      <c r="BD25" s="256">
        <f t="shared" si="8"/>
        <v>0</v>
      </c>
      <c r="BE25" s="256">
        <f t="shared" si="9"/>
        <v>0</v>
      </c>
      <c r="BF25" s="256">
        <f>递延资!J27</f>
        <v>0</v>
      </c>
      <c r="BG25" s="256">
        <f t="shared" si="10"/>
        <v>0</v>
      </c>
      <c r="BH25" s="256">
        <f t="shared" si="11"/>
        <v>0</v>
      </c>
      <c r="BI25" s="242"/>
      <c r="BJ25" s="143">
        <f t="shared" si="12"/>
        <v>0</v>
      </c>
      <c r="BK25" s="256">
        <f>递延资!I30</f>
        <v>0</v>
      </c>
      <c r="BL25" s="256">
        <f>0</f>
        <v>0</v>
      </c>
      <c r="BM25" s="256">
        <f t="shared" si="13"/>
        <v>0</v>
      </c>
      <c r="BN25" s="143">
        <f t="shared" si="14"/>
        <v>0</v>
      </c>
      <c r="BO25" s="256">
        <f>递延资!J30</f>
        <v>0</v>
      </c>
      <c r="BP25" s="256">
        <f>0</f>
        <v>0</v>
      </c>
      <c r="BQ25" s="256">
        <f t="shared" si="15"/>
        <v>0</v>
      </c>
      <c r="BS25" s="228" t="str">
        <f t="shared" si="21"/>
        <v>无增减值</v>
      </c>
      <c r="BT25" s="257">
        <f t="shared" si="22"/>
        <v>0</v>
      </c>
      <c r="BU25" s="257">
        <f t="shared" si="23"/>
        <v>0</v>
      </c>
      <c r="BV25" s="258">
        <f t="shared" si="24"/>
        <v>0</v>
      </c>
      <c r="BW25" s="259" t="str">
        <f t="shared" si="16"/>
        <v/>
      </c>
      <c r="BX25" s="158" t="str">
        <f t="shared" si="17"/>
        <v/>
      </c>
      <c r="BY25" s="158" t="str">
        <f t="shared" si="18"/>
        <v/>
      </c>
      <c r="BZ25" s="228">
        <f>COUNT(BY26:BY$27)</f>
        <v>0</v>
      </c>
    </row>
    <row r="26" ht="15" customHeight="1" spans="1:83">
      <c r="A26" s="255" t="str">
        <f>A$28&amp;"-"&amp;SUBTOTAL(103,B$7:B26)</f>
        <v>4-20</v>
      </c>
      <c r="B26" s="137" t="s">
        <v>1533</v>
      </c>
      <c r="C26" s="143">
        <f>其他非资!G27</f>
        <v>0</v>
      </c>
      <c r="D26" s="143">
        <f>其他非资!I27</f>
        <v>0</v>
      </c>
      <c r="E26" s="143">
        <f>其他非资!J27</f>
        <v>0</v>
      </c>
      <c r="F26" s="143">
        <f t="shared" si="19"/>
        <v>0</v>
      </c>
      <c r="G26" s="143" t="str">
        <f t="shared" si="20"/>
        <v/>
      </c>
      <c r="H26" s="165" t="str">
        <f>VLOOKUP(B26,分类汇总!B$7:L$69,H$5,FALSE)</f>
        <v>共</v>
      </c>
      <c r="BA26" s="256">
        <f t="shared" si="6"/>
        <v>0</v>
      </c>
      <c r="BB26" s="256">
        <f>其他非资!I27</f>
        <v>0</v>
      </c>
      <c r="BC26" s="256">
        <f t="shared" si="7"/>
        <v>0</v>
      </c>
      <c r="BD26" s="256">
        <f t="shared" si="8"/>
        <v>0</v>
      </c>
      <c r="BE26" s="256">
        <f t="shared" si="9"/>
        <v>0</v>
      </c>
      <c r="BF26" s="256">
        <f>其他非资!J27</f>
        <v>0</v>
      </c>
      <c r="BG26" s="256">
        <f t="shared" si="10"/>
        <v>0</v>
      </c>
      <c r="BH26" s="256">
        <f t="shared" si="11"/>
        <v>0</v>
      </c>
      <c r="BI26" s="242"/>
      <c r="BJ26" s="143">
        <f t="shared" si="12"/>
        <v>0</v>
      </c>
      <c r="BK26" s="256">
        <f>其他非资!I30</f>
        <v>0</v>
      </c>
      <c r="BL26" s="256">
        <f>0</f>
        <v>0</v>
      </c>
      <c r="BM26" s="256">
        <f t="shared" si="13"/>
        <v>0</v>
      </c>
      <c r="BN26" s="143">
        <f t="shared" si="14"/>
        <v>0</v>
      </c>
      <c r="BO26" s="256">
        <f>其他非资!J30</f>
        <v>0</v>
      </c>
      <c r="BP26" s="256">
        <f>0</f>
        <v>0</v>
      </c>
      <c r="BQ26" s="256">
        <f t="shared" si="15"/>
        <v>0</v>
      </c>
      <c r="BS26" s="228" t="str">
        <f t="shared" si="21"/>
        <v>无增减值</v>
      </c>
      <c r="BT26" s="257">
        <f t="shared" si="22"/>
        <v>0</v>
      </c>
      <c r="BU26" s="257">
        <f t="shared" si="23"/>
        <v>0</v>
      </c>
      <c r="BV26" s="258">
        <f t="shared" si="24"/>
        <v>0</v>
      </c>
      <c r="BW26" s="259" t="str">
        <f t="shared" si="16"/>
        <v/>
      </c>
      <c r="BX26" s="158" t="str">
        <f t="shared" si="17"/>
        <v/>
      </c>
      <c r="BY26" s="158" t="str">
        <f t="shared" si="18"/>
        <v/>
      </c>
      <c r="BZ26" s="228">
        <f>COUNT(BY27:BY$27)</f>
        <v>0</v>
      </c>
    </row>
    <row r="27" ht="15" customHeight="1" spans="1:83">
      <c r="A27" s="143"/>
      <c r="B27" s="143"/>
      <c r="C27" s="143"/>
      <c r="D27" s="143"/>
      <c r="E27" s="143"/>
      <c r="F27" s="143"/>
      <c r="G27" s="143"/>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249" t="s">
        <v>1122</v>
      </c>
      <c r="B28" s="998" t="s">
        <v>3404</v>
      </c>
      <c r="C28" s="265">
        <f>SUM(C7:C27)</f>
        <v>0</v>
      </c>
      <c r="D28" s="265">
        <f t="shared" ref="D28:E28" si="25">SUM(D7:D27)</f>
        <v>0</v>
      </c>
      <c r="E28" s="265">
        <f t="shared" si="25"/>
        <v>0</v>
      </c>
      <c r="F28" s="265">
        <f>E28-D28</f>
        <v>0</v>
      </c>
      <c r="G28" s="265" t="str">
        <f>IF(D28=0,"",F28/D28*100)</f>
        <v/>
      </c>
      <c r="H28" s="72"/>
      <c r="I28" s="72"/>
      <c r="BA28" s="266">
        <f t="shared" ref="BA28:BH28" si="26">SUM(BA7:BA27)</f>
        <v>0</v>
      </c>
      <c r="BB28" s="266">
        <f t="shared" si="26"/>
        <v>0</v>
      </c>
      <c r="BC28" s="266">
        <f t="shared" si="26"/>
        <v>0</v>
      </c>
      <c r="BD28" s="266">
        <f t="shared" si="26"/>
        <v>0</v>
      </c>
      <c r="BE28" s="266">
        <f t="shared" si="26"/>
        <v>0</v>
      </c>
      <c r="BF28" s="266">
        <f t="shared" si="26"/>
        <v>0</v>
      </c>
      <c r="BG28" s="266">
        <f t="shared" si="26"/>
        <v>0</v>
      </c>
      <c r="BH28" s="266">
        <f t="shared" si="26"/>
        <v>0</v>
      </c>
      <c r="BI28" s="267"/>
      <c r="BJ28" s="266">
        <f t="shared" ref="BJ28:BQ28" si="27">SUM(BJ7:BJ27)</f>
        <v>0</v>
      </c>
      <c r="BK28" s="266">
        <f t="shared" si="27"/>
        <v>0</v>
      </c>
      <c r="BL28" s="266">
        <f t="shared" si="27"/>
        <v>0</v>
      </c>
      <c r="BM28" s="266">
        <f t="shared" si="27"/>
        <v>0</v>
      </c>
      <c r="BN28" s="266">
        <f t="shared" si="27"/>
        <v>0</v>
      </c>
      <c r="BO28" s="266">
        <f t="shared" si="27"/>
        <v>0</v>
      </c>
      <c r="BP28" s="266">
        <f t="shared" si="27"/>
        <v>0</v>
      </c>
      <c r="BQ28" s="266">
        <f t="shared" si="27"/>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ht="15" customHeight="1" spans="1:83">
      <c r="A29" s="75" t="str">
        <f>参数表!F$6</f>
        <v>产权持有单位填表人：贾广东</v>
      </c>
      <c r="E29" s="75" t="str">
        <f>"评估人员："&amp;封面!$G$22&amp;" "&amp;封面!$G$24&amp;" "&amp;封面!$G$26&amp;" "&amp;封面!$G$28&amp;" "&amp;封面!$G$30&amp;" "&amp;封面!$G$32&amp;" "&amp;封面!$G$34&amp;" "&amp;封面!$G$36&amp;" "</f>
        <v>评估人员：  栗祥宁</v>
      </c>
      <c r="G29" s="244"/>
    </row>
    <row r="30" ht="15" customHeight="1" spans="1:83">
      <c r="A30" s="75" t="str">
        <f>参数表!F$7</f>
        <v>填表日期：2025年9月20日</v>
      </c>
    </row>
    <row r="31" customHeight="1" spans="1:83">
      <c r="C31" s="176"/>
      <c r="D31" s="176"/>
      <c r="E31" s="176"/>
    </row>
    <row r="32" customHeight="1" spans="1:83">
      <c r="C32" s="176"/>
      <c r="D32" s="176"/>
      <c r="E32" s="176"/>
    </row>
  </sheetData>
  <sheetProtection autoFilter="0"/>
  <autoFilter xmlns:etc="http://www.wps.cn/officeDocument/2017/etCustomData" ref="A6:BK26" etc:filterBottomFollowUsedRange="0">
    <extLst/>
  </autoFilter>
  <mergeCells count="8">
    <mergeCell ref="A2:G2"/>
    <mergeCell ref="A3:G3"/>
    <mergeCell ref="BA4:BH4"/>
    <mergeCell ref="BJ4:BQ4"/>
    <mergeCell ref="BA5:BD5"/>
    <mergeCell ref="BE5:BH5"/>
    <mergeCell ref="BJ5:BM5"/>
    <mergeCell ref="BN5:BQ5"/>
  </mergeCells>
  <conditionalFormatting sqref="C7:G26 A27:G27">
    <cfRule type="expression" dxfId="3" priority="1">
      <formula>$D7+$E7=0</formula>
    </cfRule>
  </conditionalFormatting>
  <hyperlinks>
    <hyperlink ref="A1" location="索引目录!C28" display="返回索引页"/>
    <hyperlink ref="B1" location="评估结果分类汇总表!B29" display="返回"/>
    <hyperlink ref="B24" location="长期待摊费用!B1" display="长期待摊费用"/>
    <hyperlink ref="B25" location="递延所得税资产!B1" display="递延所得税资产"/>
    <hyperlink ref="B26" location="其他非流动资产!B1" display="其他非流动资产"/>
    <hyperlink ref="B7" location="可供出售金融资产汇总!B1" display="可供出售金融资产"/>
    <hyperlink ref="B8" location="持有到期投资!B1" display="持有至到期投资"/>
    <hyperlink ref="B11" location="长期应收!B1" display="长期应收款"/>
    <hyperlink ref="B12" location="长期股权投资!B1" display="长期股权投资"/>
    <hyperlink ref="B15" location="投资性房地产汇总表!B1" display="投资性房地产"/>
    <hyperlink ref="B16" location="固定资产汇总!B1" display="固定资产"/>
    <hyperlink ref="B17" location="在建工程汇总!B1" display="在建工程"/>
    <hyperlink ref="B18" location="生产性生物资产!B1" display="生产性生物资产"/>
    <hyperlink ref="B19" location="油气资产!B1" display="油气资产"/>
    <hyperlink ref="B21" location="无形资产汇总!B1" display="无形资产"/>
    <hyperlink ref="B23" location="商誉!B1" display="商誉"/>
    <hyperlink ref="B22" location="开发支出!B1" display="开发支出"/>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0">
    <tabColor rgb="FFFF0000"/>
  </sheetPr>
  <dimension ref="A1:CE34"/>
  <sheetViews>
    <sheetView zoomScale="90" zoomScaleNormal="90" workbookViewId="0">
      <pane xSplit="2" ySplit="7" topLeftCell="D8" activePane="bottomRight" state="frozen"/>
      <selection/>
      <selection pane="topRight"/>
      <selection pane="bottomLeft"/>
      <selection pane="bottomRight" activeCell="E45" sqref="E45"/>
    </sheetView>
  </sheetViews>
  <sheetFormatPr defaultColWidth="9" defaultRowHeight="15.75" customHeight="1"/>
  <cols>
    <col min="1" max="1" width="7.6" style="75" customWidth="1"/>
    <col min="2" max="2" width="35.7" style="75" customWidth="1"/>
    <col min="3" max="3" width="20.6" style="75" hidden="1" customWidth="1" outlineLevel="1"/>
    <col min="4" max="4" width="20.6" style="75" customWidth="1" collapsed="1"/>
    <col min="5" max="7" width="20.6" style="75" customWidth="1"/>
    <col min="8" max="52" width="9" style="75" hidden="1" customWidth="1" outlineLevel="1"/>
    <col min="53" max="53" width="10.6" style="257" customWidth="1" collapsed="1"/>
    <col min="54" max="60" width="10.6" style="257" customWidth="1"/>
    <col min="61" max="61" width="1.6" style="227" customWidth="1"/>
    <col min="62" max="69" width="10.6" style="25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204" t="s">
        <v>1591</v>
      </c>
      <c r="B1" s="204" t="s">
        <v>1592</v>
      </c>
      <c r="C1" s="81"/>
      <c r="D1" s="81"/>
      <c r="E1" s="81"/>
      <c r="F1" s="81"/>
      <c r="G1" s="81"/>
      <c r="BA1" s="230" t="str">
        <f>参数表!BA1</f>
        <v>注意：补充特殊事项、作价等均从BA列开始填写</v>
      </c>
      <c r="BB1" s="948"/>
      <c r="BC1" s="700"/>
      <c r="BD1" s="700"/>
      <c r="BE1" s="700"/>
      <c r="BF1" s="700"/>
      <c r="BG1" s="700"/>
      <c r="BH1" s="700"/>
      <c r="BI1" s="231"/>
      <c r="BJ1" s="700"/>
      <c r="BK1" s="700"/>
      <c r="BL1" s="700"/>
      <c r="BM1" s="700"/>
      <c r="BN1" s="700"/>
      <c r="BO1" s="700"/>
      <c r="BP1" s="700"/>
      <c r="BQ1" s="700"/>
      <c r="BS1" s="86"/>
      <c r="BT1" s="86"/>
      <c r="BU1" s="86"/>
      <c r="BV1" s="86"/>
      <c r="BW1" s="86"/>
      <c r="BX1" s="86"/>
      <c r="BY1" s="82"/>
      <c r="BZ1" s="86"/>
      <c r="CD1" s="232"/>
      <c r="CE1" s="232"/>
    </row>
    <row r="2" s="71" customFormat="1" ht="30" customHeight="1" spans="1:83">
      <c r="A2" s="233" t="s">
        <v>3405</v>
      </c>
      <c r="B2" s="233"/>
      <c r="C2" s="233"/>
      <c r="D2" s="233"/>
      <c r="E2" s="233"/>
      <c r="F2" s="233"/>
      <c r="G2" s="233"/>
      <c r="BA2" s="948" t="str">
        <f>参数表!BA2</f>
        <v>评估基准日：</v>
      </c>
      <c r="BB2" s="948" t="str">
        <f>参数表!BB2</f>
        <v>2025年7月31日</v>
      </c>
      <c r="BC2" s="949"/>
      <c r="BD2" s="949"/>
      <c r="BE2" s="949"/>
      <c r="BF2" s="949"/>
      <c r="BG2" s="949"/>
      <c r="BH2" s="949"/>
      <c r="BI2" s="234"/>
      <c r="BJ2" s="949"/>
      <c r="BK2" s="949"/>
      <c r="BL2" s="949"/>
      <c r="BM2" s="949"/>
      <c r="BN2" s="949"/>
      <c r="BO2" s="949"/>
      <c r="BP2" s="949"/>
      <c r="BQ2" s="949"/>
      <c r="BS2" s="235"/>
      <c r="BT2" s="235"/>
      <c r="BU2" s="235"/>
      <c r="BV2" s="235"/>
      <c r="BW2" s="235"/>
      <c r="BX2" s="235"/>
      <c r="BY2" s="236"/>
      <c r="BZ2" s="235"/>
      <c r="CD2" s="237"/>
      <c r="CE2" s="237"/>
    </row>
    <row r="3" ht="15" customHeight="1" spans="1:83">
      <c r="A3" s="238" t="str">
        <f>CONCATENATE(封面!D9,封面!F9,封面!G9,封面!H9,封面!I9,封面!J9,封面!K9)</f>
        <v>评估基准日：2025年7月31日</v>
      </c>
      <c r="B3" s="238"/>
      <c r="C3" s="238"/>
      <c r="D3" s="238"/>
      <c r="E3" s="238"/>
      <c r="F3" s="238"/>
      <c r="G3" s="238"/>
      <c r="BA3" s="948" t="str">
        <f>参数表!BA3</f>
        <v>是否显示评估值：</v>
      </c>
      <c r="BB3" s="948" t="str">
        <f>参数表!BB3</f>
        <v>是</v>
      </c>
    </row>
    <row r="4" ht="15" customHeight="1" spans="1:83">
      <c r="A4" s="238"/>
      <c r="B4" s="238"/>
      <c r="C4" s="238"/>
      <c r="D4" s="238"/>
      <c r="E4" s="238"/>
      <c r="F4" s="238"/>
      <c r="G4" s="338" t="str">
        <f>"表"&amp;A28</f>
        <v>表4-1</v>
      </c>
      <c r="K4" s="277"/>
      <c r="BA4" s="240" t="s">
        <v>1595</v>
      </c>
      <c r="BB4" s="241"/>
      <c r="BC4" s="241"/>
      <c r="BD4" s="241"/>
      <c r="BE4" s="241"/>
      <c r="BF4" s="241"/>
      <c r="BG4" s="241"/>
      <c r="BH4" s="241"/>
      <c r="BI4" s="242"/>
      <c r="BJ4" s="241" t="s">
        <v>1545</v>
      </c>
      <c r="BK4" s="241"/>
      <c r="BL4" s="241"/>
      <c r="BM4" s="241"/>
      <c r="BN4" s="241"/>
      <c r="BO4" s="241"/>
      <c r="BP4" s="241"/>
      <c r="BQ4" s="241"/>
      <c r="BS4" s="228" t="str">
        <f>LEFT(A2,LEN(A2)-5)</f>
        <v>可供出售金融资产</v>
      </c>
    </row>
    <row r="5" ht="15" customHeight="1" spans="1:83">
      <c r="A5" s="243" t="str">
        <f>参数表!F3</f>
        <v>产权持有单位:中煤第五建设有限公司</v>
      </c>
      <c r="G5" s="244" t="s">
        <v>236</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可供出售金融资产为：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1525</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255" t="str">
        <f>A$28&amp;"-"&amp;SUBTOTAL(103,B$7:B7)</f>
        <v>4-1-1</v>
      </c>
      <c r="B7" s="145" t="s">
        <v>3406</v>
      </c>
      <c r="C7" s="143">
        <f>'可供-股票'!L29</f>
        <v>0</v>
      </c>
      <c r="D7" s="143">
        <f>'可供-股票'!N29</f>
        <v>0</v>
      </c>
      <c r="E7" s="143">
        <f>'可供-股票'!O29</f>
        <v>0</v>
      </c>
      <c r="F7" s="143">
        <f t="shared" ref="F7:F9" si="0">E7-D7</f>
        <v>0</v>
      </c>
      <c r="G7" s="143" t="str">
        <f t="shared" ref="G7:G9" si="1">IF(D7=0,"",F7/D7*100)</f>
        <v/>
      </c>
      <c r="BA7" s="256">
        <f>BB7</f>
        <v>0</v>
      </c>
      <c r="BB7" s="256">
        <f>'可供-股票'!N27</f>
        <v>0</v>
      </c>
      <c r="BC7" s="256">
        <f>BB7-BD7</f>
        <v>0</v>
      </c>
      <c r="BD7" s="256">
        <f>D7</f>
        <v>0</v>
      </c>
      <c r="BE7" s="256">
        <f>BF7</f>
        <v>0</v>
      </c>
      <c r="BF7" s="256">
        <f>'可供-股票'!O27</f>
        <v>0</v>
      </c>
      <c r="BG7" s="256">
        <f>BF7-BH7</f>
        <v>0</v>
      </c>
      <c r="BH7" s="256">
        <f>E7</f>
        <v>0</v>
      </c>
      <c r="BI7" s="242"/>
      <c r="BJ7" s="143">
        <f>BK7</f>
        <v>0</v>
      </c>
      <c r="BK7" s="256">
        <f>'可供-股票'!N32</f>
        <v>0</v>
      </c>
      <c r="BL7" s="256">
        <f>0</f>
        <v>0</v>
      </c>
      <c r="BM7" s="256">
        <f>BK7-BL7</f>
        <v>0</v>
      </c>
      <c r="BN7" s="143">
        <f>BO7</f>
        <v>0</v>
      </c>
      <c r="BO7" s="256">
        <f>'可供-股票'!O32</f>
        <v>0</v>
      </c>
      <c r="BP7" s="256">
        <f>0</f>
        <v>0</v>
      </c>
      <c r="BQ7" s="256">
        <f>BO7-BP7</f>
        <v>0</v>
      </c>
      <c r="BS7" s="228" t="str">
        <f t="shared" ref="BS7:BS9" si="2">IF(F7&gt;0,"增值",IF(F7=0,"无增减值","减值"))</f>
        <v>无增减值</v>
      </c>
      <c r="BT7" s="257">
        <f t="shared" ref="BT7:BT9" si="3">ABS(F7)</f>
        <v>0</v>
      </c>
      <c r="BU7" s="257">
        <f t="shared" ref="BU7:BU9" si="4">IFERROR(ABS(G7),0)</f>
        <v>0</v>
      </c>
      <c r="BV7" s="258">
        <f t="shared" ref="BV7:BV9" si="5">IFERROR(FIND("-",B7),0)</f>
        <v>9</v>
      </c>
      <c r="BW7" s="259" t="str">
        <f>IF(SUM(BA7:BH7)=0,"",RIGHT(B7,LEN(B7)-BV7))</f>
        <v/>
      </c>
      <c r="BX7" s="158" t="str">
        <f>IF(BY7="","",IF(BZ7&gt;1,"、",IF(BZ7=1,"和","")))</f>
        <v/>
      </c>
      <c r="BY7" s="158" t="str">
        <f>IF(BW7="","",1)</f>
        <v/>
      </c>
      <c r="BZ7" s="228">
        <f>COUNT(BY8:BY$27)</f>
        <v>0</v>
      </c>
    </row>
    <row r="8" ht="15" customHeight="1" spans="1:83">
      <c r="A8" s="255" t="str">
        <f>A$28&amp;"-"&amp;SUBTOTAL(103,B$7:B8)</f>
        <v>4-1-2</v>
      </c>
      <c r="B8" s="145" t="s">
        <v>3407</v>
      </c>
      <c r="C8" s="143">
        <f>'可供-债券'!L29</f>
        <v>0</v>
      </c>
      <c r="D8" s="143">
        <f>'可供-债券'!N29</f>
        <v>0</v>
      </c>
      <c r="E8" s="143">
        <f>'可供-债券'!O29</f>
        <v>0</v>
      </c>
      <c r="F8" s="143">
        <f t="shared" si="0"/>
        <v>0</v>
      </c>
      <c r="G8" s="143" t="str">
        <f t="shared" si="1"/>
        <v/>
      </c>
      <c r="BA8" s="256">
        <f t="shared" ref="BA8:BA9" si="6">BB8</f>
        <v>0</v>
      </c>
      <c r="BB8" s="256">
        <f>'可供-债券'!N27</f>
        <v>0</v>
      </c>
      <c r="BC8" s="256">
        <f t="shared" ref="BC8:BC9" si="7">BB8-BD8</f>
        <v>0</v>
      </c>
      <c r="BD8" s="256">
        <f t="shared" ref="BD8:BD9" si="8">D8</f>
        <v>0</v>
      </c>
      <c r="BE8" s="256">
        <f t="shared" ref="BE8:BE9" si="9">BF8</f>
        <v>0</v>
      </c>
      <c r="BF8" s="256">
        <f>'可供-债券'!O27</f>
        <v>0</v>
      </c>
      <c r="BG8" s="256">
        <f t="shared" ref="BG8:BG9" si="10">BF8-BH8</f>
        <v>0</v>
      </c>
      <c r="BH8" s="256">
        <f t="shared" ref="BH8:BH9" si="11">E8</f>
        <v>0</v>
      </c>
      <c r="BI8" s="242"/>
      <c r="BJ8" s="143">
        <f t="shared" ref="BJ8:BJ9" si="12">BK8</f>
        <v>0</v>
      </c>
      <c r="BK8" s="256">
        <f>'可供-债券'!N32</f>
        <v>0</v>
      </c>
      <c r="BL8" s="256">
        <f>0</f>
        <v>0</v>
      </c>
      <c r="BM8" s="256">
        <f t="shared" ref="BM8:BM9" si="13">BK8-BL8</f>
        <v>0</v>
      </c>
      <c r="BN8" s="143">
        <f t="shared" ref="BN8:BN9" si="14">BO8</f>
        <v>0</v>
      </c>
      <c r="BO8" s="256">
        <f>'可供-债券'!O32</f>
        <v>0</v>
      </c>
      <c r="BP8" s="256">
        <f>0</f>
        <v>0</v>
      </c>
      <c r="BQ8" s="256">
        <f t="shared" ref="BQ8:BQ9" si="15">BO8-BP8</f>
        <v>0</v>
      </c>
      <c r="BS8" s="228" t="str">
        <f t="shared" si="2"/>
        <v>无增减值</v>
      </c>
      <c r="BT8" s="257">
        <f t="shared" si="3"/>
        <v>0</v>
      </c>
      <c r="BU8" s="257">
        <f t="shared" si="4"/>
        <v>0</v>
      </c>
      <c r="BV8" s="258">
        <f t="shared" si="5"/>
        <v>9</v>
      </c>
      <c r="BW8" s="259" t="str">
        <f t="shared" ref="BW8:BW9" si="16">IF(SUM(BA8:BH8)=0,"",RIGHT(B8,LEN(B8)-BV8))</f>
        <v/>
      </c>
      <c r="BX8" s="158" t="str">
        <f t="shared" ref="BX8:BX9" si="17">IF(BY8="","",IF(BZ8&gt;1,"、",IF(BZ8=1,"和","")))</f>
        <v/>
      </c>
      <c r="BY8" s="158" t="str">
        <f t="shared" ref="BY8:BY9" si="18">IF(BW8="","",1)</f>
        <v/>
      </c>
      <c r="BZ8" s="228">
        <f>COUNT(BY9:BY$27)</f>
        <v>0</v>
      </c>
    </row>
    <row r="9" ht="15" customHeight="1" spans="1:83">
      <c r="A9" s="255" t="str">
        <f>A$28&amp;"-"&amp;SUBTOTAL(103,B$7:B9)</f>
        <v>4-1-3</v>
      </c>
      <c r="B9" s="145" t="s">
        <v>3408</v>
      </c>
      <c r="C9" s="143">
        <f>'可供-其他'!L29</f>
        <v>0</v>
      </c>
      <c r="D9" s="143">
        <f>'可供-其他'!N29</f>
        <v>0</v>
      </c>
      <c r="E9" s="143">
        <f>'可供-其他'!O29</f>
        <v>0</v>
      </c>
      <c r="F9" s="143">
        <f t="shared" si="0"/>
        <v>0</v>
      </c>
      <c r="G9" s="143" t="str">
        <f t="shared" si="1"/>
        <v/>
      </c>
      <c r="BA9" s="256">
        <f t="shared" si="6"/>
        <v>0</v>
      </c>
      <c r="BB9" s="256">
        <f>'可供-其他'!N27</f>
        <v>0</v>
      </c>
      <c r="BC9" s="256">
        <f t="shared" si="7"/>
        <v>0</v>
      </c>
      <c r="BD9" s="256">
        <f t="shared" si="8"/>
        <v>0</v>
      </c>
      <c r="BE9" s="256">
        <f t="shared" si="9"/>
        <v>0</v>
      </c>
      <c r="BF9" s="256">
        <f>'可供-其他'!O27</f>
        <v>0</v>
      </c>
      <c r="BG9" s="256">
        <f t="shared" si="10"/>
        <v>0</v>
      </c>
      <c r="BH9" s="256">
        <f t="shared" si="11"/>
        <v>0</v>
      </c>
      <c r="BI9" s="242"/>
      <c r="BJ9" s="143">
        <f t="shared" si="12"/>
        <v>0</v>
      </c>
      <c r="BK9" s="256">
        <f>'可供-其他'!N32</f>
        <v>0</v>
      </c>
      <c r="BL9" s="256">
        <f>0</f>
        <v>0</v>
      </c>
      <c r="BM9" s="256">
        <f t="shared" si="13"/>
        <v>0</v>
      </c>
      <c r="BN9" s="143">
        <f t="shared" si="14"/>
        <v>0</v>
      </c>
      <c r="BO9" s="256">
        <f>'可供-其他'!O32</f>
        <v>0</v>
      </c>
      <c r="BP9" s="256">
        <f>0</f>
        <v>0</v>
      </c>
      <c r="BQ9" s="256">
        <f t="shared" si="15"/>
        <v>0</v>
      </c>
      <c r="BS9" s="228" t="str">
        <f t="shared" si="2"/>
        <v>无增减值</v>
      </c>
      <c r="BT9" s="257">
        <f t="shared" si="3"/>
        <v>0</v>
      </c>
      <c r="BU9" s="257">
        <f t="shared" si="4"/>
        <v>0</v>
      </c>
      <c r="BV9" s="258">
        <f t="shared" si="5"/>
        <v>9</v>
      </c>
      <c r="BW9" s="259" t="str">
        <f t="shared" si="16"/>
        <v/>
      </c>
      <c r="BX9" s="158" t="str">
        <f t="shared" si="17"/>
        <v/>
      </c>
      <c r="BY9" s="158" t="str">
        <f t="shared" si="18"/>
        <v/>
      </c>
      <c r="BZ9" s="228">
        <f>COUNT(BY10:BY$27)</f>
        <v>0</v>
      </c>
    </row>
    <row r="10" ht="15" customHeight="1" spans="1:83">
      <c r="A10" s="255"/>
      <c r="B10" s="145"/>
      <c r="C10" s="143"/>
      <c r="D10" s="143"/>
      <c r="E10" s="143"/>
      <c r="F10" s="143"/>
      <c r="G10" s="143"/>
      <c r="BA10" s="256"/>
      <c r="BB10" s="256"/>
      <c r="BC10" s="256"/>
      <c r="BD10" s="256"/>
      <c r="BE10" s="256"/>
      <c r="BF10" s="256"/>
      <c r="BG10" s="256"/>
      <c r="BH10" s="256"/>
      <c r="BI10" s="242"/>
      <c r="BJ10" s="256"/>
      <c r="BK10" s="256"/>
      <c r="BL10" s="256"/>
      <c r="BM10" s="256"/>
      <c r="BN10" s="256"/>
      <c r="BO10" s="256"/>
      <c r="BP10" s="256"/>
      <c r="BQ10" s="256"/>
      <c r="BS10" s="228"/>
      <c r="BT10" s="257"/>
      <c r="BU10" s="257"/>
      <c r="BV10" s="258"/>
      <c r="BW10" s="259"/>
      <c r="BY10" s="158"/>
      <c r="BZ10" s="228"/>
    </row>
    <row r="11" ht="15" customHeight="1" spans="1:83">
      <c r="A11" s="255"/>
      <c r="B11" s="145"/>
      <c r="C11" s="143"/>
      <c r="D11" s="143"/>
      <c r="E11" s="143"/>
      <c r="F11" s="143"/>
      <c r="G11" s="143"/>
      <c r="BA11" s="256"/>
      <c r="BB11" s="256"/>
      <c r="BC11" s="256"/>
      <c r="BD11" s="256"/>
      <c r="BE11" s="256"/>
      <c r="BF11" s="256"/>
      <c r="BG11" s="256"/>
      <c r="BH11" s="256"/>
      <c r="BI11" s="242"/>
      <c r="BJ11" s="256"/>
      <c r="BK11" s="256"/>
      <c r="BL11" s="256"/>
      <c r="BM11" s="256"/>
      <c r="BN11" s="256"/>
      <c r="BO11" s="256"/>
      <c r="BP11" s="256"/>
      <c r="BQ11" s="256"/>
      <c r="BS11" s="228"/>
      <c r="BT11" s="257"/>
      <c r="BU11" s="257"/>
      <c r="BV11" s="258"/>
      <c r="BW11" s="259"/>
      <c r="BY11" s="158"/>
      <c r="BZ11" s="228"/>
    </row>
    <row r="12" ht="15" customHeight="1" spans="1:83">
      <c r="A12" s="255"/>
      <c r="B12" s="145"/>
      <c r="C12" s="143"/>
      <c r="D12" s="143"/>
      <c r="E12" s="143"/>
      <c r="F12" s="143"/>
      <c r="G12" s="143"/>
      <c r="BA12" s="256"/>
      <c r="BB12" s="256"/>
      <c r="BC12" s="256"/>
      <c r="BD12" s="256"/>
      <c r="BE12" s="256"/>
      <c r="BF12" s="256"/>
      <c r="BG12" s="256"/>
      <c r="BH12" s="256"/>
      <c r="BI12" s="242"/>
      <c r="BJ12" s="256"/>
      <c r="BK12" s="256"/>
      <c r="BL12" s="256"/>
      <c r="BM12" s="256"/>
      <c r="BN12" s="256"/>
      <c r="BO12" s="256"/>
      <c r="BP12" s="256"/>
      <c r="BQ12" s="256"/>
      <c r="BS12" s="228"/>
      <c r="BT12" s="257"/>
      <c r="BU12" s="257"/>
      <c r="BV12" s="258"/>
      <c r="BW12" s="259"/>
      <c r="BY12" s="158"/>
      <c r="BZ12" s="228"/>
    </row>
    <row r="13" ht="15" customHeight="1" spans="1:83">
      <c r="A13" s="255"/>
      <c r="B13" s="145"/>
      <c r="C13" s="143"/>
      <c r="D13" s="143"/>
      <c r="E13" s="143"/>
      <c r="F13" s="143"/>
      <c r="G13" s="143"/>
      <c r="BA13" s="256"/>
      <c r="BB13" s="256"/>
      <c r="BC13" s="256"/>
      <c r="BD13" s="256"/>
      <c r="BE13" s="256"/>
      <c r="BF13" s="256"/>
      <c r="BG13" s="256"/>
      <c r="BH13" s="256"/>
      <c r="BI13" s="242"/>
      <c r="BJ13" s="256"/>
      <c r="BK13" s="256"/>
      <c r="BL13" s="256"/>
      <c r="BM13" s="256"/>
      <c r="BN13" s="256"/>
      <c r="BO13" s="256"/>
      <c r="BP13" s="256"/>
      <c r="BQ13" s="256"/>
      <c r="BS13" s="228"/>
      <c r="BT13" s="257"/>
      <c r="BU13" s="257"/>
      <c r="BV13" s="258"/>
      <c r="BW13" s="259"/>
      <c r="BY13" s="158"/>
      <c r="BZ13" s="228"/>
    </row>
    <row r="14" ht="15" customHeight="1" spans="1:83">
      <c r="A14" s="255"/>
      <c r="B14" s="145"/>
      <c r="C14" s="143"/>
      <c r="D14" s="143"/>
      <c r="E14" s="143"/>
      <c r="F14" s="143"/>
      <c r="G14" s="143"/>
      <c r="BA14" s="256"/>
      <c r="BB14" s="256"/>
      <c r="BC14" s="256"/>
      <c r="BD14" s="256"/>
      <c r="BE14" s="256"/>
      <c r="BF14" s="256"/>
      <c r="BG14" s="256"/>
      <c r="BH14" s="256"/>
      <c r="BI14" s="242"/>
      <c r="BJ14" s="256"/>
      <c r="BK14" s="256"/>
      <c r="BL14" s="256"/>
      <c r="BM14" s="256"/>
      <c r="BN14" s="256"/>
      <c r="BO14" s="256"/>
      <c r="BP14" s="256"/>
      <c r="BQ14" s="256"/>
      <c r="BS14" s="228"/>
      <c r="BT14" s="257"/>
      <c r="BU14" s="257"/>
      <c r="BV14" s="258"/>
      <c r="BW14" s="259"/>
      <c r="BY14" s="158"/>
      <c r="BZ14" s="228"/>
    </row>
    <row r="15" ht="15" customHeight="1" spans="1:83">
      <c r="A15" s="255"/>
      <c r="B15" s="145"/>
      <c r="C15" s="143"/>
      <c r="D15" s="143"/>
      <c r="E15" s="143"/>
      <c r="F15" s="143"/>
      <c r="G15" s="143"/>
      <c r="BA15" s="256"/>
      <c r="BB15" s="256"/>
      <c r="BC15" s="256"/>
      <c r="BD15" s="256"/>
      <c r="BE15" s="256"/>
      <c r="BF15" s="256"/>
      <c r="BG15" s="256"/>
      <c r="BH15" s="256"/>
      <c r="BI15" s="242"/>
      <c r="BJ15" s="256"/>
      <c r="BK15" s="256"/>
      <c r="BL15" s="256"/>
      <c r="BM15" s="256"/>
      <c r="BN15" s="256"/>
      <c r="BO15" s="256"/>
      <c r="BP15" s="256"/>
      <c r="BQ15" s="256"/>
      <c r="BS15" s="228"/>
      <c r="BT15" s="257"/>
      <c r="BU15" s="257"/>
      <c r="BV15" s="258"/>
      <c r="BW15" s="259"/>
      <c r="BY15" s="158"/>
      <c r="BZ15" s="228"/>
    </row>
    <row r="16" ht="15" customHeight="1" spans="1:83">
      <c r="A16" s="255"/>
      <c r="B16" s="145"/>
      <c r="C16" s="143"/>
      <c r="D16" s="143"/>
      <c r="E16" s="143"/>
      <c r="F16" s="143"/>
      <c r="G16" s="143"/>
      <c r="BA16" s="256"/>
      <c r="BB16" s="256"/>
      <c r="BC16" s="256"/>
      <c r="BD16" s="256"/>
      <c r="BE16" s="256"/>
      <c r="BF16" s="256"/>
      <c r="BG16" s="256"/>
      <c r="BH16" s="256"/>
      <c r="BI16" s="242"/>
      <c r="BJ16" s="256"/>
      <c r="BK16" s="256"/>
      <c r="BL16" s="256"/>
      <c r="BM16" s="256"/>
      <c r="BN16" s="256"/>
      <c r="BO16" s="256"/>
      <c r="BP16" s="256"/>
      <c r="BQ16" s="256"/>
      <c r="BS16" s="228"/>
      <c r="BT16" s="257"/>
      <c r="BU16" s="257"/>
      <c r="BV16" s="258"/>
      <c r="BW16" s="259"/>
      <c r="BY16" s="158"/>
      <c r="BZ16" s="228"/>
    </row>
    <row r="17" ht="15" customHeight="1" spans="1:83">
      <c r="A17" s="255"/>
      <c r="B17" s="145"/>
      <c r="C17" s="143"/>
      <c r="D17" s="143"/>
      <c r="E17" s="143"/>
      <c r="F17" s="143"/>
      <c r="G17" s="143"/>
      <c r="BA17" s="256"/>
      <c r="BB17" s="256"/>
      <c r="BC17" s="256"/>
      <c r="BD17" s="256"/>
      <c r="BE17" s="256"/>
      <c r="BF17" s="256"/>
      <c r="BG17" s="256"/>
      <c r="BH17" s="256"/>
      <c r="BI17" s="242"/>
      <c r="BJ17" s="256"/>
      <c r="BK17" s="256"/>
      <c r="BL17" s="256"/>
      <c r="BM17" s="256"/>
      <c r="BN17" s="256"/>
      <c r="BO17" s="256"/>
      <c r="BP17" s="256"/>
      <c r="BQ17" s="256"/>
      <c r="BS17" s="228"/>
      <c r="BT17" s="257"/>
      <c r="BU17" s="257"/>
      <c r="BV17" s="258"/>
      <c r="BW17" s="259"/>
      <c r="BY17" s="158"/>
      <c r="BZ17" s="228"/>
    </row>
    <row r="18" ht="15" customHeight="1" spans="1:83">
      <c r="A18" s="255"/>
      <c r="B18" s="145"/>
      <c r="C18" s="143"/>
      <c r="D18" s="143"/>
      <c r="E18" s="143"/>
      <c r="F18" s="143"/>
      <c r="G18" s="143"/>
      <c r="BA18" s="256"/>
      <c r="BB18" s="256"/>
      <c r="BC18" s="256"/>
      <c r="BD18" s="256"/>
      <c r="BE18" s="256"/>
      <c r="BF18" s="256"/>
      <c r="BG18" s="256"/>
      <c r="BH18" s="256"/>
      <c r="BI18" s="242"/>
      <c r="BJ18" s="256"/>
      <c r="BK18" s="256"/>
      <c r="BL18" s="256"/>
      <c r="BM18" s="256"/>
      <c r="BN18" s="256"/>
      <c r="BO18" s="256"/>
      <c r="BP18" s="256"/>
      <c r="BQ18" s="256"/>
      <c r="BS18" s="228"/>
      <c r="BT18" s="257"/>
      <c r="BU18" s="257"/>
      <c r="BV18" s="258"/>
      <c r="BW18" s="259"/>
      <c r="BY18" s="158"/>
      <c r="BZ18" s="228"/>
    </row>
    <row r="19" ht="15" customHeight="1" spans="1:83">
      <c r="A19" s="255"/>
      <c r="B19" s="145"/>
      <c r="C19" s="143"/>
      <c r="D19" s="143"/>
      <c r="E19" s="143"/>
      <c r="F19" s="143"/>
      <c r="G19" s="143"/>
      <c r="BA19" s="256"/>
      <c r="BB19" s="256"/>
      <c r="BC19" s="256"/>
      <c r="BD19" s="256"/>
      <c r="BE19" s="256"/>
      <c r="BF19" s="256"/>
      <c r="BG19" s="256"/>
      <c r="BH19" s="256"/>
      <c r="BI19" s="242"/>
      <c r="BJ19" s="256"/>
      <c r="BK19" s="256"/>
      <c r="BL19" s="256"/>
      <c r="BM19" s="256"/>
      <c r="BN19" s="256"/>
      <c r="BO19" s="256"/>
      <c r="BP19" s="256"/>
      <c r="BQ19" s="256"/>
      <c r="BS19" s="228"/>
      <c r="BT19" s="257"/>
      <c r="BU19" s="257"/>
      <c r="BV19" s="258"/>
      <c r="BW19" s="259"/>
      <c r="BY19" s="158"/>
      <c r="BZ19" s="228"/>
    </row>
    <row r="20" ht="15" customHeight="1" spans="1:83">
      <c r="A20" s="255"/>
      <c r="B20" s="145"/>
      <c r="C20" s="143"/>
      <c r="D20" s="143"/>
      <c r="E20" s="143"/>
      <c r="F20" s="143"/>
      <c r="G20" s="143"/>
      <c r="BA20" s="256"/>
      <c r="BB20" s="256"/>
      <c r="BC20" s="256"/>
      <c r="BD20" s="256"/>
      <c r="BE20" s="256"/>
      <c r="BF20" s="256"/>
      <c r="BG20" s="256"/>
      <c r="BH20" s="256"/>
      <c r="BI20" s="242"/>
      <c r="BJ20" s="256"/>
      <c r="BK20" s="256"/>
      <c r="BL20" s="256"/>
      <c r="BM20" s="256"/>
      <c r="BN20" s="256"/>
      <c r="BO20" s="256"/>
      <c r="BP20" s="256"/>
      <c r="BQ20" s="256"/>
      <c r="BS20" s="228"/>
      <c r="BT20" s="257"/>
      <c r="BU20" s="257"/>
      <c r="BV20" s="258"/>
      <c r="BW20" s="259"/>
      <c r="BY20" s="158"/>
      <c r="BZ20" s="228"/>
    </row>
    <row r="21" ht="15" customHeight="1" spans="1:83">
      <c r="A21" s="255"/>
      <c r="B21" s="145"/>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ht="15" customHeight="1" spans="1:83">
      <c r="A22" s="255"/>
      <c r="B22" s="145"/>
      <c r="C22" s="143"/>
      <c r="D22" s="143"/>
      <c r="E22" s="143"/>
      <c r="F22" s="143"/>
      <c r="G22" s="143"/>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ht="15" customHeight="1" spans="1:83">
      <c r="A23" s="143"/>
      <c r="B23" s="143"/>
      <c r="C23" s="143"/>
      <c r="D23" s="143"/>
      <c r="E23" s="143"/>
      <c r="F23" s="143"/>
      <c r="G23" s="143"/>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ht="15" customHeight="1" spans="1:83">
      <c r="A24" s="143"/>
      <c r="B24" s="143"/>
      <c r="C24" s="143"/>
      <c r="D24" s="143"/>
      <c r="E24" s="143"/>
      <c r="F24" s="143"/>
      <c r="G24" s="143"/>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ht="15" customHeight="1" spans="1:83">
      <c r="A25" s="143"/>
      <c r="B25" s="143"/>
      <c r="C25" s="143"/>
      <c r="D25" s="143"/>
      <c r="E25" s="143"/>
      <c r="F25" s="143"/>
      <c r="G25" s="143"/>
      <c r="BA25" s="256"/>
      <c r="BB25" s="256"/>
      <c r="BC25" s="256"/>
      <c r="BD25" s="256"/>
      <c r="BE25" s="256"/>
      <c r="BF25" s="256"/>
      <c r="BG25" s="256"/>
      <c r="BH25" s="256"/>
      <c r="BI25" s="242"/>
      <c r="BJ25" s="256"/>
      <c r="BK25" s="256"/>
      <c r="BL25" s="256"/>
      <c r="BM25" s="256"/>
      <c r="BN25" s="256"/>
      <c r="BO25" s="256"/>
      <c r="BP25" s="256"/>
      <c r="BQ25" s="256"/>
      <c r="BS25" s="228"/>
      <c r="BT25" s="257"/>
      <c r="BU25" s="257"/>
      <c r="BV25" s="258"/>
      <c r="BW25" s="259"/>
      <c r="BY25" s="158"/>
      <c r="BZ25" s="228"/>
    </row>
    <row r="26" s="73" customFormat="1" ht="15" customHeight="1" spans="1:83">
      <c r="A26" s="143"/>
      <c r="B26" s="143"/>
      <c r="C26" s="143"/>
      <c r="D26" s="143"/>
      <c r="E26" s="143"/>
      <c r="F26" s="143"/>
      <c r="G26" s="143"/>
      <c r="BA26" s="256"/>
      <c r="BB26" s="256"/>
      <c r="BC26" s="256"/>
      <c r="BD26" s="256"/>
      <c r="BE26" s="256"/>
      <c r="BF26" s="256"/>
      <c r="BG26" s="256"/>
      <c r="BH26" s="256"/>
      <c r="BI26" s="242"/>
      <c r="BJ26" s="256"/>
      <c r="BK26" s="256"/>
      <c r="BL26" s="256"/>
      <c r="BM26" s="256"/>
      <c r="BN26" s="256"/>
      <c r="BO26" s="256"/>
      <c r="BP26" s="256"/>
      <c r="BQ26" s="256"/>
      <c r="BR26" s="75"/>
      <c r="BS26" s="228"/>
      <c r="BT26" s="257"/>
      <c r="BU26" s="257"/>
      <c r="BV26" s="258"/>
      <c r="BW26" s="259"/>
      <c r="BX26" s="158"/>
      <c r="BY26" s="158"/>
      <c r="BZ26" s="228"/>
      <c r="CA26" s="75"/>
      <c r="CB26" s="75"/>
      <c r="CC26" s="75"/>
      <c r="CD26" s="229"/>
      <c r="CE26" s="229"/>
    </row>
    <row r="27" ht="15" customHeight="1" spans="1:83">
      <c r="A27" s="143"/>
      <c r="B27" s="143"/>
      <c r="C27" s="143"/>
      <c r="D27" s="143"/>
      <c r="E27" s="143"/>
      <c r="F27" s="143"/>
      <c r="G27" s="143"/>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280" t="str">
        <f>非流动资总!A7</f>
        <v>4-1</v>
      </c>
      <c r="B28" s="342" t="s">
        <v>3409</v>
      </c>
      <c r="C28" s="264">
        <f>SUM(C7:C27)</f>
        <v>0</v>
      </c>
      <c r="D28" s="264">
        <f t="shared" ref="D28:E28" si="19">SUM(D7:D27)</f>
        <v>0</v>
      </c>
      <c r="E28" s="264">
        <f t="shared" si="19"/>
        <v>0</v>
      </c>
      <c r="F28" s="264">
        <f>F26-F27</f>
        <v>0</v>
      </c>
      <c r="G28" s="265" t="str">
        <f>IF(D28=0,"",F28/D28*100)</f>
        <v/>
      </c>
      <c r="BA28" s="266">
        <f t="shared" ref="BA28:BH28" si="20">SUM(BA7:BA27)</f>
        <v>0</v>
      </c>
      <c r="BB28" s="266">
        <f t="shared" si="20"/>
        <v>0</v>
      </c>
      <c r="BC28" s="266">
        <f t="shared" si="20"/>
        <v>0</v>
      </c>
      <c r="BD28" s="266">
        <f t="shared" si="20"/>
        <v>0</v>
      </c>
      <c r="BE28" s="266">
        <f t="shared" si="20"/>
        <v>0</v>
      </c>
      <c r="BF28" s="266">
        <f t="shared" si="20"/>
        <v>0</v>
      </c>
      <c r="BG28" s="266">
        <f t="shared" si="20"/>
        <v>0</v>
      </c>
      <c r="BH28" s="266">
        <f t="shared" si="20"/>
        <v>0</v>
      </c>
      <c r="BI28" s="267"/>
      <c r="BJ28" s="266">
        <f t="shared" ref="BJ28:BQ28" si="21">SUM(BJ7:BJ27)</f>
        <v>0</v>
      </c>
      <c r="BK28" s="266">
        <f t="shared" si="21"/>
        <v>0</v>
      </c>
      <c r="BL28" s="266">
        <f t="shared" si="21"/>
        <v>0</v>
      </c>
      <c r="BM28" s="266">
        <f t="shared" si="21"/>
        <v>0</v>
      </c>
      <c r="BN28" s="266">
        <f t="shared" si="21"/>
        <v>0</v>
      </c>
      <c r="BO28" s="266">
        <f t="shared" si="21"/>
        <v>0</v>
      </c>
      <c r="BP28" s="266">
        <f t="shared" si="21"/>
        <v>0</v>
      </c>
      <c r="BQ28" s="266">
        <f t="shared" si="21"/>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ht="15" customHeight="1" spans="1:83">
      <c r="A29" s="75" t="str">
        <f>参数表!F$6</f>
        <v>产权持有单位填表人：贾广东</v>
      </c>
      <c r="B29" s="158"/>
      <c r="C29" s="158"/>
      <c r="D29" s="158"/>
      <c r="E29" s="534" t="str">
        <f>"评估人员："&amp;封面!$G$36</f>
        <v>评估人员：</v>
      </c>
      <c r="F29" s="158"/>
      <c r="G29" s="244"/>
    </row>
    <row r="30" ht="15" customHeight="1" spans="1:83">
      <c r="A30" s="75" t="str">
        <f>参数表!F$7</f>
        <v>填表日期：2025年9月20日</v>
      </c>
      <c r="B30" s="158"/>
      <c r="C30" s="158"/>
      <c r="D30" s="158"/>
      <c r="E30" s="158"/>
      <c r="F30" s="158"/>
    </row>
    <row r="31" customHeight="1" spans="1:83">
      <c r="A31" s="158"/>
      <c r="B31" s="158"/>
      <c r="C31" s="158"/>
      <c r="D31" s="158"/>
      <c r="E31" s="158"/>
      <c r="F31" s="158"/>
    </row>
    <row r="32" customHeight="1" spans="1:83">
      <c r="A32" s="158"/>
      <c r="B32" s="158"/>
      <c r="C32" s="158"/>
      <c r="D32" s="158"/>
      <c r="E32" s="158"/>
      <c r="F32" s="158"/>
    </row>
    <row r="33" customHeight="1" spans="1:6">
      <c r="A33" s="158"/>
      <c r="B33" s="158"/>
      <c r="C33" s="158"/>
      <c r="D33" s="158"/>
      <c r="E33" s="158"/>
      <c r="F33" s="158"/>
    </row>
    <row r="34" customHeight="1" spans="1:6">
      <c r="A34" s="158"/>
      <c r="B34" s="158"/>
      <c r="C34" s="158"/>
      <c r="D34" s="158"/>
      <c r="E34" s="158"/>
      <c r="F34" s="158"/>
    </row>
  </sheetData>
  <sheetProtection autoFilter="0"/>
  <mergeCells count="8">
    <mergeCell ref="A2:G2"/>
    <mergeCell ref="A3:G3"/>
    <mergeCell ref="BA4:BH4"/>
    <mergeCell ref="BJ4:BQ4"/>
    <mergeCell ref="BA5:BD5"/>
    <mergeCell ref="BE5:BH5"/>
    <mergeCell ref="BJ5:BM5"/>
    <mergeCell ref="BN5:BQ5"/>
  </mergeCells>
  <conditionalFormatting sqref="C7:G22">
    <cfRule type="expression" dxfId="3" priority="2">
      <formula>$D7+$E7=0</formula>
    </cfRule>
  </conditionalFormatting>
  <conditionalFormatting sqref="A23:G27">
    <cfRule type="expression" dxfId="3" priority="1">
      <formula>$D23+$E23=0</formula>
    </cfRule>
  </conditionalFormatting>
  <hyperlinks>
    <hyperlink ref="A1" location="索引目录!D28" display="返回索引页"/>
    <hyperlink ref="B1" location="非流动资产评估汇总!B9" display="返回"/>
    <hyperlink ref="B9" location="'可出售-其他'!B1" display="可供出售金融资产-其他投资"/>
    <hyperlink ref="B7" location="'可出售-股票'!B1" display="可供出售金融资产-股票投资"/>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
  <dimension ref="A1:BW39"/>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18.5" style="75" customWidth="1"/>
    <col min="3" max="3" width="9" style="75"/>
    <col min="4" max="4" width="7.6" style="75" customWidth="1"/>
    <col min="5" max="5" width="7.7" style="75" customWidth="1"/>
    <col min="6" max="6" width="9.6" style="75" customWidth="1"/>
    <col min="7" max="8" width="4.6" style="75" customWidth="1" outlineLevel="1"/>
    <col min="9" max="10" width="6.1" style="75" customWidth="1" outlineLevel="1"/>
    <col min="11" max="11" width="14.6" style="75" customWidth="1"/>
    <col min="12" max="12" width="14.6" style="75" customWidth="1" outlineLevel="1"/>
    <col min="13" max="13" width="14.6" style="76" customWidth="1" outlineLevel="1"/>
    <col min="14" max="15" width="14.6" style="75" customWidth="1"/>
    <col min="16" max="18" width="8.6" style="75" customWidth="1"/>
    <col min="19" max="52" width="9" style="75" hidden="1" customWidth="1" outlineLevel="1"/>
    <col min="53" max="53" width="14.7" style="75" customWidth="1" collapsed="1"/>
    <col min="54" max="54" width="6.7" style="75" customWidth="1"/>
    <col min="55" max="56" width="5.1" style="75" customWidth="1"/>
    <col min="57" max="57" width="8.7" style="75" customWidth="1"/>
    <col min="58" max="59" width="9.8" style="75" customWidth="1"/>
    <col min="60" max="63" width="4.7" style="165" customWidth="1"/>
    <col min="64" max="64" width="6.7" style="165" customWidth="1"/>
    <col min="65" max="65" width="10.3" style="75" customWidth="1"/>
    <col min="66" max="66" width="8.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82"/>
      <c r="D1" s="82"/>
      <c r="E1" s="82"/>
      <c r="F1" s="82"/>
      <c r="G1" s="82"/>
      <c r="H1" s="82"/>
      <c r="I1" s="82"/>
      <c r="J1" s="82"/>
      <c r="K1" s="82"/>
      <c r="L1" s="82"/>
      <c r="M1" s="205"/>
      <c r="N1" s="82"/>
      <c r="O1" s="82"/>
      <c r="P1" s="82"/>
      <c r="Q1" s="82"/>
      <c r="R1" s="82"/>
      <c r="BA1" s="84" t="str">
        <f>参数表!BA1</f>
        <v>注意：补充特殊事项、作价等均从BA列开始填写</v>
      </c>
      <c r="BB1" s="85"/>
      <c r="BH1" s="82"/>
      <c r="BI1" s="82"/>
      <c r="BJ1" s="82"/>
      <c r="BK1" s="82"/>
      <c r="BL1" s="82"/>
      <c r="BO1" s="87"/>
      <c r="BP1" s="88"/>
      <c r="BQ1" s="87"/>
      <c r="BR1" s="88"/>
      <c r="BS1" s="88"/>
      <c r="BT1" s="88"/>
      <c r="BU1" s="88"/>
      <c r="BV1" s="88"/>
      <c r="BW1" s="87"/>
    </row>
    <row r="2" s="71" customFormat="1" ht="30" customHeight="1" spans="1:75">
      <c r="A2" s="89" t="s">
        <v>3410</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H2" s="171"/>
      <c r="BI2" s="171"/>
      <c r="BJ2" s="171"/>
      <c r="BK2" s="171"/>
      <c r="BL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4"/>
      <c r="L3" s="94"/>
      <c r="M3" s="94"/>
      <c r="N3" s="95"/>
      <c r="O3" s="95"/>
      <c r="P3" s="95"/>
      <c r="Q3" s="95"/>
      <c r="R3" s="95"/>
      <c r="BA3" s="90" t="str">
        <f>参数表!BA3</f>
        <v>是否显示评估值：</v>
      </c>
      <c r="BB3" s="90" t="str">
        <f>参数表!BB3</f>
        <v>是</v>
      </c>
      <c r="BP3" s="158"/>
      <c r="BQ3" s="158"/>
      <c r="BR3" s="158"/>
      <c r="BS3" s="158"/>
      <c r="BT3" s="158"/>
      <c r="BU3" s="158"/>
      <c r="BV3" s="158"/>
    </row>
    <row r="4" ht="15" customHeight="1" spans="1:75">
      <c r="A4" s="96"/>
      <c r="B4" s="94"/>
      <c r="C4" s="94"/>
      <c r="D4" s="94"/>
      <c r="E4" s="94"/>
      <c r="F4" s="94"/>
      <c r="G4" s="94"/>
      <c r="H4" s="94"/>
      <c r="I4" s="94"/>
      <c r="J4" s="94"/>
      <c r="K4" s="94"/>
      <c r="L4" s="94"/>
      <c r="M4" s="97"/>
      <c r="N4" s="95"/>
      <c r="O4" s="95"/>
      <c r="P4" s="98"/>
      <c r="Q4" s="95"/>
      <c r="R4" s="98" t="str">
        <f>"表"&amp;$BA4</f>
        <v>表4-1-1</v>
      </c>
      <c r="BA4" s="274" t="str">
        <f>可供出售总!A7</f>
        <v>4-1-1</v>
      </c>
      <c r="BB4" s="100">
        <f>MAX(COUNTA(A7:A26),COUNTA(B7:B26),COUNTA(L7:L26),COUNTA(N7:N26))</f>
        <v>20</v>
      </c>
      <c r="BC4" s="101">
        <f>ROW(A6)+1</f>
        <v>7</v>
      </c>
      <c r="BD4" s="77"/>
      <c r="BE4" s="77"/>
      <c r="BP4" s="158"/>
      <c r="BQ4" s="158"/>
      <c r="BR4" s="158"/>
      <c r="BS4" s="158"/>
      <c r="BT4" s="158"/>
      <c r="BU4" s="158"/>
      <c r="BV4" s="158"/>
    </row>
    <row r="5" ht="15" customHeight="1" spans="1:75">
      <c r="A5" s="102" t="str">
        <f>参数表!F3</f>
        <v>产权持有单位:中煤第五建设有限公司</v>
      </c>
      <c r="B5" s="103"/>
      <c r="C5" s="103"/>
      <c r="D5" s="103"/>
      <c r="E5" s="103"/>
      <c r="F5" s="103"/>
      <c r="G5" s="103"/>
      <c r="H5" s="103"/>
      <c r="I5" s="103"/>
      <c r="J5" s="103"/>
      <c r="K5" s="103"/>
      <c r="L5" s="103"/>
      <c r="M5" s="104"/>
      <c r="N5" s="103"/>
      <c r="O5" s="103"/>
      <c r="P5" s="103"/>
      <c r="Q5" s="103"/>
      <c r="R5" s="98" t="s">
        <v>236</v>
      </c>
      <c r="BA5" s="103"/>
      <c r="BB5" s="105" t="str">
        <f ca="1">判断表!C50</f>
        <v>中煤第五建设有限公司第三工程处拟处置实物资产项目\[0000-3基础法明细表.xlsx]可供-股票</v>
      </c>
      <c r="BC5" s="106">
        <f>IFERROR(SUMIF(BC7:BC26,"√",N7:N26)/N27,0)</f>
        <v>0</v>
      </c>
      <c r="BD5" s="107"/>
      <c r="BE5" s="107"/>
      <c r="BF5" s="177">
        <f>分类汇总!I23</f>
        <v>0</v>
      </c>
      <c r="BG5" s="177">
        <f>分类汇总!K23</f>
        <v>0</v>
      </c>
      <c r="BO5" s="111"/>
      <c r="BP5" s="158"/>
      <c r="BQ5" s="158"/>
      <c r="BR5" s="158"/>
      <c r="BS5" s="158"/>
      <c r="BT5" s="158"/>
      <c r="BU5" s="158"/>
      <c r="BV5" s="158"/>
      <c r="BW5" s="111"/>
    </row>
    <row r="6" s="72" customFormat="1" ht="36" spans="1:75">
      <c r="A6" s="112" t="s">
        <v>305</v>
      </c>
      <c r="B6" s="113" t="s">
        <v>1741</v>
      </c>
      <c r="C6" s="113" t="s">
        <v>3411</v>
      </c>
      <c r="D6" s="113" t="s">
        <v>1743</v>
      </c>
      <c r="E6" s="113" t="s">
        <v>1744</v>
      </c>
      <c r="F6" s="118" t="s">
        <v>3412</v>
      </c>
      <c r="G6" s="114" t="s">
        <v>1631</v>
      </c>
      <c r="H6" s="115" t="s">
        <v>1632</v>
      </c>
      <c r="I6" s="116" t="s">
        <v>1745</v>
      </c>
      <c r="J6" s="115" t="s">
        <v>1633</v>
      </c>
      <c r="K6" s="113" t="s">
        <v>3413</v>
      </c>
      <c r="L6" s="113" t="s">
        <v>1549</v>
      </c>
      <c r="M6" s="117" t="s">
        <v>1634</v>
      </c>
      <c r="N6" s="118" t="s">
        <v>1523</v>
      </c>
      <c r="O6" s="113" t="s">
        <v>1550</v>
      </c>
      <c r="P6" s="113" t="s">
        <v>1525</v>
      </c>
      <c r="Q6" s="113" t="s">
        <v>1551</v>
      </c>
      <c r="R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19"/>
      <c r="BP6" s="120" t="s">
        <v>1645</v>
      </c>
      <c r="BQ6" s="121" t="s">
        <v>1646</v>
      </c>
      <c r="BR6" s="121" t="s">
        <v>1647</v>
      </c>
      <c r="BS6" s="121" t="s">
        <v>1648</v>
      </c>
      <c r="BT6" s="121" t="s">
        <v>1647</v>
      </c>
      <c r="BU6" s="121" t="s">
        <v>1647</v>
      </c>
      <c r="BV6" s="121" t="s">
        <v>1649</v>
      </c>
      <c r="BW6" s="122" t="s">
        <v>1650</v>
      </c>
    </row>
    <row r="7" ht="15" customHeight="1" spans="1:75">
      <c r="A7" s="123" t="str">
        <f>IF(B7="","",COUNT(A$6:A6)+1)</f>
        <v/>
      </c>
      <c r="B7" s="124"/>
      <c r="C7" s="126"/>
      <c r="D7" s="125"/>
      <c r="E7" s="129"/>
      <c r="F7" s="129"/>
      <c r="G7" s="127"/>
      <c r="H7" s="127" t="str">
        <f>IFERROR(VLOOKUP(G7,参数表!$H$2:$I$50,2,FALSE),"")</f>
        <v/>
      </c>
      <c r="I7" s="128" t="str">
        <f>IFERROR(IF(OR(G7="人民币",G7=""),"",K7/H7),"")</f>
        <v/>
      </c>
      <c r="J7" s="128" t="str">
        <f>IFERROR(IF(OR(G7="人民币",G7=""),"",N7/H7),"")</f>
        <v/>
      </c>
      <c r="K7" s="129"/>
      <c r="L7" s="129"/>
      <c r="M7" s="130"/>
      <c r="N7" s="129" t="str">
        <f>IF(B7="","",L7+M7)</f>
        <v/>
      </c>
      <c r="O7" s="129" t="str">
        <f t="shared" ref="O7:O26" si="0">IF(B7="","",IF($BB$3="是",E7*F7,""))</f>
        <v/>
      </c>
      <c r="P7" s="129" t="str">
        <f>IFERROR(O7-N7,"")</f>
        <v/>
      </c>
      <c r="Q7" s="129" t="str">
        <f>IFERROR(P7/N7*100,"")</f>
        <v/>
      </c>
      <c r="R7" s="131"/>
      <c r="BA7" s="78"/>
      <c r="BB7" s="132" t="s">
        <v>3414</v>
      </c>
      <c r="BC7" s="133"/>
      <c r="BD7" s="132" t="str">
        <f>IF(OR(B7="",BC7=""),"",COUNTIF(BC$7:BC7,"√"))</f>
        <v/>
      </c>
      <c r="BE7" s="134" t="str">
        <f t="shared" ref="BE7:BE26" si="1">IF(BC7="","",BB7&amp;"︱"&amp;B7&amp;"︱"&amp;TEXT(L7,"#,##0.00"))</f>
        <v/>
      </c>
      <c r="BF7" s="135" t="str">
        <f>IF($B7="","",IF(BF$5=0,"OK","出错"))</f>
        <v/>
      </c>
      <c r="BG7" s="135" t="str">
        <f>IF($B7="","",IF(BG$5=0,"OK","出错"))</f>
        <v/>
      </c>
      <c r="BH7" s="136"/>
      <c r="BI7" s="136"/>
      <c r="BJ7" s="136"/>
      <c r="BK7" s="136"/>
      <c r="BL7" s="136"/>
      <c r="BM7" s="137"/>
      <c r="BN7" s="137"/>
      <c r="BP7" s="134" t="str">
        <f>IF(COUNTIF(BP$6:BP6,C7)&gt;0,"",C7)&amp;""</f>
        <v/>
      </c>
      <c r="BQ7" s="138">
        <f>SUMIF(C$7:C$26,BP7,N$7:N$26)</f>
        <v>0</v>
      </c>
      <c r="BR7" s="132">
        <f t="shared" ref="BR7" si="2">RANK(BQ7,BQ$7:BQ$26)</f>
        <v>1</v>
      </c>
      <c r="BS7" s="138">
        <f>SUMIF(C$7:C$26,BP7,O$7:O$26)</f>
        <v>0</v>
      </c>
      <c r="BT7" s="132">
        <f>RANK(BS7,BS$7:BS$26)</f>
        <v>1</v>
      </c>
      <c r="BU7" s="138">
        <f>SUM(BQ7:BQ26)</f>
        <v>0</v>
      </c>
      <c r="BV7" s="138"/>
      <c r="BW7" s="138"/>
    </row>
    <row r="8" ht="15" customHeight="1" spans="1:75">
      <c r="A8" s="123" t="str">
        <f>IF(B8="","",COUNT(A$6:A7)+1)</f>
        <v/>
      </c>
      <c r="B8" s="139"/>
      <c r="C8" s="141"/>
      <c r="D8" s="140"/>
      <c r="E8" s="143"/>
      <c r="F8" s="143"/>
      <c r="G8" s="142"/>
      <c r="H8" s="127" t="str">
        <f>IFERROR(VLOOKUP(G8,参数表!$H$2:$I$50,2,FALSE),"")</f>
        <v/>
      </c>
      <c r="I8" s="128" t="str">
        <f t="shared" ref="I8:I26" si="3">IFERROR(IF(OR(G8="人民币",G8=""),"",K8/H8),"")</f>
        <v/>
      </c>
      <c r="J8" s="128" t="str">
        <f t="shared" ref="J8:J26" si="4">IFERROR(IF(OR(G8="人民币",G8=""),"",N8/H8),"")</f>
        <v/>
      </c>
      <c r="K8" s="143"/>
      <c r="L8" s="143"/>
      <c r="M8" s="144"/>
      <c r="N8" s="129" t="str">
        <f t="shared" ref="N8:N26" si="5">IF(B8="","",L8+M8)</f>
        <v/>
      </c>
      <c r="O8" s="129" t="str">
        <f t="shared" si="0"/>
        <v/>
      </c>
      <c r="P8" s="129" t="str">
        <f t="shared" ref="P8:P29" si="6">IFERROR(O8-N8,"")</f>
        <v/>
      </c>
      <c r="Q8" s="129" t="str">
        <f t="shared" ref="Q8:Q29" si="7">IFERROR(P8/N8*100,"")</f>
        <v/>
      </c>
      <c r="R8" s="145"/>
      <c r="BA8" s="78"/>
      <c r="BB8" s="132" t="s">
        <v>3415</v>
      </c>
      <c r="BC8" s="133"/>
      <c r="BD8" s="132" t="str">
        <f>IF(OR(B8="",BC8=""),"",COUNTIF(BC$7:BC8,"√"))</f>
        <v/>
      </c>
      <c r="BE8" s="134" t="str">
        <f t="shared" si="1"/>
        <v/>
      </c>
      <c r="BF8" s="135" t="str">
        <f t="shared" ref="BF8:BG26" si="8">IF($B8="","",IF(BF$5=0,"OK","出错"))</f>
        <v/>
      </c>
      <c r="BG8" s="135" t="str">
        <f t="shared" si="8"/>
        <v/>
      </c>
      <c r="BH8" s="136"/>
      <c r="BI8" s="136"/>
      <c r="BJ8" s="136"/>
      <c r="BK8" s="136"/>
      <c r="BL8" s="136"/>
      <c r="BM8" s="137"/>
      <c r="BN8" s="137"/>
      <c r="BP8" s="134" t="str">
        <f>IF(COUNTIF(BP$6:BP7,C8)&gt;0,"",C8)&amp;""</f>
        <v/>
      </c>
      <c r="BQ8" s="138">
        <f t="shared" ref="BQ8:BQ26" si="9">SUMIF(C$7:C$26,BP8,N$7:N$26)</f>
        <v>0</v>
      </c>
      <c r="BR8" s="132">
        <f t="shared" ref="BR8:BR26" si="10">RANK(BQ8,BQ$7:BQ$26)</f>
        <v>1</v>
      </c>
      <c r="BS8" s="138">
        <f t="shared" ref="BS8:BS26" si="11">SUMIF(C$7:C$26,BP8,O$7:O$26)</f>
        <v>0</v>
      </c>
      <c r="BT8" s="132">
        <f t="shared" ref="BT8:BT26" si="12">RANK(BS8,BS$7:BS$26)</f>
        <v>1</v>
      </c>
      <c r="BU8" s="138">
        <f>SUM(BS7:BS26)</f>
        <v>0</v>
      </c>
      <c r="BV8" s="138"/>
      <c r="BW8" s="138"/>
    </row>
    <row r="9" ht="15" customHeight="1" spans="1:75">
      <c r="A9" s="123" t="str">
        <f>IF(B9="","",COUNT(A$6:A8)+1)</f>
        <v/>
      </c>
      <c r="B9" s="139"/>
      <c r="C9" s="141"/>
      <c r="D9" s="140"/>
      <c r="E9" s="143"/>
      <c r="F9" s="143"/>
      <c r="G9" s="142"/>
      <c r="H9" s="127" t="str">
        <f>IFERROR(VLOOKUP(G9,参数表!$H$2:$I$50,2,FALSE),"")</f>
        <v/>
      </c>
      <c r="I9" s="128" t="str">
        <f t="shared" si="3"/>
        <v/>
      </c>
      <c r="J9" s="128" t="str">
        <f t="shared" si="4"/>
        <v/>
      </c>
      <c r="K9" s="143"/>
      <c r="L9" s="143"/>
      <c r="M9" s="144"/>
      <c r="N9" s="129" t="str">
        <f t="shared" si="5"/>
        <v/>
      </c>
      <c r="O9" s="129" t="str">
        <f t="shared" si="0"/>
        <v/>
      </c>
      <c r="P9" s="129" t="str">
        <f t="shared" si="6"/>
        <v/>
      </c>
      <c r="Q9" s="129" t="str">
        <f t="shared" si="7"/>
        <v/>
      </c>
      <c r="R9" s="145"/>
      <c r="BA9" s="78"/>
      <c r="BB9" s="132" t="s">
        <v>3416</v>
      </c>
      <c r="BC9" s="133"/>
      <c r="BD9" s="132" t="str">
        <f>IF(OR(B9="",BC9=""),"",COUNTIF(BC$7:BC9,"√"))</f>
        <v/>
      </c>
      <c r="BE9" s="134" t="str">
        <f t="shared" si="1"/>
        <v/>
      </c>
      <c r="BF9" s="135" t="str">
        <f t="shared" si="8"/>
        <v/>
      </c>
      <c r="BG9" s="135" t="str">
        <f t="shared" si="8"/>
        <v/>
      </c>
      <c r="BH9" s="136"/>
      <c r="BI9" s="136"/>
      <c r="BJ9" s="136"/>
      <c r="BK9" s="136"/>
      <c r="BL9" s="136"/>
      <c r="BM9" s="137"/>
      <c r="BN9" s="137"/>
      <c r="BP9" s="134" t="str">
        <f>IF(COUNTIF(BP$6:BP8,C9)&gt;0,"",C9)&amp;""</f>
        <v/>
      </c>
      <c r="BQ9" s="138">
        <f t="shared" si="9"/>
        <v>0</v>
      </c>
      <c r="BR9" s="132">
        <f t="shared" si="10"/>
        <v>1</v>
      </c>
      <c r="BS9" s="138">
        <f t="shared" si="11"/>
        <v>0</v>
      </c>
      <c r="BT9" s="132">
        <f t="shared" si="12"/>
        <v>1</v>
      </c>
      <c r="BU9" s="132">
        <v>1</v>
      </c>
      <c r="BV9" s="134" t="str">
        <f>IFERROR(INDEX(BP$7:BP$26,MATCH(BU9,IF(BU$7=0,BT$7:BT$26,BR$7:BR$26),0))&amp;"","")</f>
        <v/>
      </c>
      <c r="BW9" s="146" t="str">
        <f>IF(BV10="","",IF(BV11="","和","、"))</f>
        <v/>
      </c>
    </row>
    <row r="10" ht="15" customHeight="1" spans="1:75">
      <c r="A10" s="123" t="str">
        <f>IF(B10="","",COUNT(A$6:A9)+1)</f>
        <v/>
      </c>
      <c r="B10" s="139"/>
      <c r="C10" s="141"/>
      <c r="D10" s="140"/>
      <c r="E10" s="143"/>
      <c r="F10" s="143"/>
      <c r="G10" s="142"/>
      <c r="H10" s="127" t="str">
        <f>IFERROR(VLOOKUP(G10,参数表!$H$2:$I$50,2,FALSE),"")</f>
        <v/>
      </c>
      <c r="I10" s="128" t="str">
        <f t="shared" si="3"/>
        <v/>
      </c>
      <c r="J10" s="128" t="str">
        <f t="shared" si="4"/>
        <v/>
      </c>
      <c r="K10" s="143"/>
      <c r="L10" s="143"/>
      <c r="M10" s="144"/>
      <c r="N10" s="129" t="str">
        <f t="shared" si="5"/>
        <v/>
      </c>
      <c r="O10" s="129" t="str">
        <f t="shared" si="0"/>
        <v/>
      </c>
      <c r="P10" s="129" t="str">
        <f t="shared" si="6"/>
        <v/>
      </c>
      <c r="Q10" s="129" t="str">
        <f t="shared" si="7"/>
        <v/>
      </c>
      <c r="R10" s="145"/>
      <c r="BA10" s="78"/>
      <c r="BB10" s="132" t="s">
        <v>3417</v>
      </c>
      <c r="BC10" s="133"/>
      <c r="BD10" s="132" t="str">
        <f>IF(OR(B10="",BC10=""),"",COUNTIF(BC$7:BC10,"√"))</f>
        <v/>
      </c>
      <c r="BE10" s="134" t="str">
        <f t="shared" si="1"/>
        <v/>
      </c>
      <c r="BF10" s="135" t="str">
        <f t="shared" si="8"/>
        <v/>
      </c>
      <c r="BG10" s="135" t="str">
        <f t="shared" si="8"/>
        <v/>
      </c>
      <c r="BH10" s="136"/>
      <c r="BI10" s="136"/>
      <c r="BJ10" s="136"/>
      <c r="BK10" s="136"/>
      <c r="BL10" s="136"/>
      <c r="BM10" s="137"/>
      <c r="BN10" s="137"/>
      <c r="BP10" s="134" t="str">
        <f>IF(COUNTIF(BP$6:BP9,C10)&gt;0,"",C10)&amp;""</f>
        <v/>
      </c>
      <c r="BQ10" s="138">
        <f t="shared" si="9"/>
        <v>0</v>
      </c>
      <c r="BR10" s="132">
        <f t="shared" si="10"/>
        <v>1</v>
      </c>
      <c r="BS10" s="138">
        <f t="shared" si="11"/>
        <v>0</v>
      </c>
      <c r="BT10" s="132">
        <f t="shared" si="12"/>
        <v>1</v>
      </c>
      <c r="BU10" s="132">
        <v>2</v>
      </c>
      <c r="BV10" s="134" t="str">
        <f t="shared" ref="BV10:BV13" si="13">IFERROR(INDEX(BP$7:BP$26,MATCH(BU10,IF(BU$7=0,BT$7:BT$26,BR$7:BR$26),0))&amp;"","")</f>
        <v/>
      </c>
      <c r="BW10" s="146" t="str">
        <f t="shared" ref="BW10:BW11" si="14">IF(BV11="","",IF(BV12="","和","、"))</f>
        <v/>
      </c>
    </row>
    <row r="11" ht="15" customHeight="1" spans="1:75">
      <c r="A11" s="123" t="str">
        <f>IF(B11="","",COUNT(A$6:A10)+1)</f>
        <v/>
      </c>
      <c r="B11" s="139"/>
      <c r="C11" s="141"/>
      <c r="D11" s="140"/>
      <c r="E11" s="143"/>
      <c r="F11" s="143"/>
      <c r="G11" s="142"/>
      <c r="H11" s="127" t="str">
        <f>IFERROR(VLOOKUP(G11,参数表!$H$2:$I$50,2,FALSE),"")</f>
        <v/>
      </c>
      <c r="I11" s="128" t="str">
        <f t="shared" si="3"/>
        <v/>
      </c>
      <c r="J11" s="128" t="str">
        <f t="shared" si="4"/>
        <v/>
      </c>
      <c r="K11" s="143"/>
      <c r="L11" s="143"/>
      <c r="M11" s="144"/>
      <c r="N11" s="129" t="str">
        <f t="shared" si="5"/>
        <v/>
      </c>
      <c r="O11" s="129" t="str">
        <f t="shared" si="0"/>
        <v/>
      </c>
      <c r="P11" s="129" t="str">
        <f t="shared" si="6"/>
        <v/>
      </c>
      <c r="Q11" s="129" t="str">
        <f t="shared" si="7"/>
        <v/>
      </c>
      <c r="R11" s="145"/>
      <c r="BA11" s="78"/>
      <c r="BB11" s="132" t="s">
        <v>3418</v>
      </c>
      <c r="BC11" s="133"/>
      <c r="BD11" s="132" t="str">
        <f>IF(OR(B11="",BC11=""),"",COUNTIF(BC$7:BC11,"√"))</f>
        <v/>
      </c>
      <c r="BE11" s="134" t="str">
        <f t="shared" si="1"/>
        <v/>
      </c>
      <c r="BF11" s="135" t="str">
        <f t="shared" si="8"/>
        <v/>
      </c>
      <c r="BG11" s="135" t="str">
        <f t="shared" si="8"/>
        <v/>
      </c>
      <c r="BH11" s="136"/>
      <c r="BI11" s="136"/>
      <c r="BJ11" s="136"/>
      <c r="BK11" s="136"/>
      <c r="BL11" s="136"/>
      <c r="BM11" s="137"/>
      <c r="BN11" s="137"/>
      <c r="BP11" s="134" t="str">
        <f>IF(COUNTIF(BP$6:BP10,C11)&gt;0,"",C11)&amp;""</f>
        <v/>
      </c>
      <c r="BQ11" s="138">
        <f t="shared" si="9"/>
        <v>0</v>
      </c>
      <c r="BR11" s="132">
        <f t="shared" si="10"/>
        <v>1</v>
      </c>
      <c r="BS11" s="138">
        <f t="shared" si="11"/>
        <v>0</v>
      </c>
      <c r="BT11" s="132">
        <f t="shared" si="12"/>
        <v>1</v>
      </c>
      <c r="BU11" s="132">
        <v>3</v>
      </c>
      <c r="BV11" s="134" t="str">
        <f t="shared" si="13"/>
        <v/>
      </c>
      <c r="BW11" s="146" t="str">
        <f t="shared" si="14"/>
        <v/>
      </c>
    </row>
    <row r="12" ht="15" customHeight="1" spans="1:75">
      <c r="A12" s="123" t="str">
        <f>IF(B12="","",COUNT(A$6:A11)+1)</f>
        <v/>
      </c>
      <c r="B12" s="139"/>
      <c r="C12" s="141"/>
      <c r="D12" s="140"/>
      <c r="E12" s="143"/>
      <c r="F12" s="143"/>
      <c r="G12" s="142"/>
      <c r="H12" s="127" t="str">
        <f>IFERROR(VLOOKUP(G12,参数表!$H$2:$I$50,2,FALSE),"")</f>
        <v/>
      </c>
      <c r="I12" s="128" t="str">
        <f t="shared" si="3"/>
        <v/>
      </c>
      <c r="J12" s="128" t="str">
        <f t="shared" si="4"/>
        <v/>
      </c>
      <c r="K12" s="143"/>
      <c r="L12" s="143"/>
      <c r="M12" s="144"/>
      <c r="N12" s="129" t="str">
        <f t="shared" si="5"/>
        <v/>
      </c>
      <c r="O12" s="129" t="str">
        <f t="shared" si="0"/>
        <v/>
      </c>
      <c r="P12" s="129" t="str">
        <f t="shared" si="6"/>
        <v/>
      </c>
      <c r="Q12" s="129" t="str">
        <f t="shared" si="7"/>
        <v/>
      </c>
      <c r="R12" s="145"/>
      <c r="BA12" s="78"/>
      <c r="BB12" s="132" t="s">
        <v>3419</v>
      </c>
      <c r="BC12" s="133"/>
      <c r="BD12" s="132" t="str">
        <f>IF(OR(B12="",BC12=""),"",COUNTIF(BC$7:BC12,"√"))</f>
        <v/>
      </c>
      <c r="BE12" s="134" t="str">
        <f t="shared" si="1"/>
        <v/>
      </c>
      <c r="BF12" s="135" t="str">
        <f t="shared" si="8"/>
        <v/>
      </c>
      <c r="BG12" s="135" t="str">
        <f t="shared" si="8"/>
        <v/>
      </c>
      <c r="BH12" s="136"/>
      <c r="BI12" s="136"/>
      <c r="BJ12" s="136"/>
      <c r="BK12" s="136"/>
      <c r="BL12" s="136"/>
      <c r="BM12" s="137"/>
      <c r="BN12" s="137"/>
      <c r="BP12" s="134" t="str">
        <f>IF(COUNTIF(BP$6:BP11,C12)&gt;0,"",C12)&amp;""</f>
        <v/>
      </c>
      <c r="BQ12" s="138">
        <f t="shared" si="9"/>
        <v>0</v>
      </c>
      <c r="BR12" s="132">
        <f t="shared" si="10"/>
        <v>1</v>
      </c>
      <c r="BS12" s="138">
        <f t="shared" si="11"/>
        <v>0</v>
      </c>
      <c r="BT12" s="132">
        <f t="shared" si="12"/>
        <v>1</v>
      </c>
      <c r="BU12" s="132">
        <v>4</v>
      </c>
      <c r="BV12" s="134" t="str">
        <f t="shared" si="13"/>
        <v/>
      </c>
      <c r="BW12" s="146" t="str">
        <f>IF(BV13="","","和")</f>
        <v/>
      </c>
    </row>
    <row r="13" ht="15" customHeight="1" spans="1:75">
      <c r="A13" s="123" t="str">
        <f>IF(B13="","",COUNT(A$6:A12)+1)</f>
        <v/>
      </c>
      <c r="B13" s="139"/>
      <c r="C13" s="141"/>
      <c r="D13" s="140"/>
      <c r="E13" s="143"/>
      <c r="F13" s="143"/>
      <c r="G13" s="142"/>
      <c r="H13" s="127" t="str">
        <f>IFERROR(VLOOKUP(G13,参数表!$H$2:$I$50,2,FALSE),"")</f>
        <v/>
      </c>
      <c r="I13" s="128" t="str">
        <f t="shared" si="3"/>
        <v/>
      </c>
      <c r="J13" s="128" t="str">
        <f t="shared" si="4"/>
        <v/>
      </c>
      <c r="K13" s="143"/>
      <c r="L13" s="143"/>
      <c r="M13" s="144"/>
      <c r="N13" s="129" t="str">
        <f t="shared" si="5"/>
        <v/>
      </c>
      <c r="O13" s="129" t="str">
        <f t="shared" si="0"/>
        <v/>
      </c>
      <c r="P13" s="129" t="str">
        <f t="shared" si="6"/>
        <v/>
      </c>
      <c r="Q13" s="129" t="str">
        <f t="shared" si="7"/>
        <v/>
      </c>
      <c r="R13" s="145"/>
      <c r="BA13" s="78"/>
      <c r="BB13" s="132" t="s">
        <v>3420</v>
      </c>
      <c r="BC13" s="133"/>
      <c r="BD13" s="132" t="str">
        <f>IF(OR(B13="",BC13=""),"",COUNTIF(BC$7:BC13,"√"))</f>
        <v/>
      </c>
      <c r="BE13" s="134" t="str">
        <f t="shared" si="1"/>
        <v/>
      </c>
      <c r="BF13" s="135" t="str">
        <f t="shared" si="8"/>
        <v/>
      </c>
      <c r="BG13" s="135" t="str">
        <f t="shared" si="8"/>
        <v/>
      </c>
      <c r="BH13" s="136"/>
      <c r="BI13" s="136"/>
      <c r="BJ13" s="136"/>
      <c r="BK13" s="136"/>
      <c r="BL13" s="136"/>
      <c r="BM13" s="137"/>
      <c r="BN13" s="137"/>
      <c r="BP13" s="134" t="str">
        <f>IF(COUNTIF(BP$6:BP12,C13)&gt;0,"",C13)&amp;""</f>
        <v/>
      </c>
      <c r="BQ13" s="138">
        <f t="shared" si="9"/>
        <v>0</v>
      </c>
      <c r="BR13" s="132">
        <f t="shared" si="10"/>
        <v>1</v>
      </c>
      <c r="BS13" s="138">
        <f t="shared" si="11"/>
        <v>0</v>
      </c>
      <c r="BT13" s="132">
        <f t="shared" si="12"/>
        <v>1</v>
      </c>
      <c r="BU13" s="132">
        <v>5</v>
      </c>
      <c r="BV13" s="134" t="str">
        <f t="shared" si="13"/>
        <v/>
      </c>
      <c r="BW13" s="146"/>
    </row>
    <row r="14" ht="15" customHeight="1" spans="1:75">
      <c r="A14" s="123" t="str">
        <f>IF(B14="","",COUNT(A$6:A13)+1)</f>
        <v/>
      </c>
      <c r="B14" s="139"/>
      <c r="C14" s="141"/>
      <c r="D14" s="140"/>
      <c r="E14" s="143"/>
      <c r="F14" s="143"/>
      <c r="G14" s="142"/>
      <c r="H14" s="127" t="str">
        <f>IFERROR(VLOOKUP(G14,参数表!$H$2:$I$50,2,FALSE),"")</f>
        <v/>
      </c>
      <c r="I14" s="128" t="str">
        <f t="shared" si="3"/>
        <v/>
      </c>
      <c r="J14" s="128" t="str">
        <f t="shared" si="4"/>
        <v/>
      </c>
      <c r="K14" s="143"/>
      <c r="L14" s="143"/>
      <c r="M14" s="144"/>
      <c r="N14" s="129" t="str">
        <f t="shared" si="5"/>
        <v/>
      </c>
      <c r="O14" s="129" t="str">
        <f t="shared" si="0"/>
        <v/>
      </c>
      <c r="P14" s="129" t="str">
        <f t="shared" si="6"/>
        <v/>
      </c>
      <c r="Q14" s="129" t="str">
        <f t="shared" si="7"/>
        <v/>
      </c>
      <c r="R14" s="145"/>
      <c r="BA14" s="78"/>
      <c r="BB14" s="132" t="s">
        <v>3421</v>
      </c>
      <c r="BC14" s="133"/>
      <c r="BD14" s="132" t="str">
        <f>IF(OR(B14="",BC14=""),"",COUNTIF(BC$7:BC14,"√"))</f>
        <v/>
      </c>
      <c r="BE14" s="134" t="str">
        <f t="shared" si="1"/>
        <v/>
      </c>
      <c r="BF14" s="135" t="str">
        <f t="shared" si="8"/>
        <v/>
      </c>
      <c r="BG14" s="135" t="str">
        <f t="shared" si="8"/>
        <v/>
      </c>
      <c r="BH14" s="136"/>
      <c r="BI14" s="136"/>
      <c r="BJ14" s="136"/>
      <c r="BK14" s="136"/>
      <c r="BL14" s="136"/>
      <c r="BM14" s="137"/>
      <c r="BN14" s="137"/>
      <c r="BP14" s="134" t="str">
        <f>IF(COUNTIF(BP$6:BP13,C14)&gt;0,"",C14)&amp;""</f>
        <v/>
      </c>
      <c r="BQ14" s="138">
        <f t="shared" si="9"/>
        <v>0</v>
      </c>
      <c r="BR14" s="132">
        <f t="shared" si="10"/>
        <v>1</v>
      </c>
      <c r="BS14" s="138">
        <f t="shared" si="11"/>
        <v>0</v>
      </c>
      <c r="BT14" s="132">
        <f t="shared" si="12"/>
        <v>1</v>
      </c>
      <c r="BU14" s="147" t="s">
        <v>1659</v>
      </c>
      <c r="BV14" s="132" t="str">
        <f>CONCATENATE(BV9,BW9,BV10,BW10,BV11,BW11,BV12,BW12,BV13)</f>
        <v/>
      </c>
      <c r="BW14" s="132"/>
    </row>
    <row r="15" ht="15" customHeight="1" spans="1:75">
      <c r="A15" s="123" t="str">
        <f>IF(B15="","",COUNT(A$6:A14)+1)</f>
        <v/>
      </c>
      <c r="B15" s="139"/>
      <c r="C15" s="141"/>
      <c r="D15" s="140"/>
      <c r="E15" s="143"/>
      <c r="F15" s="143"/>
      <c r="G15" s="142"/>
      <c r="H15" s="127" t="str">
        <f>IFERROR(VLOOKUP(G15,参数表!$H$2:$I$50,2,FALSE),"")</f>
        <v/>
      </c>
      <c r="I15" s="128" t="str">
        <f t="shared" si="3"/>
        <v/>
      </c>
      <c r="J15" s="128" t="str">
        <f t="shared" si="4"/>
        <v/>
      </c>
      <c r="K15" s="143"/>
      <c r="L15" s="143"/>
      <c r="M15" s="144"/>
      <c r="N15" s="129" t="str">
        <f t="shared" si="5"/>
        <v/>
      </c>
      <c r="O15" s="129" t="str">
        <f t="shared" si="0"/>
        <v/>
      </c>
      <c r="P15" s="129" t="str">
        <f t="shared" si="6"/>
        <v/>
      </c>
      <c r="Q15" s="129" t="str">
        <f t="shared" si="7"/>
        <v/>
      </c>
      <c r="R15" s="145"/>
      <c r="BA15" s="78"/>
      <c r="BB15" s="132" t="s">
        <v>3422</v>
      </c>
      <c r="BC15" s="133"/>
      <c r="BD15" s="132" t="str">
        <f>IF(OR(B15="",BC15=""),"",COUNTIF(BC$7:BC15,"√"))</f>
        <v/>
      </c>
      <c r="BE15" s="134" t="str">
        <f t="shared" si="1"/>
        <v/>
      </c>
      <c r="BF15" s="135" t="str">
        <f t="shared" si="8"/>
        <v/>
      </c>
      <c r="BG15" s="135" t="str">
        <f t="shared" si="8"/>
        <v/>
      </c>
      <c r="BH15" s="136"/>
      <c r="BI15" s="136"/>
      <c r="BJ15" s="136"/>
      <c r="BK15" s="136"/>
      <c r="BL15" s="136"/>
      <c r="BM15" s="137"/>
      <c r="BN15" s="137"/>
      <c r="BP15" s="134" t="str">
        <f>IF(COUNTIF(BP$6:BP14,C15)&gt;0,"",C15)&amp;""</f>
        <v/>
      </c>
      <c r="BQ15" s="138">
        <f t="shared" si="9"/>
        <v>0</v>
      </c>
      <c r="BR15" s="132">
        <f t="shared" si="10"/>
        <v>1</v>
      </c>
      <c r="BS15" s="138">
        <f t="shared" si="11"/>
        <v>0</v>
      </c>
      <c r="BT15" s="132">
        <f t="shared" si="12"/>
        <v>1</v>
      </c>
      <c r="BU15" s="133"/>
      <c r="BV15" s="133"/>
    </row>
    <row r="16" ht="15" customHeight="1" spans="1:75">
      <c r="A16" s="123" t="str">
        <f>IF(B16="","",COUNT(A$6:A15)+1)</f>
        <v/>
      </c>
      <c r="B16" s="139"/>
      <c r="C16" s="141"/>
      <c r="D16" s="140"/>
      <c r="E16" s="143"/>
      <c r="F16" s="143"/>
      <c r="G16" s="142"/>
      <c r="H16" s="127" t="str">
        <f>IFERROR(VLOOKUP(G16,参数表!$H$2:$I$50,2,FALSE),"")</f>
        <v/>
      </c>
      <c r="I16" s="128" t="str">
        <f t="shared" si="3"/>
        <v/>
      </c>
      <c r="J16" s="128" t="str">
        <f t="shared" si="4"/>
        <v/>
      </c>
      <c r="K16" s="143"/>
      <c r="L16" s="143"/>
      <c r="M16" s="144"/>
      <c r="N16" s="129" t="str">
        <f t="shared" si="5"/>
        <v/>
      </c>
      <c r="O16" s="129" t="str">
        <f t="shared" si="0"/>
        <v/>
      </c>
      <c r="P16" s="129" t="str">
        <f t="shared" si="6"/>
        <v/>
      </c>
      <c r="Q16" s="129" t="str">
        <f t="shared" si="7"/>
        <v/>
      </c>
      <c r="R16" s="145"/>
      <c r="BA16" s="78"/>
      <c r="BB16" s="132" t="s">
        <v>3423</v>
      </c>
      <c r="BC16" s="133"/>
      <c r="BD16" s="132" t="str">
        <f>IF(OR(B16="",BC16=""),"",COUNTIF(BC$7:BC16,"√"))</f>
        <v/>
      </c>
      <c r="BE16" s="134" t="str">
        <f t="shared" si="1"/>
        <v/>
      </c>
      <c r="BF16" s="135" t="str">
        <f t="shared" si="8"/>
        <v/>
      </c>
      <c r="BG16" s="135" t="str">
        <f t="shared" si="8"/>
        <v/>
      </c>
      <c r="BH16" s="136"/>
      <c r="BI16" s="136"/>
      <c r="BJ16" s="136"/>
      <c r="BK16" s="136"/>
      <c r="BL16" s="136"/>
      <c r="BM16" s="137"/>
      <c r="BN16" s="137"/>
      <c r="BP16" s="134" t="str">
        <f>IF(COUNTIF(BP$6:BP15,C16)&gt;0,"",C16)&amp;""</f>
        <v/>
      </c>
      <c r="BQ16" s="138">
        <f t="shared" si="9"/>
        <v>0</v>
      </c>
      <c r="BR16" s="132">
        <f t="shared" si="10"/>
        <v>1</v>
      </c>
      <c r="BS16" s="138">
        <f t="shared" si="11"/>
        <v>0</v>
      </c>
      <c r="BT16" s="132">
        <f t="shared" si="12"/>
        <v>1</v>
      </c>
      <c r="BU16" s="133"/>
      <c r="BV16" s="148"/>
    </row>
    <row r="17" ht="15" customHeight="1" spans="1:75">
      <c r="A17" s="123" t="str">
        <f>IF(B17="","",COUNT(A$6:A16)+1)</f>
        <v/>
      </c>
      <c r="B17" s="139"/>
      <c r="C17" s="141"/>
      <c r="D17" s="140"/>
      <c r="E17" s="143"/>
      <c r="F17" s="143"/>
      <c r="G17" s="142"/>
      <c r="H17" s="127" t="str">
        <f>IFERROR(VLOOKUP(G17,参数表!$H$2:$I$50,2,FALSE),"")</f>
        <v/>
      </c>
      <c r="I17" s="128" t="str">
        <f t="shared" si="3"/>
        <v/>
      </c>
      <c r="J17" s="128" t="str">
        <f t="shared" si="4"/>
        <v/>
      </c>
      <c r="K17" s="143"/>
      <c r="L17" s="143"/>
      <c r="M17" s="144"/>
      <c r="N17" s="129" t="str">
        <f t="shared" si="5"/>
        <v/>
      </c>
      <c r="O17" s="129" t="str">
        <f t="shared" si="0"/>
        <v/>
      </c>
      <c r="P17" s="129" t="str">
        <f t="shared" si="6"/>
        <v/>
      </c>
      <c r="Q17" s="129" t="str">
        <f t="shared" si="7"/>
        <v/>
      </c>
      <c r="R17" s="145"/>
      <c r="BA17" s="78"/>
      <c r="BB17" s="132" t="s">
        <v>3424</v>
      </c>
      <c r="BC17" s="133"/>
      <c r="BD17" s="132" t="str">
        <f>IF(OR(B17="",BC17=""),"",COUNTIF(BC$7:BC17,"√"))</f>
        <v/>
      </c>
      <c r="BE17" s="134" t="str">
        <f t="shared" si="1"/>
        <v/>
      </c>
      <c r="BF17" s="135" t="str">
        <f t="shared" si="8"/>
        <v/>
      </c>
      <c r="BG17" s="135" t="str">
        <f t="shared" si="8"/>
        <v/>
      </c>
      <c r="BH17" s="136"/>
      <c r="BI17" s="136"/>
      <c r="BJ17" s="136"/>
      <c r="BK17" s="136"/>
      <c r="BL17" s="136"/>
      <c r="BM17" s="137"/>
      <c r="BN17" s="137"/>
      <c r="BP17" s="134" t="str">
        <f>IF(COUNTIF(BP$6:BP16,C17)&gt;0,"",C17)&amp;""</f>
        <v/>
      </c>
      <c r="BQ17" s="138">
        <f t="shared" si="9"/>
        <v>0</v>
      </c>
      <c r="BR17" s="132">
        <f t="shared" si="10"/>
        <v>1</v>
      </c>
      <c r="BS17" s="138">
        <f t="shared" si="11"/>
        <v>0</v>
      </c>
      <c r="BT17" s="132">
        <f t="shared" si="12"/>
        <v>1</v>
      </c>
      <c r="BU17" s="133"/>
      <c r="BV17" s="133"/>
    </row>
    <row r="18" ht="15" customHeight="1" spans="1:75">
      <c r="A18" s="123" t="str">
        <f>IF(B18="","",COUNT(A$6:A17)+1)</f>
        <v/>
      </c>
      <c r="B18" s="139"/>
      <c r="C18" s="141"/>
      <c r="D18" s="140"/>
      <c r="E18" s="143"/>
      <c r="F18" s="143"/>
      <c r="G18" s="142"/>
      <c r="H18" s="127" t="str">
        <f>IFERROR(VLOOKUP(G18,参数表!$H$2:$I$50,2,FALSE),"")</f>
        <v/>
      </c>
      <c r="I18" s="128" t="str">
        <f t="shared" si="3"/>
        <v/>
      </c>
      <c r="J18" s="128" t="str">
        <f t="shared" si="4"/>
        <v/>
      </c>
      <c r="K18" s="143"/>
      <c r="L18" s="143"/>
      <c r="M18" s="144"/>
      <c r="N18" s="129" t="str">
        <f t="shared" si="5"/>
        <v/>
      </c>
      <c r="O18" s="129" t="str">
        <f t="shared" si="0"/>
        <v/>
      </c>
      <c r="P18" s="129" t="str">
        <f t="shared" si="6"/>
        <v/>
      </c>
      <c r="Q18" s="129" t="str">
        <f t="shared" si="7"/>
        <v/>
      </c>
      <c r="R18" s="145"/>
      <c r="BA18" s="78"/>
      <c r="BB18" s="132" t="s">
        <v>3425</v>
      </c>
      <c r="BC18" s="133"/>
      <c r="BD18" s="132" t="str">
        <f>IF(OR(B18="",BC18=""),"",COUNTIF(BC$7:BC18,"√"))</f>
        <v/>
      </c>
      <c r="BE18" s="134" t="str">
        <f t="shared" si="1"/>
        <v/>
      </c>
      <c r="BF18" s="135" t="str">
        <f t="shared" si="8"/>
        <v/>
      </c>
      <c r="BG18" s="135" t="str">
        <f t="shared" si="8"/>
        <v/>
      </c>
      <c r="BH18" s="136"/>
      <c r="BI18" s="136"/>
      <c r="BJ18" s="136"/>
      <c r="BK18" s="136"/>
      <c r="BL18" s="136"/>
      <c r="BM18" s="137"/>
      <c r="BN18" s="137"/>
      <c r="BP18" s="134" t="str">
        <f>IF(COUNTIF(BP$6:BP17,C18)&gt;0,"",C18)&amp;""</f>
        <v/>
      </c>
      <c r="BQ18" s="138">
        <f t="shared" si="9"/>
        <v>0</v>
      </c>
      <c r="BR18" s="132">
        <f t="shared" si="10"/>
        <v>1</v>
      </c>
      <c r="BS18" s="138">
        <f t="shared" si="11"/>
        <v>0</v>
      </c>
      <c r="BT18" s="132">
        <f t="shared" si="12"/>
        <v>1</v>
      </c>
      <c r="BU18" s="133"/>
      <c r="BV18" s="133"/>
    </row>
    <row r="19" ht="15" customHeight="1" spans="1:75">
      <c r="A19" s="123" t="str">
        <f>IF(B19="","",COUNT(A$6:A18)+1)</f>
        <v/>
      </c>
      <c r="B19" s="139"/>
      <c r="C19" s="141"/>
      <c r="D19" s="140"/>
      <c r="E19" s="143"/>
      <c r="F19" s="143"/>
      <c r="G19" s="142"/>
      <c r="H19" s="127" t="str">
        <f>IFERROR(VLOOKUP(G19,参数表!$H$2:$I$50,2,FALSE),"")</f>
        <v/>
      </c>
      <c r="I19" s="128" t="str">
        <f t="shared" si="3"/>
        <v/>
      </c>
      <c r="J19" s="128" t="str">
        <f t="shared" si="4"/>
        <v/>
      </c>
      <c r="K19" s="143"/>
      <c r="L19" s="143"/>
      <c r="M19" s="144"/>
      <c r="N19" s="129" t="str">
        <f t="shared" si="5"/>
        <v/>
      </c>
      <c r="O19" s="129" t="str">
        <f t="shared" si="0"/>
        <v/>
      </c>
      <c r="P19" s="129" t="str">
        <f t="shared" si="6"/>
        <v/>
      </c>
      <c r="Q19" s="129" t="str">
        <f t="shared" si="7"/>
        <v/>
      </c>
      <c r="R19" s="145"/>
      <c r="BA19" s="78"/>
      <c r="BB19" s="132" t="s">
        <v>3426</v>
      </c>
      <c r="BC19" s="133"/>
      <c r="BD19" s="132" t="str">
        <f>IF(OR(B19="",BC19=""),"",COUNTIF(BC$7:BC19,"√"))</f>
        <v/>
      </c>
      <c r="BE19" s="134" t="str">
        <f t="shared" si="1"/>
        <v/>
      </c>
      <c r="BF19" s="135" t="str">
        <f t="shared" si="8"/>
        <v/>
      </c>
      <c r="BG19" s="135" t="str">
        <f t="shared" si="8"/>
        <v/>
      </c>
      <c r="BH19" s="136"/>
      <c r="BI19" s="136"/>
      <c r="BJ19" s="136"/>
      <c r="BK19" s="136"/>
      <c r="BL19" s="136"/>
      <c r="BM19" s="137"/>
      <c r="BN19" s="137"/>
      <c r="BP19" s="134" t="str">
        <f>IF(COUNTIF(BP$6:BP18,C19)&gt;0,"",C19)&amp;""</f>
        <v/>
      </c>
      <c r="BQ19" s="138">
        <f t="shared" si="9"/>
        <v>0</v>
      </c>
      <c r="BR19" s="132">
        <f t="shared" si="10"/>
        <v>1</v>
      </c>
      <c r="BS19" s="138">
        <f t="shared" si="11"/>
        <v>0</v>
      </c>
      <c r="BT19" s="132">
        <f t="shared" si="12"/>
        <v>1</v>
      </c>
      <c r="BU19" s="133"/>
      <c r="BV19" s="133"/>
    </row>
    <row r="20" ht="15" customHeight="1" spans="1:75">
      <c r="A20" s="123" t="str">
        <f>IF(B20="","",COUNT(A$6:A19)+1)</f>
        <v/>
      </c>
      <c r="B20" s="139"/>
      <c r="C20" s="141"/>
      <c r="D20" s="140"/>
      <c r="E20" s="143"/>
      <c r="F20" s="143"/>
      <c r="G20" s="142"/>
      <c r="H20" s="127" t="str">
        <f>IFERROR(VLOOKUP(G20,参数表!$H$2:$I$50,2,FALSE),"")</f>
        <v/>
      </c>
      <c r="I20" s="128" t="str">
        <f t="shared" si="3"/>
        <v/>
      </c>
      <c r="J20" s="128" t="str">
        <f t="shared" si="4"/>
        <v/>
      </c>
      <c r="K20" s="143"/>
      <c r="L20" s="143"/>
      <c r="M20" s="144"/>
      <c r="N20" s="129" t="str">
        <f t="shared" si="5"/>
        <v/>
      </c>
      <c r="O20" s="129" t="str">
        <f t="shared" si="0"/>
        <v/>
      </c>
      <c r="P20" s="129" t="str">
        <f t="shared" si="6"/>
        <v/>
      </c>
      <c r="Q20" s="129" t="str">
        <f t="shared" si="7"/>
        <v/>
      </c>
      <c r="R20" s="145"/>
      <c r="BA20" s="78"/>
      <c r="BB20" s="132" t="s">
        <v>3427</v>
      </c>
      <c r="BC20" s="133"/>
      <c r="BD20" s="132" t="str">
        <f>IF(OR(B20="",BC20=""),"",COUNTIF(BC$7:BC20,"√"))</f>
        <v/>
      </c>
      <c r="BE20" s="134" t="str">
        <f t="shared" si="1"/>
        <v/>
      </c>
      <c r="BF20" s="135" t="str">
        <f t="shared" si="8"/>
        <v/>
      </c>
      <c r="BG20" s="135" t="str">
        <f t="shared" si="8"/>
        <v/>
      </c>
      <c r="BH20" s="136"/>
      <c r="BI20" s="136"/>
      <c r="BJ20" s="136"/>
      <c r="BK20" s="136"/>
      <c r="BL20" s="136"/>
      <c r="BM20" s="137"/>
      <c r="BN20" s="137"/>
      <c r="BP20" s="134" t="str">
        <f>IF(COUNTIF(BP$6:BP19,C20)&gt;0,"",C20)&amp;""</f>
        <v/>
      </c>
      <c r="BQ20" s="138">
        <f t="shared" si="9"/>
        <v>0</v>
      </c>
      <c r="BR20" s="132">
        <f t="shared" si="10"/>
        <v>1</v>
      </c>
      <c r="BS20" s="138">
        <f t="shared" si="11"/>
        <v>0</v>
      </c>
      <c r="BT20" s="132">
        <f t="shared" si="12"/>
        <v>1</v>
      </c>
      <c r="BU20" s="133"/>
      <c r="BV20" s="133"/>
    </row>
    <row r="21" ht="15" customHeight="1" spans="1:75">
      <c r="A21" s="123" t="str">
        <f>IF(B21="","",COUNT(A$6:A20)+1)</f>
        <v/>
      </c>
      <c r="B21" s="139"/>
      <c r="C21" s="141"/>
      <c r="D21" s="140"/>
      <c r="E21" s="143"/>
      <c r="F21" s="143"/>
      <c r="G21" s="142"/>
      <c r="H21" s="127" t="str">
        <f>IFERROR(VLOOKUP(G21,参数表!$H$2:$I$50,2,FALSE),"")</f>
        <v/>
      </c>
      <c r="I21" s="128" t="str">
        <f t="shared" si="3"/>
        <v/>
      </c>
      <c r="J21" s="128" t="str">
        <f t="shared" si="4"/>
        <v/>
      </c>
      <c r="K21" s="143"/>
      <c r="L21" s="143"/>
      <c r="M21" s="144"/>
      <c r="N21" s="129" t="str">
        <f t="shared" si="5"/>
        <v/>
      </c>
      <c r="O21" s="129" t="str">
        <f t="shared" si="0"/>
        <v/>
      </c>
      <c r="P21" s="129" t="str">
        <f t="shared" si="6"/>
        <v/>
      </c>
      <c r="Q21" s="129" t="str">
        <f t="shared" si="7"/>
        <v/>
      </c>
      <c r="R21" s="145"/>
      <c r="BA21" s="78"/>
      <c r="BB21" s="132" t="s">
        <v>3428</v>
      </c>
      <c r="BC21" s="133"/>
      <c r="BD21" s="132" t="str">
        <f>IF(OR(B21="",BC21=""),"",COUNTIF(BC$7:BC21,"√"))</f>
        <v/>
      </c>
      <c r="BE21" s="134" t="str">
        <f t="shared" si="1"/>
        <v/>
      </c>
      <c r="BF21" s="135" t="str">
        <f t="shared" si="8"/>
        <v/>
      </c>
      <c r="BG21" s="135" t="str">
        <f t="shared" si="8"/>
        <v/>
      </c>
      <c r="BH21" s="136"/>
      <c r="BI21" s="136"/>
      <c r="BJ21" s="136"/>
      <c r="BK21" s="136"/>
      <c r="BL21" s="136"/>
      <c r="BM21" s="137"/>
      <c r="BN21" s="137"/>
      <c r="BP21" s="134" t="str">
        <f>IF(COUNTIF(BP$6:BP20,C21)&gt;0,"",C21)&amp;""</f>
        <v/>
      </c>
      <c r="BQ21" s="138">
        <f t="shared" si="9"/>
        <v>0</v>
      </c>
      <c r="BR21" s="132">
        <f t="shared" si="10"/>
        <v>1</v>
      </c>
      <c r="BS21" s="138">
        <f t="shared" si="11"/>
        <v>0</v>
      </c>
      <c r="BT21" s="132">
        <f t="shared" si="12"/>
        <v>1</v>
      </c>
      <c r="BU21" s="133"/>
      <c r="BV21" s="133"/>
    </row>
    <row r="22" ht="15" customHeight="1" spans="1:75">
      <c r="A22" s="123" t="str">
        <f>IF(B22="","",COUNT(A$6:A21)+1)</f>
        <v/>
      </c>
      <c r="B22" s="139"/>
      <c r="C22" s="141"/>
      <c r="D22" s="140"/>
      <c r="E22" s="143"/>
      <c r="F22" s="143"/>
      <c r="G22" s="142"/>
      <c r="H22" s="127" t="str">
        <f>IFERROR(VLOOKUP(G22,参数表!$H$2:$I$50,2,FALSE),"")</f>
        <v/>
      </c>
      <c r="I22" s="128" t="str">
        <f t="shared" si="3"/>
        <v/>
      </c>
      <c r="J22" s="128" t="str">
        <f t="shared" si="4"/>
        <v/>
      </c>
      <c r="K22" s="143"/>
      <c r="L22" s="143"/>
      <c r="M22" s="144"/>
      <c r="N22" s="129" t="str">
        <f t="shared" si="5"/>
        <v/>
      </c>
      <c r="O22" s="129" t="str">
        <f t="shared" si="0"/>
        <v/>
      </c>
      <c r="P22" s="129" t="str">
        <f t="shared" si="6"/>
        <v/>
      </c>
      <c r="Q22" s="129" t="str">
        <f t="shared" si="7"/>
        <v/>
      </c>
      <c r="R22" s="145"/>
      <c r="BA22" s="78"/>
      <c r="BB22" s="132" t="s">
        <v>3429</v>
      </c>
      <c r="BC22" s="133"/>
      <c r="BD22" s="132" t="str">
        <f>IF(OR(B22="",BC22=""),"",COUNTIF(BC$7:BC22,"√"))</f>
        <v/>
      </c>
      <c r="BE22" s="134" t="str">
        <f t="shared" si="1"/>
        <v/>
      </c>
      <c r="BF22" s="135" t="str">
        <f t="shared" si="8"/>
        <v/>
      </c>
      <c r="BG22" s="135" t="str">
        <f t="shared" si="8"/>
        <v/>
      </c>
      <c r="BH22" s="136"/>
      <c r="BI22" s="136"/>
      <c r="BJ22" s="136"/>
      <c r="BK22" s="136"/>
      <c r="BL22" s="136"/>
      <c r="BM22" s="137"/>
      <c r="BN22" s="137"/>
      <c r="BP22" s="134" t="str">
        <f>IF(COUNTIF(BP$6:BP21,C22)&gt;0,"",C22)&amp;""</f>
        <v/>
      </c>
      <c r="BQ22" s="138">
        <f t="shared" si="9"/>
        <v>0</v>
      </c>
      <c r="BR22" s="132">
        <f t="shared" si="10"/>
        <v>1</v>
      </c>
      <c r="BS22" s="138">
        <f t="shared" si="11"/>
        <v>0</v>
      </c>
      <c r="BT22" s="132">
        <f t="shared" si="12"/>
        <v>1</v>
      </c>
      <c r="BU22" s="133"/>
      <c r="BV22" s="133"/>
    </row>
    <row r="23" ht="15" customHeight="1" spans="1:75">
      <c r="A23" s="123" t="str">
        <f>IF(B23="","",COUNT(A$6:A22)+1)</f>
        <v/>
      </c>
      <c r="B23" s="139"/>
      <c r="C23" s="141"/>
      <c r="D23" s="140"/>
      <c r="E23" s="143"/>
      <c r="F23" s="143"/>
      <c r="G23" s="142"/>
      <c r="H23" s="127" t="str">
        <f>IFERROR(VLOOKUP(G23,参数表!$H$2:$I$50,2,FALSE),"")</f>
        <v/>
      </c>
      <c r="I23" s="128" t="str">
        <f t="shared" si="3"/>
        <v/>
      </c>
      <c r="J23" s="128" t="str">
        <f t="shared" si="4"/>
        <v/>
      </c>
      <c r="K23" s="143"/>
      <c r="L23" s="143"/>
      <c r="M23" s="144"/>
      <c r="N23" s="129" t="str">
        <f t="shared" si="5"/>
        <v/>
      </c>
      <c r="O23" s="129" t="str">
        <f t="shared" si="0"/>
        <v/>
      </c>
      <c r="P23" s="129" t="str">
        <f t="shared" si="6"/>
        <v/>
      </c>
      <c r="Q23" s="129" t="str">
        <f t="shared" si="7"/>
        <v/>
      </c>
      <c r="R23" s="145"/>
      <c r="BA23" s="78"/>
      <c r="BB23" s="132" t="s">
        <v>3430</v>
      </c>
      <c r="BC23" s="133"/>
      <c r="BD23" s="132" t="str">
        <f>IF(OR(B23="",BC23=""),"",COUNTIF(BC$7:BC23,"√"))</f>
        <v/>
      </c>
      <c r="BE23" s="134" t="str">
        <f t="shared" si="1"/>
        <v/>
      </c>
      <c r="BF23" s="135" t="str">
        <f t="shared" si="8"/>
        <v/>
      </c>
      <c r="BG23" s="135" t="str">
        <f t="shared" si="8"/>
        <v/>
      </c>
      <c r="BH23" s="136"/>
      <c r="BI23" s="136"/>
      <c r="BJ23" s="136"/>
      <c r="BK23" s="136"/>
      <c r="BL23" s="136"/>
      <c r="BM23" s="137"/>
      <c r="BN23" s="137"/>
      <c r="BP23" s="134" t="str">
        <f>IF(COUNTIF(BP$6:BP22,C23)&gt;0,"",C23)&amp;""</f>
        <v/>
      </c>
      <c r="BQ23" s="138">
        <f t="shared" si="9"/>
        <v>0</v>
      </c>
      <c r="BR23" s="132">
        <f t="shared" si="10"/>
        <v>1</v>
      </c>
      <c r="BS23" s="138">
        <f t="shared" si="11"/>
        <v>0</v>
      </c>
      <c r="BT23" s="132">
        <f t="shared" si="12"/>
        <v>1</v>
      </c>
      <c r="BU23" s="133"/>
      <c r="BV23" s="133"/>
    </row>
    <row r="24" ht="15" customHeight="1" spans="1:75">
      <c r="A24" s="123" t="str">
        <f>IF(B24="","",COUNT(A$6:A23)+1)</f>
        <v/>
      </c>
      <c r="B24" s="139"/>
      <c r="C24" s="141"/>
      <c r="D24" s="140"/>
      <c r="E24" s="143"/>
      <c r="F24" s="143"/>
      <c r="G24" s="142"/>
      <c r="H24" s="127" t="str">
        <f>IFERROR(VLOOKUP(G24,参数表!$H$2:$I$50,2,FALSE),"")</f>
        <v/>
      </c>
      <c r="I24" s="128" t="str">
        <f t="shared" si="3"/>
        <v/>
      </c>
      <c r="J24" s="128" t="str">
        <f t="shared" si="4"/>
        <v/>
      </c>
      <c r="K24" s="143"/>
      <c r="L24" s="143"/>
      <c r="M24" s="144"/>
      <c r="N24" s="129" t="str">
        <f t="shared" si="5"/>
        <v/>
      </c>
      <c r="O24" s="129" t="str">
        <f t="shared" si="0"/>
        <v/>
      </c>
      <c r="P24" s="129" t="str">
        <f t="shared" si="6"/>
        <v/>
      </c>
      <c r="Q24" s="129" t="str">
        <f t="shared" si="7"/>
        <v/>
      </c>
      <c r="R24" s="145"/>
      <c r="BA24" s="78"/>
      <c r="BB24" s="132" t="s">
        <v>3431</v>
      </c>
      <c r="BC24" s="133"/>
      <c r="BD24" s="132" t="str">
        <f>IF(OR(B24="",BC24=""),"",COUNTIF(BC$7:BC24,"√"))</f>
        <v/>
      </c>
      <c r="BE24" s="134" t="str">
        <f t="shared" si="1"/>
        <v/>
      </c>
      <c r="BF24" s="135" t="str">
        <f t="shared" si="8"/>
        <v/>
      </c>
      <c r="BG24" s="135" t="str">
        <f t="shared" si="8"/>
        <v/>
      </c>
      <c r="BH24" s="136"/>
      <c r="BI24" s="136"/>
      <c r="BJ24" s="136"/>
      <c r="BK24" s="136"/>
      <c r="BL24" s="136"/>
      <c r="BM24" s="137"/>
      <c r="BN24" s="137"/>
      <c r="BP24" s="134" t="str">
        <f>IF(COUNTIF(BP$6:BP23,C24)&gt;0,"",C24)&amp;""</f>
        <v/>
      </c>
      <c r="BQ24" s="138">
        <f t="shared" si="9"/>
        <v>0</v>
      </c>
      <c r="BR24" s="132">
        <f t="shared" si="10"/>
        <v>1</v>
      </c>
      <c r="BS24" s="138">
        <f t="shared" si="11"/>
        <v>0</v>
      </c>
      <c r="BT24" s="132">
        <f t="shared" si="12"/>
        <v>1</v>
      </c>
      <c r="BU24" s="133"/>
      <c r="BV24" s="133"/>
    </row>
    <row r="25" ht="15" customHeight="1" spans="1:75">
      <c r="A25" s="123" t="str">
        <f>IF(B25="","",COUNT(A$6:A24)+1)</f>
        <v/>
      </c>
      <c r="B25" s="139"/>
      <c r="C25" s="141"/>
      <c r="D25" s="140"/>
      <c r="E25" s="143"/>
      <c r="F25" s="143"/>
      <c r="G25" s="142"/>
      <c r="H25" s="127" t="str">
        <f>IFERROR(VLOOKUP(G25,参数表!$H$2:$I$50,2,FALSE),"")</f>
        <v/>
      </c>
      <c r="I25" s="128" t="str">
        <f t="shared" si="3"/>
        <v/>
      </c>
      <c r="J25" s="128" t="str">
        <f t="shared" si="4"/>
        <v/>
      </c>
      <c r="K25" s="143"/>
      <c r="L25" s="143"/>
      <c r="M25" s="144"/>
      <c r="N25" s="129" t="str">
        <f t="shared" si="5"/>
        <v/>
      </c>
      <c r="O25" s="129" t="str">
        <f t="shared" si="0"/>
        <v/>
      </c>
      <c r="P25" s="129" t="str">
        <f t="shared" si="6"/>
        <v/>
      </c>
      <c r="Q25" s="129" t="str">
        <f t="shared" si="7"/>
        <v/>
      </c>
      <c r="R25" s="145"/>
      <c r="BA25" s="78"/>
      <c r="BB25" s="132" t="s">
        <v>3432</v>
      </c>
      <c r="BC25" s="133"/>
      <c r="BD25" s="132" t="str">
        <f>IF(OR(B25="",BC25=""),"",COUNTIF(BC$7:BC25,"√"))</f>
        <v/>
      </c>
      <c r="BE25" s="134" t="str">
        <f t="shared" si="1"/>
        <v/>
      </c>
      <c r="BF25" s="135" t="str">
        <f t="shared" si="8"/>
        <v/>
      </c>
      <c r="BG25" s="135" t="str">
        <f t="shared" si="8"/>
        <v/>
      </c>
      <c r="BH25" s="136"/>
      <c r="BI25" s="136"/>
      <c r="BJ25" s="136"/>
      <c r="BK25" s="136"/>
      <c r="BL25" s="136"/>
      <c r="BM25" s="137"/>
      <c r="BN25" s="137"/>
      <c r="BP25" s="134" t="str">
        <f>IF(COUNTIF(BP$6:BP24,C25)&gt;0,"",C25)&amp;""</f>
        <v/>
      </c>
      <c r="BQ25" s="138">
        <f t="shared" si="9"/>
        <v>0</v>
      </c>
      <c r="BR25" s="132">
        <f t="shared" si="10"/>
        <v>1</v>
      </c>
      <c r="BS25" s="138">
        <f t="shared" si="11"/>
        <v>0</v>
      </c>
      <c r="BT25" s="132">
        <f t="shared" si="12"/>
        <v>1</v>
      </c>
      <c r="BU25" s="133"/>
      <c r="BV25" s="133"/>
    </row>
    <row r="26" ht="15" customHeight="1" spans="1:75">
      <c r="A26" s="123" t="str">
        <f>IF(B26="","",COUNT(A$6:A25)+1)</f>
        <v/>
      </c>
      <c r="B26" s="124"/>
      <c r="C26" s="126"/>
      <c r="D26" s="125"/>
      <c r="E26" s="129"/>
      <c r="F26" s="129"/>
      <c r="G26" s="127"/>
      <c r="H26" s="127" t="str">
        <f>IFERROR(VLOOKUP(G26,参数表!$H$2:$I$50,2,FALSE),"")</f>
        <v/>
      </c>
      <c r="I26" s="128" t="str">
        <f t="shared" si="3"/>
        <v/>
      </c>
      <c r="J26" s="128" t="str">
        <f t="shared" si="4"/>
        <v/>
      </c>
      <c r="K26" s="129"/>
      <c r="L26" s="129"/>
      <c r="M26" s="130"/>
      <c r="N26" s="129" t="str">
        <f t="shared" si="5"/>
        <v/>
      </c>
      <c r="O26" s="129" t="str">
        <f t="shared" si="0"/>
        <v/>
      </c>
      <c r="P26" s="129" t="str">
        <f t="shared" si="6"/>
        <v/>
      </c>
      <c r="Q26" s="129" t="str">
        <f t="shared" si="7"/>
        <v/>
      </c>
      <c r="R26" s="131"/>
      <c r="BA26" s="78"/>
      <c r="BB26" s="132" t="s">
        <v>3433</v>
      </c>
      <c r="BC26" s="133"/>
      <c r="BD26" s="132" t="str">
        <f>IF(OR(B26="",BC26=""),"",COUNTIF(BC$7:BC26,"√"))</f>
        <v/>
      </c>
      <c r="BE26" s="134" t="str">
        <f t="shared" si="1"/>
        <v/>
      </c>
      <c r="BF26" s="135" t="str">
        <f t="shared" si="8"/>
        <v/>
      </c>
      <c r="BG26" s="135" t="str">
        <f t="shared" si="8"/>
        <v/>
      </c>
      <c r="BH26" s="136"/>
      <c r="BI26" s="136"/>
      <c r="BJ26" s="136"/>
      <c r="BK26" s="136"/>
      <c r="BL26" s="136"/>
      <c r="BM26" s="137"/>
      <c r="BN26" s="137"/>
      <c r="BP26" s="134" t="str">
        <f>IF(COUNTIF(BP$6:BP25,C26)&gt;0,"",C26)&amp;""</f>
        <v/>
      </c>
      <c r="BQ26" s="138">
        <f t="shared" si="9"/>
        <v>0</v>
      </c>
      <c r="BR26" s="132">
        <f t="shared" si="10"/>
        <v>1</v>
      </c>
      <c r="BS26" s="138">
        <f t="shared" si="11"/>
        <v>0</v>
      </c>
      <c r="BT26" s="132">
        <f t="shared" si="12"/>
        <v>1</v>
      </c>
      <c r="BU26" s="133"/>
      <c r="BV26" s="133"/>
    </row>
    <row r="27" s="73" customFormat="1" ht="15" customHeight="1" spans="1:75">
      <c r="A27" s="993" t="s">
        <v>1954</v>
      </c>
      <c r="B27" s="994"/>
      <c r="C27" s="149"/>
      <c r="D27" s="356"/>
      <c r="E27" s="152"/>
      <c r="F27" s="152"/>
      <c r="G27" s="152"/>
      <c r="H27" s="152"/>
      <c r="I27" s="152"/>
      <c r="J27" s="152"/>
      <c r="K27" s="152">
        <f>SUM(K7:K26)</f>
        <v>0</v>
      </c>
      <c r="L27" s="152">
        <f>SUM(L7:L26)</f>
        <v>0</v>
      </c>
      <c r="M27" s="153"/>
      <c r="N27" s="152">
        <f>SUM(N7:N26)</f>
        <v>0</v>
      </c>
      <c r="O27" s="152">
        <f>SUM(O7:O26)</f>
        <v>0</v>
      </c>
      <c r="P27" s="152">
        <f t="shared" si="6"/>
        <v>0</v>
      </c>
      <c r="Q27" s="152" t="str">
        <f t="shared" si="7"/>
        <v/>
      </c>
      <c r="R27" s="151"/>
      <c r="BH27" s="72"/>
      <c r="BI27" s="72"/>
      <c r="BJ27" s="72"/>
      <c r="BK27" s="72"/>
      <c r="BL27" s="72"/>
      <c r="BO27" s="111"/>
      <c r="BP27" s="119"/>
      <c r="BQ27" s="77"/>
      <c r="BR27" s="77"/>
      <c r="BS27" s="77"/>
      <c r="BT27" s="119"/>
      <c r="BU27" s="119"/>
      <c r="BV27" s="119"/>
      <c r="BW27" s="111"/>
    </row>
    <row r="28" customHeight="1" spans="1:75">
      <c r="A28" s="995" t="s">
        <v>3434</v>
      </c>
      <c r="B28" s="996"/>
      <c r="C28" s="126"/>
      <c r="D28" s="125"/>
      <c r="E28" s="129"/>
      <c r="F28" s="129"/>
      <c r="G28" s="129"/>
      <c r="H28" s="129"/>
      <c r="I28" s="129"/>
      <c r="J28" s="129"/>
      <c r="K28" s="129"/>
      <c r="L28" s="129"/>
      <c r="M28" s="130"/>
      <c r="N28" s="129">
        <f>L28+M28</f>
        <v>0</v>
      </c>
      <c r="O28" s="129">
        <f>0</f>
        <v>0</v>
      </c>
      <c r="P28" s="129">
        <f t="shared" si="6"/>
        <v>0</v>
      </c>
      <c r="Q28" s="129" t="str">
        <f t="shared" si="7"/>
        <v/>
      </c>
      <c r="R28" s="131"/>
    </row>
    <row r="29" s="73" customFormat="1" customHeight="1" spans="1:75">
      <c r="A29" s="221" t="s">
        <v>1957</v>
      </c>
      <c r="B29" s="221"/>
      <c r="C29" s="149"/>
      <c r="D29" s="356"/>
      <c r="E29" s="152"/>
      <c r="F29" s="152"/>
      <c r="G29" s="152"/>
      <c r="H29" s="152"/>
      <c r="I29" s="152"/>
      <c r="J29" s="152"/>
      <c r="K29" s="152">
        <f>K27-K28</f>
        <v>0</v>
      </c>
      <c r="L29" s="152">
        <f>L27-L28</f>
        <v>0</v>
      </c>
      <c r="M29" s="153"/>
      <c r="N29" s="152">
        <f>N27-N28</f>
        <v>0</v>
      </c>
      <c r="O29" s="152">
        <f>O27-O28</f>
        <v>0</v>
      </c>
      <c r="P29" s="152">
        <f t="shared" si="6"/>
        <v>0</v>
      </c>
      <c r="Q29" s="152" t="str">
        <f t="shared" si="7"/>
        <v/>
      </c>
      <c r="R29" s="151"/>
      <c r="BH29" s="72"/>
      <c r="BI29" s="72"/>
      <c r="BJ29" s="72"/>
      <c r="BK29" s="72"/>
      <c r="BL29" s="72"/>
      <c r="BO29" s="77"/>
      <c r="BP29" s="78"/>
      <c r="BQ29" s="77"/>
      <c r="BR29" s="78"/>
      <c r="BS29" s="78"/>
      <c r="BT29" s="78"/>
      <c r="BU29" s="78"/>
      <c r="BV29" s="78"/>
      <c r="BW29" s="77"/>
    </row>
    <row r="30" customHeight="1" spans="1:75">
      <c r="A30" s="102" t="str">
        <f>参数表!F$6</f>
        <v>产权持有单位填表人：贾广东</v>
      </c>
      <c r="B30" s="154"/>
      <c r="C30" s="154"/>
      <c r="D30" s="154"/>
      <c r="E30" s="154"/>
      <c r="F30" s="154"/>
      <c r="G30" s="154"/>
      <c r="H30" s="154"/>
      <c r="I30" s="154"/>
      <c r="J30" s="154"/>
      <c r="K30" s="103"/>
      <c r="L30" s="103"/>
      <c r="M30" s="104"/>
      <c r="N30" s="103"/>
      <c r="O30" s="103" t="str">
        <f>"评估人员："&amp;封面!$G$36</f>
        <v>评估人员：</v>
      </c>
      <c r="P30" s="103"/>
      <c r="Q30" s="103"/>
      <c r="R30" s="103"/>
    </row>
    <row r="31" customHeight="1" spans="1:75">
      <c r="A31" s="102" t="str">
        <f>参数表!F$7</f>
        <v>填表日期：2025年9月20日</v>
      </c>
      <c r="B31" s="154"/>
      <c r="C31" s="154"/>
      <c r="D31" s="154"/>
      <c r="E31" s="154"/>
      <c r="F31" s="154"/>
      <c r="G31" s="154"/>
      <c r="H31" s="154"/>
      <c r="I31" s="154"/>
      <c r="J31" s="154"/>
      <c r="K31" s="103"/>
      <c r="L31" s="103"/>
      <c r="M31" s="104"/>
      <c r="N31" s="103"/>
      <c r="O31" s="103"/>
      <c r="P31" s="103"/>
      <c r="Q31" s="103"/>
      <c r="R31" s="103"/>
    </row>
    <row r="32" hidden="1" customHeight="1" outlineLevel="1" spans="1:75">
      <c r="A32" s="157"/>
      <c r="B32" s="154" t="s">
        <v>1673</v>
      </c>
      <c r="C32" s="158"/>
      <c r="D32" s="158"/>
      <c r="E32" s="158"/>
      <c r="F32" s="158"/>
      <c r="G32" s="158"/>
      <c r="H32" s="158"/>
      <c r="I32" s="158"/>
      <c r="J32" s="158"/>
      <c r="K32" s="159">
        <f>SUMIF($BA7:$BA26,$BA32,K7:K26)</f>
        <v>0</v>
      </c>
      <c r="L32" s="159">
        <f>SUMIF($BA7:$BA26,$BA32,L7:L26)</f>
        <v>0</v>
      </c>
      <c r="M32" s="202"/>
      <c r="N32" s="159">
        <f>SUMIF($BA7:$BA26,$BA32,N7:N26)</f>
        <v>0</v>
      </c>
      <c r="O32" s="159">
        <f>SUMIF($BA7:$BA26,$BA32,O7:O26)</f>
        <v>0</v>
      </c>
      <c r="BA32" s="161" t="s">
        <v>1674</v>
      </c>
      <c r="BH32" s="162" t="s">
        <v>1675</v>
      </c>
      <c r="BI32" s="162" t="s">
        <v>1675</v>
      </c>
      <c r="BJ32" s="162" t="s">
        <v>1675</v>
      </c>
      <c r="BK32" s="162" t="s">
        <v>1674</v>
      </c>
      <c r="BL32" s="162" t="s">
        <v>1674</v>
      </c>
    </row>
    <row r="33" hidden="1" customHeight="1" outlineLevel="1" spans="1:64">
      <c r="A33" s="157"/>
      <c r="B33" s="154" t="s">
        <v>1676</v>
      </c>
      <c r="C33" s="158"/>
      <c r="D33" s="158"/>
      <c r="E33" s="158"/>
      <c r="F33" s="158"/>
      <c r="G33" s="158"/>
      <c r="H33" s="158"/>
      <c r="I33" s="158"/>
      <c r="J33" s="158"/>
      <c r="K33" s="159">
        <f>K27-K32</f>
        <v>0</v>
      </c>
      <c r="L33" s="159">
        <f>L27-L32</f>
        <v>0</v>
      </c>
      <c r="M33" s="202"/>
      <c r="N33" s="159">
        <f>N27-N32</f>
        <v>0</v>
      </c>
      <c r="O33" s="159">
        <f>O27-O32</f>
        <v>0</v>
      </c>
      <c r="BA33" s="161" t="s">
        <v>1677</v>
      </c>
      <c r="BH33" s="162" t="s">
        <v>1678</v>
      </c>
      <c r="BI33" s="162" t="s">
        <v>1678</v>
      </c>
      <c r="BJ33" s="162" t="s">
        <v>1678</v>
      </c>
      <c r="BK33" s="162" t="s">
        <v>1677</v>
      </c>
      <c r="BL33" s="162" t="s">
        <v>1677</v>
      </c>
    </row>
    <row r="34" customHeight="1" collapsed="1" spans="1:64">
      <c r="A34" s="157"/>
      <c r="B34" s="158"/>
      <c r="C34" s="158"/>
      <c r="D34" s="158"/>
      <c r="E34" s="158"/>
      <c r="F34" s="158"/>
      <c r="G34" s="158"/>
      <c r="H34" s="158"/>
      <c r="I34" s="158"/>
      <c r="J34" s="158"/>
    </row>
    <row r="35" customHeight="1" spans="1:64">
      <c r="A35" s="157"/>
      <c r="B35" s="158"/>
      <c r="C35" s="158"/>
      <c r="D35" s="158"/>
      <c r="E35" s="158"/>
      <c r="F35" s="158"/>
      <c r="G35" s="158"/>
      <c r="H35" s="158"/>
      <c r="I35" s="158"/>
      <c r="J35" s="158"/>
    </row>
    <row r="36" customHeight="1" spans="1:64">
      <c r="A36" s="157"/>
      <c r="B36" s="158"/>
      <c r="C36" s="158"/>
      <c r="D36" s="158"/>
      <c r="E36" s="158"/>
      <c r="F36" s="158"/>
      <c r="G36" s="158"/>
      <c r="H36" s="158"/>
      <c r="I36" s="158"/>
      <c r="J36" s="158"/>
    </row>
    <row r="37" customHeight="1" spans="1:64">
      <c r="A37" s="157"/>
      <c r="B37" s="158"/>
      <c r="C37" s="158"/>
      <c r="D37" s="158"/>
      <c r="E37" s="158"/>
      <c r="F37" s="158"/>
      <c r="G37" s="158"/>
      <c r="H37" s="158"/>
      <c r="I37" s="158"/>
      <c r="J37" s="158"/>
    </row>
    <row r="38" customHeight="1" spans="1:64">
      <c r="A38" s="157"/>
      <c r="B38" s="158"/>
      <c r="C38" s="158"/>
      <c r="D38" s="158"/>
      <c r="E38" s="158"/>
      <c r="F38" s="158"/>
      <c r="G38" s="158"/>
      <c r="H38" s="158"/>
      <c r="I38" s="158"/>
      <c r="J38" s="158"/>
    </row>
    <row r="39" customHeight="1" spans="1:64">
      <c r="A39" s="157"/>
      <c r="B39" s="158"/>
      <c r="C39" s="158"/>
      <c r="D39" s="158"/>
      <c r="E39" s="158"/>
      <c r="F39" s="158"/>
      <c r="G39" s="158"/>
      <c r="H39" s="158"/>
      <c r="I39" s="158"/>
      <c r="J39" s="158"/>
    </row>
  </sheetData>
  <sheetProtection autoFilter="0"/>
  <mergeCells count="8">
    <mergeCell ref="A2:R2"/>
    <mergeCell ref="A3:R3"/>
    <mergeCell ref="BU7:BW7"/>
    <mergeCell ref="BU8:BW8"/>
    <mergeCell ref="BV14:BW14"/>
    <mergeCell ref="A27:B27"/>
    <mergeCell ref="A28:B28"/>
    <mergeCell ref="A29:B29"/>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5" stopIfTrue="1">
      <formula>AND($B7&lt;&gt;"",BH7="")</formula>
    </cfRule>
  </conditionalFormatting>
  <dataValidations count="4">
    <dataValidation type="list" allowBlank="1" showInputMessage="1" showErrorMessage="1" sqref="G7:G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 type="list" allowBlank="1" showInputMessage="1" showErrorMessage="1" sqref="BH7:BL26">
      <formula1>BH$32:BH$33</formula1>
    </dataValidation>
  </dataValidations>
  <hyperlinks>
    <hyperlink ref="A1" location="索引目录!E28" display="返回索引页"/>
    <hyperlink ref="B1" location="可供出售金融资产汇总!B9"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
  <dimension ref="A1:CB39"/>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17.2" style="75" customWidth="1"/>
    <col min="3" max="3" width="8.2" style="75" customWidth="1"/>
    <col min="4" max="5" width="9.1" style="75" customWidth="1"/>
    <col min="6" max="6" width="9.8" style="75" customWidth="1"/>
    <col min="7" max="8" width="4.6" style="75" customWidth="1" outlineLevel="1"/>
    <col min="9" max="10" width="6.1" style="75" customWidth="1" outlineLevel="1"/>
    <col min="11" max="11" width="11.2" style="75" customWidth="1"/>
    <col min="12" max="12" width="12.6" style="75" customWidth="1" outlineLevel="1"/>
    <col min="13" max="13" width="12.6" style="76" customWidth="1" outlineLevel="1"/>
    <col min="14" max="14" width="13.1" style="75" customWidth="1"/>
    <col min="15" max="15" width="15" style="75" customWidth="1"/>
    <col min="16" max="18" width="8.6" style="75" customWidth="1"/>
    <col min="19" max="52" width="9" style="75" hidden="1" customWidth="1" outlineLevel="1"/>
    <col min="53" max="53" width="14.7" style="75" customWidth="1" collapsed="1"/>
    <col min="54" max="54" width="6.7" style="75" customWidth="1"/>
    <col min="55" max="56" width="5.1" style="75" customWidth="1"/>
    <col min="57" max="57" width="8.7" style="75" customWidth="1"/>
    <col min="58" max="59" width="10.6" style="75" customWidth="1"/>
    <col min="60" max="61" width="5" style="165" customWidth="1"/>
    <col min="62" max="63" width="5.1" style="165" customWidth="1"/>
    <col min="64" max="64" width="6.7" style="165" customWidth="1"/>
    <col min="65" max="65" width="10.3" style="75" customWidth="1"/>
    <col min="66" max="66" width="8.7" style="75" customWidth="1"/>
    <col min="67" max="67" width="9.2" style="75" customWidth="1"/>
    <col min="68" max="71" width="9" style="75"/>
    <col min="72" max="72" width="1.6" style="77" customWidth="1"/>
    <col min="73" max="73" width="10.6" style="78" customWidth="1"/>
    <col min="74" max="74" width="10.6" style="77" customWidth="1"/>
    <col min="75" max="75" width="4.6" style="78" customWidth="1"/>
    <col min="76" max="76" width="10.6" style="78" customWidth="1"/>
    <col min="77" max="78" width="4.6" style="78" customWidth="1"/>
    <col min="79" max="79" width="10.6" style="78" customWidth="1"/>
    <col min="80" max="80" width="5" style="77" customWidth="1"/>
    <col min="81" max="16384" width="9" style="75"/>
  </cols>
  <sheetData>
    <row r="1" s="86" customFormat="1" ht="13.8" spans="1:80">
      <c r="A1" s="203" t="s">
        <v>1591</v>
      </c>
      <c r="B1" s="204" t="s">
        <v>1592</v>
      </c>
      <c r="C1" s="82"/>
      <c r="D1" s="82"/>
      <c r="E1" s="82"/>
      <c r="F1" s="82"/>
      <c r="G1" s="82"/>
      <c r="H1" s="82"/>
      <c r="I1" s="82"/>
      <c r="J1" s="82"/>
      <c r="K1" s="82"/>
      <c r="L1" s="82"/>
      <c r="M1" s="205"/>
      <c r="N1" s="82"/>
      <c r="O1" s="82"/>
      <c r="P1" s="82"/>
      <c r="Q1" s="82"/>
      <c r="R1" s="82"/>
      <c r="BA1" s="84" t="str">
        <f>参数表!BA1</f>
        <v>注意：补充特殊事项、作价等均从BA列开始填写</v>
      </c>
      <c r="BB1" s="85"/>
      <c r="BH1" s="82"/>
      <c r="BI1" s="82"/>
      <c r="BJ1" s="82"/>
      <c r="BK1" s="82"/>
      <c r="BL1" s="82"/>
      <c r="BT1" s="87"/>
      <c r="BU1" s="88"/>
      <c r="BV1" s="87"/>
      <c r="BW1" s="88"/>
      <c r="BX1" s="88"/>
      <c r="BY1" s="88"/>
      <c r="BZ1" s="88"/>
      <c r="CA1" s="88"/>
      <c r="CB1" s="87"/>
    </row>
    <row r="2" s="71" customFormat="1" ht="30" customHeight="1" spans="1:80">
      <c r="A2" s="89" t="s">
        <v>3435</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H2" s="171"/>
      <c r="BI2" s="171"/>
      <c r="BJ2" s="171"/>
      <c r="BK2" s="171"/>
      <c r="BL2" s="171"/>
      <c r="BT2" s="92"/>
      <c r="BU2" s="93"/>
      <c r="BV2" s="92"/>
      <c r="BW2" s="93"/>
      <c r="BX2" s="93"/>
      <c r="BY2" s="93"/>
      <c r="BZ2" s="93"/>
      <c r="CA2" s="93"/>
      <c r="CB2" s="92"/>
    </row>
    <row r="3" ht="15" customHeight="1" spans="1:80">
      <c r="A3" s="94" t="str">
        <f>参数表!F5</f>
        <v>评估基准日：2025年7月31日</v>
      </c>
      <c r="B3" s="94"/>
      <c r="C3" s="94"/>
      <c r="D3" s="94"/>
      <c r="E3" s="94"/>
      <c r="F3" s="94"/>
      <c r="G3" s="94"/>
      <c r="H3" s="94"/>
      <c r="I3" s="94"/>
      <c r="J3" s="94"/>
      <c r="K3" s="94"/>
      <c r="L3" s="94"/>
      <c r="M3" s="94"/>
      <c r="N3" s="94"/>
      <c r="O3" s="95"/>
      <c r="P3" s="95"/>
      <c r="Q3" s="95"/>
      <c r="R3" s="95"/>
      <c r="S3" s="165"/>
      <c r="BA3" s="90" t="str">
        <f>参数表!BA3</f>
        <v>是否显示评估值：</v>
      </c>
      <c r="BB3" s="90" t="str">
        <f>参数表!BB3</f>
        <v>是</v>
      </c>
      <c r="BV3" s="78"/>
    </row>
    <row r="4" ht="15" customHeight="1" spans="1:80">
      <c r="A4" s="96"/>
      <c r="B4" s="94"/>
      <c r="C4" s="94"/>
      <c r="D4" s="94"/>
      <c r="E4" s="94"/>
      <c r="F4" s="94"/>
      <c r="G4" s="94"/>
      <c r="H4" s="94"/>
      <c r="I4" s="94"/>
      <c r="J4" s="94"/>
      <c r="K4" s="94"/>
      <c r="L4" s="94"/>
      <c r="M4" s="97"/>
      <c r="N4" s="94"/>
      <c r="O4" s="95"/>
      <c r="P4" s="98"/>
      <c r="Q4" s="95"/>
      <c r="R4" s="98" t="str">
        <f>"表"&amp;$BA4</f>
        <v>表4-1-2</v>
      </c>
      <c r="S4" s="165"/>
      <c r="BA4" s="274" t="str">
        <f>可供出售总!A8</f>
        <v>4-1-2</v>
      </c>
      <c r="BB4" s="100">
        <f>MAX(COUNTA(A7:A26),COUNTA(B7:B26),COUNTA(L7:L26),COUNTA(N7:N26))</f>
        <v>20</v>
      </c>
      <c r="BC4" s="101">
        <f>ROW(A6)+1</f>
        <v>7</v>
      </c>
      <c r="BD4" s="77"/>
      <c r="BE4" s="77"/>
      <c r="BV4" s="78"/>
    </row>
    <row r="5" ht="15" customHeight="1" spans="1:80">
      <c r="A5" s="102" t="str">
        <f>参数表!F3</f>
        <v>产权持有单位:中煤第五建设有限公司</v>
      </c>
      <c r="B5" s="103"/>
      <c r="C5" s="103"/>
      <c r="D5" s="103"/>
      <c r="E5" s="103"/>
      <c r="F5" s="103"/>
      <c r="G5" s="103"/>
      <c r="H5" s="103"/>
      <c r="I5" s="103"/>
      <c r="J5" s="103"/>
      <c r="K5" s="103"/>
      <c r="L5" s="103"/>
      <c r="M5" s="104"/>
      <c r="N5" s="103"/>
      <c r="O5" s="103"/>
      <c r="P5" s="103"/>
      <c r="Q5" s="103"/>
      <c r="R5" s="98" t="s">
        <v>236</v>
      </c>
      <c r="BA5" s="103"/>
      <c r="BB5" s="105" t="str">
        <f ca="1">判断表!C51</f>
        <v>中煤第五建设有限公司第三工程处拟处置实物资产项目\[0000-3基础法明细表.xlsx]可供-债券</v>
      </c>
      <c r="BC5" s="106">
        <f>IFERROR(SUMIF(BC7:BC26,"√",N7:N26)/N27,0)</f>
        <v>0</v>
      </c>
      <c r="BD5" s="107"/>
      <c r="BE5" s="107"/>
      <c r="BF5" s="177">
        <f>'可供-股票'!BF5</f>
        <v>0</v>
      </c>
      <c r="BG5" s="177">
        <f>'可供-股票'!BG5</f>
        <v>0</v>
      </c>
      <c r="BT5" s="111"/>
      <c r="BV5" s="78"/>
      <c r="CA5" s="194"/>
      <c r="CB5" s="111"/>
    </row>
    <row r="6" s="72" customFormat="1" ht="36" spans="1:80">
      <c r="A6" s="112" t="s">
        <v>305</v>
      </c>
      <c r="B6" s="113" t="s">
        <v>1741</v>
      </c>
      <c r="C6" s="113" t="s">
        <v>3436</v>
      </c>
      <c r="D6" s="113" t="s">
        <v>1774</v>
      </c>
      <c r="E6" s="113" t="s">
        <v>3437</v>
      </c>
      <c r="F6" s="113" t="s">
        <v>1775</v>
      </c>
      <c r="G6" s="114" t="s">
        <v>1631</v>
      </c>
      <c r="H6" s="115" t="s">
        <v>1632</v>
      </c>
      <c r="I6" s="116" t="s">
        <v>1745</v>
      </c>
      <c r="J6" s="115" t="s">
        <v>1633</v>
      </c>
      <c r="K6" s="113" t="s">
        <v>3438</v>
      </c>
      <c r="L6" s="113" t="s">
        <v>1549</v>
      </c>
      <c r="M6" s="117" t="s">
        <v>1634</v>
      </c>
      <c r="N6" s="118" t="s">
        <v>1523</v>
      </c>
      <c r="O6" s="113" t="s">
        <v>1550</v>
      </c>
      <c r="P6" s="113" t="s">
        <v>1525</v>
      </c>
      <c r="Q6" s="113" t="s">
        <v>1551</v>
      </c>
      <c r="R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224" t="s">
        <v>3439</v>
      </c>
      <c r="BP6" s="191" t="s">
        <v>3440</v>
      </c>
      <c r="BQ6" s="191" t="s">
        <v>3441</v>
      </c>
      <c r="BR6" s="191" t="s">
        <v>3442</v>
      </c>
      <c r="BS6" s="191" t="s">
        <v>1524</v>
      </c>
      <c r="BT6" s="119"/>
      <c r="BU6" s="120" t="s">
        <v>1645</v>
      </c>
      <c r="BV6" s="121" t="s">
        <v>1646</v>
      </c>
      <c r="BW6" s="121" t="s">
        <v>1647</v>
      </c>
      <c r="BX6" s="121" t="s">
        <v>1648</v>
      </c>
      <c r="BY6" s="121" t="s">
        <v>1647</v>
      </c>
      <c r="BZ6" s="121" t="s">
        <v>1647</v>
      </c>
      <c r="CA6" s="121" t="s">
        <v>1649</v>
      </c>
      <c r="CB6" s="122" t="s">
        <v>1650</v>
      </c>
    </row>
    <row r="7" ht="15" customHeight="1" spans="1:80">
      <c r="A7" s="123" t="str">
        <f>IF(B7="","",COUNT(A$6:A6)+1)</f>
        <v/>
      </c>
      <c r="B7" s="124"/>
      <c r="C7" s="126"/>
      <c r="D7" s="125"/>
      <c r="E7" s="125"/>
      <c r="F7" s="126"/>
      <c r="G7" s="127"/>
      <c r="H7" s="127" t="str">
        <f>IFERROR(VLOOKUP(G7,参数表!$H$2:$I$50,2,FALSE),"")</f>
        <v/>
      </c>
      <c r="I7" s="128" t="str">
        <f>IFERROR(IF(OR(G7="人民币",G7=""),"",K7/H7),"")</f>
        <v/>
      </c>
      <c r="J7" s="128" t="str">
        <f>IFERROR(IF(OR(G7="人民币",G7=""),"",N7/H7),"")</f>
        <v/>
      </c>
      <c r="K7" s="129"/>
      <c r="L7" s="129"/>
      <c r="M7" s="130"/>
      <c r="N7" s="129" t="str">
        <f>IF(B7="","",L7+M7)</f>
        <v/>
      </c>
      <c r="O7" s="129" t="str">
        <f t="shared" ref="O7:O26" si="0">IF(B7="","",IF($BB$3="是",IF(BO7="是",BQ7,BS7),""))</f>
        <v/>
      </c>
      <c r="P7" s="129" t="str">
        <f t="shared" ref="P7:P29" si="1">IFERROR(O7-N7,"")</f>
        <v/>
      </c>
      <c r="Q7" s="129" t="str">
        <f t="shared" ref="Q7:Q29" si="2">IFERROR(P7/N7*100,"")</f>
        <v/>
      </c>
      <c r="R7" s="131"/>
      <c r="BA7" s="78"/>
      <c r="BB7" s="132" t="s">
        <v>3443</v>
      </c>
      <c r="BC7" s="133"/>
      <c r="BD7" s="132" t="str">
        <f>IF(OR(B7="",BC7=""),"",COUNTIF(BC$7:BC7,"√"))</f>
        <v/>
      </c>
      <c r="BE7" s="134" t="str">
        <f t="shared" ref="BE7:BE26" si="3">IF(BC7="","",BB7&amp;"︱"&amp;B7&amp;"︱"&amp;TEXT(L7,"#,##0.00"))</f>
        <v/>
      </c>
      <c r="BF7" s="135" t="str">
        <f>IF($B7="","",IF(BF$5=0,"OK","出错"))</f>
        <v/>
      </c>
      <c r="BG7" s="135" t="str">
        <f>IF($B7="","",IF(BG$5=0,"OK","出错"))</f>
        <v/>
      </c>
      <c r="BH7" s="136"/>
      <c r="BI7" s="136"/>
      <c r="BJ7" s="136"/>
      <c r="BK7" s="136"/>
      <c r="BL7" s="136"/>
      <c r="BM7" s="137"/>
      <c r="BN7" s="137"/>
      <c r="BO7" s="165" t="s">
        <v>1674</v>
      </c>
      <c r="BP7" s="156">
        <f t="shared" ref="BP7:BP26" si="4">(BB$2-D7)/365.25</f>
        <v>125.582477754962</v>
      </c>
      <c r="BQ7" s="156">
        <f t="shared" ref="BQ7:BQ26" si="5">K7</f>
        <v>0</v>
      </c>
      <c r="BR7" s="658">
        <f t="shared" ref="BR7:BR26" si="6">F7/100</f>
        <v>0</v>
      </c>
      <c r="BS7" s="347">
        <f>BQ7*(1+BP7*BR7)</f>
        <v>0</v>
      </c>
      <c r="BU7" s="134" t="str">
        <f>IF(COUNTIF(BU$6:BU6,C7)&gt;0,"",C7)&amp;""</f>
        <v/>
      </c>
      <c r="BV7" s="138">
        <f>SUMIF(C$7:C$26,BU7,N$7:N$26)</f>
        <v>0</v>
      </c>
      <c r="BW7" s="132">
        <f t="shared" ref="BW7" si="7">RANK(BV7,BV$7:BV$26)</f>
        <v>1</v>
      </c>
      <c r="BX7" s="138">
        <f>SUMIF(C$7:C$26,BU7,O$7:O$26)</f>
        <v>0</v>
      </c>
      <c r="BY7" s="132">
        <f>RANK(BX7,BX$7:BX$26)</f>
        <v>1</v>
      </c>
      <c r="BZ7" s="138">
        <f>SUM(BV7:BV26)</f>
        <v>0</v>
      </c>
      <c r="CA7" s="138"/>
      <c r="CB7" s="138"/>
    </row>
    <row r="8" ht="15" customHeight="1" spans="1:80">
      <c r="A8" s="123" t="str">
        <f>IF(B8="","",COUNT(A$6:A7)+1)</f>
        <v/>
      </c>
      <c r="B8" s="139"/>
      <c r="C8" s="141"/>
      <c r="D8" s="140"/>
      <c r="E8" s="140"/>
      <c r="F8" s="141"/>
      <c r="G8" s="142"/>
      <c r="H8" s="127" t="str">
        <f>IFERROR(VLOOKUP(G8,参数表!$H$2:$I$50,2,FALSE),"")</f>
        <v/>
      </c>
      <c r="I8" s="128" t="str">
        <f t="shared" ref="I8:I26" si="8">IFERROR(IF(OR(G8="人民币",G8=""),"",K8/H8),"")</f>
        <v/>
      </c>
      <c r="J8" s="128" t="str">
        <f t="shared" ref="J8:J26" si="9">IFERROR(IF(OR(G8="人民币",G8=""),"",N8/H8),"")</f>
        <v/>
      </c>
      <c r="K8" s="143"/>
      <c r="L8" s="143"/>
      <c r="M8" s="144"/>
      <c r="N8" s="129" t="str">
        <f t="shared" ref="N8:N26" si="10">IF(B8="","",L8+M8)</f>
        <v/>
      </c>
      <c r="O8" s="129" t="str">
        <f t="shared" si="0"/>
        <v/>
      </c>
      <c r="P8" s="129" t="str">
        <f t="shared" si="1"/>
        <v/>
      </c>
      <c r="Q8" s="129" t="str">
        <f t="shared" si="2"/>
        <v/>
      </c>
      <c r="R8" s="145"/>
      <c r="BA8" s="78"/>
      <c r="BB8" s="132" t="s">
        <v>3444</v>
      </c>
      <c r="BC8" s="133"/>
      <c r="BD8" s="132" t="str">
        <f>IF(OR(B8="",BC8=""),"",COUNTIF(BC$7:BC8,"√"))</f>
        <v/>
      </c>
      <c r="BE8" s="134" t="str">
        <f t="shared" si="3"/>
        <v/>
      </c>
      <c r="BF8" s="135" t="str">
        <f t="shared" ref="BF8:BG26" si="11">IF($B8="","",IF(BF$5=0,"OK","出错"))</f>
        <v/>
      </c>
      <c r="BG8" s="135" t="str">
        <f t="shared" si="11"/>
        <v/>
      </c>
      <c r="BH8" s="136"/>
      <c r="BI8" s="136"/>
      <c r="BJ8" s="136"/>
      <c r="BK8" s="136"/>
      <c r="BL8" s="136"/>
      <c r="BM8" s="137"/>
      <c r="BN8" s="137"/>
      <c r="BO8" s="165" t="s">
        <v>1674</v>
      </c>
      <c r="BP8" s="156">
        <f t="shared" si="4"/>
        <v>125.582477754962</v>
      </c>
      <c r="BQ8" s="156">
        <f t="shared" si="5"/>
        <v>0</v>
      </c>
      <c r="BR8" s="658">
        <f t="shared" si="6"/>
        <v>0</v>
      </c>
      <c r="BS8" s="347">
        <f t="shared" ref="BS8:BS26" si="12">BQ8*(1+BP8*BR8)</f>
        <v>0</v>
      </c>
      <c r="BU8" s="134" t="str">
        <f>IF(COUNTIF(BU$6:BU7,C8)&gt;0,"",C8)&amp;""</f>
        <v/>
      </c>
      <c r="BV8" s="138">
        <f t="shared" ref="BV8:BV26" si="13">SUMIF(C$7:C$26,BU8,N$7:N$26)</f>
        <v>0</v>
      </c>
      <c r="BW8" s="132">
        <f t="shared" ref="BW8:BW26" si="14">RANK(BV8,BV$7:BV$26)</f>
        <v>1</v>
      </c>
      <c r="BX8" s="138">
        <f t="shared" ref="BX8:BX26" si="15">SUMIF(C$7:C$26,BU8,O$7:O$26)</f>
        <v>0</v>
      </c>
      <c r="BY8" s="132">
        <f t="shared" ref="BY8:BY26" si="16">RANK(BX8,BX$7:BX$26)</f>
        <v>1</v>
      </c>
      <c r="BZ8" s="138">
        <f>SUM(BX7:BX26)</f>
        <v>0</v>
      </c>
      <c r="CA8" s="138"/>
      <c r="CB8" s="138"/>
    </row>
    <row r="9" ht="15" customHeight="1" spans="1:80">
      <c r="A9" s="123" t="str">
        <f>IF(B9="","",COUNT(A$6:A8)+1)</f>
        <v/>
      </c>
      <c r="B9" s="139"/>
      <c r="C9" s="141"/>
      <c r="D9" s="140"/>
      <c r="E9" s="140"/>
      <c r="F9" s="141"/>
      <c r="G9" s="142"/>
      <c r="H9" s="127" t="str">
        <f>IFERROR(VLOOKUP(G9,参数表!$H$2:$I$50,2,FALSE),"")</f>
        <v/>
      </c>
      <c r="I9" s="128" t="str">
        <f t="shared" si="8"/>
        <v/>
      </c>
      <c r="J9" s="128" t="str">
        <f t="shared" si="9"/>
        <v/>
      </c>
      <c r="K9" s="143"/>
      <c r="L9" s="143"/>
      <c r="M9" s="144"/>
      <c r="N9" s="129" t="str">
        <f t="shared" si="10"/>
        <v/>
      </c>
      <c r="O9" s="129" t="str">
        <f t="shared" si="0"/>
        <v/>
      </c>
      <c r="P9" s="129" t="str">
        <f t="shared" si="1"/>
        <v/>
      </c>
      <c r="Q9" s="129" t="str">
        <f t="shared" si="2"/>
        <v/>
      </c>
      <c r="R9" s="145"/>
      <c r="BA9" s="78"/>
      <c r="BB9" s="132" t="s">
        <v>3445</v>
      </c>
      <c r="BC9" s="133"/>
      <c r="BD9" s="132" t="str">
        <f>IF(OR(B9="",BC9=""),"",COUNTIF(BC$7:BC9,"√"))</f>
        <v/>
      </c>
      <c r="BE9" s="134" t="str">
        <f t="shared" si="3"/>
        <v/>
      </c>
      <c r="BF9" s="135" t="str">
        <f t="shared" si="11"/>
        <v/>
      </c>
      <c r="BG9" s="135" t="str">
        <f t="shared" si="11"/>
        <v/>
      </c>
      <c r="BH9" s="136"/>
      <c r="BI9" s="136"/>
      <c r="BJ9" s="136"/>
      <c r="BK9" s="136"/>
      <c r="BL9" s="136"/>
      <c r="BM9" s="137"/>
      <c r="BN9" s="137"/>
      <c r="BO9" s="165" t="s">
        <v>1674</v>
      </c>
      <c r="BP9" s="156">
        <f t="shared" si="4"/>
        <v>125.582477754962</v>
      </c>
      <c r="BQ9" s="156">
        <f t="shared" si="5"/>
        <v>0</v>
      </c>
      <c r="BR9" s="658">
        <f t="shared" si="6"/>
        <v>0</v>
      </c>
      <c r="BS9" s="347">
        <f t="shared" si="12"/>
        <v>0</v>
      </c>
      <c r="BU9" s="134" t="str">
        <f>IF(COUNTIF(BU$6:BU8,C9)&gt;0,"",C9)&amp;""</f>
        <v/>
      </c>
      <c r="BV9" s="138">
        <f t="shared" si="13"/>
        <v>0</v>
      </c>
      <c r="BW9" s="132">
        <f t="shared" si="14"/>
        <v>1</v>
      </c>
      <c r="BX9" s="138">
        <f t="shared" si="15"/>
        <v>0</v>
      </c>
      <c r="BY9" s="132">
        <f t="shared" si="16"/>
        <v>1</v>
      </c>
      <c r="BZ9" s="132">
        <v>1</v>
      </c>
      <c r="CA9" s="134" t="str">
        <f>IFERROR(INDEX(BU$7:BU$26,MATCH(BZ9,IF(BZ$7=0,BY$7:BY$26,BW$7:BW$26),0))&amp;"","")</f>
        <v/>
      </c>
      <c r="CB9" s="146" t="str">
        <f>IF(CA10="","",IF(CA11="","和","、"))</f>
        <v/>
      </c>
    </row>
    <row r="10" ht="15" customHeight="1" spans="1:80">
      <c r="A10" s="123" t="str">
        <f>IF(B10="","",COUNT(A$6:A9)+1)</f>
        <v/>
      </c>
      <c r="B10" s="139"/>
      <c r="C10" s="141"/>
      <c r="D10" s="140"/>
      <c r="E10" s="140"/>
      <c r="F10" s="141"/>
      <c r="G10" s="142"/>
      <c r="H10" s="127" t="str">
        <f>IFERROR(VLOOKUP(G10,参数表!$H$2:$I$50,2,FALSE),"")</f>
        <v/>
      </c>
      <c r="I10" s="128" t="str">
        <f t="shared" si="8"/>
        <v/>
      </c>
      <c r="J10" s="128" t="str">
        <f t="shared" si="9"/>
        <v/>
      </c>
      <c r="K10" s="143"/>
      <c r="L10" s="143"/>
      <c r="M10" s="144"/>
      <c r="N10" s="129" t="str">
        <f t="shared" si="10"/>
        <v/>
      </c>
      <c r="O10" s="129" t="str">
        <f t="shared" si="0"/>
        <v/>
      </c>
      <c r="P10" s="129" t="str">
        <f t="shared" si="1"/>
        <v/>
      </c>
      <c r="Q10" s="129" t="str">
        <f t="shared" si="2"/>
        <v/>
      </c>
      <c r="R10" s="145"/>
      <c r="BA10" s="78"/>
      <c r="BB10" s="132" t="s">
        <v>3446</v>
      </c>
      <c r="BC10" s="133"/>
      <c r="BD10" s="132" t="str">
        <f>IF(OR(B10="",BC10=""),"",COUNTIF(BC$7:BC10,"√"))</f>
        <v/>
      </c>
      <c r="BE10" s="134" t="str">
        <f t="shared" si="3"/>
        <v/>
      </c>
      <c r="BF10" s="135" t="str">
        <f t="shared" si="11"/>
        <v/>
      </c>
      <c r="BG10" s="135" t="str">
        <f t="shared" si="11"/>
        <v/>
      </c>
      <c r="BH10" s="136"/>
      <c r="BI10" s="136"/>
      <c r="BJ10" s="136"/>
      <c r="BK10" s="136"/>
      <c r="BL10" s="136"/>
      <c r="BM10" s="137"/>
      <c r="BN10" s="137"/>
      <c r="BO10" s="165" t="s">
        <v>1674</v>
      </c>
      <c r="BP10" s="156">
        <f t="shared" si="4"/>
        <v>125.582477754962</v>
      </c>
      <c r="BQ10" s="156">
        <f t="shared" si="5"/>
        <v>0</v>
      </c>
      <c r="BR10" s="658">
        <f t="shared" si="6"/>
        <v>0</v>
      </c>
      <c r="BS10" s="347">
        <f t="shared" si="12"/>
        <v>0</v>
      </c>
      <c r="BU10" s="134" t="str">
        <f>IF(COUNTIF(BU$6:BU9,C10)&gt;0,"",C10)&amp;""</f>
        <v/>
      </c>
      <c r="BV10" s="138">
        <f t="shared" si="13"/>
        <v>0</v>
      </c>
      <c r="BW10" s="132">
        <f t="shared" si="14"/>
        <v>1</v>
      </c>
      <c r="BX10" s="138">
        <f t="shared" si="15"/>
        <v>0</v>
      </c>
      <c r="BY10" s="132">
        <f t="shared" si="16"/>
        <v>1</v>
      </c>
      <c r="BZ10" s="132">
        <v>2</v>
      </c>
      <c r="CA10" s="134" t="str">
        <f t="shared" ref="CA10:CA13" si="17">IFERROR(INDEX(BU$7:BU$26,MATCH(BZ10,IF(BZ$7=0,BY$7:BY$26,BW$7:BW$26),0))&amp;"","")</f>
        <v/>
      </c>
      <c r="CB10" s="146" t="str">
        <f t="shared" ref="CB10:CB11" si="18">IF(CA11="","",IF(CA12="","和","、"))</f>
        <v/>
      </c>
    </row>
    <row r="11" ht="15" customHeight="1" spans="1:80">
      <c r="A11" s="123" t="str">
        <f>IF(B11="","",COUNT(A$6:A10)+1)</f>
        <v/>
      </c>
      <c r="B11" s="139"/>
      <c r="C11" s="141"/>
      <c r="D11" s="140"/>
      <c r="E11" s="140"/>
      <c r="F11" s="141"/>
      <c r="G11" s="142"/>
      <c r="H11" s="127" t="str">
        <f>IFERROR(VLOOKUP(G11,参数表!$H$2:$I$50,2,FALSE),"")</f>
        <v/>
      </c>
      <c r="I11" s="128" t="str">
        <f t="shared" si="8"/>
        <v/>
      </c>
      <c r="J11" s="128" t="str">
        <f t="shared" si="9"/>
        <v/>
      </c>
      <c r="K11" s="143"/>
      <c r="L11" s="143"/>
      <c r="M11" s="144"/>
      <c r="N11" s="129" t="str">
        <f t="shared" si="10"/>
        <v/>
      </c>
      <c r="O11" s="129" t="str">
        <f t="shared" si="0"/>
        <v/>
      </c>
      <c r="P11" s="129" t="str">
        <f t="shared" si="1"/>
        <v/>
      </c>
      <c r="Q11" s="129" t="str">
        <f t="shared" si="2"/>
        <v/>
      </c>
      <c r="R11" s="145"/>
      <c r="BA11" s="78"/>
      <c r="BB11" s="132" t="s">
        <v>3447</v>
      </c>
      <c r="BC11" s="133"/>
      <c r="BD11" s="132" t="str">
        <f>IF(OR(B11="",BC11=""),"",COUNTIF(BC$7:BC11,"√"))</f>
        <v/>
      </c>
      <c r="BE11" s="134" t="str">
        <f t="shared" si="3"/>
        <v/>
      </c>
      <c r="BF11" s="135" t="str">
        <f t="shared" si="11"/>
        <v/>
      </c>
      <c r="BG11" s="135" t="str">
        <f t="shared" si="11"/>
        <v/>
      </c>
      <c r="BH11" s="136"/>
      <c r="BI11" s="136"/>
      <c r="BJ11" s="136"/>
      <c r="BK11" s="136"/>
      <c r="BL11" s="136"/>
      <c r="BM11" s="137"/>
      <c r="BN11" s="137"/>
      <c r="BO11" s="165" t="s">
        <v>1674</v>
      </c>
      <c r="BP11" s="156">
        <f t="shared" si="4"/>
        <v>125.582477754962</v>
      </c>
      <c r="BQ11" s="156">
        <f t="shared" si="5"/>
        <v>0</v>
      </c>
      <c r="BR11" s="658">
        <f t="shared" si="6"/>
        <v>0</v>
      </c>
      <c r="BS11" s="347">
        <f t="shared" si="12"/>
        <v>0</v>
      </c>
      <c r="BU11" s="134" t="str">
        <f>IF(COUNTIF(BU$6:BU10,C11)&gt;0,"",C11)&amp;""</f>
        <v/>
      </c>
      <c r="BV11" s="138">
        <f t="shared" si="13"/>
        <v>0</v>
      </c>
      <c r="BW11" s="132">
        <f t="shared" si="14"/>
        <v>1</v>
      </c>
      <c r="BX11" s="138">
        <f t="shared" si="15"/>
        <v>0</v>
      </c>
      <c r="BY11" s="132">
        <f t="shared" si="16"/>
        <v>1</v>
      </c>
      <c r="BZ11" s="132">
        <v>3</v>
      </c>
      <c r="CA11" s="134" t="str">
        <f t="shared" si="17"/>
        <v/>
      </c>
      <c r="CB11" s="146" t="str">
        <f t="shared" si="18"/>
        <v/>
      </c>
    </row>
    <row r="12" ht="15" customHeight="1" spans="1:80">
      <c r="A12" s="123" t="str">
        <f>IF(B12="","",COUNT(A$6:A11)+1)</f>
        <v/>
      </c>
      <c r="B12" s="139"/>
      <c r="C12" s="141"/>
      <c r="D12" s="140"/>
      <c r="E12" s="140"/>
      <c r="F12" s="141"/>
      <c r="G12" s="142"/>
      <c r="H12" s="127" t="str">
        <f>IFERROR(VLOOKUP(G12,参数表!$H$2:$I$50,2,FALSE),"")</f>
        <v/>
      </c>
      <c r="I12" s="128" t="str">
        <f t="shared" si="8"/>
        <v/>
      </c>
      <c r="J12" s="128" t="str">
        <f t="shared" si="9"/>
        <v/>
      </c>
      <c r="K12" s="143"/>
      <c r="L12" s="143"/>
      <c r="M12" s="144"/>
      <c r="N12" s="129" t="str">
        <f t="shared" si="10"/>
        <v/>
      </c>
      <c r="O12" s="129" t="str">
        <f t="shared" si="0"/>
        <v/>
      </c>
      <c r="P12" s="129" t="str">
        <f t="shared" si="1"/>
        <v/>
      </c>
      <c r="Q12" s="129" t="str">
        <f t="shared" si="2"/>
        <v/>
      </c>
      <c r="R12" s="145"/>
      <c r="BA12" s="78"/>
      <c r="BB12" s="132" t="s">
        <v>3448</v>
      </c>
      <c r="BC12" s="133"/>
      <c r="BD12" s="132" t="str">
        <f>IF(OR(B12="",BC12=""),"",COUNTIF(BC$7:BC12,"√"))</f>
        <v/>
      </c>
      <c r="BE12" s="134" t="str">
        <f t="shared" si="3"/>
        <v/>
      </c>
      <c r="BF12" s="135" t="str">
        <f t="shared" si="11"/>
        <v/>
      </c>
      <c r="BG12" s="135" t="str">
        <f t="shared" si="11"/>
        <v/>
      </c>
      <c r="BH12" s="136"/>
      <c r="BI12" s="136"/>
      <c r="BJ12" s="136"/>
      <c r="BK12" s="136"/>
      <c r="BL12" s="136"/>
      <c r="BM12" s="137"/>
      <c r="BN12" s="137"/>
      <c r="BO12" s="165" t="s">
        <v>1674</v>
      </c>
      <c r="BP12" s="156">
        <f t="shared" si="4"/>
        <v>125.582477754962</v>
      </c>
      <c r="BQ12" s="156">
        <f t="shared" si="5"/>
        <v>0</v>
      </c>
      <c r="BR12" s="658">
        <f t="shared" si="6"/>
        <v>0</v>
      </c>
      <c r="BS12" s="347">
        <f t="shared" si="12"/>
        <v>0</v>
      </c>
      <c r="BU12" s="134" t="str">
        <f>IF(COUNTIF(BU$6:BU11,C12)&gt;0,"",C12)&amp;""</f>
        <v/>
      </c>
      <c r="BV12" s="138">
        <f t="shared" si="13"/>
        <v>0</v>
      </c>
      <c r="BW12" s="132">
        <f t="shared" si="14"/>
        <v>1</v>
      </c>
      <c r="BX12" s="138">
        <f t="shared" si="15"/>
        <v>0</v>
      </c>
      <c r="BY12" s="132">
        <f t="shared" si="16"/>
        <v>1</v>
      </c>
      <c r="BZ12" s="132">
        <v>4</v>
      </c>
      <c r="CA12" s="134" t="str">
        <f t="shared" si="17"/>
        <v/>
      </c>
      <c r="CB12" s="146" t="str">
        <f>IF(CA13="","","和")</f>
        <v/>
      </c>
    </row>
    <row r="13" ht="15" customHeight="1" spans="1:80">
      <c r="A13" s="123" t="str">
        <f>IF(B13="","",COUNT(A$6:A12)+1)</f>
        <v/>
      </c>
      <c r="B13" s="139"/>
      <c r="C13" s="141"/>
      <c r="D13" s="140"/>
      <c r="E13" s="140"/>
      <c r="F13" s="141"/>
      <c r="G13" s="142"/>
      <c r="H13" s="127" t="str">
        <f>IFERROR(VLOOKUP(G13,参数表!$H$2:$I$50,2,FALSE),"")</f>
        <v/>
      </c>
      <c r="I13" s="128" t="str">
        <f t="shared" si="8"/>
        <v/>
      </c>
      <c r="J13" s="128" t="str">
        <f t="shared" si="9"/>
        <v/>
      </c>
      <c r="K13" s="143"/>
      <c r="L13" s="143"/>
      <c r="M13" s="144"/>
      <c r="N13" s="129" t="str">
        <f t="shared" si="10"/>
        <v/>
      </c>
      <c r="O13" s="129" t="str">
        <f t="shared" si="0"/>
        <v/>
      </c>
      <c r="P13" s="129" t="str">
        <f t="shared" si="1"/>
        <v/>
      </c>
      <c r="Q13" s="129" t="str">
        <f t="shared" si="2"/>
        <v/>
      </c>
      <c r="R13" s="145"/>
      <c r="BA13" s="78"/>
      <c r="BB13" s="132" t="s">
        <v>3449</v>
      </c>
      <c r="BC13" s="133"/>
      <c r="BD13" s="132" t="str">
        <f>IF(OR(B13="",BC13=""),"",COUNTIF(BC$7:BC13,"√"))</f>
        <v/>
      </c>
      <c r="BE13" s="134" t="str">
        <f t="shared" si="3"/>
        <v/>
      </c>
      <c r="BF13" s="135" t="str">
        <f t="shared" si="11"/>
        <v/>
      </c>
      <c r="BG13" s="135" t="str">
        <f t="shared" si="11"/>
        <v/>
      </c>
      <c r="BH13" s="136"/>
      <c r="BI13" s="136"/>
      <c r="BJ13" s="136"/>
      <c r="BK13" s="136"/>
      <c r="BL13" s="136"/>
      <c r="BM13" s="137"/>
      <c r="BN13" s="137"/>
      <c r="BO13" s="165" t="s">
        <v>1674</v>
      </c>
      <c r="BP13" s="156">
        <f t="shared" si="4"/>
        <v>125.582477754962</v>
      </c>
      <c r="BQ13" s="156">
        <f t="shared" si="5"/>
        <v>0</v>
      </c>
      <c r="BR13" s="658">
        <f t="shared" si="6"/>
        <v>0</v>
      </c>
      <c r="BS13" s="347">
        <f t="shared" si="12"/>
        <v>0</v>
      </c>
      <c r="BU13" s="134" t="str">
        <f>IF(COUNTIF(BU$6:BU12,C13)&gt;0,"",C13)&amp;""</f>
        <v/>
      </c>
      <c r="BV13" s="138">
        <f t="shared" si="13"/>
        <v>0</v>
      </c>
      <c r="BW13" s="132">
        <f t="shared" si="14"/>
        <v>1</v>
      </c>
      <c r="BX13" s="138">
        <f t="shared" si="15"/>
        <v>0</v>
      </c>
      <c r="BY13" s="132">
        <f t="shared" si="16"/>
        <v>1</v>
      </c>
      <c r="BZ13" s="132">
        <v>5</v>
      </c>
      <c r="CA13" s="134" t="str">
        <f t="shared" si="17"/>
        <v/>
      </c>
      <c r="CB13" s="146"/>
    </row>
    <row r="14" ht="15" customHeight="1" spans="1:80">
      <c r="A14" s="123" t="str">
        <f>IF(B14="","",COUNT(A$6:A13)+1)</f>
        <v/>
      </c>
      <c r="B14" s="139"/>
      <c r="C14" s="141"/>
      <c r="D14" s="140"/>
      <c r="E14" s="140"/>
      <c r="F14" s="141"/>
      <c r="G14" s="142"/>
      <c r="H14" s="127" t="str">
        <f>IFERROR(VLOOKUP(G14,参数表!$H$2:$I$50,2,FALSE),"")</f>
        <v/>
      </c>
      <c r="I14" s="128" t="str">
        <f t="shared" si="8"/>
        <v/>
      </c>
      <c r="J14" s="128" t="str">
        <f t="shared" si="9"/>
        <v/>
      </c>
      <c r="K14" s="143"/>
      <c r="L14" s="143"/>
      <c r="M14" s="144"/>
      <c r="N14" s="129" t="str">
        <f t="shared" si="10"/>
        <v/>
      </c>
      <c r="O14" s="129" t="str">
        <f t="shared" si="0"/>
        <v/>
      </c>
      <c r="P14" s="129" t="str">
        <f t="shared" si="1"/>
        <v/>
      </c>
      <c r="Q14" s="129" t="str">
        <f t="shared" si="2"/>
        <v/>
      </c>
      <c r="R14" s="145"/>
      <c r="BA14" s="78"/>
      <c r="BB14" s="132" t="s">
        <v>3450</v>
      </c>
      <c r="BC14" s="133"/>
      <c r="BD14" s="132" t="str">
        <f>IF(OR(B14="",BC14=""),"",COUNTIF(BC$7:BC14,"√"))</f>
        <v/>
      </c>
      <c r="BE14" s="134" t="str">
        <f t="shared" si="3"/>
        <v/>
      </c>
      <c r="BF14" s="135" t="str">
        <f t="shared" si="11"/>
        <v/>
      </c>
      <c r="BG14" s="135" t="str">
        <f t="shared" si="11"/>
        <v/>
      </c>
      <c r="BH14" s="136"/>
      <c r="BI14" s="136"/>
      <c r="BJ14" s="136"/>
      <c r="BK14" s="136"/>
      <c r="BL14" s="136"/>
      <c r="BM14" s="137"/>
      <c r="BN14" s="137"/>
      <c r="BO14" s="165" t="s">
        <v>1674</v>
      </c>
      <c r="BP14" s="156">
        <f t="shared" si="4"/>
        <v>125.582477754962</v>
      </c>
      <c r="BQ14" s="156">
        <f t="shared" si="5"/>
        <v>0</v>
      </c>
      <c r="BR14" s="658">
        <f t="shared" si="6"/>
        <v>0</v>
      </c>
      <c r="BS14" s="347">
        <f t="shared" si="12"/>
        <v>0</v>
      </c>
      <c r="BU14" s="134" t="str">
        <f>IF(COUNTIF(BU$6:BU13,C14)&gt;0,"",C14)&amp;""</f>
        <v/>
      </c>
      <c r="BV14" s="138">
        <f t="shared" si="13"/>
        <v>0</v>
      </c>
      <c r="BW14" s="132">
        <f t="shared" si="14"/>
        <v>1</v>
      </c>
      <c r="BX14" s="138">
        <f t="shared" si="15"/>
        <v>0</v>
      </c>
      <c r="BY14" s="132">
        <f t="shared" si="16"/>
        <v>1</v>
      </c>
      <c r="BZ14" s="147" t="s">
        <v>1659</v>
      </c>
      <c r="CA14" s="132" t="str">
        <f>CONCATENATE(CA9,CB9,CA10,CB10,CA11,CB11,CA12,CB12,CA13)</f>
        <v/>
      </c>
      <c r="CB14" s="132"/>
    </row>
    <row r="15" ht="15" customHeight="1" spans="1:80">
      <c r="A15" s="123" t="str">
        <f>IF(B15="","",COUNT(A$6:A14)+1)</f>
        <v/>
      </c>
      <c r="B15" s="139"/>
      <c r="C15" s="141"/>
      <c r="D15" s="140"/>
      <c r="E15" s="140"/>
      <c r="F15" s="141"/>
      <c r="G15" s="142"/>
      <c r="H15" s="127" t="str">
        <f>IFERROR(VLOOKUP(G15,参数表!$H$2:$I$50,2,FALSE),"")</f>
        <v/>
      </c>
      <c r="I15" s="128" t="str">
        <f t="shared" si="8"/>
        <v/>
      </c>
      <c r="J15" s="128" t="str">
        <f t="shared" si="9"/>
        <v/>
      </c>
      <c r="K15" s="143"/>
      <c r="L15" s="143"/>
      <c r="M15" s="144"/>
      <c r="N15" s="129" t="str">
        <f t="shared" si="10"/>
        <v/>
      </c>
      <c r="O15" s="129" t="str">
        <f t="shared" si="0"/>
        <v/>
      </c>
      <c r="P15" s="129" t="str">
        <f t="shared" si="1"/>
        <v/>
      </c>
      <c r="Q15" s="129" t="str">
        <f t="shared" si="2"/>
        <v/>
      </c>
      <c r="R15" s="145"/>
      <c r="BA15" s="78"/>
      <c r="BB15" s="132" t="s">
        <v>3451</v>
      </c>
      <c r="BC15" s="133"/>
      <c r="BD15" s="132" t="str">
        <f>IF(OR(B15="",BC15=""),"",COUNTIF(BC$7:BC15,"√"))</f>
        <v/>
      </c>
      <c r="BE15" s="134" t="str">
        <f t="shared" si="3"/>
        <v/>
      </c>
      <c r="BF15" s="135" t="str">
        <f t="shared" si="11"/>
        <v/>
      </c>
      <c r="BG15" s="135" t="str">
        <f t="shared" si="11"/>
        <v/>
      </c>
      <c r="BH15" s="136"/>
      <c r="BI15" s="136"/>
      <c r="BJ15" s="136"/>
      <c r="BK15" s="136"/>
      <c r="BL15" s="136"/>
      <c r="BM15" s="137"/>
      <c r="BN15" s="137"/>
      <c r="BO15" s="165" t="s">
        <v>1674</v>
      </c>
      <c r="BP15" s="156">
        <f t="shared" si="4"/>
        <v>125.582477754962</v>
      </c>
      <c r="BQ15" s="156">
        <f t="shared" si="5"/>
        <v>0</v>
      </c>
      <c r="BR15" s="658">
        <f t="shared" si="6"/>
        <v>0</v>
      </c>
      <c r="BS15" s="347">
        <f t="shared" si="12"/>
        <v>0</v>
      </c>
      <c r="BU15" s="134" t="str">
        <f>IF(COUNTIF(BU$6:BU14,C15)&gt;0,"",C15)&amp;""</f>
        <v/>
      </c>
      <c r="BV15" s="138">
        <f t="shared" si="13"/>
        <v>0</v>
      </c>
      <c r="BW15" s="132">
        <f t="shared" si="14"/>
        <v>1</v>
      </c>
      <c r="BX15" s="138">
        <f t="shared" si="15"/>
        <v>0</v>
      </c>
      <c r="BY15" s="132">
        <f t="shared" si="16"/>
        <v>1</v>
      </c>
      <c r="BZ15" s="133"/>
      <c r="CA15" s="133"/>
    </row>
    <row r="16" ht="15" customHeight="1" spans="1:80">
      <c r="A16" s="123" t="str">
        <f>IF(B16="","",COUNT(A$6:A15)+1)</f>
        <v/>
      </c>
      <c r="B16" s="139"/>
      <c r="C16" s="141"/>
      <c r="D16" s="140"/>
      <c r="E16" s="140"/>
      <c r="F16" s="141"/>
      <c r="G16" s="142"/>
      <c r="H16" s="127" t="str">
        <f>IFERROR(VLOOKUP(G16,参数表!$H$2:$I$50,2,FALSE),"")</f>
        <v/>
      </c>
      <c r="I16" s="128" t="str">
        <f t="shared" si="8"/>
        <v/>
      </c>
      <c r="J16" s="128" t="str">
        <f t="shared" si="9"/>
        <v/>
      </c>
      <c r="K16" s="143"/>
      <c r="L16" s="143"/>
      <c r="M16" s="144"/>
      <c r="N16" s="129" t="str">
        <f t="shared" si="10"/>
        <v/>
      </c>
      <c r="O16" s="129" t="str">
        <f t="shared" si="0"/>
        <v/>
      </c>
      <c r="P16" s="129" t="str">
        <f t="shared" si="1"/>
        <v/>
      </c>
      <c r="Q16" s="129" t="str">
        <f t="shared" si="2"/>
        <v/>
      </c>
      <c r="R16" s="145"/>
      <c r="BA16" s="78"/>
      <c r="BB16" s="132" t="s">
        <v>3452</v>
      </c>
      <c r="BC16" s="133"/>
      <c r="BD16" s="132" t="str">
        <f>IF(OR(B16="",BC16=""),"",COUNTIF(BC$7:BC16,"√"))</f>
        <v/>
      </c>
      <c r="BE16" s="134" t="str">
        <f t="shared" si="3"/>
        <v/>
      </c>
      <c r="BF16" s="135" t="str">
        <f t="shared" si="11"/>
        <v/>
      </c>
      <c r="BG16" s="135" t="str">
        <f t="shared" si="11"/>
        <v/>
      </c>
      <c r="BH16" s="136"/>
      <c r="BI16" s="136"/>
      <c r="BJ16" s="136"/>
      <c r="BK16" s="136"/>
      <c r="BL16" s="136"/>
      <c r="BM16" s="137"/>
      <c r="BN16" s="137"/>
      <c r="BO16" s="165" t="s">
        <v>1674</v>
      </c>
      <c r="BP16" s="156">
        <f t="shared" si="4"/>
        <v>125.582477754962</v>
      </c>
      <c r="BQ16" s="156">
        <f t="shared" si="5"/>
        <v>0</v>
      </c>
      <c r="BR16" s="658">
        <f t="shared" si="6"/>
        <v>0</v>
      </c>
      <c r="BS16" s="347">
        <f t="shared" si="12"/>
        <v>0</v>
      </c>
      <c r="BU16" s="134" t="str">
        <f>IF(COUNTIF(BU$6:BU15,C16)&gt;0,"",C16)&amp;""</f>
        <v/>
      </c>
      <c r="BV16" s="138">
        <f t="shared" si="13"/>
        <v>0</v>
      </c>
      <c r="BW16" s="132">
        <f t="shared" si="14"/>
        <v>1</v>
      </c>
      <c r="BX16" s="138">
        <f t="shared" si="15"/>
        <v>0</v>
      </c>
      <c r="BY16" s="132">
        <f t="shared" si="16"/>
        <v>1</v>
      </c>
      <c r="BZ16" s="133"/>
      <c r="CA16" s="148"/>
    </row>
    <row r="17" ht="15" customHeight="1" spans="1:80">
      <c r="A17" s="123" t="str">
        <f>IF(B17="","",COUNT(A$6:A16)+1)</f>
        <v/>
      </c>
      <c r="B17" s="139"/>
      <c r="C17" s="141"/>
      <c r="D17" s="140"/>
      <c r="E17" s="140"/>
      <c r="F17" s="141"/>
      <c r="G17" s="142"/>
      <c r="H17" s="127" t="str">
        <f>IFERROR(VLOOKUP(G17,参数表!$H$2:$I$50,2,FALSE),"")</f>
        <v/>
      </c>
      <c r="I17" s="128" t="str">
        <f t="shared" si="8"/>
        <v/>
      </c>
      <c r="J17" s="128" t="str">
        <f t="shared" si="9"/>
        <v/>
      </c>
      <c r="K17" s="143"/>
      <c r="L17" s="143"/>
      <c r="M17" s="144"/>
      <c r="N17" s="129" t="str">
        <f t="shared" si="10"/>
        <v/>
      </c>
      <c r="O17" s="129" t="str">
        <f t="shared" si="0"/>
        <v/>
      </c>
      <c r="P17" s="129" t="str">
        <f t="shared" si="1"/>
        <v/>
      </c>
      <c r="Q17" s="129" t="str">
        <f t="shared" si="2"/>
        <v/>
      </c>
      <c r="R17" s="145"/>
      <c r="BA17" s="78"/>
      <c r="BB17" s="132" t="s">
        <v>3453</v>
      </c>
      <c r="BC17" s="133"/>
      <c r="BD17" s="132" t="str">
        <f>IF(OR(B17="",BC17=""),"",COUNTIF(BC$7:BC17,"√"))</f>
        <v/>
      </c>
      <c r="BE17" s="134" t="str">
        <f t="shared" si="3"/>
        <v/>
      </c>
      <c r="BF17" s="135" t="str">
        <f t="shared" si="11"/>
        <v/>
      </c>
      <c r="BG17" s="135" t="str">
        <f t="shared" si="11"/>
        <v/>
      </c>
      <c r="BH17" s="136"/>
      <c r="BI17" s="136"/>
      <c r="BJ17" s="136"/>
      <c r="BK17" s="136"/>
      <c r="BL17" s="136"/>
      <c r="BM17" s="137"/>
      <c r="BN17" s="137"/>
      <c r="BO17" s="165" t="s">
        <v>1674</v>
      </c>
      <c r="BP17" s="156">
        <f t="shared" si="4"/>
        <v>125.582477754962</v>
      </c>
      <c r="BQ17" s="156">
        <f t="shared" si="5"/>
        <v>0</v>
      </c>
      <c r="BR17" s="658">
        <f t="shared" si="6"/>
        <v>0</v>
      </c>
      <c r="BS17" s="347">
        <f t="shared" si="12"/>
        <v>0</v>
      </c>
      <c r="BU17" s="134" t="str">
        <f>IF(COUNTIF(BU$6:BU16,C17)&gt;0,"",C17)&amp;""</f>
        <v/>
      </c>
      <c r="BV17" s="138">
        <f t="shared" si="13"/>
        <v>0</v>
      </c>
      <c r="BW17" s="132">
        <f t="shared" si="14"/>
        <v>1</v>
      </c>
      <c r="BX17" s="138">
        <f t="shared" si="15"/>
        <v>0</v>
      </c>
      <c r="BY17" s="132">
        <f t="shared" si="16"/>
        <v>1</v>
      </c>
      <c r="BZ17" s="133"/>
      <c r="CA17" s="133"/>
    </row>
    <row r="18" ht="15" customHeight="1" spans="1:80">
      <c r="A18" s="123" t="str">
        <f>IF(B18="","",COUNT(A$6:A17)+1)</f>
        <v/>
      </c>
      <c r="B18" s="139"/>
      <c r="C18" s="141"/>
      <c r="D18" s="140"/>
      <c r="E18" s="140"/>
      <c r="F18" s="141"/>
      <c r="G18" s="142"/>
      <c r="H18" s="127" t="str">
        <f>IFERROR(VLOOKUP(G18,参数表!$H$2:$I$50,2,FALSE),"")</f>
        <v/>
      </c>
      <c r="I18" s="128" t="str">
        <f t="shared" si="8"/>
        <v/>
      </c>
      <c r="J18" s="128" t="str">
        <f t="shared" si="9"/>
        <v/>
      </c>
      <c r="K18" s="143"/>
      <c r="L18" s="143"/>
      <c r="M18" s="144"/>
      <c r="N18" s="129" t="str">
        <f t="shared" si="10"/>
        <v/>
      </c>
      <c r="O18" s="129" t="str">
        <f t="shared" si="0"/>
        <v/>
      </c>
      <c r="P18" s="129" t="str">
        <f t="shared" si="1"/>
        <v/>
      </c>
      <c r="Q18" s="129" t="str">
        <f t="shared" si="2"/>
        <v/>
      </c>
      <c r="R18" s="145"/>
      <c r="BA18" s="78"/>
      <c r="BB18" s="132" t="s">
        <v>3454</v>
      </c>
      <c r="BC18" s="133"/>
      <c r="BD18" s="132" t="str">
        <f>IF(OR(B18="",BC18=""),"",COUNTIF(BC$7:BC18,"√"))</f>
        <v/>
      </c>
      <c r="BE18" s="134" t="str">
        <f t="shared" si="3"/>
        <v/>
      </c>
      <c r="BF18" s="135" t="str">
        <f t="shared" si="11"/>
        <v/>
      </c>
      <c r="BG18" s="135" t="str">
        <f t="shared" si="11"/>
        <v/>
      </c>
      <c r="BH18" s="136"/>
      <c r="BI18" s="136"/>
      <c r="BJ18" s="136"/>
      <c r="BK18" s="136"/>
      <c r="BL18" s="136"/>
      <c r="BM18" s="137"/>
      <c r="BN18" s="137"/>
      <c r="BO18" s="165" t="s">
        <v>1674</v>
      </c>
      <c r="BP18" s="156">
        <f t="shared" si="4"/>
        <v>125.582477754962</v>
      </c>
      <c r="BQ18" s="156">
        <f t="shared" si="5"/>
        <v>0</v>
      </c>
      <c r="BR18" s="658">
        <f t="shared" si="6"/>
        <v>0</v>
      </c>
      <c r="BS18" s="347">
        <f t="shared" si="12"/>
        <v>0</v>
      </c>
      <c r="BU18" s="134" t="str">
        <f>IF(COUNTIF(BU$6:BU17,C18)&gt;0,"",C18)&amp;""</f>
        <v/>
      </c>
      <c r="BV18" s="138">
        <f t="shared" si="13"/>
        <v>0</v>
      </c>
      <c r="BW18" s="132">
        <f t="shared" si="14"/>
        <v>1</v>
      </c>
      <c r="BX18" s="138">
        <f t="shared" si="15"/>
        <v>0</v>
      </c>
      <c r="BY18" s="132">
        <f t="shared" si="16"/>
        <v>1</v>
      </c>
      <c r="BZ18" s="133"/>
      <c r="CA18" s="133"/>
    </row>
    <row r="19" ht="15" customHeight="1" spans="1:80">
      <c r="A19" s="123" t="str">
        <f>IF(B19="","",COUNT(A$6:A18)+1)</f>
        <v/>
      </c>
      <c r="B19" s="139"/>
      <c r="C19" s="141"/>
      <c r="D19" s="140"/>
      <c r="E19" s="140"/>
      <c r="F19" s="141"/>
      <c r="G19" s="142"/>
      <c r="H19" s="127" t="str">
        <f>IFERROR(VLOOKUP(G19,参数表!$H$2:$I$50,2,FALSE),"")</f>
        <v/>
      </c>
      <c r="I19" s="128" t="str">
        <f t="shared" si="8"/>
        <v/>
      </c>
      <c r="J19" s="128" t="str">
        <f t="shared" si="9"/>
        <v/>
      </c>
      <c r="K19" s="143"/>
      <c r="L19" s="143"/>
      <c r="M19" s="144"/>
      <c r="N19" s="129" t="str">
        <f t="shared" si="10"/>
        <v/>
      </c>
      <c r="O19" s="129" t="str">
        <f t="shared" si="0"/>
        <v/>
      </c>
      <c r="P19" s="129" t="str">
        <f t="shared" si="1"/>
        <v/>
      </c>
      <c r="Q19" s="129" t="str">
        <f t="shared" si="2"/>
        <v/>
      </c>
      <c r="R19" s="145"/>
      <c r="BA19" s="78"/>
      <c r="BB19" s="132" t="s">
        <v>3455</v>
      </c>
      <c r="BC19" s="133"/>
      <c r="BD19" s="132" t="str">
        <f>IF(OR(B19="",BC19=""),"",COUNTIF(BC$7:BC19,"√"))</f>
        <v/>
      </c>
      <c r="BE19" s="134" t="str">
        <f t="shared" si="3"/>
        <v/>
      </c>
      <c r="BF19" s="135" t="str">
        <f t="shared" si="11"/>
        <v/>
      </c>
      <c r="BG19" s="135" t="str">
        <f t="shared" si="11"/>
        <v/>
      </c>
      <c r="BH19" s="136"/>
      <c r="BI19" s="136"/>
      <c r="BJ19" s="136"/>
      <c r="BK19" s="136"/>
      <c r="BL19" s="136"/>
      <c r="BM19" s="137"/>
      <c r="BN19" s="137"/>
      <c r="BO19" s="165" t="s">
        <v>1674</v>
      </c>
      <c r="BP19" s="156">
        <f t="shared" si="4"/>
        <v>125.582477754962</v>
      </c>
      <c r="BQ19" s="156">
        <f t="shared" si="5"/>
        <v>0</v>
      </c>
      <c r="BR19" s="658">
        <f t="shared" si="6"/>
        <v>0</v>
      </c>
      <c r="BS19" s="347">
        <f t="shared" si="12"/>
        <v>0</v>
      </c>
      <c r="BU19" s="134" t="str">
        <f>IF(COUNTIF(BU$6:BU18,C19)&gt;0,"",C19)&amp;""</f>
        <v/>
      </c>
      <c r="BV19" s="138">
        <f t="shared" si="13"/>
        <v>0</v>
      </c>
      <c r="BW19" s="132">
        <f t="shared" si="14"/>
        <v>1</v>
      </c>
      <c r="BX19" s="138">
        <f t="shared" si="15"/>
        <v>0</v>
      </c>
      <c r="BY19" s="132">
        <f t="shared" si="16"/>
        <v>1</v>
      </c>
      <c r="BZ19" s="133"/>
      <c r="CA19" s="133"/>
    </row>
    <row r="20" ht="15" customHeight="1" spans="1:80">
      <c r="A20" s="123" t="str">
        <f>IF(B20="","",COUNT(A$6:A19)+1)</f>
        <v/>
      </c>
      <c r="B20" s="139"/>
      <c r="C20" s="141"/>
      <c r="D20" s="140"/>
      <c r="E20" s="140"/>
      <c r="F20" s="141"/>
      <c r="G20" s="142"/>
      <c r="H20" s="127" t="str">
        <f>IFERROR(VLOOKUP(G20,参数表!$H$2:$I$50,2,FALSE),"")</f>
        <v/>
      </c>
      <c r="I20" s="128" t="str">
        <f t="shared" si="8"/>
        <v/>
      </c>
      <c r="J20" s="128" t="str">
        <f t="shared" si="9"/>
        <v/>
      </c>
      <c r="K20" s="143"/>
      <c r="L20" s="143"/>
      <c r="M20" s="144"/>
      <c r="N20" s="129" t="str">
        <f t="shared" si="10"/>
        <v/>
      </c>
      <c r="O20" s="129" t="str">
        <f t="shared" si="0"/>
        <v/>
      </c>
      <c r="P20" s="129" t="str">
        <f t="shared" si="1"/>
        <v/>
      </c>
      <c r="Q20" s="129" t="str">
        <f t="shared" si="2"/>
        <v/>
      </c>
      <c r="R20" s="145"/>
      <c r="BA20" s="78"/>
      <c r="BB20" s="132" t="s">
        <v>3456</v>
      </c>
      <c r="BC20" s="133"/>
      <c r="BD20" s="132" t="str">
        <f>IF(OR(B20="",BC20=""),"",COUNTIF(BC$7:BC20,"√"))</f>
        <v/>
      </c>
      <c r="BE20" s="134" t="str">
        <f t="shared" si="3"/>
        <v/>
      </c>
      <c r="BF20" s="135" t="str">
        <f t="shared" si="11"/>
        <v/>
      </c>
      <c r="BG20" s="135" t="str">
        <f t="shared" si="11"/>
        <v/>
      </c>
      <c r="BH20" s="136"/>
      <c r="BI20" s="136"/>
      <c r="BJ20" s="136"/>
      <c r="BK20" s="136"/>
      <c r="BL20" s="136"/>
      <c r="BM20" s="137"/>
      <c r="BN20" s="137"/>
      <c r="BO20" s="165" t="s">
        <v>1674</v>
      </c>
      <c r="BP20" s="156">
        <f t="shared" si="4"/>
        <v>125.582477754962</v>
      </c>
      <c r="BQ20" s="156">
        <f t="shared" si="5"/>
        <v>0</v>
      </c>
      <c r="BR20" s="658">
        <f t="shared" si="6"/>
        <v>0</v>
      </c>
      <c r="BS20" s="347">
        <f t="shared" si="12"/>
        <v>0</v>
      </c>
      <c r="BU20" s="134" t="str">
        <f>IF(COUNTIF(BU$6:BU19,C20)&gt;0,"",C20)&amp;""</f>
        <v/>
      </c>
      <c r="BV20" s="138">
        <f t="shared" si="13"/>
        <v>0</v>
      </c>
      <c r="BW20" s="132">
        <f t="shared" si="14"/>
        <v>1</v>
      </c>
      <c r="BX20" s="138">
        <f t="shared" si="15"/>
        <v>0</v>
      </c>
      <c r="BY20" s="132">
        <f t="shared" si="16"/>
        <v>1</v>
      </c>
      <c r="BZ20" s="133"/>
      <c r="CA20" s="133"/>
    </row>
    <row r="21" ht="15" customHeight="1" spans="1:80">
      <c r="A21" s="123" t="str">
        <f>IF(B21="","",COUNT(A$6:A20)+1)</f>
        <v/>
      </c>
      <c r="B21" s="139"/>
      <c r="C21" s="141"/>
      <c r="D21" s="140"/>
      <c r="E21" s="140"/>
      <c r="F21" s="141"/>
      <c r="G21" s="142"/>
      <c r="H21" s="127" t="str">
        <f>IFERROR(VLOOKUP(G21,参数表!$H$2:$I$50,2,FALSE),"")</f>
        <v/>
      </c>
      <c r="I21" s="128" t="str">
        <f t="shared" si="8"/>
        <v/>
      </c>
      <c r="J21" s="128" t="str">
        <f t="shared" si="9"/>
        <v/>
      </c>
      <c r="K21" s="143"/>
      <c r="L21" s="143"/>
      <c r="M21" s="144"/>
      <c r="N21" s="129" t="str">
        <f t="shared" si="10"/>
        <v/>
      </c>
      <c r="O21" s="129" t="str">
        <f t="shared" si="0"/>
        <v/>
      </c>
      <c r="P21" s="129" t="str">
        <f t="shared" si="1"/>
        <v/>
      </c>
      <c r="Q21" s="129" t="str">
        <f t="shared" si="2"/>
        <v/>
      </c>
      <c r="R21" s="145"/>
      <c r="BA21" s="78"/>
      <c r="BB21" s="132" t="s">
        <v>3457</v>
      </c>
      <c r="BC21" s="133"/>
      <c r="BD21" s="132" t="str">
        <f>IF(OR(B21="",BC21=""),"",COUNTIF(BC$7:BC21,"√"))</f>
        <v/>
      </c>
      <c r="BE21" s="134" t="str">
        <f t="shared" si="3"/>
        <v/>
      </c>
      <c r="BF21" s="135" t="str">
        <f t="shared" si="11"/>
        <v/>
      </c>
      <c r="BG21" s="135" t="str">
        <f t="shared" si="11"/>
        <v/>
      </c>
      <c r="BH21" s="136"/>
      <c r="BI21" s="136"/>
      <c r="BJ21" s="136"/>
      <c r="BK21" s="136"/>
      <c r="BL21" s="136"/>
      <c r="BM21" s="137"/>
      <c r="BN21" s="137"/>
      <c r="BO21" s="165" t="s">
        <v>1674</v>
      </c>
      <c r="BP21" s="156">
        <f t="shared" si="4"/>
        <v>125.582477754962</v>
      </c>
      <c r="BQ21" s="156">
        <f t="shared" si="5"/>
        <v>0</v>
      </c>
      <c r="BR21" s="658">
        <f t="shared" si="6"/>
        <v>0</v>
      </c>
      <c r="BS21" s="347">
        <f t="shared" si="12"/>
        <v>0</v>
      </c>
      <c r="BU21" s="134" t="str">
        <f>IF(COUNTIF(BU$6:BU20,C21)&gt;0,"",C21)&amp;""</f>
        <v/>
      </c>
      <c r="BV21" s="138">
        <f t="shared" si="13"/>
        <v>0</v>
      </c>
      <c r="BW21" s="132">
        <f t="shared" si="14"/>
        <v>1</v>
      </c>
      <c r="BX21" s="138">
        <f t="shared" si="15"/>
        <v>0</v>
      </c>
      <c r="BY21" s="132">
        <f t="shared" si="16"/>
        <v>1</v>
      </c>
      <c r="BZ21" s="133"/>
      <c r="CA21" s="133"/>
    </row>
    <row r="22" ht="15" customHeight="1" spans="1:80">
      <c r="A22" s="123" t="str">
        <f>IF(B22="","",COUNT(A$6:A21)+1)</f>
        <v/>
      </c>
      <c r="B22" s="139"/>
      <c r="C22" s="141"/>
      <c r="D22" s="140"/>
      <c r="E22" s="140"/>
      <c r="F22" s="141"/>
      <c r="G22" s="142"/>
      <c r="H22" s="127" t="str">
        <f>IFERROR(VLOOKUP(G22,参数表!$H$2:$I$50,2,FALSE),"")</f>
        <v/>
      </c>
      <c r="I22" s="128" t="str">
        <f t="shared" si="8"/>
        <v/>
      </c>
      <c r="J22" s="128" t="str">
        <f t="shared" si="9"/>
        <v/>
      </c>
      <c r="K22" s="143"/>
      <c r="L22" s="143"/>
      <c r="M22" s="144"/>
      <c r="N22" s="129" t="str">
        <f t="shared" si="10"/>
        <v/>
      </c>
      <c r="O22" s="129" t="str">
        <f t="shared" si="0"/>
        <v/>
      </c>
      <c r="P22" s="129" t="str">
        <f t="shared" si="1"/>
        <v/>
      </c>
      <c r="Q22" s="129" t="str">
        <f t="shared" si="2"/>
        <v/>
      </c>
      <c r="R22" s="145"/>
      <c r="BA22" s="78"/>
      <c r="BB22" s="132" t="s">
        <v>3458</v>
      </c>
      <c r="BC22" s="133"/>
      <c r="BD22" s="132" t="str">
        <f>IF(OR(B22="",BC22=""),"",COUNTIF(BC$7:BC22,"√"))</f>
        <v/>
      </c>
      <c r="BE22" s="134" t="str">
        <f t="shared" si="3"/>
        <v/>
      </c>
      <c r="BF22" s="135" t="str">
        <f t="shared" si="11"/>
        <v/>
      </c>
      <c r="BG22" s="135" t="str">
        <f t="shared" si="11"/>
        <v/>
      </c>
      <c r="BH22" s="136"/>
      <c r="BI22" s="136"/>
      <c r="BJ22" s="136"/>
      <c r="BK22" s="136"/>
      <c r="BL22" s="136"/>
      <c r="BM22" s="137"/>
      <c r="BN22" s="137"/>
      <c r="BO22" s="165" t="s">
        <v>1674</v>
      </c>
      <c r="BP22" s="156">
        <f t="shared" si="4"/>
        <v>125.582477754962</v>
      </c>
      <c r="BQ22" s="156">
        <f t="shared" si="5"/>
        <v>0</v>
      </c>
      <c r="BR22" s="658">
        <f t="shared" si="6"/>
        <v>0</v>
      </c>
      <c r="BS22" s="347">
        <f t="shared" si="12"/>
        <v>0</v>
      </c>
      <c r="BU22" s="134" t="str">
        <f>IF(COUNTIF(BU$6:BU21,C22)&gt;0,"",C22)&amp;""</f>
        <v/>
      </c>
      <c r="BV22" s="138">
        <f t="shared" si="13"/>
        <v>0</v>
      </c>
      <c r="BW22" s="132">
        <f t="shared" si="14"/>
        <v>1</v>
      </c>
      <c r="BX22" s="138">
        <f t="shared" si="15"/>
        <v>0</v>
      </c>
      <c r="BY22" s="132">
        <f t="shared" si="16"/>
        <v>1</v>
      </c>
      <c r="BZ22" s="133"/>
      <c r="CA22" s="133"/>
    </row>
    <row r="23" ht="15" customHeight="1" spans="1:80">
      <c r="A23" s="123" t="str">
        <f>IF(B23="","",COUNT(A$6:A22)+1)</f>
        <v/>
      </c>
      <c r="B23" s="139"/>
      <c r="C23" s="141"/>
      <c r="D23" s="140"/>
      <c r="E23" s="140"/>
      <c r="F23" s="141"/>
      <c r="G23" s="142"/>
      <c r="H23" s="127" t="str">
        <f>IFERROR(VLOOKUP(G23,参数表!$H$2:$I$50,2,FALSE),"")</f>
        <v/>
      </c>
      <c r="I23" s="128" t="str">
        <f t="shared" si="8"/>
        <v/>
      </c>
      <c r="J23" s="128" t="str">
        <f t="shared" si="9"/>
        <v/>
      </c>
      <c r="K23" s="143"/>
      <c r="L23" s="143"/>
      <c r="M23" s="144"/>
      <c r="N23" s="129" t="str">
        <f t="shared" si="10"/>
        <v/>
      </c>
      <c r="O23" s="129" t="str">
        <f t="shared" si="0"/>
        <v/>
      </c>
      <c r="P23" s="129" t="str">
        <f t="shared" si="1"/>
        <v/>
      </c>
      <c r="Q23" s="129" t="str">
        <f t="shared" si="2"/>
        <v/>
      </c>
      <c r="R23" s="145"/>
      <c r="BA23" s="78"/>
      <c r="BB23" s="132" t="s">
        <v>3459</v>
      </c>
      <c r="BC23" s="133"/>
      <c r="BD23" s="132" t="str">
        <f>IF(OR(B23="",BC23=""),"",COUNTIF(BC$7:BC23,"√"))</f>
        <v/>
      </c>
      <c r="BE23" s="134" t="str">
        <f t="shared" si="3"/>
        <v/>
      </c>
      <c r="BF23" s="135" t="str">
        <f t="shared" si="11"/>
        <v/>
      </c>
      <c r="BG23" s="135" t="str">
        <f t="shared" si="11"/>
        <v/>
      </c>
      <c r="BH23" s="136"/>
      <c r="BI23" s="136"/>
      <c r="BJ23" s="136"/>
      <c r="BK23" s="136"/>
      <c r="BL23" s="136"/>
      <c r="BM23" s="137"/>
      <c r="BN23" s="137"/>
      <c r="BO23" s="165" t="s">
        <v>1674</v>
      </c>
      <c r="BP23" s="156">
        <f t="shared" si="4"/>
        <v>125.582477754962</v>
      </c>
      <c r="BQ23" s="156">
        <f t="shared" si="5"/>
        <v>0</v>
      </c>
      <c r="BR23" s="658">
        <f t="shared" si="6"/>
        <v>0</v>
      </c>
      <c r="BS23" s="347">
        <f t="shared" si="12"/>
        <v>0</v>
      </c>
      <c r="BU23" s="134" t="str">
        <f>IF(COUNTIF(BU$6:BU22,C23)&gt;0,"",C23)&amp;""</f>
        <v/>
      </c>
      <c r="BV23" s="138">
        <f t="shared" si="13"/>
        <v>0</v>
      </c>
      <c r="BW23" s="132">
        <f t="shared" si="14"/>
        <v>1</v>
      </c>
      <c r="BX23" s="138">
        <f t="shared" si="15"/>
        <v>0</v>
      </c>
      <c r="BY23" s="132">
        <f t="shared" si="16"/>
        <v>1</v>
      </c>
      <c r="BZ23" s="133"/>
      <c r="CA23" s="133"/>
    </row>
    <row r="24" ht="15" customHeight="1" spans="1:80">
      <c r="A24" s="123" t="str">
        <f>IF(B24="","",COUNT(A$6:A23)+1)</f>
        <v/>
      </c>
      <c r="B24" s="139"/>
      <c r="C24" s="141"/>
      <c r="D24" s="140"/>
      <c r="E24" s="140"/>
      <c r="F24" s="141"/>
      <c r="G24" s="142"/>
      <c r="H24" s="127" t="str">
        <f>IFERROR(VLOOKUP(G24,参数表!$H$2:$I$50,2,FALSE),"")</f>
        <v/>
      </c>
      <c r="I24" s="128" t="str">
        <f t="shared" si="8"/>
        <v/>
      </c>
      <c r="J24" s="128" t="str">
        <f t="shared" si="9"/>
        <v/>
      </c>
      <c r="K24" s="143"/>
      <c r="L24" s="143"/>
      <c r="M24" s="144"/>
      <c r="N24" s="129" t="str">
        <f t="shared" si="10"/>
        <v/>
      </c>
      <c r="O24" s="129" t="str">
        <f t="shared" si="0"/>
        <v/>
      </c>
      <c r="P24" s="129" t="str">
        <f t="shared" si="1"/>
        <v/>
      </c>
      <c r="Q24" s="129" t="str">
        <f t="shared" si="2"/>
        <v/>
      </c>
      <c r="R24" s="145"/>
      <c r="BA24" s="78"/>
      <c r="BB24" s="132" t="s">
        <v>3460</v>
      </c>
      <c r="BC24" s="133"/>
      <c r="BD24" s="132" t="str">
        <f>IF(OR(B24="",BC24=""),"",COUNTIF(BC$7:BC24,"√"))</f>
        <v/>
      </c>
      <c r="BE24" s="134" t="str">
        <f t="shared" si="3"/>
        <v/>
      </c>
      <c r="BF24" s="135" t="str">
        <f t="shared" si="11"/>
        <v/>
      </c>
      <c r="BG24" s="135" t="str">
        <f t="shared" si="11"/>
        <v/>
      </c>
      <c r="BH24" s="136"/>
      <c r="BI24" s="136"/>
      <c r="BJ24" s="136"/>
      <c r="BK24" s="136"/>
      <c r="BL24" s="136"/>
      <c r="BM24" s="137"/>
      <c r="BN24" s="137"/>
      <c r="BO24" s="165" t="s">
        <v>1674</v>
      </c>
      <c r="BP24" s="156">
        <f t="shared" si="4"/>
        <v>125.582477754962</v>
      </c>
      <c r="BQ24" s="156">
        <f t="shared" si="5"/>
        <v>0</v>
      </c>
      <c r="BR24" s="658">
        <f t="shared" si="6"/>
        <v>0</v>
      </c>
      <c r="BS24" s="347">
        <f t="shared" si="12"/>
        <v>0</v>
      </c>
      <c r="BU24" s="134" t="str">
        <f>IF(COUNTIF(BU$6:BU23,C24)&gt;0,"",C24)&amp;""</f>
        <v/>
      </c>
      <c r="BV24" s="138">
        <f t="shared" si="13"/>
        <v>0</v>
      </c>
      <c r="BW24" s="132">
        <f t="shared" si="14"/>
        <v>1</v>
      </c>
      <c r="BX24" s="138">
        <f t="shared" si="15"/>
        <v>0</v>
      </c>
      <c r="BY24" s="132">
        <f t="shared" si="16"/>
        <v>1</v>
      </c>
      <c r="BZ24" s="133"/>
      <c r="CA24" s="133"/>
    </row>
    <row r="25" ht="15" customHeight="1" spans="1:80">
      <c r="A25" s="123" t="str">
        <f>IF(B25="","",COUNT(A$6:A24)+1)</f>
        <v/>
      </c>
      <c r="B25" s="139"/>
      <c r="C25" s="141"/>
      <c r="D25" s="140"/>
      <c r="E25" s="140"/>
      <c r="F25" s="141"/>
      <c r="G25" s="142"/>
      <c r="H25" s="127" t="str">
        <f>IFERROR(VLOOKUP(G25,参数表!$H$2:$I$50,2,FALSE),"")</f>
        <v/>
      </c>
      <c r="I25" s="128" t="str">
        <f t="shared" si="8"/>
        <v/>
      </c>
      <c r="J25" s="128" t="str">
        <f t="shared" si="9"/>
        <v/>
      </c>
      <c r="K25" s="143"/>
      <c r="L25" s="143"/>
      <c r="M25" s="144"/>
      <c r="N25" s="129" t="str">
        <f t="shared" si="10"/>
        <v/>
      </c>
      <c r="O25" s="129" t="str">
        <f t="shared" si="0"/>
        <v/>
      </c>
      <c r="P25" s="129" t="str">
        <f t="shared" si="1"/>
        <v/>
      </c>
      <c r="Q25" s="129" t="str">
        <f t="shared" si="2"/>
        <v/>
      </c>
      <c r="R25" s="145"/>
      <c r="BA25" s="78"/>
      <c r="BB25" s="132" t="s">
        <v>3461</v>
      </c>
      <c r="BC25" s="133"/>
      <c r="BD25" s="132" t="str">
        <f>IF(OR(B25="",BC25=""),"",COUNTIF(BC$7:BC25,"√"))</f>
        <v/>
      </c>
      <c r="BE25" s="134" t="str">
        <f t="shared" si="3"/>
        <v/>
      </c>
      <c r="BF25" s="135" t="str">
        <f t="shared" si="11"/>
        <v/>
      </c>
      <c r="BG25" s="135" t="str">
        <f t="shared" si="11"/>
        <v/>
      </c>
      <c r="BH25" s="136"/>
      <c r="BI25" s="136"/>
      <c r="BJ25" s="136"/>
      <c r="BK25" s="136"/>
      <c r="BL25" s="136"/>
      <c r="BM25" s="137"/>
      <c r="BN25" s="137"/>
      <c r="BO25" s="165" t="s">
        <v>1674</v>
      </c>
      <c r="BP25" s="156">
        <f t="shared" si="4"/>
        <v>125.582477754962</v>
      </c>
      <c r="BQ25" s="156">
        <f t="shared" si="5"/>
        <v>0</v>
      </c>
      <c r="BR25" s="658">
        <f t="shared" si="6"/>
        <v>0</v>
      </c>
      <c r="BS25" s="347">
        <f t="shared" si="12"/>
        <v>0</v>
      </c>
      <c r="BU25" s="134" t="str">
        <f>IF(COUNTIF(BU$6:BU24,C25)&gt;0,"",C25)&amp;""</f>
        <v/>
      </c>
      <c r="BV25" s="138">
        <f t="shared" si="13"/>
        <v>0</v>
      </c>
      <c r="BW25" s="132">
        <f t="shared" si="14"/>
        <v>1</v>
      </c>
      <c r="BX25" s="138">
        <f t="shared" si="15"/>
        <v>0</v>
      </c>
      <c r="BY25" s="132">
        <f t="shared" si="16"/>
        <v>1</v>
      </c>
      <c r="BZ25" s="133"/>
      <c r="CA25" s="133"/>
    </row>
    <row r="26" ht="15" customHeight="1" spans="1:80">
      <c r="A26" s="123" t="str">
        <f>IF(B26="","",COUNT(A$6:A25)+1)</f>
        <v/>
      </c>
      <c r="B26" s="124"/>
      <c r="C26" s="126"/>
      <c r="D26" s="125"/>
      <c r="E26" s="125"/>
      <c r="F26" s="126"/>
      <c r="G26" s="127"/>
      <c r="H26" s="127" t="str">
        <f>IFERROR(VLOOKUP(G26,参数表!$H$2:$I$50,2,FALSE),"")</f>
        <v/>
      </c>
      <c r="I26" s="128" t="str">
        <f t="shared" si="8"/>
        <v/>
      </c>
      <c r="J26" s="128" t="str">
        <f t="shared" si="9"/>
        <v/>
      </c>
      <c r="K26" s="129"/>
      <c r="L26" s="129"/>
      <c r="M26" s="130"/>
      <c r="N26" s="129" t="str">
        <f t="shared" si="10"/>
        <v/>
      </c>
      <c r="O26" s="129" t="str">
        <f t="shared" si="0"/>
        <v/>
      </c>
      <c r="P26" s="129" t="str">
        <f t="shared" si="1"/>
        <v/>
      </c>
      <c r="Q26" s="129" t="str">
        <f t="shared" si="2"/>
        <v/>
      </c>
      <c r="R26" s="131"/>
      <c r="BA26" s="78"/>
      <c r="BB26" s="132" t="s">
        <v>3462</v>
      </c>
      <c r="BC26" s="133"/>
      <c r="BD26" s="132" t="str">
        <f>IF(OR(B26="",BC26=""),"",COUNTIF(BC$7:BC26,"√"))</f>
        <v/>
      </c>
      <c r="BE26" s="134" t="str">
        <f t="shared" si="3"/>
        <v/>
      </c>
      <c r="BF26" s="135" t="str">
        <f t="shared" si="11"/>
        <v/>
      </c>
      <c r="BG26" s="135" t="str">
        <f t="shared" si="11"/>
        <v/>
      </c>
      <c r="BH26" s="136"/>
      <c r="BI26" s="136"/>
      <c r="BJ26" s="136"/>
      <c r="BK26" s="136"/>
      <c r="BL26" s="136"/>
      <c r="BM26" s="137"/>
      <c r="BN26" s="137"/>
      <c r="BO26" s="165" t="s">
        <v>1674</v>
      </c>
      <c r="BP26" s="156">
        <f t="shared" si="4"/>
        <v>125.582477754962</v>
      </c>
      <c r="BQ26" s="156">
        <f t="shared" si="5"/>
        <v>0</v>
      </c>
      <c r="BR26" s="658">
        <f t="shared" si="6"/>
        <v>0</v>
      </c>
      <c r="BS26" s="347">
        <f t="shared" si="12"/>
        <v>0</v>
      </c>
      <c r="BU26" s="134" t="str">
        <f>IF(COUNTIF(BU$6:BU25,C26)&gt;0,"",C26)&amp;""</f>
        <v/>
      </c>
      <c r="BV26" s="138">
        <f t="shared" si="13"/>
        <v>0</v>
      </c>
      <c r="BW26" s="132">
        <f t="shared" si="14"/>
        <v>1</v>
      </c>
      <c r="BX26" s="138">
        <f t="shared" si="15"/>
        <v>0</v>
      </c>
      <c r="BY26" s="132">
        <f t="shared" si="16"/>
        <v>1</v>
      </c>
      <c r="BZ26" s="133"/>
      <c r="CA26" s="133"/>
    </row>
    <row r="27" s="73" customFormat="1" ht="15" customHeight="1" spans="1:80">
      <c r="A27" s="221" t="s">
        <v>1954</v>
      </c>
      <c r="B27" s="221"/>
      <c r="C27" s="149"/>
      <c r="D27" s="356"/>
      <c r="E27" s="356"/>
      <c r="F27" s="149"/>
      <c r="G27" s="149"/>
      <c r="H27" s="149"/>
      <c r="I27" s="149"/>
      <c r="J27" s="149"/>
      <c r="K27" s="152"/>
      <c r="L27" s="152">
        <f>SUM(L7:L26)</f>
        <v>0</v>
      </c>
      <c r="M27" s="153"/>
      <c r="N27" s="152">
        <f>SUM(N7:N26)</f>
        <v>0</v>
      </c>
      <c r="O27" s="152">
        <f>SUM(O7:O26)</f>
        <v>0</v>
      </c>
      <c r="P27" s="152">
        <f t="shared" si="1"/>
        <v>0</v>
      </c>
      <c r="Q27" s="152" t="str">
        <f t="shared" si="2"/>
        <v/>
      </c>
      <c r="R27" s="151"/>
      <c r="BH27" s="72"/>
      <c r="BI27" s="72"/>
      <c r="BJ27" s="72"/>
      <c r="BK27" s="72"/>
      <c r="BL27" s="72"/>
      <c r="BT27" s="111"/>
      <c r="BU27" s="119"/>
      <c r="BV27" s="77"/>
      <c r="BW27" s="77"/>
      <c r="BX27" s="77"/>
      <c r="BY27" s="119"/>
      <c r="BZ27" s="119"/>
      <c r="CA27" s="119"/>
      <c r="CB27" s="111"/>
    </row>
    <row r="28" ht="15" customHeight="1" spans="1:80">
      <c r="A28" s="982" t="s">
        <v>3434</v>
      </c>
      <c r="B28" s="982"/>
      <c r="C28" s="126"/>
      <c r="D28" s="125"/>
      <c r="E28" s="125"/>
      <c r="F28" s="126"/>
      <c r="G28" s="126"/>
      <c r="H28" s="126"/>
      <c r="I28" s="126"/>
      <c r="J28" s="126"/>
      <c r="K28" s="129"/>
      <c r="L28" s="129"/>
      <c r="M28" s="130"/>
      <c r="N28" s="129">
        <f>L28+M28</f>
        <v>0</v>
      </c>
      <c r="O28" s="129">
        <f>0</f>
        <v>0</v>
      </c>
      <c r="P28" s="129">
        <f t="shared" si="1"/>
        <v>0</v>
      </c>
      <c r="Q28" s="129" t="str">
        <f t="shared" si="2"/>
        <v/>
      </c>
      <c r="R28" s="131"/>
    </row>
    <row r="29" s="73" customFormat="1" ht="15" customHeight="1" spans="1:80">
      <c r="A29" s="221" t="s">
        <v>1957</v>
      </c>
      <c r="B29" s="221"/>
      <c r="C29" s="149"/>
      <c r="D29" s="356"/>
      <c r="E29" s="356"/>
      <c r="F29" s="149"/>
      <c r="G29" s="149"/>
      <c r="H29" s="149"/>
      <c r="I29" s="149"/>
      <c r="J29" s="149"/>
      <c r="K29" s="152"/>
      <c r="L29" s="152">
        <f>L27-L28</f>
        <v>0</v>
      </c>
      <c r="M29" s="153"/>
      <c r="N29" s="152">
        <f>N27-N28</f>
        <v>0</v>
      </c>
      <c r="O29" s="152">
        <f>O27-O28</f>
        <v>0</v>
      </c>
      <c r="P29" s="152">
        <f t="shared" si="1"/>
        <v>0</v>
      </c>
      <c r="Q29" s="152" t="str">
        <f t="shared" si="2"/>
        <v/>
      </c>
      <c r="R29" s="151"/>
      <c r="BH29" s="72"/>
      <c r="BI29" s="72"/>
      <c r="BJ29" s="72"/>
      <c r="BK29" s="72"/>
      <c r="BL29" s="72"/>
      <c r="BT29" s="77"/>
      <c r="BU29" s="78"/>
      <c r="BV29" s="77"/>
      <c r="BW29" s="78"/>
      <c r="BX29" s="78"/>
      <c r="BY29" s="78"/>
      <c r="BZ29" s="78"/>
      <c r="CA29" s="78"/>
      <c r="CB29" s="77"/>
    </row>
    <row r="30" customHeight="1" spans="1:80">
      <c r="A30" s="102" t="str">
        <f>参数表!F$6</f>
        <v>产权持有单位填表人：贾广东</v>
      </c>
      <c r="B30" s="154"/>
      <c r="C30" s="154"/>
      <c r="D30" s="154"/>
      <c r="E30" s="154"/>
      <c r="F30" s="154"/>
      <c r="G30" s="154"/>
      <c r="H30" s="154"/>
      <c r="I30" s="154"/>
      <c r="J30" s="154"/>
      <c r="K30" s="103"/>
      <c r="L30" s="103"/>
      <c r="M30" s="104"/>
      <c r="N30" s="103"/>
      <c r="O30" s="103" t="str">
        <f>"评估人员："&amp;封面!$G$36</f>
        <v>评估人员：</v>
      </c>
      <c r="P30" s="103"/>
      <c r="Q30" s="103"/>
      <c r="R30" s="103"/>
    </row>
    <row r="31" customHeight="1" spans="1:80">
      <c r="A31" s="102" t="str">
        <f>参数表!F$7</f>
        <v>填表日期：2025年9月20日</v>
      </c>
      <c r="B31" s="154"/>
      <c r="C31" s="154"/>
      <c r="D31" s="154"/>
      <c r="E31" s="154"/>
      <c r="F31" s="154"/>
      <c r="G31" s="154"/>
      <c r="H31" s="154"/>
      <c r="I31" s="154"/>
      <c r="J31" s="154"/>
      <c r="K31" s="103"/>
      <c r="L31" s="103"/>
      <c r="M31" s="104"/>
      <c r="N31" s="103"/>
      <c r="O31" s="103"/>
      <c r="P31" s="103"/>
      <c r="Q31" s="103"/>
      <c r="R31" s="103"/>
    </row>
    <row r="32" hidden="1" customHeight="1" outlineLevel="1" spans="1:80">
      <c r="A32" s="157"/>
      <c r="B32" s="154" t="s">
        <v>1673</v>
      </c>
      <c r="C32" s="158"/>
      <c r="D32" s="158"/>
      <c r="E32" s="158"/>
      <c r="F32" s="158"/>
      <c r="G32" s="158"/>
      <c r="H32" s="158"/>
      <c r="I32" s="158"/>
      <c r="J32" s="158"/>
      <c r="L32" s="159">
        <f>SUMIF($BA7:$BA26,$BA32,L7:L26)</f>
        <v>0</v>
      </c>
      <c r="M32" s="202"/>
      <c r="N32" s="159">
        <f>SUMIF($BA7:$BA26,$BA32,N7:N26)</f>
        <v>0</v>
      </c>
      <c r="O32" s="159">
        <f>SUMIF($BA7:$BA26,$BA32,O7:O26)</f>
        <v>0</v>
      </c>
      <c r="BA32" s="161" t="s">
        <v>1674</v>
      </c>
      <c r="BH32" s="162" t="s">
        <v>1675</v>
      </c>
      <c r="BI32" s="162" t="s">
        <v>1675</v>
      </c>
      <c r="BJ32" s="162" t="s">
        <v>1675</v>
      </c>
      <c r="BK32" s="162" t="s">
        <v>1674</v>
      </c>
      <c r="BL32" s="162" t="s">
        <v>1674</v>
      </c>
    </row>
    <row r="33" hidden="1" customHeight="1" outlineLevel="1" spans="1:64">
      <c r="A33" s="157"/>
      <c r="B33" s="154" t="s">
        <v>1676</v>
      </c>
      <c r="C33" s="158"/>
      <c r="D33" s="158"/>
      <c r="E33" s="158"/>
      <c r="F33" s="158"/>
      <c r="G33" s="158"/>
      <c r="H33" s="158"/>
      <c r="I33" s="158"/>
      <c r="J33" s="158"/>
      <c r="L33" s="159">
        <f>L27-L32</f>
        <v>0</v>
      </c>
      <c r="M33" s="202"/>
      <c r="N33" s="159">
        <f>N27-N32</f>
        <v>0</v>
      </c>
      <c r="O33" s="159">
        <f>O27-O32</f>
        <v>0</v>
      </c>
      <c r="BA33" s="161" t="s">
        <v>1677</v>
      </c>
      <c r="BH33" s="162" t="s">
        <v>1678</v>
      </c>
      <c r="BI33" s="162" t="s">
        <v>1678</v>
      </c>
      <c r="BJ33" s="162" t="s">
        <v>1678</v>
      </c>
      <c r="BK33" s="162" t="s">
        <v>1677</v>
      </c>
      <c r="BL33" s="162" t="s">
        <v>1677</v>
      </c>
    </row>
    <row r="34" customHeight="1" collapsed="1" spans="1:64">
      <c r="A34" s="157"/>
      <c r="B34" s="158"/>
      <c r="C34" s="158"/>
      <c r="D34" s="158"/>
      <c r="E34" s="158"/>
      <c r="F34" s="158"/>
      <c r="G34" s="158"/>
      <c r="H34" s="158"/>
      <c r="I34" s="158"/>
      <c r="J34" s="158"/>
    </row>
    <row r="35" customHeight="1" spans="1:64">
      <c r="A35" s="157"/>
      <c r="B35" s="158"/>
      <c r="C35" s="158"/>
      <c r="D35" s="158"/>
      <c r="E35" s="158"/>
      <c r="F35" s="158"/>
      <c r="G35" s="158"/>
      <c r="H35" s="158"/>
      <c r="I35" s="158"/>
      <c r="J35" s="158"/>
    </row>
    <row r="36" customHeight="1" spans="1:64">
      <c r="A36" s="157"/>
      <c r="B36" s="158"/>
      <c r="C36" s="158"/>
      <c r="D36" s="158"/>
      <c r="E36" s="158"/>
      <c r="F36" s="158"/>
      <c r="G36" s="158"/>
      <c r="H36" s="158"/>
      <c r="I36" s="158"/>
      <c r="J36" s="158"/>
    </row>
    <row r="37" customHeight="1" spans="1:64">
      <c r="A37" s="157"/>
      <c r="B37" s="158"/>
      <c r="C37" s="158"/>
      <c r="D37" s="158"/>
      <c r="E37" s="158"/>
      <c r="F37" s="158"/>
      <c r="G37" s="158"/>
      <c r="H37" s="158"/>
      <c r="I37" s="158"/>
      <c r="J37" s="158"/>
    </row>
    <row r="38" customHeight="1" spans="1:64">
      <c r="A38" s="157"/>
      <c r="B38" s="158"/>
      <c r="C38" s="158"/>
      <c r="D38" s="158"/>
      <c r="E38" s="158"/>
      <c r="F38" s="158"/>
      <c r="G38" s="158"/>
      <c r="H38" s="158"/>
      <c r="I38" s="158"/>
      <c r="J38" s="158"/>
    </row>
    <row r="39" customHeight="1" spans="1:64">
      <c r="A39" s="157"/>
      <c r="B39" s="158"/>
      <c r="C39" s="158"/>
      <c r="D39" s="158"/>
      <c r="E39" s="158"/>
      <c r="F39" s="158"/>
      <c r="G39" s="158"/>
      <c r="H39" s="158"/>
      <c r="I39" s="158"/>
      <c r="J39" s="158"/>
    </row>
  </sheetData>
  <sheetProtection autoFilter="0"/>
  <mergeCells count="8">
    <mergeCell ref="A2:R2"/>
    <mergeCell ref="A3:R3"/>
    <mergeCell ref="BZ7:CB7"/>
    <mergeCell ref="BZ8:CB8"/>
    <mergeCell ref="CA14:CB14"/>
    <mergeCell ref="A27:B27"/>
    <mergeCell ref="A28:B28"/>
    <mergeCell ref="A29:B29"/>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5" stopIfTrue="1">
      <formula>AND($B7&lt;&gt;"",BH7="")</formula>
    </cfRule>
  </conditionalFormatting>
  <dataValidations count="4">
    <dataValidation type="list" allowBlank="1" showInputMessage="1" showErrorMessage="1" sqref="G7:G26">
      <formula1>OFFSET(参数表!$H$2:$H$50,,,COUNTA(参数表!$H$2:$H$50))</formula1>
    </dataValidation>
    <dataValidation type="list" allowBlank="1" showInputMessage="1" showErrorMessage="1" sqref="BA7:BA26 BA32:BA33 BO7:BO26">
      <formula1>"是,否"</formula1>
    </dataValidation>
    <dataValidation type="list" allowBlank="1" showInputMessage="1" showErrorMessage="1" sqref="BC7:BC26">
      <formula1>"  ,√"</formula1>
    </dataValidation>
    <dataValidation type="list" allowBlank="1" showInputMessage="1" showErrorMessage="1" sqref="BH7:BL26">
      <formula1>BH$32:BH$33</formula1>
    </dataValidation>
  </dataValidations>
  <hyperlinks>
    <hyperlink ref="A1" location="索引目录!E29" display="返回索引页"/>
    <hyperlink ref="B1" location="可供出售金融资产汇总!B12"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3"/>
  <dimension ref="A1:BY39"/>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3" width="15.6" style="75" customWidth="1"/>
    <col min="4" max="4" width="7.6" style="75" customWidth="1"/>
    <col min="5" max="5" width="8.6" style="75" customWidth="1"/>
    <col min="6" max="6" width="7.6" style="75" customWidth="1"/>
    <col min="7" max="8" width="4.6" style="75" customWidth="1" outlineLevel="1"/>
    <col min="9" max="10" width="6.1" style="75" customWidth="1" outlineLevel="1"/>
    <col min="11" max="11" width="14.6" style="75" customWidth="1"/>
    <col min="12" max="12" width="14.6" style="75" customWidth="1" outlineLevel="1"/>
    <col min="13" max="13" width="14.6" style="76" customWidth="1" outlineLevel="1"/>
    <col min="14" max="15" width="14.6" style="75" customWidth="1"/>
    <col min="16" max="18" width="8.6" style="75" customWidth="1"/>
    <col min="19" max="52" width="9" style="75" hidden="1" customWidth="1" outlineLevel="1"/>
    <col min="53" max="53" width="14.7" style="75" customWidth="1" collapsed="1"/>
    <col min="54" max="54" width="6.7" style="75" customWidth="1"/>
    <col min="55" max="56" width="5.1" style="75" customWidth="1"/>
    <col min="57" max="57" width="8.7" style="75" customWidth="1"/>
    <col min="58" max="59" width="10.6" style="75" customWidth="1"/>
    <col min="60" max="61" width="5" style="75" customWidth="1"/>
    <col min="62" max="63" width="5.1" style="75" customWidth="1"/>
    <col min="64" max="64" width="6.7" style="75" customWidth="1"/>
    <col min="65" max="65" width="10.3" style="75" customWidth="1"/>
    <col min="66" max="66" width="8.7" style="75" customWidth="1"/>
    <col min="67" max="67" width="8.6" style="75" customWidth="1"/>
    <col min="68" max="68" width="10.3"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86" customFormat="1" ht="13.8" spans="1:77">
      <c r="A1" s="203" t="s">
        <v>1591</v>
      </c>
      <c r="B1" s="204" t="s">
        <v>1592</v>
      </c>
      <c r="C1" s="82"/>
      <c r="D1" s="82"/>
      <c r="E1" s="82"/>
      <c r="F1" s="82"/>
      <c r="G1" s="82"/>
      <c r="H1" s="82"/>
      <c r="I1" s="82"/>
      <c r="J1" s="82"/>
      <c r="K1" s="82"/>
      <c r="L1" s="82"/>
      <c r="M1" s="205"/>
      <c r="N1" s="82"/>
      <c r="O1" s="82"/>
      <c r="P1" s="82"/>
      <c r="Q1" s="82"/>
      <c r="R1" s="82"/>
      <c r="BA1" s="84" t="str">
        <f>参数表!BA1</f>
        <v>注意：补充特殊事项、作价等均从BA列开始填写</v>
      </c>
      <c r="BB1" s="85"/>
      <c r="BQ1" s="87"/>
      <c r="BR1" s="88"/>
      <c r="BS1" s="87"/>
      <c r="BT1" s="88"/>
      <c r="BU1" s="88"/>
      <c r="BV1" s="88"/>
      <c r="BW1" s="88"/>
      <c r="BX1" s="88"/>
      <c r="BY1" s="87"/>
    </row>
    <row r="2" s="71" customFormat="1" ht="30" customHeight="1" spans="1:77">
      <c r="A2" s="89" t="s">
        <v>3463</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4"/>
      <c r="M3" s="94"/>
      <c r="N3" s="95"/>
      <c r="O3" s="95"/>
      <c r="P3" s="95"/>
      <c r="Q3" s="95"/>
      <c r="R3" s="95"/>
      <c r="BA3" s="90" t="str">
        <f>参数表!BA3</f>
        <v>是否显示评估值：</v>
      </c>
      <c r="BB3" s="90" t="str">
        <f>参数表!BB3</f>
        <v>是</v>
      </c>
      <c r="BS3" s="78"/>
    </row>
    <row r="4" ht="15" customHeight="1" spans="1:77">
      <c r="A4" s="96"/>
      <c r="B4" s="94"/>
      <c r="C4" s="94"/>
      <c r="D4" s="94"/>
      <c r="E4" s="94"/>
      <c r="F4" s="94"/>
      <c r="G4" s="94"/>
      <c r="H4" s="94"/>
      <c r="I4" s="94"/>
      <c r="J4" s="94"/>
      <c r="K4" s="94"/>
      <c r="L4" s="94"/>
      <c r="M4" s="97"/>
      <c r="N4" s="95"/>
      <c r="O4" s="95"/>
      <c r="P4" s="98"/>
      <c r="Q4" s="95"/>
      <c r="R4" s="98" t="str">
        <f>"表"&amp;$BA4</f>
        <v>表4-1-3</v>
      </c>
      <c r="BA4" s="274" t="str">
        <f>可供出售总!A9</f>
        <v>4-1-3</v>
      </c>
      <c r="BB4" s="100">
        <f>MAX(COUNTA(A7:A26),COUNTA(B7:B26),COUNTA(L7:L26),COUNTA(N7:N26))</f>
        <v>20</v>
      </c>
      <c r="BC4" s="101">
        <f>ROW(A6)+1</f>
        <v>7</v>
      </c>
      <c r="BD4" s="77"/>
      <c r="BE4" s="77"/>
      <c r="BS4" s="78"/>
    </row>
    <row r="5" ht="15" customHeight="1" spans="1:77">
      <c r="A5" s="102" t="str">
        <f>参数表!F3</f>
        <v>产权持有单位:中煤第五建设有限公司</v>
      </c>
      <c r="B5" s="103"/>
      <c r="C5" s="103"/>
      <c r="D5" s="103"/>
      <c r="E5" s="103"/>
      <c r="F5" s="103"/>
      <c r="G5" s="103"/>
      <c r="H5" s="103"/>
      <c r="I5" s="103"/>
      <c r="J5" s="103"/>
      <c r="K5" s="103"/>
      <c r="L5" s="103"/>
      <c r="M5" s="104"/>
      <c r="N5" s="103"/>
      <c r="O5" s="103"/>
      <c r="P5" s="103"/>
      <c r="Q5" s="103"/>
      <c r="R5" s="98" t="s">
        <v>236</v>
      </c>
      <c r="BA5" s="103"/>
      <c r="BB5" s="105" t="str">
        <f ca="1">判断表!C52</f>
        <v>中煤第五建设有限公司第三工程处拟处置实物资产项目\[0000-3基础法明细表.xlsx]可供-其他</v>
      </c>
      <c r="BC5" s="106">
        <f>IFERROR(SUMIF(BC7:BC26,"√",N7:N26)/N27,0)</f>
        <v>0</v>
      </c>
      <c r="BD5" s="107"/>
      <c r="BE5" s="107"/>
      <c r="BF5" s="177">
        <f>'可供-债券'!BF5</f>
        <v>0</v>
      </c>
      <c r="BG5" s="177">
        <f>'可供-债券'!BG5</f>
        <v>0</v>
      </c>
      <c r="BQ5" s="111"/>
      <c r="BS5" s="78"/>
      <c r="BY5" s="111"/>
    </row>
    <row r="6" s="72" customFormat="1" ht="36" spans="1:77">
      <c r="A6" s="112" t="s">
        <v>305</v>
      </c>
      <c r="B6" s="113" t="s">
        <v>1741</v>
      </c>
      <c r="C6" s="113" t="s">
        <v>3464</v>
      </c>
      <c r="D6" s="113" t="s">
        <v>1743</v>
      </c>
      <c r="E6" s="118" t="s">
        <v>3465</v>
      </c>
      <c r="F6" s="118" t="s">
        <v>3412</v>
      </c>
      <c r="G6" s="114" t="s">
        <v>1631</v>
      </c>
      <c r="H6" s="115" t="s">
        <v>1632</v>
      </c>
      <c r="I6" s="116" t="s">
        <v>1745</v>
      </c>
      <c r="J6" s="115" t="s">
        <v>1633</v>
      </c>
      <c r="K6" s="118" t="s">
        <v>1746</v>
      </c>
      <c r="L6" s="113" t="s">
        <v>1549</v>
      </c>
      <c r="M6" s="117" t="s">
        <v>1634</v>
      </c>
      <c r="N6" s="118" t="s">
        <v>1523</v>
      </c>
      <c r="O6" s="113" t="s">
        <v>1550</v>
      </c>
      <c r="P6" s="113" t="s">
        <v>1525</v>
      </c>
      <c r="Q6" s="118" t="s">
        <v>1551</v>
      </c>
      <c r="R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91" t="s">
        <v>3466</v>
      </c>
      <c r="BP6" s="191" t="s">
        <v>3467</v>
      </c>
      <c r="BQ6" s="119"/>
      <c r="BR6" s="120" t="s">
        <v>1645</v>
      </c>
      <c r="BS6" s="121" t="s">
        <v>1646</v>
      </c>
      <c r="BT6" s="121" t="s">
        <v>1647</v>
      </c>
      <c r="BU6" s="121" t="s">
        <v>1648</v>
      </c>
      <c r="BV6" s="121" t="s">
        <v>1647</v>
      </c>
      <c r="BW6" s="121" t="s">
        <v>1647</v>
      </c>
      <c r="BX6" s="121" t="s">
        <v>1649</v>
      </c>
      <c r="BY6" s="122" t="s">
        <v>1650</v>
      </c>
    </row>
    <row r="7" ht="15" customHeight="1" spans="1:77">
      <c r="A7" s="123" t="str">
        <f>IF(B7="","",COUNT(A$6:A6)+1)</f>
        <v/>
      </c>
      <c r="B7" s="124"/>
      <c r="C7" s="126"/>
      <c r="D7" s="125"/>
      <c r="E7" s="126"/>
      <c r="F7" s="129"/>
      <c r="G7" s="127"/>
      <c r="H7" s="127" t="str">
        <f>IFERROR(VLOOKUP(G7,参数表!$H$2:$I$50,2,FALSE),"")</f>
        <v/>
      </c>
      <c r="I7" s="128" t="str">
        <f>IFERROR(IF(OR(G7="人民币",G7=""),"",K7/H7),"")</f>
        <v/>
      </c>
      <c r="J7" s="128" t="str">
        <f>IFERROR(IF(OR(G7="人民币",G7=""),"",N7/H7),"")</f>
        <v/>
      </c>
      <c r="K7" s="129"/>
      <c r="L7" s="129"/>
      <c r="M7" s="130"/>
      <c r="N7" s="129" t="str">
        <f>IF(B7="","",L7+M7)</f>
        <v/>
      </c>
      <c r="O7" s="129" t="str">
        <f t="shared" ref="O7:O26" si="0">IF(B7="","",IF($BB$3="是",IF(BO7="股权投资",E7*BP7,E7*F7),""))</f>
        <v/>
      </c>
      <c r="P7" s="129" t="str">
        <f>IFERROR(O7-N7,"")</f>
        <v/>
      </c>
      <c r="Q7" s="129" t="str">
        <f>IFERROR(P7/N7*100,"")</f>
        <v/>
      </c>
      <c r="R7" s="131"/>
      <c r="BA7" s="78"/>
      <c r="BB7" s="132" t="s">
        <v>3468</v>
      </c>
      <c r="BC7" s="133"/>
      <c r="BD7" s="132" t="str">
        <f>IF(OR(B7="",BC7=""),"",COUNTIF(BC$7:BC7,"√"))</f>
        <v/>
      </c>
      <c r="BE7" s="134" t="str">
        <f t="shared" ref="BE7:BE26" si="1">IF(BC7="","",BB7&amp;"︱"&amp;B7&amp;"︱"&amp;TEXT(L7,"#,##0.00"))</f>
        <v/>
      </c>
      <c r="BF7" s="135" t="str">
        <f>IF($B7="","",IF(BF$5=0,"OK","出错"))</f>
        <v/>
      </c>
      <c r="BG7" s="135" t="str">
        <f>IF($B7="","",IF(BG$5=0,"OK","出错"))</f>
        <v/>
      </c>
      <c r="BH7" s="136"/>
      <c r="BI7" s="136"/>
      <c r="BJ7" s="136"/>
      <c r="BK7" s="136"/>
      <c r="BL7" s="136"/>
      <c r="BM7" s="137"/>
      <c r="BN7" s="137"/>
      <c r="BO7" s="165" t="s">
        <v>3469</v>
      </c>
      <c r="BR7" s="134" t="str">
        <f>IF(COUNTIF(BR$6:BR6,C7)&gt;0,"",C7)&amp;""</f>
        <v/>
      </c>
      <c r="BS7" s="138">
        <f>SUMIF(C$7:C$26,BR7,N$7:N$26)</f>
        <v>0</v>
      </c>
      <c r="BT7" s="132">
        <f t="shared" ref="BT7" si="2">RANK(BS7,BS$7:BS$26)</f>
        <v>1</v>
      </c>
      <c r="BU7" s="138">
        <f>SUMIF(C$7:C$26,BR7,O$7:O$26)</f>
        <v>0</v>
      </c>
      <c r="BV7" s="132">
        <f>RANK(BU7,BU$7:BU$26)</f>
        <v>1</v>
      </c>
      <c r="BW7" s="138">
        <f>SUM(BS7:BS26)</f>
        <v>0</v>
      </c>
      <c r="BX7" s="138"/>
      <c r="BY7" s="138"/>
    </row>
    <row r="8" ht="15" customHeight="1" spans="1:77">
      <c r="A8" s="123" t="str">
        <f>IF(B8="","",COUNT(A$6:A7)+1)</f>
        <v/>
      </c>
      <c r="B8" s="139"/>
      <c r="C8" s="141"/>
      <c r="D8" s="140"/>
      <c r="E8" s="141"/>
      <c r="F8" s="143"/>
      <c r="G8" s="142"/>
      <c r="H8" s="127" t="str">
        <f>IFERROR(VLOOKUP(G8,参数表!$H$2:$I$50,2,FALSE),"")</f>
        <v/>
      </c>
      <c r="I8" s="128" t="str">
        <f t="shared" ref="I8:I26" si="3">IFERROR(IF(OR(G8="人民币",G8=""),"",K8/H8),"")</f>
        <v/>
      </c>
      <c r="J8" s="128" t="str">
        <f t="shared" ref="J8:J26" si="4">IFERROR(IF(OR(G8="人民币",G8=""),"",N8/H8),"")</f>
        <v/>
      </c>
      <c r="K8" s="143"/>
      <c r="L8" s="143"/>
      <c r="M8" s="144"/>
      <c r="N8" s="129" t="str">
        <f t="shared" ref="N8:N26" si="5">IF(B8="","",L8+M8)</f>
        <v/>
      </c>
      <c r="O8" s="129" t="str">
        <f t="shared" si="0"/>
        <v/>
      </c>
      <c r="P8" s="129" t="str">
        <f t="shared" ref="P8:P29" si="6">IFERROR(O8-N8,"")</f>
        <v/>
      </c>
      <c r="Q8" s="129" t="str">
        <f t="shared" ref="Q8:Q29" si="7">IFERROR(P8/N8*100,"")</f>
        <v/>
      </c>
      <c r="R8" s="145"/>
      <c r="BA8" s="78"/>
      <c r="BB8" s="132" t="s">
        <v>3470</v>
      </c>
      <c r="BC8" s="133"/>
      <c r="BD8" s="132" t="str">
        <f>IF(OR(B8="",BC8=""),"",COUNTIF(BC$7:BC8,"√"))</f>
        <v/>
      </c>
      <c r="BE8" s="134" t="str">
        <f t="shared" si="1"/>
        <v/>
      </c>
      <c r="BF8" s="135" t="str">
        <f t="shared" ref="BF8:BG26" si="8">IF($B8="","",IF(BF$5=0,"OK","出错"))</f>
        <v/>
      </c>
      <c r="BG8" s="135" t="str">
        <f t="shared" si="8"/>
        <v/>
      </c>
      <c r="BH8" s="136"/>
      <c r="BI8" s="136"/>
      <c r="BJ8" s="136"/>
      <c r="BK8" s="136"/>
      <c r="BL8" s="136"/>
      <c r="BM8" s="137"/>
      <c r="BN8" s="137"/>
      <c r="BO8" s="165" t="s">
        <v>3469</v>
      </c>
      <c r="BR8" s="134" t="str">
        <f>IF(COUNTIF(BR$6:BR7,C8)&gt;0,"",C8)&amp;""</f>
        <v/>
      </c>
      <c r="BS8" s="138">
        <f t="shared" ref="BS8:BS26" si="9">SUMIF(C$7:C$26,BR8,N$7:N$26)</f>
        <v>0</v>
      </c>
      <c r="BT8" s="132">
        <f t="shared" ref="BT8:BT26" si="10">RANK(BS8,BS$7:BS$26)</f>
        <v>1</v>
      </c>
      <c r="BU8" s="138">
        <f t="shared" ref="BU8:BU26" si="11">SUMIF(C$7:C$26,BR8,O$7:O$26)</f>
        <v>0</v>
      </c>
      <c r="BV8" s="132">
        <f t="shared" ref="BV8:BV26" si="12">RANK(BU8,BU$7:BU$26)</f>
        <v>1</v>
      </c>
      <c r="BW8" s="138">
        <f>SUM(BU7:BU26)</f>
        <v>0</v>
      </c>
      <c r="BX8" s="138"/>
      <c r="BY8" s="138"/>
    </row>
    <row r="9" ht="15" customHeight="1" spans="1:77">
      <c r="A9" s="123" t="str">
        <f>IF(B9="","",COUNT(A$6:A8)+1)</f>
        <v/>
      </c>
      <c r="B9" s="139"/>
      <c r="C9" s="141"/>
      <c r="D9" s="140"/>
      <c r="E9" s="141"/>
      <c r="F9" s="143"/>
      <c r="G9" s="142"/>
      <c r="H9" s="127" t="str">
        <f>IFERROR(VLOOKUP(G9,参数表!$H$2:$I$50,2,FALSE),"")</f>
        <v/>
      </c>
      <c r="I9" s="128" t="str">
        <f t="shared" si="3"/>
        <v/>
      </c>
      <c r="J9" s="128" t="str">
        <f t="shared" si="4"/>
        <v/>
      </c>
      <c r="K9" s="143"/>
      <c r="L9" s="143"/>
      <c r="M9" s="144"/>
      <c r="N9" s="129" t="str">
        <f t="shared" si="5"/>
        <v/>
      </c>
      <c r="O9" s="129" t="str">
        <f t="shared" si="0"/>
        <v/>
      </c>
      <c r="P9" s="129" t="str">
        <f t="shared" si="6"/>
        <v/>
      </c>
      <c r="Q9" s="129" t="str">
        <f t="shared" si="7"/>
        <v/>
      </c>
      <c r="R9" s="145"/>
      <c r="BA9" s="78"/>
      <c r="BB9" s="132" t="s">
        <v>3471</v>
      </c>
      <c r="BC9" s="133"/>
      <c r="BD9" s="132" t="str">
        <f>IF(OR(B9="",BC9=""),"",COUNTIF(BC$7:BC9,"√"))</f>
        <v/>
      </c>
      <c r="BE9" s="134" t="str">
        <f t="shared" si="1"/>
        <v/>
      </c>
      <c r="BF9" s="135" t="str">
        <f t="shared" si="8"/>
        <v/>
      </c>
      <c r="BG9" s="135" t="str">
        <f t="shared" si="8"/>
        <v/>
      </c>
      <c r="BH9" s="136"/>
      <c r="BI9" s="136"/>
      <c r="BJ9" s="136"/>
      <c r="BK9" s="136"/>
      <c r="BL9" s="136"/>
      <c r="BM9" s="137"/>
      <c r="BN9" s="137"/>
      <c r="BO9" s="165" t="s">
        <v>3469</v>
      </c>
      <c r="BR9" s="134" t="str">
        <f>IF(COUNTIF(BR$6:BR8,C9)&gt;0,"",C9)&amp;""</f>
        <v/>
      </c>
      <c r="BS9" s="138">
        <f t="shared" si="9"/>
        <v>0</v>
      </c>
      <c r="BT9" s="132">
        <f t="shared" si="10"/>
        <v>1</v>
      </c>
      <c r="BU9" s="138">
        <f t="shared" si="11"/>
        <v>0</v>
      </c>
      <c r="BV9" s="132">
        <f t="shared" si="12"/>
        <v>1</v>
      </c>
      <c r="BW9" s="132">
        <v>1</v>
      </c>
      <c r="BX9" s="134" t="str">
        <f>IFERROR(INDEX(BR$7:BR$26,MATCH(BW9,IF(BW$7=0,BV$7:BV$26,BT$7:BT$26),0))&amp;"","")</f>
        <v/>
      </c>
      <c r="BY9" s="146" t="str">
        <f>IF(BX10="","",IF(BX11="","和","、"))</f>
        <v/>
      </c>
    </row>
    <row r="10" ht="15" customHeight="1" spans="1:77">
      <c r="A10" s="123" t="str">
        <f>IF(B10="","",COUNT(A$6:A9)+1)</f>
        <v/>
      </c>
      <c r="B10" s="139"/>
      <c r="C10" s="141"/>
      <c r="D10" s="140"/>
      <c r="E10" s="141"/>
      <c r="F10" s="143"/>
      <c r="G10" s="142"/>
      <c r="H10" s="127" t="str">
        <f>IFERROR(VLOOKUP(G10,参数表!$H$2:$I$50,2,FALSE),"")</f>
        <v/>
      </c>
      <c r="I10" s="128" t="str">
        <f t="shared" si="3"/>
        <v/>
      </c>
      <c r="J10" s="128" t="str">
        <f t="shared" si="4"/>
        <v/>
      </c>
      <c r="K10" s="143"/>
      <c r="L10" s="143"/>
      <c r="M10" s="144"/>
      <c r="N10" s="129" t="str">
        <f t="shared" si="5"/>
        <v/>
      </c>
      <c r="O10" s="129" t="str">
        <f t="shared" si="0"/>
        <v/>
      </c>
      <c r="P10" s="129" t="str">
        <f t="shared" si="6"/>
        <v/>
      </c>
      <c r="Q10" s="129" t="str">
        <f t="shared" si="7"/>
        <v/>
      </c>
      <c r="R10" s="145"/>
      <c r="BA10" s="78"/>
      <c r="BB10" s="132" t="s">
        <v>3472</v>
      </c>
      <c r="BC10" s="133"/>
      <c r="BD10" s="132" t="str">
        <f>IF(OR(B10="",BC10=""),"",COUNTIF(BC$7:BC10,"√"))</f>
        <v/>
      </c>
      <c r="BE10" s="134" t="str">
        <f t="shared" si="1"/>
        <v/>
      </c>
      <c r="BF10" s="135" t="str">
        <f t="shared" si="8"/>
        <v/>
      </c>
      <c r="BG10" s="135" t="str">
        <f t="shared" si="8"/>
        <v/>
      </c>
      <c r="BH10" s="136"/>
      <c r="BI10" s="136"/>
      <c r="BJ10" s="136"/>
      <c r="BK10" s="136"/>
      <c r="BL10" s="136"/>
      <c r="BM10" s="137"/>
      <c r="BN10" s="137"/>
      <c r="BO10" s="165" t="s">
        <v>3469</v>
      </c>
      <c r="BR10" s="134" t="str">
        <f>IF(COUNTIF(BR$6:BR9,C10)&gt;0,"",C10)&amp;""</f>
        <v/>
      </c>
      <c r="BS10" s="138">
        <f t="shared" si="9"/>
        <v>0</v>
      </c>
      <c r="BT10" s="132">
        <f t="shared" si="10"/>
        <v>1</v>
      </c>
      <c r="BU10" s="138">
        <f t="shared" si="11"/>
        <v>0</v>
      </c>
      <c r="BV10" s="132">
        <f t="shared" si="12"/>
        <v>1</v>
      </c>
      <c r="BW10" s="132">
        <v>2</v>
      </c>
      <c r="BX10" s="134" t="str">
        <f t="shared" ref="BX10:BX13" si="13">IFERROR(INDEX(BR$7:BR$26,MATCH(BW10,IF(BW$7=0,BV$7:BV$26,BT$7:BT$26),0))&amp;"","")</f>
        <v/>
      </c>
      <c r="BY10" s="146" t="str">
        <f t="shared" ref="BY10:BY11" si="14">IF(BX11="","",IF(BX12="","和","、"))</f>
        <v/>
      </c>
    </row>
    <row r="11" ht="15" customHeight="1" spans="1:77">
      <c r="A11" s="123" t="str">
        <f>IF(B11="","",COUNT(A$6:A10)+1)</f>
        <v/>
      </c>
      <c r="B11" s="139"/>
      <c r="C11" s="141"/>
      <c r="D11" s="140"/>
      <c r="E11" s="141"/>
      <c r="F11" s="143"/>
      <c r="G11" s="142"/>
      <c r="H11" s="127" t="str">
        <f>IFERROR(VLOOKUP(G11,参数表!$H$2:$I$50,2,FALSE),"")</f>
        <v/>
      </c>
      <c r="I11" s="128" t="str">
        <f t="shared" si="3"/>
        <v/>
      </c>
      <c r="J11" s="128" t="str">
        <f t="shared" si="4"/>
        <v/>
      </c>
      <c r="K11" s="143"/>
      <c r="L11" s="143"/>
      <c r="M11" s="144"/>
      <c r="N11" s="129" t="str">
        <f t="shared" si="5"/>
        <v/>
      </c>
      <c r="O11" s="129" t="str">
        <f t="shared" si="0"/>
        <v/>
      </c>
      <c r="P11" s="129" t="str">
        <f t="shared" si="6"/>
        <v/>
      </c>
      <c r="Q11" s="129" t="str">
        <f t="shared" si="7"/>
        <v/>
      </c>
      <c r="R11" s="145"/>
      <c r="BA11" s="78"/>
      <c r="BB11" s="132" t="s">
        <v>3473</v>
      </c>
      <c r="BC11" s="133"/>
      <c r="BD11" s="132" t="str">
        <f>IF(OR(B11="",BC11=""),"",COUNTIF(BC$7:BC11,"√"))</f>
        <v/>
      </c>
      <c r="BE11" s="134" t="str">
        <f t="shared" si="1"/>
        <v/>
      </c>
      <c r="BF11" s="135" t="str">
        <f t="shared" si="8"/>
        <v/>
      </c>
      <c r="BG11" s="135" t="str">
        <f t="shared" si="8"/>
        <v/>
      </c>
      <c r="BH11" s="136"/>
      <c r="BI11" s="136"/>
      <c r="BJ11" s="136"/>
      <c r="BK11" s="136"/>
      <c r="BL11" s="136"/>
      <c r="BM11" s="137"/>
      <c r="BN11" s="137"/>
      <c r="BO11" s="165" t="s">
        <v>3469</v>
      </c>
      <c r="BR11" s="134" t="str">
        <f>IF(COUNTIF(BR$6:BR10,C11)&gt;0,"",C11)&amp;""</f>
        <v/>
      </c>
      <c r="BS11" s="138">
        <f t="shared" si="9"/>
        <v>0</v>
      </c>
      <c r="BT11" s="132">
        <f t="shared" si="10"/>
        <v>1</v>
      </c>
      <c r="BU11" s="138">
        <f t="shared" si="11"/>
        <v>0</v>
      </c>
      <c r="BV11" s="132">
        <f t="shared" si="12"/>
        <v>1</v>
      </c>
      <c r="BW11" s="132">
        <v>3</v>
      </c>
      <c r="BX11" s="134" t="str">
        <f t="shared" si="13"/>
        <v/>
      </c>
      <c r="BY11" s="146" t="str">
        <f t="shared" si="14"/>
        <v/>
      </c>
    </row>
    <row r="12" ht="15" customHeight="1" spans="1:77">
      <c r="A12" s="123" t="str">
        <f>IF(B12="","",COUNT(A$6:A11)+1)</f>
        <v/>
      </c>
      <c r="B12" s="139"/>
      <c r="C12" s="141"/>
      <c r="D12" s="140"/>
      <c r="E12" s="141"/>
      <c r="F12" s="143"/>
      <c r="G12" s="142"/>
      <c r="H12" s="127" t="str">
        <f>IFERROR(VLOOKUP(G12,参数表!$H$2:$I$50,2,FALSE),"")</f>
        <v/>
      </c>
      <c r="I12" s="128" t="str">
        <f t="shared" si="3"/>
        <v/>
      </c>
      <c r="J12" s="128" t="str">
        <f t="shared" si="4"/>
        <v/>
      </c>
      <c r="K12" s="143"/>
      <c r="L12" s="143"/>
      <c r="M12" s="144"/>
      <c r="N12" s="129" t="str">
        <f t="shared" si="5"/>
        <v/>
      </c>
      <c r="O12" s="129" t="str">
        <f t="shared" si="0"/>
        <v/>
      </c>
      <c r="P12" s="129" t="str">
        <f t="shared" si="6"/>
        <v/>
      </c>
      <c r="Q12" s="129" t="str">
        <f t="shared" si="7"/>
        <v/>
      </c>
      <c r="R12" s="145"/>
      <c r="BA12" s="78"/>
      <c r="BB12" s="132" t="s">
        <v>3474</v>
      </c>
      <c r="BC12" s="133"/>
      <c r="BD12" s="132" t="str">
        <f>IF(OR(B12="",BC12=""),"",COUNTIF(BC$7:BC12,"√"))</f>
        <v/>
      </c>
      <c r="BE12" s="134" t="str">
        <f t="shared" si="1"/>
        <v/>
      </c>
      <c r="BF12" s="135" t="str">
        <f t="shared" si="8"/>
        <v/>
      </c>
      <c r="BG12" s="135" t="str">
        <f t="shared" si="8"/>
        <v/>
      </c>
      <c r="BH12" s="136"/>
      <c r="BI12" s="136"/>
      <c r="BJ12" s="136"/>
      <c r="BK12" s="136"/>
      <c r="BL12" s="136"/>
      <c r="BM12" s="137"/>
      <c r="BN12" s="137"/>
      <c r="BO12" s="165" t="s">
        <v>3469</v>
      </c>
      <c r="BR12" s="134" t="str">
        <f>IF(COUNTIF(BR$6:BR11,C12)&gt;0,"",C12)&amp;""</f>
        <v/>
      </c>
      <c r="BS12" s="138">
        <f t="shared" si="9"/>
        <v>0</v>
      </c>
      <c r="BT12" s="132">
        <f t="shared" si="10"/>
        <v>1</v>
      </c>
      <c r="BU12" s="138">
        <f t="shared" si="11"/>
        <v>0</v>
      </c>
      <c r="BV12" s="132">
        <f t="shared" si="12"/>
        <v>1</v>
      </c>
      <c r="BW12" s="132">
        <v>4</v>
      </c>
      <c r="BX12" s="134" t="str">
        <f t="shared" si="13"/>
        <v/>
      </c>
      <c r="BY12" s="146" t="str">
        <f>IF(BX13="","","和")</f>
        <v/>
      </c>
    </row>
    <row r="13" ht="15" customHeight="1" spans="1:77">
      <c r="A13" s="123" t="str">
        <f>IF(B13="","",COUNT(A$6:A12)+1)</f>
        <v/>
      </c>
      <c r="B13" s="139"/>
      <c r="C13" s="141"/>
      <c r="D13" s="140"/>
      <c r="E13" s="141"/>
      <c r="F13" s="143"/>
      <c r="G13" s="142"/>
      <c r="H13" s="127" t="str">
        <f>IFERROR(VLOOKUP(G13,参数表!$H$2:$I$50,2,FALSE),"")</f>
        <v/>
      </c>
      <c r="I13" s="128" t="str">
        <f t="shared" si="3"/>
        <v/>
      </c>
      <c r="J13" s="128" t="str">
        <f t="shared" si="4"/>
        <v/>
      </c>
      <c r="K13" s="143"/>
      <c r="L13" s="143"/>
      <c r="M13" s="144"/>
      <c r="N13" s="129" t="str">
        <f t="shared" si="5"/>
        <v/>
      </c>
      <c r="O13" s="129" t="str">
        <f t="shared" si="0"/>
        <v/>
      </c>
      <c r="P13" s="129" t="str">
        <f t="shared" si="6"/>
        <v/>
      </c>
      <c r="Q13" s="129" t="str">
        <f t="shared" si="7"/>
        <v/>
      </c>
      <c r="R13" s="145"/>
      <c r="BA13" s="78"/>
      <c r="BB13" s="132" t="s">
        <v>3475</v>
      </c>
      <c r="BC13" s="133"/>
      <c r="BD13" s="132" t="str">
        <f>IF(OR(B13="",BC13=""),"",COUNTIF(BC$7:BC13,"√"))</f>
        <v/>
      </c>
      <c r="BE13" s="134" t="str">
        <f t="shared" si="1"/>
        <v/>
      </c>
      <c r="BF13" s="135" t="str">
        <f t="shared" si="8"/>
        <v/>
      </c>
      <c r="BG13" s="135" t="str">
        <f t="shared" si="8"/>
        <v/>
      </c>
      <c r="BH13" s="136"/>
      <c r="BI13" s="136"/>
      <c r="BJ13" s="136"/>
      <c r="BK13" s="136"/>
      <c r="BL13" s="136"/>
      <c r="BM13" s="137"/>
      <c r="BN13" s="137"/>
      <c r="BO13" s="165" t="s">
        <v>3469</v>
      </c>
      <c r="BR13" s="134" t="str">
        <f>IF(COUNTIF(BR$6:BR12,C13)&gt;0,"",C13)&amp;""</f>
        <v/>
      </c>
      <c r="BS13" s="138">
        <f t="shared" si="9"/>
        <v>0</v>
      </c>
      <c r="BT13" s="132">
        <f t="shared" si="10"/>
        <v>1</v>
      </c>
      <c r="BU13" s="138">
        <f t="shared" si="11"/>
        <v>0</v>
      </c>
      <c r="BV13" s="132">
        <f t="shared" si="12"/>
        <v>1</v>
      </c>
      <c r="BW13" s="132">
        <v>5</v>
      </c>
      <c r="BX13" s="134" t="str">
        <f t="shared" si="13"/>
        <v/>
      </c>
      <c r="BY13" s="146"/>
    </row>
    <row r="14" ht="15" customHeight="1" spans="1:77">
      <c r="A14" s="123" t="str">
        <f>IF(B14="","",COUNT(A$6:A13)+1)</f>
        <v/>
      </c>
      <c r="B14" s="139"/>
      <c r="C14" s="141"/>
      <c r="D14" s="140"/>
      <c r="E14" s="141"/>
      <c r="F14" s="143"/>
      <c r="G14" s="142"/>
      <c r="H14" s="127" t="str">
        <f>IFERROR(VLOOKUP(G14,参数表!$H$2:$I$50,2,FALSE),"")</f>
        <v/>
      </c>
      <c r="I14" s="128" t="str">
        <f t="shared" si="3"/>
        <v/>
      </c>
      <c r="J14" s="128" t="str">
        <f t="shared" si="4"/>
        <v/>
      </c>
      <c r="K14" s="143"/>
      <c r="L14" s="143"/>
      <c r="M14" s="144"/>
      <c r="N14" s="129" t="str">
        <f t="shared" si="5"/>
        <v/>
      </c>
      <c r="O14" s="129" t="str">
        <f t="shared" si="0"/>
        <v/>
      </c>
      <c r="P14" s="129" t="str">
        <f t="shared" si="6"/>
        <v/>
      </c>
      <c r="Q14" s="129" t="str">
        <f t="shared" si="7"/>
        <v/>
      </c>
      <c r="R14" s="145"/>
      <c r="BA14" s="78"/>
      <c r="BB14" s="132" t="s">
        <v>3476</v>
      </c>
      <c r="BC14" s="133"/>
      <c r="BD14" s="132" t="str">
        <f>IF(OR(B14="",BC14=""),"",COUNTIF(BC$7:BC14,"√"))</f>
        <v/>
      </c>
      <c r="BE14" s="134" t="str">
        <f t="shared" si="1"/>
        <v/>
      </c>
      <c r="BF14" s="135" t="str">
        <f t="shared" si="8"/>
        <v/>
      </c>
      <c r="BG14" s="135" t="str">
        <f t="shared" si="8"/>
        <v/>
      </c>
      <c r="BH14" s="136"/>
      <c r="BI14" s="136"/>
      <c r="BJ14" s="136"/>
      <c r="BK14" s="136"/>
      <c r="BL14" s="136"/>
      <c r="BM14" s="137"/>
      <c r="BN14" s="137"/>
      <c r="BO14" s="165" t="s">
        <v>3469</v>
      </c>
      <c r="BR14" s="134" t="str">
        <f>IF(COUNTIF(BR$6:BR13,C14)&gt;0,"",C14)&amp;""</f>
        <v/>
      </c>
      <c r="BS14" s="138">
        <f t="shared" si="9"/>
        <v>0</v>
      </c>
      <c r="BT14" s="132">
        <f t="shared" si="10"/>
        <v>1</v>
      </c>
      <c r="BU14" s="138">
        <f t="shared" si="11"/>
        <v>0</v>
      </c>
      <c r="BV14" s="132">
        <f t="shared" si="12"/>
        <v>1</v>
      </c>
      <c r="BW14" s="147" t="s">
        <v>1659</v>
      </c>
      <c r="BX14" s="132" t="str">
        <f>CONCATENATE(BX9,BY9,BX10,BY10,BX11,BY11,BX12,BY12,BX13)</f>
        <v/>
      </c>
      <c r="BY14" s="132"/>
    </row>
    <row r="15" ht="15" customHeight="1" spans="1:77">
      <c r="A15" s="123" t="str">
        <f>IF(B15="","",COUNT(A$6:A14)+1)</f>
        <v/>
      </c>
      <c r="B15" s="139"/>
      <c r="C15" s="141"/>
      <c r="D15" s="140"/>
      <c r="E15" s="141"/>
      <c r="F15" s="143"/>
      <c r="G15" s="142"/>
      <c r="H15" s="127" t="str">
        <f>IFERROR(VLOOKUP(G15,参数表!$H$2:$I$50,2,FALSE),"")</f>
        <v/>
      </c>
      <c r="I15" s="128" t="str">
        <f t="shared" si="3"/>
        <v/>
      </c>
      <c r="J15" s="128" t="str">
        <f t="shared" si="4"/>
        <v/>
      </c>
      <c r="K15" s="143"/>
      <c r="L15" s="143"/>
      <c r="M15" s="144"/>
      <c r="N15" s="129" t="str">
        <f t="shared" si="5"/>
        <v/>
      </c>
      <c r="O15" s="129" t="str">
        <f t="shared" si="0"/>
        <v/>
      </c>
      <c r="P15" s="129" t="str">
        <f t="shared" si="6"/>
        <v/>
      </c>
      <c r="Q15" s="129" t="str">
        <f t="shared" si="7"/>
        <v/>
      </c>
      <c r="R15" s="145"/>
      <c r="BA15" s="78"/>
      <c r="BB15" s="132" t="s">
        <v>3477</v>
      </c>
      <c r="BC15" s="133"/>
      <c r="BD15" s="132" t="str">
        <f>IF(OR(B15="",BC15=""),"",COUNTIF(BC$7:BC15,"√"))</f>
        <v/>
      </c>
      <c r="BE15" s="134" t="str">
        <f t="shared" si="1"/>
        <v/>
      </c>
      <c r="BF15" s="135" t="str">
        <f t="shared" si="8"/>
        <v/>
      </c>
      <c r="BG15" s="135" t="str">
        <f t="shared" si="8"/>
        <v/>
      </c>
      <c r="BH15" s="136"/>
      <c r="BI15" s="136"/>
      <c r="BJ15" s="136"/>
      <c r="BK15" s="136"/>
      <c r="BL15" s="136"/>
      <c r="BM15" s="137"/>
      <c r="BN15" s="137"/>
      <c r="BO15" s="165" t="s">
        <v>3469</v>
      </c>
      <c r="BR15" s="134" t="str">
        <f>IF(COUNTIF(BR$6:BR14,C15)&gt;0,"",C15)&amp;""</f>
        <v/>
      </c>
      <c r="BS15" s="138">
        <f t="shared" si="9"/>
        <v>0</v>
      </c>
      <c r="BT15" s="132">
        <f t="shared" si="10"/>
        <v>1</v>
      </c>
      <c r="BU15" s="138">
        <f t="shared" si="11"/>
        <v>0</v>
      </c>
      <c r="BV15" s="132">
        <f t="shared" si="12"/>
        <v>1</v>
      </c>
      <c r="BW15" s="133"/>
      <c r="BX15" s="133"/>
    </row>
    <row r="16" ht="15" customHeight="1" spans="1:77">
      <c r="A16" s="123" t="str">
        <f>IF(B16="","",COUNT(A$6:A15)+1)</f>
        <v/>
      </c>
      <c r="B16" s="139"/>
      <c r="C16" s="141"/>
      <c r="D16" s="140"/>
      <c r="E16" s="141"/>
      <c r="F16" s="143"/>
      <c r="G16" s="142"/>
      <c r="H16" s="127" t="str">
        <f>IFERROR(VLOOKUP(G16,参数表!$H$2:$I$50,2,FALSE),"")</f>
        <v/>
      </c>
      <c r="I16" s="128" t="str">
        <f t="shared" si="3"/>
        <v/>
      </c>
      <c r="J16" s="128" t="str">
        <f t="shared" si="4"/>
        <v/>
      </c>
      <c r="K16" s="143"/>
      <c r="L16" s="143"/>
      <c r="M16" s="144"/>
      <c r="N16" s="129" t="str">
        <f t="shared" si="5"/>
        <v/>
      </c>
      <c r="O16" s="129" t="str">
        <f t="shared" si="0"/>
        <v/>
      </c>
      <c r="P16" s="129" t="str">
        <f t="shared" si="6"/>
        <v/>
      </c>
      <c r="Q16" s="129" t="str">
        <f t="shared" si="7"/>
        <v/>
      </c>
      <c r="R16" s="145"/>
      <c r="BA16" s="78"/>
      <c r="BB16" s="132" t="s">
        <v>3478</v>
      </c>
      <c r="BC16" s="133"/>
      <c r="BD16" s="132" t="str">
        <f>IF(OR(B16="",BC16=""),"",COUNTIF(BC$7:BC16,"√"))</f>
        <v/>
      </c>
      <c r="BE16" s="134" t="str">
        <f t="shared" si="1"/>
        <v/>
      </c>
      <c r="BF16" s="135" t="str">
        <f t="shared" si="8"/>
        <v/>
      </c>
      <c r="BG16" s="135" t="str">
        <f t="shared" si="8"/>
        <v/>
      </c>
      <c r="BH16" s="136"/>
      <c r="BI16" s="136"/>
      <c r="BJ16" s="136"/>
      <c r="BK16" s="136"/>
      <c r="BL16" s="136"/>
      <c r="BM16" s="137"/>
      <c r="BN16" s="137"/>
      <c r="BO16" s="165" t="s">
        <v>3469</v>
      </c>
      <c r="BR16" s="134" t="str">
        <f>IF(COUNTIF(BR$6:BR15,C16)&gt;0,"",C16)&amp;""</f>
        <v/>
      </c>
      <c r="BS16" s="138">
        <f t="shared" si="9"/>
        <v>0</v>
      </c>
      <c r="BT16" s="132">
        <f t="shared" si="10"/>
        <v>1</v>
      </c>
      <c r="BU16" s="138">
        <f t="shared" si="11"/>
        <v>0</v>
      </c>
      <c r="BV16" s="132">
        <f t="shared" si="12"/>
        <v>1</v>
      </c>
      <c r="BW16" s="133"/>
      <c r="BX16" s="148"/>
    </row>
    <row r="17" ht="15" customHeight="1" spans="1:77">
      <c r="A17" s="123" t="str">
        <f>IF(B17="","",COUNT(A$6:A16)+1)</f>
        <v/>
      </c>
      <c r="B17" s="139"/>
      <c r="C17" s="141"/>
      <c r="D17" s="140"/>
      <c r="E17" s="141"/>
      <c r="F17" s="143"/>
      <c r="G17" s="142"/>
      <c r="H17" s="127" t="str">
        <f>IFERROR(VLOOKUP(G17,参数表!$H$2:$I$50,2,FALSE),"")</f>
        <v/>
      </c>
      <c r="I17" s="128" t="str">
        <f t="shared" si="3"/>
        <v/>
      </c>
      <c r="J17" s="128" t="str">
        <f t="shared" si="4"/>
        <v/>
      </c>
      <c r="K17" s="143"/>
      <c r="L17" s="143"/>
      <c r="M17" s="144"/>
      <c r="N17" s="129" t="str">
        <f t="shared" si="5"/>
        <v/>
      </c>
      <c r="O17" s="129" t="str">
        <f t="shared" si="0"/>
        <v/>
      </c>
      <c r="P17" s="129" t="str">
        <f t="shared" si="6"/>
        <v/>
      </c>
      <c r="Q17" s="129" t="str">
        <f t="shared" si="7"/>
        <v/>
      </c>
      <c r="R17" s="145"/>
      <c r="BA17" s="78"/>
      <c r="BB17" s="132" t="s">
        <v>3479</v>
      </c>
      <c r="BC17" s="133"/>
      <c r="BD17" s="132" t="str">
        <f>IF(OR(B17="",BC17=""),"",COUNTIF(BC$7:BC17,"√"))</f>
        <v/>
      </c>
      <c r="BE17" s="134" t="str">
        <f t="shared" si="1"/>
        <v/>
      </c>
      <c r="BF17" s="135" t="str">
        <f t="shared" si="8"/>
        <v/>
      </c>
      <c r="BG17" s="135" t="str">
        <f t="shared" si="8"/>
        <v/>
      </c>
      <c r="BH17" s="136"/>
      <c r="BI17" s="136"/>
      <c r="BJ17" s="136"/>
      <c r="BK17" s="136"/>
      <c r="BL17" s="136"/>
      <c r="BM17" s="137"/>
      <c r="BN17" s="137"/>
      <c r="BO17" s="165" t="s">
        <v>3469</v>
      </c>
      <c r="BR17" s="134" t="str">
        <f>IF(COUNTIF(BR$6:BR16,C17)&gt;0,"",C17)&amp;""</f>
        <v/>
      </c>
      <c r="BS17" s="138">
        <f t="shared" si="9"/>
        <v>0</v>
      </c>
      <c r="BT17" s="132">
        <f t="shared" si="10"/>
        <v>1</v>
      </c>
      <c r="BU17" s="138">
        <f t="shared" si="11"/>
        <v>0</v>
      </c>
      <c r="BV17" s="132">
        <f t="shared" si="12"/>
        <v>1</v>
      </c>
      <c r="BW17" s="133"/>
      <c r="BX17" s="133"/>
    </row>
    <row r="18" ht="15" customHeight="1" spans="1:77">
      <c r="A18" s="123" t="str">
        <f>IF(B18="","",COUNT(A$6:A17)+1)</f>
        <v/>
      </c>
      <c r="B18" s="139"/>
      <c r="C18" s="141"/>
      <c r="D18" s="140"/>
      <c r="E18" s="141"/>
      <c r="F18" s="143"/>
      <c r="G18" s="142"/>
      <c r="H18" s="127" t="str">
        <f>IFERROR(VLOOKUP(G18,参数表!$H$2:$I$50,2,FALSE),"")</f>
        <v/>
      </c>
      <c r="I18" s="128" t="str">
        <f t="shared" si="3"/>
        <v/>
      </c>
      <c r="J18" s="128" t="str">
        <f t="shared" si="4"/>
        <v/>
      </c>
      <c r="K18" s="143"/>
      <c r="L18" s="143"/>
      <c r="M18" s="144"/>
      <c r="N18" s="129" t="str">
        <f t="shared" si="5"/>
        <v/>
      </c>
      <c r="O18" s="129" t="str">
        <f t="shared" si="0"/>
        <v/>
      </c>
      <c r="P18" s="129" t="str">
        <f t="shared" si="6"/>
        <v/>
      </c>
      <c r="Q18" s="129" t="str">
        <f t="shared" si="7"/>
        <v/>
      </c>
      <c r="R18" s="145"/>
      <c r="BA18" s="78"/>
      <c r="BB18" s="132" t="s">
        <v>3480</v>
      </c>
      <c r="BC18" s="133"/>
      <c r="BD18" s="132" t="str">
        <f>IF(OR(B18="",BC18=""),"",COUNTIF(BC$7:BC18,"√"))</f>
        <v/>
      </c>
      <c r="BE18" s="134" t="str">
        <f t="shared" si="1"/>
        <v/>
      </c>
      <c r="BF18" s="135" t="str">
        <f t="shared" si="8"/>
        <v/>
      </c>
      <c r="BG18" s="135" t="str">
        <f t="shared" si="8"/>
        <v/>
      </c>
      <c r="BH18" s="136"/>
      <c r="BI18" s="136"/>
      <c r="BJ18" s="136"/>
      <c r="BK18" s="136"/>
      <c r="BL18" s="136"/>
      <c r="BM18" s="137"/>
      <c r="BN18" s="137"/>
      <c r="BO18" s="165" t="s">
        <v>3469</v>
      </c>
      <c r="BR18" s="134" t="str">
        <f>IF(COUNTIF(BR$6:BR17,C18)&gt;0,"",C18)&amp;""</f>
        <v/>
      </c>
      <c r="BS18" s="138">
        <f t="shared" si="9"/>
        <v>0</v>
      </c>
      <c r="BT18" s="132">
        <f t="shared" si="10"/>
        <v>1</v>
      </c>
      <c r="BU18" s="138">
        <f t="shared" si="11"/>
        <v>0</v>
      </c>
      <c r="BV18" s="132">
        <f t="shared" si="12"/>
        <v>1</v>
      </c>
      <c r="BW18" s="133"/>
      <c r="BX18" s="133"/>
    </row>
    <row r="19" ht="15" customHeight="1" spans="1:77">
      <c r="A19" s="123" t="str">
        <f>IF(B19="","",COUNT(A$6:A18)+1)</f>
        <v/>
      </c>
      <c r="B19" s="139"/>
      <c r="C19" s="141"/>
      <c r="D19" s="140"/>
      <c r="E19" s="141"/>
      <c r="F19" s="143"/>
      <c r="G19" s="142"/>
      <c r="H19" s="127" t="str">
        <f>IFERROR(VLOOKUP(G19,参数表!$H$2:$I$50,2,FALSE),"")</f>
        <v/>
      </c>
      <c r="I19" s="128" t="str">
        <f t="shared" si="3"/>
        <v/>
      </c>
      <c r="J19" s="128" t="str">
        <f t="shared" si="4"/>
        <v/>
      </c>
      <c r="K19" s="143"/>
      <c r="L19" s="143"/>
      <c r="M19" s="144"/>
      <c r="N19" s="129" t="str">
        <f t="shared" si="5"/>
        <v/>
      </c>
      <c r="O19" s="129" t="str">
        <f t="shared" si="0"/>
        <v/>
      </c>
      <c r="P19" s="129" t="str">
        <f t="shared" si="6"/>
        <v/>
      </c>
      <c r="Q19" s="129" t="str">
        <f t="shared" si="7"/>
        <v/>
      </c>
      <c r="R19" s="145"/>
      <c r="BA19" s="78"/>
      <c r="BB19" s="132" t="s">
        <v>3481</v>
      </c>
      <c r="BC19" s="133"/>
      <c r="BD19" s="132" t="str">
        <f>IF(OR(B19="",BC19=""),"",COUNTIF(BC$7:BC19,"√"))</f>
        <v/>
      </c>
      <c r="BE19" s="134" t="str">
        <f t="shared" si="1"/>
        <v/>
      </c>
      <c r="BF19" s="135" t="str">
        <f t="shared" si="8"/>
        <v/>
      </c>
      <c r="BG19" s="135" t="str">
        <f t="shared" si="8"/>
        <v/>
      </c>
      <c r="BH19" s="136"/>
      <c r="BI19" s="136"/>
      <c r="BJ19" s="136"/>
      <c r="BK19" s="136"/>
      <c r="BL19" s="136"/>
      <c r="BM19" s="137"/>
      <c r="BN19" s="137"/>
      <c r="BO19" s="165" t="s">
        <v>3469</v>
      </c>
      <c r="BR19" s="134" t="str">
        <f>IF(COUNTIF(BR$6:BR18,C19)&gt;0,"",C19)&amp;""</f>
        <v/>
      </c>
      <c r="BS19" s="138">
        <f t="shared" si="9"/>
        <v>0</v>
      </c>
      <c r="BT19" s="132">
        <f t="shared" si="10"/>
        <v>1</v>
      </c>
      <c r="BU19" s="138">
        <f t="shared" si="11"/>
        <v>0</v>
      </c>
      <c r="BV19" s="132">
        <f t="shared" si="12"/>
        <v>1</v>
      </c>
      <c r="BW19" s="133"/>
      <c r="BX19" s="133"/>
    </row>
    <row r="20" ht="15" customHeight="1" spans="1:77">
      <c r="A20" s="123" t="str">
        <f>IF(B20="","",COUNT(A$6:A19)+1)</f>
        <v/>
      </c>
      <c r="B20" s="139"/>
      <c r="C20" s="141"/>
      <c r="D20" s="140"/>
      <c r="E20" s="141"/>
      <c r="F20" s="143"/>
      <c r="G20" s="142"/>
      <c r="H20" s="127" t="str">
        <f>IFERROR(VLOOKUP(G20,参数表!$H$2:$I$50,2,FALSE),"")</f>
        <v/>
      </c>
      <c r="I20" s="128" t="str">
        <f t="shared" si="3"/>
        <v/>
      </c>
      <c r="J20" s="128" t="str">
        <f t="shared" si="4"/>
        <v/>
      </c>
      <c r="K20" s="143"/>
      <c r="L20" s="143"/>
      <c r="M20" s="144"/>
      <c r="N20" s="129" t="str">
        <f t="shared" si="5"/>
        <v/>
      </c>
      <c r="O20" s="129" t="str">
        <f t="shared" si="0"/>
        <v/>
      </c>
      <c r="P20" s="129" t="str">
        <f t="shared" si="6"/>
        <v/>
      </c>
      <c r="Q20" s="129" t="str">
        <f t="shared" si="7"/>
        <v/>
      </c>
      <c r="R20" s="145"/>
      <c r="BA20" s="78"/>
      <c r="BB20" s="132" t="s">
        <v>3482</v>
      </c>
      <c r="BC20" s="133"/>
      <c r="BD20" s="132" t="str">
        <f>IF(OR(B20="",BC20=""),"",COUNTIF(BC$7:BC20,"√"))</f>
        <v/>
      </c>
      <c r="BE20" s="134" t="str">
        <f t="shared" si="1"/>
        <v/>
      </c>
      <c r="BF20" s="135" t="str">
        <f t="shared" si="8"/>
        <v/>
      </c>
      <c r="BG20" s="135" t="str">
        <f t="shared" si="8"/>
        <v/>
      </c>
      <c r="BH20" s="136"/>
      <c r="BI20" s="136"/>
      <c r="BJ20" s="136"/>
      <c r="BK20" s="136"/>
      <c r="BL20" s="136"/>
      <c r="BM20" s="137"/>
      <c r="BN20" s="137"/>
      <c r="BO20" s="165" t="s">
        <v>3469</v>
      </c>
      <c r="BR20" s="134" t="str">
        <f>IF(COUNTIF(BR$6:BR19,C20)&gt;0,"",C20)&amp;""</f>
        <v/>
      </c>
      <c r="BS20" s="138">
        <f t="shared" si="9"/>
        <v>0</v>
      </c>
      <c r="BT20" s="132">
        <f t="shared" si="10"/>
        <v>1</v>
      </c>
      <c r="BU20" s="138">
        <f t="shared" si="11"/>
        <v>0</v>
      </c>
      <c r="BV20" s="132">
        <f t="shared" si="12"/>
        <v>1</v>
      </c>
      <c r="BW20" s="133"/>
      <c r="BX20" s="133"/>
    </row>
    <row r="21" ht="15" customHeight="1" spans="1:77">
      <c r="A21" s="123" t="str">
        <f>IF(B21="","",COUNT(A$6:A20)+1)</f>
        <v/>
      </c>
      <c r="B21" s="139"/>
      <c r="C21" s="141"/>
      <c r="D21" s="140"/>
      <c r="E21" s="141"/>
      <c r="F21" s="143"/>
      <c r="G21" s="142"/>
      <c r="H21" s="127" t="str">
        <f>IFERROR(VLOOKUP(G21,参数表!$H$2:$I$50,2,FALSE),"")</f>
        <v/>
      </c>
      <c r="I21" s="128" t="str">
        <f t="shared" si="3"/>
        <v/>
      </c>
      <c r="J21" s="128" t="str">
        <f t="shared" si="4"/>
        <v/>
      </c>
      <c r="K21" s="143"/>
      <c r="L21" s="143"/>
      <c r="M21" s="144"/>
      <c r="N21" s="129" t="str">
        <f t="shared" si="5"/>
        <v/>
      </c>
      <c r="O21" s="129" t="str">
        <f t="shared" si="0"/>
        <v/>
      </c>
      <c r="P21" s="129" t="str">
        <f t="shared" si="6"/>
        <v/>
      </c>
      <c r="Q21" s="129" t="str">
        <f t="shared" si="7"/>
        <v/>
      </c>
      <c r="R21" s="145"/>
      <c r="BA21" s="78"/>
      <c r="BB21" s="132" t="s">
        <v>3483</v>
      </c>
      <c r="BC21" s="133"/>
      <c r="BD21" s="132" t="str">
        <f>IF(OR(B21="",BC21=""),"",COUNTIF(BC$7:BC21,"√"))</f>
        <v/>
      </c>
      <c r="BE21" s="134" t="str">
        <f t="shared" si="1"/>
        <v/>
      </c>
      <c r="BF21" s="135" t="str">
        <f t="shared" si="8"/>
        <v/>
      </c>
      <c r="BG21" s="135" t="str">
        <f t="shared" si="8"/>
        <v/>
      </c>
      <c r="BH21" s="136"/>
      <c r="BI21" s="136"/>
      <c r="BJ21" s="136"/>
      <c r="BK21" s="136"/>
      <c r="BL21" s="136"/>
      <c r="BM21" s="137"/>
      <c r="BN21" s="137"/>
      <c r="BO21" s="165" t="s">
        <v>3469</v>
      </c>
      <c r="BR21" s="134" t="str">
        <f>IF(COUNTIF(BR$6:BR20,C21)&gt;0,"",C21)&amp;""</f>
        <v/>
      </c>
      <c r="BS21" s="138">
        <f t="shared" si="9"/>
        <v>0</v>
      </c>
      <c r="BT21" s="132">
        <f t="shared" si="10"/>
        <v>1</v>
      </c>
      <c r="BU21" s="138">
        <f t="shared" si="11"/>
        <v>0</v>
      </c>
      <c r="BV21" s="132">
        <f t="shared" si="12"/>
        <v>1</v>
      </c>
      <c r="BW21" s="133"/>
      <c r="BX21" s="133"/>
    </row>
    <row r="22" ht="15" customHeight="1" spans="1:77">
      <c r="A22" s="123" t="str">
        <f>IF(B22="","",COUNT(A$6:A21)+1)</f>
        <v/>
      </c>
      <c r="B22" s="139"/>
      <c r="C22" s="141"/>
      <c r="D22" s="140"/>
      <c r="E22" s="141"/>
      <c r="F22" s="143"/>
      <c r="G22" s="142"/>
      <c r="H22" s="127" t="str">
        <f>IFERROR(VLOOKUP(G22,参数表!$H$2:$I$50,2,FALSE),"")</f>
        <v/>
      </c>
      <c r="I22" s="128" t="str">
        <f t="shared" si="3"/>
        <v/>
      </c>
      <c r="J22" s="128" t="str">
        <f t="shared" si="4"/>
        <v/>
      </c>
      <c r="K22" s="143"/>
      <c r="L22" s="143"/>
      <c r="M22" s="144"/>
      <c r="N22" s="129" t="str">
        <f t="shared" si="5"/>
        <v/>
      </c>
      <c r="O22" s="129" t="str">
        <f t="shared" si="0"/>
        <v/>
      </c>
      <c r="P22" s="129" t="str">
        <f t="shared" si="6"/>
        <v/>
      </c>
      <c r="Q22" s="129" t="str">
        <f t="shared" si="7"/>
        <v/>
      </c>
      <c r="R22" s="145"/>
      <c r="BA22" s="78"/>
      <c r="BB22" s="132" t="s">
        <v>3484</v>
      </c>
      <c r="BC22" s="133"/>
      <c r="BD22" s="132" t="str">
        <f>IF(OR(B22="",BC22=""),"",COUNTIF(BC$7:BC22,"√"))</f>
        <v/>
      </c>
      <c r="BE22" s="134" t="str">
        <f t="shared" si="1"/>
        <v/>
      </c>
      <c r="BF22" s="135" t="str">
        <f t="shared" si="8"/>
        <v/>
      </c>
      <c r="BG22" s="135" t="str">
        <f t="shared" si="8"/>
        <v/>
      </c>
      <c r="BH22" s="136"/>
      <c r="BI22" s="136"/>
      <c r="BJ22" s="136"/>
      <c r="BK22" s="136"/>
      <c r="BL22" s="136"/>
      <c r="BM22" s="137"/>
      <c r="BN22" s="137"/>
      <c r="BO22" s="165" t="s">
        <v>3469</v>
      </c>
      <c r="BR22" s="134" t="str">
        <f>IF(COUNTIF(BR$6:BR21,C22)&gt;0,"",C22)&amp;""</f>
        <v/>
      </c>
      <c r="BS22" s="138">
        <f t="shared" si="9"/>
        <v>0</v>
      </c>
      <c r="BT22" s="132">
        <f t="shared" si="10"/>
        <v>1</v>
      </c>
      <c r="BU22" s="138">
        <f t="shared" si="11"/>
        <v>0</v>
      </c>
      <c r="BV22" s="132">
        <f t="shared" si="12"/>
        <v>1</v>
      </c>
      <c r="BW22" s="133"/>
      <c r="BX22" s="133"/>
    </row>
    <row r="23" ht="15" customHeight="1" spans="1:77">
      <c r="A23" s="123" t="str">
        <f>IF(B23="","",COUNT(A$6:A22)+1)</f>
        <v/>
      </c>
      <c r="B23" s="139"/>
      <c r="C23" s="141"/>
      <c r="D23" s="140"/>
      <c r="E23" s="141"/>
      <c r="F23" s="143"/>
      <c r="G23" s="142"/>
      <c r="H23" s="127" t="str">
        <f>IFERROR(VLOOKUP(G23,参数表!$H$2:$I$50,2,FALSE),"")</f>
        <v/>
      </c>
      <c r="I23" s="128" t="str">
        <f t="shared" si="3"/>
        <v/>
      </c>
      <c r="J23" s="128" t="str">
        <f t="shared" si="4"/>
        <v/>
      </c>
      <c r="K23" s="143"/>
      <c r="L23" s="143"/>
      <c r="M23" s="144"/>
      <c r="N23" s="129" t="str">
        <f t="shared" si="5"/>
        <v/>
      </c>
      <c r="O23" s="129" t="str">
        <f t="shared" si="0"/>
        <v/>
      </c>
      <c r="P23" s="129" t="str">
        <f t="shared" si="6"/>
        <v/>
      </c>
      <c r="Q23" s="129" t="str">
        <f t="shared" si="7"/>
        <v/>
      </c>
      <c r="R23" s="145"/>
      <c r="BA23" s="78"/>
      <c r="BB23" s="132" t="s">
        <v>3485</v>
      </c>
      <c r="BC23" s="133"/>
      <c r="BD23" s="132" t="str">
        <f>IF(OR(B23="",BC23=""),"",COUNTIF(BC$7:BC23,"√"))</f>
        <v/>
      </c>
      <c r="BE23" s="134" t="str">
        <f t="shared" si="1"/>
        <v/>
      </c>
      <c r="BF23" s="135" t="str">
        <f t="shared" si="8"/>
        <v/>
      </c>
      <c r="BG23" s="135" t="str">
        <f t="shared" si="8"/>
        <v/>
      </c>
      <c r="BH23" s="136"/>
      <c r="BI23" s="136"/>
      <c r="BJ23" s="136"/>
      <c r="BK23" s="136"/>
      <c r="BL23" s="136"/>
      <c r="BM23" s="137"/>
      <c r="BN23" s="137"/>
      <c r="BO23" s="165" t="s">
        <v>3469</v>
      </c>
      <c r="BR23" s="134" t="str">
        <f>IF(COUNTIF(BR$6:BR22,C23)&gt;0,"",C23)&amp;""</f>
        <v/>
      </c>
      <c r="BS23" s="138">
        <f t="shared" si="9"/>
        <v>0</v>
      </c>
      <c r="BT23" s="132">
        <f t="shared" si="10"/>
        <v>1</v>
      </c>
      <c r="BU23" s="138">
        <f t="shared" si="11"/>
        <v>0</v>
      </c>
      <c r="BV23" s="132">
        <f t="shared" si="12"/>
        <v>1</v>
      </c>
      <c r="BW23" s="133"/>
      <c r="BX23" s="133"/>
    </row>
    <row r="24" ht="15" customHeight="1" spans="1:77">
      <c r="A24" s="123" t="str">
        <f>IF(B24="","",COUNT(A$6:A23)+1)</f>
        <v/>
      </c>
      <c r="B24" s="139"/>
      <c r="C24" s="141"/>
      <c r="D24" s="140"/>
      <c r="E24" s="141"/>
      <c r="F24" s="143"/>
      <c r="G24" s="142"/>
      <c r="H24" s="127" t="str">
        <f>IFERROR(VLOOKUP(G24,参数表!$H$2:$I$50,2,FALSE),"")</f>
        <v/>
      </c>
      <c r="I24" s="128" t="str">
        <f t="shared" si="3"/>
        <v/>
      </c>
      <c r="J24" s="128" t="str">
        <f t="shared" si="4"/>
        <v/>
      </c>
      <c r="K24" s="143"/>
      <c r="L24" s="143"/>
      <c r="M24" s="144"/>
      <c r="N24" s="129" t="str">
        <f t="shared" si="5"/>
        <v/>
      </c>
      <c r="O24" s="129" t="str">
        <f t="shared" si="0"/>
        <v/>
      </c>
      <c r="P24" s="129" t="str">
        <f t="shared" si="6"/>
        <v/>
      </c>
      <c r="Q24" s="129" t="str">
        <f t="shared" si="7"/>
        <v/>
      </c>
      <c r="R24" s="145"/>
      <c r="BA24" s="78"/>
      <c r="BB24" s="132" t="s">
        <v>3486</v>
      </c>
      <c r="BC24" s="133"/>
      <c r="BD24" s="132" t="str">
        <f>IF(OR(B24="",BC24=""),"",COUNTIF(BC$7:BC24,"√"))</f>
        <v/>
      </c>
      <c r="BE24" s="134" t="str">
        <f t="shared" si="1"/>
        <v/>
      </c>
      <c r="BF24" s="135" t="str">
        <f t="shared" si="8"/>
        <v/>
      </c>
      <c r="BG24" s="135" t="str">
        <f t="shared" si="8"/>
        <v/>
      </c>
      <c r="BH24" s="136"/>
      <c r="BI24" s="136"/>
      <c r="BJ24" s="136"/>
      <c r="BK24" s="136"/>
      <c r="BL24" s="136"/>
      <c r="BM24" s="137"/>
      <c r="BN24" s="137"/>
      <c r="BO24" s="165" t="s">
        <v>3469</v>
      </c>
      <c r="BR24" s="134" t="str">
        <f>IF(COUNTIF(BR$6:BR23,C24)&gt;0,"",C24)&amp;""</f>
        <v/>
      </c>
      <c r="BS24" s="138">
        <f t="shared" si="9"/>
        <v>0</v>
      </c>
      <c r="BT24" s="132">
        <f t="shared" si="10"/>
        <v>1</v>
      </c>
      <c r="BU24" s="138">
        <f t="shared" si="11"/>
        <v>0</v>
      </c>
      <c r="BV24" s="132">
        <f t="shared" si="12"/>
        <v>1</v>
      </c>
      <c r="BW24" s="133"/>
      <c r="BX24" s="133"/>
    </row>
    <row r="25" ht="15" customHeight="1" spans="1:77">
      <c r="A25" s="123" t="str">
        <f>IF(B25="","",COUNT(A$6:A24)+1)</f>
        <v/>
      </c>
      <c r="B25" s="139"/>
      <c r="C25" s="141"/>
      <c r="D25" s="140"/>
      <c r="E25" s="141"/>
      <c r="F25" s="143"/>
      <c r="G25" s="142"/>
      <c r="H25" s="127" t="str">
        <f>IFERROR(VLOOKUP(G25,参数表!$H$2:$I$50,2,FALSE),"")</f>
        <v/>
      </c>
      <c r="I25" s="128" t="str">
        <f t="shared" si="3"/>
        <v/>
      </c>
      <c r="J25" s="128" t="str">
        <f t="shared" si="4"/>
        <v/>
      </c>
      <c r="K25" s="143"/>
      <c r="L25" s="143"/>
      <c r="M25" s="144"/>
      <c r="N25" s="129" t="str">
        <f t="shared" si="5"/>
        <v/>
      </c>
      <c r="O25" s="129" t="str">
        <f t="shared" si="0"/>
        <v/>
      </c>
      <c r="P25" s="129" t="str">
        <f t="shared" si="6"/>
        <v/>
      </c>
      <c r="Q25" s="129" t="str">
        <f t="shared" si="7"/>
        <v/>
      </c>
      <c r="R25" s="145"/>
      <c r="BA25" s="78"/>
      <c r="BB25" s="132" t="s">
        <v>3487</v>
      </c>
      <c r="BC25" s="133"/>
      <c r="BD25" s="132" t="str">
        <f>IF(OR(B25="",BC25=""),"",COUNTIF(BC$7:BC25,"√"))</f>
        <v/>
      </c>
      <c r="BE25" s="134" t="str">
        <f t="shared" si="1"/>
        <v/>
      </c>
      <c r="BF25" s="135" t="str">
        <f t="shared" si="8"/>
        <v/>
      </c>
      <c r="BG25" s="135" t="str">
        <f t="shared" si="8"/>
        <v/>
      </c>
      <c r="BH25" s="136"/>
      <c r="BI25" s="136"/>
      <c r="BJ25" s="136"/>
      <c r="BK25" s="136"/>
      <c r="BL25" s="136"/>
      <c r="BM25" s="137"/>
      <c r="BN25" s="137"/>
      <c r="BO25" s="165" t="s">
        <v>3469</v>
      </c>
      <c r="BR25" s="134" t="str">
        <f>IF(COUNTIF(BR$6:BR24,C25)&gt;0,"",C25)&amp;""</f>
        <v/>
      </c>
      <c r="BS25" s="138">
        <f t="shared" si="9"/>
        <v>0</v>
      </c>
      <c r="BT25" s="132">
        <f t="shared" si="10"/>
        <v>1</v>
      </c>
      <c r="BU25" s="138">
        <f t="shared" si="11"/>
        <v>0</v>
      </c>
      <c r="BV25" s="132">
        <f t="shared" si="12"/>
        <v>1</v>
      </c>
      <c r="BW25" s="133"/>
      <c r="BX25" s="133"/>
    </row>
    <row r="26" ht="15" customHeight="1" spans="1:77">
      <c r="A26" s="123" t="str">
        <f>IF(B26="","",COUNT(A$6:A25)+1)</f>
        <v/>
      </c>
      <c r="B26" s="124"/>
      <c r="C26" s="126"/>
      <c r="D26" s="125"/>
      <c r="E26" s="126"/>
      <c r="F26" s="129"/>
      <c r="G26" s="127"/>
      <c r="H26" s="127" t="str">
        <f>IFERROR(VLOOKUP(G26,参数表!$H$2:$I$50,2,FALSE),"")</f>
        <v/>
      </c>
      <c r="I26" s="128" t="str">
        <f t="shared" si="3"/>
        <v/>
      </c>
      <c r="J26" s="128" t="str">
        <f t="shared" si="4"/>
        <v/>
      </c>
      <c r="K26" s="129"/>
      <c r="L26" s="129"/>
      <c r="M26" s="130"/>
      <c r="N26" s="129" t="str">
        <f t="shared" si="5"/>
        <v/>
      </c>
      <c r="O26" s="129" t="str">
        <f t="shared" si="0"/>
        <v/>
      </c>
      <c r="P26" s="129" t="str">
        <f t="shared" si="6"/>
        <v/>
      </c>
      <c r="Q26" s="129" t="str">
        <f t="shared" si="7"/>
        <v/>
      </c>
      <c r="R26" s="131"/>
      <c r="BA26" s="78"/>
      <c r="BB26" s="132" t="s">
        <v>3488</v>
      </c>
      <c r="BC26" s="133"/>
      <c r="BD26" s="132" t="str">
        <f>IF(OR(B26="",BC26=""),"",COUNTIF(BC$7:BC26,"√"))</f>
        <v/>
      </c>
      <c r="BE26" s="134" t="str">
        <f t="shared" si="1"/>
        <v/>
      </c>
      <c r="BF26" s="135" t="str">
        <f t="shared" si="8"/>
        <v/>
      </c>
      <c r="BG26" s="135" t="str">
        <f t="shared" si="8"/>
        <v/>
      </c>
      <c r="BH26" s="136"/>
      <c r="BI26" s="136"/>
      <c r="BJ26" s="136"/>
      <c r="BK26" s="136"/>
      <c r="BL26" s="136"/>
      <c r="BM26" s="137"/>
      <c r="BN26" s="137"/>
      <c r="BO26" s="165" t="s">
        <v>3469</v>
      </c>
      <c r="BR26" s="134" t="str">
        <f>IF(COUNTIF(BR$6:BR25,C26)&gt;0,"",C26)&amp;""</f>
        <v/>
      </c>
      <c r="BS26" s="138">
        <f t="shared" si="9"/>
        <v>0</v>
      </c>
      <c r="BT26" s="132">
        <f t="shared" si="10"/>
        <v>1</v>
      </c>
      <c r="BU26" s="138">
        <f t="shared" si="11"/>
        <v>0</v>
      </c>
      <c r="BV26" s="132">
        <f t="shared" si="12"/>
        <v>1</v>
      </c>
      <c r="BW26" s="133"/>
      <c r="BX26" s="133"/>
    </row>
    <row r="27" s="73" customFormat="1" ht="15" customHeight="1" spans="1:77">
      <c r="A27" s="221" t="s">
        <v>1954</v>
      </c>
      <c r="B27" s="221"/>
      <c r="C27" s="149"/>
      <c r="D27" s="356"/>
      <c r="E27" s="149"/>
      <c r="F27" s="152"/>
      <c r="G27" s="149"/>
      <c r="H27" s="149"/>
      <c r="I27" s="149"/>
      <c r="J27" s="149"/>
      <c r="K27" s="152"/>
      <c r="L27" s="152">
        <f>SUM(L7:L26)</f>
        <v>0</v>
      </c>
      <c r="M27" s="153"/>
      <c r="N27" s="152">
        <f>SUM(N7:N26)</f>
        <v>0</v>
      </c>
      <c r="O27" s="152">
        <f>SUM(O7:O26)</f>
        <v>0</v>
      </c>
      <c r="P27" s="152">
        <f t="shared" si="6"/>
        <v>0</v>
      </c>
      <c r="Q27" s="152" t="str">
        <f t="shared" si="7"/>
        <v/>
      </c>
      <c r="R27" s="151"/>
      <c r="BQ27" s="111"/>
      <c r="BR27" s="119"/>
      <c r="BS27" s="77"/>
      <c r="BT27" s="77"/>
      <c r="BU27" s="77"/>
      <c r="BV27" s="119"/>
      <c r="BW27" s="119"/>
      <c r="BX27" s="119"/>
      <c r="BY27" s="111"/>
    </row>
    <row r="28" ht="15" customHeight="1" spans="1:77">
      <c r="A28" s="982" t="s">
        <v>3434</v>
      </c>
      <c r="B28" s="982"/>
      <c r="C28" s="126"/>
      <c r="D28" s="125"/>
      <c r="E28" s="126"/>
      <c r="F28" s="129"/>
      <c r="G28" s="126"/>
      <c r="H28" s="126"/>
      <c r="I28" s="126"/>
      <c r="J28" s="126"/>
      <c r="K28" s="129"/>
      <c r="L28" s="129"/>
      <c r="M28" s="130"/>
      <c r="N28" s="129">
        <f>L28+M28</f>
        <v>0</v>
      </c>
      <c r="O28" s="129">
        <f>0</f>
        <v>0</v>
      </c>
      <c r="P28" s="129">
        <f t="shared" si="6"/>
        <v>0</v>
      </c>
      <c r="Q28" s="129" t="str">
        <f t="shared" si="7"/>
        <v/>
      </c>
      <c r="R28" s="131"/>
    </row>
    <row r="29" s="73" customFormat="1" ht="15" customHeight="1" spans="1:77">
      <c r="A29" s="221" t="s">
        <v>1957</v>
      </c>
      <c r="B29" s="221"/>
      <c r="C29" s="149"/>
      <c r="D29" s="356"/>
      <c r="E29" s="149"/>
      <c r="F29" s="152"/>
      <c r="G29" s="149"/>
      <c r="H29" s="149"/>
      <c r="I29" s="149"/>
      <c r="J29" s="149"/>
      <c r="K29" s="152"/>
      <c r="L29" s="152">
        <f>L27-L28</f>
        <v>0</v>
      </c>
      <c r="M29" s="153"/>
      <c r="N29" s="152">
        <f>N27-N28</f>
        <v>0</v>
      </c>
      <c r="O29" s="152">
        <f>O27-O28</f>
        <v>0</v>
      </c>
      <c r="P29" s="152">
        <f t="shared" si="6"/>
        <v>0</v>
      </c>
      <c r="Q29" s="152" t="str">
        <f t="shared" si="7"/>
        <v/>
      </c>
      <c r="R29" s="151"/>
      <c r="BQ29" s="77"/>
      <c r="BR29" s="78"/>
      <c r="BS29" s="77"/>
      <c r="BT29" s="78"/>
      <c r="BU29" s="78"/>
      <c r="BV29" s="78"/>
      <c r="BW29" s="78"/>
      <c r="BX29" s="78"/>
      <c r="BY29" s="77"/>
    </row>
    <row r="30" customHeight="1" spans="1:77">
      <c r="A30" s="102" t="str">
        <f>参数表!F$6</f>
        <v>产权持有单位填表人：贾广东</v>
      </c>
      <c r="B30" s="154"/>
      <c r="C30" s="154"/>
      <c r="D30" s="154"/>
      <c r="E30" s="154"/>
      <c r="F30" s="154"/>
      <c r="G30" s="154"/>
      <c r="H30" s="154"/>
      <c r="I30" s="154"/>
      <c r="J30" s="154"/>
      <c r="K30" s="103"/>
      <c r="L30" s="103"/>
      <c r="M30" s="104"/>
      <c r="N30" s="103"/>
      <c r="O30" s="103" t="str">
        <f>"评估人员："&amp;封面!$G$36</f>
        <v>评估人员：</v>
      </c>
      <c r="P30" s="103"/>
      <c r="Q30" s="103"/>
      <c r="R30" s="103"/>
    </row>
    <row r="31" customHeight="1" spans="1:77">
      <c r="A31" s="102" t="str">
        <f>参数表!F$7</f>
        <v>填表日期：2025年9月20日</v>
      </c>
      <c r="B31" s="154"/>
      <c r="C31" s="154"/>
      <c r="D31" s="154"/>
      <c r="E31" s="154"/>
      <c r="F31" s="154"/>
      <c r="G31" s="154"/>
      <c r="H31" s="154"/>
      <c r="I31" s="154"/>
      <c r="J31" s="154"/>
      <c r="K31" s="103"/>
      <c r="L31" s="103"/>
      <c r="M31" s="104"/>
      <c r="N31" s="103"/>
      <c r="O31" s="103"/>
      <c r="P31" s="103"/>
      <c r="Q31" s="103"/>
      <c r="R31" s="103"/>
    </row>
    <row r="32" hidden="1" customHeight="1" outlineLevel="1" spans="1:77">
      <c r="A32" s="157"/>
      <c r="B32" s="154" t="s">
        <v>1673</v>
      </c>
      <c r="C32" s="158"/>
      <c r="D32" s="158"/>
      <c r="E32" s="158"/>
      <c r="F32" s="158"/>
      <c r="G32" s="158"/>
      <c r="H32" s="158"/>
      <c r="I32" s="158"/>
      <c r="J32" s="158"/>
      <c r="L32" s="159">
        <f>SUMIF($BA7:$BA26,$BA32,L7:L26)</f>
        <v>0</v>
      </c>
      <c r="M32" s="202"/>
      <c r="N32" s="159">
        <f>SUMIF($BA7:$BA26,$BA32,N7:N26)</f>
        <v>0</v>
      </c>
      <c r="O32" s="159">
        <f>SUMIF($BA7:$BA26,$BA32,O7:O26)</f>
        <v>0</v>
      </c>
      <c r="BA32" s="161" t="s">
        <v>1674</v>
      </c>
      <c r="BH32" s="162" t="s">
        <v>1675</v>
      </c>
      <c r="BI32" s="162" t="s">
        <v>1675</v>
      </c>
      <c r="BJ32" s="162" t="s">
        <v>1675</v>
      </c>
      <c r="BK32" s="162" t="s">
        <v>1674</v>
      </c>
      <c r="BL32" s="162" t="s">
        <v>1674</v>
      </c>
    </row>
    <row r="33" hidden="1" customHeight="1" outlineLevel="1" spans="1:64">
      <c r="A33" s="157"/>
      <c r="B33" s="154" t="s">
        <v>1676</v>
      </c>
      <c r="C33" s="158"/>
      <c r="D33" s="158"/>
      <c r="E33" s="158"/>
      <c r="F33" s="158"/>
      <c r="G33" s="158"/>
      <c r="H33" s="158"/>
      <c r="I33" s="158"/>
      <c r="J33" s="158"/>
      <c r="L33" s="159">
        <f>L27-L32</f>
        <v>0</v>
      </c>
      <c r="M33" s="202"/>
      <c r="N33" s="159">
        <f>N27-N32</f>
        <v>0</v>
      </c>
      <c r="O33" s="159">
        <f>O27-O32</f>
        <v>0</v>
      </c>
      <c r="BA33" s="161" t="s">
        <v>1677</v>
      </c>
      <c r="BH33" s="162" t="s">
        <v>1678</v>
      </c>
      <c r="BI33" s="162" t="s">
        <v>1678</v>
      </c>
      <c r="BJ33" s="162" t="s">
        <v>1678</v>
      </c>
      <c r="BK33" s="162" t="s">
        <v>1677</v>
      </c>
      <c r="BL33" s="162" t="s">
        <v>1677</v>
      </c>
    </row>
    <row r="34" customHeight="1" collapsed="1" spans="1:64">
      <c r="A34" s="157"/>
      <c r="B34" s="158"/>
      <c r="C34" s="158"/>
      <c r="D34" s="158"/>
      <c r="E34" s="158"/>
      <c r="F34" s="158"/>
      <c r="G34" s="158"/>
      <c r="H34" s="158"/>
      <c r="I34" s="158"/>
      <c r="J34" s="158"/>
    </row>
    <row r="35" customHeight="1" spans="1:64">
      <c r="A35" s="157"/>
      <c r="B35" s="158"/>
      <c r="C35" s="158"/>
      <c r="D35" s="158"/>
      <c r="E35" s="158"/>
      <c r="F35" s="158"/>
      <c r="G35" s="158"/>
      <c r="H35" s="158"/>
      <c r="I35" s="158"/>
      <c r="J35" s="158"/>
    </row>
    <row r="36" customHeight="1" spans="1:64">
      <c r="A36" s="157"/>
      <c r="B36" s="158"/>
      <c r="C36" s="158"/>
      <c r="D36" s="158"/>
      <c r="E36" s="158"/>
      <c r="F36" s="158"/>
      <c r="G36" s="158"/>
      <c r="H36" s="158"/>
      <c r="I36" s="158"/>
      <c r="J36" s="158"/>
    </row>
    <row r="37" customHeight="1" spans="1:64">
      <c r="A37" s="157"/>
      <c r="B37" s="158"/>
      <c r="C37" s="158"/>
      <c r="D37" s="158"/>
      <c r="E37" s="158"/>
      <c r="F37" s="158"/>
      <c r="G37" s="158"/>
      <c r="H37" s="158"/>
      <c r="I37" s="158"/>
      <c r="J37" s="158"/>
    </row>
    <row r="38" customHeight="1" spans="1:64">
      <c r="A38" s="157"/>
      <c r="B38" s="158"/>
      <c r="C38" s="158"/>
      <c r="D38" s="158"/>
      <c r="E38" s="158"/>
      <c r="F38" s="158"/>
      <c r="G38" s="158"/>
      <c r="H38" s="158"/>
      <c r="I38" s="158"/>
      <c r="J38" s="158"/>
    </row>
    <row r="39" customHeight="1" spans="1:64">
      <c r="A39" s="157"/>
      <c r="B39" s="158"/>
      <c r="C39" s="158"/>
      <c r="D39" s="158"/>
      <c r="E39" s="158"/>
      <c r="F39" s="158"/>
      <c r="G39" s="158"/>
      <c r="H39" s="158"/>
      <c r="I39" s="158"/>
      <c r="J39" s="158"/>
    </row>
  </sheetData>
  <sheetProtection autoFilter="0"/>
  <mergeCells count="8">
    <mergeCell ref="A2:R2"/>
    <mergeCell ref="A3:R3"/>
    <mergeCell ref="BW7:BY7"/>
    <mergeCell ref="BW8:BY8"/>
    <mergeCell ref="BX14:BY14"/>
    <mergeCell ref="A27:B27"/>
    <mergeCell ref="A28:B28"/>
    <mergeCell ref="A29:B29"/>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5" stopIfTrue="1">
      <formula>AND($B7&lt;&gt;"",BH7="")</formula>
    </cfRule>
  </conditionalFormatting>
  <dataValidations count="5">
    <dataValidation type="list" allowBlank="1" showInputMessage="1" showErrorMessage="1" sqref="G7:G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 type="list" allowBlank="1" showInputMessage="1" showErrorMessage="1" sqref="BO7:BO26">
      <formula1>"股权投资,其他"</formula1>
    </dataValidation>
    <dataValidation type="list" allowBlank="1" showInputMessage="1" showErrorMessage="1" sqref="BH7:BL26">
      <formula1>BH$32:BH$33</formula1>
    </dataValidation>
  </dataValidations>
  <hyperlinks>
    <hyperlink ref="A1" location="索引目录!E30" display="返回索引页"/>
    <hyperlink ref="B1" location="可供出售金融资产汇总!B15"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4"/>
  <dimension ref="A1:CB39"/>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0" style="75" customWidth="1"/>
    <col min="3" max="5" width="8.6" style="75" customWidth="1"/>
    <col min="6" max="6" width="6.6" style="75" customWidth="1"/>
    <col min="7" max="8" width="4.6" style="75" customWidth="1" outlineLevel="1"/>
    <col min="9" max="10" width="6.1" style="75" customWidth="1" outlineLevel="1"/>
    <col min="11" max="11" width="12.6" style="75" customWidth="1"/>
    <col min="12" max="12" width="12.6" style="75" customWidth="1" outlineLevel="1"/>
    <col min="13" max="13" width="12.6" style="76" customWidth="1" outlineLevel="1"/>
    <col min="14" max="15" width="12.6" style="75" customWidth="1"/>
    <col min="16" max="18" width="8.6" style="75" customWidth="1"/>
    <col min="19" max="52" width="9" style="75" hidden="1" customWidth="1" outlineLevel="1"/>
    <col min="53" max="53" width="14.7" style="75" customWidth="1" collapsed="1"/>
    <col min="54" max="54" width="6.7" style="75" customWidth="1"/>
    <col min="55" max="56" width="5.1" style="75" customWidth="1"/>
    <col min="57" max="57" width="8.7" style="75" customWidth="1"/>
    <col min="58" max="59" width="10.6" style="75" customWidth="1"/>
    <col min="60" max="61" width="5" style="165" customWidth="1"/>
    <col min="62" max="63" width="5.1" style="165" customWidth="1"/>
    <col min="64" max="64" width="6.7" style="165" customWidth="1"/>
    <col min="65" max="65" width="10.3" style="75" customWidth="1"/>
    <col min="66" max="66" width="8.7" style="75" customWidth="1"/>
    <col min="67" max="71" width="9" style="75"/>
    <col min="72" max="72" width="1.6" style="77" customWidth="1"/>
    <col min="73" max="73" width="10.6" style="78" customWidth="1"/>
    <col min="74" max="74" width="10.6" style="77" customWidth="1"/>
    <col min="75" max="75" width="4.6" style="78" customWidth="1"/>
    <col min="76" max="76" width="10.6" style="78" customWidth="1"/>
    <col min="77" max="78" width="4.6" style="78" customWidth="1"/>
    <col min="79" max="79" width="10.6" style="78" customWidth="1"/>
    <col min="80" max="80" width="5" style="77" customWidth="1"/>
    <col min="81" max="16384" width="9" style="75"/>
  </cols>
  <sheetData>
    <row r="1" s="86" customFormat="1" ht="13.8" spans="1:80">
      <c r="A1" s="203" t="s">
        <v>1591</v>
      </c>
      <c r="B1" s="204" t="s">
        <v>1592</v>
      </c>
      <c r="C1" s="82"/>
      <c r="D1" s="82"/>
      <c r="E1" s="82"/>
      <c r="F1" s="82"/>
      <c r="G1" s="82"/>
      <c r="H1" s="82"/>
      <c r="I1" s="82"/>
      <c r="J1" s="82"/>
      <c r="K1" s="82"/>
      <c r="L1" s="82"/>
      <c r="M1" s="205"/>
      <c r="N1" s="82"/>
      <c r="O1" s="82"/>
      <c r="P1" s="82"/>
      <c r="Q1" s="82"/>
      <c r="R1" s="82"/>
      <c r="BA1" s="84" t="str">
        <f>参数表!BA1</f>
        <v>注意：补充特殊事项、作价等均从BA列开始填写</v>
      </c>
      <c r="BB1" s="85"/>
      <c r="BH1" s="82"/>
      <c r="BI1" s="82"/>
      <c r="BJ1" s="82"/>
      <c r="BK1" s="82"/>
      <c r="BL1" s="82"/>
      <c r="BT1" s="87"/>
      <c r="BU1" s="88"/>
      <c r="BV1" s="87"/>
      <c r="BW1" s="88"/>
      <c r="BX1" s="88"/>
      <c r="BY1" s="88"/>
      <c r="BZ1" s="88"/>
      <c r="CA1" s="88"/>
      <c r="CB1" s="87"/>
    </row>
    <row r="2" s="71" customFormat="1" ht="30" customHeight="1" spans="1:80">
      <c r="A2" s="89" t="s">
        <v>3489</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H2" s="171"/>
      <c r="BI2" s="171"/>
      <c r="BJ2" s="171"/>
      <c r="BK2" s="171"/>
      <c r="BL2" s="171"/>
      <c r="BT2" s="92"/>
      <c r="BU2" s="93"/>
      <c r="BV2" s="92"/>
      <c r="BW2" s="93"/>
      <c r="BX2" s="93"/>
      <c r="BY2" s="93"/>
      <c r="BZ2" s="93"/>
      <c r="CA2" s="93"/>
      <c r="CB2" s="92"/>
    </row>
    <row r="3" ht="15" customHeight="1" spans="1:80">
      <c r="A3" s="94" t="str">
        <f>参数表!F5</f>
        <v>评估基准日：2025年7月31日</v>
      </c>
      <c r="B3" s="94"/>
      <c r="C3" s="94"/>
      <c r="D3" s="94"/>
      <c r="E3" s="94"/>
      <c r="F3" s="94"/>
      <c r="G3" s="94"/>
      <c r="H3" s="94"/>
      <c r="I3" s="94"/>
      <c r="J3" s="94"/>
      <c r="K3" s="94"/>
      <c r="L3" s="94"/>
      <c r="M3" s="94"/>
      <c r="N3" s="94"/>
      <c r="O3" s="95"/>
      <c r="P3" s="95"/>
      <c r="Q3" s="95"/>
      <c r="R3" s="95"/>
      <c r="S3" s="165"/>
      <c r="BA3" s="90" t="str">
        <f>参数表!BA3</f>
        <v>是否显示评估值：</v>
      </c>
      <c r="BB3" s="90" t="str">
        <f>参数表!BB3</f>
        <v>是</v>
      </c>
      <c r="BV3" s="78"/>
    </row>
    <row r="4" ht="15" customHeight="1" spans="1:80">
      <c r="A4" s="96"/>
      <c r="B4" s="94"/>
      <c r="C4" s="94"/>
      <c r="D4" s="94"/>
      <c r="E4" s="94"/>
      <c r="F4" s="94"/>
      <c r="G4" s="94"/>
      <c r="H4" s="94"/>
      <c r="I4" s="94"/>
      <c r="J4" s="94"/>
      <c r="K4" s="94"/>
      <c r="L4" s="94"/>
      <c r="M4" s="97"/>
      <c r="N4" s="94"/>
      <c r="O4" s="95"/>
      <c r="P4" s="98"/>
      <c r="Q4" s="95"/>
      <c r="R4" s="98" t="str">
        <f>"表"&amp;$BA4</f>
        <v>表4-2</v>
      </c>
      <c r="S4" s="165"/>
      <c r="BA4" s="274" t="str">
        <f>非流动资总!A8</f>
        <v>4-2</v>
      </c>
      <c r="BB4" s="100">
        <f>MAX(COUNTA(A7:A26),COUNTA(B7:B26),COUNTA(L7:L26),COUNTA(N7:N26))</f>
        <v>20</v>
      </c>
      <c r="BC4" s="101">
        <f>ROW(A6)+1</f>
        <v>7</v>
      </c>
      <c r="BD4" s="77"/>
      <c r="BE4" s="77"/>
      <c r="BV4" s="78"/>
    </row>
    <row r="5" ht="15" customHeight="1" spans="1:80">
      <c r="A5" s="102" t="str">
        <f>参数表!F3</f>
        <v>产权持有单位:中煤第五建设有限公司</v>
      </c>
      <c r="B5" s="103"/>
      <c r="C5" s="103"/>
      <c r="D5" s="103"/>
      <c r="E5" s="103"/>
      <c r="F5" s="103"/>
      <c r="G5" s="103"/>
      <c r="H5" s="103"/>
      <c r="I5" s="103"/>
      <c r="J5" s="103"/>
      <c r="K5" s="103"/>
      <c r="L5" s="103"/>
      <c r="M5" s="104"/>
      <c r="N5" s="103"/>
      <c r="O5" s="103"/>
      <c r="P5" s="103"/>
      <c r="Q5" s="103"/>
      <c r="R5" s="98" t="s">
        <v>236</v>
      </c>
      <c r="BA5" s="103"/>
      <c r="BB5" s="105" t="str">
        <f ca="1">判断表!C53</f>
        <v>中煤第五建设有限公司第三工程处拟处置实物资产项目\[0000-3基础法明细表.xlsx]持有到期</v>
      </c>
      <c r="BC5" s="106">
        <f>IFERROR(SUMIF(BC7:BC26,"√",N7:N26)/N27,0)</f>
        <v>0</v>
      </c>
      <c r="BD5" s="107"/>
      <c r="BE5" s="107"/>
      <c r="BF5" s="177">
        <f>分类汇总!I24</f>
        <v>0</v>
      </c>
      <c r="BG5" s="177">
        <f>分类汇总!K24</f>
        <v>0</v>
      </c>
      <c r="BT5" s="111"/>
      <c r="BV5" s="78"/>
      <c r="CB5" s="111"/>
    </row>
    <row r="6" s="72" customFormat="1" ht="36" spans="1:80">
      <c r="A6" s="112" t="s">
        <v>305</v>
      </c>
      <c r="B6" s="113" t="s">
        <v>1741</v>
      </c>
      <c r="C6" s="113" t="s">
        <v>3490</v>
      </c>
      <c r="D6" s="113" t="s">
        <v>1743</v>
      </c>
      <c r="E6" s="113" t="s">
        <v>3437</v>
      </c>
      <c r="F6" s="118" t="s">
        <v>1775</v>
      </c>
      <c r="G6" s="114" t="s">
        <v>1631</v>
      </c>
      <c r="H6" s="115" t="s">
        <v>1632</v>
      </c>
      <c r="I6" s="116" t="s">
        <v>1745</v>
      </c>
      <c r="J6" s="115" t="s">
        <v>1633</v>
      </c>
      <c r="K6" s="113" t="s">
        <v>3491</v>
      </c>
      <c r="L6" s="113" t="s">
        <v>1549</v>
      </c>
      <c r="M6" s="117" t="s">
        <v>1634</v>
      </c>
      <c r="N6" s="118" t="s">
        <v>1523</v>
      </c>
      <c r="O6" s="113" t="s">
        <v>1550</v>
      </c>
      <c r="P6" s="113" t="s">
        <v>1525</v>
      </c>
      <c r="Q6" s="113" t="s">
        <v>1551</v>
      </c>
      <c r="R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224" t="s">
        <v>3439</v>
      </c>
      <c r="BP6" s="191" t="s">
        <v>3440</v>
      </c>
      <c r="BQ6" s="191" t="s">
        <v>3441</v>
      </c>
      <c r="BR6" s="191" t="s">
        <v>3442</v>
      </c>
      <c r="BS6" s="191" t="s">
        <v>1524</v>
      </c>
      <c r="BT6" s="119"/>
      <c r="BU6" s="120" t="s">
        <v>1645</v>
      </c>
      <c r="BV6" s="121" t="s">
        <v>1646</v>
      </c>
      <c r="BW6" s="121" t="s">
        <v>1647</v>
      </c>
      <c r="BX6" s="121" t="s">
        <v>1648</v>
      </c>
      <c r="BY6" s="121" t="s">
        <v>1647</v>
      </c>
      <c r="BZ6" s="121" t="s">
        <v>1647</v>
      </c>
      <c r="CA6" s="121" t="s">
        <v>1649</v>
      </c>
      <c r="CB6" s="122" t="s">
        <v>1650</v>
      </c>
    </row>
    <row r="7" ht="15" customHeight="1" spans="1:80">
      <c r="A7" s="123" t="str">
        <f>IF(B7="","",COUNT(A$6:A6)+1)</f>
        <v/>
      </c>
      <c r="B7" s="124"/>
      <c r="C7" s="126"/>
      <c r="D7" s="125"/>
      <c r="E7" s="125"/>
      <c r="F7" s="225"/>
      <c r="G7" s="127"/>
      <c r="H7" s="127" t="str">
        <f>IFERROR(VLOOKUP(G7,参数表!$H$2:$I$50,2,FALSE),"")</f>
        <v/>
      </c>
      <c r="I7" s="128" t="str">
        <f>IFERROR(IF(OR(G7="人民币",G7=""),"",K7/H7),"")</f>
        <v/>
      </c>
      <c r="J7" s="128" t="str">
        <f>IFERROR(IF(OR(G7="人民币",G7=""),"",N7/H7),"")</f>
        <v/>
      </c>
      <c r="K7" s="129"/>
      <c r="L7" s="129"/>
      <c r="M7" s="130"/>
      <c r="N7" s="129" t="str">
        <f>IF(B7="","",L7+M7)</f>
        <v/>
      </c>
      <c r="O7" s="129" t="str">
        <f t="shared" ref="O7:O26" si="0">IF(B7="","",IF($BB$3="是",IF(BO7="是",BQ7,BS7),""))</f>
        <v/>
      </c>
      <c r="P7" s="129" t="str">
        <f>IFERROR(O7-N7,"")</f>
        <v/>
      </c>
      <c r="Q7" s="129" t="str">
        <f>IFERROR(P7/N7*100,"")</f>
        <v/>
      </c>
      <c r="R7" s="129"/>
      <c r="BA7" s="78"/>
      <c r="BB7" s="132" t="s">
        <v>3492</v>
      </c>
      <c r="BC7" s="133"/>
      <c r="BD7" s="132" t="str">
        <f>IF(OR(B7="",BC7=""),"",COUNTIF(BC$7:BC7,"√"))</f>
        <v/>
      </c>
      <c r="BE7" s="134" t="str">
        <f t="shared" ref="BE7:BE26" si="1">IF(BC7="","",BB7&amp;"︱"&amp;B7&amp;"︱"&amp;TEXT(L7,"#,##0.00"))</f>
        <v/>
      </c>
      <c r="BF7" s="135" t="str">
        <f>IF($B7="","",IF(BF$5=0,"OK","出错"))</f>
        <v/>
      </c>
      <c r="BG7" s="135" t="str">
        <f>IF($B7="","",IF(BG$5=0,"OK","出错"))</f>
        <v/>
      </c>
      <c r="BH7" s="136"/>
      <c r="BI7" s="136"/>
      <c r="BJ7" s="136"/>
      <c r="BK7" s="136"/>
      <c r="BL7" s="136"/>
      <c r="BM7" s="137"/>
      <c r="BN7" s="137"/>
      <c r="BO7" s="165" t="s">
        <v>1674</v>
      </c>
      <c r="BP7" s="156">
        <f t="shared" ref="BP7:BP26" si="2">(BB$2-D7)/365.25</f>
        <v>125.582477754962</v>
      </c>
      <c r="BQ7" s="156">
        <f t="shared" ref="BQ7:BQ26" si="3">K7</f>
        <v>0</v>
      </c>
      <c r="BR7" s="658">
        <f t="shared" ref="BR7:BR26" si="4">F7/100</f>
        <v>0</v>
      </c>
      <c r="BS7" s="347">
        <f>BQ7*(1+BP7*BR7)</f>
        <v>0</v>
      </c>
      <c r="BU7" s="134" t="str">
        <f>IF(COUNTIF(BU$6:BU6,C7)&gt;0,"",C7)&amp;""</f>
        <v/>
      </c>
      <c r="BV7" s="138">
        <f>SUMIF(C$7:C$26,BU7,N$7:N$26)</f>
        <v>0</v>
      </c>
      <c r="BW7" s="132">
        <f t="shared" ref="BW7" si="5">RANK(BV7,BV$7:BV$26)</f>
        <v>1</v>
      </c>
      <c r="BX7" s="138">
        <f>SUMIF(C$7:C$26,BU7,O$7:O$26)</f>
        <v>0</v>
      </c>
      <c r="BY7" s="132">
        <f>RANK(BX7,BX$7:BX$26)</f>
        <v>1</v>
      </c>
      <c r="BZ7" s="138">
        <f>SUM(BV7:BV26)</f>
        <v>0</v>
      </c>
      <c r="CA7" s="138"/>
      <c r="CB7" s="138"/>
    </row>
    <row r="8" ht="15" customHeight="1" spans="1:80">
      <c r="A8" s="123" t="str">
        <f>IF(B8="","",COUNT(A$6:A7)+1)</f>
        <v/>
      </c>
      <c r="B8" s="139"/>
      <c r="C8" s="141"/>
      <c r="D8" s="140"/>
      <c r="E8" s="140"/>
      <c r="F8" s="255"/>
      <c r="G8" s="142"/>
      <c r="H8" s="127" t="str">
        <f>IFERROR(VLOOKUP(G8,参数表!$H$2:$I$50,2,FALSE),"")</f>
        <v/>
      </c>
      <c r="I8" s="128" t="str">
        <f t="shared" ref="I8:I26" si="6">IFERROR(IF(OR(G8="人民币",G8=""),"",K8/H8),"")</f>
        <v/>
      </c>
      <c r="J8" s="128" t="str">
        <f t="shared" ref="J8:J26" si="7">IFERROR(IF(OR(G8="人民币",G8=""),"",N8/H8),"")</f>
        <v/>
      </c>
      <c r="K8" s="143"/>
      <c r="L8" s="143"/>
      <c r="M8" s="144"/>
      <c r="N8" s="129" t="str">
        <f t="shared" ref="N8:N26" si="8">IF(B8="","",L8+M8)</f>
        <v/>
      </c>
      <c r="O8" s="129" t="str">
        <f t="shared" si="0"/>
        <v/>
      </c>
      <c r="P8" s="129" t="str">
        <f t="shared" ref="P8:P29" si="9">IFERROR(O8-N8,"")</f>
        <v/>
      </c>
      <c r="Q8" s="129" t="str">
        <f t="shared" ref="Q8:Q29" si="10">IFERROR(P8/N8*100,"")</f>
        <v/>
      </c>
      <c r="R8" s="143"/>
      <c r="BA8" s="78"/>
      <c r="BB8" s="132" t="s">
        <v>3493</v>
      </c>
      <c r="BC8" s="133"/>
      <c r="BD8" s="132" t="str">
        <f>IF(OR(B8="",BC8=""),"",COUNTIF(BC$7:BC8,"√"))</f>
        <v/>
      </c>
      <c r="BE8" s="134" t="str">
        <f t="shared" si="1"/>
        <v/>
      </c>
      <c r="BF8" s="135" t="str">
        <f t="shared" ref="BF8:BG26" si="11">IF($B8="","",IF(BF$5=0,"OK","出错"))</f>
        <v/>
      </c>
      <c r="BG8" s="135" t="str">
        <f t="shared" si="11"/>
        <v/>
      </c>
      <c r="BH8" s="136"/>
      <c r="BI8" s="136"/>
      <c r="BJ8" s="136"/>
      <c r="BK8" s="136"/>
      <c r="BL8" s="136"/>
      <c r="BM8" s="137"/>
      <c r="BN8" s="137"/>
      <c r="BO8" s="165" t="s">
        <v>1674</v>
      </c>
      <c r="BP8" s="156">
        <f t="shared" si="2"/>
        <v>125.582477754962</v>
      </c>
      <c r="BQ8" s="156">
        <f t="shared" si="3"/>
        <v>0</v>
      </c>
      <c r="BR8" s="658">
        <f t="shared" si="4"/>
        <v>0</v>
      </c>
      <c r="BS8" s="347">
        <f t="shared" ref="BS8:BS26" si="12">BQ8*(1+BP8*BR8)</f>
        <v>0</v>
      </c>
      <c r="BU8" s="134" t="str">
        <f>IF(COUNTIF(BU$6:BU7,C8)&gt;0,"",C8)&amp;""</f>
        <v/>
      </c>
      <c r="BV8" s="138">
        <f t="shared" ref="BV8:BV26" si="13">SUMIF(C$7:C$26,BU8,N$7:N$26)</f>
        <v>0</v>
      </c>
      <c r="BW8" s="132">
        <f t="shared" ref="BW8:BW26" si="14">RANK(BV8,BV$7:BV$26)</f>
        <v>1</v>
      </c>
      <c r="BX8" s="138">
        <f t="shared" ref="BX8:BX26" si="15">SUMIF(C$7:C$26,BU8,O$7:O$26)</f>
        <v>0</v>
      </c>
      <c r="BY8" s="132">
        <f t="shared" ref="BY8:BY26" si="16">RANK(BX8,BX$7:BX$26)</f>
        <v>1</v>
      </c>
      <c r="BZ8" s="138">
        <f>SUM(BX7:BX26)</f>
        <v>0</v>
      </c>
      <c r="CA8" s="138"/>
      <c r="CB8" s="138"/>
    </row>
    <row r="9" ht="15" customHeight="1" spans="1:80">
      <c r="A9" s="123" t="str">
        <f>IF(B9="","",COUNT(A$6:A8)+1)</f>
        <v/>
      </c>
      <c r="B9" s="139"/>
      <c r="C9" s="141"/>
      <c r="D9" s="140"/>
      <c r="E9" s="140"/>
      <c r="F9" s="255"/>
      <c r="G9" s="142"/>
      <c r="H9" s="127" t="str">
        <f>IFERROR(VLOOKUP(G9,参数表!$H$2:$I$50,2,FALSE),"")</f>
        <v/>
      </c>
      <c r="I9" s="128" t="str">
        <f t="shared" si="6"/>
        <v/>
      </c>
      <c r="J9" s="128" t="str">
        <f t="shared" si="7"/>
        <v/>
      </c>
      <c r="K9" s="143"/>
      <c r="L9" s="143"/>
      <c r="M9" s="144"/>
      <c r="N9" s="129" t="str">
        <f t="shared" si="8"/>
        <v/>
      </c>
      <c r="O9" s="129" t="str">
        <f t="shared" si="0"/>
        <v/>
      </c>
      <c r="P9" s="129" t="str">
        <f t="shared" si="9"/>
        <v/>
      </c>
      <c r="Q9" s="129" t="str">
        <f t="shared" si="10"/>
        <v/>
      </c>
      <c r="R9" s="143"/>
      <c r="BA9" s="78"/>
      <c r="BB9" s="132" t="s">
        <v>3494</v>
      </c>
      <c r="BC9" s="133"/>
      <c r="BD9" s="132" t="str">
        <f>IF(OR(B9="",BC9=""),"",COUNTIF(BC$7:BC9,"√"))</f>
        <v/>
      </c>
      <c r="BE9" s="134" t="str">
        <f t="shared" si="1"/>
        <v/>
      </c>
      <c r="BF9" s="135" t="str">
        <f t="shared" si="11"/>
        <v/>
      </c>
      <c r="BG9" s="135" t="str">
        <f t="shared" si="11"/>
        <v/>
      </c>
      <c r="BH9" s="136"/>
      <c r="BI9" s="136"/>
      <c r="BJ9" s="136"/>
      <c r="BK9" s="136"/>
      <c r="BL9" s="136"/>
      <c r="BM9" s="137"/>
      <c r="BN9" s="137"/>
      <c r="BO9" s="165" t="s">
        <v>1674</v>
      </c>
      <c r="BP9" s="156">
        <f t="shared" si="2"/>
        <v>125.582477754962</v>
      </c>
      <c r="BQ9" s="156">
        <f t="shared" si="3"/>
        <v>0</v>
      </c>
      <c r="BR9" s="658">
        <f t="shared" si="4"/>
        <v>0</v>
      </c>
      <c r="BS9" s="347">
        <f t="shared" si="12"/>
        <v>0</v>
      </c>
      <c r="BU9" s="134" t="str">
        <f>IF(COUNTIF(BU$6:BU8,C9)&gt;0,"",C9)&amp;""</f>
        <v/>
      </c>
      <c r="BV9" s="138">
        <f t="shared" si="13"/>
        <v>0</v>
      </c>
      <c r="BW9" s="132">
        <f t="shared" si="14"/>
        <v>1</v>
      </c>
      <c r="BX9" s="138">
        <f t="shared" si="15"/>
        <v>0</v>
      </c>
      <c r="BY9" s="132">
        <f t="shared" si="16"/>
        <v>1</v>
      </c>
      <c r="BZ9" s="132">
        <v>1</v>
      </c>
      <c r="CA9" s="134" t="str">
        <f>IFERROR(INDEX(BU$7:BU$26,MATCH(BZ9,IF(BZ$7=0,BY$7:BY$26,BW$7:BW$26),0))&amp;"","")</f>
        <v/>
      </c>
      <c r="CB9" s="146" t="str">
        <f>IF(CA10="","",IF(CA11="","和","、"))</f>
        <v/>
      </c>
    </row>
    <row r="10" ht="15" customHeight="1" spans="1:80">
      <c r="A10" s="123" t="str">
        <f>IF(B10="","",COUNT(A$6:A9)+1)</f>
        <v/>
      </c>
      <c r="B10" s="139"/>
      <c r="C10" s="141"/>
      <c r="D10" s="140"/>
      <c r="E10" s="140"/>
      <c r="F10" s="255"/>
      <c r="G10" s="142"/>
      <c r="H10" s="127" t="str">
        <f>IFERROR(VLOOKUP(G10,参数表!$H$2:$I$50,2,FALSE),"")</f>
        <v/>
      </c>
      <c r="I10" s="128" t="str">
        <f t="shared" si="6"/>
        <v/>
      </c>
      <c r="J10" s="128" t="str">
        <f t="shared" si="7"/>
        <v/>
      </c>
      <c r="K10" s="143"/>
      <c r="L10" s="143"/>
      <c r="M10" s="144"/>
      <c r="N10" s="129" t="str">
        <f t="shared" si="8"/>
        <v/>
      </c>
      <c r="O10" s="129" t="str">
        <f t="shared" si="0"/>
        <v/>
      </c>
      <c r="P10" s="129" t="str">
        <f t="shared" si="9"/>
        <v/>
      </c>
      <c r="Q10" s="129" t="str">
        <f t="shared" si="10"/>
        <v/>
      </c>
      <c r="R10" s="143"/>
      <c r="BA10" s="78"/>
      <c r="BB10" s="132" t="s">
        <v>3495</v>
      </c>
      <c r="BC10" s="133"/>
      <c r="BD10" s="132" t="str">
        <f>IF(OR(B10="",BC10=""),"",COUNTIF(BC$7:BC10,"√"))</f>
        <v/>
      </c>
      <c r="BE10" s="134" t="str">
        <f t="shared" si="1"/>
        <v/>
      </c>
      <c r="BF10" s="135" t="str">
        <f t="shared" si="11"/>
        <v/>
      </c>
      <c r="BG10" s="135" t="str">
        <f t="shared" si="11"/>
        <v/>
      </c>
      <c r="BH10" s="136"/>
      <c r="BI10" s="136"/>
      <c r="BJ10" s="136"/>
      <c r="BK10" s="136"/>
      <c r="BL10" s="136"/>
      <c r="BM10" s="137"/>
      <c r="BN10" s="137"/>
      <c r="BO10" s="165" t="s">
        <v>1674</v>
      </c>
      <c r="BP10" s="156">
        <f t="shared" si="2"/>
        <v>125.582477754962</v>
      </c>
      <c r="BQ10" s="156">
        <f t="shared" si="3"/>
        <v>0</v>
      </c>
      <c r="BR10" s="658">
        <f t="shared" si="4"/>
        <v>0</v>
      </c>
      <c r="BS10" s="347">
        <f t="shared" si="12"/>
        <v>0</v>
      </c>
      <c r="BU10" s="134" t="str">
        <f>IF(COUNTIF(BU$6:BU9,C10)&gt;0,"",C10)&amp;""</f>
        <v/>
      </c>
      <c r="BV10" s="138">
        <f t="shared" si="13"/>
        <v>0</v>
      </c>
      <c r="BW10" s="132">
        <f t="shared" si="14"/>
        <v>1</v>
      </c>
      <c r="BX10" s="138">
        <f t="shared" si="15"/>
        <v>0</v>
      </c>
      <c r="BY10" s="132">
        <f t="shared" si="16"/>
        <v>1</v>
      </c>
      <c r="BZ10" s="132">
        <v>2</v>
      </c>
      <c r="CA10" s="134" t="str">
        <f t="shared" ref="CA10:CA13" si="17">IFERROR(INDEX(BU$7:BU$26,MATCH(BZ10,IF(BZ$7=0,BY$7:BY$26,BW$7:BW$26),0))&amp;"","")</f>
        <v/>
      </c>
      <c r="CB10" s="146" t="str">
        <f t="shared" ref="CB10:CB11" si="18">IF(CA11="","",IF(CA12="","和","、"))</f>
        <v/>
      </c>
    </row>
    <row r="11" ht="15" customHeight="1" spans="1:80">
      <c r="A11" s="123" t="str">
        <f>IF(B11="","",COUNT(A$6:A10)+1)</f>
        <v/>
      </c>
      <c r="B11" s="139"/>
      <c r="C11" s="141"/>
      <c r="D11" s="140"/>
      <c r="E11" s="140"/>
      <c r="F11" s="255"/>
      <c r="G11" s="142"/>
      <c r="H11" s="127" t="str">
        <f>IFERROR(VLOOKUP(G11,参数表!$H$2:$I$50,2,FALSE),"")</f>
        <v/>
      </c>
      <c r="I11" s="128" t="str">
        <f t="shared" si="6"/>
        <v/>
      </c>
      <c r="J11" s="128" t="str">
        <f t="shared" si="7"/>
        <v/>
      </c>
      <c r="K11" s="143"/>
      <c r="L11" s="143"/>
      <c r="M11" s="144"/>
      <c r="N11" s="129" t="str">
        <f t="shared" si="8"/>
        <v/>
      </c>
      <c r="O11" s="129" t="str">
        <f t="shared" si="0"/>
        <v/>
      </c>
      <c r="P11" s="129" t="str">
        <f t="shared" si="9"/>
        <v/>
      </c>
      <c r="Q11" s="129" t="str">
        <f t="shared" si="10"/>
        <v/>
      </c>
      <c r="R11" s="143"/>
      <c r="BA11" s="78"/>
      <c r="BB11" s="132" t="s">
        <v>3496</v>
      </c>
      <c r="BC11" s="133"/>
      <c r="BD11" s="132" t="str">
        <f>IF(OR(B11="",BC11=""),"",COUNTIF(BC$7:BC11,"√"))</f>
        <v/>
      </c>
      <c r="BE11" s="134" t="str">
        <f t="shared" si="1"/>
        <v/>
      </c>
      <c r="BF11" s="135" t="str">
        <f t="shared" si="11"/>
        <v/>
      </c>
      <c r="BG11" s="135" t="str">
        <f t="shared" si="11"/>
        <v/>
      </c>
      <c r="BH11" s="136"/>
      <c r="BI11" s="136"/>
      <c r="BJ11" s="136"/>
      <c r="BK11" s="136"/>
      <c r="BL11" s="136"/>
      <c r="BM11" s="137"/>
      <c r="BN11" s="137"/>
      <c r="BO11" s="165" t="s">
        <v>1674</v>
      </c>
      <c r="BP11" s="156">
        <f t="shared" si="2"/>
        <v>125.582477754962</v>
      </c>
      <c r="BQ11" s="156">
        <f t="shared" si="3"/>
        <v>0</v>
      </c>
      <c r="BR11" s="658">
        <f t="shared" si="4"/>
        <v>0</v>
      </c>
      <c r="BS11" s="347">
        <f t="shared" si="12"/>
        <v>0</v>
      </c>
      <c r="BU11" s="134" t="str">
        <f>IF(COUNTIF(BU$6:BU10,C11)&gt;0,"",C11)&amp;""</f>
        <v/>
      </c>
      <c r="BV11" s="138">
        <f t="shared" si="13"/>
        <v>0</v>
      </c>
      <c r="BW11" s="132">
        <f t="shared" si="14"/>
        <v>1</v>
      </c>
      <c r="BX11" s="138">
        <f t="shared" si="15"/>
        <v>0</v>
      </c>
      <c r="BY11" s="132">
        <f t="shared" si="16"/>
        <v>1</v>
      </c>
      <c r="BZ11" s="132">
        <v>3</v>
      </c>
      <c r="CA11" s="134" t="str">
        <f t="shared" si="17"/>
        <v/>
      </c>
      <c r="CB11" s="146" t="str">
        <f t="shared" si="18"/>
        <v/>
      </c>
    </row>
    <row r="12" ht="15" customHeight="1" spans="1:80">
      <c r="A12" s="123" t="str">
        <f>IF(B12="","",COUNT(A$6:A11)+1)</f>
        <v/>
      </c>
      <c r="B12" s="139"/>
      <c r="C12" s="141"/>
      <c r="D12" s="140"/>
      <c r="E12" s="140"/>
      <c r="F12" s="255"/>
      <c r="G12" s="142"/>
      <c r="H12" s="127" t="str">
        <f>IFERROR(VLOOKUP(G12,参数表!$H$2:$I$50,2,FALSE),"")</f>
        <v/>
      </c>
      <c r="I12" s="128" t="str">
        <f t="shared" si="6"/>
        <v/>
      </c>
      <c r="J12" s="128" t="str">
        <f t="shared" si="7"/>
        <v/>
      </c>
      <c r="K12" s="143"/>
      <c r="L12" s="143"/>
      <c r="M12" s="144"/>
      <c r="N12" s="129" t="str">
        <f t="shared" si="8"/>
        <v/>
      </c>
      <c r="O12" s="129" t="str">
        <f t="shared" si="0"/>
        <v/>
      </c>
      <c r="P12" s="129" t="str">
        <f t="shared" si="9"/>
        <v/>
      </c>
      <c r="Q12" s="129" t="str">
        <f t="shared" si="10"/>
        <v/>
      </c>
      <c r="R12" s="143"/>
      <c r="BA12" s="78"/>
      <c r="BB12" s="132" t="s">
        <v>3497</v>
      </c>
      <c r="BC12" s="133"/>
      <c r="BD12" s="132" t="str">
        <f>IF(OR(B12="",BC12=""),"",COUNTIF(BC$7:BC12,"√"))</f>
        <v/>
      </c>
      <c r="BE12" s="134" t="str">
        <f t="shared" si="1"/>
        <v/>
      </c>
      <c r="BF12" s="135" t="str">
        <f t="shared" si="11"/>
        <v/>
      </c>
      <c r="BG12" s="135" t="str">
        <f t="shared" si="11"/>
        <v/>
      </c>
      <c r="BH12" s="136"/>
      <c r="BI12" s="136"/>
      <c r="BJ12" s="136"/>
      <c r="BK12" s="136"/>
      <c r="BL12" s="136"/>
      <c r="BM12" s="137"/>
      <c r="BN12" s="137"/>
      <c r="BO12" s="165" t="s">
        <v>1674</v>
      </c>
      <c r="BP12" s="156">
        <f t="shared" si="2"/>
        <v>125.582477754962</v>
      </c>
      <c r="BQ12" s="156">
        <f t="shared" si="3"/>
        <v>0</v>
      </c>
      <c r="BR12" s="658">
        <f t="shared" si="4"/>
        <v>0</v>
      </c>
      <c r="BS12" s="347">
        <f t="shared" si="12"/>
        <v>0</v>
      </c>
      <c r="BU12" s="134" t="str">
        <f>IF(COUNTIF(BU$6:BU11,C12)&gt;0,"",C12)&amp;""</f>
        <v/>
      </c>
      <c r="BV12" s="138">
        <f t="shared" si="13"/>
        <v>0</v>
      </c>
      <c r="BW12" s="132">
        <f t="shared" si="14"/>
        <v>1</v>
      </c>
      <c r="BX12" s="138">
        <f t="shared" si="15"/>
        <v>0</v>
      </c>
      <c r="BY12" s="132">
        <f t="shared" si="16"/>
        <v>1</v>
      </c>
      <c r="BZ12" s="132">
        <v>4</v>
      </c>
      <c r="CA12" s="134" t="str">
        <f t="shared" si="17"/>
        <v/>
      </c>
      <c r="CB12" s="146" t="str">
        <f>IF(CA13="","","和")</f>
        <v/>
      </c>
    </row>
    <row r="13" ht="15" customHeight="1" spans="1:80">
      <c r="A13" s="123" t="str">
        <f>IF(B13="","",COUNT(A$6:A12)+1)</f>
        <v/>
      </c>
      <c r="B13" s="139"/>
      <c r="C13" s="141"/>
      <c r="D13" s="140"/>
      <c r="E13" s="140"/>
      <c r="F13" s="255"/>
      <c r="G13" s="142"/>
      <c r="H13" s="127" t="str">
        <f>IFERROR(VLOOKUP(G13,参数表!$H$2:$I$50,2,FALSE),"")</f>
        <v/>
      </c>
      <c r="I13" s="128" t="str">
        <f t="shared" si="6"/>
        <v/>
      </c>
      <c r="J13" s="128" t="str">
        <f t="shared" si="7"/>
        <v/>
      </c>
      <c r="K13" s="143"/>
      <c r="L13" s="143"/>
      <c r="M13" s="144"/>
      <c r="N13" s="129" t="str">
        <f t="shared" si="8"/>
        <v/>
      </c>
      <c r="O13" s="129" t="str">
        <f t="shared" si="0"/>
        <v/>
      </c>
      <c r="P13" s="129" t="str">
        <f t="shared" si="9"/>
        <v/>
      </c>
      <c r="Q13" s="129" t="str">
        <f t="shared" si="10"/>
        <v/>
      </c>
      <c r="R13" s="143"/>
      <c r="BA13" s="78"/>
      <c r="BB13" s="132" t="s">
        <v>3498</v>
      </c>
      <c r="BC13" s="133"/>
      <c r="BD13" s="132" t="str">
        <f>IF(OR(B13="",BC13=""),"",COUNTIF(BC$7:BC13,"√"))</f>
        <v/>
      </c>
      <c r="BE13" s="134" t="str">
        <f t="shared" si="1"/>
        <v/>
      </c>
      <c r="BF13" s="135" t="str">
        <f t="shared" si="11"/>
        <v/>
      </c>
      <c r="BG13" s="135" t="str">
        <f t="shared" si="11"/>
        <v/>
      </c>
      <c r="BH13" s="136"/>
      <c r="BI13" s="136"/>
      <c r="BJ13" s="136"/>
      <c r="BK13" s="136"/>
      <c r="BL13" s="136"/>
      <c r="BM13" s="137"/>
      <c r="BN13" s="137"/>
      <c r="BO13" s="165" t="s">
        <v>1674</v>
      </c>
      <c r="BP13" s="156">
        <f t="shared" si="2"/>
        <v>125.582477754962</v>
      </c>
      <c r="BQ13" s="156">
        <f t="shared" si="3"/>
        <v>0</v>
      </c>
      <c r="BR13" s="658">
        <f t="shared" si="4"/>
        <v>0</v>
      </c>
      <c r="BS13" s="347">
        <f t="shared" si="12"/>
        <v>0</v>
      </c>
      <c r="BU13" s="134" t="str">
        <f>IF(COUNTIF(BU$6:BU12,C13)&gt;0,"",C13)&amp;""</f>
        <v/>
      </c>
      <c r="BV13" s="138">
        <f t="shared" si="13"/>
        <v>0</v>
      </c>
      <c r="BW13" s="132">
        <f t="shared" si="14"/>
        <v>1</v>
      </c>
      <c r="BX13" s="138">
        <f t="shared" si="15"/>
        <v>0</v>
      </c>
      <c r="BY13" s="132">
        <f t="shared" si="16"/>
        <v>1</v>
      </c>
      <c r="BZ13" s="132">
        <v>5</v>
      </c>
      <c r="CA13" s="134" t="str">
        <f t="shared" si="17"/>
        <v/>
      </c>
      <c r="CB13" s="146"/>
    </row>
    <row r="14" ht="15" customHeight="1" spans="1:80">
      <c r="A14" s="123" t="str">
        <f>IF(B14="","",COUNT(A$6:A13)+1)</f>
        <v/>
      </c>
      <c r="B14" s="139"/>
      <c r="C14" s="141"/>
      <c r="D14" s="140"/>
      <c r="E14" s="140"/>
      <c r="F14" s="255"/>
      <c r="G14" s="142"/>
      <c r="H14" s="127" t="str">
        <f>IFERROR(VLOOKUP(G14,参数表!$H$2:$I$50,2,FALSE),"")</f>
        <v/>
      </c>
      <c r="I14" s="128" t="str">
        <f t="shared" si="6"/>
        <v/>
      </c>
      <c r="J14" s="128" t="str">
        <f t="shared" si="7"/>
        <v/>
      </c>
      <c r="K14" s="143"/>
      <c r="L14" s="143"/>
      <c r="M14" s="144"/>
      <c r="N14" s="129" t="str">
        <f t="shared" si="8"/>
        <v/>
      </c>
      <c r="O14" s="129" t="str">
        <f t="shared" si="0"/>
        <v/>
      </c>
      <c r="P14" s="129" t="str">
        <f t="shared" si="9"/>
        <v/>
      </c>
      <c r="Q14" s="129" t="str">
        <f t="shared" si="10"/>
        <v/>
      </c>
      <c r="R14" s="143"/>
      <c r="BA14" s="78"/>
      <c r="BB14" s="132" t="s">
        <v>3499</v>
      </c>
      <c r="BC14" s="133"/>
      <c r="BD14" s="132" t="str">
        <f>IF(OR(B14="",BC14=""),"",COUNTIF(BC$7:BC14,"√"))</f>
        <v/>
      </c>
      <c r="BE14" s="134" t="str">
        <f t="shared" si="1"/>
        <v/>
      </c>
      <c r="BF14" s="135" t="str">
        <f t="shared" si="11"/>
        <v/>
      </c>
      <c r="BG14" s="135" t="str">
        <f t="shared" si="11"/>
        <v/>
      </c>
      <c r="BH14" s="136"/>
      <c r="BI14" s="136"/>
      <c r="BJ14" s="136"/>
      <c r="BK14" s="136"/>
      <c r="BL14" s="136"/>
      <c r="BM14" s="137"/>
      <c r="BN14" s="137"/>
      <c r="BO14" s="165" t="s">
        <v>1674</v>
      </c>
      <c r="BP14" s="156">
        <f t="shared" si="2"/>
        <v>125.582477754962</v>
      </c>
      <c r="BQ14" s="156">
        <f t="shared" si="3"/>
        <v>0</v>
      </c>
      <c r="BR14" s="658">
        <f t="shared" si="4"/>
        <v>0</v>
      </c>
      <c r="BS14" s="347">
        <f t="shared" si="12"/>
        <v>0</v>
      </c>
      <c r="BU14" s="134" t="str">
        <f>IF(COUNTIF(BU$6:BU13,C14)&gt;0,"",C14)&amp;""</f>
        <v/>
      </c>
      <c r="BV14" s="138">
        <f t="shared" si="13"/>
        <v>0</v>
      </c>
      <c r="BW14" s="132">
        <f t="shared" si="14"/>
        <v>1</v>
      </c>
      <c r="BX14" s="138">
        <f t="shared" si="15"/>
        <v>0</v>
      </c>
      <c r="BY14" s="132">
        <f t="shared" si="16"/>
        <v>1</v>
      </c>
      <c r="BZ14" s="147" t="s">
        <v>1659</v>
      </c>
      <c r="CA14" s="132" t="str">
        <f>CONCATENATE(CA9,CB9,CA10,CB10,CA11,CB11,CA12,CB12,CA13)</f>
        <v/>
      </c>
      <c r="CB14" s="132"/>
    </row>
    <row r="15" ht="15" customHeight="1" spans="1:80">
      <c r="A15" s="123" t="str">
        <f>IF(B15="","",COUNT(A$6:A14)+1)</f>
        <v/>
      </c>
      <c r="B15" s="139"/>
      <c r="C15" s="141"/>
      <c r="D15" s="140"/>
      <c r="E15" s="140"/>
      <c r="F15" s="255"/>
      <c r="G15" s="142"/>
      <c r="H15" s="127" t="str">
        <f>IFERROR(VLOOKUP(G15,参数表!$H$2:$I$50,2,FALSE),"")</f>
        <v/>
      </c>
      <c r="I15" s="128" t="str">
        <f t="shared" si="6"/>
        <v/>
      </c>
      <c r="J15" s="128" t="str">
        <f t="shared" si="7"/>
        <v/>
      </c>
      <c r="K15" s="143"/>
      <c r="L15" s="143"/>
      <c r="M15" s="144"/>
      <c r="N15" s="129" t="str">
        <f t="shared" si="8"/>
        <v/>
      </c>
      <c r="O15" s="129" t="str">
        <f t="shared" si="0"/>
        <v/>
      </c>
      <c r="P15" s="129" t="str">
        <f t="shared" si="9"/>
        <v/>
      </c>
      <c r="Q15" s="129" t="str">
        <f t="shared" si="10"/>
        <v/>
      </c>
      <c r="R15" s="143"/>
      <c r="BA15" s="78"/>
      <c r="BB15" s="132" t="s">
        <v>3500</v>
      </c>
      <c r="BC15" s="133"/>
      <c r="BD15" s="132" t="str">
        <f>IF(OR(B15="",BC15=""),"",COUNTIF(BC$7:BC15,"√"))</f>
        <v/>
      </c>
      <c r="BE15" s="134" t="str">
        <f t="shared" si="1"/>
        <v/>
      </c>
      <c r="BF15" s="135" t="str">
        <f t="shared" si="11"/>
        <v/>
      </c>
      <c r="BG15" s="135" t="str">
        <f t="shared" si="11"/>
        <v/>
      </c>
      <c r="BH15" s="136"/>
      <c r="BI15" s="136"/>
      <c r="BJ15" s="136"/>
      <c r="BK15" s="136"/>
      <c r="BL15" s="136"/>
      <c r="BM15" s="137"/>
      <c r="BN15" s="137"/>
      <c r="BO15" s="165" t="s">
        <v>1674</v>
      </c>
      <c r="BP15" s="156">
        <f t="shared" si="2"/>
        <v>125.582477754962</v>
      </c>
      <c r="BQ15" s="156">
        <f t="shared" si="3"/>
        <v>0</v>
      </c>
      <c r="BR15" s="658">
        <f t="shared" si="4"/>
        <v>0</v>
      </c>
      <c r="BS15" s="347">
        <f t="shared" si="12"/>
        <v>0</v>
      </c>
      <c r="BU15" s="134" t="str">
        <f>IF(COUNTIF(BU$6:BU14,C15)&gt;0,"",C15)&amp;""</f>
        <v/>
      </c>
      <c r="BV15" s="138">
        <f t="shared" si="13"/>
        <v>0</v>
      </c>
      <c r="BW15" s="132">
        <f t="shared" si="14"/>
        <v>1</v>
      </c>
      <c r="BX15" s="138">
        <f t="shared" si="15"/>
        <v>0</v>
      </c>
      <c r="BY15" s="132">
        <f t="shared" si="16"/>
        <v>1</v>
      </c>
      <c r="BZ15" s="133"/>
      <c r="CA15" s="133"/>
    </row>
    <row r="16" ht="15" customHeight="1" spans="1:80">
      <c r="A16" s="123" t="str">
        <f>IF(B16="","",COUNT(A$6:A15)+1)</f>
        <v/>
      </c>
      <c r="B16" s="139"/>
      <c r="C16" s="141"/>
      <c r="D16" s="140"/>
      <c r="E16" s="140"/>
      <c r="F16" s="255"/>
      <c r="G16" s="142"/>
      <c r="H16" s="127" t="str">
        <f>IFERROR(VLOOKUP(G16,参数表!$H$2:$I$50,2,FALSE),"")</f>
        <v/>
      </c>
      <c r="I16" s="128" t="str">
        <f t="shared" si="6"/>
        <v/>
      </c>
      <c r="J16" s="128" t="str">
        <f t="shared" si="7"/>
        <v/>
      </c>
      <c r="K16" s="143"/>
      <c r="L16" s="143"/>
      <c r="M16" s="144"/>
      <c r="N16" s="129" t="str">
        <f t="shared" si="8"/>
        <v/>
      </c>
      <c r="O16" s="129" t="str">
        <f t="shared" si="0"/>
        <v/>
      </c>
      <c r="P16" s="129" t="str">
        <f t="shared" si="9"/>
        <v/>
      </c>
      <c r="Q16" s="129" t="str">
        <f t="shared" si="10"/>
        <v/>
      </c>
      <c r="R16" s="143"/>
      <c r="BA16" s="78"/>
      <c r="BB16" s="132" t="s">
        <v>3501</v>
      </c>
      <c r="BC16" s="133"/>
      <c r="BD16" s="132" t="str">
        <f>IF(OR(B16="",BC16=""),"",COUNTIF(BC$7:BC16,"√"))</f>
        <v/>
      </c>
      <c r="BE16" s="134" t="str">
        <f t="shared" si="1"/>
        <v/>
      </c>
      <c r="BF16" s="135" t="str">
        <f t="shared" si="11"/>
        <v/>
      </c>
      <c r="BG16" s="135" t="str">
        <f t="shared" si="11"/>
        <v/>
      </c>
      <c r="BH16" s="136"/>
      <c r="BI16" s="136"/>
      <c r="BJ16" s="136"/>
      <c r="BK16" s="136"/>
      <c r="BL16" s="136"/>
      <c r="BM16" s="137"/>
      <c r="BN16" s="137"/>
      <c r="BO16" s="165" t="s">
        <v>1674</v>
      </c>
      <c r="BP16" s="156">
        <f t="shared" si="2"/>
        <v>125.582477754962</v>
      </c>
      <c r="BQ16" s="156">
        <f t="shared" si="3"/>
        <v>0</v>
      </c>
      <c r="BR16" s="658">
        <f t="shared" si="4"/>
        <v>0</v>
      </c>
      <c r="BS16" s="347">
        <f t="shared" si="12"/>
        <v>0</v>
      </c>
      <c r="BU16" s="134" t="str">
        <f>IF(COUNTIF(BU$6:BU15,C16)&gt;0,"",C16)&amp;""</f>
        <v/>
      </c>
      <c r="BV16" s="138">
        <f t="shared" si="13"/>
        <v>0</v>
      </c>
      <c r="BW16" s="132">
        <f t="shared" si="14"/>
        <v>1</v>
      </c>
      <c r="BX16" s="138">
        <f t="shared" si="15"/>
        <v>0</v>
      </c>
      <c r="BY16" s="132">
        <f t="shared" si="16"/>
        <v>1</v>
      </c>
      <c r="BZ16" s="133"/>
      <c r="CA16" s="148"/>
    </row>
    <row r="17" ht="15" customHeight="1" spans="1:80">
      <c r="A17" s="123" t="str">
        <f>IF(B17="","",COUNT(A$6:A16)+1)</f>
        <v/>
      </c>
      <c r="B17" s="139"/>
      <c r="C17" s="141"/>
      <c r="D17" s="140"/>
      <c r="E17" s="140"/>
      <c r="F17" s="255"/>
      <c r="G17" s="142"/>
      <c r="H17" s="127" t="str">
        <f>IFERROR(VLOOKUP(G17,参数表!$H$2:$I$50,2,FALSE),"")</f>
        <v/>
      </c>
      <c r="I17" s="128" t="str">
        <f t="shared" si="6"/>
        <v/>
      </c>
      <c r="J17" s="128" t="str">
        <f t="shared" si="7"/>
        <v/>
      </c>
      <c r="K17" s="143"/>
      <c r="L17" s="143"/>
      <c r="M17" s="144"/>
      <c r="N17" s="129" t="str">
        <f t="shared" si="8"/>
        <v/>
      </c>
      <c r="O17" s="129" t="str">
        <f t="shared" si="0"/>
        <v/>
      </c>
      <c r="P17" s="129" t="str">
        <f t="shared" si="9"/>
        <v/>
      </c>
      <c r="Q17" s="129" t="str">
        <f t="shared" si="10"/>
        <v/>
      </c>
      <c r="R17" s="143"/>
      <c r="BA17" s="78"/>
      <c r="BB17" s="132" t="s">
        <v>3502</v>
      </c>
      <c r="BC17" s="133"/>
      <c r="BD17" s="132" t="str">
        <f>IF(OR(B17="",BC17=""),"",COUNTIF(BC$7:BC17,"√"))</f>
        <v/>
      </c>
      <c r="BE17" s="134" t="str">
        <f t="shared" si="1"/>
        <v/>
      </c>
      <c r="BF17" s="135" t="str">
        <f t="shared" si="11"/>
        <v/>
      </c>
      <c r="BG17" s="135" t="str">
        <f t="shared" si="11"/>
        <v/>
      </c>
      <c r="BH17" s="136"/>
      <c r="BI17" s="136"/>
      <c r="BJ17" s="136"/>
      <c r="BK17" s="136"/>
      <c r="BL17" s="136"/>
      <c r="BM17" s="137"/>
      <c r="BN17" s="137"/>
      <c r="BO17" s="165" t="s">
        <v>1674</v>
      </c>
      <c r="BP17" s="156">
        <f t="shared" si="2"/>
        <v>125.582477754962</v>
      </c>
      <c r="BQ17" s="156">
        <f t="shared" si="3"/>
        <v>0</v>
      </c>
      <c r="BR17" s="658">
        <f t="shared" si="4"/>
        <v>0</v>
      </c>
      <c r="BS17" s="347">
        <f t="shared" si="12"/>
        <v>0</v>
      </c>
      <c r="BU17" s="134" t="str">
        <f>IF(COUNTIF(BU$6:BU16,C17)&gt;0,"",C17)&amp;""</f>
        <v/>
      </c>
      <c r="BV17" s="138">
        <f t="shared" si="13"/>
        <v>0</v>
      </c>
      <c r="BW17" s="132">
        <f t="shared" si="14"/>
        <v>1</v>
      </c>
      <c r="BX17" s="138">
        <f t="shared" si="15"/>
        <v>0</v>
      </c>
      <c r="BY17" s="132">
        <f t="shared" si="16"/>
        <v>1</v>
      </c>
      <c r="BZ17" s="133"/>
      <c r="CA17" s="133"/>
    </row>
    <row r="18" ht="15" customHeight="1" spans="1:80">
      <c r="A18" s="123" t="str">
        <f>IF(B18="","",COUNT(A$6:A17)+1)</f>
        <v/>
      </c>
      <c r="B18" s="139"/>
      <c r="C18" s="141"/>
      <c r="D18" s="140"/>
      <c r="E18" s="140"/>
      <c r="F18" s="255"/>
      <c r="G18" s="142"/>
      <c r="H18" s="127" t="str">
        <f>IFERROR(VLOOKUP(G18,参数表!$H$2:$I$50,2,FALSE),"")</f>
        <v/>
      </c>
      <c r="I18" s="128" t="str">
        <f t="shared" si="6"/>
        <v/>
      </c>
      <c r="J18" s="128" t="str">
        <f t="shared" si="7"/>
        <v/>
      </c>
      <c r="K18" s="143"/>
      <c r="L18" s="143"/>
      <c r="M18" s="144"/>
      <c r="N18" s="129" t="str">
        <f t="shared" si="8"/>
        <v/>
      </c>
      <c r="O18" s="129" t="str">
        <f t="shared" si="0"/>
        <v/>
      </c>
      <c r="P18" s="129" t="str">
        <f t="shared" si="9"/>
        <v/>
      </c>
      <c r="Q18" s="129" t="str">
        <f t="shared" si="10"/>
        <v/>
      </c>
      <c r="R18" s="143"/>
      <c r="BA18" s="78"/>
      <c r="BB18" s="132" t="s">
        <v>3503</v>
      </c>
      <c r="BC18" s="133"/>
      <c r="BD18" s="132" t="str">
        <f>IF(OR(B18="",BC18=""),"",COUNTIF(BC$7:BC18,"√"))</f>
        <v/>
      </c>
      <c r="BE18" s="134" t="str">
        <f t="shared" si="1"/>
        <v/>
      </c>
      <c r="BF18" s="135" t="str">
        <f t="shared" si="11"/>
        <v/>
      </c>
      <c r="BG18" s="135" t="str">
        <f t="shared" si="11"/>
        <v/>
      </c>
      <c r="BH18" s="136"/>
      <c r="BI18" s="136"/>
      <c r="BJ18" s="136"/>
      <c r="BK18" s="136"/>
      <c r="BL18" s="136"/>
      <c r="BM18" s="137"/>
      <c r="BN18" s="137"/>
      <c r="BO18" s="165" t="s">
        <v>1674</v>
      </c>
      <c r="BP18" s="156">
        <f t="shared" si="2"/>
        <v>125.582477754962</v>
      </c>
      <c r="BQ18" s="156">
        <f t="shared" si="3"/>
        <v>0</v>
      </c>
      <c r="BR18" s="658">
        <f t="shared" si="4"/>
        <v>0</v>
      </c>
      <c r="BS18" s="347">
        <f t="shared" si="12"/>
        <v>0</v>
      </c>
      <c r="BU18" s="134" t="str">
        <f>IF(COUNTIF(BU$6:BU17,C18)&gt;0,"",C18)&amp;""</f>
        <v/>
      </c>
      <c r="BV18" s="138">
        <f t="shared" si="13"/>
        <v>0</v>
      </c>
      <c r="BW18" s="132">
        <f t="shared" si="14"/>
        <v>1</v>
      </c>
      <c r="BX18" s="138">
        <f t="shared" si="15"/>
        <v>0</v>
      </c>
      <c r="BY18" s="132">
        <f t="shared" si="16"/>
        <v>1</v>
      </c>
      <c r="BZ18" s="133"/>
      <c r="CA18" s="133"/>
    </row>
    <row r="19" ht="15" customHeight="1" spans="1:80">
      <c r="A19" s="123" t="str">
        <f>IF(B19="","",COUNT(A$6:A18)+1)</f>
        <v/>
      </c>
      <c r="B19" s="139"/>
      <c r="C19" s="141"/>
      <c r="D19" s="140"/>
      <c r="E19" s="140"/>
      <c r="F19" s="255"/>
      <c r="G19" s="142"/>
      <c r="H19" s="127" t="str">
        <f>IFERROR(VLOOKUP(G19,参数表!$H$2:$I$50,2,FALSE),"")</f>
        <v/>
      </c>
      <c r="I19" s="128" t="str">
        <f t="shared" si="6"/>
        <v/>
      </c>
      <c r="J19" s="128" t="str">
        <f t="shared" si="7"/>
        <v/>
      </c>
      <c r="K19" s="143"/>
      <c r="L19" s="143"/>
      <c r="M19" s="144"/>
      <c r="N19" s="129" t="str">
        <f t="shared" si="8"/>
        <v/>
      </c>
      <c r="O19" s="129" t="str">
        <f t="shared" si="0"/>
        <v/>
      </c>
      <c r="P19" s="129" t="str">
        <f t="shared" si="9"/>
        <v/>
      </c>
      <c r="Q19" s="129" t="str">
        <f t="shared" si="10"/>
        <v/>
      </c>
      <c r="R19" s="143"/>
      <c r="BA19" s="78"/>
      <c r="BB19" s="132" t="s">
        <v>3504</v>
      </c>
      <c r="BC19" s="133"/>
      <c r="BD19" s="132" t="str">
        <f>IF(OR(B19="",BC19=""),"",COUNTIF(BC$7:BC19,"√"))</f>
        <v/>
      </c>
      <c r="BE19" s="134" t="str">
        <f t="shared" si="1"/>
        <v/>
      </c>
      <c r="BF19" s="135" t="str">
        <f t="shared" si="11"/>
        <v/>
      </c>
      <c r="BG19" s="135" t="str">
        <f t="shared" si="11"/>
        <v/>
      </c>
      <c r="BH19" s="136"/>
      <c r="BI19" s="136"/>
      <c r="BJ19" s="136"/>
      <c r="BK19" s="136"/>
      <c r="BL19" s="136"/>
      <c r="BM19" s="137"/>
      <c r="BN19" s="137"/>
      <c r="BO19" s="165" t="s">
        <v>1674</v>
      </c>
      <c r="BP19" s="156">
        <f t="shared" si="2"/>
        <v>125.582477754962</v>
      </c>
      <c r="BQ19" s="156">
        <f t="shared" si="3"/>
        <v>0</v>
      </c>
      <c r="BR19" s="658">
        <f t="shared" si="4"/>
        <v>0</v>
      </c>
      <c r="BS19" s="347">
        <f t="shared" si="12"/>
        <v>0</v>
      </c>
      <c r="BU19" s="134" t="str">
        <f>IF(COUNTIF(BU$6:BU18,C19)&gt;0,"",C19)&amp;""</f>
        <v/>
      </c>
      <c r="BV19" s="138">
        <f t="shared" si="13"/>
        <v>0</v>
      </c>
      <c r="BW19" s="132">
        <f t="shared" si="14"/>
        <v>1</v>
      </c>
      <c r="BX19" s="138">
        <f t="shared" si="15"/>
        <v>0</v>
      </c>
      <c r="BY19" s="132">
        <f t="shared" si="16"/>
        <v>1</v>
      </c>
      <c r="BZ19" s="133"/>
      <c r="CA19" s="133"/>
    </row>
    <row r="20" ht="15" customHeight="1" spans="1:80">
      <c r="A20" s="123" t="str">
        <f>IF(B20="","",COUNT(A$6:A19)+1)</f>
        <v/>
      </c>
      <c r="B20" s="139"/>
      <c r="C20" s="141"/>
      <c r="D20" s="140"/>
      <c r="E20" s="140"/>
      <c r="F20" s="255"/>
      <c r="G20" s="142"/>
      <c r="H20" s="127" t="str">
        <f>IFERROR(VLOOKUP(G20,参数表!$H$2:$I$50,2,FALSE),"")</f>
        <v/>
      </c>
      <c r="I20" s="128" t="str">
        <f t="shared" si="6"/>
        <v/>
      </c>
      <c r="J20" s="128" t="str">
        <f t="shared" si="7"/>
        <v/>
      </c>
      <c r="K20" s="143"/>
      <c r="L20" s="143"/>
      <c r="M20" s="144"/>
      <c r="N20" s="129" t="str">
        <f t="shared" si="8"/>
        <v/>
      </c>
      <c r="O20" s="129" t="str">
        <f t="shared" si="0"/>
        <v/>
      </c>
      <c r="P20" s="129" t="str">
        <f t="shared" si="9"/>
        <v/>
      </c>
      <c r="Q20" s="129" t="str">
        <f t="shared" si="10"/>
        <v/>
      </c>
      <c r="R20" s="143"/>
      <c r="BA20" s="78"/>
      <c r="BB20" s="132" t="s">
        <v>3505</v>
      </c>
      <c r="BC20" s="133"/>
      <c r="BD20" s="132" t="str">
        <f>IF(OR(B20="",BC20=""),"",COUNTIF(BC$7:BC20,"√"))</f>
        <v/>
      </c>
      <c r="BE20" s="134" t="str">
        <f t="shared" si="1"/>
        <v/>
      </c>
      <c r="BF20" s="135" t="str">
        <f t="shared" si="11"/>
        <v/>
      </c>
      <c r="BG20" s="135" t="str">
        <f t="shared" si="11"/>
        <v/>
      </c>
      <c r="BH20" s="136"/>
      <c r="BI20" s="136"/>
      <c r="BJ20" s="136"/>
      <c r="BK20" s="136"/>
      <c r="BL20" s="136"/>
      <c r="BM20" s="137"/>
      <c r="BN20" s="137"/>
      <c r="BO20" s="165" t="s">
        <v>1674</v>
      </c>
      <c r="BP20" s="156">
        <f t="shared" si="2"/>
        <v>125.582477754962</v>
      </c>
      <c r="BQ20" s="156">
        <f t="shared" si="3"/>
        <v>0</v>
      </c>
      <c r="BR20" s="658">
        <f t="shared" si="4"/>
        <v>0</v>
      </c>
      <c r="BS20" s="347">
        <f t="shared" si="12"/>
        <v>0</v>
      </c>
      <c r="BU20" s="134" t="str">
        <f>IF(COUNTIF(BU$6:BU19,C20)&gt;0,"",C20)&amp;""</f>
        <v/>
      </c>
      <c r="BV20" s="138">
        <f t="shared" si="13"/>
        <v>0</v>
      </c>
      <c r="BW20" s="132">
        <f t="shared" si="14"/>
        <v>1</v>
      </c>
      <c r="BX20" s="138">
        <f t="shared" si="15"/>
        <v>0</v>
      </c>
      <c r="BY20" s="132">
        <f t="shared" si="16"/>
        <v>1</v>
      </c>
      <c r="BZ20" s="133"/>
      <c r="CA20" s="133"/>
    </row>
    <row r="21" ht="15" customHeight="1" spans="1:80">
      <c r="A21" s="123" t="str">
        <f>IF(B21="","",COUNT(A$6:A20)+1)</f>
        <v/>
      </c>
      <c r="B21" s="139"/>
      <c r="C21" s="141"/>
      <c r="D21" s="140"/>
      <c r="E21" s="140"/>
      <c r="F21" s="255"/>
      <c r="G21" s="142"/>
      <c r="H21" s="127" t="str">
        <f>IFERROR(VLOOKUP(G21,参数表!$H$2:$I$50,2,FALSE),"")</f>
        <v/>
      </c>
      <c r="I21" s="128" t="str">
        <f t="shared" si="6"/>
        <v/>
      </c>
      <c r="J21" s="128" t="str">
        <f t="shared" si="7"/>
        <v/>
      </c>
      <c r="K21" s="143"/>
      <c r="L21" s="143"/>
      <c r="M21" s="144"/>
      <c r="N21" s="129" t="str">
        <f t="shared" si="8"/>
        <v/>
      </c>
      <c r="O21" s="129" t="str">
        <f t="shared" si="0"/>
        <v/>
      </c>
      <c r="P21" s="129" t="str">
        <f t="shared" si="9"/>
        <v/>
      </c>
      <c r="Q21" s="129" t="str">
        <f t="shared" si="10"/>
        <v/>
      </c>
      <c r="R21" s="143"/>
      <c r="BA21" s="78"/>
      <c r="BB21" s="132" t="s">
        <v>3506</v>
      </c>
      <c r="BC21" s="133"/>
      <c r="BD21" s="132" t="str">
        <f>IF(OR(B21="",BC21=""),"",COUNTIF(BC$7:BC21,"√"))</f>
        <v/>
      </c>
      <c r="BE21" s="134" t="str">
        <f t="shared" si="1"/>
        <v/>
      </c>
      <c r="BF21" s="135" t="str">
        <f t="shared" si="11"/>
        <v/>
      </c>
      <c r="BG21" s="135" t="str">
        <f t="shared" si="11"/>
        <v/>
      </c>
      <c r="BH21" s="136"/>
      <c r="BI21" s="136"/>
      <c r="BJ21" s="136"/>
      <c r="BK21" s="136"/>
      <c r="BL21" s="136"/>
      <c r="BM21" s="137"/>
      <c r="BN21" s="137"/>
      <c r="BO21" s="165" t="s">
        <v>1674</v>
      </c>
      <c r="BP21" s="156">
        <f t="shared" si="2"/>
        <v>125.582477754962</v>
      </c>
      <c r="BQ21" s="156">
        <f t="shared" si="3"/>
        <v>0</v>
      </c>
      <c r="BR21" s="658">
        <f t="shared" si="4"/>
        <v>0</v>
      </c>
      <c r="BS21" s="347">
        <f t="shared" si="12"/>
        <v>0</v>
      </c>
      <c r="BU21" s="134" t="str">
        <f>IF(COUNTIF(BU$6:BU20,C21)&gt;0,"",C21)&amp;""</f>
        <v/>
      </c>
      <c r="BV21" s="138">
        <f t="shared" si="13"/>
        <v>0</v>
      </c>
      <c r="BW21" s="132">
        <f t="shared" si="14"/>
        <v>1</v>
      </c>
      <c r="BX21" s="138">
        <f t="shared" si="15"/>
        <v>0</v>
      </c>
      <c r="BY21" s="132">
        <f t="shared" si="16"/>
        <v>1</v>
      </c>
      <c r="BZ21" s="133"/>
      <c r="CA21" s="133"/>
    </row>
    <row r="22" ht="15" customHeight="1" spans="1:80">
      <c r="A22" s="123" t="str">
        <f>IF(B22="","",COUNT(A$6:A21)+1)</f>
        <v/>
      </c>
      <c r="B22" s="139"/>
      <c r="C22" s="141"/>
      <c r="D22" s="140"/>
      <c r="E22" s="140"/>
      <c r="F22" s="255"/>
      <c r="G22" s="142"/>
      <c r="H22" s="127" t="str">
        <f>IFERROR(VLOOKUP(G22,参数表!$H$2:$I$50,2,FALSE),"")</f>
        <v/>
      </c>
      <c r="I22" s="128" t="str">
        <f t="shared" si="6"/>
        <v/>
      </c>
      <c r="J22" s="128" t="str">
        <f t="shared" si="7"/>
        <v/>
      </c>
      <c r="K22" s="143"/>
      <c r="L22" s="143"/>
      <c r="M22" s="144"/>
      <c r="N22" s="129" t="str">
        <f t="shared" si="8"/>
        <v/>
      </c>
      <c r="O22" s="129" t="str">
        <f t="shared" si="0"/>
        <v/>
      </c>
      <c r="P22" s="129" t="str">
        <f t="shared" si="9"/>
        <v/>
      </c>
      <c r="Q22" s="129" t="str">
        <f t="shared" si="10"/>
        <v/>
      </c>
      <c r="R22" s="143"/>
      <c r="BA22" s="78"/>
      <c r="BB22" s="132" t="s">
        <v>3507</v>
      </c>
      <c r="BC22" s="133"/>
      <c r="BD22" s="132" t="str">
        <f>IF(OR(B22="",BC22=""),"",COUNTIF(BC$7:BC22,"√"))</f>
        <v/>
      </c>
      <c r="BE22" s="134" t="str">
        <f t="shared" si="1"/>
        <v/>
      </c>
      <c r="BF22" s="135" t="str">
        <f t="shared" si="11"/>
        <v/>
      </c>
      <c r="BG22" s="135" t="str">
        <f t="shared" si="11"/>
        <v/>
      </c>
      <c r="BH22" s="136"/>
      <c r="BI22" s="136"/>
      <c r="BJ22" s="136"/>
      <c r="BK22" s="136"/>
      <c r="BL22" s="136"/>
      <c r="BM22" s="137"/>
      <c r="BN22" s="137"/>
      <c r="BO22" s="165" t="s">
        <v>1674</v>
      </c>
      <c r="BP22" s="156">
        <f t="shared" si="2"/>
        <v>125.582477754962</v>
      </c>
      <c r="BQ22" s="156">
        <f t="shared" si="3"/>
        <v>0</v>
      </c>
      <c r="BR22" s="658">
        <f t="shared" si="4"/>
        <v>0</v>
      </c>
      <c r="BS22" s="347">
        <f t="shared" si="12"/>
        <v>0</v>
      </c>
      <c r="BU22" s="134" t="str">
        <f>IF(COUNTIF(BU$6:BU21,C22)&gt;0,"",C22)&amp;""</f>
        <v/>
      </c>
      <c r="BV22" s="138">
        <f t="shared" si="13"/>
        <v>0</v>
      </c>
      <c r="BW22" s="132">
        <f t="shared" si="14"/>
        <v>1</v>
      </c>
      <c r="BX22" s="138">
        <f t="shared" si="15"/>
        <v>0</v>
      </c>
      <c r="BY22" s="132">
        <f t="shared" si="16"/>
        <v>1</v>
      </c>
      <c r="BZ22" s="133"/>
      <c r="CA22" s="133"/>
    </row>
    <row r="23" ht="15" customHeight="1" spans="1:80">
      <c r="A23" s="123" t="str">
        <f>IF(B23="","",COUNT(A$6:A22)+1)</f>
        <v/>
      </c>
      <c r="B23" s="139"/>
      <c r="C23" s="141"/>
      <c r="D23" s="140"/>
      <c r="E23" s="140"/>
      <c r="F23" s="255"/>
      <c r="G23" s="142"/>
      <c r="H23" s="127" t="str">
        <f>IFERROR(VLOOKUP(G23,参数表!$H$2:$I$50,2,FALSE),"")</f>
        <v/>
      </c>
      <c r="I23" s="128" t="str">
        <f t="shared" si="6"/>
        <v/>
      </c>
      <c r="J23" s="128" t="str">
        <f t="shared" si="7"/>
        <v/>
      </c>
      <c r="K23" s="143"/>
      <c r="L23" s="143"/>
      <c r="M23" s="144"/>
      <c r="N23" s="129" t="str">
        <f t="shared" si="8"/>
        <v/>
      </c>
      <c r="O23" s="129" t="str">
        <f t="shared" si="0"/>
        <v/>
      </c>
      <c r="P23" s="129" t="str">
        <f t="shared" si="9"/>
        <v/>
      </c>
      <c r="Q23" s="129" t="str">
        <f t="shared" si="10"/>
        <v/>
      </c>
      <c r="R23" s="143"/>
      <c r="BA23" s="78"/>
      <c r="BB23" s="132" t="s">
        <v>3508</v>
      </c>
      <c r="BC23" s="133"/>
      <c r="BD23" s="132" t="str">
        <f>IF(OR(B23="",BC23=""),"",COUNTIF(BC$7:BC23,"√"))</f>
        <v/>
      </c>
      <c r="BE23" s="134" t="str">
        <f t="shared" si="1"/>
        <v/>
      </c>
      <c r="BF23" s="135" t="str">
        <f t="shared" si="11"/>
        <v/>
      </c>
      <c r="BG23" s="135" t="str">
        <f t="shared" si="11"/>
        <v/>
      </c>
      <c r="BH23" s="136"/>
      <c r="BI23" s="136"/>
      <c r="BJ23" s="136"/>
      <c r="BK23" s="136"/>
      <c r="BL23" s="136"/>
      <c r="BM23" s="137"/>
      <c r="BN23" s="137"/>
      <c r="BO23" s="165" t="s">
        <v>1674</v>
      </c>
      <c r="BP23" s="156">
        <f t="shared" si="2"/>
        <v>125.582477754962</v>
      </c>
      <c r="BQ23" s="156">
        <f t="shared" si="3"/>
        <v>0</v>
      </c>
      <c r="BR23" s="658">
        <f t="shared" si="4"/>
        <v>0</v>
      </c>
      <c r="BS23" s="347">
        <f t="shared" si="12"/>
        <v>0</v>
      </c>
      <c r="BU23" s="134" t="str">
        <f>IF(COUNTIF(BU$6:BU22,C23)&gt;0,"",C23)&amp;""</f>
        <v/>
      </c>
      <c r="BV23" s="138">
        <f t="shared" si="13"/>
        <v>0</v>
      </c>
      <c r="BW23" s="132">
        <f t="shared" si="14"/>
        <v>1</v>
      </c>
      <c r="BX23" s="138">
        <f t="shared" si="15"/>
        <v>0</v>
      </c>
      <c r="BY23" s="132">
        <f t="shared" si="16"/>
        <v>1</v>
      </c>
      <c r="BZ23" s="133"/>
      <c r="CA23" s="133"/>
    </row>
    <row r="24" ht="15" customHeight="1" spans="1:80">
      <c r="A24" s="123" t="str">
        <f>IF(B24="","",COUNT(A$6:A23)+1)</f>
        <v/>
      </c>
      <c r="B24" s="139"/>
      <c r="C24" s="141"/>
      <c r="D24" s="140"/>
      <c r="E24" s="140"/>
      <c r="F24" s="255"/>
      <c r="G24" s="142"/>
      <c r="H24" s="127" t="str">
        <f>IFERROR(VLOOKUP(G24,参数表!$H$2:$I$50,2,FALSE),"")</f>
        <v/>
      </c>
      <c r="I24" s="128" t="str">
        <f t="shared" si="6"/>
        <v/>
      </c>
      <c r="J24" s="128" t="str">
        <f t="shared" si="7"/>
        <v/>
      </c>
      <c r="K24" s="143"/>
      <c r="L24" s="143"/>
      <c r="M24" s="144"/>
      <c r="N24" s="129" t="str">
        <f t="shared" si="8"/>
        <v/>
      </c>
      <c r="O24" s="129" t="str">
        <f t="shared" si="0"/>
        <v/>
      </c>
      <c r="P24" s="129" t="str">
        <f t="shared" si="9"/>
        <v/>
      </c>
      <c r="Q24" s="129" t="str">
        <f t="shared" si="10"/>
        <v/>
      </c>
      <c r="R24" s="143"/>
      <c r="BA24" s="78"/>
      <c r="BB24" s="132" t="s">
        <v>3509</v>
      </c>
      <c r="BC24" s="133"/>
      <c r="BD24" s="132" t="str">
        <f>IF(OR(B24="",BC24=""),"",COUNTIF(BC$7:BC24,"√"))</f>
        <v/>
      </c>
      <c r="BE24" s="134" t="str">
        <f t="shared" si="1"/>
        <v/>
      </c>
      <c r="BF24" s="135" t="str">
        <f t="shared" si="11"/>
        <v/>
      </c>
      <c r="BG24" s="135" t="str">
        <f t="shared" si="11"/>
        <v/>
      </c>
      <c r="BH24" s="136"/>
      <c r="BI24" s="136"/>
      <c r="BJ24" s="136"/>
      <c r="BK24" s="136"/>
      <c r="BL24" s="136"/>
      <c r="BM24" s="137"/>
      <c r="BN24" s="137"/>
      <c r="BO24" s="165" t="s">
        <v>1674</v>
      </c>
      <c r="BP24" s="156">
        <f t="shared" si="2"/>
        <v>125.582477754962</v>
      </c>
      <c r="BQ24" s="156">
        <f t="shared" si="3"/>
        <v>0</v>
      </c>
      <c r="BR24" s="658">
        <f t="shared" si="4"/>
        <v>0</v>
      </c>
      <c r="BS24" s="347">
        <f t="shared" si="12"/>
        <v>0</v>
      </c>
      <c r="BU24" s="134" t="str">
        <f>IF(COUNTIF(BU$6:BU23,C24)&gt;0,"",C24)&amp;""</f>
        <v/>
      </c>
      <c r="BV24" s="138">
        <f t="shared" si="13"/>
        <v>0</v>
      </c>
      <c r="BW24" s="132">
        <f t="shared" si="14"/>
        <v>1</v>
      </c>
      <c r="BX24" s="138">
        <f t="shared" si="15"/>
        <v>0</v>
      </c>
      <c r="BY24" s="132">
        <f t="shared" si="16"/>
        <v>1</v>
      </c>
      <c r="BZ24" s="133"/>
      <c r="CA24" s="133"/>
    </row>
    <row r="25" ht="15" customHeight="1" spans="1:80">
      <c r="A25" s="123" t="str">
        <f>IF(B25="","",COUNT(A$6:A24)+1)</f>
        <v/>
      </c>
      <c r="B25" s="139"/>
      <c r="C25" s="141"/>
      <c r="D25" s="140"/>
      <c r="E25" s="140"/>
      <c r="F25" s="255"/>
      <c r="G25" s="142"/>
      <c r="H25" s="127" t="str">
        <f>IFERROR(VLOOKUP(G25,参数表!$H$2:$I$50,2,FALSE),"")</f>
        <v/>
      </c>
      <c r="I25" s="128" t="str">
        <f t="shared" si="6"/>
        <v/>
      </c>
      <c r="J25" s="128" t="str">
        <f t="shared" si="7"/>
        <v/>
      </c>
      <c r="K25" s="143"/>
      <c r="L25" s="143"/>
      <c r="M25" s="144"/>
      <c r="N25" s="129" t="str">
        <f t="shared" si="8"/>
        <v/>
      </c>
      <c r="O25" s="129" t="str">
        <f t="shared" si="0"/>
        <v/>
      </c>
      <c r="P25" s="129" t="str">
        <f t="shared" si="9"/>
        <v/>
      </c>
      <c r="Q25" s="129" t="str">
        <f t="shared" si="10"/>
        <v/>
      </c>
      <c r="R25" s="143"/>
      <c r="BA25" s="78"/>
      <c r="BB25" s="132" t="s">
        <v>3510</v>
      </c>
      <c r="BC25" s="133"/>
      <c r="BD25" s="132" t="str">
        <f>IF(OR(B25="",BC25=""),"",COUNTIF(BC$7:BC25,"√"))</f>
        <v/>
      </c>
      <c r="BE25" s="134" t="str">
        <f t="shared" si="1"/>
        <v/>
      </c>
      <c r="BF25" s="135" t="str">
        <f t="shared" si="11"/>
        <v/>
      </c>
      <c r="BG25" s="135" t="str">
        <f t="shared" si="11"/>
        <v/>
      </c>
      <c r="BH25" s="136"/>
      <c r="BI25" s="136"/>
      <c r="BJ25" s="136"/>
      <c r="BK25" s="136"/>
      <c r="BL25" s="136"/>
      <c r="BM25" s="137"/>
      <c r="BN25" s="137"/>
      <c r="BO25" s="165" t="s">
        <v>1674</v>
      </c>
      <c r="BP25" s="156">
        <f t="shared" si="2"/>
        <v>125.582477754962</v>
      </c>
      <c r="BQ25" s="156">
        <f t="shared" si="3"/>
        <v>0</v>
      </c>
      <c r="BR25" s="658">
        <f t="shared" si="4"/>
        <v>0</v>
      </c>
      <c r="BS25" s="347">
        <f t="shared" si="12"/>
        <v>0</v>
      </c>
      <c r="BU25" s="134" t="str">
        <f>IF(COUNTIF(BU$6:BU24,C25)&gt;0,"",C25)&amp;""</f>
        <v/>
      </c>
      <c r="BV25" s="138">
        <f t="shared" si="13"/>
        <v>0</v>
      </c>
      <c r="BW25" s="132">
        <f t="shared" si="14"/>
        <v>1</v>
      </c>
      <c r="BX25" s="138">
        <f t="shared" si="15"/>
        <v>0</v>
      </c>
      <c r="BY25" s="132">
        <f t="shared" si="16"/>
        <v>1</v>
      </c>
      <c r="BZ25" s="133"/>
      <c r="CA25" s="133"/>
    </row>
    <row r="26" ht="15" customHeight="1" spans="1:80">
      <c r="A26" s="123" t="str">
        <f>IF(B26="","",COUNT(A$6:A25)+1)</f>
        <v/>
      </c>
      <c r="B26" s="124"/>
      <c r="C26" s="126"/>
      <c r="D26" s="125"/>
      <c r="E26" s="125"/>
      <c r="F26" s="225"/>
      <c r="G26" s="127"/>
      <c r="H26" s="127" t="str">
        <f>IFERROR(VLOOKUP(G26,参数表!$H$2:$I$50,2,FALSE),"")</f>
        <v/>
      </c>
      <c r="I26" s="128" t="str">
        <f t="shared" si="6"/>
        <v/>
      </c>
      <c r="J26" s="128" t="str">
        <f t="shared" si="7"/>
        <v/>
      </c>
      <c r="K26" s="129"/>
      <c r="L26" s="129"/>
      <c r="M26" s="130"/>
      <c r="N26" s="129" t="str">
        <f t="shared" si="8"/>
        <v/>
      </c>
      <c r="O26" s="129" t="str">
        <f t="shared" si="0"/>
        <v/>
      </c>
      <c r="P26" s="129" t="str">
        <f t="shared" si="9"/>
        <v/>
      </c>
      <c r="Q26" s="129" t="str">
        <f t="shared" si="10"/>
        <v/>
      </c>
      <c r="R26" s="129"/>
      <c r="BA26" s="78"/>
      <c r="BB26" s="132" t="s">
        <v>3511</v>
      </c>
      <c r="BC26" s="133"/>
      <c r="BD26" s="132" t="str">
        <f>IF(OR(B26="",BC26=""),"",COUNTIF(BC$7:BC26,"√"))</f>
        <v/>
      </c>
      <c r="BE26" s="134" t="str">
        <f t="shared" si="1"/>
        <v/>
      </c>
      <c r="BF26" s="135" t="str">
        <f t="shared" si="11"/>
        <v/>
      </c>
      <c r="BG26" s="135" t="str">
        <f t="shared" si="11"/>
        <v/>
      </c>
      <c r="BH26" s="136"/>
      <c r="BI26" s="136"/>
      <c r="BJ26" s="136"/>
      <c r="BK26" s="136"/>
      <c r="BL26" s="136"/>
      <c r="BM26" s="137"/>
      <c r="BN26" s="137"/>
      <c r="BO26" s="165" t="s">
        <v>1674</v>
      </c>
      <c r="BP26" s="156">
        <f t="shared" si="2"/>
        <v>125.582477754962</v>
      </c>
      <c r="BQ26" s="156">
        <f t="shared" si="3"/>
        <v>0</v>
      </c>
      <c r="BR26" s="658">
        <f t="shared" si="4"/>
        <v>0</v>
      </c>
      <c r="BS26" s="347">
        <f t="shared" si="12"/>
        <v>0</v>
      </c>
      <c r="BU26" s="134" t="str">
        <f>IF(COUNTIF(BU$6:BU25,C26)&gt;0,"",C26)&amp;""</f>
        <v/>
      </c>
      <c r="BV26" s="138">
        <f t="shared" si="13"/>
        <v>0</v>
      </c>
      <c r="BW26" s="132">
        <f t="shared" si="14"/>
        <v>1</v>
      </c>
      <c r="BX26" s="138">
        <f t="shared" si="15"/>
        <v>0</v>
      </c>
      <c r="BY26" s="132">
        <f t="shared" si="16"/>
        <v>1</v>
      </c>
      <c r="BZ26" s="133"/>
      <c r="CA26" s="133"/>
    </row>
    <row r="27" s="73" customFormat="1" ht="15" customHeight="1" spans="1:80">
      <c r="A27" s="221" t="s">
        <v>1954</v>
      </c>
      <c r="B27" s="221"/>
      <c r="C27" s="149"/>
      <c r="D27" s="356"/>
      <c r="E27" s="356"/>
      <c r="F27" s="149"/>
      <c r="G27" s="149"/>
      <c r="H27" s="149"/>
      <c r="I27" s="149"/>
      <c r="J27" s="149"/>
      <c r="K27" s="152"/>
      <c r="L27" s="152">
        <f>SUM(L7:L26)</f>
        <v>0</v>
      </c>
      <c r="M27" s="153"/>
      <c r="N27" s="152">
        <f>SUM(N7:N26)</f>
        <v>0</v>
      </c>
      <c r="O27" s="152">
        <f>SUM(O7:O26)</f>
        <v>0</v>
      </c>
      <c r="P27" s="152">
        <f t="shared" si="9"/>
        <v>0</v>
      </c>
      <c r="Q27" s="152" t="str">
        <f t="shared" si="10"/>
        <v/>
      </c>
      <c r="R27" s="152"/>
      <c r="BH27" s="72"/>
      <c r="BI27" s="72"/>
      <c r="BJ27" s="72"/>
      <c r="BK27" s="72"/>
      <c r="BL27" s="72"/>
      <c r="BT27" s="111"/>
      <c r="BU27" s="119"/>
      <c r="BV27" s="77"/>
      <c r="BW27" s="77"/>
      <c r="BX27" s="77"/>
      <c r="BY27" s="119"/>
      <c r="BZ27" s="119"/>
      <c r="CA27" s="119"/>
      <c r="CB27" s="111"/>
    </row>
    <row r="28" ht="15" customHeight="1" spans="1:80">
      <c r="A28" s="982" t="s">
        <v>3434</v>
      </c>
      <c r="B28" s="982"/>
      <c r="C28" s="126"/>
      <c r="D28" s="125"/>
      <c r="E28" s="125"/>
      <c r="F28" s="126"/>
      <c r="G28" s="126"/>
      <c r="H28" s="126"/>
      <c r="I28" s="126"/>
      <c r="J28" s="126"/>
      <c r="K28" s="129"/>
      <c r="L28" s="129"/>
      <c r="M28" s="130"/>
      <c r="N28" s="129">
        <f>L28+M28</f>
        <v>0</v>
      </c>
      <c r="O28" s="129">
        <v>0</v>
      </c>
      <c r="P28" s="129">
        <f t="shared" si="9"/>
        <v>0</v>
      </c>
      <c r="Q28" s="129" t="str">
        <f t="shared" si="10"/>
        <v/>
      </c>
      <c r="R28" s="129"/>
    </row>
    <row r="29" s="73" customFormat="1" ht="15" customHeight="1" spans="1:80">
      <c r="A29" s="221" t="s">
        <v>1957</v>
      </c>
      <c r="B29" s="221"/>
      <c r="C29" s="149"/>
      <c r="D29" s="356"/>
      <c r="E29" s="356"/>
      <c r="F29" s="149"/>
      <c r="G29" s="149"/>
      <c r="H29" s="149"/>
      <c r="I29" s="149"/>
      <c r="J29" s="149"/>
      <c r="K29" s="152"/>
      <c r="L29" s="152">
        <f>L27-L28</f>
        <v>0</v>
      </c>
      <c r="M29" s="153"/>
      <c r="N29" s="152">
        <f>N27-N28</f>
        <v>0</v>
      </c>
      <c r="O29" s="152">
        <f>O27-O28</f>
        <v>0</v>
      </c>
      <c r="P29" s="152">
        <f t="shared" si="9"/>
        <v>0</v>
      </c>
      <c r="Q29" s="152" t="str">
        <f t="shared" si="10"/>
        <v/>
      </c>
      <c r="R29" s="152"/>
      <c r="BH29" s="72"/>
      <c r="BI29" s="72"/>
      <c r="BJ29" s="72"/>
      <c r="BK29" s="72"/>
      <c r="BL29" s="72"/>
      <c r="BT29" s="77"/>
      <c r="BU29" s="78"/>
      <c r="BV29" s="77"/>
      <c r="BW29" s="78"/>
      <c r="BX29" s="78"/>
      <c r="BY29" s="78"/>
      <c r="BZ29" s="78"/>
      <c r="CA29" s="78"/>
      <c r="CB29" s="77"/>
    </row>
    <row r="30" customHeight="1" spans="1:80">
      <c r="A30" s="102" t="str">
        <f>参数表!F$6</f>
        <v>产权持有单位填表人：贾广东</v>
      </c>
      <c r="B30" s="154"/>
      <c r="C30" s="154"/>
      <c r="D30" s="154"/>
      <c r="E30" s="154"/>
      <c r="F30" s="154"/>
      <c r="G30" s="154"/>
      <c r="H30" s="154"/>
      <c r="I30" s="154"/>
      <c r="J30" s="154"/>
      <c r="K30" s="103"/>
      <c r="L30" s="103"/>
      <c r="M30" s="104"/>
      <c r="N30" s="103"/>
      <c r="O30" s="103" t="str">
        <f>"评估人员："&amp;封面!$G$36</f>
        <v>评估人员：</v>
      </c>
      <c r="P30" s="103"/>
      <c r="Q30" s="103"/>
      <c r="R30" s="103"/>
    </row>
    <row r="31" customHeight="1" spans="1:80">
      <c r="A31" s="102" t="str">
        <f>参数表!F$7</f>
        <v>填表日期：2025年9月20日</v>
      </c>
      <c r="B31" s="154"/>
      <c r="C31" s="154"/>
      <c r="D31" s="154"/>
      <c r="E31" s="154"/>
      <c r="F31" s="154"/>
      <c r="G31" s="154"/>
      <c r="H31" s="154"/>
      <c r="I31" s="154"/>
      <c r="J31" s="154"/>
      <c r="K31" s="103"/>
      <c r="L31" s="103"/>
      <c r="M31" s="104"/>
      <c r="N31" s="103"/>
      <c r="O31" s="103"/>
      <c r="P31" s="103"/>
      <c r="Q31" s="103"/>
      <c r="R31" s="103"/>
    </row>
    <row r="32" hidden="1" customHeight="1" outlineLevel="1" spans="1:80">
      <c r="A32" s="157"/>
      <c r="B32" s="154" t="s">
        <v>1673</v>
      </c>
      <c r="C32" s="158"/>
      <c r="D32" s="158"/>
      <c r="E32" s="158"/>
      <c r="F32" s="158"/>
      <c r="G32" s="158"/>
      <c r="H32" s="158"/>
      <c r="I32" s="158"/>
      <c r="J32" s="158"/>
      <c r="L32" s="159">
        <f>SUMIF($BA7:$BA26,$BA32,L7:L26)</f>
        <v>0</v>
      </c>
      <c r="M32" s="202"/>
      <c r="N32" s="159">
        <f>SUMIF($BA7:$BA26,$BA32,N7:N26)</f>
        <v>0</v>
      </c>
      <c r="O32" s="159">
        <f>SUMIF($BA7:$BA26,$BA32,O7:O26)</f>
        <v>0</v>
      </c>
      <c r="BA32" s="161" t="s">
        <v>1674</v>
      </c>
      <c r="BH32" s="162" t="s">
        <v>1675</v>
      </c>
      <c r="BI32" s="162" t="s">
        <v>1675</v>
      </c>
      <c r="BJ32" s="162" t="s">
        <v>1675</v>
      </c>
      <c r="BK32" s="162" t="s">
        <v>1674</v>
      </c>
      <c r="BL32" s="162" t="s">
        <v>1674</v>
      </c>
    </row>
    <row r="33" hidden="1" customHeight="1" outlineLevel="1" spans="1:64">
      <c r="A33" s="157"/>
      <c r="B33" s="154" t="s">
        <v>1676</v>
      </c>
      <c r="C33" s="158"/>
      <c r="D33" s="158"/>
      <c r="E33" s="158"/>
      <c r="F33" s="158"/>
      <c r="G33" s="158"/>
      <c r="H33" s="158"/>
      <c r="I33" s="158"/>
      <c r="J33" s="158"/>
      <c r="L33" s="159">
        <f>L27-L32</f>
        <v>0</v>
      </c>
      <c r="M33" s="202"/>
      <c r="N33" s="159">
        <f>N27-N32</f>
        <v>0</v>
      </c>
      <c r="O33" s="159">
        <f>O27-O32</f>
        <v>0</v>
      </c>
      <c r="BA33" s="161" t="s">
        <v>1677</v>
      </c>
      <c r="BH33" s="162" t="s">
        <v>1678</v>
      </c>
      <c r="BI33" s="162" t="s">
        <v>1678</v>
      </c>
      <c r="BJ33" s="162" t="s">
        <v>1678</v>
      </c>
      <c r="BK33" s="162" t="s">
        <v>1677</v>
      </c>
      <c r="BL33" s="162" t="s">
        <v>1677</v>
      </c>
    </row>
    <row r="34" customHeight="1" collapsed="1" spans="1:64">
      <c r="A34" s="157"/>
      <c r="B34" s="158"/>
      <c r="C34" s="158"/>
      <c r="D34" s="158"/>
      <c r="E34" s="158"/>
      <c r="F34" s="158"/>
      <c r="G34" s="158"/>
      <c r="H34" s="158"/>
      <c r="I34" s="158"/>
      <c r="J34" s="158"/>
    </row>
    <row r="35" customHeight="1" spans="1:64">
      <c r="A35" s="157"/>
      <c r="B35" s="158"/>
      <c r="C35" s="158"/>
      <c r="D35" s="158"/>
      <c r="E35" s="158"/>
      <c r="F35" s="158"/>
      <c r="G35" s="158"/>
      <c r="H35" s="158"/>
      <c r="I35" s="158"/>
      <c r="J35" s="158"/>
    </row>
    <row r="36" customHeight="1" spans="1:64">
      <c r="A36" s="157"/>
      <c r="B36" s="158"/>
      <c r="C36" s="158"/>
      <c r="D36" s="158"/>
      <c r="E36" s="158"/>
      <c r="F36" s="158"/>
      <c r="G36" s="158"/>
      <c r="H36" s="158"/>
      <c r="I36" s="158"/>
      <c r="J36" s="158"/>
    </row>
    <row r="37" customHeight="1" spans="1:64">
      <c r="A37" s="157"/>
      <c r="B37" s="158"/>
      <c r="C37" s="158"/>
      <c r="D37" s="158"/>
      <c r="E37" s="158"/>
      <c r="F37" s="158"/>
      <c r="G37" s="158"/>
      <c r="H37" s="158"/>
      <c r="I37" s="158"/>
      <c r="J37" s="158"/>
    </row>
    <row r="38" customHeight="1" spans="1:64">
      <c r="A38" s="157"/>
      <c r="B38" s="158"/>
      <c r="C38" s="158"/>
      <c r="D38" s="158"/>
      <c r="E38" s="158"/>
      <c r="F38" s="158"/>
      <c r="G38" s="158"/>
      <c r="H38" s="158"/>
      <c r="I38" s="158"/>
      <c r="J38" s="158"/>
    </row>
    <row r="39" customHeight="1" spans="1:64">
      <c r="A39" s="157"/>
      <c r="B39" s="158"/>
      <c r="C39" s="158"/>
      <c r="D39" s="158"/>
      <c r="E39" s="158"/>
      <c r="F39" s="158"/>
      <c r="G39" s="158"/>
      <c r="H39" s="158"/>
      <c r="I39" s="158"/>
      <c r="J39" s="158"/>
    </row>
  </sheetData>
  <sheetProtection autoFilter="0"/>
  <mergeCells count="8">
    <mergeCell ref="A2:R2"/>
    <mergeCell ref="A3:R3"/>
    <mergeCell ref="BZ7:CB7"/>
    <mergeCell ref="BZ8:CB8"/>
    <mergeCell ref="CA14:CB14"/>
    <mergeCell ref="A27:B27"/>
    <mergeCell ref="A28:B28"/>
    <mergeCell ref="A29:B29"/>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5" stopIfTrue="1">
      <formula>AND($B7&lt;&gt;"",BH7="")</formula>
    </cfRule>
  </conditionalFormatting>
  <dataValidations count="4">
    <dataValidation type="list" allowBlank="1" showInputMessage="1" showErrorMessage="1" sqref="G7:G26">
      <formula1>OFFSET(参数表!$H$2:$H$50,,,COUNTA(参数表!$H$2:$H$50))</formula1>
    </dataValidation>
    <dataValidation type="list" allowBlank="1" showInputMessage="1" showErrorMessage="1" sqref="BA7:BA26 BA32:BA33 BO7:BO26">
      <formula1>"是,否"</formula1>
    </dataValidation>
    <dataValidation type="list" allowBlank="1" showInputMessage="1" showErrorMessage="1" sqref="BC7:BC26">
      <formula1>"  ,√"</formula1>
    </dataValidation>
    <dataValidation type="list" allowBlank="1" showInputMessage="1" showErrorMessage="1" sqref="BH7:BL26">
      <formula1>BH$32:BH$33</formula1>
    </dataValidation>
  </dataValidations>
  <hyperlinks>
    <hyperlink ref="A1" location="索引目录!D31" display="返回索引页"/>
    <hyperlink ref="B1" location="非流动资产评估汇总!B12"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5"/>
  <dimension ref="A1:CB39"/>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3.2"/>
  <cols>
    <col min="1" max="1" width="4.6" style="74" customWidth="1"/>
    <col min="2" max="2" width="20" style="75" customWidth="1"/>
    <col min="3" max="5" width="8.6" style="75" customWidth="1"/>
    <col min="6" max="6" width="6.6" style="75" customWidth="1"/>
    <col min="7" max="8" width="4.6" style="75" customWidth="1" outlineLevel="1"/>
    <col min="9" max="10" width="6.1" style="75" customWidth="1" outlineLevel="1"/>
    <col min="11" max="11" width="12.6" style="75" customWidth="1"/>
    <col min="12" max="12" width="12.6" style="75" customWidth="1" outlineLevel="1"/>
    <col min="13" max="13" width="12.6" style="76" customWidth="1" outlineLevel="1"/>
    <col min="14" max="15" width="12.6" style="75" customWidth="1"/>
    <col min="16" max="18" width="8.6" style="75" customWidth="1"/>
    <col min="19" max="52" width="9" style="75" hidden="1" customWidth="1" outlineLevel="1"/>
    <col min="53" max="53" width="14.7" style="75" customWidth="1" collapsed="1"/>
    <col min="54" max="54" width="6.7" style="75" customWidth="1"/>
    <col min="55" max="56" width="5" style="75" customWidth="1"/>
    <col min="57" max="57" width="8.6" style="75" customWidth="1"/>
    <col min="58" max="59" width="10.6" style="75" customWidth="1"/>
    <col min="60" max="63" width="5" style="75" customWidth="1"/>
    <col min="64" max="64" width="6.7" style="75" customWidth="1"/>
    <col min="65" max="65" width="10.3" style="75" customWidth="1"/>
    <col min="66" max="66" width="8.6" style="75" customWidth="1"/>
    <col min="67" max="71" width="9" style="75"/>
    <col min="72" max="72" width="1.6" style="77" customWidth="1"/>
    <col min="73" max="73" width="10.6" style="78" customWidth="1"/>
    <col min="74" max="74" width="10.6" style="77" customWidth="1"/>
    <col min="75" max="75" width="4.6" style="78" customWidth="1"/>
    <col min="76" max="76" width="10.6" style="78" customWidth="1"/>
    <col min="77" max="78" width="4.6" style="78" customWidth="1"/>
    <col min="79" max="79" width="10.6" style="78" customWidth="1"/>
    <col min="80" max="80" width="5" style="77" customWidth="1"/>
    <col min="81" max="16384" width="9" style="75"/>
  </cols>
  <sheetData>
    <row r="1" s="86" customFormat="1" ht="13.8" spans="1:80">
      <c r="A1" s="203" t="s">
        <v>1591</v>
      </c>
      <c r="B1" s="204" t="s">
        <v>1592</v>
      </c>
      <c r="C1" s="82"/>
      <c r="D1" s="82"/>
      <c r="E1" s="82"/>
      <c r="F1" s="82"/>
      <c r="G1" s="82"/>
      <c r="H1" s="82"/>
      <c r="I1" s="82"/>
      <c r="J1" s="82"/>
      <c r="K1" s="82"/>
      <c r="L1" s="82"/>
      <c r="M1" s="205"/>
      <c r="N1" s="82"/>
      <c r="O1" s="82"/>
      <c r="P1" s="82"/>
      <c r="Q1" s="82"/>
      <c r="R1" s="82"/>
      <c r="BA1" s="84" t="str">
        <f>参数表!BA1</f>
        <v>注意：补充特殊事项、作价等均从BA列开始填写</v>
      </c>
      <c r="BB1" s="85"/>
      <c r="BT1" s="87"/>
      <c r="BU1" s="88"/>
      <c r="BV1" s="87"/>
      <c r="BW1" s="88"/>
      <c r="BX1" s="88"/>
      <c r="BY1" s="88"/>
      <c r="BZ1" s="88"/>
      <c r="CA1" s="88"/>
      <c r="CB1" s="87"/>
    </row>
    <row r="2" s="71" customFormat="1" ht="30" customHeight="1" spans="1:80">
      <c r="A2" s="89" t="s">
        <v>3512</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T2" s="92"/>
      <c r="BU2" s="93"/>
      <c r="BV2" s="92"/>
      <c r="BW2" s="93"/>
      <c r="BX2" s="93"/>
      <c r="BY2" s="93"/>
      <c r="BZ2" s="93"/>
      <c r="CA2" s="93"/>
      <c r="CB2" s="92"/>
    </row>
    <row r="3" ht="15" customHeight="1" spans="1:80">
      <c r="A3" s="94" t="str">
        <f>参数表!F5</f>
        <v>评估基准日：2025年7月31日</v>
      </c>
      <c r="B3" s="94"/>
      <c r="C3" s="94"/>
      <c r="D3" s="94"/>
      <c r="E3" s="94"/>
      <c r="F3" s="94"/>
      <c r="G3" s="94"/>
      <c r="H3" s="94"/>
      <c r="I3" s="94"/>
      <c r="J3" s="94"/>
      <c r="K3" s="94"/>
      <c r="L3" s="94"/>
      <c r="M3" s="94"/>
      <c r="N3" s="94"/>
      <c r="O3" s="95"/>
      <c r="P3" s="95"/>
      <c r="Q3" s="95"/>
      <c r="R3" s="95"/>
      <c r="S3" s="165"/>
      <c r="BA3" s="90" t="str">
        <f>参数表!BA3</f>
        <v>是否显示评估值：</v>
      </c>
      <c r="BB3" s="90" t="str">
        <f>参数表!BB3</f>
        <v>是</v>
      </c>
      <c r="BV3" s="78"/>
    </row>
    <row r="4" ht="15" customHeight="1" spans="1:80">
      <c r="A4" s="96"/>
      <c r="B4" s="94"/>
      <c r="C4" s="94"/>
      <c r="D4" s="94"/>
      <c r="E4" s="94"/>
      <c r="F4" s="94"/>
      <c r="G4" s="94"/>
      <c r="H4" s="94"/>
      <c r="I4" s="94"/>
      <c r="J4" s="94"/>
      <c r="K4" s="94"/>
      <c r="L4" s="94"/>
      <c r="M4" s="97"/>
      <c r="N4" s="94"/>
      <c r="O4" s="95"/>
      <c r="P4" s="98"/>
      <c r="Q4" s="95"/>
      <c r="R4" s="98" t="str">
        <f>"表"&amp;$BA4</f>
        <v>表4-3</v>
      </c>
      <c r="S4" s="165"/>
      <c r="BA4" s="274" t="str">
        <f>非流动资总!A9</f>
        <v>4-3</v>
      </c>
      <c r="BB4" s="100">
        <f>MAX(COUNTA(A7:A26),COUNTA(B7:B26),COUNTA(L7:L26),COUNTA(N7:N26))</f>
        <v>20</v>
      </c>
      <c r="BC4" s="101">
        <f>ROW(A6)+1</f>
        <v>7</v>
      </c>
      <c r="BD4" s="77"/>
      <c r="BE4" s="77"/>
      <c r="BV4" s="78"/>
    </row>
    <row r="5" ht="15" customHeight="1" spans="1:80">
      <c r="A5" s="102" t="str">
        <f>参数表!F3</f>
        <v>产权持有单位:中煤第五建设有限公司</v>
      </c>
      <c r="B5" s="103"/>
      <c r="C5" s="103"/>
      <c r="D5" s="103"/>
      <c r="E5" s="103"/>
      <c r="F5" s="103"/>
      <c r="G5" s="103"/>
      <c r="H5" s="103"/>
      <c r="I5" s="103"/>
      <c r="J5" s="103"/>
      <c r="K5" s="103"/>
      <c r="L5" s="103"/>
      <c r="M5" s="104"/>
      <c r="N5" s="103"/>
      <c r="O5" s="103"/>
      <c r="P5" s="103"/>
      <c r="Q5" s="103"/>
      <c r="R5" s="98" t="s">
        <v>236</v>
      </c>
      <c r="BA5" s="103"/>
      <c r="BB5" s="105" t="str">
        <f ca="1">判断表!C54</f>
        <v>中煤第五建设有限公司第三工程处拟处置实物资产项目\[0000-3基础法明细表.xlsx]债权投资</v>
      </c>
      <c r="BC5" s="106">
        <f>IFERROR(SUMIF(BC7:BC26,"√",N7:N26)/N27,0)</f>
        <v>0</v>
      </c>
      <c r="BD5" s="107"/>
      <c r="BE5" s="107"/>
      <c r="BF5" s="177">
        <f>分类汇总!I25</f>
        <v>0</v>
      </c>
      <c r="BG5" s="177">
        <f>分类汇总!K25</f>
        <v>0</v>
      </c>
      <c r="BT5" s="111"/>
      <c r="BV5" s="78"/>
      <c r="CB5" s="111"/>
    </row>
    <row r="6" s="72" customFormat="1" ht="36" spans="1:80">
      <c r="A6" s="112" t="s">
        <v>305</v>
      </c>
      <c r="B6" s="113" t="s">
        <v>1741</v>
      </c>
      <c r="C6" s="113" t="s">
        <v>3490</v>
      </c>
      <c r="D6" s="113" t="s">
        <v>1743</v>
      </c>
      <c r="E6" s="113" t="s">
        <v>3437</v>
      </c>
      <c r="F6" s="118" t="s">
        <v>1775</v>
      </c>
      <c r="G6" s="114" t="s">
        <v>1631</v>
      </c>
      <c r="H6" s="115" t="s">
        <v>1632</v>
      </c>
      <c r="I6" s="116" t="s">
        <v>1745</v>
      </c>
      <c r="J6" s="115" t="s">
        <v>1633</v>
      </c>
      <c r="K6" s="113" t="s">
        <v>3491</v>
      </c>
      <c r="L6" s="113" t="s">
        <v>1549</v>
      </c>
      <c r="M6" s="117" t="s">
        <v>1634</v>
      </c>
      <c r="N6" s="118" t="s">
        <v>1523</v>
      </c>
      <c r="O6" s="113" t="s">
        <v>1550</v>
      </c>
      <c r="P6" s="113" t="s">
        <v>1525</v>
      </c>
      <c r="Q6" s="113" t="s">
        <v>1551</v>
      </c>
      <c r="R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224" t="s">
        <v>3439</v>
      </c>
      <c r="BP6" s="191" t="s">
        <v>3440</v>
      </c>
      <c r="BQ6" s="191" t="s">
        <v>3441</v>
      </c>
      <c r="BR6" s="191" t="s">
        <v>3442</v>
      </c>
      <c r="BS6" s="191" t="s">
        <v>1524</v>
      </c>
      <c r="BT6" s="119"/>
      <c r="BU6" s="120" t="s">
        <v>1645</v>
      </c>
      <c r="BV6" s="121" t="s">
        <v>1646</v>
      </c>
      <c r="BW6" s="121" t="s">
        <v>1647</v>
      </c>
      <c r="BX6" s="121" t="s">
        <v>1648</v>
      </c>
      <c r="BY6" s="121" t="s">
        <v>1647</v>
      </c>
      <c r="BZ6" s="121" t="s">
        <v>1647</v>
      </c>
      <c r="CA6" s="121" t="s">
        <v>1649</v>
      </c>
      <c r="CB6" s="122" t="s">
        <v>1650</v>
      </c>
    </row>
    <row r="7" ht="15" customHeight="1" spans="1:80">
      <c r="A7" s="123" t="str">
        <f>IF(B7="","",COUNT(A$6:A6)+1)</f>
        <v/>
      </c>
      <c r="B7" s="124"/>
      <c r="C7" s="126"/>
      <c r="D7" s="125"/>
      <c r="E7" s="125"/>
      <c r="F7" s="225"/>
      <c r="G7" s="127"/>
      <c r="H7" s="127" t="str">
        <f>IFERROR(VLOOKUP(G7,参数表!$H$2:$I$50,2,FALSE),"")</f>
        <v/>
      </c>
      <c r="I7" s="128" t="str">
        <f>IFERROR(IF(OR(G7="人民币",G7=""),"",K7/H7),"")</f>
        <v/>
      </c>
      <c r="J7" s="128" t="str">
        <f>IFERROR(IF(OR(G7="人民币",G7=""),"",N7/H7),"")</f>
        <v/>
      </c>
      <c r="K7" s="129"/>
      <c r="L7" s="129"/>
      <c r="M7" s="130"/>
      <c r="N7" s="129" t="str">
        <f>IF(B7="","",L7+M7)</f>
        <v/>
      </c>
      <c r="O7" s="129" t="str">
        <f t="shared" ref="O7:O26" si="0">IF(B7="","",IF($BB$3="是",IF(BO7="是",BQ7,BS7),""))</f>
        <v/>
      </c>
      <c r="P7" s="129" t="str">
        <f>IFERROR(O7-N7,"")</f>
        <v/>
      </c>
      <c r="Q7" s="129" t="str">
        <f>IFERROR(P7/N7*100,"")</f>
        <v/>
      </c>
      <c r="R7" s="129"/>
      <c r="BA7" s="78"/>
      <c r="BB7" s="132" t="s">
        <v>3513</v>
      </c>
      <c r="BC7" s="133"/>
      <c r="BD7" s="132" t="str">
        <f>IF(OR(B7="",BC7=""),"",COUNTIF(BC$7:BC7,"√"))</f>
        <v/>
      </c>
      <c r="BE7" s="134" t="str">
        <f t="shared" ref="BE7:BE26" si="1">IF(BC7="","",BB7&amp;"︱"&amp;B7&amp;"︱"&amp;TEXT(L7,"#,##0.00"))</f>
        <v/>
      </c>
      <c r="BF7" s="135" t="str">
        <f>IF($B7="","",IF(BF$5=0,"OK","出错"))</f>
        <v/>
      </c>
      <c r="BG7" s="135" t="str">
        <f>IF($B7="","",IF(BG$5=0,"OK","出错"))</f>
        <v/>
      </c>
      <c r="BH7" s="136"/>
      <c r="BI7" s="136"/>
      <c r="BJ7" s="136"/>
      <c r="BK7" s="136"/>
      <c r="BL7" s="136"/>
      <c r="BM7" s="137"/>
      <c r="BN7" s="137"/>
      <c r="BO7" s="165" t="s">
        <v>1674</v>
      </c>
      <c r="BP7" s="156">
        <f t="shared" ref="BP7:BP26" si="2">(BB$2-D7)/365.25</f>
        <v>125.582477754962</v>
      </c>
      <c r="BQ7" s="156">
        <f t="shared" ref="BQ7:BQ26" si="3">K7</f>
        <v>0</v>
      </c>
      <c r="BR7" s="658">
        <f t="shared" ref="BR7:BR26" si="4">F7/100</f>
        <v>0</v>
      </c>
      <c r="BS7" s="347">
        <f>BQ7*(1+BP7*BR7)</f>
        <v>0</v>
      </c>
      <c r="BU7" s="134" t="str">
        <f>IF(COUNTIF(BU$6:BU6,C7)&gt;0,"",C7)&amp;""</f>
        <v/>
      </c>
      <c r="BV7" s="138">
        <f>SUMIF(C$7:C$26,BU7,N$7:N$26)</f>
        <v>0</v>
      </c>
      <c r="BW7" s="132">
        <f t="shared" ref="BW7" si="5">RANK(BV7,BV$7:BV$26)</f>
        <v>1</v>
      </c>
      <c r="BX7" s="138">
        <f>SUMIF(C$7:C$26,BU7,O$7:O$26)</f>
        <v>0</v>
      </c>
      <c r="BY7" s="132">
        <f>RANK(BX7,BX$7:BX$26)</f>
        <v>1</v>
      </c>
      <c r="BZ7" s="138">
        <f>SUM(BV7:BV26)</f>
        <v>0</v>
      </c>
      <c r="CA7" s="138"/>
      <c r="CB7" s="138"/>
    </row>
    <row r="8" ht="15" customHeight="1" spans="1:80">
      <c r="A8" s="123" t="str">
        <f>IF(B8="","",COUNT(A$6:A7)+1)</f>
        <v/>
      </c>
      <c r="B8" s="139"/>
      <c r="C8" s="141"/>
      <c r="D8" s="140"/>
      <c r="E8" s="140"/>
      <c r="F8" s="255"/>
      <c r="G8" s="142"/>
      <c r="H8" s="127" t="str">
        <f>IFERROR(VLOOKUP(G8,参数表!$H$2:$I$50,2,FALSE),"")</f>
        <v/>
      </c>
      <c r="I8" s="128" t="str">
        <f t="shared" ref="I8:I26" si="6">IFERROR(IF(OR(G8="人民币",G8=""),"",K8/H8),"")</f>
        <v/>
      </c>
      <c r="J8" s="128" t="str">
        <f t="shared" ref="J8:J26" si="7">IFERROR(IF(OR(G8="人民币",G8=""),"",N8/H8),"")</f>
        <v/>
      </c>
      <c r="K8" s="143"/>
      <c r="L8" s="143"/>
      <c r="M8" s="144"/>
      <c r="N8" s="129" t="str">
        <f t="shared" ref="N8:N26" si="8">IF(B8="","",L8+M8)</f>
        <v/>
      </c>
      <c r="O8" s="129" t="str">
        <f t="shared" si="0"/>
        <v/>
      </c>
      <c r="P8" s="129" t="str">
        <f t="shared" ref="P8:P29" si="9">IFERROR(O8-N8,"")</f>
        <v/>
      </c>
      <c r="Q8" s="129" t="str">
        <f t="shared" ref="Q8:Q29" si="10">IFERROR(P8/N8*100,"")</f>
        <v/>
      </c>
      <c r="R8" s="143"/>
      <c r="BA8" s="78"/>
      <c r="BB8" s="132" t="s">
        <v>3514</v>
      </c>
      <c r="BC8" s="133"/>
      <c r="BD8" s="132" t="str">
        <f>IF(OR(B8="",BC8=""),"",COUNTIF(BC$7:BC8,"√"))</f>
        <v/>
      </c>
      <c r="BE8" s="134" t="str">
        <f t="shared" si="1"/>
        <v/>
      </c>
      <c r="BF8" s="135" t="str">
        <f t="shared" ref="BF8:BG26" si="11">IF($B8="","",IF(BF$5=0,"OK","出错"))</f>
        <v/>
      </c>
      <c r="BG8" s="135" t="str">
        <f t="shared" si="11"/>
        <v/>
      </c>
      <c r="BH8" s="136"/>
      <c r="BI8" s="136"/>
      <c r="BJ8" s="136"/>
      <c r="BK8" s="136"/>
      <c r="BL8" s="136"/>
      <c r="BM8" s="137"/>
      <c r="BN8" s="137"/>
      <c r="BO8" s="165" t="s">
        <v>1674</v>
      </c>
      <c r="BP8" s="156">
        <f t="shared" si="2"/>
        <v>125.582477754962</v>
      </c>
      <c r="BQ8" s="156">
        <f t="shared" si="3"/>
        <v>0</v>
      </c>
      <c r="BR8" s="658">
        <f t="shared" si="4"/>
        <v>0</v>
      </c>
      <c r="BS8" s="347">
        <f t="shared" ref="BS8:BS26" si="12">BQ8*(1+BP8*BR8)</f>
        <v>0</v>
      </c>
      <c r="BU8" s="134" t="str">
        <f>IF(COUNTIF(BU$6:BU7,C8)&gt;0,"",C8)&amp;""</f>
        <v/>
      </c>
      <c r="BV8" s="138">
        <f t="shared" ref="BV8:BV26" si="13">SUMIF(C$7:C$26,BU8,N$7:N$26)</f>
        <v>0</v>
      </c>
      <c r="BW8" s="132">
        <f t="shared" ref="BW8:BW26" si="14">RANK(BV8,BV$7:BV$26)</f>
        <v>1</v>
      </c>
      <c r="BX8" s="138">
        <f t="shared" ref="BX8:BX26" si="15">SUMIF(C$7:C$26,BU8,O$7:O$26)</f>
        <v>0</v>
      </c>
      <c r="BY8" s="132">
        <f t="shared" ref="BY8:BY26" si="16">RANK(BX8,BX$7:BX$26)</f>
        <v>1</v>
      </c>
      <c r="BZ8" s="138">
        <f>SUM(BX7:BX26)</f>
        <v>0</v>
      </c>
      <c r="CA8" s="138"/>
      <c r="CB8" s="138"/>
    </row>
    <row r="9" ht="15" customHeight="1" spans="1:80">
      <c r="A9" s="123" t="str">
        <f>IF(B9="","",COUNT(A$6:A8)+1)</f>
        <v/>
      </c>
      <c r="B9" s="139"/>
      <c r="C9" s="141"/>
      <c r="D9" s="140"/>
      <c r="E9" s="140"/>
      <c r="F9" s="255"/>
      <c r="G9" s="142"/>
      <c r="H9" s="127" t="str">
        <f>IFERROR(VLOOKUP(G9,参数表!$H$2:$I$50,2,FALSE),"")</f>
        <v/>
      </c>
      <c r="I9" s="128" t="str">
        <f t="shared" si="6"/>
        <v/>
      </c>
      <c r="J9" s="128" t="str">
        <f t="shared" si="7"/>
        <v/>
      </c>
      <c r="K9" s="143"/>
      <c r="L9" s="143"/>
      <c r="M9" s="144"/>
      <c r="N9" s="129" t="str">
        <f t="shared" si="8"/>
        <v/>
      </c>
      <c r="O9" s="129" t="str">
        <f t="shared" si="0"/>
        <v/>
      </c>
      <c r="P9" s="129" t="str">
        <f t="shared" si="9"/>
        <v/>
      </c>
      <c r="Q9" s="129" t="str">
        <f t="shared" si="10"/>
        <v/>
      </c>
      <c r="R9" s="143"/>
      <c r="BA9" s="78"/>
      <c r="BB9" s="132" t="s">
        <v>3515</v>
      </c>
      <c r="BC9" s="133"/>
      <c r="BD9" s="132" t="str">
        <f>IF(OR(B9="",BC9=""),"",COUNTIF(BC$7:BC9,"√"))</f>
        <v/>
      </c>
      <c r="BE9" s="134" t="str">
        <f t="shared" si="1"/>
        <v/>
      </c>
      <c r="BF9" s="135" t="str">
        <f t="shared" si="11"/>
        <v/>
      </c>
      <c r="BG9" s="135" t="str">
        <f t="shared" si="11"/>
        <v/>
      </c>
      <c r="BH9" s="136"/>
      <c r="BI9" s="136"/>
      <c r="BJ9" s="136"/>
      <c r="BK9" s="136"/>
      <c r="BL9" s="136"/>
      <c r="BM9" s="137"/>
      <c r="BN9" s="137"/>
      <c r="BO9" s="165" t="s">
        <v>1674</v>
      </c>
      <c r="BP9" s="156">
        <f t="shared" si="2"/>
        <v>125.582477754962</v>
      </c>
      <c r="BQ9" s="156">
        <f t="shared" si="3"/>
        <v>0</v>
      </c>
      <c r="BR9" s="658">
        <f t="shared" si="4"/>
        <v>0</v>
      </c>
      <c r="BS9" s="347">
        <f t="shared" si="12"/>
        <v>0</v>
      </c>
      <c r="BU9" s="134" t="str">
        <f>IF(COUNTIF(BU$6:BU8,C9)&gt;0,"",C9)&amp;""</f>
        <v/>
      </c>
      <c r="BV9" s="138">
        <f t="shared" si="13"/>
        <v>0</v>
      </c>
      <c r="BW9" s="132">
        <f t="shared" si="14"/>
        <v>1</v>
      </c>
      <c r="BX9" s="138">
        <f t="shared" si="15"/>
        <v>0</v>
      </c>
      <c r="BY9" s="132">
        <f t="shared" si="16"/>
        <v>1</v>
      </c>
      <c r="BZ9" s="132">
        <v>1</v>
      </c>
      <c r="CA9" s="134" t="str">
        <f>IFERROR(INDEX(BU$7:BU$26,MATCH(BZ9,IF(BZ$7=0,BY$7:BY$26,BW$7:BW$26),0))&amp;"","")</f>
        <v/>
      </c>
      <c r="CB9" s="146" t="str">
        <f>IF(CA10="","",IF(CA11="","和","、"))</f>
        <v/>
      </c>
    </row>
    <row r="10" ht="15" customHeight="1" spans="1:80">
      <c r="A10" s="123" t="str">
        <f>IF(B10="","",COUNT(A$6:A9)+1)</f>
        <v/>
      </c>
      <c r="B10" s="139"/>
      <c r="C10" s="141"/>
      <c r="D10" s="140"/>
      <c r="E10" s="140"/>
      <c r="F10" s="255"/>
      <c r="G10" s="142"/>
      <c r="H10" s="127" t="str">
        <f>IFERROR(VLOOKUP(G10,参数表!$H$2:$I$50,2,FALSE),"")</f>
        <v/>
      </c>
      <c r="I10" s="128" t="str">
        <f t="shared" si="6"/>
        <v/>
      </c>
      <c r="J10" s="128" t="str">
        <f t="shared" si="7"/>
        <v/>
      </c>
      <c r="K10" s="143"/>
      <c r="L10" s="143"/>
      <c r="M10" s="144"/>
      <c r="N10" s="129" t="str">
        <f t="shared" si="8"/>
        <v/>
      </c>
      <c r="O10" s="129" t="str">
        <f t="shared" si="0"/>
        <v/>
      </c>
      <c r="P10" s="129" t="str">
        <f t="shared" si="9"/>
        <v/>
      </c>
      <c r="Q10" s="129" t="str">
        <f t="shared" si="10"/>
        <v/>
      </c>
      <c r="R10" s="143"/>
      <c r="BA10" s="78"/>
      <c r="BB10" s="132" t="s">
        <v>3516</v>
      </c>
      <c r="BC10" s="133"/>
      <c r="BD10" s="132" t="str">
        <f>IF(OR(B10="",BC10=""),"",COUNTIF(BC$7:BC10,"√"))</f>
        <v/>
      </c>
      <c r="BE10" s="134" t="str">
        <f t="shared" si="1"/>
        <v/>
      </c>
      <c r="BF10" s="135" t="str">
        <f t="shared" si="11"/>
        <v/>
      </c>
      <c r="BG10" s="135" t="str">
        <f t="shared" si="11"/>
        <v/>
      </c>
      <c r="BH10" s="136"/>
      <c r="BI10" s="136"/>
      <c r="BJ10" s="136"/>
      <c r="BK10" s="136"/>
      <c r="BL10" s="136"/>
      <c r="BM10" s="137"/>
      <c r="BN10" s="137"/>
      <c r="BO10" s="165" t="s">
        <v>1674</v>
      </c>
      <c r="BP10" s="156">
        <f t="shared" si="2"/>
        <v>125.582477754962</v>
      </c>
      <c r="BQ10" s="156">
        <f t="shared" si="3"/>
        <v>0</v>
      </c>
      <c r="BR10" s="658">
        <f t="shared" si="4"/>
        <v>0</v>
      </c>
      <c r="BS10" s="347">
        <f t="shared" si="12"/>
        <v>0</v>
      </c>
      <c r="BU10" s="134" t="str">
        <f>IF(COUNTIF(BU$6:BU9,C10)&gt;0,"",C10)&amp;""</f>
        <v/>
      </c>
      <c r="BV10" s="138">
        <f t="shared" si="13"/>
        <v>0</v>
      </c>
      <c r="BW10" s="132">
        <f t="shared" si="14"/>
        <v>1</v>
      </c>
      <c r="BX10" s="138">
        <f t="shared" si="15"/>
        <v>0</v>
      </c>
      <c r="BY10" s="132">
        <f t="shared" si="16"/>
        <v>1</v>
      </c>
      <c r="BZ10" s="132">
        <v>2</v>
      </c>
      <c r="CA10" s="134" t="str">
        <f t="shared" ref="CA10:CA13" si="17">IFERROR(INDEX(BU$7:BU$26,MATCH(BZ10,IF(BZ$7=0,BY$7:BY$26,BW$7:BW$26),0))&amp;"","")</f>
        <v/>
      </c>
      <c r="CB10" s="146" t="str">
        <f t="shared" ref="CB10:CB11" si="18">IF(CA11="","",IF(CA12="","和","、"))</f>
        <v/>
      </c>
    </row>
    <row r="11" ht="15" customHeight="1" spans="1:80">
      <c r="A11" s="123" t="str">
        <f>IF(B11="","",COUNT(A$6:A10)+1)</f>
        <v/>
      </c>
      <c r="B11" s="139"/>
      <c r="C11" s="141"/>
      <c r="D11" s="140"/>
      <c r="E11" s="140"/>
      <c r="F11" s="255"/>
      <c r="G11" s="142"/>
      <c r="H11" s="127" t="str">
        <f>IFERROR(VLOOKUP(G11,参数表!$H$2:$I$50,2,FALSE),"")</f>
        <v/>
      </c>
      <c r="I11" s="128" t="str">
        <f t="shared" si="6"/>
        <v/>
      </c>
      <c r="J11" s="128" t="str">
        <f t="shared" si="7"/>
        <v/>
      </c>
      <c r="K11" s="143"/>
      <c r="L11" s="143"/>
      <c r="M11" s="144"/>
      <c r="N11" s="129" t="str">
        <f t="shared" si="8"/>
        <v/>
      </c>
      <c r="O11" s="129" t="str">
        <f t="shared" si="0"/>
        <v/>
      </c>
      <c r="P11" s="129" t="str">
        <f t="shared" si="9"/>
        <v/>
      </c>
      <c r="Q11" s="129" t="str">
        <f t="shared" si="10"/>
        <v/>
      </c>
      <c r="R11" s="143"/>
      <c r="BA11" s="78"/>
      <c r="BB11" s="132" t="s">
        <v>3517</v>
      </c>
      <c r="BC11" s="133"/>
      <c r="BD11" s="132" t="str">
        <f>IF(OR(B11="",BC11=""),"",COUNTIF(BC$7:BC11,"√"))</f>
        <v/>
      </c>
      <c r="BE11" s="134" t="str">
        <f t="shared" si="1"/>
        <v/>
      </c>
      <c r="BF11" s="135" t="str">
        <f t="shared" si="11"/>
        <v/>
      </c>
      <c r="BG11" s="135" t="str">
        <f t="shared" si="11"/>
        <v/>
      </c>
      <c r="BH11" s="136"/>
      <c r="BI11" s="136"/>
      <c r="BJ11" s="136"/>
      <c r="BK11" s="136"/>
      <c r="BL11" s="136"/>
      <c r="BM11" s="137"/>
      <c r="BN11" s="137"/>
      <c r="BO11" s="165" t="s">
        <v>1674</v>
      </c>
      <c r="BP11" s="156">
        <f t="shared" si="2"/>
        <v>125.582477754962</v>
      </c>
      <c r="BQ11" s="156">
        <f t="shared" si="3"/>
        <v>0</v>
      </c>
      <c r="BR11" s="658">
        <f t="shared" si="4"/>
        <v>0</v>
      </c>
      <c r="BS11" s="347">
        <f t="shared" si="12"/>
        <v>0</v>
      </c>
      <c r="BU11" s="134" t="str">
        <f>IF(COUNTIF(BU$6:BU10,C11)&gt;0,"",C11)&amp;""</f>
        <v/>
      </c>
      <c r="BV11" s="138">
        <f t="shared" si="13"/>
        <v>0</v>
      </c>
      <c r="BW11" s="132">
        <f t="shared" si="14"/>
        <v>1</v>
      </c>
      <c r="BX11" s="138">
        <f t="shared" si="15"/>
        <v>0</v>
      </c>
      <c r="BY11" s="132">
        <f t="shared" si="16"/>
        <v>1</v>
      </c>
      <c r="BZ11" s="132">
        <v>3</v>
      </c>
      <c r="CA11" s="134" t="str">
        <f t="shared" si="17"/>
        <v/>
      </c>
      <c r="CB11" s="146" t="str">
        <f t="shared" si="18"/>
        <v/>
      </c>
    </row>
    <row r="12" ht="15" customHeight="1" spans="1:80">
      <c r="A12" s="123" t="str">
        <f>IF(B12="","",COUNT(A$6:A11)+1)</f>
        <v/>
      </c>
      <c r="B12" s="139"/>
      <c r="C12" s="141"/>
      <c r="D12" s="140"/>
      <c r="E12" s="140"/>
      <c r="F12" s="255"/>
      <c r="G12" s="142"/>
      <c r="H12" s="127" t="str">
        <f>IFERROR(VLOOKUP(G12,参数表!$H$2:$I$50,2,FALSE),"")</f>
        <v/>
      </c>
      <c r="I12" s="128" t="str">
        <f t="shared" si="6"/>
        <v/>
      </c>
      <c r="J12" s="128" t="str">
        <f t="shared" si="7"/>
        <v/>
      </c>
      <c r="K12" s="143"/>
      <c r="L12" s="143"/>
      <c r="M12" s="144"/>
      <c r="N12" s="129" t="str">
        <f t="shared" si="8"/>
        <v/>
      </c>
      <c r="O12" s="129" t="str">
        <f t="shared" si="0"/>
        <v/>
      </c>
      <c r="P12" s="129" t="str">
        <f t="shared" si="9"/>
        <v/>
      </c>
      <c r="Q12" s="129" t="str">
        <f t="shared" si="10"/>
        <v/>
      </c>
      <c r="R12" s="143"/>
      <c r="BA12" s="78"/>
      <c r="BB12" s="132" t="s">
        <v>3518</v>
      </c>
      <c r="BC12" s="133"/>
      <c r="BD12" s="132" t="str">
        <f>IF(OR(B12="",BC12=""),"",COUNTIF(BC$7:BC12,"√"))</f>
        <v/>
      </c>
      <c r="BE12" s="134" t="str">
        <f t="shared" si="1"/>
        <v/>
      </c>
      <c r="BF12" s="135" t="str">
        <f t="shared" si="11"/>
        <v/>
      </c>
      <c r="BG12" s="135" t="str">
        <f t="shared" si="11"/>
        <v/>
      </c>
      <c r="BH12" s="136"/>
      <c r="BI12" s="136"/>
      <c r="BJ12" s="136"/>
      <c r="BK12" s="136"/>
      <c r="BL12" s="136"/>
      <c r="BM12" s="137"/>
      <c r="BN12" s="137"/>
      <c r="BO12" s="165" t="s">
        <v>1674</v>
      </c>
      <c r="BP12" s="156">
        <f t="shared" si="2"/>
        <v>125.582477754962</v>
      </c>
      <c r="BQ12" s="156">
        <f t="shared" si="3"/>
        <v>0</v>
      </c>
      <c r="BR12" s="658">
        <f t="shared" si="4"/>
        <v>0</v>
      </c>
      <c r="BS12" s="347">
        <f t="shared" si="12"/>
        <v>0</v>
      </c>
      <c r="BU12" s="134" t="str">
        <f>IF(COUNTIF(BU$6:BU11,C12)&gt;0,"",C12)&amp;""</f>
        <v/>
      </c>
      <c r="BV12" s="138">
        <f t="shared" si="13"/>
        <v>0</v>
      </c>
      <c r="BW12" s="132">
        <f t="shared" si="14"/>
        <v>1</v>
      </c>
      <c r="BX12" s="138">
        <f t="shared" si="15"/>
        <v>0</v>
      </c>
      <c r="BY12" s="132">
        <f t="shared" si="16"/>
        <v>1</v>
      </c>
      <c r="BZ12" s="132">
        <v>4</v>
      </c>
      <c r="CA12" s="134" t="str">
        <f t="shared" si="17"/>
        <v/>
      </c>
      <c r="CB12" s="146" t="str">
        <f>IF(CA13="","","和")</f>
        <v/>
      </c>
    </row>
    <row r="13" ht="15" customHeight="1" spans="1:80">
      <c r="A13" s="123" t="str">
        <f>IF(B13="","",COUNT(A$6:A12)+1)</f>
        <v/>
      </c>
      <c r="B13" s="139"/>
      <c r="C13" s="141"/>
      <c r="D13" s="140"/>
      <c r="E13" s="140"/>
      <c r="F13" s="255"/>
      <c r="G13" s="142"/>
      <c r="H13" s="127" t="str">
        <f>IFERROR(VLOOKUP(G13,参数表!$H$2:$I$50,2,FALSE),"")</f>
        <v/>
      </c>
      <c r="I13" s="128" t="str">
        <f t="shared" si="6"/>
        <v/>
      </c>
      <c r="J13" s="128" t="str">
        <f t="shared" si="7"/>
        <v/>
      </c>
      <c r="K13" s="143"/>
      <c r="L13" s="143"/>
      <c r="M13" s="144"/>
      <c r="N13" s="129" t="str">
        <f t="shared" si="8"/>
        <v/>
      </c>
      <c r="O13" s="129" t="str">
        <f t="shared" si="0"/>
        <v/>
      </c>
      <c r="P13" s="129" t="str">
        <f t="shared" si="9"/>
        <v/>
      </c>
      <c r="Q13" s="129" t="str">
        <f t="shared" si="10"/>
        <v/>
      </c>
      <c r="R13" s="143"/>
      <c r="BA13" s="78"/>
      <c r="BB13" s="132" t="s">
        <v>3519</v>
      </c>
      <c r="BC13" s="133"/>
      <c r="BD13" s="132" t="str">
        <f>IF(OR(B13="",BC13=""),"",COUNTIF(BC$7:BC13,"√"))</f>
        <v/>
      </c>
      <c r="BE13" s="134" t="str">
        <f t="shared" si="1"/>
        <v/>
      </c>
      <c r="BF13" s="135" t="str">
        <f t="shared" si="11"/>
        <v/>
      </c>
      <c r="BG13" s="135" t="str">
        <f t="shared" si="11"/>
        <v/>
      </c>
      <c r="BH13" s="136"/>
      <c r="BI13" s="136"/>
      <c r="BJ13" s="136"/>
      <c r="BK13" s="136"/>
      <c r="BL13" s="136"/>
      <c r="BM13" s="137"/>
      <c r="BN13" s="137"/>
      <c r="BO13" s="165" t="s">
        <v>1674</v>
      </c>
      <c r="BP13" s="156">
        <f t="shared" si="2"/>
        <v>125.582477754962</v>
      </c>
      <c r="BQ13" s="156">
        <f t="shared" si="3"/>
        <v>0</v>
      </c>
      <c r="BR13" s="658">
        <f t="shared" si="4"/>
        <v>0</v>
      </c>
      <c r="BS13" s="347">
        <f t="shared" si="12"/>
        <v>0</v>
      </c>
      <c r="BU13" s="134" t="str">
        <f>IF(COUNTIF(BU$6:BU12,C13)&gt;0,"",C13)&amp;""</f>
        <v/>
      </c>
      <c r="BV13" s="138">
        <f t="shared" si="13"/>
        <v>0</v>
      </c>
      <c r="BW13" s="132">
        <f t="shared" si="14"/>
        <v>1</v>
      </c>
      <c r="BX13" s="138">
        <f t="shared" si="15"/>
        <v>0</v>
      </c>
      <c r="BY13" s="132">
        <f t="shared" si="16"/>
        <v>1</v>
      </c>
      <c r="BZ13" s="132">
        <v>5</v>
      </c>
      <c r="CA13" s="134" t="str">
        <f t="shared" si="17"/>
        <v/>
      </c>
      <c r="CB13" s="146"/>
    </row>
    <row r="14" ht="15" customHeight="1" spans="1:80">
      <c r="A14" s="123" t="str">
        <f>IF(B14="","",COUNT(A$6:A13)+1)</f>
        <v/>
      </c>
      <c r="B14" s="139"/>
      <c r="C14" s="141"/>
      <c r="D14" s="140"/>
      <c r="E14" s="140"/>
      <c r="F14" s="255"/>
      <c r="G14" s="142"/>
      <c r="H14" s="127" t="str">
        <f>IFERROR(VLOOKUP(G14,参数表!$H$2:$I$50,2,FALSE),"")</f>
        <v/>
      </c>
      <c r="I14" s="128" t="str">
        <f t="shared" si="6"/>
        <v/>
      </c>
      <c r="J14" s="128" t="str">
        <f t="shared" si="7"/>
        <v/>
      </c>
      <c r="K14" s="143"/>
      <c r="L14" s="143"/>
      <c r="M14" s="144"/>
      <c r="N14" s="129" t="str">
        <f t="shared" si="8"/>
        <v/>
      </c>
      <c r="O14" s="129" t="str">
        <f t="shared" si="0"/>
        <v/>
      </c>
      <c r="P14" s="129" t="str">
        <f t="shared" si="9"/>
        <v/>
      </c>
      <c r="Q14" s="129" t="str">
        <f t="shared" si="10"/>
        <v/>
      </c>
      <c r="R14" s="143"/>
      <c r="BA14" s="78"/>
      <c r="BB14" s="132" t="s">
        <v>3520</v>
      </c>
      <c r="BC14" s="133"/>
      <c r="BD14" s="132" t="str">
        <f>IF(OR(B14="",BC14=""),"",COUNTIF(BC$7:BC14,"√"))</f>
        <v/>
      </c>
      <c r="BE14" s="134" t="str">
        <f t="shared" si="1"/>
        <v/>
      </c>
      <c r="BF14" s="135" t="str">
        <f t="shared" si="11"/>
        <v/>
      </c>
      <c r="BG14" s="135" t="str">
        <f t="shared" si="11"/>
        <v/>
      </c>
      <c r="BH14" s="136"/>
      <c r="BI14" s="136"/>
      <c r="BJ14" s="136"/>
      <c r="BK14" s="136"/>
      <c r="BL14" s="136"/>
      <c r="BM14" s="137"/>
      <c r="BN14" s="137"/>
      <c r="BO14" s="165" t="s">
        <v>1674</v>
      </c>
      <c r="BP14" s="156">
        <f t="shared" si="2"/>
        <v>125.582477754962</v>
      </c>
      <c r="BQ14" s="156">
        <f t="shared" si="3"/>
        <v>0</v>
      </c>
      <c r="BR14" s="658">
        <f t="shared" si="4"/>
        <v>0</v>
      </c>
      <c r="BS14" s="347">
        <f t="shared" si="12"/>
        <v>0</v>
      </c>
      <c r="BU14" s="134" t="str">
        <f>IF(COUNTIF(BU$6:BU13,C14)&gt;0,"",C14)&amp;""</f>
        <v/>
      </c>
      <c r="BV14" s="138">
        <f t="shared" si="13"/>
        <v>0</v>
      </c>
      <c r="BW14" s="132">
        <f t="shared" si="14"/>
        <v>1</v>
      </c>
      <c r="BX14" s="138">
        <f t="shared" si="15"/>
        <v>0</v>
      </c>
      <c r="BY14" s="132">
        <f t="shared" si="16"/>
        <v>1</v>
      </c>
      <c r="BZ14" s="147" t="s">
        <v>1659</v>
      </c>
      <c r="CA14" s="132" t="str">
        <f>CONCATENATE(CA9,CB9,CA10,CB10,CA11,CB11,CA12,CB12,CA13)</f>
        <v/>
      </c>
      <c r="CB14" s="132"/>
    </row>
    <row r="15" ht="15" customHeight="1" spans="1:80">
      <c r="A15" s="123" t="str">
        <f>IF(B15="","",COUNT(A$6:A14)+1)</f>
        <v/>
      </c>
      <c r="B15" s="139"/>
      <c r="C15" s="141"/>
      <c r="D15" s="140"/>
      <c r="E15" s="140"/>
      <c r="F15" s="255"/>
      <c r="G15" s="142"/>
      <c r="H15" s="127" t="str">
        <f>IFERROR(VLOOKUP(G15,参数表!$H$2:$I$50,2,FALSE),"")</f>
        <v/>
      </c>
      <c r="I15" s="128" t="str">
        <f t="shared" si="6"/>
        <v/>
      </c>
      <c r="J15" s="128" t="str">
        <f t="shared" si="7"/>
        <v/>
      </c>
      <c r="K15" s="143"/>
      <c r="L15" s="143"/>
      <c r="M15" s="144"/>
      <c r="N15" s="129" t="str">
        <f t="shared" si="8"/>
        <v/>
      </c>
      <c r="O15" s="129" t="str">
        <f t="shared" si="0"/>
        <v/>
      </c>
      <c r="P15" s="129" t="str">
        <f t="shared" si="9"/>
        <v/>
      </c>
      <c r="Q15" s="129" t="str">
        <f t="shared" si="10"/>
        <v/>
      </c>
      <c r="R15" s="143"/>
      <c r="BA15" s="78"/>
      <c r="BB15" s="132" t="s">
        <v>3521</v>
      </c>
      <c r="BC15" s="133"/>
      <c r="BD15" s="132" t="str">
        <f>IF(OR(B15="",BC15=""),"",COUNTIF(BC$7:BC15,"√"))</f>
        <v/>
      </c>
      <c r="BE15" s="134" t="str">
        <f t="shared" si="1"/>
        <v/>
      </c>
      <c r="BF15" s="135" t="str">
        <f t="shared" si="11"/>
        <v/>
      </c>
      <c r="BG15" s="135" t="str">
        <f t="shared" si="11"/>
        <v/>
      </c>
      <c r="BH15" s="136"/>
      <c r="BI15" s="136"/>
      <c r="BJ15" s="136"/>
      <c r="BK15" s="136"/>
      <c r="BL15" s="136"/>
      <c r="BM15" s="137"/>
      <c r="BN15" s="137"/>
      <c r="BO15" s="165" t="s">
        <v>1674</v>
      </c>
      <c r="BP15" s="156">
        <f t="shared" si="2"/>
        <v>125.582477754962</v>
      </c>
      <c r="BQ15" s="156">
        <f t="shared" si="3"/>
        <v>0</v>
      </c>
      <c r="BR15" s="658">
        <f t="shared" si="4"/>
        <v>0</v>
      </c>
      <c r="BS15" s="347">
        <f t="shared" si="12"/>
        <v>0</v>
      </c>
      <c r="BU15" s="134" t="str">
        <f>IF(COUNTIF(BU$6:BU14,C15)&gt;0,"",C15)&amp;""</f>
        <v/>
      </c>
      <c r="BV15" s="138">
        <f t="shared" si="13"/>
        <v>0</v>
      </c>
      <c r="BW15" s="132">
        <f t="shared" si="14"/>
        <v>1</v>
      </c>
      <c r="BX15" s="138">
        <f t="shared" si="15"/>
        <v>0</v>
      </c>
      <c r="BY15" s="132">
        <f t="shared" si="16"/>
        <v>1</v>
      </c>
      <c r="BZ15" s="133"/>
      <c r="CA15" s="133"/>
    </row>
    <row r="16" ht="15" customHeight="1" spans="1:80">
      <c r="A16" s="123" t="str">
        <f>IF(B16="","",COUNT(A$6:A15)+1)</f>
        <v/>
      </c>
      <c r="B16" s="139"/>
      <c r="C16" s="141"/>
      <c r="D16" s="140"/>
      <c r="E16" s="140"/>
      <c r="F16" s="255"/>
      <c r="G16" s="142"/>
      <c r="H16" s="127" t="str">
        <f>IFERROR(VLOOKUP(G16,参数表!$H$2:$I$50,2,FALSE),"")</f>
        <v/>
      </c>
      <c r="I16" s="128" t="str">
        <f t="shared" si="6"/>
        <v/>
      </c>
      <c r="J16" s="128" t="str">
        <f t="shared" si="7"/>
        <v/>
      </c>
      <c r="K16" s="143"/>
      <c r="L16" s="143"/>
      <c r="M16" s="144"/>
      <c r="N16" s="129" t="str">
        <f t="shared" si="8"/>
        <v/>
      </c>
      <c r="O16" s="129" t="str">
        <f t="shared" si="0"/>
        <v/>
      </c>
      <c r="P16" s="129" t="str">
        <f t="shared" si="9"/>
        <v/>
      </c>
      <c r="Q16" s="129" t="str">
        <f t="shared" si="10"/>
        <v/>
      </c>
      <c r="R16" s="143"/>
      <c r="BA16" s="78"/>
      <c r="BB16" s="132" t="s">
        <v>3522</v>
      </c>
      <c r="BC16" s="133"/>
      <c r="BD16" s="132" t="str">
        <f>IF(OR(B16="",BC16=""),"",COUNTIF(BC$7:BC16,"√"))</f>
        <v/>
      </c>
      <c r="BE16" s="134" t="str">
        <f t="shared" si="1"/>
        <v/>
      </c>
      <c r="BF16" s="135" t="str">
        <f t="shared" si="11"/>
        <v/>
      </c>
      <c r="BG16" s="135" t="str">
        <f t="shared" si="11"/>
        <v/>
      </c>
      <c r="BH16" s="136"/>
      <c r="BI16" s="136"/>
      <c r="BJ16" s="136"/>
      <c r="BK16" s="136"/>
      <c r="BL16" s="136"/>
      <c r="BM16" s="137"/>
      <c r="BN16" s="137"/>
      <c r="BO16" s="165" t="s">
        <v>1674</v>
      </c>
      <c r="BP16" s="156">
        <f t="shared" si="2"/>
        <v>125.582477754962</v>
      </c>
      <c r="BQ16" s="156">
        <f t="shared" si="3"/>
        <v>0</v>
      </c>
      <c r="BR16" s="658">
        <f t="shared" si="4"/>
        <v>0</v>
      </c>
      <c r="BS16" s="347">
        <f t="shared" si="12"/>
        <v>0</v>
      </c>
      <c r="BU16" s="134" t="str">
        <f>IF(COUNTIF(BU$6:BU15,C16)&gt;0,"",C16)&amp;""</f>
        <v/>
      </c>
      <c r="BV16" s="138">
        <f t="shared" si="13"/>
        <v>0</v>
      </c>
      <c r="BW16" s="132">
        <f t="shared" si="14"/>
        <v>1</v>
      </c>
      <c r="BX16" s="138">
        <f t="shared" si="15"/>
        <v>0</v>
      </c>
      <c r="BY16" s="132">
        <f t="shared" si="16"/>
        <v>1</v>
      </c>
      <c r="BZ16" s="133"/>
      <c r="CA16" s="148"/>
    </row>
    <row r="17" ht="15" customHeight="1" spans="1:80">
      <c r="A17" s="123" t="str">
        <f>IF(B17="","",COUNT(A$6:A16)+1)</f>
        <v/>
      </c>
      <c r="B17" s="139"/>
      <c r="C17" s="141"/>
      <c r="D17" s="140"/>
      <c r="E17" s="140"/>
      <c r="F17" s="255"/>
      <c r="G17" s="142"/>
      <c r="H17" s="127" t="str">
        <f>IFERROR(VLOOKUP(G17,参数表!$H$2:$I$50,2,FALSE),"")</f>
        <v/>
      </c>
      <c r="I17" s="128" t="str">
        <f t="shared" si="6"/>
        <v/>
      </c>
      <c r="J17" s="128" t="str">
        <f t="shared" si="7"/>
        <v/>
      </c>
      <c r="K17" s="143"/>
      <c r="L17" s="143"/>
      <c r="M17" s="144"/>
      <c r="N17" s="129" t="str">
        <f t="shared" si="8"/>
        <v/>
      </c>
      <c r="O17" s="129" t="str">
        <f t="shared" si="0"/>
        <v/>
      </c>
      <c r="P17" s="129" t="str">
        <f t="shared" si="9"/>
        <v/>
      </c>
      <c r="Q17" s="129" t="str">
        <f t="shared" si="10"/>
        <v/>
      </c>
      <c r="R17" s="143"/>
      <c r="BA17" s="78"/>
      <c r="BB17" s="132" t="s">
        <v>3523</v>
      </c>
      <c r="BC17" s="133"/>
      <c r="BD17" s="132" t="str">
        <f>IF(OR(B17="",BC17=""),"",COUNTIF(BC$7:BC17,"√"))</f>
        <v/>
      </c>
      <c r="BE17" s="134" t="str">
        <f t="shared" si="1"/>
        <v/>
      </c>
      <c r="BF17" s="135" t="str">
        <f t="shared" si="11"/>
        <v/>
      </c>
      <c r="BG17" s="135" t="str">
        <f t="shared" si="11"/>
        <v/>
      </c>
      <c r="BH17" s="136"/>
      <c r="BI17" s="136"/>
      <c r="BJ17" s="136"/>
      <c r="BK17" s="136"/>
      <c r="BL17" s="136"/>
      <c r="BM17" s="137"/>
      <c r="BN17" s="137"/>
      <c r="BO17" s="165" t="s">
        <v>1674</v>
      </c>
      <c r="BP17" s="156">
        <f t="shared" si="2"/>
        <v>125.582477754962</v>
      </c>
      <c r="BQ17" s="156">
        <f t="shared" si="3"/>
        <v>0</v>
      </c>
      <c r="BR17" s="658">
        <f t="shared" si="4"/>
        <v>0</v>
      </c>
      <c r="BS17" s="347">
        <f t="shared" si="12"/>
        <v>0</v>
      </c>
      <c r="BU17" s="134" t="str">
        <f>IF(COUNTIF(BU$6:BU16,C17)&gt;0,"",C17)&amp;""</f>
        <v/>
      </c>
      <c r="BV17" s="138">
        <f t="shared" si="13"/>
        <v>0</v>
      </c>
      <c r="BW17" s="132">
        <f t="shared" si="14"/>
        <v>1</v>
      </c>
      <c r="BX17" s="138">
        <f t="shared" si="15"/>
        <v>0</v>
      </c>
      <c r="BY17" s="132">
        <f t="shared" si="16"/>
        <v>1</v>
      </c>
      <c r="BZ17" s="133"/>
      <c r="CA17" s="133"/>
    </row>
    <row r="18" ht="15" customHeight="1" spans="1:80">
      <c r="A18" s="123" t="str">
        <f>IF(B18="","",COUNT(A$6:A17)+1)</f>
        <v/>
      </c>
      <c r="B18" s="139"/>
      <c r="C18" s="141"/>
      <c r="D18" s="140"/>
      <c r="E18" s="140"/>
      <c r="F18" s="255"/>
      <c r="G18" s="142"/>
      <c r="H18" s="127" t="str">
        <f>IFERROR(VLOOKUP(G18,参数表!$H$2:$I$50,2,FALSE),"")</f>
        <v/>
      </c>
      <c r="I18" s="128" t="str">
        <f t="shared" si="6"/>
        <v/>
      </c>
      <c r="J18" s="128" t="str">
        <f t="shared" si="7"/>
        <v/>
      </c>
      <c r="K18" s="143"/>
      <c r="L18" s="143"/>
      <c r="M18" s="144"/>
      <c r="N18" s="129" t="str">
        <f t="shared" si="8"/>
        <v/>
      </c>
      <c r="O18" s="129" t="str">
        <f t="shared" si="0"/>
        <v/>
      </c>
      <c r="P18" s="129" t="str">
        <f t="shared" si="9"/>
        <v/>
      </c>
      <c r="Q18" s="129" t="str">
        <f t="shared" si="10"/>
        <v/>
      </c>
      <c r="R18" s="143"/>
      <c r="BA18" s="78"/>
      <c r="BB18" s="132" t="s">
        <v>3524</v>
      </c>
      <c r="BC18" s="133"/>
      <c r="BD18" s="132" t="str">
        <f>IF(OR(B18="",BC18=""),"",COUNTIF(BC$7:BC18,"√"))</f>
        <v/>
      </c>
      <c r="BE18" s="134" t="str">
        <f t="shared" si="1"/>
        <v/>
      </c>
      <c r="BF18" s="135" t="str">
        <f t="shared" si="11"/>
        <v/>
      </c>
      <c r="BG18" s="135" t="str">
        <f t="shared" si="11"/>
        <v/>
      </c>
      <c r="BH18" s="136"/>
      <c r="BI18" s="136"/>
      <c r="BJ18" s="136"/>
      <c r="BK18" s="136"/>
      <c r="BL18" s="136"/>
      <c r="BM18" s="137"/>
      <c r="BN18" s="137"/>
      <c r="BO18" s="165" t="s">
        <v>1674</v>
      </c>
      <c r="BP18" s="156">
        <f t="shared" si="2"/>
        <v>125.582477754962</v>
      </c>
      <c r="BQ18" s="156">
        <f t="shared" si="3"/>
        <v>0</v>
      </c>
      <c r="BR18" s="658">
        <f t="shared" si="4"/>
        <v>0</v>
      </c>
      <c r="BS18" s="347">
        <f t="shared" si="12"/>
        <v>0</v>
      </c>
      <c r="BU18" s="134" t="str">
        <f>IF(COUNTIF(BU$6:BU17,C18)&gt;0,"",C18)&amp;""</f>
        <v/>
      </c>
      <c r="BV18" s="138">
        <f t="shared" si="13"/>
        <v>0</v>
      </c>
      <c r="BW18" s="132">
        <f t="shared" si="14"/>
        <v>1</v>
      </c>
      <c r="BX18" s="138">
        <f t="shared" si="15"/>
        <v>0</v>
      </c>
      <c r="BY18" s="132">
        <f t="shared" si="16"/>
        <v>1</v>
      </c>
      <c r="BZ18" s="133"/>
      <c r="CA18" s="133"/>
    </row>
    <row r="19" ht="15" customHeight="1" spans="1:80">
      <c r="A19" s="123" t="str">
        <f>IF(B19="","",COUNT(A$6:A18)+1)</f>
        <v/>
      </c>
      <c r="B19" s="139"/>
      <c r="C19" s="141"/>
      <c r="D19" s="140"/>
      <c r="E19" s="140"/>
      <c r="F19" s="255"/>
      <c r="G19" s="142"/>
      <c r="H19" s="127" t="str">
        <f>IFERROR(VLOOKUP(G19,参数表!$H$2:$I$50,2,FALSE),"")</f>
        <v/>
      </c>
      <c r="I19" s="128" t="str">
        <f t="shared" si="6"/>
        <v/>
      </c>
      <c r="J19" s="128" t="str">
        <f t="shared" si="7"/>
        <v/>
      </c>
      <c r="K19" s="143"/>
      <c r="L19" s="143"/>
      <c r="M19" s="144"/>
      <c r="N19" s="129" t="str">
        <f t="shared" si="8"/>
        <v/>
      </c>
      <c r="O19" s="129" t="str">
        <f t="shared" si="0"/>
        <v/>
      </c>
      <c r="P19" s="129" t="str">
        <f t="shared" si="9"/>
        <v/>
      </c>
      <c r="Q19" s="129" t="str">
        <f t="shared" si="10"/>
        <v/>
      </c>
      <c r="R19" s="143"/>
      <c r="BA19" s="78"/>
      <c r="BB19" s="132" t="s">
        <v>3525</v>
      </c>
      <c r="BC19" s="133"/>
      <c r="BD19" s="132" t="str">
        <f>IF(OR(B19="",BC19=""),"",COUNTIF(BC$7:BC19,"√"))</f>
        <v/>
      </c>
      <c r="BE19" s="134" t="str">
        <f t="shared" si="1"/>
        <v/>
      </c>
      <c r="BF19" s="135" t="str">
        <f t="shared" si="11"/>
        <v/>
      </c>
      <c r="BG19" s="135" t="str">
        <f t="shared" si="11"/>
        <v/>
      </c>
      <c r="BH19" s="136"/>
      <c r="BI19" s="136"/>
      <c r="BJ19" s="136"/>
      <c r="BK19" s="136"/>
      <c r="BL19" s="136"/>
      <c r="BM19" s="137"/>
      <c r="BN19" s="137"/>
      <c r="BO19" s="165" t="s">
        <v>1674</v>
      </c>
      <c r="BP19" s="156">
        <f t="shared" si="2"/>
        <v>125.582477754962</v>
      </c>
      <c r="BQ19" s="156">
        <f t="shared" si="3"/>
        <v>0</v>
      </c>
      <c r="BR19" s="658">
        <f t="shared" si="4"/>
        <v>0</v>
      </c>
      <c r="BS19" s="347">
        <f t="shared" si="12"/>
        <v>0</v>
      </c>
      <c r="BU19" s="134" t="str">
        <f>IF(COUNTIF(BU$6:BU18,C19)&gt;0,"",C19)&amp;""</f>
        <v/>
      </c>
      <c r="BV19" s="138">
        <f t="shared" si="13"/>
        <v>0</v>
      </c>
      <c r="BW19" s="132">
        <f t="shared" si="14"/>
        <v>1</v>
      </c>
      <c r="BX19" s="138">
        <f t="shared" si="15"/>
        <v>0</v>
      </c>
      <c r="BY19" s="132">
        <f t="shared" si="16"/>
        <v>1</v>
      </c>
      <c r="BZ19" s="133"/>
      <c r="CA19" s="133"/>
    </row>
    <row r="20" ht="15" customHeight="1" spans="1:80">
      <c r="A20" s="123" t="str">
        <f>IF(B20="","",COUNT(A$6:A19)+1)</f>
        <v/>
      </c>
      <c r="B20" s="139"/>
      <c r="C20" s="141"/>
      <c r="D20" s="140"/>
      <c r="E20" s="140"/>
      <c r="F20" s="255"/>
      <c r="G20" s="142"/>
      <c r="H20" s="127" t="str">
        <f>IFERROR(VLOOKUP(G20,参数表!$H$2:$I$50,2,FALSE),"")</f>
        <v/>
      </c>
      <c r="I20" s="128" t="str">
        <f t="shared" si="6"/>
        <v/>
      </c>
      <c r="J20" s="128" t="str">
        <f t="shared" si="7"/>
        <v/>
      </c>
      <c r="K20" s="143"/>
      <c r="L20" s="143"/>
      <c r="M20" s="144"/>
      <c r="N20" s="129" t="str">
        <f t="shared" si="8"/>
        <v/>
      </c>
      <c r="O20" s="129" t="str">
        <f t="shared" si="0"/>
        <v/>
      </c>
      <c r="P20" s="129" t="str">
        <f t="shared" si="9"/>
        <v/>
      </c>
      <c r="Q20" s="129" t="str">
        <f t="shared" si="10"/>
        <v/>
      </c>
      <c r="R20" s="143"/>
      <c r="BA20" s="78"/>
      <c r="BB20" s="132" t="s">
        <v>3526</v>
      </c>
      <c r="BC20" s="133"/>
      <c r="BD20" s="132" t="str">
        <f>IF(OR(B20="",BC20=""),"",COUNTIF(BC$7:BC20,"√"))</f>
        <v/>
      </c>
      <c r="BE20" s="134" t="str">
        <f t="shared" si="1"/>
        <v/>
      </c>
      <c r="BF20" s="135" t="str">
        <f t="shared" si="11"/>
        <v/>
      </c>
      <c r="BG20" s="135" t="str">
        <f t="shared" si="11"/>
        <v/>
      </c>
      <c r="BH20" s="136"/>
      <c r="BI20" s="136"/>
      <c r="BJ20" s="136"/>
      <c r="BK20" s="136"/>
      <c r="BL20" s="136"/>
      <c r="BM20" s="137"/>
      <c r="BN20" s="137"/>
      <c r="BO20" s="165" t="s">
        <v>1674</v>
      </c>
      <c r="BP20" s="156">
        <f t="shared" si="2"/>
        <v>125.582477754962</v>
      </c>
      <c r="BQ20" s="156">
        <f t="shared" si="3"/>
        <v>0</v>
      </c>
      <c r="BR20" s="658">
        <f t="shared" si="4"/>
        <v>0</v>
      </c>
      <c r="BS20" s="347">
        <f t="shared" si="12"/>
        <v>0</v>
      </c>
      <c r="BU20" s="134" t="str">
        <f>IF(COUNTIF(BU$6:BU19,C20)&gt;0,"",C20)&amp;""</f>
        <v/>
      </c>
      <c r="BV20" s="138">
        <f t="shared" si="13"/>
        <v>0</v>
      </c>
      <c r="BW20" s="132">
        <f t="shared" si="14"/>
        <v>1</v>
      </c>
      <c r="BX20" s="138">
        <f t="shared" si="15"/>
        <v>0</v>
      </c>
      <c r="BY20" s="132">
        <f t="shared" si="16"/>
        <v>1</v>
      </c>
      <c r="BZ20" s="133"/>
      <c r="CA20" s="133"/>
    </row>
    <row r="21" ht="15" customHeight="1" spans="1:80">
      <c r="A21" s="123" t="str">
        <f>IF(B21="","",COUNT(A$6:A20)+1)</f>
        <v/>
      </c>
      <c r="B21" s="139"/>
      <c r="C21" s="141"/>
      <c r="D21" s="140"/>
      <c r="E21" s="140"/>
      <c r="F21" s="255"/>
      <c r="G21" s="142"/>
      <c r="H21" s="127" t="str">
        <f>IFERROR(VLOOKUP(G21,参数表!$H$2:$I$50,2,FALSE),"")</f>
        <v/>
      </c>
      <c r="I21" s="128" t="str">
        <f t="shared" si="6"/>
        <v/>
      </c>
      <c r="J21" s="128" t="str">
        <f t="shared" si="7"/>
        <v/>
      </c>
      <c r="K21" s="143"/>
      <c r="L21" s="143"/>
      <c r="M21" s="144"/>
      <c r="N21" s="129" t="str">
        <f t="shared" si="8"/>
        <v/>
      </c>
      <c r="O21" s="129" t="str">
        <f t="shared" si="0"/>
        <v/>
      </c>
      <c r="P21" s="129" t="str">
        <f t="shared" si="9"/>
        <v/>
      </c>
      <c r="Q21" s="129" t="str">
        <f t="shared" si="10"/>
        <v/>
      </c>
      <c r="R21" s="143"/>
      <c r="BA21" s="78"/>
      <c r="BB21" s="132" t="s">
        <v>3527</v>
      </c>
      <c r="BC21" s="133"/>
      <c r="BD21" s="132" t="str">
        <f>IF(OR(B21="",BC21=""),"",COUNTIF(BC$7:BC21,"√"))</f>
        <v/>
      </c>
      <c r="BE21" s="134" t="str">
        <f t="shared" si="1"/>
        <v/>
      </c>
      <c r="BF21" s="135" t="str">
        <f t="shared" si="11"/>
        <v/>
      </c>
      <c r="BG21" s="135" t="str">
        <f t="shared" si="11"/>
        <v/>
      </c>
      <c r="BH21" s="136"/>
      <c r="BI21" s="136"/>
      <c r="BJ21" s="136"/>
      <c r="BK21" s="136"/>
      <c r="BL21" s="136"/>
      <c r="BM21" s="137"/>
      <c r="BN21" s="137"/>
      <c r="BO21" s="165" t="s">
        <v>1674</v>
      </c>
      <c r="BP21" s="156">
        <f t="shared" si="2"/>
        <v>125.582477754962</v>
      </c>
      <c r="BQ21" s="156">
        <f t="shared" si="3"/>
        <v>0</v>
      </c>
      <c r="BR21" s="658">
        <f t="shared" si="4"/>
        <v>0</v>
      </c>
      <c r="BS21" s="347">
        <f t="shared" si="12"/>
        <v>0</v>
      </c>
      <c r="BU21" s="134" t="str">
        <f>IF(COUNTIF(BU$6:BU20,C21)&gt;0,"",C21)&amp;""</f>
        <v/>
      </c>
      <c r="BV21" s="138">
        <f t="shared" si="13"/>
        <v>0</v>
      </c>
      <c r="BW21" s="132">
        <f t="shared" si="14"/>
        <v>1</v>
      </c>
      <c r="BX21" s="138">
        <f t="shared" si="15"/>
        <v>0</v>
      </c>
      <c r="BY21" s="132">
        <f t="shared" si="16"/>
        <v>1</v>
      </c>
      <c r="BZ21" s="133"/>
      <c r="CA21" s="133"/>
    </row>
    <row r="22" ht="15" customHeight="1" spans="1:80">
      <c r="A22" s="123" t="str">
        <f>IF(B22="","",COUNT(A$6:A21)+1)</f>
        <v/>
      </c>
      <c r="B22" s="139"/>
      <c r="C22" s="141"/>
      <c r="D22" s="140"/>
      <c r="E22" s="140"/>
      <c r="F22" s="255"/>
      <c r="G22" s="142"/>
      <c r="H22" s="127" t="str">
        <f>IFERROR(VLOOKUP(G22,参数表!$H$2:$I$50,2,FALSE),"")</f>
        <v/>
      </c>
      <c r="I22" s="128" t="str">
        <f t="shared" si="6"/>
        <v/>
      </c>
      <c r="J22" s="128" t="str">
        <f t="shared" si="7"/>
        <v/>
      </c>
      <c r="K22" s="143"/>
      <c r="L22" s="143"/>
      <c r="M22" s="144"/>
      <c r="N22" s="129" t="str">
        <f t="shared" si="8"/>
        <v/>
      </c>
      <c r="O22" s="129" t="str">
        <f t="shared" si="0"/>
        <v/>
      </c>
      <c r="P22" s="129" t="str">
        <f t="shared" si="9"/>
        <v/>
      </c>
      <c r="Q22" s="129" t="str">
        <f t="shared" si="10"/>
        <v/>
      </c>
      <c r="R22" s="143"/>
      <c r="BA22" s="78"/>
      <c r="BB22" s="132" t="s">
        <v>3528</v>
      </c>
      <c r="BC22" s="133"/>
      <c r="BD22" s="132" t="str">
        <f>IF(OR(B22="",BC22=""),"",COUNTIF(BC$7:BC22,"√"))</f>
        <v/>
      </c>
      <c r="BE22" s="134" t="str">
        <f t="shared" si="1"/>
        <v/>
      </c>
      <c r="BF22" s="135" t="str">
        <f t="shared" si="11"/>
        <v/>
      </c>
      <c r="BG22" s="135" t="str">
        <f t="shared" si="11"/>
        <v/>
      </c>
      <c r="BH22" s="136"/>
      <c r="BI22" s="136"/>
      <c r="BJ22" s="136"/>
      <c r="BK22" s="136"/>
      <c r="BL22" s="136"/>
      <c r="BM22" s="137"/>
      <c r="BN22" s="137"/>
      <c r="BO22" s="165" t="s">
        <v>1674</v>
      </c>
      <c r="BP22" s="156">
        <f t="shared" si="2"/>
        <v>125.582477754962</v>
      </c>
      <c r="BQ22" s="156">
        <f t="shared" si="3"/>
        <v>0</v>
      </c>
      <c r="BR22" s="658">
        <f t="shared" si="4"/>
        <v>0</v>
      </c>
      <c r="BS22" s="347">
        <f t="shared" si="12"/>
        <v>0</v>
      </c>
      <c r="BU22" s="134" t="str">
        <f>IF(COUNTIF(BU$6:BU21,C22)&gt;0,"",C22)&amp;""</f>
        <v/>
      </c>
      <c r="BV22" s="138">
        <f t="shared" si="13"/>
        <v>0</v>
      </c>
      <c r="BW22" s="132">
        <f t="shared" si="14"/>
        <v>1</v>
      </c>
      <c r="BX22" s="138">
        <f t="shared" si="15"/>
        <v>0</v>
      </c>
      <c r="BY22" s="132">
        <f t="shared" si="16"/>
        <v>1</v>
      </c>
      <c r="BZ22" s="133"/>
      <c r="CA22" s="133"/>
    </row>
    <row r="23" ht="15" customHeight="1" spans="1:80">
      <c r="A23" s="123" t="str">
        <f>IF(B23="","",COUNT(A$6:A22)+1)</f>
        <v/>
      </c>
      <c r="B23" s="139"/>
      <c r="C23" s="141"/>
      <c r="D23" s="140"/>
      <c r="E23" s="140"/>
      <c r="F23" s="255"/>
      <c r="G23" s="142"/>
      <c r="H23" s="127" t="str">
        <f>IFERROR(VLOOKUP(G23,参数表!$H$2:$I$50,2,FALSE),"")</f>
        <v/>
      </c>
      <c r="I23" s="128" t="str">
        <f t="shared" si="6"/>
        <v/>
      </c>
      <c r="J23" s="128" t="str">
        <f t="shared" si="7"/>
        <v/>
      </c>
      <c r="K23" s="143"/>
      <c r="L23" s="143"/>
      <c r="M23" s="144"/>
      <c r="N23" s="129" t="str">
        <f t="shared" si="8"/>
        <v/>
      </c>
      <c r="O23" s="129" t="str">
        <f t="shared" si="0"/>
        <v/>
      </c>
      <c r="P23" s="129" t="str">
        <f t="shared" si="9"/>
        <v/>
      </c>
      <c r="Q23" s="129" t="str">
        <f t="shared" si="10"/>
        <v/>
      </c>
      <c r="R23" s="143"/>
      <c r="BA23" s="78"/>
      <c r="BB23" s="132" t="s">
        <v>3529</v>
      </c>
      <c r="BC23" s="133"/>
      <c r="BD23" s="132" t="str">
        <f>IF(OR(B23="",BC23=""),"",COUNTIF(BC$7:BC23,"√"))</f>
        <v/>
      </c>
      <c r="BE23" s="134" t="str">
        <f t="shared" si="1"/>
        <v/>
      </c>
      <c r="BF23" s="135" t="str">
        <f t="shared" si="11"/>
        <v/>
      </c>
      <c r="BG23" s="135" t="str">
        <f t="shared" si="11"/>
        <v/>
      </c>
      <c r="BH23" s="136"/>
      <c r="BI23" s="136"/>
      <c r="BJ23" s="136"/>
      <c r="BK23" s="136"/>
      <c r="BL23" s="136"/>
      <c r="BM23" s="137"/>
      <c r="BN23" s="137"/>
      <c r="BO23" s="165" t="s">
        <v>1674</v>
      </c>
      <c r="BP23" s="156">
        <f t="shared" si="2"/>
        <v>125.582477754962</v>
      </c>
      <c r="BQ23" s="156">
        <f t="shared" si="3"/>
        <v>0</v>
      </c>
      <c r="BR23" s="658">
        <f t="shared" si="4"/>
        <v>0</v>
      </c>
      <c r="BS23" s="347">
        <f t="shared" si="12"/>
        <v>0</v>
      </c>
      <c r="BU23" s="134" t="str">
        <f>IF(COUNTIF(BU$6:BU22,C23)&gt;0,"",C23)&amp;""</f>
        <v/>
      </c>
      <c r="BV23" s="138">
        <f t="shared" si="13"/>
        <v>0</v>
      </c>
      <c r="BW23" s="132">
        <f t="shared" si="14"/>
        <v>1</v>
      </c>
      <c r="BX23" s="138">
        <f t="shared" si="15"/>
        <v>0</v>
      </c>
      <c r="BY23" s="132">
        <f t="shared" si="16"/>
        <v>1</v>
      </c>
      <c r="BZ23" s="133"/>
      <c r="CA23" s="133"/>
    </row>
    <row r="24" ht="15" customHeight="1" spans="1:80">
      <c r="A24" s="123" t="str">
        <f>IF(B24="","",COUNT(A$6:A23)+1)</f>
        <v/>
      </c>
      <c r="B24" s="139"/>
      <c r="C24" s="141"/>
      <c r="D24" s="140"/>
      <c r="E24" s="140"/>
      <c r="F24" s="255"/>
      <c r="G24" s="142"/>
      <c r="H24" s="127" t="str">
        <f>IFERROR(VLOOKUP(G24,参数表!$H$2:$I$50,2,FALSE),"")</f>
        <v/>
      </c>
      <c r="I24" s="128" t="str">
        <f t="shared" si="6"/>
        <v/>
      </c>
      <c r="J24" s="128" t="str">
        <f t="shared" si="7"/>
        <v/>
      </c>
      <c r="K24" s="143"/>
      <c r="L24" s="143"/>
      <c r="M24" s="144"/>
      <c r="N24" s="129" t="str">
        <f t="shared" si="8"/>
        <v/>
      </c>
      <c r="O24" s="129" t="str">
        <f t="shared" si="0"/>
        <v/>
      </c>
      <c r="P24" s="129" t="str">
        <f t="shared" si="9"/>
        <v/>
      </c>
      <c r="Q24" s="129" t="str">
        <f t="shared" si="10"/>
        <v/>
      </c>
      <c r="R24" s="143"/>
      <c r="BA24" s="78"/>
      <c r="BB24" s="132" t="s">
        <v>3530</v>
      </c>
      <c r="BC24" s="133"/>
      <c r="BD24" s="132" t="str">
        <f>IF(OR(B24="",BC24=""),"",COUNTIF(BC$7:BC24,"√"))</f>
        <v/>
      </c>
      <c r="BE24" s="134" t="str">
        <f t="shared" si="1"/>
        <v/>
      </c>
      <c r="BF24" s="135" t="str">
        <f t="shared" si="11"/>
        <v/>
      </c>
      <c r="BG24" s="135" t="str">
        <f t="shared" si="11"/>
        <v/>
      </c>
      <c r="BH24" s="136"/>
      <c r="BI24" s="136"/>
      <c r="BJ24" s="136"/>
      <c r="BK24" s="136"/>
      <c r="BL24" s="136"/>
      <c r="BM24" s="137"/>
      <c r="BN24" s="137"/>
      <c r="BO24" s="165" t="s">
        <v>1674</v>
      </c>
      <c r="BP24" s="156">
        <f t="shared" si="2"/>
        <v>125.582477754962</v>
      </c>
      <c r="BQ24" s="156">
        <f t="shared" si="3"/>
        <v>0</v>
      </c>
      <c r="BR24" s="658">
        <f t="shared" si="4"/>
        <v>0</v>
      </c>
      <c r="BS24" s="347">
        <f t="shared" si="12"/>
        <v>0</v>
      </c>
      <c r="BU24" s="134" t="str">
        <f>IF(COUNTIF(BU$6:BU23,C24)&gt;0,"",C24)&amp;""</f>
        <v/>
      </c>
      <c r="BV24" s="138">
        <f t="shared" si="13"/>
        <v>0</v>
      </c>
      <c r="BW24" s="132">
        <f t="shared" si="14"/>
        <v>1</v>
      </c>
      <c r="BX24" s="138">
        <f t="shared" si="15"/>
        <v>0</v>
      </c>
      <c r="BY24" s="132">
        <f t="shared" si="16"/>
        <v>1</v>
      </c>
      <c r="BZ24" s="133"/>
      <c r="CA24" s="133"/>
    </row>
    <row r="25" ht="15" customHeight="1" spans="1:80">
      <c r="A25" s="123" t="str">
        <f>IF(B25="","",COUNT(A$6:A24)+1)</f>
        <v/>
      </c>
      <c r="B25" s="139"/>
      <c r="C25" s="141"/>
      <c r="D25" s="140"/>
      <c r="E25" s="140"/>
      <c r="F25" s="255"/>
      <c r="G25" s="142"/>
      <c r="H25" s="127" t="str">
        <f>IFERROR(VLOOKUP(G25,参数表!$H$2:$I$50,2,FALSE),"")</f>
        <v/>
      </c>
      <c r="I25" s="128" t="str">
        <f t="shared" si="6"/>
        <v/>
      </c>
      <c r="J25" s="128" t="str">
        <f t="shared" si="7"/>
        <v/>
      </c>
      <c r="K25" s="143"/>
      <c r="L25" s="143"/>
      <c r="M25" s="144"/>
      <c r="N25" s="129" t="str">
        <f t="shared" si="8"/>
        <v/>
      </c>
      <c r="O25" s="129" t="str">
        <f t="shared" si="0"/>
        <v/>
      </c>
      <c r="P25" s="129" t="str">
        <f t="shared" si="9"/>
        <v/>
      </c>
      <c r="Q25" s="129" t="str">
        <f t="shared" si="10"/>
        <v/>
      </c>
      <c r="R25" s="143"/>
      <c r="BA25" s="78"/>
      <c r="BB25" s="132" t="s">
        <v>3531</v>
      </c>
      <c r="BC25" s="133"/>
      <c r="BD25" s="132" t="str">
        <f>IF(OR(B25="",BC25=""),"",COUNTIF(BC$7:BC25,"√"))</f>
        <v/>
      </c>
      <c r="BE25" s="134" t="str">
        <f t="shared" si="1"/>
        <v/>
      </c>
      <c r="BF25" s="135" t="str">
        <f t="shared" si="11"/>
        <v/>
      </c>
      <c r="BG25" s="135" t="str">
        <f t="shared" si="11"/>
        <v/>
      </c>
      <c r="BH25" s="136"/>
      <c r="BI25" s="136"/>
      <c r="BJ25" s="136"/>
      <c r="BK25" s="136"/>
      <c r="BL25" s="136"/>
      <c r="BM25" s="137"/>
      <c r="BN25" s="137"/>
      <c r="BO25" s="165" t="s">
        <v>1674</v>
      </c>
      <c r="BP25" s="156">
        <f t="shared" si="2"/>
        <v>125.582477754962</v>
      </c>
      <c r="BQ25" s="156">
        <f t="shared" si="3"/>
        <v>0</v>
      </c>
      <c r="BR25" s="658">
        <f t="shared" si="4"/>
        <v>0</v>
      </c>
      <c r="BS25" s="347">
        <f t="shared" si="12"/>
        <v>0</v>
      </c>
      <c r="BU25" s="134" t="str">
        <f>IF(COUNTIF(BU$6:BU24,C25)&gt;0,"",C25)&amp;""</f>
        <v/>
      </c>
      <c r="BV25" s="138">
        <f t="shared" si="13"/>
        <v>0</v>
      </c>
      <c r="BW25" s="132">
        <f t="shared" si="14"/>
        <v>1</v>
      </c>
      <c r="BX25" s="138">
        <f t="shared" si="15"/>
        <v>0</v>
      </c>
      <c r="BY25" s="132">
        <f t="shared" si="16"/>
        <v>1</v>
      </c>
      <c r="BZ25" s="133"/>
      <c r="CA25" s="133"/>
    </row>
    <row r="26" ht="15" customHeight="1" spans="1:80">
      <c r="A26" s="123" t="str">
        <f>IF(B26="","",COUNT(A$6:A25)+1)</f>
        <v/>
      </c>
      <c r="B26" s="124"/>
      <c r="C26" s="126"/>
      <c r="D26" s="125"/>
      <c r="E26" s="125"/>
      <c r="F26" s="225"/>
      <c r="G26" s="127"/>
      <c r="H26" s="127" t="str">
        <f>IFERROR(VLOOKUP(G26,参数表!$H$2:$I$50,2,FALSE),"")</f>
        <v/>
      </c>
      <c r="I26" s="128" t="str">
        <f t="shared" si="6"/>
        <v/>
      </c>
      <c r="J26" s="128" t="str">
        <f t="shared" si="7"/>
        <v/>
      </c>
      <c r="K26" s="129"/>
      <c r="L26" s="129"/>
      <c r="M26" s="130"/>
      <c r="N26" s="129" t="str">
        <f t="shared" si="8"/>
        <v/>
      </c>
      <c r="O26" s="129" t="str">
        <f t="shared" si="0"/>
        <v/>
      </c>
      <c r="P26" s="129" t="str">
        <f t="shared" si="9"/>
        <v/>
      </c>
      <c r="Q26" s="129" t="str">
        <f t="shared" si="10"/>
        <v/>
      </c>
      <c r="R26" s="129"/>
      <c r="BA26" s="78"/>
      <c r="BB26" s="132" t="s">
        <v>3532</v>
      </c>
      <c r="BC26" s="133"/>
      <c r="BD26" s="132" t="str">
        <f>IF(OR(B26="",BC26=""),"",COUNTIF(BC$7:BC26,"√"))</f>
        <v/>
      </c>
      <c r="BE26" s="134" t="str">
        <f t="shared" si="1"/>
        <v/>
      </c>
      <c r="BF26" s="135" t="str">
        <f t="shared" si="11"/>
        <v/>
      </c>
      <c r="BG26" s="135" t="str">
        <f t="shared" si="11"/>
        <v/>
      </c>
      <c r="BH26" s="136"/>
      <c r="BI26" s="136"/>
      <c r="BJ26" s="136"/>
      <c r="BK26" s="136"/>
      <c r="BL26" s="136"/>
      <c r="BM26" s="137"/>
      <c r="BN26" s="137"/>
      <c r="BO26" s="165" t="s">
        <v>1674</v>
      </c>
      <c r="BP26" s="156">
        <f t="shared" si="2"/>
        <v>125.582477754962</v>
      </c>
      <c r="BQ26" s="156">
        <f t="shared" si="3"/>
        <v>0</v>
      </c>
      <c r="BR26" s="658">
        <f t="shared" si="4"/>
        <v>0</v>
      </c>
      <c r="BS26" s="347">
        <f t="shared" si="12"/>
        <v>0</v>
      </c>
      <c r="BU26" s="134" t="str">
        <f>IF(COUNTIF(BU$6:BU25,C26)&gt;0,"",C26)&amp;""</f>
        <v/>
      </c>
      <c r="BV26" s="138">
        <f t="shared" si="13"/>
        <v>0</v>
      </c>
      <c r="BW26" s="132">
        <f t="shared" si="14"/>
        <v>1</v>
      </c>
      <c r="BX26" s="138">
        <f t="shared" si="15"/>
        <v>0</v>
      </c>
      <c r="BY26" s="132">
        <f t="shared" si="16"/>
        <v>1</v>
      </c>
      <c r="BZ26" s="133"/>
      <c r="CA26" s="133"/>
    </row>
    <row r="27" s="73" customFormat="1" ht="15" customHeight="1" spans="1:80">
      <c r="A27" s="221" t="s">
        <v>1954</v>
      </c>
      <c r="B27" s="221"/>
      <c r="C27" s="149"/>
      <c r="D27" s="356"/>
      <c r="E27" s="356"/>
      <c r="F27" s="149"/>
      <c r="G27" s="149"/>
      <c r="H27" s="149"/>
      <c r="I27" s="149"/>
      <c r="J27" s="149"/>
      <c r="K27" s="152"/>
      <c r="L27" s="152">
        <f>SUM(L7:L26)</f>
        <v>0</v>
      </c>
      <c r="M27" s="153"/>
      <c r="N27" s="152">
        <f>SUM(N7:N26)</f>
        <v>0</v>
      </c>
      <c r="O27" s="152">
        <f>SUM(O7:O26)</f>
        <v>0</v>
      </c>
      <c r="P27" s="152">
        <f t="shared" si="9"/>
        <v>0</v>
      </c>
      <c r="Q27" s="152" t="str">
        <f t="shared" si="10"/>
        <v/>
      </c>
      <c r="R27" s="152"/>
      <c r="BT27" s="111"/>
      <c r="BU27" s="119"/>
      <c r="BV27" s="77"/>
      <c r="BW27" s="77"/>
      <c r="BX27" s="77"/>
      <c r="BY27" s="119"/>
      <c r="BZ27" s="119"/>
      <c r="CA27" s="119"/>
      <c r="CB27" s="111"/>
    </row>
    <row r="28" ht="15" customHeight="1" spans="1:80">
      <c r="A28" s="982" t="s">
        <v>3434</v>
      </c>
      <c r="B28" s="982"/>
      <c r="C28" s="126"/>
      <c r="D28" s="125"/>
      <c r="E28" s="125"/>
      <c r="F28" s="126"/>
      <c r="G28" s="126"/>
      <c r="H28" s="126"/>
      <c r="I28" s="126"/>
      <c r="J28" s="126"/>
      <c r="K28" s="129"/>
      <c r="L28" s="129"/>
      <c r="M28" s="130"/>
      <c r="N28" s="129">
        <f>L28+M28</f>
        <v>0</v>
      </c>
      <c r="O28" s="129">
        <v>0</v>
      </c>
      <c r="P28" s="129">
        <f t="shared" si="9"/>
        <v>0</v>
      </c>
      <c r="Q28" s="129" t="str">
        <f t="shared" si="10"/>
        <v/>
      </c>
      <c r="R28" s="129"/>
    </row>
    <row r="29" s="73" customFormat="1" ht="15" customHeight="1" spans="1:80">
      <c r="A29" s="221" t="s">
        <v>1957</v>
      </c>
      <c r="B29" s="221"/>
      <c r="C29" s="149"/>
      <c r="D29" s="356"/>
      <c r="E29" s="356"/>
      <c r="F29" s="149"/>
      <c r="G29" s="149"/>
      <c r="H29" s="149"/>
      <c r="I29" s="149"/>
      <c r="J29" s="149"/>
      <c r="K29" s="152"/>
      <c r="L29" s="152">
        <f>L27-L28</f>
        <v>0</v>
      </c>
      <c r="M29" s="153"/>
      <c r="N29" s="152">
        <f>N27-N28</f>
        <v>0</v>
      </c>
      <c r="O29" s="152">
        <f>O27-O28</f>
        <v>0</v>
      </c>
      <c r="P29" s="152">
        <f t="shared" si="9"/>
        <v>0</v>
      </c>
      <c r="Q29" s="152" t="str">
        <f t="shared" si="10"/>
        <v/>
      </c>
      <c r="R29" s="152"/>
      <c r="BT29" s="77"/>
      <c r="BU29" s="78"/>
      <c r="BV29" s="77"/>
      <c r="BW29" s="78"/>
      <c r="BX29" s="78"/>
      <c r="BY29" s="78"/>
      <c r="BZ29" s="78"/>
      <c r="CA29" s="78"/>
      <c r="CB29" s="77"/>
    </row>
    <row r="30" ht="15.75" customHeight="1" spans="1:80">
      <c r="A30" s="102" t="str">
        <f>参数表!F$6</f>
        <v>产权持有单位填表人：贾广东</v>
      </c>
      <c r="B30" s="154"/>
      <c r="C30" s="154"/>
      <c r="D30" s="154"/>
      <c r="E30" s="154"/>
      <c r="F30" s="154"/>
      <c r="G30" s="154"/>
      <c r="H30" s="154"/>
      <c r="I30" s="154"/>
      <c r="J30" s="154"/>
      <c r="K30" s="103"/>
      <c r="L30" s="103"/>
      <c r="M30" s="104"/>
      <c r="N30" s="103"/>
      <c r="O30" s="103" t="str">
        <f>"评估人员："&amp;封面!$G$36</f>
        <v>评估人员：</v>
      </c>
      <c r="P30" s="103"/>
      <c r="Q30" s="103"/>
      <c r="R30" s="103"/>
    </row>
    <row r="31" ht="15.75" customHeight="1" spans="1:80">
      <c r="A31" s="102" t="str">
        <f>参数表!F$7</f>
        <v>填表日期：2025年9月20日</v>
      </c>
      <c r="B31" s="154"/>
      <c r="C31" s="154"/>
      <c r="D31" s="154"/>
      <c r="E31" s="154"/>
      <c r="F31" s="154"/>
      <c r="G31" s="154"/>
      <c r="H31" s="154"/>
      <c r="I31" s="154"/>
      <c r="J31" s="154"/>
      <c r="K31" s="103"/>
      <c r="L31" s="103"/>
      <c r="M31" s="104"/>
      <c r="N31" s="103"/>
      <c r="O31" s="103"/>
      <c r="P31" s="103"/>
      <c r="Q31" s="103"/>
      <c r="R31" s="103"/>
    </row>
    <row r="32" ht="15.75" hidden="1" customHeight="1" outlineLevel="1" spans="1:80">
      <c r="A32" s="157"/>
      <c r="B32" s="154" t="s">
        <v>1673</v>
      </c>
      <c r="C32" s="158"/>
      <c r="D32" s="158"/>
      <c r="E32" s="158"/>
      <c r="F32" s="158"/>
      <c r="G32" s="158"/>
      <c r="H32" s="158"/>
      <c r="I32" s="158"/>
      <c r="J32" s="158"/>
      <c r="L32" s="159">
        <f>SUMIF($BA7:$BA26,$BA32,L7:L26)</f>
        <v>0</v>
      </c>
      <c r="M32" s="202"/>
      <c r="N32" s="159">
        <f>SUMIF($BA7:$BA26,$BA32,N7:N26)</f>
        <v>0</v>
      </c>
      <c r="O32" s="159">
        <f>SUMIF($BA7:$BA26,$BA32,O7:O26)</f>
        <v>0</v>
      </c>
      <c r="BA32" s="161" t="s">
        <v>1674</v>
      </c>
      <c r="BH32" s="162" t="s">
        <v>1675</v>
      </c>
      <c r="BI32" s="162" t="s">
        <v>1675</v>
      </c>
      <c r="BJ32" s="162" t="s">
        <v>1675</v>
      </c>
      <c r="BK32" s="162" t="s">
        <v>1674</v>
      </c>
      <c r="BL32" s="162" t="s">
        <v>1674</v>
      </c>
    </row>
    <row r="33" ht="15.75" hidden="1" customHeight="1" outlineLevel="1" spans="1:64">
      <c r="A33" s="157"/>
      <c r="B33" s="154" t="s">
        <v>1676</v>
      </c>
      <c r="C33" s="158"/>
      <c r="D33" s="158"/>
      <c r="E33" s="158"/>
      <c r="F33" s="158"/>
      <c r="G33" s="158"/>
      <c r="H33" s="158"/>
      <c r="I33" s="158"/>
      <c r="J33" s="158"/>
      <c r="L33" s="159">
        <f>L27-L32</f>
        <v>0</v>
      </c>
      <c r="M33" s="202"/>
      <c r="N33" s="159">
        <f>N27-N32</f>
        <v>0</v>
      </c>
      <c r="O33" s="159">
        <f>O27-O32</f>
        <v>0</v>
      </c>
      <c r="BA33" s="161" t="s">
        <v>1677</v>
      </c>
      <c r="BH33" s="162" t="s">
        <v>1678</v>
      </c>
      <c r="BI33" s="162" t="s">
        <v>1678</v>
      </c>
      <c r="BJ33" s="162" t="s">
        <v>1678</v>
      </c>
      <c r="BK33" s="162" t="s">
        <v>1677</v>
      </c>
      <c r="BL33" s="162" t="s">
        <v>1677</v>
      </c>
    </row>
    <row r="34" ht="15.75" customHeight="1" collapsed="1" spans="1:64">
      <c r="A34" s="157"/>
      <c r="B34" s="158"/>
      <c r="C34" s="158"/>
      <c r="D34" s="158"/>
      <c r="E34" s="158"/>
      <c r="F34" s="158"/>
      <c r="G34" s="158"/>
      <c r="H34" s="158"/>
      <c r="I34" s="158"/>
      <c r="J34" s="158"/>
    </row>
    <row r="35" ht="15.75" customHeight="1" spans="1:64">
      <c r="A35" s="157"/>
      <c r="B35" s="158"/>
      <c r="C35" s="158"/>
      <c r="D35" s="158"/>
      <c r="E35" s="158"/>
      <c r="F35" s="158"/>
      <c r="G35" s="158"/>
      <c r="H35" s="158"/>
      <c r="I35" s="158"/>
      <c r="J35" s="158"/>
    </row>
    <row r="36" ht="15.75" customHeight="1" spans="1:64">
      <c r="A36" s="157"/>
      <c r="B36" s="158"/>
      <c r="C36" s="158"/>
      <c r="D36" s="158"/>
      <c r="E36" s="158"/>
      <c r="F36" s="158"/>
      <c r="G36" s="158"/>
      <c r="H36" s="158"/>
      <c r="I36" s="158"/>
      <c r="J36" s="158"/>
    </row>
    <row r="37" ht="15.75" customHeight="1" spans="1:64">
      <c r="A37" s="157"/>
      <c r="B37" s="158"/>
      <c r="C37" s="158"/>
      <c r="D37" s="158"/>
      <c r="E37" s="158"/>
      <c r="F37" s="158"/>
      <c r="G37" s="158"/>
      <c r="H37" s="158"/>
      <c r="I37" s="158"/>
      <c r="J37" s="158"/>
    </row>
    <row r="38" ht="15.75" customHeight="1" spans="1:64">
      <c r="A38" s="157"/>
      <c r="B38" s="158"/>
      <c r="C38" s="158"/>
      <c r="D38" s="158"/>
      <c r="E38" s="158"/>
      <c r="F38" s="158"/>
      <c r="G38" s="158"/>
      <c r="H38" s="158"/>
      <c r="I38" s="158"/>
      <c r="J38" s="158"/>
    </row>
    <row r="39" ht="15.75" customHeight="1" spans="1:64">
      <c r="A39" s="157"/>
      <c r="B39" s="158"/>
      <c r="C39" s="158"/>
      <c r="D39" s="158"/>
      <c r="E39" s="158"/>
      <c r="F39" s="158"/>
      <c r="G39" s="158"/>
      <c r="H39" s="158"/>
      <c r="I39" s="158"/>
      <c r="J39" s="158"/>
    </row>
  </sheetData>
  <sheetProtection autoFilter="0"/>
  <mergeCells count="8">
    <mergeCell ref="A2:R2"/>
    <mergeCell ref="A3:R3"/>
    <mergeCell ref="BZ7:CB7"/>
    <mergeCell ref="BZ8:CB8"/>
    <mergeCell ref="CA14:CB14"/>
    <mergeCell ref="A27:B27"/>
    <mergeCell ref="A28:B28"/>
    <mergeCell ref="A29:B29"/>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5" stopIfTrue="1">
      <formula>AND($B7&lt;&gt;"",BH7="")</formula>
    </cfRule>
  </conditionalFormatting>
  <dataValidations count="4">
    <dataValidation type="list" allowBlank="1" showInputMessage="1" showErrorMessage="1" sqref="G7:G26">
      <formula1>OFFSET(参数表!$H$2:$H$50,,,COUNTA(参数表!$H$2:$H$50))</formula1>
    </dataValidation>
    <dataValidation type="list" allowBlank="1" showInputMessage="1" showErrorMessage="1" sqref="BA7:BA26 BA32:BA33 BO7:BO26">
      <formula1>"是,否"</formula1>
    </dataValidation>
    <dataValidation type="list" allowBlank="1" showInputMessage="1" showErrorMessage="1" sqref="BC7:BC26">
      <formula1>"  ,√"</formula1>
    </dataValidation>
    <dataValidation type="list" allowBlank="1" showInputMessage="1" showErrorMessage="1" sqref="BH7:BL26">
      <formula1>BH$32:BH$33</formula1>
    </dataValidation>
  </dataValidations>
  <hyperlinks>
    <hyperlink ref="A1" location="索引目录!D31" display="返回索引页"/>
    <hyperlink ref="B1" location="非流动资产评估汇总!B12" display="返回"/>
  </hyperlinks>
  <printOptions horizontalCentered="1"/>
  <pageMargins left="0.393700787401575" right="0.393700787401575" top="0.984251968503937" bottom="0.393700787401575" header="0.984251968503937" footer="0.393700787401575"/>
  <pageSetup paperSize="9" orientation="landscape" blackAndWhite="1"/>
  <headerFooter alignWithMargins="0">
    <oddHeader>&amp;R&amp;"宋体,常规"&amp;11共&amp;N页，第&amp;P页&amp;"Times New Roman,常规"</oddHead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6"/>
  <dimension ref="A1:BW39"/>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3.2"/>
  <cols>
    <col min="1" max="1" width="4.6" style="74" customWidth="1"/>
    <col min="2" max="2" width="18.5" style="75" customWidth="1"/>
    <col min="3" max="3" width="9" style="75"/>
    <col min="4" max="4" width="7.6" style="75" customWidth="1"/>
    <col min="5" max="5" width="7.7" style="75" customWidth="1"/>
    <col min="6" max="6" width="7.2" style="75" customWidth="1"/>
    <col min="7" max="8" width="4.6" style="75" customWidth="1" outlineLevel="1"/>
    <col min="9" max="10" width="6.1" style="75" customWidth="1" outlineLevel="1"/>
    <col min="11" max="11" width="14.6" style="75" customWidth="1"/>
    <col min="12" max="12" width="14.6" style="75" customWidth="1" outlineLevel="1"/>
    <col min="13" max="13" width="14.6" style="76" customWidth="1" outlineLevel="1"/>
    <col min="14" max="15" width="14.6" style="75" customWidth="1"/>
    <col min="16" max="18" width="8.6" style="75" customWidth="1"/>
    <col min="19" max="52" width="9" style="75" hidden="1" customWidth="1" outlineLevel="1"/>
    <col min="53" max="53" width="14.7" style="75" customWidth="1" collapsed="1"/>
    <col min="54" max="54" width="6.7" style="75" customWidth="1"/>
    <col min="55" max="56" width="5.1" style="75" customWidth="1"/>
    <col min="57" max="57" width="8.7" style="75" customWidth="1"/>
    <col min="58" max="59" width="10.6" style="75" customWidth="1"/>
    <col min="60" max="61" width="5" style="75" customWidth="1"/>
    <col min="62" max="63" width="5.1" style="75" customWidth="1"/>
    <col min="64" max="64" width="6.7" style="75" customWidth="1"/>
    <col min="65" max="65" width="10.3" style="75" customWidth="1"/>
    <col min="66" max="66" width="8.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1592</v>
      </c>
      <c r="C1" s="82"/>
      <c r="D1" s="82"/>
      <c r="E1" s="82"/>
      <c r="F1" s="82"/>
      <c r="G1" s="82"/>
      <c r="H1" s="82"/>
      <c r="I1" s="82"/>
      <c r="J1" s="82"/>
      <c r="K1" s="82"/>
      <c r="L1" s="82"/>
      <c r="M1" s="205"/>
      <c r="N1" s="82"/>
      <c r="O1" s="82"/>
      <c r="P1" s="82"/>
      <c r="Q1" s="82"/>
      <c r="R1" s="82"/>
      <c r="BA1" s="84" t="str">
        <f>参数表!BA1</f>
        <v>注意：补充特殊事项、作价等均从BA列开始填写</v>
      </c>
      <c r="BB1" s="85"/>
      <c r="BO1" s="87"/>
      <c r="BP1" s="88"/>
      <c r="BQ1" s="87"/>
      <c r="BR1" s="88"/>
      <c r="BS1" s="88"/>
      <c r="BT1" s="88"/>
      <c r="BU1" s="88"/>
      <c r="BV1" s="88"/>
      <c r="BW1" s="87"/>
    </row>
    <row r="2" s="71" customFormat="1" ht="30" customHeight="1" spans="1:75">
      <c r="A2" s="89" t="s">
        <v>3533</v>
      </c>
      <c r="B2" s="89"/>
      <c r="C2" s="89"/>
      <c r="D2" s="89"/>
      <c r="E2" s="89"/>
      <c r="F2" s="89"/>
      <c r="G2" s="89"/>
      <c r="H2" s="89"/>
      <c r="I2" s="89"/>
      <c r="J2" s="89"/>
      <c r="K2" s="89"/>
      <c r="L2" s="89"/>
      <c r="M2" s="89"/>
      <c r="N2" s="89"/>
      <c r="O2" s="89"/>
      <c r="P2" s="89"/>
      <c r="Q2" s="89"/>
      <c r="R2" s="89"/>
      <c r="BA2" s="90" t="str">
        <f>参数表!BA2</f>
        <v>评估基准日：</v>
      </c>
      <c r="BB2" s="91" t="str">
        <f>参数表!BB2</f>
        <v>2025年7月31日</v>
      </c>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4"/>
      <c r="L3" s="94"/>
      <c r="M3" s="94"/>
      <c r="N3" s="95"/>
      <c r="O3" s="95"/>
      <c r="P3" s="95"/>
      <c r="Q3" s="95"/>
      <c r="R3" s="95"/>
      <c r="BA3" s="90" t="str">
        <f>参数表!BA3</f>
        <v>是否显示评估值：</v>
      </c>
      <c r="BB3" s="90" t="str">
        <f>参数表!BB3</f>
        <v>是</v>
      </c>
    </row>
    <row r="4" ht="15" customHeight="1" spans="1:75">
      <c r="A4" s="96"/>
      <c r="B4" s="94"/>
      <c r="C4" s="94"/>
      <c r="D4" s="94"/>
      <c r="E4" s="94"/>
      <c r="F4" s="94"/>
      <c r="G4" s="94"/>
      <c r="H4" s="94"/>
      <c r="I4" s="94"/>
      <c r="J4" s="94"/>
      <c r="K4" s="94"/>
      <c r="L4" s="94"/>
      <c r="M4" s="97"/>
      <c r="N4" s="95"/>
      <c r="O4" s="95"/>
      <c r="P4" s="98"/>
      <c r="Q4" s="95"/>
      <c r="R4" s="98" t="str">
        <f>"表"&amp;$BA4</f>
        <v>表4-4</v>
      </c>
      <c r="BA4" s="274" t="str">
        <f>非流动资总!A10</f>
        <v>4-4</v>
      </c>
      <c r="BB4" s="100">
        <f>MAX(COUNTA(A7:A26),COUNTA(B7:B26),COUNTA(L7:L26),COUNTA(N7:N26))</f>
        <v>20</v>
      </c>
      <c r="BC4" s="101">
        <f>ROW(A6)+1</f>
        <v>7</v>
      </c>
      <c r="BD4" s="77"/>
      <c r="BE4" s="77"/>
      <c r="BQ4" s="78"/>
    </row>
    <row r="5" ht="15" customHeight="1" spans="1:75">
      <c r="A5" s="102" t="str">
        <f>参数表!F3</f>
        <v>产权持有单位:中煤第五建设有限公司</v>
      </c>
      <c r="B5" s="103"/>
      <c r="C5" s="103"/>
      <c r="D5" s="103"/>
      <c r="E5" s="103"/>
      <c r="F5" s="103"/>
      <c r="G5" s="103"/>
      <c r="H5" s="103"/>
      <c r="I5" s="103"/>
      <c r="J5" s="103"/>
      <c r="K5" s="103"/>
      <c r="L5" s="103"/>
      <c r="M5" s="104"/>
      <c r="N5" s="103"/>
      <c r="O5" s="103"/>
      <c r="P5" s="103"/>
      <c r="Q5" s="103"/>
      <c r="R5" s="98" t="s">
        <v>236</v>
      </c>
      <c r="BA5" s="103"/>
      <c r="BB5" s="105" t="str">
        <f ca="1">判断表!C55</f>
        <v>中煤第五建设有限公司第三工程处拟处置实物资产项目\[0000-3基础法明细表.xlsx]其他债权</v>
      </c>
      <c r="BC5" s="106">
        <f>IFERROR(SUMIF(BC7:BC26,"√",N7:N26)/N27,0)</f>
        <v>0</v>
      </c>
      <c r="BD5" s="107"/>
      <c r="BE5" s="107"/>
      <c r="BF5" s="177">
        <f>分类汇总!I26</f>
        <v>0</v>
      </c>
      <c r="BG5" s="177">
        <f>分类汇总!K26</f>
        <v>0</v>
      </c>
      <c r="BO5" s="111"/>
      <c r="BQ5" s="78"/>
      <c r="BV5" s="194"/>
      <c r="BW5" s="111"/>
    </row>
    <row r="6" s="72" customFormat="1" ht="24.75" customHeight="1" spans="1:75">
      <c r="A6" s="112" t="s">
        <v>305</v>
      </c>
      <c r="B6" s="113" t="s">
        <v>1741</v>
      </c>
      <c r="C6" s="113" t="s">
        <v>3490</v>
      </c>
      <c r="D6" s="113" t="s">
        <v>1743</v>
      </c>
      <c r="E6" s="113" t="s">
        <v>3534</v>
      </c>
      <c r="F6" s="118" t="s">
        <v>3412</v>
      </c>
      <c r="G6" s="114" t="s">
        <v>1631</v>
      </c>
      <c r="H6" s="115" t="s">
        <v>1632</v>
      </c>
      <c r="I6" s="116" t="s">
        <v>1745</v>
      </c>
      <c r="J6" s="115" t="s">
        <v>1633</v>
      </c>
      <c r="K6" s="113" t="s">
        <v>3413</v>
      </c>
      <c r="L6" s="113" t="s">
        <v>1549</v>
      </c>
      <c r="M6" s="117" t="s">
        <v>1634</v>
      </c>
      <c r="N6" s="118" t="s">
        <v>1523</v>
      </c>
      <c r="O6" s="113" t="s">
        <v>1550</v>
      </c>
      <c r="P6" s="113" t="s">
        <v>1525</v>
      </c>
      <c r="Q6" s="113" t="s">
        <v>1551</v>
      </c>
      <c r="R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19"/>
      <c r="BP6" s="120" t="s">
        <v>1645</v>
      </c>
      <c r="BQ6" s="121" t="s">
        <v>1646</v>
      </c>
      <c r="BR6" s="121" t="s">
        <v>1647</v>
      </c>
      <c r="BS6" s="121" t="s">
        <v>1648</v>
      </c>
      <c r="BT6" s="121" t="s">
        <v>1647</v>
      </c>
      <c r="BU6" s="121" t="s">
        <v>1647</v>
      </c>
      <c r="BV6" s="121" t="s">
        <v>1649</v>
      </c>
      <c r="BW6" s="122" t="s">
        <v>1650</v>
      </c>
    </row>
    <row r="7" ht="15" customHeight="1" spans="1:75">
      <c r="A7" s="123" t="str">
        <f>IF(B7="","",COUNT(A$6:A6)+1)</f>
        <v/>
      </c>
      <c r="B7" s="124"/>
      <c r="C7" s="126"/>
      <c r="D7" s="125"/>
      <c r="E7" s="129"/>
      <c r="F7" s="129"/>
      <c r="G7" s="127"/>
      <c r="H7" s="127" t="str">
        <f>IFERROR(VLOOKUP(G7,参数表!$H$2:$I$50,2,FALSE),"")</f>
        <v/>
      </c>
      <c r="I7" s="128" t="str">
        <f>IFERROR(IF(OR(G7="人民币",G7=""),"",K7/H7),"")</f>
        <v/>
      </c>
      <c r="J7" s="128" t="str">
        <f>IFERROR(IF(OR(G7="人民币",G7=""),"",N7/H7),"")</f>
        <v/>
      </c>
      <c r="K7" s="129"/>
      <c r="L7" s="129"/>
      <c r="M7" s="130"/>
      <c r="N7" s="129" t="str">
        <f>IF(B7="","",L7+M7)</f>
        <v/>
      </c>
      <c r="O7" s="129" t="str">
        <f t="shared" ref="O7:O26" si="0">IF(B7="","",IF($BB$3="是",E7*F7,""))</f>
        <v/>
      </c>
      <c r="P7" s="129" t="str">
        <f>IFERROR(O7-N7,"")</f>
        <v/>
      </c>
      <c r="Q7" s="129" t="str">
        <f>IFERROR(P7/N7*100,"")</f>
        <v/>
      </c>
      <c r="R7" s="131"/>
      <c r="BA7" s="78"/>
      <c r="BB7" s="132" t="s">
        <v>3535</v>
      </c>
      <c r="BC7" s="133"/>
      <c r="BD7" s="132" t="str">
        <f>IF(OR(B7="",BC7=""),"",COUNTIF(BC$7:BC7,"√"))</f>
        <v/>
      </c>
      <c r="BE7" s="134" t="str">
        <f t="shared" ref="BE7:BE26" si="1">IF(BC7="","",BB7&amp;"︱"&amp;B7&amp;"︱"&amp;TEXT(L7,"#,##0.00"))</f>
        <v/>
      </c>
      <c r="BF7" s="135" t="str">
        <f>IF($B7="","",IF(BF$5=0,"OK","出错"))</f>
        <v/>
      </c>
      <c r="BG7" s="135" t="str">
        <f>IF($B7="","",IF(BG$5=0,"OK","出错"))</f>
        <v/>
      </c>
      <c r="BH7" s="136"/>
      <c r="BI7" s="136"/>
      <c r="BJ7" s="136"/>
      <c r="BK7" s="136"/>
      <c r="BL7" s="136"/>
      <c r="BM7" s="137"/>
      <c r="BN7" s="137"/>
      <c r="BP7" s="134" t="str">
        <f>IF(COUNTIF(BP$6:BP6,C7)&gt;0,"",C7)&amp;""</f>
        <v/>
      </c>
      <c r="BQ7" s="138">
        <f>SUMIF(C$7:C$26,BP7,N$7:N$26)</f>
        <v>0</v>
      </c>
      <c r="BR7" s="132">
        <f t="shared" ref="BR7" si="2">RANK(BQ7,BQ$7:BQ$26)</f>
        <v>1</v>
      </c>
      <c r="BS7" s="138">
        <f>SUMIF(C$7:C$26,BP7,O$7:O$26)</f>
        <v>0</v>
      </c>
      <c r="BT7" s="132">
        <f>RANK(BS7,BS$7:BS$26)</f>
        <v>1</v>
      </c>
      <c r="BU7" s="138">
        <f>SUM(BQ7:BQ26)</f>
        <v>0</v>
      </c>
      <c r="BV7" s="138"/>
      <c r="BW7" s="138"/>
    </row>
    <row r="8" ht="15" customHeight="1" spans="1:75">
      <c r="A8" s="123" t="str">
        <f>IF(B8="","",COUNT(A$6:A7)+1)</f>
        <v/>
      </c>
      <c r="B8" s="139"/>
      <c r="C8" s="141"/>
      <c r="D8" s="140"/>
      <c r="E8" s="143"/>
      <c r="F8" s="143"/>
      <c r="G8" s="142"/>
      <c r="H8" s="127" t="str">
        <f>IFERROR(VLOOKUP(G8,参数表!$H$2:$I$50,2,FALSE),"")</f>
        <v/>
      </c>
      <c r="I8" s="128" t="str">
        <f t="shared" ref="I8:I26" si="3">IFERROR(IF(OR(G8="人民币",G8=""),"",K8/H8),"")</f>
        <v/>
      </c>
      <c r="J8" s="128" t="str">
        <f t="shared" ref="J8:J26" si="4">IFERROR(IF(OR(G8="人民币",G8=""),"",N8/H8),"")</f>
        <v/>
      </c>
      <c r="K8" s="143"/>
      <c r="L8" s="143"/>
      <c r="M8" s="144"/>
      <c r="N8" s="129" t="str">
        <f t="shared" ref="N8:N26" si="5">IF(B8="","",L8+M8)</f>
        <v/>
      </c>
      <c r="O8" s="129" t="str">
        <f t="shared" si="0"/>
        <v/>
      </c>
      <c r="P8" s="129" t="str">
        <f t="shared" ref="P8:P29" si="6">IFERROR(O8-N8,"")</f>
        <v/>
      </c>
      <c r="Q8" s="129" t="str">
        <f t="shared" ref="Q8:Q29" si="7">IFERROR(P8/N8*100,"")</f>
        <v/>
      </c>
      <c r="R8" s="145"/>
      <c r="BA8" s="78"/>
      <c r="BB8" s="132" t="s">
        <v>3536</v>
      </c>
      <c r="BC8" s="133"/>
      <c r="BD8" s="132" t="str">
        <f>IF(OR(B8="",BC8=""),"",COUNTIF(BC$7:BC8,"√"))</f>
        <v/>
      </c>
      <c r="BE8" s="134" t="str">
        <f t="shared" si="1"/>
        <v/>
      </c>
      <c r="BF8" s="135" t="str">
        <f t="shared" ref="BF8:BG26" si="8">IF($B8="","",IF(BF$5=0,"OK","出错"))</f>
        <v/>
      </c>
      <c r="BG8" s="135" t="str">
        <f t="shared" si="8"/>
        <v/>
      </c>
      <c r="BH8" s="136"/>
      <c r="BI8" s="136"/>
      <c r="BJ8" s="136"/>
      <c r="BK8" s="136"/>
      <c r="BL8" s="136"/>
      <c r="BM8" s="137"/>
      <c r="BN8" s="137"/>
      <c r="BP8" s="134" t="str">
        <f>IF(COUNTIF(BP$6:BP7,C8)&gt;0,"",C8)&amp;""</f>
        <v/>
      </c>
      <c r="BQ8" s="138">
        <f t="shared" ref="BQ8:BQ26" si="9">SUMIF(C$7:C$26,BP8,N$7:N$26)</f>
        <v>0</v>
      </c>
      <c r="BR8" s="132">
        <f t="shared" ref="BR8:BR26" si="10">RANK(BQ8,BQ$7:BQ$26)</f>
        <v>1</v>
      </c>
      <c r="BS8" s="138">
        <f t="shared" ref="BS8:BS26" si="11">SUMIF(C$7:C$26,BP8,O$7:O$26)</f>
        <v>0</v>
      </c>
      <c r="BT8" s="132">
        <f t="shared" ref="BT8:BT26" si="12">RANK(BS8,BS$7:BS$26)</f>
        <v>1</v>
      </c>
      <c r="BU8" s="138">
        <f>SUM(BS7:BS26)</f>
        <v>0</v>
      </c>
      <c r="BV8" s="138"/>
      <c r="BW8" s="138"/>
    </row>
    <row r="9" ht="15" customHeight="1" spans="1:75">
      <c r="A9" s="123" t="str">
        <f>IF(B9="","",COUNT(A$6:A8)+1)</f>
        <v/>
      </c>
      <c r="B9" s="139"/>
      <c r="C9" s="141"/>
      <c r="D9" s="140"/>
      <c r="E9" s="143"/>
      <c r="F9" s="143"/>
      <c r="G9" s="142"/>
      <c r="H9" s="127" t="str">
        <f>IFERROR(VLOOKUP(G9,参数表!$H$2:$I$50,2,FALSE),"")</f>
        <v/>
      </c>
      <c r="I9" s="128" t="str">
        <f t="shared" si="3"/>
        <v/>
      </c>
      <c r="J9" s="128" t="str">
        <f t="shared" si="4"/>
        <v/>
      </c>
      <c r="K9" s="143"/>
      <c r="L9" s="143"/>
      <c r="M9" s="144"/>
      <c r="N9" s="129" t="str">
        <f t="shared" si="5"/>
        <v/>
      </c>
      <c r="O9" s="129" t="str">
        <f t="shared" si="0"/>
        <v/>
      </c>
      <c r="P9" s="129" t="str">
        <f t="shared" si="6"/>
        <v/>
      </c>
      <c r="Q9" s="129" t="str">
        <f t="shared" si="7"/>
        <v/>
      </c>
      <c r="R9" s="145"/>
      <c r="BA9" s="78"/>
      <c r="BB9" s="132" t="s">
        <v>3537</v>
      </c>
      <c r="BC9" s="133"/>
      <c r="BD9" s="132" t="str">
        <f>IF(OR(B9="",BC9=""),"",COUNTIF(BC$7:BC9,"√"))</f>
        <v/>
      </c>
      <c r="BE9" s="134" t="str">
        <f t="shared" si="1"/>
        <v/>
      </c>
      <c r="BF9" s="135" t="str">
        <f t="shared" si="8"/>
        <v/>
      </c>
      <c r="BG9" s="135" t="str">
        <f t="shared" si="8"/>
        <v/>
      </c>
      <c r="BH9" s="136"/>
      <c r="BI9" s="136"/>
      <c r="BJ9" s="136"/>
      <c r="BK9" s="136"/>
      <c r="BL9" s="136"/>
      <c r="BM9" s="137"/>
      <c r="BN9" s="137"/>
      <c r="BP9" s="134" t="str">
        <f>IF(COUNTIF(BP$6:BP8,C9)&gt;0,"",C9)&amp;""</f>
        <v/>
      </c>
      <c r="BQ9" s="138">
        <f t="shared" si="9"/>
        <v>0</v>
      </c>
      <c r="BR9" s="132">
        <f t="shared" si="10"/>
        <v>1</v>
      </c>
      <c r="BS9" s="138">
        <f t="shared" si="11"/>
        <v>0</v>
      </c>
      <c r="BT9" s="132">
        <f t="shared" si="12"/>
        <v>1</v>
      </c>
      <c r="BU9" s="132">
        <v>1</v>
      </c>
      <c r="BV9" s="134" t="str">
        <f>IFERROR(INDEX(BP$7:BP$26,MATCH(BU9,IF(BU$7=0,BT$7:BT$26,BR$7:BR$26),0))&amp;"","")</f>
        <v/>
      </c>
      <c r="BW9" s="146" t="str">
        <f>IF(BV10="","",IF(BV11="","和","、"))</f>
        <v/>
      </c>
    </row>
    <row r="10" ht="15" customHeight="1" spans="1:75">
      <c r="A10" s="123" t="str">
        <f>IF(B10="","",COUNT(A$6:A9)+1)</f>
        <v/>
      </c>
      <c r="B10" s="139"/>
      <c r="C10" s="141"/>
      <c r="D10" s="140"/>
      <c r="E10" s="143"/>
      <c r="F10" s="143"/>
      <c r="G10" s="142"/>
      <c r="H10" s="127" t="str">
        <f>IFERROR(VLOOKUP(G10,参数表!$H$2:$I$50,2,FALSE),"")</f>
        <v/>
      </c>
      <c r="I10" s="128" t="str">
        <f t="shared" si="3"/>
        <v/>
      </c>
      <c r="J10" s="128" t="str">
        <f t="shared" si="4"/>
        <v/>
      </c>
      <c r="K10" s="143"/>
      <c r="L10" s="143"/>
      <c r="M10" s="144"/>
      <c r="N10" s="129" t="str">
        <f t="shared" si="5"/>
        <v/>
      </c>
      <c r="O10" s="129" t="str">
        <f t="shared" si="0"/>
        <v/>
      </c>
      <c r="P10" s="129" t="str">
        <f t="shared" si="6"/>
        <v/>
      </c>
      <c r="Q10" s="129" t="str">
        <f t="shared" si="7"/>
        <v/>
      </c>
      <c r="R10" s="145"/>
      <c r="BA10" s="78"/>
      <c r="BB10" s="132" t="s">
        <v>3538</v>
      </c>
      <c r="BC10" s="133"/>
      <c r="BD10" s="132" t="str">
        <f>IF(OR(B10="",BC10=""),"",COUNTIF(BC$7:BC10,"√"))</f>
        <v/>
      </c>
      <c r="BE10" s="134" t="str">
        <f t="shared" si="1"/>
        <v/>
      </c>
      <c r="BF10" s="135" t="str">
        <f t="shared" si="8"/>
        <v/>
      </c>
      <c r="BG10" s="135" t="str">
        <f t="shared" si="8"/>
        <v/>
      </c>
      <c r="BH10" s="136"/>
      <c r="BI10" s="136"/>
      <c r="BJ10" s="136"/>
      <c r="BK10" s="136"/>
      <c r="BL10" s="136"/>
      <c r="BM10" s="137"/>
      <c r="BN10" s="137"/>
      <c r="BP10" s="134" t="str">
        <f>IF(COUNTIF(BP$6:BP9,C10)&gt;0,"",C10)&amp;""</f>
        <v/>
      </c>
      <c r="BQ10" s="138">
        <f t="shared" si="9"/>
        <v>0</v>
      </c>
      <c r="BR10" s="132">
        <f t="shared" si="10"/>
        <v>1</v>
      </c>
      <c r="BS10" s="138">
        <f t="shared" si="11"/>
        <v>0</v>
      </c>
      <c r="BT10" s="132">
        <f t="shared" si="12"/>
        <v>1</v>
      </c>
      <c r="BU10" s="132">
        <v>2</v>
      </c>
      <c r="BV10" s="134" t="str">
        <f t="shared" ref="BV10:BV13" si="13">IFERROR(INDEX(BP$7:BP$26,MATCH(BU10,IF(BU$7=0,BT$7:BT$26,BR$7:BR$26),0))&amp;"","")</f>
        <v/>
      </c>
      <c r="BW10" s="146" t="str">
        <f t="shared" ref="BW10:BW11" si="14">IF(BV11="","",IF(BV12="","和","、"))</f>
        <v/>
      </c>
    </row>
    <row r="11" ht="15" customHeight="1" spans="1:75">
      <c r="A11" s="123" t="str">
        <f>IF(B11="","",COUNT(A$6:A10)+1)</f>
        <v/>
      </c>
      <c r="B11" s="139"/>
      <c r="C11" s="141"/>
      <c r="D11" s="140"/>
      <c r="E11" s="143"/>
      <c r="F11" s="143"/>
      <c r="G11" s="142"/>
      <c r="H11" s="127" t="str">
        <f>IFERROR(VLOOKUP(G11,参数表!$H$2:$I$50,2,FALSE),"")</f>
        <v/>
      </c>
      <c r="I11" s="128" t="str">
        <f t="shared" si="3"/>
        <v/>
      </c>
      <c r="J11" s="128" t="str">
        <f t="shared" si="4"/>
        <v/>
      </c>
      <c r="K11" s="143"/>
      <c r="L11" s="143"/>
      <c r="M11" s="144"/>
      <c r="N11" s="129" t="str">
        <f t="shared" si="5"/>
        <v/>
      </c>
      <c r="O11" s="129" t="str">
        <f t="shared" si="0"/>
        <v/>
      </c>
      <c r="P11" s="129" t="str">
        <f t="shared" si="6"/>
        <v/>
      </c>
      <c r="Q11" s="129" t="str">
        <f t="shared" si="7"/>
        <v/>
      </c>
      <c r="R11" s="145"/>
      <c r="BA11" s="78"/>
      <c r="BB11" s="132" t="s">
        <v>3539</v>
      </c>
      <c r="BC11" s="133"/>
      <c r="BD11" s="132" t="str">
        <f>IF(OR(B11="",BC11=""),"",COUNTIF(BC$7:BC11,"√"))</f>
        <v/>
      </c>
      <c r="BE11" s="134" t="str">
        <f t="shared" si="1"/>
        <v/>
      </c>
      <c r="BF11" s="135" t="str">
        <f t="shared" si="8"/>
        <v/>
      </c>
      <c r="BG11" s="135" t="str">
        <f t="shared" si="8"/>
        <v/>
      </c>
      <c r="BH11" s="136"/>
      <c r="BI11" s="136"/>
      <c r="BJ11" s="136"/>
      <c r="BK11" s="136"/>
      <c r="BL11" s="136"/>
      <c r="BM11" s="137"/>
      <c r="BN11" s="137"/>
      <c r="BP11" s="134" t="str">
        <f>IF(COUNTIF(BP$6:BP10,C11)&gt;0,"",C11)&amp;""</f>
        <v/>
      </c>
      <c r="BQ11" s="138">
        <f t="shared" si="9"/>
        <v>0</v>
      </c>
      <c r="BR11" s="132">
        <f t="shared" si="10"/>
        <v>1</v>
      </c>
      <c r="BS11" s="138">
        <f t="shared" si="11"/>
        <v>0</v>
      </c>
      <c r="BT11" s="132">
        <f t="shared" si="12"/>
        <v>1</v>
      </c>
      <c r="BU11" s="132">
        <v>3</v>
      </c>
      <c r="BV11" s="134" t="str">
        <f t="shared" si="13"/>
        <v/>
      </c>
      <c r="BW11" s="146" t="str">
        <f t="shared" si="14"/>
        <v/>
      </c>
    </row>
    <row r="12" ht="15" customHeight="1" spans="1:75">
      <c r="A12" s="123" t="str">
        <f>IF(B12="","",COUNT(A$6:A11)+1)</f>
        <v/>
      </c>
      <c r="B12" s="139"/>
      <c r="C12" s="141"/>
      <c r="D12" s="140"/>
      <c r="E12" s="143"/>
      <c r="F12" s="143"/>
      <c r="G12" s="142"/>
      <c r="H12" s="127" t="str">
        <f>IFERROR(VLOOKUP(G12,参数表!$H$2:$I$50,2,FALSE),"")</f>
        <v/>
      </c>
      <c r="I12" s="128" t="str">
        <f t="shared" si="3"/>
        <v/>
      </c>
      <c r="J12" s="128" t="str">
        <f t="shared" si="4"/>
        <v/>
      </c>
      <c r="K12" s="143"/>
      <c r="L12" s="143"/>
      <c r="M12" s="144"/>
      <c r="N12" s="129" t="str">
        <f t="shared" si="5"/>
        <v/>
      </c>
      <c r="O12" s="129" t="str">
        <f t="shared" si="0"/>
        <v/>
      </c>
      <c r="P12" s="129" t="str">
        <f t="shared" si="6"/>
        <v/>
      </c>
      <c r="Q12" s="129" t="str">
        <f t="shared" si="7"/>
        <v/>
      </c>
      <c r="R12" s="145"/>
      <c r="BA12" s="78"/>
      <c r="BB12" s="132" t="s">
        <v>3540</v>
      </c>
      <c r="BC12" s="133"/>
      <c r="BD12" s="132" t="str">
        <f>IF(OR(B12="",BC12=""),"",COUNTIF(BC$7:BC12,"√"))</f>
        <v/>
      </c>
      <c r="BE12" s="134" t="str">
        <f t="shared" si="1"/>
        <v/>
      </c>
      <c r="BF12" s="135" t="str">
        <f t="shared" si="8"/>
        <v/>
      </c>
      <c r="BG12" s="135" t="str">
        <f t="shared" si="8"/>
        <v/>
      </c>
      <c r="BH12" s="136"/>
      <c r="BI12" s="136"/>
      <c r="BJ12" s="136"/>
      <c r="BK12" s="136"/>
      <c r="BL12" s="136"/>
      <c r="BM12" s="137"/>
      <c r="BN12" s="137"/>
      <c r="BP12" s="134" t="str">
        <f>IF(COUNTIF(BP$6:BP11,C12)&gt;0,"",C12)&amp;""</f>
        <v/>
      </c>
      <c r="BQ12" s="138">
        <f t="shared" si="9"/>
        <v>0</v>
      </c>
      <c r="BR12" s="132">
        <f t="shared" si="10"/>
        <v>1</v>
      </c>
      <c r="BS12" s="138">
        <f t="shared" si="11"/>
        <v>0</v>
      </c>
      <c r="BT12" s="132">
        <f t="shared" si="12"/>
        <v>1</v>
      </c>
      <c r="BU12" s="132">
        <v>4</v>
      </c>
      <c r="BV12" s="134" t="str">
        <f t="shared" si="13"/>
        <v/>
      </c>
      <c r="BW12" s="146" t="str">
        <f>IF(BV13="","","和")</f>
        <v/>
      </c>
    </row>
    <row r="13" ht="15" customHeight="1" spans="1:75">
      <c r="A13" s="123" t="str">
        <f>IF(B13="","",COUNT(A$6:A12)+1)</f>
        <v/>
      </c>
      <c r="B13" s="139"/>
      <c r="C13" s="141"/>
      <c r="D13" s="140"/>
      <c r="E13" s="143"/>
      <c r="F13" s="143"/>
      <c r="G13" s="142"/>
      <c r="H13" s="127" t="str">
        <f>IFERROR(VLOOKUP(G13,参数表!$H$2:$I$50,2,FALSE),"")</f>
        <v/>
      </c>
      <c r="I13" s="128" t="str">
        <f t="shared" si="3"/>
        <v/>
      </c>
      <c r="J13" s="128" t="str">
        <f t="shared" si="4"/>
        <v/>
      </c>
      <c r="K13" s="143"/>
      <c r="L13" s="143"/>
      <c r="M13" s="144"/>
      <c r="N13" s="129" t="str">
        <f t="shared" si="5"/>
        <v/>
      </c>
      <c r="O13" s="129" t="str">
        <f t="shared" si="0"/>
        <v/>
      </c>
      <c r="P13" s="129" t="str">
        <f t="shared" si="6"/>
        <v/>
      </c>
      <c r="Q13" s="129" t="str">
        <f t="shared" si="7"/>
        <v/>
      </c>
      <c r="R13" s="145"/>
      <c r="BA13" s="78"/>
      <c r="BB13" s="132" t="s">
        <v>3541</v>
      </c>
      <c r="BC13" s="133"/>
      <c r="BD13" s="132" t="str">
        <f>IF(OR(B13="",BC13=""),"",COUNTIF(BC$7:BC13,"√"))</f>
        <v/>
      </c>
      <c r="BE13" s="134" t="str">
        <f t="shared" si="1"/>
        <v/>
      </c>
      <c r="BF13" s="135" t="str">
        <f t="shared" si="8"/>
        <v/>
      </c>
      <c r="BG13" s="135" t="str">
        <f t="shared" si="8"/>
        <v/>
      </c>
      <c r="BH13" s="136"/>
      <c r="BI13" s="136"/>
      <c r="BJ13" s="136"/>
      <c r="BK13" s="136"/>
      <c r="BL13" s="136"/>
      <c r="BM13" s="137"/>
      <c r="BN13" s="137"/>
      <c r="BP13" s="134" t="str">
        <f>IF(COUNTIF(BP$6:BP12,C13)&gt;0,"",C13)&amp;""</f>
        <v/>
      </c>
      <c r="BQ13" s="138">
        <f t="shared" si="9"/>
        <v>0</v>
      </c>
      <c r="BR13" s="132">
        <f t="shared" si="10"/>
        <v>1</v>
      </c>
      <c r="BS13" s="138">
        <f t="shared" si="11"/>
        <v>0</v>
      </c>
      <c r="BT13" s="132">
        <f t="shared" si="12"/>
        <v>1</v>
      </c>
      <c r="BU13" s="132">
        <v>5</v>
      </c>
      <c r="BV13" s="134" t="str">
        <f t="shared" si="13"/>
        <v/>
      </c>
      <c r="BW13" s="146"/>
    </row>
    <row r="14" ht="15" customHeight="1" spans="1:75">
      <c r="A14" s="123" t="str">
        <f>IF(B14="","",COUNT(A$6:A13)+1)</f>
        <v/>
      </c>
      <c r="B14" s="139"/>
      <c r="C14" s="141"/>
      <c r="D14" s="140"/>
      <c r="E14" s="143"/>
      <c r="F14" s="143"/>
      <c r="G14" s="142"/>
      <c r="H14" s="127" t="str">
        <f>IFERROR(VLOOKUP(G14,参数表!$H$2:$I$50,2,FALSE),"")</f>
        <v/>
      </c>
      <c r="I14" s="128" t="str">
        <f t="shared" si="3"/>
        <v/>
      </c>
      <c r="J14" s="128" t="str">
        <f t="shared" si="4"/>
        <v/>
      </c>
      <c r="K14" s="143"/>
      <c r="L14" s="143"/>
      <c r="M14" s="144"/>
      <c r="N14" s="129" t="str">
        <f t="shared" si="5"/>
        <v/>
      </c>
      <c r="O14" s="129" t="str">
        <f t="shared" si="0"/>
        <v/>
      </c>
      <c r="P14" s="129" t="str">
        <f t="shared" si="6"/>
        <v/>
      </c>
      <c r="Q14" s="129" t="str">
        <f t="shared" si="7"/>
        <v/>
      </c>
      <c r="R14" s="145"/>
      <c r="BA14" s="78"/>
      <c r="BB14" s="132" t="s">
        <v>3542</v>
      </c>
      <c r="BC14" s="133"/>
      <c r="BD14" s="132" t="str">
        <f>IF(OR(B14="",BC14=""),"",COUNTIF(BC$7:BC14,"√"))</f>
        <v/>
      </c>
      <c r="BE14" s="134" t="str">
        <f t="shared" si="1"/>
        <v/>
      </c>
      <c r="BF14" s="135" t="str">
        <f t="shared" si="8"/>
        <v/>
      </c>
      <c r="BG14" s="135" t="str">
        <f t="shared" si="8"/>
        <v/>
      </c>
      <c r="BH14" s="136"/>
      <c r="BI14" s="136"/>
      <c r="BJ14" s="136"/>
      <c r="BK14" s="136"/>
      <c r="BL14" s="136"/>
      <c r="BM14" s="137"/>
      <c r="BN14" s="137"/>
      <c r="BP14" s="134" t="str">
        <f>IF(COUNTIF(BP$6:BP13,C14)&gt;0,"",C14)&amp;""</f>
        <v/>
      </c>
      <c r="BQ14" s="138">
        <f t="shared" si="9"/>
        <v>0</v>
      </c>
      <c r="BR14" s="132">
        <f t="shared" si="10"/>
        <v>1</v>
      </c>
      <c r="BS14" s="138">
        <f t="shared" si="11"/>
        <v>0</v>
      </c>
      <c r="BT14" s="132">
        <f t="shared" si="12"/>
        <v>1</v>
      </c>
      <c r="BU14" s="147" t="s">
        <v>1659</v>
      </c>
      <c r="BV14" s="132" t="str">
        <f>CONCATENATE(BV9,BW9,BV10,BW10,BV11,BW11,BV12,BW12,BV13)</f>
        <v/>
      </c>
      <c r="BW14" s="132"/>
    </row>
    <row r="15" ht="15" customHeight="1" spans="1:75">
      <c r="A15" s="123" t="str">
        <f>IF(B15="","",COUNT(A$6:A14)+1)</f>
        <v/>
      </c>
      <c r="B15" s="139"/>
      <c r="C15" s="141"/>
      <c r="D15" s="140"/>
      <c r="E15" s="143"/>
      <c r="F15" s="143"/>
      <c r="G15" s="142"/>
      <c r="H15" s="127" t="str">
        <f>IFERROR(VLOOKUP(G15,参数表!$H$2:$I$50,2,FALSE),"")</f>
        <v/>
      </c>
      <c r="I15" s="128" t="str">
        <f t="shared" si="3"/>
        <v/>
      </c>
      <c r="J15" s="128" t="str">
        <f t="shared" si="4"/>
        <v/>
      </c>
      <c r="K15" s="143"/>
      <c r="L15" s="143"/>
      <c r="M15" s="144"/>
      <c r="N15" s="129" t="str">
        <f t="shared" si="5"/>
        <v/>
      </c>
      <c r="O15" s="129" t="str">
        <f t="shared" si="0"/>
        <v/>
      </c>
      <c r="P15" s="129" t="str">
        <f t="shared" si="6"/>
        <v/>
      </c>
      <c r="Q15" s="129" t="str">
        <f t="shared" si="7"/>
        <v/>
      </c>
      <c r="R15" s="145"/>
      <c r="BA15" s="78"/>
      <c r="BB15" s="132" t="s">
        <v>3543</v>
      </c>
      <c r="BC15" s="133"/>
      <c r="BD15" s="132" t="str">
        <f>IF(OR(B15="",BC15=""),"",COUNTIF(BC$7:BC15,"√"))</f>
        <v/>
      </c>
      <c r="BE15" s="134" t="str">
        <f t="shared" si="1"/>
        <v/>
      </c>
      <c r="BF15" s="135" t="str">
        <f t="shared" si="8"/>
        <v/>
      </c>
      <c r="BG15" s="135" t="str">
        <f t="shared" si="8"/>
        <v/>
      </c>
      <c r="BH15" s="136"/>
      <c r="BI15" s="136"/>
      <c r="BJ15" s="136"/>
      <c r="BK15" s="136"/>
      <c r="BL15" s="136"/>
      <c r="BM15" s="137"/>
      <c r="BN15" s="137"/>
      <c r="BP15" s="134" t="str">
        <f>IF(COUNTIF(BP$6:BP14,C15)&gt;0,"",C15)&amp;""</f>
        <v/>
      </c>
      <c r="BQ15" s="138">
        <f t="shared" si="9"/>
        <v>0</v>
      </c>
      <c r="BR15" s="132">
        <f t="shared" si="10"/>
        <v>1</v>
      </c>
      <c r="BS15" s="138">
        <f t="shared" si="11"/>
        <v>0</v>
      </c>
      <c r="BT15" s="132">
        <f t="shared" si="12"/>
        <v>1</v>
      </c>
      <c r="BU15" s="133"/>
      <c r="BV15" s="133"/>
    </row>
    <row r="16" ht="15" customHeight="1" spans="1:75">
      <c r="A16" s="123" t="str">
        <f>IF(B16="","",COUNT(A$6:A15)+1)</f>
        <v/>
      </c>
      <c r="B16" s="139"/>
      <c r="C16" s="141"/>
      <c r="D16" s="140"/>
      <c r="E16" s="143"/>
      <c r="F16" s="143"/>
      <c r="G16" s="142"/>
      <c r="H16" s="127" t="str">
        <f>IFERROR(VLOOKUP(G16,参数表!$H$2:$I$50,2,FALSE),"")</f>
        <v/>
      </c>
      <c r="I16" s="128" t="str">
        <f t="shared" si="3"/>
        <v/>
      </c>
      <c r="J16" s="128" t="str">
        <f t="shared" si="4"/>
        <v/>
      </c>
      <c r="K16" s="143"/>
      <c r="L16" s="143"/>
      <c r="M16" s="144"/>
      <c r="N16" s="129" t="str">
        <f t="shared" si="5"/>
        <v/>
      </c>
      <c r="O16" s="129" t="str">
        <f t="shared" si="0"/>
        <v/>
      </c>
      <c r="P16" s="129" t="str">
        <f t="shared" si="6"/>
        <v/>
      </c>
      <c r="Q16" s="129" t="str">
        <f t="shared" si="7"/>
        <v/>
      </c>
      <c r="R16" s="145"/>
      <c r="BA16" s="78"/>
      <c r="BB16" s="132" t="s">
        <v>3544</v>
      </c>
      <c r="BC16" s="133"/>
      <c r="BD16" s="132" t="str">
        <f>IF(OR(B16="",BC16=""),"",COUNTIF(BC$7:BC16,"√"))</f>
        <v/>
      </c>
      <c r="BE16" s="134" t="str">
        <f t="shared" si="1"/>
        <v/>
      </c>
      <c r="BF16" s="135" t="str">
        <f t="shared" si="8"/>
        <v/>
      </c>
      <c r="BG16" s="135" t="str">
        <f t="shared" si="8"/>
        <v/>
      </c>
      <c r="BH16" s="136"/>
      <c r="BI16" s="136"/>
      <c r="BJ16" s="136"/>
      <c r="BK16" s="136"/>
      <c r="BL16" s="136"/>
      <c r="BM16" s="137"/>
      <c r="BN16" s="137"/>
      <c r="BP16" s="134" t="str">
        <f>IF(COUNTIF(BP$6:BP15,C16)&gt;0,"",C16)&amp;""</f>
        <v/>
      </c>
      <c r="BQ16" s="138">
        <f t="shared" si="9"/>
        <v>0</v>
      </c>
      <c r="BR16" s="132">
        <f t="shared" si="10"/>
        <v>1</v>
      </c>
      <c r="BS16" s="138">
        <f t="shared" si="11"/>
        <v>0</v>
      </c>
      <c r="BT16" s="132">
        <f t="shared" si="12"/>
        <v>1</v>
      </c>
      <c r="BU16" s="133"/>
      <c r="BV16" s="148"/>
    </row>
    <row r="17" ht="15" customHeight="1" spans="1:75">
      <c r="A17" s="123" t="str">
        <f>IF(B17="","",COUNT(A$6:A16)+1)</f>
        <v/>
      </c>
      <c r="B17" s="139"/>
      <c r="C17" s="141"/>
      <c r="D17" s="140"/>
      <c r="E17" s="143"/>
      <c r="F17" s="143"/>
      <c r="G17" s="142"/>
      <c r="H17" s="127" t="str">
        <f>IFERROR(VLOOKUP(G17,参数表!$H$2:$I$50,2,FALSE),"")</f>
        <v/>
      </c>
      <c r="I17" s="128" t="str">
        <f t="shared" si="3"/>
        <v/>
      </c>
      <c r="J17" s="128" t="str">
        <f t="shared" si="4"/>
        <v/>
      </c>
      <c r="K17" s="143"/>
      <c r="L17" s="143"/>
      <c r="M17" s="144"/>
      <c r="N17" s="129" t="str">
        <f t="shared" si="5"/>
        <v/>
      </c>
      <c r="O17" s="129" t="str">
        <f t="shared" si="0"/>
        <v/>
      </c>
      <c r="P17" s="129" t="str">
        <f t="shared" si="6"/>
        <v/>
      </c>
      <c r="Q17" s="129" t="str">
        <f t="shared" si="7"/>
        <v/>
      </c>
      <c r="R17" s="145"/>
      <c r="BA17" s="78"/>
      <c r="BB17" s="132" t="s">
        <v>3545</v>
      </c>
      <c r="BC17" s="133"/>
      <c r="BD17" s="132" t="str">
        <f>IF(OR(B17="",BC17=""),"",COUNTIF(BC$7:BC17,"√"))</f>
        <v/>
      </c>
      <c r="BE17" s="134" t="str">
        <f t="shared" si="1"/>
        <v/>
      </c>
      <c r="BF17" s="135" t="str">
        <f t="shared" si="8"/>
        <v/>
      </c>
      <c r="BG17" s="135" t="str">
        <f t="shared" si="8"/>
        <v/>
      </c>
      <c r="BH17" s="136"/>
      <c r="BI17" s="136"/>
      <c r="BJ17" s="136"/>
      <c r="BK17" s="136"/>
      <c r="BL17" s="136"/>
      <c r="BM17" s="137"/>
      <c r="BN17" s="137"/>
      <c r="BP17" s="134" t="str">
        <f>IF(COUNTIF(BP$6:BP16,C17)&gt;0,"",C17)&amp;""</f>
        <v/>
      </c>
      <c r="BQ17" s="138">
        <f t="shared" si="9"/>
        <v>0</v>
      </c>
      <c r="BR17" s="132">
        <f t="shared" si="10"/>
        <v>1</v>
      </c>
      <c r="BS17" s="138">
        <f t="shared" si="11"/>
        <v>0</v>
      </c>
      <c r="BT17" s="132">
        <f t="shared" si="12"/>
        <v>1</v>
      </c>
      <c r="BU17" s="133"/>
      <c r="BV17" s="133"/>
    </row>
    <row r="18" ht="15" customHeight="1" spans="1:75">
      <c r="A18" s="123" t="str">
        <f>IF(B18="","",COUNT(A$6:A17)+1)</f>
        <v/>
      </c>
      <c r="B18" s="139"/>
      <c r="C18" s="141"/>
      <c r="D18" s="140"/>
      <c r="E18" s="143"/>
      <c r="F18" s="143"/>
      <c r="G18" s="142"/>
      <c r="H18" s="127" t="str">
        <f>IFERROR(VLOOKUP(G18,参数表!$H$2:$I$50,2,FALSE),"")</f>
        <v/>
      </c>
      <c r="I18" s="128" t="str">
        <f t="shared" si="3"/>
        <v/>
      </c>
      <c r="J18" s="128" t="str">
        <f t="shared" si="4"/>
        <v/>
      </c>
      <c r="K18" s="143"/>
      <c r="L18" s="143"/>
      <c r="M18" s="144"/>
      <c r="N18" s="129" t="str">
        <f t="shared" si="5"/>
        <v/>
      </c>
      <c r="O18" s="129" t="str">
        <f t="shared" si="0"/>
        <v/>
      </c>
      <c r="P18" s="129" t="str">
        <f t="shared" si="6"/>
        <v/>
      </c>
      <c r="Q18" s="129" t="str">
        <f t="shared" si="7"/>
        <v/>
      </c>
      <c r="R18" s="145"/>
      <c r="BA18" s="78"/>
      <c r="BB18" s="132" t="s">
        <v>3546</v>
      </c>
      <c r="BC18" s="133"/>
      <c r="BD18" s="132" t="str">
        <f>IF(OR(B18="",BC18=""),"",COUNTIF(BC$7:BC18,"√"))</f>
        <v/>
      </c>
      <c r="BE18" s="134" t="str">
        <f t="shared" si="1"/>
        <v/>
      </c>
      <c r="BF18" s="135" t="str">
        <f t="shared" si="8"/>
        <v/>
      </c>
      <c r="BG18" s="135" t="str">
        <f t="shared" si="8"/>
        <v/>
      </c>
      <c r="BH18" s="136"/>
      <c r="BI18" s="136"/>
      <c r="BJ18" s="136"/>
      <c r="BK18" s="136"/>
      <c r="BL18" s="136"/>
      <c r="BM18" s="137"/>
      <c r="BN18" s="137"/>
      <c r="BP18" s="134" t="str">
        <f>IF(COUNTIF(BP$6:BP17,C18)&gt;0,"",C18)&amp;""</f>
        <v/>
      </c>
      <c r="BQ18" s="138">
        <f t="shared" si="9"/>
        <v>0</v>
      </c>
      <c r="BR18" s="132">
        <f t="shared" si="10"/>
        <v>1</v>
      </c>
      <c r="BS18" s="138">
        <f t="shared" si="11"/>
        <v>0</v>
      </c>
      <c r="BT18" s="132">
        <f t="shared" si="12"/>
        <v>1</v>
      </c>
      <c r="BU18" s="133"/>
      <c r="BV18" s="133"/>
    </row>
    <row r="19" ht="15" customHeight="1" spans="1:75">
      <c r="A19" s="123" t="str">
        <f>IF(B19="","",COUNT(A$6:A18)+1)</f>
        <v/>
      </c>
      <c r="B19" s="139"/>
      <c r="C19" s="141"/>
      <c r="D19" s="140"/>
      <c r="E19" s="143"/>
      <c r="F19" s="143"/>
      <c r="G19" s="142"/>
      <c r="H19" s="127" t="str">
        <f>IFERROR(VLOOKUP(G19,参数表!$H$2:$I$50,2,FALSE),"")</f>
        <v/>
      </c>
      <c r="I19" s="128" t="str">
        <f t="shared" si="3"/>
        <v/>
      </c>
      <c r="J19" s="128" t="str">
        <f t="shared" si="4"/>
        <v/>
      </c>
      <c r="K19" s="143"/>
      <c r="L19" s="143"/>
      <c r="M19" s="144"/>
      <c r="N19" s="129" t="str">
        <f t="shared" si="5"/>
        <v/>
      </c>
      <c r="O19" s="129" t="str">
        <f t="shared" si="0"/>
        <v/>
      </c>
      <c r="P19" s="129" t="str">
        <f t="shared" si="6"/>
        <v/>
      </c>
      <c r="Q19" s="129" t="str">
        <f t="shared" si="7"/>
        <v/>
      </c>
      <c r="R19" s="145"/>
      <c r="BA19" s="78"/>
      <c r="BB19" s="132" t="s">
        <v>3547</v>
      </c>
      <c r="BC19" s="133"/>
      <c r="BD19" s="132" t="str">
        <f>IF(OR(B19="",BC19=""),"",COUNTIF(BC$7:BC19,"√"))</f>
        <v/>
      </c>
      <c r="BE19" s="134" t="str">
        <f t="shared" si="1"/>
        <v/>
      </c>
      <c r="BF19" s="135" t="str">
        <f t="shared" si="8"/>
        <v/>
      </c>
      <c r="BG19" s="135" t="str">
        <f t="shared" si="8"/>
        <v/>
      </c>
      <c r="BH19" s="136"/>
      <c r="BI19" s="136"/>
      <c r="BJ19" s="136"/>
      <c r="BK19" s="136"/>
      <c r="BL19" s="136"/>
      <c r="BM19" s="137"/>
      <c r="BN19" s="137"/>
      <c r="BP19" s="134" t="str">
        <f>IF(COUNTIF(BP$6:BP18,C19)&gt;0,"",C19)&amp;""</f>
        <v/>
      </c>
      <c r="BQ19" s="138">
        <f t="shared" si="9"/>
        <v>0</v>
      </c>
      <c r="BR19" s="132">
        <f t="shared" si="10"/>
        <v>1</v>
      </c>
      <c r="BS19" s="138">
        <f t="shared" si="11"/>
        <v>0</v>
      </c>
      <c r="BT19" s="132">
        <f t="shared" si="12"/>
        <v>1</v>
      </c>
      <c r="BU19" s="133"/>
      <c r="BV19" s="133"/>
    </row>
    <row r="20" ht="15" customHeight="1" spans="1:75">
      <c r="A20" s="123" t="str">
        <f>IF(B20="","",COUNT(A$6:A19)+1)</f>
        <v/>
      </c>
      <c r="B20" s="139"/>
      <c r="C20" s="141"/>
      <c r="D20" s="140"/>
      <c r="E20" s="143"/>
      <c r="F20" s="143"/>
      <c r="G20" s="142"/>
      <c r="H20" s="127" t="str">
        <f>IFERROR(VLOOKUP(G20,参数表!$H$2:$I$50,2,FALSE),"")</f>
        <v/>
      </c>
      <c r="I20" s="128" t="str">
        <f t="shared" si="3"/>
        <v/>
      </c>
      <c r="J20" s="128" t="str">
        <f t="shared" si="4"/>
        <v/>
      </c>
      <c r="K20" s="143"/>
      <c r="L20" s="143"/>
      <c r="M20" s="144"/>
      <c r="N20" s="129" t="str">
        <f t="shared" si="5"/>
        <v/>
      </c>
      <c r="O20" s="129" t="str">
        <f t="shared" si="0"/>
        <v/>
      </c>
      <c r="P20" s="129" t="str">
        <f t="shared" si="6"/>
        <v/>
      </c>
      <c r="Q20" s="129" t="str">
        <f t="shared" si="7"/>
        <v/>
      </c>
      <c r="R20" s="145"/>
      <c r="BA20" s="78"/>
      <c r="BB20" s="132" t="s">
        <v>3548</v>
      </c>
      <c r="BC20" s="133"/>
      <c r="BD20" s="132" t="str">
        <f>IF(OR(B20="",BC20=""),"",COUNTIF(BC$7:BC20,"√"))</f>
        <v/>
      </c>
      <c r="BE20" s="134" t="str">
        <f t="shared" si="1"/>
        <v/>
      </c>
      <c r="BF20" s="135" t="str">
        <f t="shared" si="8"/>
        <v/>
      </c>
      <c r="BG20" s="135" t="str">
        <f t="shared" si="8"/>
        <v/>
      </c>
      <c r="BH20" s="136"/>
      <c r="BI20" s="136"/>
      <c r="BJ20" s="136"/>
      <c r="BK20" s="136"/>
      <c r="BL20" s="136"/>
      <c r="BM20" s="137"/>
      <c r="BN20" s="137"/>
      <c r="BP20" s="134" t="str">
        <f>IF(COUNTIF(BP$6:BP19,C20)&gt;0,"",C20)&amp;""</f>
        <v/>
      </c>
      <c r="BQ20" s="138">
        <f t="shared" si="9"/>
        <v>0</v>
      </c>
      <c r="BR20" s="132">
        <f t="shared" si="10"/>
        <v>1</v>
      </c>
      <c r="BS20" s="138">
        <f t="shared" si="11"/>
        <v>0</v>
      </c>
      <c r="BT20" s="132">
        <f t="shared" si="12"/>
        <v>1</v>
      </c>
      <c r="BU20" s="133"/>
      <c r="BV20" s="133"/>
    </row>
    <row r="21" ht="15" customHeight="1" spans="1:75">
      <c r="A21" s="123" t="str">
        <f>IF(B21="","",COUNT(A$6:A20)+1)</f>
        <v/>
      </c>
      <c r="B21" s="139"/>
      <c r="C21" s="141"/>
      <c r="D21" s="140"/>
      <c r="E21" s="143"/>
      <c r="F21" s="143"/>
      <c r="G21" s="142"/>
      <c r="H21" s="127" t="str">
        <f>IFERROR(VLOOKUP(G21,参数表!$H$2:$I$50,2,FALSE),"")</f>
        <v/>
      </c>
      <c r="I21" s="128" t="str">
        <f t="shared" si="3"/>
        <v/>
      </c>
      <c r="J21" s="128" t="str">
        <f t="shared" si="4"/>
        <v/>
      </c>
      <c r="K21" s="143"/>
      <c r="L21" s="143"/>
      <c r="M21" s="144"/>
      <c r="N21" s="129" t="str">
        <f t="shared" si="5"/>
        <v/>
      </c>
      <c r="O21" s="129" t="str">
        <f t="shared" si="0"/>
        <v/>
      </c>
      <c r="P21" s="129" t="str">
        <f t="shared" si="6"/>
        <v/>
      </c>
      <c r="Q21" s="129" t="str">
        <f t="shared" si="7"/>
        <v/>
      </c>
      <c r="R21" s="145"/>
      <c r="BA21" s="78"/>
      <c r="BB21" s="132" t="s">
        <v>3549</v>
      </c>
      <c r="BC21" s="133"/>
      <c r="BD21" s="132" t="str">
        <f>IF(OR(B21="",BC21=""),"",COUNTIF(BC$7:BC21,"√"))</f>
        <v/>
      </c>
      <c r="BE21" s="134" t="str">
        <f t="shared" si="1"/>
        <v/>
      </c>
      <c r="BF21" s="135" t="str">
        <f t="shared" si="8"/>
        <v/>
      </c>
      <c r="BG21" s="135" t="str">
        <f t="shared" si="8"/>
        <v/>
      </c>
      <c r="BH21" s="136"/>
      <c r="BI21" s="136"/>
      <c r="BJ21" s="136"/>
      <c r="BK21" s="136"/>
      <c r="BL21" s="136"/>
      <c r="BM21" s="137"/>
      <c r="BN21" s="137"/>
      <c r="BP21" s="134" t="str">
        <f>IF(COUNTIF(BP$6:BP20,C21)&gt;0,"",C21)&amp;""</f>
        <v/>
      </c>
      <c r="BQ21" s="138">
        <f t="shared" si="9"/>
        <v>0</v>
      </c>
      <c r="BR21" s="132">
        <f t="shared" si="10"/>
        <v>1</v>
      </c>
      <c r="BS21" s="138">
        <f t="shared" si="11"/>
        <v>0</v>
      </c>
      <c r="BT21" s="132">
        <f t="shared" si="12"/>
        <v>1</v>
      </c>
      <c r="BU21" s="133"/>
      <c r="BV21" s="133"/>
    </row>
    <row r="22" ht="15" customHeight="1" spans="1:75">
      <c r="A22" s="123" t="str">
        <f>IF(B22="","",COUNT(A$6:A21)+1)</f>
        <v/>
      </c>
      <c r="B22" s="139"/>
      <c r="C22" s="141"/>
      <c r="D22" s="140"/>
      <c r="E22" s="143"/>
      <c r="F22" s="143"/>
      <c r="G22" s="142"/>
      <c r="H22" s="127" t="str">
        <f>IFERROR(VLOOKUP(G22,参数表!$H$2:$I$50,2,FALSE),"")</f>
        <v/>
      </c>
      <c r="I22" s="128" t="str">
        <f t="shared" si="3"/>
        <v/>
      </c>
      <c r="J22" s="128" t="str">
        <f t="shared" si="4"/>
        <v/>
      </c>
      <c r="K22" s="143"/>
      <c r="L22" s="143"/>
      <c r="M22" s="144"/>
      <c r="N22" s="129" t="str">
        <f t="shared" si="5"/>
        <v/>
      </c>
      <c r="O22" s="129" t="str">
        <f t="shared" si="0"/>
        <v/>
      </c>
      <c r="P22" s="129" t="str">
        <f t="shared" si="6"/>
        <v/>
      </c>
      <c r="Q22" s="129" t="str">
        <f t="shared" si="7"/>
        <v/>
      </c>
      <c r="R22" s="145"/>
      <c r="BA22" s="78"/>
      <c r="BB22" s="132" t="s">
        <v>3550</v>
      </c>
      <c r="BC22" s="133"/>
      <c r="BD22" s="132" t="str">
        <f>IF(OR(B22="",BC22=""),"",COUNTIF(BC$7:BC22,"√"))</f>
        <v/>
      </c>
      <c r="BE22" s="134" t="str">
        <f t="shared" si="1"/>
        <v/>
      </c>
      <c r="BF22" s="135" t="str">
        <f t="shared" si="8"/>
        <v/>
      </c>
      <c r="BG22" s="135" t="str">
        <f t="shared" si="8"/>
        <v/>
      </c>
      <c r="BH22" s="136"/>
      <c r="BI22" s="136"/>
      <c r="BJ22" s="136"/>
      <c r="BK22" s="136"/>
      <c r="BL22" s="136"/>
      <c r="BM22" s="137"/>
      <c r="BN22" s="137"/>
      <c r="BP22" s="134" t="str">
        <f>IF(COUNTIF(BP$6:BP21,C22)&gt;0,"",C22)&amp;""</f>
        <v/>
      </c>
      <c r="BQ22" s="138">
        <f t="shared" si="9"/>
        <v>0</v>
      </c>
      <c r="BR22" s="132">
        <f t="shared" si="10"/>
        <v>1</v>
      </c>
      <c r="BS22" s="138">
        <f t="shared" si="11"/>
        <v>0</v>
      </c>
      <c r="BT22" s="132">
        <f t="shared" si="12"/>
        <v>1</v>
      </c>
      <c r="BU22" s="133"/>
      <c r="BV22" s="133"/>
    </row>
    <row r="23" ht="15" customHeight="1" spans="1:75">
      <c r="A23" s="123" t="str">
        <f>IF(B23="","",COUNT(A$6:A22)+1)</f>
        <v/>
      </c>
      <c r="B23" s="139"/>
      <c r="C23" s="141"/>
      <c r="D23" s="140"/>
      <c r="E23" s="143"/>
      <c r="F23" s="143"/>
      <c r="G23" s="142"/>
      <c r="H23" s="127" t="str">
        <f>IFERROR(VLOOKUP(G23,参数表!$H$2:$I$50,2,FALSE),"")</f>
        <v/>
      </c>
      <c r="I23" s="128" t="str">
        <f t="shared" si="3"/>
        <v/>
      </c>
      <c r="J23" s="128" t="str">
        <f t="shared" si="4"/>
        <v/>
      </c>
      <c r="K23" s="143"/>
      <c r="L23" s="143"/>
      <c r="M23" s="144"/>
      <c r="N23" s="129" t="str">
        <f t="shared" si="5"/>
        <v/>
      </c>
      <c r="O23" s="129" t="str">
        <f t="shared" si="0"/>
        <v/>
      </c>
      <c r="P23" s="129" t="str">
        <f t="shared" si="6"/>
        <v/>
      </c>
      <c r="Q23" s="129" t="str">
        <f t="shared" si="7"/>
        <v/>
      </c>
      <c r="R23" s="145"/>
      <c r="BA23" s="78"/>
      <c r="BB23" s="132" t="s">
        <v>3551</v>
      </c>
      <c r="BC23" s="133"/>
      <c r="BD23" s="132" t="str">
        <f>IF(OR(B23="",BC23=""),"",COUNTIF(BC$7:BC23,"√"))</f>
        <v/>
      </c>
      <c r="BE23" s="134" t="str">
        <f t="shared" si="1"/>
        <v/>
      </c>
      <c r="BF23" s="135" t="str">
        <f t="shared" si="8"/>
        <v/>
      </c>
      <c r="BG23" s="135" t="str">
        <f t="shared" si="8"/>
        <v/>
      </c>
      <c r="BH23" s="136"/>
      <c r="BI23" s="136"/>
      <c r="BJ23" s="136"/>
      <c r="BK23" s="136"/>
      <c r="BL23" s="136"/>
      <c r="BM23" s="137"/>
      <c r="BN23" s="137"/>
      <c r="BP23" s="134" t="str">
        <f>IF(COUNTIF(BP$6:BP22,C23)&gt;0,"",C23)&amp;""</f>
        <v/>
      </c>
      <c r="BQ23" s="138">
        <f t="shared" si="9"/>
        <v>0</v>
      </c>
      <c r="BR23" s="132">
        <f t="shared" si="10"/>
        <v>1</v>
      </c>
      <c r="BS23" s="138">
        <f t="shared" si="11"/>
        <v>0</v>
      </c>
      <c r="BT23" s="132">
        <f t="shared" si="12"/>
        <v>1</v>
      </c>
      <c r="BU23" s="133"/>
      <c r="BV23" s="133"/>
    </row>
    <row r="24" ht="15" customHeight="1" spans="1:75">
      <c r="A24" s="123" t="str">
        <f>IF(B24="","",COUNT(A$6:A23)+1)</f>
        <v/>
      </c>
      <c r="B24" s="139"/>
      <c r="C24" s="141"/>
      <c r="D24" s="140"/>
      <c r="E24" s="143"/>
      <c r="F24" s="143"/>
      <c r="G24" s="142"/>
      <c r="H24" s="127" t="str">
        <f>IFERROR(VLOOKUP(G24,参数表!$H$2:$I$50,2,FALSE),"")</f>
        <v/>
      </c>
      <c r="I24" s="128" t="str">
        <f t="shared" si="3"/>
        <v/>
      </c>
      <c r="J24" s="128" t="str">
        <f t="shared" si="4"/>
        <v/>
      </c>
      <c r="K24" s="143"/>
      <c r="L24" s="143"/>
      <c r="M24" s="144"/>
      <c r="N24" s="129" t="str">
        <f t="shared" si="5"/>
        <v/>
      </c>
      <c r="O24" s="129" t="str">
        <f t="shared" si="0"/>
        <v/>
      </c>
      <c r="P24" s="129" t="str">
        <f t="shared" si="6"/>
        <v/>
      </c>
      <c r="Q24" s="129" t="str">
        <f t="shared" si="7"/>
        <v/>
      </c>
      <c r="R24" s="145"/>
      <c r="BA24" s="78"/>
      <c r="BB24" s="132" t="s">
        <v>3552</v>
      </c>
      <c r="BC24" s="133"/>
      <c r="BD24" s="132" t="str">
        <f>IF(OR(B24="",BC24=""),"",COUNTIF(BC$7:BC24,"√"))</f>
        <v/>
      </c>
      <c r="BE24" s="134" t="str">
        <f t="shared" si="1"/>
        <v/>
      </c>
      <c r="BF24" s="135" t="str">
        <f t="shared" si="8"/>
        <v/>
      </c>
      <c r="BG24" s="135" t="str">
        <f t="shared" si="8"/>
        <v/>
      </c>
      <c r="BH24" s="136"/>
      <c r="BI24" s="136"/>
      <c r="BJ24" s="136"/>
      <c r="BK24" s="136"/>
      <c r="BL24" s="136"/>
      <c r="BM24" s="137"/>
      <c r="BN24" s="137"/>
      <c r="BP24" s="134" t="str">
        <f>IF(COUNTIF(BP$6:BP23,C24)&gt;0,"",C24)&amp;""</f>
        <v/>
      </c>
      <c r="BQ24" s="138">
        <f t="shared" si="9"/>
        <v>0</v>
      </c>
      <c r="BR24" s="132">
        <f t="shared" si="10"/>
        <v>1</v>
      </c>
      <c r="BS24" s="138">
        <f t="shared" si="11"/>
        <v>0</v>
      </c>
      <c r="BT24" s="132">
        <f t="shared" si="12"/>
        <v>1</v>
      </c>
      <c r="BU24" s="133"/>
      <c r="BV24" s="133"/>
    </row>
    <row r="25" ht="15" customHeight="1" spans="1:75">
      <c r="A25" s="123" t="str">
        <f>IF(B25="","",COUNT(A$6:A24)+1)</f>
        <v/>
      </c>
      <c r="B25" s="139"/>
      <c r="C25" s="141"/>
      <c r="D25" s="140"/>
      <c r="E25" s="143"/>
      <c r="F25" s="143"/>
      <c r="G25" s="142"/>
      <c r="H25" s="127" t="str">
        <f>IFERROR(VLOOKUP(G25,参数表!$H$2:$I$50,2,FALSE),"")</f>
        <v/>
      </c>
      <c r="I25" s="128" t="str">
        <f t="shared" si="3"/>
        <v/>
      </c>
      <c r="J25" s="128" t="str">
        <f t="shared" si="4"/>
        <v/>
      </c>
      <c r="K25" s="143"/>
      <c r="L25" s="143"/>
      <c r="M25" s="144"/>
      <c r="N25" s="129" t="str">
        <f t="shared" si="5"/>
        <v/>
      </c>
      <c r="O25" s="129" t="str">
        <f t="shared" si="0"/>
        <v/>
      </c>
      <c r="P25" s="129" t="str">
        <f t="shared" si="6"/>
        <v/>
      </c>
      <c r="Q25" s="129" t="str">
        <f t="shared" si="7"/>
        <v/>
      </c>
      <c r="R25" s="145"/>
      <c r="BA25" s="78"/>
      <c r="BB25" s="132" t="s">
        <v>3553</v>
      </c>
      <c r="BC25" s="133"/>
      <c r="BD25" s="132" t="str">
        <f>IF(OR(B25="",BC25=""),"",COUNTIF(BC$7:BC25,"√"))</f>
        <v/>
      </c>
      <c r="BE25" s="134" t="str">
        <f t="shared" si="1"/>
        <v/>
      </c>
      <c r="BF25" s="135" t="str">
        <f t="shared" si="8"/>
        <v/>
      </c>
      <c r="BG25" s="135" t="str">
        <f t="shared" si="8"/>
        <v/>
      </c>
      <c r="BH25" s="136"/>
      <c r="BI25" s="136"/>
      <c r="BJ25" s="136"/>
      <c r="BK25" s="136"/>
      <c r="BL25" s="136"/>
      <c r="BM25" s="137"/>
      <c r="BN25" s="137"/>
      <c r="BP25" s="134" t="str">
        <f>IF(COUNTIF(BP$6:BP24,C25)&gt;0,"",C25)&amp;""</f>
        <v/>
      </c>
      <c r="BQ25" s="138">
        <f t="shared" si="9"/>
        <v>0</v>
      </c>
      <c r="BR25" s="132">
        <f t="shared" si="10"/>
        <v>1</v>
      </c>
      <c r="BS25" s="138">
        <f t="shared" si="11"/>
        <v>0</v>
      </c>
      <c r="BT25" s="132">
        <f t="shared" si="12"/>
        <v>1</v>
      </c>
      <c r="BU25" s="133"/>
      <c r="BV25" s="133"/>
    </row>
    <row r="26" ht="15" customHeight="1" spans="1:75">
      <c r="A26" s="123" t="str">
        <f>IF(B26="","",COUNT(A$6:A25)+1)</f>
        <v/>
      </c>
      <c r="B26" s="124"/>
      <c r="C26" s="126"/>
      <c r="D26" s="125"/>
      <c r="E26" s="129"/>
      <c r="F26" s="129"/>
      <c r="G26" s="127"/>
      <c r="H26" s="127" t="str">
        <f>IFERROR(VLOOKUP(G26,参数表!$H$2:$I$50,2,FALSE),"")</f>
        <v/>
      </c>
      <c r="I26" s="128" t="str">
        <f t="shared" si="3"/>
        <v/>
      </c>
      <c r="J26" s="128" t="str">
        <f t="shared" si="4"/>
        <v/>
      </c>
      <c r="K26" s="129"/>
      <c r="L26" s="129"/>
      <c r="M26" s="130"/>
      <c r="N26" s="129" t="str">
        <f t="shared" si="5"/>
        <v/>
      </c>
      <c r="O26" s="129" t="str">
        <f t="shared" si="0"/>
        <v/>
      </c>
      <c r="P26" s="129" t="str">
        <f t="shared" si="6"/>
        <v/>
      </c>
      <c r="Q26" s="129" t="str">
        <f t="shared" si="7"/>
        <v/>
      </c>
      <c r="R26" s="131"/>
      <c r="BA26" s="78"/>
      <c r="BB26" s="132" t="s">
        <v>3554</v>
      </c>
      <c r="BC26" s="133"/>
      <c r="BD26" s="132" t="str">
        <f>IF(OR(B26="",BC26=""),"",COUNTIF(BC$7:BC26,"√"))</f>
        <v/>
      </c>
      <c r="BE26" s="134" t="str">
        <f t="shared" si="1"/>
        <v/>
      </c>
      <c r="BF26" s="135" t="str">
        <f t="shared" si="8"/>
        <v/>
      </c>
      <c r="BG26" s="135" t="str">
        <f t="shared" si="8"/>
        <v/>
      </c>
      <c r="BH26" s="136"/>
      <c r="BI26" s="136"/>
      <c r="BJ26" s="136"/>
      <c r="BK26" s="136"/>
      <c r="BL26" s="136"/>
      <c r="BM26" s="137"/>
      <c r="BN26" s="137"/>
      <c r="BP26" s="134" t="str">
        <f>IF(COUNTIF(BP$6:BP25,C26)&gt;0,"",C26)&amp;""</f>
        <v/>
      </c>
      <c r="BQ26" s="138">
        <f t="shared" si="9"/>
        <v>0</v>
      </c>
      <c r="BR26" s="132">
        <f t="shared" si="10"/>
        <v>1</v>
      </c>
      <c r="BS26" s="138">
        <f t="shared" si="11"/>
        <v>0</v>
      </c>
      <c r="BT26" s="132">
        <f t="shared" si="12"/>
        <v>1</v>
      </c>
      <c r="BU26" s="133"/>
      <c r="BV26" s="133"/>
    </row>
    <row r="27" s="73" customFormat="1" ht="15" customHeight="1" spans="1:75">
      <c r="A27" s="993" t="s">
        <v>1954</v>
      </c>
      <c r="B27" s="994"/>
      <c r="C27" s="149"/>
      <c r="D27" s="356"/>
      <c r="E27" s="152"/>
      <c r="F27" s="152"/>
      <c r="G27" s="149"/>
      <c r="H27" s="149"/>
      <c r="I27" s="149"/>
      <c r="J27" s="149"/>
      <c r="K27" s="152">
        <f>SUM(K7:K26)</f>
        <v>0</v>
      </c>
      <c r="L27" s="152">
        <f>SUM(L7:L26)</f>
        <v>0</v>
      </c>
      <c r="M27" s="153"/>
      <c r="N27" s="152">
        <f>SUM(N7:N26)</f>
        <v>0</v>
      </c>
      <c r="O27" s="152">
        <f>SUM(O7:O26)</f>
        <v>0</v>
      </c>
      <c r="P27" s="152">
        <f t="shared" si="6"/>
        <v>0</v>
      </c>
      <c r="Q27" s="152" t="str">
        <f t="shared" si="7"/>
        <v/>
      </c>
      <c r="R27" s="151"/>
      <c r="BO27" s="111"/>
      <c r="BP27" s="119"/>
      <c r="BQ27" s="77"/>
      <c r="BR27" s="77"/>
      <c r="BS27" s="77"/>
      <c r="BT27" s="119"/>
      <c r="BU27" s="119"/>
      <c r="BV27" s="119"/>
      <c r="BW27" s="111"/>
    </row>
    <row r="28" ht="15.75" customHeight="1" spans="1:75">
      <c r="A28" s="995" t="s">
        <v>3434</v>
      </c>
      <c r="B28" s="996"/>
      <c r="C28" s="126"/>
      <c r="D28" s="125"/>
      <c r="E28" s="129"/>
      <c r="F28" s="129"/>
      <c r="G28" s="126"/>
      <c r="H28" s="126"/>
      <c r="I28" s="126"/>
      <c r="J28" s="126"/>
      <c r="K28" s="129"/>
      <c r="L28" s="129"/>
      <c r="M28" s="130"/>
      <c r="N28" s="129">
        <f>L28+M28</f>
        <v>0</v>
      </c>
      <c r="O28" s="129">
        <f>0</f>
        <v>0</v>
      </c>
      <c r="P28" s="129">
        <f t="shared" si="6"/>
        <v>0</v>
      </c>
      <c r="Q28" s="129" t="str">
        <f t="shared" si="7"/>
        <v/>
      </c>
      <c r="R28" s="131"/>
    </row>
    <row r="29" s="73" customFormat="1" ht="15.75" customHeight="1" spans="1:75">
      <c r="A29" s="221" t="s">
        <v>1957</v>
      </c>
      <c r="B29" s="221"/>
      <c r="C29" s="149"/>
      <c r="D29" s="356"/>
      <c r="E29" s="152"/>
      <c r="F29" s="152"/>
      <c r="G29" s="149"/>
      <c r="H29" s="149"/>
      <c r="I29" s="149"/>
      <c r="J29" s="149"/>
      <c r="K29" s="152">
        <f>K27-K28</f>
        <v>0</v>
      </c>
      <c r="L29" s="152">
        <f>L27-L28</f>
        <v>0</v>
      </c>
      <c r="M29" s="153"/>
      <c r="N29" s="152">
        <f>N27-N28</f>
        <v>0</v>
      </c>
      <c r="O29" s="152">
        <f>O27-O28</f>
        <v>0</v>
      </c>
      <c r="P29" s="152">
        <f t="shared" si="6"/>
        <v>0</v>
      </c>
      <c r="Q29" s="152" t="str">
        <f t="shared" si="7"/>
        <v/>
      </c>
      <c r="R29" s="151"/>
      <c r="BO29" s="77"/>
      <c r="BP29" s="78"/>
      <c r="BQ29" s="77"/>
      <c r="BR29" s="78"/>
      <c r="BS29" s="78"/>
      <c r="BT29" s="78"/>
      <c r="BU29" s="78"/>
      <c r="BV29" s="78"/>
      <c r="BW29" s="77"/>
    </row>
    <row r="30" ht="15.75" customHeight="1" spans="1:75">
      <c r="A30" s="102" t="str">
        <f>参数表!F$6</f>
        <v>产权持有单位填表人：贾广东</v>
      </c>
      <c r="B30" s="154"/>
      <c r="C30" s="154"/>
      <c r="D30" s="154"/>
      <c r="E30" s="154"/>
      <c r="F30" s="154"/>
      <c r="G30" s="154"/>
      <c r="H30" s="154"/>
      <c r="I30" s="154"/>
      <c r="J30" s="154"/>
      <c r="K30" s="103"/>
      <c r="L30" s="103"/>
      <c r="M30" s="104"/>
      <c r="N30" s="103"/>
      <c r="O30" s="103" t="str">
        <f>"评估人员："&amp;封面!$G$36</f>
        <v>评估人员：</v>
      </c>
      <c r="P30" s="103"/>
      <c r="Q30" s="103"/>
      <c r="R30" s="103"/>
    </row>
    <row r="31" ht="15.75" customHeight="1" spans="1:75">
      <c r="A31" s="102" t="str">
        <f>参数表!F$7</f>
        <v>填表日期：2025年9月20日</v>
      </c>
      <c r="B31" s="154"/>
      <c r="C31" s="154"/>
      <c r="D31" s="154"/>
      <c r="E31" s="154"/>
      <c r="F31" s="154"/>
      <c r="G31" s="154"/>
      <c r="H31" s="154"/>
      <c r="I31" s="154"/>
      <c r="J31" s="154"/>
      <c r="K31" s="103"/>
      <c r="L31" s="103"/>
      <c r="M31" s="104"/>
      <c r="N31" s="103"/>
      <c r="O31" s="103"/>
      <c r="P31" s="103"/>
      <c r="Q31" s="103"/>
      <c r="R31" s="103"/>
    </row>
    <row r="32" ht="15.75" hidden="1" customHeight="1" outlineLevel="1" spans="1:75">
      <c r="A32" s="157"/>
      <c r="B32" s="154" t="s">
        <v>1673</v>
      </c>
      <c r="C32" s="158"/>
      <c r="D32" s="158"/>
      <c r="E32" s="158"/>
      <c r="F32" s="158"/>
      <c r="G32" s="158"/>
      <c r="H32" s="158"/>
      <c r="I32" s="158"/>
      <c r="J32" s="158"/>
      <c r="L32" s="159">
        <f>SUMIF($BA7:$BA26,$BA32,L7:L26)</f>
        <v>0</v>
      </c>
      <c r="M32" s="202"/>
      <c r="N32" s="159">
        <f>SUMIF($BA7:$BA26,$BA32,N7:N26)</f>
        <v>0</v>
      </c>
      <c r="O32" s="159">
        <f>SUMIF($BA7:$BA26,$BA32,O7:O26)</f>
        <v>0</v>
      </c>
      <c r="BA32" s="161" t="s">
        <v>1674</v>
      </c>
      <c r="BH32" s="162" t="s">
        <v>1675</v>
      </c>
      <c r="BI32" s="162" t="s">
        <v>1675</v>
      </c>
      <c r="BJ32" s="162" t="s">
        <v>1675</v>
      </c>
      <c r="BK32" s="162" t="s">
        <v>1674</v>
      </c>
      <c r="BL32" s="162" t="s">
        <v>1674</v>
      </c>
    </row>
    <row r="33" ht="15.75" hidden="1" customHeight="1" outlineLevel="1" spans="1:64">
      <c r="A33" s="157"/>
      <c r="B33" s="154" t="s">
        <v>1676</v>
      </c>
      <c r="C33" s="158"/>
      <c r="D33" s="158"/>
      <c r="E33" s="158"/>
      <c r="F33" s="158"/>
      <c r="G33" s="158"/>
      <c r="H33" s="158"/>
      <c r="I33" s="158"/>
      <c r="J33" s="158"/>
      <c r="L33" s="159">
        <f>L27-L32</f>
        <v>0</v>
      </c>
      <c r="M33" s="202"/>
      <c r="N33" s="159">
        <f>N27-N32</f>
        <v>0</v>
      </c>
      <c r="O33" s="159">
        <f>O27-O32</f>
        <v>0</v>
      </c>
      <c r="BA33" s="161" t="s">
        <v>1677</v>
      </c>
      <c r="BH33" s="162" t="s">
        <v>1678</v>
      </c>
      <c r="BI33" s="162" t="s">
        <v>1678</v>
      </c>
      <c r="BJ33" s="162" t="s">
        <v>1678</v>
      </c>
      <c r="BK33" s="162" t="s">
        <v>1677</v>
      </c>
      <c r="BL33" s="162" t="s">
        <v>1677</v>
      </c>
    </row>
    <row r="34" ht="15.75" customHeight="1" collapsed="1" spans="1:64">
      <c r="A34" s="157"/>
      <c r="B34" s="158"/>
      <c r="C34" s="158"/>
      <c r="D34" s="158"/>
      <c r="E34" s="158"/>
      <c r="F34" s="158"/>
      <c r="G34" s="158"/>
      <c r="H34" s="158"/>
      <c r="I34" s="158"/>
      <c r="J34" s="158"/>
    </row>
    <row r="35" ht="15.75" customHeight="1" spans="1:64">
      <c r="A35" s="157"/>
      <c r="B35" s="158"/>
      <c r="C35" s="158"/>
      <c r="D35" s="158"/>
      <c r="E35" s="158"/>
      <c r="F35" s="158"/>
      <c r="G35" s="158"/>
      <c r="H35" s="158"/>
      <c r="I35" s="158"/>
      <c r="J35" s="158"/>
    </row>
    <row r="36" ht="15.75" customHeight="1" spans="1:64">
      <c r="A36" s="157"/>
      <c r="B36" s="158"/>
      <c r="C36" s="158"/>
      <c r="D36" s="158"/>
      <c r="E36" s="158"/>
      <c r="F36" s="158"/>
      <c r="G36" s="158"/>
      <c r="H36" s="158"/>
      <c r="I36" s="158"/>
      <c r="J36" s="158"/>
    </row>
    <row r="37" ht="15.75" customHeight="1" spans="1:64">
      <c r="A37" s="157"/>
      <c r="B37" s="158"/>
      <c r="C37" s="158"/>
      <c r="D37" s="158"/>
      <c r="E37" s="158"/>
      <c r="F37" s="158"/>
      <c r="G37" s="158"/>
      <c r="H37" s="158"/>
      <c r="I37" s="158"/>
      <c r="J37" s="158"/>
    </row>
    <row r="38" ht="15.75" customHeight="1" spans="1:64">
      <c r="A38" s="157"/>
      <c r="B38" s="158"/>
      <c r="C38" s="158"/>
      <c r="D38" s="158"/>
      <c r="E38" s="158"/>
      <c r="F38" s="158"/>
      <c r="G38" s="158"/>
      <c r="H38" s="158"/>
      <c r="I38" s="158"/>
      <c r="J38" s="158"/>
    </row>
    <row r="39" ht="15.75" customHeight="1" spans="1:64">
      <c r="A39" s="157"/>
      <c r="B39" s="158"/>
      <c r="C39" s="158"/>
      <c r="D39" s="158"/>
      <c r="E39" s="158"/>
      <c r="F39" s="158"/>
      <c r="G39" s="158"/>
      <c r="H39" s="158"/>
      <c r="I39" s="158"/>
      <c r="J39" s="158"/>
    </row>
  </sheetData>
  <sheetProtection autoFilter="0"/>
  <mergeCells count="8">
    <mergeCell ref="A2:R2"/>
    <mergeCell ref="A3:R3"/>
    <mergeCell ref="BU7:BW7"/>
    <mergeCell ref="BU8:BW8"/>
    <mergeCell ref="BV14:BW14"/>
    <mergeCell ref="A27:B27"/>
    <mergeCell ref="A28:B28"/>
    <mergeCell ref="A29:B29"/>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5" stopIfTrue="1">
      <formula>AND($B7&lt;&gt;"",BH7="")</formula>
    </cfRule>
  </conditionalFormatting>
  <dataValidations count="4">
    <dataValidation type="list" allowBlank="1" showInputMessage="1" showErrorMessage="1" sqref="G7:G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 type="list" allowBlank="1" showInputMessage="1" showErrorMessage="1" sqref="BH7:BL26">
      <formula1>BH$32:BH$33</formula1>
    </dataValidation>
  </dataValidations>
  <hyperlinks>
    <hyperlink ref="A1" location="索引目录!E28" display="返回索引页"/>
    <hyperlink ref="B1" location="可供出售金融资产汇总!B9" display="返回"/>
  </hyperlinks>
  <printOptions horizontalCentered="1"/>
  <pageMargins left="0.393700787401575" right="0.393700787401575" top="0.984251968503937" bottom="0.393700787401575" header="0.984251968503937" footer="0.393700787401575"/>
  <pageSetup paperSize="9" orientation="landscape" blackAndWhite="1"/>
  <headerFooter alignWithMargins="0">
    <oddHeader>&amp;R&amp;"宋体,常规"&amp;11共&amp;N页，第&amp;P页&amp;"Times New Roman,常规"</oddHeader>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7"/>
  <dimension ref="A1:BW42"/>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5.2" style="75" customWidth="1"/>
    <col min="3" max="3" width="12.7" style="75" customWidth="1"/>
    <col min="4" max="4" width="8.7" style="75" customWidth="1"/>
    <col min="5" max="6" width="4.6" style="75" customWidth="1" outlineLevel="1"/>
    <col min="7" max="8" width="6.1" style="75" customWidth="1" outlineLevel="1"/>
    <col min="9" max="9" width="15.6" style="75" customWidth="1" outlineLevel="1"/>
    <col min="10" max="10" width="8.6" style="75" customWidth="1" outlineLevel="1"/>
    <col min="11" max="12" width="15.6" style="76" customWidth="1" outlineLevel="1"/>
    <col min="13" max="13" width="15.6" style="75" customWidth="1"/>
    <col min="14" max="14" width="8.7" style="75" customWidth="1"/>
    <col min="15" max="15" width="15.6" style="75" customWidth="1"/>
    <col min="16" max="17" width="8.7" style="75" customWidth="1"/>
    <col min="18" max="18" width="4.7" style="75" customWidth="1"/>
    <col min="19" max="19" width="8.6" style="75" customWidth="1"/>
    <col min="20" max="52" width="9" style="75" hidden="1" customWidth="1" outlineLevel="1"/>
    <col min="53" max="53" width="14.7" style="75" customWidth="1" collapsed="1"/>
    <col min="54" max="54" width="6.7" style="75" customWidth="1"/>
    <col min="55" max="56" width="5.1" style="75" customWidth="1"/>
    <col min="57" max="57" width="8.7" style="75" customWidth="1"/>
    <col min="58" max="59" width="10.6" style="75" customWidth="1"/>
    <col min="60" max="61" width="5" style="165" customWidth="1"/>
    <col min="62" max="63" width="5.1" style="165" customWidth="1"/>
    <col min="64" max="64" width="6.7" style="165" customWidth="1"/>
    <col min="65" max="65" width="10.3" style="75" customWidth="1"/>
    <col min="66" max="66" width="8.7" style="75"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75"/>
  </cols>
  <sheetData>
    <row r="1" s="86" customFormat="1" ht="13.8" spans="1:75">
      <c r="A1" s="203" t="s">
        <v>1591</v>
      </c>
      <c r="B1" s="204" t="s">
        <v>1958</v>
      </c>
      <c r="C1" s="82"/>
      <c r="D1" s="82"/>
      <c r="E1" s="82"/>
      <c r="F1" s="82"/>
      <c r="G1" s="82"/>
      <c r="H1" s="82"/>
      <c r="I1" s="82"/>
      <c r="J1" s="82"/>
      <c r="K1" s="205"/>
      <c r="L1" s="205"/>
      <c r="M1" s="82"/>
      <c r="N1" s="82"/>
      <c r="O1" s="82"/>
      <c r="P1" s="82"/>
      <c r="Q1" s="82"/>
      <c r="R1" s="82"/>
      <c r="S1" s="82"/>
      <c r="BA1" s="84" t="str">
        <f>参数表!BA1</f>
        <v>注意：补充特殊事项、作价等均从BA列开始填写</v>
      </c>
      <c r="BB1" s="85"/>
      <c r="BH1" s="82"/>
      <c r="BI1" s="82"/>
      <c r="BJ1" s="82"/>
      <c r="BK1" s="82"/>
      <c r="BL1" s="82"/>
      <c r="BO1" s="87"/>
      <c r="BP1" s="88"/>
      <c r="BQ1" s="87"/>
      <c r="BR1" s="88"/>
      <c r="BS1" s="88"/>
      <c r="BT1" s="88"/>
      <c r="BU1" s="88"/>
      <c r="BV1" s="88"/>
      <c r="BW1" s="87"/>
    </row>
    <row r="2" s="71" customFormat="1" ht="30" customHeight="1" spans="1:75">
      <c r="A2" s="89" t="s">
        <v>3555</v>
      </c>
      <c r="B2" s="89"/>
      <c r="C2" s="89"/>
      <c r="D2" s="89"/>
      <c r="E2" s="89"/>
      <c r="F2" s="89"/>
      <c r="G2" s="89"/>
      <c r="H2" s="89"/>
      <c r="I2" s="89"/>
      <c r="J2" s="89"/>
      <c r="K2" s="89"/>
      <c r="L2" s="89"/>
      <c r="M2" s="89"/>
      <c r="N2" s="89"/>
      <c r="O2" s="89"/>
      <c r="P2" s="89"/>
      <c r="Q2" s="89"/>
      <c r="R2" s="89"/>
      <c r="S2" s="89"/>
      <c r="BA2" s="90" t="str">
        <f>参数表!BA2</f>
        <v>评估基准日：</v>
      </c>
      <c r="BB2" s="91" t="str">
        <f>参数表!BB2</f>
        <v>2025年7月31日</v>
      </c>
      <c r="BH2" s="171"/>
      <c r="BI2" s="171"/>
      <c r="BJ2" s="171"/>
      <c r="BK2" s="171"/>
      <c r="BL2" s="171"/>
      <c r="BO2" s="92"/>
      <c r="BP2" s="93"/>
      <c r="BQ2" s="92"/>
      <c r="BR2" s="93"/>
      <c r="BS2" s="93"/>
      <c r="BT2" s="93"/>
      <c r="BU2" s="93"/>
      <c r="BV2" s="93"/>
      <c r="BW2" s="92"/>
    </row>
    <row r="3" ht="15" customHeight="1" spans="1:75">
      <c r="A3" s="94" t="str">
        <f>参数表!F5</f>
        <v>评估基准日：2025年7月31日</v>
      </c>
      <c r="B3" s="94"/>
      <c r="C3" s="94"/>
      <c r="D3" s="94"/>
      <c r="E3" s="94"/>
      <c r="F3" s="94"/>
      <c r="G3" s="94"/>
      <c r="H3" s="94"/>
      <c r="I3" s="94"/>
      <c r="J3" s="94"/>
      <c r="K3" s="94"/>
      <c r="L3" s="94"/>
      <c r="M3" s="95"/>
      <c r="N3" s="95"/>
      <c r="O3" s="95"/>
      <c r="P3" s="95"/>
      <c r="Q3" s="95"/>
      <c r="R3" s="95"/>
      <c r="S3" s="95"/>
      <c r="BA3" s="90" t="str">
        <f>参数表!BA3</f>
        <v>是否显示评估值：</v>
      </c>
      <c r="BB3" s="90" t="str">
        <f>参数表!BB3</f>
        <v>是</v>
      </c>
    </row>
    <row r="4" ht="15" customHeight="1" spans="1:75">
      <c r="A4" s="96"/>
      <c r="B4" s="94"/>
      <c r="C4" s="94"/>
      <c r="D4" s="94"/>
      <c r="E4" s="94"/>
      <c r="F4" s="94"/>
      <c r="G4" s="94"/>
      <c r="H4" s="94"/>
      <c r="I4" s="94"/>
      <c r="J4" s="94"/>
      <c r="K4" s="97"/>
      <c r="L4" s="97"/>
      <c r="M4" s="95"/>
      <c r="N4" s="95"/>
      <c r="O4" s="95"/>
      <c r="P4" s="95"/>
      <c r="Q4" s="95"/>
      <c r="R4" s="95"/>
      <c r="S4" s="98" t="str">
        <f>"表"&amp;$BA4</f>
        <v>表4-5</v>
      </c>
      <c r="T4" s="277"/>
      <c r="BA4" s="274" t="str">
        <f>非流动资总!A11</f>
        <v>4-5</v>
      </c>
      <c r="BB4" s="100">
        <f>MAX(COUNTA(A7:A26),COUNTA(B7:B26),COUNTA(I7:I26),COUNTA(M7:M26))</f>
        <v>20</v>
      </c>
      <c r="BC4" s="101">
        <f>ROW(A6)+1</f>
        <v>7</v>
      </c>
      <c r="BD4" s="77"/>
      <c r="BE4" s="77"/>
      <c r="BQ4" s="78"/>
    </row>
    <row r="5" ht="15" customHeight="1" spans="1:75">
      <c r="A5" s="102" t="str">
        <f>参数表!F3</f>
        <v>产权持有单位:中煤第五建设有限公司</v>
      </c>
      <c r="B5" s="103"/>
      <c r="C5" s="103"/>
      <c r="D5" s="103"/>
      <c r="E5" s="103"/>
      <c r="F5" s="103"/>
      <c r="G5" s="103"/>
      <c r="H5" s="103"/>
      <c r="I5" s="103"/>
      <c r="J5" s="103"/>
      <c r="K5" s="104"/>
      <c r="L5" s="104"/>
      <c r="M5" s="983"/>
      <c r="N5" s="983"/>
      <c r="O5" s="103"/>
      <c r="P5" s="103"/>
      <c r="Q5" s="103"/>
      <c r="R5" s="103"/>
      <c r="S5" s="98" t="s">
        <v>236</v>
      </c>
      <c r="BA5" s="103"/>
      <c r="BB5" s="105" t="str">
        <f ca="1">判断表!C56</f>
        <v>中煤第五建设有限公司第三工程处拟处置实物资产项目\[0000-3基础法明细表.xlsx]长期应收</v>
      </c>
      <c r="BC5" s="106">
        <f>IFERROR(SUMIF(BC7:BC26,"√",M7:M26)/M27,0)</f>
        <v>0</v>
      </c>
      <c r="BD5" s="107"/>
      <c r="BE5" s="107"/>
      <c r="BF5" s="177">
        <f>分类汇总!I27</f>
        <v>0</v>
      </c>
      <c r="BG5" s="177">
        <f>分类汇总!K27</f>
        <v>0</v>
      </c>
      <c r="BO5" s="111"/>
      <c r="BQ5" s="78"/>
      <c r="BV5" s="194"/>
      <c r="BW5" s="111"/>
    </row>
    <row r="6" s="72" customFormat="1" ht="36" spans="1:75">
      <c r="A6" s="112" t="s">
        <v>305</v>
      </c>
      <c r="B6" s="113" t="s">
        <v>1960</v>
      </c>
      <c r="C6" s="113" t="s">
        <v>1898</v>
      </c>
      <c r="D6" s="113" t="s">
        <v>1961</v>
      </c>
      <c r="E6" s="114" t="s">
        <v>1631</v>
      </c>
      <c r="F6" s="115" t="s">
        <v>1632</v>
      </c>
      <c r="G6" s="115" t="s">
        <v>1633</v>
      </c>
      <c r="H6" s="116" t="s">
        <v>1925</v>
      </c>
      <c r="I6" s="113" t="s">
        <v>1549</v>
      </c>
      <c r="J6" s="113" t="s">
        <v>1926</v>
      </c>
      <c r="K6" s="984" t="s">
        <v>1927</v>
      </c>
      <c r="L6" s="984" t="s">
        <v>1928</v>
      </c>
      <c r="M6" s="113" t="s">
        <v>1523</v>
      </c>
      <c r="N6" s="113" t="s">
        <v>1926</v>
      </c>
      <c r="O6" s="113" t="s">
        <v>1550</v>
      </c>
      <c r="P6" s="113" t="s">
        <v>1929</v>
      </c>
      <c r="Q6" s="113" t="s">
        <v>1525</v>
      </c>
      <c r="R6" s="118" t="s">
        <v>1551</v>
      </c>
      <c r="S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19"/>
      <c r="BP6" s="120" t="s">
        <v>1645</v>
      </c>
      <c r="BQ6" s="121" t="s">
        <v>1646</v>
      </c>
      <c r="BR6" s="121" t="s">
        <v>1647</v>
      </c>
      <c r="BS6" s="121" t="s">
        <v>1648</v>
      </c>
      <c r="BT6" s="121" t="s">
        <v>1647</v>
      </c>
      <c r="BU6" s="121" t="s">
        <v>1647</v>
      </c>
      <c r="BV6" s="121" t="s">
        <v>1649</v>
      </c>
      <c r="BW6" s="122" t="s">
        <v>1650</v>
      </c>
    </row>
    <row r="7" ht="15" customHeight="1" spans="1:75">
      <c r="A7" s="123" t="str">
        <f>IF(B7="","",COUNT(A$6:A6)+1)</f>
        <v/>
      </c>
      <c r="B7" s="124"/>
      <c r="C7" s="126"/>
      <c r="D7" s="125"/>
      <c r="E7" s="127"/>
      <c r="F7" s="127" t="str">
        <f>IFERROR(VLOOKUP(E7,参数表!$H$2:$I$50,2,FALSE),"")</f>
        <v/>
      </c>
      <c r="G7" s="128" t="str">
        <f>IFERROR(IF(OR(E7="人民币",E7=""),"",M7/F7),"")</f>
        <v/>
      </c>
      <c r="H7" s="128" t="str">
        <f>IFERROR(IF(OR(E7="人民币",E7=""),"",N7/F7),"")</f>
        <v/>
      </c>
      <c r="I7" s="129"/>
      <c r="J7" s="129"/>
      <c r="K7" s="130"/>
      <c r="L7" s="130"/>
      <c r="M7" s="129" t="str">
        <f>IF(B7="","",I7+K7)</f>
        <v/>
      </c>
      <c r="N7" s="129" t="str">
        <f>IF(B7="","",J7+L7)</f>
        <v/>
      </c>
      <c r="O7" s="129" t="str">
        <f t="shared" ref="O7:O26" si="0">IF(B7="","",IF($BB$3="是",M7,""))</f>
        <v/>
      </c>
      <c r="P7" s="129" t="str">
        <f t="shared" ref="P7:P26" si="1">IF(B7="","",IF($BB$3="是",N7,""))</f>
        <v/>
      </c>
      <c r="Q7" s="129" t="str">
        <f>IFERROR((O7-P7)-(M7-N7),"")</f>
        <v/>
      </c>
      <c r="R7" s="129" t="str">
        <f>IFERROR(Q7/(M7-N7)*100,"")</f>
        <v/>
      </c>
      <c r="S7" s="131"/>
      <c r="BA7" s="78"/>
      <c r="BB7" s="132" t="s">
        <v>3556</v>
      </c>
      <c r="BC7" s="133"/>
      <c r="BD7" s="132" t="str">
        <f>IF(OR(B7="",BC7=""),"",COUNTIF(BC$7:BC7,"√"))</f>
        <v/>
      </c>
      <c r="BE7" s="134" t="str">
        <f t="shared" ref="BE7:BE26" si="2">IF(BC7="","",BB7&amp;"︱"&amp;B7&amp;"︱"&amp;TEXT(I7,"#,##0.00"))</f>
        <v/>
      </c>
      <c r="BF7" s="135" t="str">
        <f>IF($B7="","",IF(BF$5=0,"OK","出错"))</f>
        <v/>
      </c>
      <c r="BG7" s="135" t="str">
        <f>IF($B7="","",IF(BG$5=0,"OK","出错"))</f>
        <v/>
      </c>
      <c r="BH7" s="136"/>
      <c r="BI7" s="136"/>
      <c r="BJ7" s="136"/>
      <c r="BK7" s="136"/>
      <c r="BL7" s="136"/>
      <c r="BM7" s="137"/>
      <c r="BN7" s="137"/>
      <c r="BP7" s="134" t="str">
        <f>IF(COUNTIF(BP$6:BP6,C7)&gt;0,"",C7)&amp;""</f>
        <v/>
      </c>
      <c r="BQ7" s="138">
        <f>SUMIF(C$7:C$26,BP7,M$7:M$26)</f>
        <v>0</v>
      </c>
      <c r="BR7" s="132">
        <f t="shared" ref="BR7" si="3">RANK(BQ7,BQ$7:BQ$26)</f>
        <v>1</v>
      </c>
      <c r="BS7" s="138">
        <f>SUMIF(C$7:C$26,BP7,O$7:O$26)</f>
        <v>0</v>
      </c>
      <c r="BT7" s="132">
        <f>RANK(BS7,BS$7:BS$26)</f>
        <v>1</v>
      </c>
      <c r="BU7" s="138">
        <f>SUM(BQ7:BQ26)</f>
        <v>0</v>
      </c>
      <c r="BV7" s="138"/>
      <c r="BW7" s="138"/>
    </row>
    <row r="8" ht="15" customHeight="1" spans="1:75">
      <c r="A8" s="123" t="str">
        <f>IF(B8="","",COUNT(A$6:A7)+1)</f>
        <v/>
      </c>
      <c r="B8" s="139"/>
      <c r="C8" s="141"/>
      <c r="D8" s="140"/>
      <c r="E8" s="142"/>
      <c r="F8" s="127" t="str">
        <f>IFERROR(VLOOKUP(E8,参数表!$H$2:$I$50,2,FALSE),"")</f>
        <v/>
      </c>
      <c r="G8" s="128" t="str">
        <f t="shared" ref="G8:G26" si="4">IFERROR(IF(OR(E8="人民币",E8=""),"",M8/F8),"")</f>
        <v/>
      </c>
      <c r="H8" s="128" t="str">
        <f>IFERROR(IF(OR(E8="人民币",E8=""),"",N8/F8),"")</f>
        <v/>
      </c>
      <c r="I8" s="143"/>
      <c r="J8" s="143"/>
      <c r="K8" s="144"/>
      <c r="L8" s="144"/>
      <c r="M8" s="129" t="str">
        <f t="shared" ref="M8:M26" si="5">IF(B8="","",I8+K8)</f>
        <v/>
      </c>
      <c r="N8" s="129" t="str">
        <f t="shared" ref="N8:N26" si="6">IF(B8="","",J8+L8)</f>
        <v/>
      </c>
      <c r="O8" s="129" t="str">
        <f t="shared" si="0"/>
        <v/>
      </c>
      <c r="P8" s="129" t="str">
        <f t="shared" si="1"/>
        <v/>
      </c>
      <c r="Q8" s="129" t="str">
        <f t="shared" ref="Q8:Q30" si="7">IFERROR((O8-P8)-(M8-N8),"")</f>
        <v/>
      </c>
      <c r="R8" s="129" t="str">
        <f t="shared" ref="R8:R30" si="8">IFERROR(Q8/(M8-N8)*100,"")</f>
        <v/>
      </c>
      <c r="S8" s="145"/>
      <c r="BA8" s="78"/>
      <c r="BB8" s="132" t="s">
        <v>3557</v>
      </c>
      <c r="BC8" s="133"/>
      <c r="BD8" s="132" t="str">
        <f>IF(OR(B8="",BC8=""),"",COUNTIF(BC$7:BC8,"√"))</f>
        <v/>
      </c>
      <c r="BE8" s="134" t="str">
        <f t="shared" si="2"/>
        <v/>
      </c>
      <c r="BF8" s="135" t="str">
        <f t="shared" ref="BF8:BG26" si="9">IF($B8="","",IF(BF$5=0,"OK","出错"))</f>
        <v/>
      </c>
      <c r="BG8" s="135" t="str">
        <f t="shared" si="9"/>
        <v/>
      </c>
      <c r="BH8" s="136"/>
      <c r="BI8" s="136"/>
      <c r="BJ8" s="136"/>
      <c r="BK8" s="136"/>
      <c r="BL8" s="136"/>
      <c r="BM8" s="137"/>
      <c r="BN8" s="137"/>
      <c r="BP8" s="134" t="str">
        <f>IF(COUNTIF(BP$6:BP7,C8)&gt;0,"",C8)&amp;""</f>
        <v/>
      </c>
      <c r="BQ8" s="138">
        <f t="shared" ref="BQ8:BQ26" si="10">SUMIF(C$7:C$26,BP8,M$7:M$26)</f>
        <v>0</v>
      </c>
      <c r="BR8" s="132">
        <f t="shared" ref="BR8:BR26" si="11">RANK(BQ8,BQ$7:BQ$26)</f>
        <v>1</v>
      </c>
      <c r="BS8" s="138">
        <f t="shared" ref="BS8:BS26" si="12">SUMIF(C$7:C$26,BP8,O$7:O$26)</f>
        <v>0</v>
      </c>
      <c r="BT8" s="132">
        <f t="shared" ref="BT8:BT26" si="13">RANK(BS8,BS$7:BS$26)</f>
        <v>1</v>
      </c>
      <c r="BU8" s="138">
        <f>SUM(BS7:BS26)</f>
        <v>0</v>
      </c>
      <c r="BV8" s="138"/>
      <c r="BW8" s="138"/>
    </row>
    <row r="9" ht="15" customHeight="1" spans="1:75">
      <c r="A9" s="123" t="str">
        <f>IF(B9="","",COUNT(A$6:A8)+1)</f>
        <v/>
      </c>
      <c r="B9" s="139"/>
      <c r="C9" s="141"/>
      <c r="D9" s="140"/>
      <c r="E9" s="142"/>
      <c r="F9" s="127" t="str">
        <f>IFERROR(VLOOKUP(E9,参数表!$H$2:$I$50,2,FALSE),"")</f>
        <v/>
      </c>
      <c r="G9" s="128" t="str">
        <f t="shared" si="4"/>
        <v/>
      </c>
      <c r="H9" s="128" t="str">
        <f t="shared" ref="H9:H26" si="14">IFERROR(IF(OR(E9="人民币",E9=""),"",N9/F9),"")</f>
        <v/>
      </c>
      <c r="I9" s="143"/>
      <c r="J9" s="143"/>
      <c r="K9" s="144"/>
      <c r="L9" s="144"/>
      <c r="M9" s="129" t="str">
        <f t="shared" si="5"/>
        <v/>
      </c>
      <c r="N9" s="129" t="str">
        <f t="shared" si="6"/>
        <v/>
      </c>
      <c r="O9" s="129" t="str">
        <f t="shared" si="0"/>
        <v/>
      </c>
      <c r="P9" s="129" t="str">
        <f t="shared" si="1"/>
        <v/>
      </c>
      <c r="Q9" s="129" t="str">
        <f t="shared" si="7"/>
        <v/>
      </c>
      <c r="R9" s="129" t="str">
        <f t="shared" si="8"/>
        <v/>
      </c>
      <c r="S9" s="145"/>
      <c r="BA9" s="78"/>
      <c r="BB9" s="132" t="s">
        <v>3558</v>
      </c>
      <c r="BC9" s="133"/>
      <c r="BD9" s="132" t="str">
        <f>IF(OR(B9="",BC9=""),"",COUNTIF(BC$7:BC9,"√"))</f>
        <v/>
      </c>
      <c r="BE9" s="134" t="str">
        <f t="shared" si="2"/>
        <v/>
      </c>
      <c r="BF9" s="135" t="str">
        <f t="shared" si="9"/>
        <v/>
      </c>
      <c r="BG9" s="135" t="str">
        <f t="shared" si="9"/>
        <v/>
      </c>
      <c r="BH9" s="136"/>
      <c r="BI9" s="136"/>
      <c r="BJ9" s="136"/>
      <c r="BK9" s="136"/>
      <c r="BL9" s="136"/>
      <c r="BM9" s="137"/>
      <c r="BN9" s="137"/>
      <c r="BP9" s="134" t="str">
        <f>IF(COUNTIF(BP$6:BP8,C9)&gt;0,"",C9)&amp;""</f>
        <v/>
      </c>
      <c r="BQ9" s="138">
        <f t="shared" si="10"/>
        <v>0</v>
      </c>
      <c r="BR9" s="132">
        <f t="shared" si="11"/>
        <v>1</v>
      </c>
      <c r="BS9" s="138">
        <f t="shared" si="12"/>
        <v>0</v>
      </c>
      <c r="BT9" s="132">
        <f t="shared" si="13"/>
        <v>1</v>
      </c>
      <c r="BU9" s="132">
        <v>1</v>
      </c>
      <c r="BV9" s="134" t="str">
        <f>IFERROR(INDEX(BP$7:BP$26,MATCH(BU9,IF(BU$7=0,BT$7:BT$26,BR$7:BR$26),0))&amp;"","")</f>
        <v/>
      </c>
      <c r="BW9" s="146" t="str">
        <f>IF(BV10="","",IF(BV11="","和","、"))</f>
        <v/>
      </c>
    </row>
    <row r="10" ht="15" customHeight="1" spans="1:75">
      <c r="A10" s="123" t="str">
        <f>IF(B10="","",COUNT(A$6:A9)+1)</f>
        <v/>
      </c>
      <c r="B10" s="139"/>
      <c r="C10" s="141"/>
      <c r="D10" s="140"/>
      <c r="E10" s="142"/>
      <c r="F10" s="127" t="str">
        <f>IFERROR(VLOOKUP(E10,参数表!$H$2:$I$50,2,FALSE),"")</f>
        <v/>
      </c>
      <c r="G10" s="128" t="str">
        <f t="shared" si="4"/>
        <v/>
      </c>
      <c r="H10" s="128" t="str">
        <f t="shared" si="14"/>
        <v/>
      </c>
      <c r="I10" s="143"/>
      <c r="J10" s="143"/>
      <c r="K10" s="144"/>
      <c r="L10" s="144"/>
      <c r="M10" s="129" t="str">
        <f t="shared" si="5"/>
        <v/>
      </c>
      <c r="N10" s="129" t="str">
        <f t="shared" si="6"/>
        <v/>
      </c>
      <c r="O10" s="129" t="str">
        <f t="shared" si="0"/>
        <v/>
      </c>
      <c r="P10" s="129" t="str">
        <f t="shared" si="1"/>
        <v/>
      </c>
      <c r="Q10" s="129" t="str">
        <f t="shared" si="7"/>
        <v/>
      </c>
      <c r="R10" s="129" t="str">
        <f t="shared" si="8"/>
        <v/>
      </c>
      <c r="S10" s="145"/>
      <c r="BA10" s="78"/>
      <c r="BB10" s="132" t="s">
        <v>3559</v>
      </c>
      <c r="BC10" s="133"/>
      <c r="BD10" s="132" t="str">
        <f>IF(OR(B10="",BC10=""),"",COUNTIF(BC$7:BC10,"√"))</f>
        <v/>
      </c>
      <c r="BE10" s="134" t="str">
        <f t="shared" si="2"/>
        <v/>
      </c>
      <c r="BF10" s="135" t="str">
        <f t="shared" si="9"/>
        <v/>
      </c>
      <c r="BG10" s="135" t="str">
        <f t="shared" si="9"/>
        <v/>
      </c>
      <c r="BH10" s="136"/>
      <c r="BI10" s="136"/>
      <c r="BJ10" s="136"/>
      <c r="BK10" s="136"/>
      <c r="BL10" s="136"/>
      <c r="BM10" s="137"/>
      <c r="BN10" s="137"/>
      <c r="BP10" s="134" t="str">
        <f>IF(COUNTIF(BP$6:BP9,C10)&gt;0,"",C10)&amp;""</f>
        <v/>
      </c>
      <c r="BQ10" s="138">
        <f t="shared" si="10"/>
        <v>0</v>
      </c>
      <c r="BR10" s="132">
        <f t="shared" si="11"/>
        <v>1</v>
      </c>
      <c r="BS10" s="138">
        <f t="shared" si="12"/>
        <v>0</v>
      </c>
      <c r="BT10" s="132">
        <f t="shared" si="13"/>
        <v>1</v>
      </c>
      <c r="BU10" s="132">
        <v>2</v>
      </c>
      <c r="BV10" s="134" t="str">
        <f t="shared" ref="BV10:BV13" si="15">IFERROR(INDEX(BP$7:BP$26,MATCH(BU10,IF(BU$7=0,BT$7:BT$26,BR$7:BR$26),0))&amp;"","")</f>
        <v/>
      </c>
      <c r="BW10" s="146" t="str">
        <f t="shared" ref="BW10:BW11" si="16">IF(BV11="","",IF(BV12="","和","、"))</f>
        <v/>
      </c>
    </row>
    <row r="11" ht="15" customHeight="1" spans="1:75">
      <c r="A11" s="123" t="str">
        <f>IF(B11="","",COUNT(A$6:A10)+1)</f>
        <v/>
      </c>
      <c r="B11" s="139"/>
      <c r="C11" s="141"/>
      <c r="D11" s="140"/>
      <c r="E11" s="142"/>
      <c r="F11" s="127" t="str">
        <f>IFERROR(VLOOKUP(E11,参数表!$H$2:$I$50,2,FALSE),"")</f>
        <v/>
      </c>
      <c r="G11" s="128" t="str">
        <f t="shared" si="4"/>
        <v/>
      </c>
      <c r="H11" s="128" t="str">
        <f t="shared" si="14"/>
        <v/>
      </c>
      <c r="I11" s="143"/>
      <c r="J11" s="143"/>
      <c r="K11" s="144"/>
      <c r="L11" s="144"/>
      <c r="M11" s="129" t="str">
        <f t="shared" si="5"/>
        <v/>
      </c>
      <c r="N11" s="129" t="str">
        <f t="shared" si="6"/>
        <v/>
      </c>
      <c r="O11" s="129" t="str">
        <f t="shared" si="0"/>
        <v/>
      </c>
      <c r="P11" s="129" t="str">
        <f t="shared" si="1"/>
        <v/>
      </c>
      <c r="Q11" s="129" t="str">
        <f t="shared" si="7"/>
        <v/>
      </c>
      <c r="R11" s="129" t="str">
        <f t="shared" si="8"/>
        <v/>
      </c>
      <c r="S11" s="145"/>
      <c r="BA11" s="78"/>
      <c r="BB11" s="132" t="s">
        <v>3560</v>
      </c>
      <c r="BC11" s="133"/>
      <c r="BD11" s="132" t="str">
        <f>IF(OR(B11="",BC11=""),"",COUNTIF(BC$7:BC11,"√"))</f>
        <v/>
      </c>
      <c r="BE11" s="134" t="str">
        <f t="shared" si="2"/>
        <v/>
      </c>
      <c r="BF11" s="135" t="str">
        <f t="shared" si="9"/>
        <v/>
      </c>
      <c r="BG11" s="135" t="str">
        <f t="shared" si="9"/>
        <v/>
      </c>
      <c r="BH11" s="136"/>
      <c r="BI11" s="136"/>
      <c r="BJ11" s="136"/>
      <c r="BK11" s="136"/>
      <c r="BL11" s="136"/>
      <c r="BM11" s="137"/>
      <c r="BN11" s="137"/>
      <c r="BP11" s="134" t="str">
        <f>IF(COUNTIF(BP$6:BP10,C11)&gt;0,"",C11)&amp;""</f>
        <v/>
      </c>
      <c r="BQ11" s="138">
        <f t="shared" si="10"/>
        <v>0</v>
      </c>
      <c r="BR11" s="132">
        <f t="shared" si="11"/>
        <v>1</v>
      </c>
      <c r="BS11" s="138">
        <f t="shared" si="12"/>
        <v>0</v>
      </c>
      <c r="BT11" s="132">
        <f t="shared" si="13"/>
        <v>1</v>
      </c>
      <c r="BU11" s="132">
        <v>3</v>
      </c>
      <c r="BV11" s="134" t="str">
        <f t="shared" si="15"/>
        <v/>
      </c>
      <c r="BW11" s="146" t="str">
        <f t="shared" si="16"/>
        <v/>
      </c>
    </row>
    <row r="12" ht="15" customHeight="1" spans="1:75">
      <c r="A12" s="123" t="str">
        <f>IF(B12="","",COUNT(A$6:A11)+1)</f>
        <v/>
      </c>
      <c r="B12" s="139"/>
      <c r="C12" s="141"/>
      <c r="D12" s="140"/>
      <c r="E12" s="142"/>
      <c r="F12" s="127" t="str">
        <f>IFERROR(VLOOKUP(E12,参数表!$H$2:$I$50,2,FALSE),"")</f>
        <v/>
      </c>
      <c r="G12" s="128" t="str">
        <f t="shared" si="4"/>
        <v/>
      </c>
      <c r="H12" s="128" t="str">
        <f t="shared" si="14"/>
        <v/>
      </c>
      <c r="I12" s="143"/>
      <c r="J12" s="143"/>
      <c r="K12" s="144"/>
      <c r="L12" s="144"/>
      <c r="M12" s="129" t="str">
        <f t="shared" si="5"/>
        <v/>
      </c>
      <c r="N12" s="129" t="str">
        <f t="shared" si="6"/>
        <v/>
      </c>
      <c r="O12" s="129" t="str">
        <f t="shared" si="0"/>
        <v/>
      </c>
      <c r="P12" s="129" t="str">
        <f t="shared" si="1"/>
        <v/>
      </c>
      <c r="Q12" s="129" t="str">
        <f t="shared" si="7"/>
        <v/>
      </c>
      <c r="R12" s="129" t="str">
        <f t="shared" si="8"/>
        <v/>
      </c>
      <c r="S12" s="145"/>
      <c r="BA12" s="78"/>
      <c r="BB12" s="132" t="s">
        <v>3561</v>
      </c>
      <c r="BC12" s="133"/>
      <c r="BD12" s="132" t="str">
        <f>IF(OR(B12="",BC12=""),"",COUNTIF(BC$7:BC12,"√"))</f>
        <v/>
      </c>
      <c r="BE12" s="134" t="str">
        <f t="shared" si="2"/>
        <v/>
      </c>
      <c r="BF12" s="135" t="str">
        <f t="shared" si="9"/>
        <v/>
      </c>
      <c r="BG12" s="135" t="str">
        <f t="shared" si="9"/>
        <v/>
      </c>
      <c r="BH12" s="136"/>
      <c r="BI12" s="136"/>
      <c r="BJ12" s="136"/>
      <c r="BK12" s="136"/>
      <c r="BL12" s="136"/>
      <c r="BM12" s="137"/>
      <c r="BN12" s="137"/>
      <c r="BP12" s="134" t="str">
        <f>IF(COUNTIF(BP$6:BP11,C12)&gt;0,"",C12)&amp;""</f>
        <v/>
      </c>
      <c r="BQ12" s="138">
        <f t="shared" si="10"/>
        <v>0</v>
      </c>
      <c r="BR12" s="132">
        <f t="shared" si="11"/>
        <v>1</v>
      </c>
      <c r="BS12" s="138">
        <f t="shared" si="12"/>
        <v>0</v>
      </c>
      <c r="BT12" s="132">
        <f t="shared" si="13"/>
        <v>1</v>
      </c>
      <c r="BU12" s="132">
        <v>4</v>
      </c>
      <c r="BV12" s="134" t="str">
        <f t="shared" si="15"/>
        <v/>
      </c>
      <c r="BW12" s="146" t="str">
        <f>IF(BV13="","","和")</f>
        <v/>
      </c>
    </row>
    <row r="13" ht="15" customHeight="1" spans="1:75">
      <c r="A13" s="123" t="str">
        <f>IF(B13="","",COUNT(A$6:A12)+1)</f>
        <v/>
      </c>
      <c r="B13" s="139"/>
      <c r="C13" s="141"/>
      <c r="D13" s="140"/>
      <c r="E13" s="142"/>
      <c r="F13" s="127" t="str">
        <f>IFERROR(VLOOKUP(E13,参数表!$H$2:$I$50,2,FALSE),"")</f>
        <v/>
      </c>
      <c r="G13" s="128" t="str">
        <f t="shared" si="4"/>
        <v/>
      </c>
      <c r="H13" s="128" t="str">
        <f t="shared" si="14"/>
        <v/>
      </c>
      <c r="I13" s="143"/>
      <c r="J13" s="143"/>
      <c r="K13" s="144"/>
      <c r="L13" s="144"/>
      <c r="M13" s="129" t="str">
        <f t="shared" si="5"/>
        <v/>
      </c>
      <c r="N13" s="129" t="str">
        <f t="shared" si="6"/>
        <v/>
      </c>
      <c r="O13" s="129" t="str">
        <f t="shared" si="0"/>
        <v/>
      </c>
      <c r="P13" s="129" t="str">
        <f t="shared" si="1"/>
        <v/>
      </c>
      <c r="Q13" s="129" t="str">
        <f t="shared" si="7"/>
        <v/>
      </c>
      <c r="R13" s="129" t="str">
        <f t="shared" si="8"/>
        <v/>
      </c>
      <c r="S13" s="145"/>
      <c r="BA13" s="78"/>
      <c r="BB13" s="132" t="s">
        <v>3562</v>
      </c>
      <c r="BC13" s="133"/>
      <c r="BD13" s="132" t="str">
        <f>IF(OR(B13="",BC13=""),"",COUNTIF(BC$7:BC13,"√"))</f>
        <v/>
      </c>
      <c r="BE13" s="134" t="str">
        <f t="shared" si="2"/>
        <v/>
      </c>
      <c r="BF13" s="135" t="str">
        <f t="shared" si="9"/>
        <v/>
      </c>
      <c r="BG13" s="135" t="str">
        <f t="shared" si="9"/>
        <v/>
      </c>
      <c r="BH13" s="136"/>
      <c r="BI13" s="136"/>
      <c r="BJ13" s="136"/>
      <c r="BK13" s="136"/>
      <c r="BL13" s="136"/>
      <c r="BM13" s="137"/>
      <c r="BN13" s="137"/>
      <c r="BP13" s="134" t="str">
        <f>IF(COUNTIF(BP$6:BP12,C13)&gt;0,"",C13)&amp;""</f>
        <v/>
      </c>
      <c r="BQ13" s="138">
        <f t="shared" si="10"/>
        <v>0</v>
      </c>
      <c r="BR13" s="132">
        <f t="shared" si="11"/>
        <v>1</v>
      </c>
      <c r="BS13" s="138">
        <f t="shared" si="12"/>
        <v>0</v>
      </c>
      <c r="BT13" s="132">
        <f t="shared" si="13"/>
        <v>1</v>
      </c>
      <c r="BU13" s="132">
        <v>5</v>
      </c>
      <c r="BV13" s="134" t="str">
        <f t="shared" si="15"/>
        <v/>
      </c>
      <c r="BW13" s="146"/>
    </row>
    <row r="14" ht="15" customHeight="1" spans="1:75">
      <c r="A14" s="123" t="str">
        <f>IF(B14="","",COUNT(A$6:A13)+1)</f>
        <v/>
      </c>
      <c r="B14" s="139"/>
      <c r="C14" s="141"/>
      <c r="D14" s="140"/>
      <c r="E14" s="142"/>
      <c r="F14" s="127" t="str">
        <f>IFERROR(VLOOKUP(E14,参数表!$H$2:$I$50,2,FALSE),"")</f>
        <v/>
      </c>
      <c r="G14" s="128" t="str">
        <f t="shared" si="4"/>
        <v/>
      </c>
      <c r="H14" s="128" t="str">
        <f t="shared" si="14"/>
        <v/>
      </c>
      <c r="I14" s="143"/>
      <c r="J14" s="143"/>
      <c r="K14" s="144"/>
      <c r="L14" s="144"/>
      <c r="M14" s="129" t="str">
        <f t="shared" si="5"/>
        <v/>
      </c>
      <c r="N14" s="129" t="str">
        <f t="shared" si="6"/>
        <v/>
      </c>
      <c r="O14" s="129" t="str">
        <f t="shared" si="0"/>
        <v/>
      </c>
      <c r="P14" s="129" t="str">
        <f t="shared" si="1"/>
        <v/>
      </c>
      <c r="Q14" s="129" t="str">
        <f t="shared" si="7"/>
        <v/>
      </c>
      <c r="R14" s="129" t="str">
        <f t="shared" si="8"/>
        <v/>
      </c>
      <c r="S14" s="145"/>
      <c r="BA14" s="78"/>
      <c r="BB14" s="132" t="s">
        <v>3563</v>
      </c>
      <c r="BC14" s="133"/>
      <c r="BD14" s="132" t="str">
        <f>IF(OR(B14="",BC14=""),"",COUNTIF(BC$7:BC14,"√"))</f>
        <v/>
      </c>
      <c r="BE14" s="134" t="str">
        <f t="shared" si="2"/>
        <v/>
      </c>
      <c r="BF14" s="135" t="str">
        <f t="shared" si="9"/>
        <v/>
      </c>
      <c r="BG14" s="135" t="str">
        <f t="shared" si="9"/>
        <v/>
      </c>
      <c r="BH14" s="136"/>
      <c r="BI14" s="136"/>
      <c r="BJ14" s="136"/>
      <c r="BK14" s="136"/>
      <c r="BL14" s="136"/>
      <c r="BM14" s="137"/>
      <c r="BN14" s="137"/>
      <c r="BP14" s="134" t="str">
        <f>IF(COUNTIF(BP$6:BP13,C14)&gt;0,"",C14)&amp;""</f>
        <v/>
      </c>
      <c r="BQ14" s="138">
        <f t="shared" si="10"/>
        <v>0</v>
      </c>
      <c r="BR14" s="132">
        <f t="shared" si="11"/>
        <v>1</v>
      </c>
      <c r="BS14" s="138">
        <f t="shared" si="12"/>
        <v>0</v>
      </c>
      <c r="BT14" s="132">
        <f t="shared" si="13"/>
        <v>1</v>
      </c>
      <c r="BU14" s="147" t="s">
        <v>1659</v>
      </c>
      <c r="BV14" s="132" t="str">
        <f>CONCATENATE(BV9,BW9,BV10,BW10,BV11,BW11,BV12,BW12,BV13)</f>
        <v/>
      </c>
      <c r="BW14" s="132"/>
    </row>
    <row r="15" ht="15" customHeight="1" spans="1:75">
      <c r="A15" s="123" t="str">
        <f>IF(B15="","",COUNT(A$6:A14)+1)</f>
        <v/>
      </c>
      <c r="B15" s="139"/>
      <c r="C15" s="141"/>
      <c r="D15" s="140"/>
      <c r="E15" s="142"/>
      <c r="F15" s="127" t="str">
        <f>IFERROR(VLOOKUP(E15,参数表!$H$2:$I$50,2,FALSE),"")</f>
        <v/>
      </c>
      <c r="G15" s="128" t="str">
        <f t="shared" si="4"/>
        <v/>
      </c>
      <c r="H15" s="128" t="str">
        <f t="shared" si="14"/>
        <v/>
      </c>
      <c r="I15" s="143"/>
      <c r="J15" s="143"/>
      <c r="K15" s="144"/>
      <c r="L15" s="144"/>
      <c r="M15" s="129" t="str">
        <f t="shared" si="5"/>
        <v/>
      </c>
      <c r="N15" s="129" t="str">
        <f t="shared" si="6"/>
        <v/>
      </c>
      <c r="O15" s="129" t="str">
        <f t="shared" si="0"/>
        <v/>
      </c>
      <c r="P15" s="129" t="str">
        <f t="shared" si="1"/>
        <v/>
      </c>
      <c r="Q15" s="129" t="str">
        <f t="shared" si="7"/>
        <v/>
      </c>
      <c r="R15" s="129" t="str">
        <f t="shared" si="8"/>
        <v/>
      </c>
      <c r="S15" s="145"/>
      <c r="BA15" s="78"/>
      <c r="BB15" s="132" t="s">
        <v>3564</v>
      </c>
      <c r="BC15" s="133"/>
      <c r="BD15" s="132" t="str">
        <f>IF(OR(B15="",BC15=""),"",COUNTIF(BC$7:BC15,"√"))</f>
        <v/>
      </c>
      <c r="BE15" s="134" t="str">
        <f t="shared" si="2"/>
        <v/>
      </c>
      <c r="BF15" s="135" t="str">
        <f t="shared" si="9"/>
        <v/>
      </c>
      <c r="BG15" s="135" t="str">
        <f t="shared" si="9"/>
        <v/>
      </c>
      <c r="BH15" s="136"/>
      <c r="BI15" s="136"/>
      <c r="BJ15" s="136"/>
      <c r="BK15" s="136"/>
      <c r="BL15" s="136"/>
      <c r="BM15" s="137"/>
      <c r="BN15" s="137"/>
      <c r="BP15" s="134" t="str">
        <f>IF(COUNTIF(BP$6:BP14,C15)&gt;0,"",C15)&amp;""</f>
        <v/>
      </c>
      <c r="BQ15" s="138">
        <f t="shared" si="10"/>
        <v>0</v>
      </c>
      <c r="BR15" s="132">
        <f t="shared" si="11"/>
        <v>1</v>
      </c>
      <c r="BS15" s="138">
        <f t="shared" si="12"/>
        <v>0</v>
      </c>
      <c r="BT15" s="132">
        <f t="shared" si="13"/>
        <v>1</v>
      </c>
      <c r="BU15" s="133"/>
      <c r="BV15" s="133"/>
    </row>
    <row r="16" ht="15" customHeight="1" spans="1:75">
      <c r="A16" s="123" t="str">
        <f>IF(B16="","",COUNT(A$6:A15)+1)</f>
        <v/>
      </c>
      <c r="B16" s="139"/>
      <c r="C16" s="141"/>
      <c r="D16" s="140"/>
      <c r="E16" s="142"/>
      <c r="F16" s="127" t="str">
        <f>IFERROR(VLOOKUP(E16,参数表!$H$2:$I$50,2,FALSE),"")</f>
        <v/>
      </c>
      <c r="G16" s="128" t="str">
        <f t="shared" si="4"/>
        <v/>
      </c>
      <c r="H16" s="128" t="str">
        <f t="shared" si="14"/>
        <v/>
      </c>
      <c r="I16" s="143"/>
      <c r="J16" s="143"/>
      <c r="K16" s="144"/>
      <c r="L16" s="144"/>
      <c r="M16" s="129" t="str">
        <f t="shared" si="5"/>
        <v/>
      </c>
      <c r="N16" s="129" t="str">
        <f t="shared" si="6"/>
        <v/>
      </c>
      <c r="O16" s="129" t="str">
        <f t="shared" si="0"/>
        <v/>
      </c>
      <c r="P16" s="129" t="str">
        <f t="shared" si="1"/>
        <v/>
      </c>
      <c r="Q16" s="129" t="str">
        <f t="shared" si="7"/>
        <v/>
      </c>
      <c r="R16" s="129" t="str">
        <f t="shared" si="8"/>
        <v/>
      </c>
      <c r="S16" s="145"/>
      <c r="BA16" s="78"/>
      <c r="BB16" s="132" t="s">
        <v>3565</v>
      </c>
      <c r="BC16" s="133"/>
      <c r="BD16" s="132" t="str">
        <f>IF(OR(B16="",BC16=""),"",COUNTIF(BC$7:BC16,"√"))</f>
        <v/>
      </c>
      <c r="BE16" s="134" t="str">
        <f t="shared" si="2"/>
        <v/>
      </c>
      <c r="BF16" s="135" t="str">
        <f t="shared" si="9"/>
        <v/>
      </c>
      <c r="BG16" s="135" t="str">
        <f t="shared" si="9"/>
        <v/>
      </c>
      <c r="BH16" s="136"/>
      <c r="BI16" s="136"/>
      <c r="BJ16" s="136"/>
      <c r="BK16" s="136"/>
      <c r="BL16" s="136"/>
      <c r="BM16" s="137"/>
      <c r="BN16" s="137"/>
      <c r="BP16" s="134" t="str">
        <f>IF(COUNTIF(BP$6:BP15,C16)&gt;0,"",C16)&amp;""</f>
        <v/>
      </c>
      <c r="BQ16" s="138">
        <f t="shared" si="10"/>
        <v>0</v>
      </c>
      <c r="BR16" s="132">
        <f t="shared" si="11"/>
        <v>1</v>
      </c>
      <c r="BS16" s="138">
        <f t="shared" si="12"/>
        <v>0</v>
      </c>
      <c r="BT16" s="132">
        <f t="shared" si="13"/>
        <v>1</v>
      </c>
      <c r="BU16" s="133"/>
      <c r="BV16" s="148"/>
    </row>
    <row r="17" ht="15" customHeight="1" spans="1:75">
      <c r="A17" s="123" t="str">
        <f>IF(B17="","",COUNT(A$6:A16)+1)</f>
        <v/>
      </c>
      <c r="B17" s="139"/>
      <c r="C17" s="141"/>
      <c r="D17" s="140"/>
      <c r="E17" s="142"/>
      <c r="F17" s="127" t="str">
        <f>IFERROR(VLOOKUP(E17,参数表!$H$2:$I$50,2,FALSE),"")</f>
        <v/>
      </c>
      <c r="G17" s="128" t="str">
        <f t="shared" si="4"/>
        <v/>
      </c>
      <c r="H17" s="128" t="str">
        <f t="shared" si="14"/>
        <v/>
      </c>
      <c r="I17" s="143"/>
      <c r="J17" s="143"/>
      <c r="K17" s="144"/>
      <c r="L17" s="144"/>
      <c r="M17" s="129" t="str">
        <f t="shared" si="5"/>
        <v/>
      </c>
      <c r="N17" s="129" t="str">
        <f t="shared" si="6"/>
        <v/>
      </c>
      <c r="O17" s="129" t="str">
        <f t="shared" si="0"/>
        <v/>
      </c>
      <c r="P17" s="129" t="str">
        <f t="shared" si="1"/>
        <v/>
      </c>
      <c r="Q17" s="129" t="str">
        <f t="shared" si="7"/>
        <v/>
      </c>
      <c r="R17" s="129" t="str">
        <f t="shared" si="8"/>
        <v/>
      </c>
      <c r="S17" s="145"/>
      <c r="BA17" s="78"/>
      <c r="BB17" s="132" t="s">
        <v>3566</v>
      </c>
      <c r="BC17" s="133"/>
      <c r="BD17" s="132" t="str">
        <f>IF(OR(B17="",BC17=""),"",COUNTIF(BC$7:BC17,"√"))</f>
        <v/>
      </c>
      <c r="BE17" s="134" t="str">
        <f t="shared" si="2"/>
        <v/>
      </c>
      <c r="BF17" s="135" t="str">
        <f t="shared" si="9"/>
        <v/>
      </c>
      <c r="BG17" s="135" t="str">
        <f t="shared" si="9"/>
        <v/>
      </c>
      <c r="BH17" s="136"/>
      <c r="BI17" s="136"/>
      <c r="BJ17" s="136"/>
      <c r="BK17" s="136"/>
      <c r="BL17" s="136"/>
      <c r="BM17" s="137"/>
      <c r="BN17" s="137"/>
      <c r="BP17" s="134" t="str">
        <f>IF(COUNTIF(BP$6:BP16,C17)&gt;0,"",C17)&amp;""</f>
        <v/>
      </c>
      <c r="BQ17" s="138">
        <f t="shared" si="10"/>
        <v>0</v>
      </c>
      <c r="BR17" s="132">
        <f t="shared" si="11"/>
        <v>1</v>
      </c>
      <c r="BS17" s="138">
        <f t="shared" si="12"/>
        <v>0</v>
      </c>
      <c r="BT17" s="132">
        <f t="shared" si="13"/>
        <v>1</v>
      </c>
      <c r="BU17" s="133"/>
      <c r="BV17" s="133"/>
    </row>
    <row r="18" ht="15" customHeight="1" spans="1:75">
      <c r="A18" s="123" t="str">
        <f>IF(B18="","",COUNT(A$6:A17)+1)</f>
        <v/>
      </c>
      <c r="B18" s="139"/>
      <c r="C18" s="141"/>
      <c r="D18" s="140"/>
      <c r="E18" s="142"/>
      <c r="F18" s="127" t="str">
        <f>IFERROR(VLOOKUP(E18,参数表!$H$2:$I$50,2,FALSE),"")</f>
        <v/>
      </c>
      <c r="G18" s="128" t="str">
        <f t="shared" si="4"/>
        <v/>
      </c>
      <c r="H18" s="128" t="str">
        <f t="shared" si="14"/>
        <v/>
      </c>
      <c r="I18" s="143"/>
      <c r="J18" s="143"/>
      <c r="K18" s="144"/>
      <c r="L18" s="144"/>
      <c r="M18" s="129" t="str">
        <f t="shared" si="5"/>
        <v/>
      </c>
      <c r="N18" s="129" t="str">
        <f t="shared" si="6"/>
        <v/>
      </c>
      <c r="O18" s="129" t="str">
        <f t="shared" si="0"/>
        <v/>
      </c>
      <c r="P18" s="129" t="str">
        <f t="shared" si="1"/>
        <v/>
      </c>
      <c r="Q18" s="129" t="str">
        <f t="shared" si="7"/>
        <v/>
      </c>
      <c r="R18" s="129" t="str">
        <f t="shared" si="8"/>
        <v/>
      </c>
      <c r="S18" s="145"/>
      <c r="BA18" s="78"/>
      <c r="BB18" s="132" t="s">
        <v>3567</v>
      </c>
      <c r="BC18" s="133"/>
      <c r="BD18" s="132" t="str">
        <f>IF(OR(B18="",BC18=""),"",COUNTIF(BC$7:BC18,"√"))</f>
        <v/>
      </c>
      <c r="BE18" s="134" t="str">
        <f t="shared" si="2"/>
        <v/>
      </c>
      <c r="BF18" s="135" t="str">
        <f t="shared" si="9"/>
        <v/>
      </c>
      <c r="BG18" s="135" t="str">
        <f t="shared" si="9"/>
        <v/>
      </c>
      <c r="BH18" s="136"/>
      <c r="BI18" s="136"/>
      <c r="BJ18" s="136"/>
      <c r="BK18" s="136"/>
      <c r="BL18" s="136"/>
      <c r="BM18" s="137"/>
      <c r="BN18" s="137"/>
      <c r="BP18" s="134" t="str">
        <f>IF(COUNTIF(BP$6:BP17,C18)&gt;0,"",C18)&amp;""</f>
        <v/>
      </c>
      <c r="BQ18" s="138">
        <f t="shared" si="10"/>
        <v>0</v>
      </c>
      <c r="BR18" s="132">
        <f t="shared" si="11"/>
        <v>1</v>
      </c>
      <c r="BS18" s="138">
        <f t="shared" si="12"/>
        <v>0</v>
      </c>
      <c r="BT18" s="132">
        <f t="shared" si="13"/>
        <v>1</v>
      </c>
      <c r="BU18" s="133"/>
      <c r="BV18" s="133"/>
    </row>
    <row r="19" ht="15" customHeight="1" spans="1:75">
      <c r="A19" s="123" t="str">
        <f>IF(B19="","",COUNT(A$6:A18)+1)</f>
        <v/>
      </c>
      <c r="B19" s="139"/>
      <c r="C19" s="141"/>
      <c r="D19" s="140"/>
      <c r="E19" s="142"/>
      <c r="F19" s="127" t="str">
        <f>IFERROR(VLOOKUP(E19,参数表!$H$2:$I$50,2,FALSE),"")</f>
        <v/>
      </c>
      <c r="G19" s="128" t="str">
        <f t="shared" si="4"/>
        <v/>
      </c>
      <c r="H19" s="128" t="str">
        <f t="shared" si="14"/>
        <v/>
      </c>
      <c r="I19" s="143"/>
      <c r="J19" s="143"/>
      <c r="K19" s="144"/>
      <c r="L19" s="144"/>
      <c r="M19" s="129" t="str">
        <f t="shared" si="5"/>
        <v/>
      </c>
      <c r="N19" s="129" t="str">
        <f t="shared" si="6"/>
        <v/>
      </c>
      <c r="O19" s="129" t="str">
        <f t="shared" si="0"/>
        <v/>
      </c>
      <c r="P19" s="129" t="str">
        <f t="shared" si="1"/>
        <v/>
      </c>
      <c r="Q19" s="129" t="str">
        <f t="shared" si="7"/>
        <v/>
      </c>
      <c r="R19" s="129" t="str">
        <f t="shared" si="8"/>
        <v/>
      </c>
      <c r="S19" s="145"/>
      <c r="BA19" s="78"/>
      <c r="BB19" s="132" t="s">
        <v>3568</v>
      </c>
      <c r="BC19" s="133"/>
      <c r="BD19" s="132" t="str">
        <f>IF(OR(B19="",BC19=""),"",COUNTIF(BC$7:BC19,"√"))</f>
        <v/>
      </c>
      <c r="BE19" s="134" t="str">
        <f t="shared" si="2"/>
        <v/>
      </c>
      <c r="BF19" s="135" t="str">
        <f t="shared" si="9"/>
        <v/>
      </c>
      <c r="BG19" s="135" t="str">
        <f t="shared" si="9"/>
        <v/>
      </c>
      <c r="BH19" s="136"/>
      <c r="BI19" s="136"/>
      <c r="BJ19" s="136"/>
      <c r="BK19" s="136"/>
      <c r="BL19" s="136"/>
      <c r="BM19" s="137"/>
      <c r="BN19" s="137"/>
      <c r="BP19" s="134" t="str">
        <f>IF(COUNTIF(BP$6:BP18,C19)&gt;0,"",C19)&amp;""</f>
        <v/>
      </c>
      <c r="BQ19" s="138">
        <f t="shared" si="10"/>
        <v>0</v>
      </c>
      <c r="BR19" s="132">
        <f t="shared" si="11"/>
        <v>1</v>
      </c>
      <c r="BS19" s="138">
        <f t="shared" si="12"/>
        <v>0</v>
      </c>
      <c r="BT19" s="132">
        <f t="shared" si="13"/>
        <v>1</v>
      </c>
      <c r="BU19" s="133"/>
      <c r="BV19" s="133"/>
    </row>
    <row r="20" ht="15" customHeight="1" spans="1:75">
      <c r="A20" s="123" t="str">
        <f>IF(B20="","",COUNT(A$6:A19)+1)</f>
        <v/>
      </c>
      <c r="B20" s="139"/>
      <c r="C20" s="141"/>
      <c r="D20" s="140"/>
      <c r="E20" s="142"/>
      <c r="F20" s="127" t="str">
        <f>IFERROR(VLOOKUP(E20,参数表!$H$2:$I$50,2,FALSE),"")</f>
        <v/>
      </c>
      <c r="G20" s="128" t="str">
        <f t="shared" si="4"/>
        <v/>
      </c>
      <c r="H20" s="128" t="str">
        <f t="shared" si="14"/>
        <v/>
      </c>
      <c r="I20" s="143"/>
      <c r="J20" s="143"/>
      <c r="K20" s="144"/>
      <c r="L20" s="144"/>
      <c r="M20" s="129" t="str">
        <f t="shared" si="5"/>
        <v/>
      </c>
      <c r="N20" s="129" t="str">
        <f t="shared" si="6"/>
        <v/>
      </c>
      <c r="O20" s="129" t="str">
        <f t="shared" si="0"/>
        <v/>
      </c>
      <c r="P20" s="129" t="str">
        <f t="shared" si="1"/>
        <v/>
      </c>
      <c r="Q20" s="129" t="str">
        <f t="shared" si="7"/>
        <v/>
      </c>
      <c r="R20" s="129" t="str">
        <f t="shared" si="8"/>
        <v/>
      </c>
      <c r="S20" s="145"/>
      <c r="BA20" s="78"/>
      <c r="BB20" s="132" t="s">
        <v>3569</v>
      </c>
      <c r="BC20" s="133"/>
      <c r="BD20" s="132" t="str">
        <f>IF(OR(B20="",BC20=""),"",COUNTIF(BC$7:BC20,"√"))</f>
        <v/>
      </c>
      <c r="BE20" s="134" t="str">
        <f t="shared" si="2"/>
        <v/>
      </c>
      <c r="BF20" s="135" t="str">
        <f t="shared" si="9"/>
        <v/>
      </c>
      <c r="BG20" s="135" t="str">
        <f t="shared" si="9"/>
        <v/>
      </c>
      <c r="BH20" s="136"/>
      <c r="BI20" s="136"/>
      <c r="BJ20" s="136"/>
      <c r="BK20" s="136"/>
      <c r="BL20" s="136"/>
      <c r="BM20" s="137"/>
      <c r="BN20" s="137"/>
      <c r="BP20" s="134" t="str">
        <f>IF(COUNTIF(BP$6:BP19,C20)&gt;0,"",C20)&amp;""</f>
        <v/>
      </c>
      <c r="BQ20" s="138">
        <f t="shared" si="10"/>
        <v>0</v>
      </c>
      <c r="BR20" s="132">
        <f t="shared" si="11"/>
        <v>1</v>
      </c>
      <c r="BS20" s="138">
        <f t="shared" si="12"/>
        <v>0</v>
      </c>
      <c r="BT20" s="132">
        <f t="shared" si="13"/>
        <v>1</v>
      </c>
      <c r="BU20" s="133"/>
      <c r="BV20" s="133"/>
    </row>
    <row r="21" ht="15" customHeight="1" spans="1:75">
      <c r="A21" s="123" t="str">
        <f>IF(B21="","",COUNT(A$6:A20)+1)</f>
        <v/>
      </c>
      <c r="B21" s="139"/>
      <c r="C21" s="141"/>
      <c r="D21" s="140"/>
      <c r="E21" s="142"/>
      <c r="F21" s="127" t="str">
        <f>IFERROR(VLOOKUP(E21,参数表!$H$2:$I$50,2,FALSE),"")</f>
        <v/>
      </c>
      <c r="G21" s="128" t="str">
        <f t="shared" si="4"/>
        <v/>
      </c>
      <c r="H21" s="128" t="str">
        <f t="shared" si="14"/>
        <v/>
      </c>
      <c r="I21" s="143"/>
      <c r="J21" s="143"/>
      <c r="K21" s="144"/>
      <c r="L21" s="144"/>
      <c r="M21" s="129" t="str">
        <f t="shared" si="5"/>
        <v/>
      </c>
      <c r="N21" s="129" t="str">
        <f t="shared" si="6"/>
        <v/>
      </c>
      <c r="O21" s="129" t="str">
        <f t="shared" si="0"/>
        <v/>
      </c>
      <c r="P21" s="129" t="str">
        <f t="shared" si="1"/>
        <v/>
      </c>
      <c r="Q21" s="129" t="str">
        <f t="shared" si="7"/>
        <v/>
      </c>
      <c r="R21" s="129" t="str">
        <f t="shared" si="8"/>
        <v/>
      </c>
      <c r="S21" s="145"/>
      <c r="BA21" s="78"/>
      <c r="BB21" s="132" t="s">
        <v>3570</v>
      </c>
      <c r="BC21" s="133"/>
      <c r="BD21" s="132" t="str">
        <f>IF(OR(B21="",BC21=""),"",COUNTIF(BC$7:BC21,"√"))</f>
        <v/>
      </c>
      <c r="BE21" s="134" t="str">
        <f t="shared" si="2"/>
        <v/>
      </c>
      <c r="BF21" s="135" t="str">
        <f t="shared" si="9"/>
        <v/>
      </c>
      <c r="BG21" s="135" t="str">
        <f t="shared" si="9"/>
        <v/>
      </c>
      <c r="BH21" s="136"/>
      <c r="BI21" s="136"/>
      <c r="BJ21" s="136"/>
      <c r="BK21" s="136"/>
      <c r="BL21" s="136"/>
      <c r="BM21" s="137"/>
      <c r="BN21" s="137"/>
      <c r="BP21" s="134" t="str">
        <f>IF(COUNTIF(BP$6:BP20,C21)&gt;0,"",C21)&amp;""</f>
        <v/>
      </c>
      <c r="BQ21" s="138">
        <f t="shared" si="10"/>
        <v>0</v>
      </c>
      <c r="BR21" s="132">
        <f t="shared" si="11"/>
        <v>1</v>
      </c>
      <c r="BS21" s="138">
        <f t="shared" si="12"/>
        <v>0</v>
      </c>
      <c r="BT21" s="132">
        <f t="shared" si="13"/>
        <v>1</v>
      </c>
      <c r="BU21" s="133"/>
      <c r="BV21" s="133"/>
    </row>
    <row r="22" ht="15" customHeight="1" spans="1:75">
      <c r="A22" s="123" t="str">
        <f>IF(B22="","",COUNT(A$6:A21)+1)</f>
        <v/>
      </c>
      <c r="B22" s="139"/>
      <c r="C22" s="141"/>
      <c r="D22" s="140"/>
      <c r="E22" s="142"/>
      <c r="F22" s="127" t="str">
        <f>IFERROR(VLOOKUP(E22,参数表!$H$2:$I$50,2,FALSE),"")</f>
        <v/>
      </c>
      <c r="G22" s="128" t="str">
        <f t="shared" si="4"/>
        <v/>
      </c>
      <c r="H22" s="128" t="str">
        <f t="shared" si="14"/>
        <v/>
      </c>
      <c r="I22" s="219"/>
      <c r="J22" s="219"/>
      <c r="K22" s="985"/>
      <c r="L22" s="985"/>
      <c r="M22" s="129" t="str">
        <f t="shared" si="5"/>
        <v/>
      </c>
      <c r="N22" s="129" t="str">
        <f t="shared" si="6"/>
        <v/>
      </c>
      <c r="O22" s="129" t="str">
        <f t="shared" si="0"/>
        <v/>
      </c>
      <c r="P22" s="129" t="str">
        <f t="shared" si="1"/>
        <v/>
      </c>
      <c r="Q22" s="129" t="str">
        <f t="shared" si="7"/>
        <v/>
      </c>
      <c r="R22" s="129" t="str">
        <f t="shared" si="8"/>
        <v/>
      </c>
      <c r="S22" s="145"/>
      <c r="BA22" s="78"/>
      <c r="BB22" s="132" t="s">
        <v>3571</v>
      </c>
      <c r="BC22" s="133"/>
      <c r="BD22" s="132" t="str">
        <f>IF(OR(B22="",BC22=""),"",COUNTIF(BC$7:BC22,"√"))</f>
        <v/>
      </c>
      <c r="BE22" s="134" t="str">
        <f t="shared" si="2"/>
        <v/>
      </c>
      <c r="BF22" s="135" t="str">
        <f t="shared" si="9"/>
        <v/>
      </c>
      <c r="BG22" s="135" t="str">
        <f t="shared" si="9"/>
        <v/>
      </c>
      <c r="BH22" s="136"/>
      <c r="BI22" s="136"/>
      <c r="BJ22" s="136"/>
      <c r="BK22" s="136"/>
      <c r="BL22" s="136"/>
      <c r="BM22" s="137"/>
      <c r="BN22" s="137"/>
      <c r="BP22" s="134" t="str">
        <f>IF(COUNTIF(BP$6:BP21,C22)&gt;0,"",C22)&amp;""</f>
        <v/>
      </c>
      <c r="BQ22" s="138">
        <f t="shared" si="10"/>
        <v>0</v>
      </c>
      <c r="BR22" s="132">
        <f t="shared" si="11"/>
        <v>1</v>
      </c>
      <c r="BS22" s="138">
        <f t="shared" si="12"/>
        <v>0</v>
      </c>
      <c r="BT22" s="132">
        <f t="shared" si="13"/>
        <v>1</v>
      </c>
      <c r="BU22" s="133"/>
      <c r="BV22" s="133"/>
    </row>
    <row r="23" ht="15" customHeight="1" spans="1:75">
      <c r="A23" s="123" t="str">
        <f>IF(B23="","",COUNT(A$6:A22)+1)</f>
        <v/>
      </c>
      <c r="B23" s="139"/>
      <c r="C23" s="141"/>
      <c r="D23" s="140"/>
      <c r="E23" s="142"/>
      <c r="F23" s="127" t="str">
        <f>IFERROR(VLOOKUP(E23,参数表!$H$2:$I$50,2,FALSE),"")</f>
        <v/>
      </c>
      <c r="G23" s="128" t="str">
        <f t="shared" si="4"/>
        <v/>
      </c>
      <c r="H23" s="128" t="str">
        <f t="shared" si="14"/>
        <v/>
      </c>
      <c r="I23" s="219"/>
      <c r="J23" s="219"/>
      <c r="K23" s="985"/>
      <c r="L23" s="985"/>
      <c r="M23" s="129" t="str">
        <f t="shared" si="5"/>
        <v/>
      </c>
      <c r="N23" s="129" t="str">
        <f t="shared" si="6"/>
        <v/>
      </c>
      <c r="O23" s="129" t="str">
        <f t="shared" si="0"/>
        <v/>
      </c>
      <c r="P23" s="129" t="str">
        <f t="shared" si="1"/>
        <v/>
      </c>
      <c r="Q23" s="129" t="str">
        <f t="shared" si="7"/>
        <v/>
      </c>
      <c r="R23" s="129" t="str">
        <f t="shared" si="8"/>
        <v/>
      </c>
      <c r="S23" s="145"/>
      <c r="BA23" s="78"/>
      <c r="BB23" s="132" t="s">
        <v>3572</v>
      </c>
      <c r="BC23" s="133"/>
      <c r="BD23" s="132" t="str">
        <f>IF(OR(B23="",BC23=""),"",COUNTIF(BC$7:BC23,"√"))</f>
        <v/>
      </c>
      <c r="BE23" s="134" t="str">
        <f t="shared" si="2"/>
        <v/>
      </c>
      <c r="BF23" s="135" t="str">
        <f t="shared" si="9"/>
        <v/>
      </c>
      <c r="BG23" s="135" t="str">
        <f t="shared" si="9"/>
        <v/>
      </c>
      <c r="BH23" s="136"/>
      <c r="BI23" s="136"/>
      <c r="BJ23" s="136"/>
      <c r="BK23" s="136"/>
      <c r="BL23" s="136"/>
      <c r="BM23" s="137"/>
      <c r="BN23" s="137"/>
      <c r="BP23" s="134" t="str">
        <f>IF(COUNTIF(BP$6:BP22,C23)&gt;0,"",C23)&amp;""</f>
        <v/>
      </c>
      <c r="BQ23" s="138">
        <f t="shared" si="10"/>
        <v>0</v>
      </c>
      <c r="BR23" s="132">
        <f t="shared" si="11"/>
        <v>1</v>
      </c>
      <c r="BS23" s="138">
        <f t="shared" si="12"/>
        <v>0</v>
      </c>
      <c r="BT23" s="132">
        <f t="shared" si="13"/>
        <v>1</v>
      </c>
      <c r="BU23" s="133"/>
      <c r="BV23" s="133"/>
    </row>
    <row r="24" ht="15" customHeight="1" spans="1:75">
      <c r="A24" s="123" t="str">
        <f>IF(B24="","",COUNT(A$6:A23)+1)</f>
        <v/>
      </c>
      <c r="B24" s="139"/>
      <c r="C24" s="141"/>
      <c r="D24" s="140"/>
      <c r="E24" s="142"/>
      <c r="F24" s="127" t="str">
        <f>IFERROR(VLOOKUP(E24,参数表!$H$2:$I$50,2,FALSE),"")</f>
        <v/>
      </c>
      <c r="G24" s="128" t="str">
        <f t="shared" si="4"/>
        <v/>
      </c>
      <c r="H24" s="128" t="str">
        <f t="shared" si="14"/>
        <v/>
      </c>
      <c r="I24" s="219"/>
      <c r="J24" s="219"/>
      <c r="K24" s="985"/>
      <c r="L24" s="985"/>
      <c r="M24" s="129" t="str">
        <f t="shared" si="5"/>
        <v/>
      </c>
      <c r="N24" s="129" t="str">
        <f t="shared" si="6"/>
        <v/>
      </c>
      <c r="O24" s="129" t="str">
        <f t="shared" si="0"/>
        <v/>
      </c>
      <c r="P24" s="129" t="str">
        <f t="shared" si="1"/>
        <v/>
      </c>
      <c r="Q24" s="129" t="str">
        <f t="shared" si="7"/>
        <v/>
      </c>
      <c r="R24" s="129" t="str">
        <f t="shared" si="8"/>
        <v/>
      </c>
      <c r="S24" s="145"/>
      <c r="BA24" s="78"/>
      <c r="BB24" s="132" t="s">
        <v>3573</v>
      </c>
      <c r="BC24" s="133"/>
      <c r="BD24" s="132" t="str">
        <f>IF(OR(B24="",BC24=""),"",COUNTIF(BC$7:BC24,"√"))</f>
        <v/>
      </c>
      <c r="BE24" s="134" t="str">
        <f t="shared" si="2"/>
        <v/>
      </c>
      <c r="BF24" s="135" t="str">
        <f t="shared" si="9"/>
        <v/>
      </c>
      <c r="BG24" s="135" t="str">
        <f t="shared" si="9"/>
        <v/>
      </c>
      <c r="BH24" s="136"/>
      <c r="BI24" s="136"/>
      <c r="BJ24" s="136"/>
      <c r="BK24" s="136"/>
      <c r="BL24" s="136"/>
      <c r="BM24" s="137"/>
      <c r="BN24" s="137"/>
      <c r="BP24" s="134" t="str">
        <f>IF(COUNTIF(BP$6:BP23,C24)&gt;0,"",C24)&amp;""</f>
        <v/>
      </c>
      <c r="BQ24" s="138">
        <f t="shared" si="10"/>
        <v>0</v>
      </c>
      <c r="BR24" s="132">
        <f t="shared" si="11"/>
        <v>1</v>
      </c>
      <c r="BS24" s="138">
        <f t="shared" si="12"/>
        <v>0</v>
      </c>
      <c r="BT24" s="132">
        <f t="shared" si="13"/>
        <v>1</v>
      </c>
      <c r="BU24" s="133"/>
      <c r="BV24" s="133"/>
    </row>
    <row r="25" ht="15" customHeight="1" spans="1:75">
      <c r="A25" s="123" t="str">
        <f>IF(B25="","",COUNT(A$6:A24)+1)</f>
        <v/>
      </c>
      <c r="B25" s="139"/>
      <c r="C25" s="141"/>
      <c r="D25" s="140"/>
      <c r="E25" s="142"/>
      <c r="F25" s="127" t="str">
        <f>IFERROR(VLOOKUP(E25,参数表!$H$2:$I$50,2,FALSE),"")</f>
        <v/>
      </c>
      <c r="G25" s="128" t="str">
        <f t="shared" si="4"/>
        <v/>
      </c>
      <c r="H25" s="128" t="str">
        <f t="shared" si="14"/>
        <v/>
      </c>
      <c r="I25" s="219"/>
      <c r="J25" s="219"/>
      <c r="K25" s="985"/>
      <c r="L25" s="985"/>
      <c r="M25" s="129" t="str">
        <f t="shared" si="5"/>
        <v/>
      </c>
      <c r="N25" s="129" t="str">
        <f t="shared" si="6"/>
        <v/>
      </c>
      <c r="O25" s="129" t="str">
        <f t="shared" si="0"/>
        <v/>
      </c>
      <c r="P25" s="129" t="str">
        <f t="shared" si="1"/>
        <v/>
      </c>
      <c r="Q25" s="129" t="str">
        <f t="shared" si="7"/>
        <v/>
      </c>
      <c r="R25" s="129" t="str">
        <f t="shared" si="8"/>
        <v/>
      </c>
      <c r="S25" s="145"/>
      <c r="BA25" s="78"/>
      <c r="BB25" s="132" t="s">
        <v>3574</v>
      </c>
      <c r="BC25" s="133"/>
      <c r="BD25" s="132" t="str">
        <f>IF(OR(B25="",BC25=""),"",COUNTIF(BC$7:BC25,"√"))</f>
        <v/>
      </c>
      <c r="BE25" s="134" t="str">
        <f t="shared" si="2"/>
        <v/>
      </c>
      <c r="BF25" s="135" t="str">
        <f t="shared" si="9"/>
        <v/>
      </c>
      <c r="BG25" s="135" t="str">
        <f t="shared" si="9"/>
        <v/>
      </c>
      <c r="BH25" s="136"/>
      <c r="BI25" s="136"/>
      <c r="BJ25" s="136"/>
      <c r="BK25" s="136"/>
      <c r="BL25" s="136"/>
      <c r="BM25" s="137"/>
      <c r="BN25" s="137"/>
      <c r="BP25" s="134" t="str">
        <f>IF(COUNTIF(BP$6:BP24,C25)&gt;0,"",C25)&amp;""</f>
        <v/>
      </c>
      <c r="BQ25" s="138">
        <f t="shared" si="10"/>
        <v>0</v>
      </c>
      <c r="BR25" s="132">
        <f t="shared" si="11"/>
        <v>1</v>
      </c>
      <c r="BS25" s="138">
        <f t="shared" si="12"/>
        <v>0</v>
      </c>
      <c r="BT25" s="132">
        <f t="shared" si="13"/>
        <v>1</v>
      </c>
      <c r="BU25" s="133"/>
      <c r="BV25" s="133"/>
    </row>
    <row r="26" ht="15" customHeight="1" spans="1:75">
      <c r="A26" s="123" t="str">
        <f>IF(B26="","",COUNT(A$6:A25)+1)</f>
        <v/>
      </c>
      <c r="B26" s="124"/>
      <c r="C26" s="126"/>
      <c r="D26" s="125"/>
      <c r="E26" s="127"/>
      <c r="F26" s="127" t="str">
        <f>IFERROR(VLOOKUP(E26,参数表!$H$2:$I$50,2,FALSE),"")</f>
        <v/>
      </c>
      <c r="G26" s="128" t="str">
        <f t="shared" si="4"/>
        <v/>
      </c>
      <c r="H26" s="128" t="str">
        <f t="shared" si="14"/>
        <v/>
      </c>
      <c r="I26" s="129"/>
      <c r="J26" s="129"/>
      <c r="K26" s="130"/>
      <c r="L26" s="130"/>
      <c r="M26" s="129" t="str">
        <f t="shared" si="5"/>
        <v/>
      </c>
      <c r="N26" s="129" t="str">
        <f t="shared" si="6"/>
        <v/>
      </c>
      <c r="O26" s="129" t="str">
        <f t="shared" si="0"/>
        <v/>
      </c>
      <c r="P26" s="129" t="str">
        <f t="shared" si="1"/>
        <v/>
      </c>
      <c r="Q26" s="129" t="str">
        <f t="shared" si="7"/>
        <v/>
      </c>
      <c r="R26" s="129" t="str">
        <f t="shared" si="8"/>
        <v/>
      </c>
      <c r="S26" s="131"/>
      <c r="BA26" s="78"/>
      <c r="BB26" s="132" t="s">
        <v>3575</v>
      </c>
      <c r="BC26" s="133"/>
      <c r="BD26" s="132" t="str">
        <f>IF(OR(B26="",BC26=""),"",COUNTIF(BC$7:BC26,"√"))</f>
        <v/>
      </c>
      <c r="BE26" s="134" t="str">
        <f t="shared" si="2"/>
        <v/>
      </c>
      <c r="BF26" s="135" t="str">
        <f t="shared" si="9"/>
        <v/>
      </c>
      <c r="BG26" s="135" t="str">
        <f t="shared" si="9"/>
        <v/>
      </c>
      <c r="BH26" s="136"/>
      <c r="BI26" s="136"/>
      <c r="BJ26" s="136"/>
      <c r="BK26" s="136"/>
      <c r="BL26" s="136"/>
      <c r="BM26" s="137"/>
      <c r="BN26" s="137"/>
      <c r="BP26" s="134" t="str">
        <f>IF(COUNTIF(BP$6:BP25,C26)&gt;0,"",C26)&amp;""</f>
        <v/>
      </c>
      <c r="BQ26" s="138">
        <f t="shared" si="10"/>
        <v>0</v>
      </c>
      <c r="BR26" s="132">
        <f t="shared" si="11"/>
        <v>1</v>
      </c>
      <c r="BS26" s="138">
        <f t="shared" si="12"/>
        <v>0</v>
      </c>
      <c r="BT26" s="132">
        <f t="shared" si="13"/>
        <v>1</v>
      </c>
      <c r="BU26" s="133"/>
      <c r="BV26" s="133"/>
    </row>
    <row r="27" s="73" customFormat="1" ht="15" customHeight="1" spans="1:75">
      <c r="A27" s="221" t="s">
        <v>1954</v>
      </c>
      <c r="B27" s="221"/>
      <c r="C27" s="149"/>
      <c r="D27" s="356"/>
      <c r="E27" s="151"/>
      <c r="F27" s="151"/>
      <c r="G27" s="151"/>
      <c r="H27" s="151"/>
      <c r="I27" s="152">
        <f>SUM(I7:I26)</f>
        <v>0</v>
      </c>
      <c r="J27" s="152">
        <f>SUM(J7:J26)</f>
        <v>0</v>
      </c>
      <c r="K27" s="153"/>
      <c r="L27" s="153"/>
      <c r="M27" s="152">
        <f>SUM(M7:M26)</f>
        <v>0</v>
      </c>
      <c r="N27" s="152">
        <f>SUM(N7:N26)</f>
        <v>0</v>
      </c>
      <c r="O27" s="152">
        <f>SUM(O7:O26)</f>
        <v>0</v>
      </c>
      <c r="P27" s="152">
        <f>SUM(P7:P26)</f>
        <v>0</v>
      </c>
      <c r="Q27" s="152">
        <f t="shared" si="7"/>
        <v>0</v>
      </c>
      <c r="R27" s="152" t="str">
        <f t="shared" si="8"/>
        <v/>
      </c>
      <c r="S27" s="151"/>
      <c r="BH27" s="72"/>
      <c r="BI27" s="72"/>
      <c r="BJ27" s="72"/>
      <c r="BK27" s="72"/>
      <c r="BL27" s="72"/>
      <c r="BO27" s="111"/>
      <c r="BP27" s="119"/>
      <c r="BQ27" s="77"/>
      <c r="BR27" s="77"/>
      <c r="BS27" s="77"/>
      <c r="BT27" s="119"/>
      <c r="BU27" s="119"/>
      <c r="BV27" s="119"/>
      <c r="BW27" s="111"/>
    </row>
    <row r="28" ht="15" customHeight="1" spans="1:75">
      <c r="A28" s="124" t="s">
        <v>1955</v>
      </c>
      <c r="B28" s="124"/>
      <c r="C28" s="126"/>
      <c r="D28" s="125"/>
      <c r="E28" s="131"/>
      <c r="F28" s="131"/>
      <c r="G28" s="131"/>
      <c r="H28" s="131"/>
      <c r="I28" s="129">
        <f>J27</f>
        <v>0</v>
      </c>
      <c r="J28" s="129"/>
      <c r="K28" s="130"/>
      <c r="L28" s="130"/>
      <c r="M28" s="129">
        <f>N27</f>
        <v>0</v>
      </c>
      <c r="N28" s="129"/>
      <c r="O28" s="129">
        <v>0</v>
      </c>
      <c r="P28" s="129"/>
      <c r="Q28" s="129">
        <f t="shared" si="7"/>
        <v>0</v>
      </c>
      <c r="R28" s="129" t="str">
        <f t="shared" si="8"/>
        <v/>
      </c>
      <c r="S28" s="131"/>
    </row>
    <row r="29" ht="15" customHeight="1" spans="1:75">
      <c r="A29" s="124" t="s">
        <v>1956</v>
      </c>
      <c r="B29" s="124"/>
      <c r="C29" s="126"/>
      <c r="D29" s="125"/>
      <c r="E29" s="131"/>
      <c r="F29" s="131"/>
      <c r="G29" s="131"/>
      <c r="H29" s="131"/>
      <c r="I29" s="129"/>
      <c r="J29" s="129"/>
      <c r="K29" s="130"/>
      <c r="L29" s="130"/>
      <c r="M29" s="129"/>
      <c r="N29" s="129"/>
      <c r="O29" s="129">
        <f>IF($BB$3="是",P27,0)</f>
        <v>0</v>
      </c>
      <c r="P29" s="129"/>
      <c r="Q29" s="129">
        <f t="shared" si="7"/>
        <v>0</v>
      </c>
      <c r="R29" s="129" t="str">
        <f t="shared" si="8"/>
        <v/>
      </c>
      <c r="S29" s="131"/>
    </row>
    <row r="30" s="73" customFormat="1" ht="15" customHeight="1" spans="1:75">
      <c r="A30" s="221" t="s">
        <v>1957</v>
      </c>
      <c r="B30" s="221"/>
      <c r="C30" s="151"/>
      <c r="D30" s="356"/>
      <c r="E30" s="151"/>
      <c r="F30" s="151"/>
      <c r="G30" s="151"/>
      <c r="H30" s="151"/>
      <c r="I30" s="152">
        <f>I27-I28-I29</f>
        <v>0</v>
      </c>
      <c r="J30" s="152"/>
      <c r="K30" s="153"/>
      <c r="L30" s="153"/>
      <c r="M30" s="152">
        <f>M27-M28-M29</f>
        <v>0</v>
      </c>
      <c r="N30" s="152"/>
      <c r="O30" s="152">
        <f>O27-O28-O29</f>
        <v>0</v>
      </c>
      <c r="P30" s="152"/>
      <c r="Q30" s="152">
        <f t="shared" si="7"/>
        <v>0</v>
      </c>
      <c r="R30" s="152" t="str">
        <f t="shared" si="8"/>
        <v/>
      </c>
      <c r="S30" s="151"/>
      <c r="BH30" s="72"/>
      <c r="BI30" s="72"/>
      <c r="BJ30" s="72"/>
      <c r="BK30" s="72"/>
      <c r="BL30" s="72"/>
      <c r="BO30" s="77"/>
      <c r="BP30" s="78"/>
      <c r="BQ30" s="77"/>
      <c r="BR30" s="78"/>
      <c r="BS30" s="78"/>
      <c r="BT30" s="78"/>
      <c r="BU30" s="78"/>
      <c r="BV30" s="78"/>
      <c r="BW30" s="77"/>
    </row>
    <row r="31" s="73" customFormat="1" ht="15" customHeight="1" spans="1:75">
      <c r="A31" s="102" t="str">
        <f>参数表!F$6</f>
        <v>产权持有单位填表人：贾广东</v>
      </c>
      <c r="B31" s="518"/>
      <c r="C31" s="986"/>
      <c r="D31" s="987"/>
      <c r="E31" s="154"/>
      <c r="F31" s="154"/>
      <c r="G31" s="154"/>
      <c r="H31" s="154"/>
      <c r="I31" s="988"/>
      <c r="J31" s="988"/>
      <c r="K31" s="989"/>
      <c r="L31" s="989"/>
      <c r="M31" s="990"/>
      <c r="N31" s="990"/>
      <c r="O31" s="103" t="str">
        <f>"评估人员："&amp;封面!$G$36</f>
        <v>评估人员：</v>
      </c>
      <c r="P31" s="103"/>
      <c r="Q31" s="990"/>
      <c r="R31" s="990"/>
      <c r="S31" s="991"/>
      <c r="BH31" s="72"/>
      <c r="BI31" s="72"/>
      <c r="BJ31" s="72"/>
      <c r="BK31" s="72"/>
      <c r="BL31" s="72"/>
      <c r="BO31" s="77"/>
      <c r="BP31" s="78"/>
      <c r="BQ31" s="77"/>
      <c r="BR31" s="78"/>
      <c r="BS31" s="78"/>
      <c r="BT31" s="78"/>
      <c r="BU31" s="78"/>
      <c r="BV31" s="78"/>
      <c r="BW31" s="77"/>
    </row>
    <row r="32" s="73" customFormat="1" ht="15" customHeight="1" spans="1:75">
      <c r="A32" s="102" t="str">
        <f>参数表!F$7</f>
        <v>填表日期：2025年9月20日</v>
      </c>
      <c r="B32" s="518"/>
      <c r="C32" s="986"/>
      <c r="D32" s="987"/>
      <c r="E32" s="154"/>
      <c r="F32" s="154"/>
      <c r="G32" s="154"/>
      <c r="H32" s="154"/>
      <c r="I32" s="988"/>
      <c r="J32" s="988"/>
      <c r="K32" s="989"/>
      <c r="L32" s="989"/>
      <c r="M32" s="990"/>
      <c r="N32" s="990"/>
      <c r="O32" s="990"/>
      <c r="P32" s="990"/>
      <c r="Q32" s="990"/>
      <c r="R32" s="990"/>
      <c r="S32" s="991"/>
      <c r="BH32" s="72"/>
      <c r="BI32" s="72"/>
      <c r="BJ32" s="72"/>
      <c r="BK32" s="72"/>
      <c r="BL32" s="72"/>
      <c r="BO32" s="77"/>
      <c r="BP32" s="78"/>
      <c r="BQ32" s="77"/>
      <c r="BR32" s="78"/>
      <c r="BS32" s="78"/>
      <c r="BT32" s="78"/>
      <c r="BU32" s="78"/>
      <c r="BV32" s="78"/>
      <c r="BW32" s="77"/>
    </row>
    <row r="33" customHeight="1" spans="1:64">
      <c r="A33" s="157"/>
      <c r="B33" s="992" t="s">
        <v>2011</v>
      </c>
      <c r="C33" s="942" t="s">
        <v>2012</v>
      </c>
      <c r="D33" s="158"/>
      <c r="E33" s="158"/>
      <c r="F33" s="158"/>
      <c r="G33" s="158"/>
      <c r="H33" s="158"/>
      <c r="I33" s="158"/>
      <c r="J33" s="158"/>
      <c r="K33" s="164"/>
      <c r="L33" s="164"/>
    </row>
    <row r="34" customHeight="1" spans="1:64">
      <c r="A34" s="157"/>
      <c r="B34" s="259"/>
      <c r="C34" s="942" t="s">
        <v>2013</v>
      </c>
      <c r="D34" s="158"/>
      <c r="E34" s="158"/>
      <c r="F34" s="158"/>
      <c r="G34" s="158"/>
      <c r="H34" s="158"/>
      <c r="I34" s="158"/>
      <c r="J34" s="158"/>
      <c r="K34" s="164"/>
      <c r="L34" s="164"/>
    </row>
    <row r="35" customHeight="1" spans="1:64">
      <c r="A35" s="157"/>
      <c r="B35" s="259"/>
      <c r="C35" s="942" t="s">
        <v>2014</v>
      </c>
      <c r="D35" s="158"/>
      <c r="E35" s="158"/>
      <c r="F35" s="158"/>
      <c r="G35" s="158"/>
      <c r="H35" s="158"/>
      <c r="I35" s="158"/>
      <c r="J35" s="158"/>
      <c r="K35" s="164"/>
      <c r="L35" s="164"/>
    </row>
    <row r="36" hidden="1" customHeight="1" outlineLevel="1" spans="1:64">
      <c r="A36" s="157"/>
      <c r="B36" s="154" t="s">
        <v>1673</v>
      </c>
      <c r="C36" s="158"/>
      <c r="D36" s="158"/>
      <c r="E36" s="158"/>
      <c r="F36" s="158"/>
      <c r="G36" s="158"/>
      <c r="H36" s="158"/>
      <c r="I36" s="159">
        <f>SUMIF($BA7:$BA26,$BA36,I7:I26)</f>
        <v>0</v>
      </c>
      <c r="J36" s="159">
        <f>SUMIF($BA7:$BA26,$BA36,J7:J26)</f>
        <v>0</v>
      </c>
      <c r="K36" s="160"/>
      <c r="L36" s="160"/>
      <c r="M36" s="159">
        <f>SUMIF($BA7:$BA26,$BA36,M7:M26)</f>
        <v>0</v>
      </c>
      <c r="N36" s="159">
        <f>SUMIF($BA7:$BA26,$BA36,N7:N26)</f>
        <v>0</v>
      </c>
      <c r="O36" s="159">
        <f>SUMIF($BA7:$BA26,$BA36,O7:O26)</f>
        <v>0</v>
      </c>
      <c r="P36" s="159">
        <f>SUMIF($BA7:$BA26,$BA36,P7:P26)</f>
        <v>0</v>
      </c>
      <c r="BA36" s="161" t="s">
        <v>1674</v>
      </c>
      <c r="BH36" s="95" t="s">
        <v>1675</v>
      </c>
      <c r="BI36" s="95" t="s">
        <v>1675</v>
      </c>
      <c r="BJ36" s="95" t="s">
        <v>1675</v>
      </c>
      <c r="BK36" s="95" t="s">
        <v>1674</v>
      </c>
      <c r="BL36" s="95" t="s">
        <v>1674</v>
      </c>
    </row>
    <row r="37" hidden="1" customHeight="1" outlineLevel="1" spans="1:64">
      <c r="A37" s="157"/>
      <c r="B37" s="154" t="s">
        <v>1676</v>
      </c>
      <c r="C37" s="158"/>
      <c r="D37" s="158"/>
      <c r="E37" s="158"/>
      <c r="F37" s="158"/>
      <c r="G37" s="158"/>
      <c r="H37" s="158"/>
      <c r="I37" s="159">
        <f>I27-I36</f>
        <v>0</v>
      </c>
      <c r="J37" s="159">
        <f>J27-J36</f>
        <v>0</v>
      </c>
      <c r="K37" s="160"/>
      <c r="L37" s="160"/>
      <c r="M37" s="159">
        <f>M27-M36</f>
        <v>0</v>
      </c>
      <c r="N37" s="159">
        <f>N27-N36</f>
        <v>0</v>
      </c>
      <c r="O37" s="159">
        <f>O27-O36</f>
        <v>0</v>
      </c>
      <c r="P37" s="159">
        <f>P27-P36</f>
        <v>0</v>
      </c>
      <c r="BA37" s="161" t="s">
        <v>1677</v>
      </c>
      <c r="BH37" s="95" t="s">
        <v>1678</v>
      </c>
      <c r="BI37" s="95" t="s">
        <v>1678</v>
      </c>
      <c r="BJ37" s="95" t="s">
        <v>1678</v>
      </c>
      <c r="BK37" s="95" t="s">
        <v>1677</v>
      </c>
      <c r="BL37" s="95" t="s">
        <v>1677</v>
      </c>
    </row>
    <row r="38" customHeight="1" collapsed="1" spans="1:64">
      <c r="A38" s="157"/>
      <c r="B38" s="158"/>
      <c r="C38" s="158"/>
      <c r="D38" s="158"/>
      <c r="E38" s="158"/>
      <c r="F38" s="158"/>
      <c r="G38" s="158"/>
      <c r="H38" s="158"/>
      <c r="I38" s="158"/>
      <c r="J38" s="158"/>
      <c r="K38" s="164"/>
      <c r="L38" s="164"/>
    </row>
    <row r="39" customHeight="1" spans="1:64">
      <c r="A39" s="157"/>
      <c r="B39" s="158"/>
      <c r="C39" s="158"/>
      <c r="D39" s="158"/>
      <c r="E39" s="158"/>
      <c r="F39" s="158"/>
      <c r="G39" s="158"/>
      <c r="H39" s="158"/>
      <c r="I39" s="158"/>
      <c r="J39" s="158"/>
      <c r="K39" s="164"/>
      <c r="L39" s="164"/>
    </row>
    <row r="40" customHeight="1" spans="1:64">
      <c r="A40" s="157"/>
      <c r="B40" s="158"/>
      <c r="C40" s="158"/>
      <c r="D40" s="158"/>
      <c r="I40" s="158"/>
      <c r="J40" s="158"/>
      <c r="K40" s="164"/>
      <c r="L40" s="164"/>
    </row>
    <row r="41" customHeight="1" spans="1:64">
      <c r="A41" s="157"/>
      <c r="B41" s="158"/>
      <c r="C41" s="158"/>
      <c r="D41" s="158"/>
      <c r="I41" s="158"/>
      <c r="J41" s="158"/>
      <c r="K41" s="164"/>
      <c r="L41" s="164"/>
    </row>
    <row r="42" customHeight="1" spans="1:64">
      <c r="A42" s="157"/>
      <c r="B42" s="158"/>
      <c r="C42" s="158"/>
      <c r="D42" s="158"/>
      <c r="I42" s="158"/>
      <c r="J42" s="158"/>
      <c r="K42" s="164"/>
      <c r="L42" s="164"/>
    </row>
  </sheetData>
  <sheetProtection autoFilter="0"/>
  <mergeCells count="9">
    <mergeCell ref="A2:S2"/>
    <mergeCell ref="A3:S3"/>
    <mergeCell ref="BU7:BW7"/>
    <mergeCell ref="BU8:BW8"/>
    <mergeCell ref="BV14:BW14"/>
    <mergeCell ref="A27:B27"/>
    <mergeCell ref="A28:B28"/>
    <mergeCell ref="A29:B29"/>
    <mergeCell ref="A30:B30"/>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5" stopIfTrue="1">
      <formula>AND($B7&lt;&gt;"",BH7="")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6:BA37">
      <formula1>"是,否"</formula1>
    </dataValidation>
    <dataValidation type="list" allowBlank="1" showInputMessage="1" showErrorMessage="1" sqref="BC7:BC26">
      <formula1>"  ,√"</formula1>
    </dataValidation>
    <dataValidation type="list" allowBlank="1" showInputMessage="1" showErrorMessage="1" sqref="BH7:BL26">
      <formula1>BH$36:BH$37</formula1>
    </dataValidation>
  </dataValidations>
  <hyperlinks>
    <hyperlink ref="A1" location="索引目录!D32" display="返回索引页"/>
    <hyperlink ref="B1" location="非流动资产评估汇总!B15" display="返回 "/>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8"/>
  <dimension ref="A1:CE39"/>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20.2" style="75" customWidth="1"/>
    <col min="3" max="3" width="8.6" style="75" customWidth="1"/>
    <col min="4" max="4" width="6.6" style="75" customWidth="1"/>
    <col min="5" max="5" width="13.6" style="75" customWidth="1"/>
    <col min="6" max="6" width="6.6" style="75" customWidth="1"/>
    <col min="7" max="8" width="4.6" style="75" customWidth="1" outlineLevel="1"/>
    <col min="9" max="9" width="6.1" style="75" customWidth="1" outlineLevel="1"/>
    <col min="10" max="10" width="13.6" style="75" customWidth="1" outlineLevel="1"/>
    <col min="11" max="11" width="13.6" style="76" customWidth="1" outlineLevel="1"/>
    <col min="12" max="13" width="13.6" style="75" customWidth="1"/>
    <col min="14" max="16" width="8.6" style="75" customWidth="1"/>
    <col min="17" max="52" width="9" style="75" hidden="1" customWidth="1" outlineLevel="1"/>
    <col min="53" max="53" width="14.7" style="75" customWidth="1" collapsed="1"/>
    <col min="54" max="54" width="6.7" style="75" customWidth="1"/>
    <col min="55" max="56" width="5.1" style="75" customWidth="1"/>
    <col min="57" max="57" width="8.7" style="75" customWidth="1"/>
    <col min="58" max="59" width="10.6" style="75" customWidth="1"/>
    <col min="60" max="61" width="5" style="165" customWidth="1"/>
    <col min="62" max="63" width="5.1" style="165" customWidth="1"/>
    <col min="64" max="64" width="6.7" style="165" customWidth="1"/>
    <col min="65" max="65" width="10.3" style="75" customWidth="1"/>
    <col min="66" max="72" width="8.7" style="75" customWidth="1"/>
    <col min="73" max="74" width="9" style="75"/>
    <col min="75" max="75" width="1.6" style="77" customWidth="1"/>
    <col min="76" max="76" width="10.6" style="78" customWidth="1"/>
    <col min="77" max="77" width="10.6" style="77" customWidth="1"/>
    <col min="78" max="78" width="4.6" style="78" customWidth="1"/>
    <col min="79" max="79" width="10.6" style="78" customWidth="1"/>
    <col min="80" max="81" width="4.6" style="78" customWidth="1"/>
    <col min="82" max="82" width="10.6" style="78" customWidth="1"/>
    <col min="83" max="83" width="5" style="77" customWidth="1"/>
    <col min="84" max="16384" width="9" style="75"/>
  </cols>
  <sheetData>
    <row r="1" s="86" customFormat="1" ht="13.8" spans="1:83">
      <c r="A1" s="203" t="s">
        <v>1591</v>
      </c>
      <c r="B1" s="204" t="s">
        <v>1592</v>
      </c>
      <c r="C1" s="82"/>
      <c r="D1" s="82"/>
      <c r="E1" s="82"/>
      <c r="F1" s="82"/>
      <c r="G1" s="82"/>
      <c r="H1" s="82"/>
      <c r="I1" s="82"/>
      <c r="J1" s="82"/>
      <c r="K1" s="205"/>
      <c r="L1" s="82"/>
      <c r="M1" s="82"/>
      <c r="N1" s="82"/>
      <c r="O1" s="82"/>
      <c r="P1" s="82"/>
      <c r="BA1" s="84" t="str">
        <f>参数表!BA1</f>
        <v>注意：补充特殊事项、作价等均从BA列开始填写</v>
      </c>
      <c r="BB1" s="85"/>
      <c r="BH1" s="82"/>
      <c r="BI1" s="82"/>
      <c r="BJ1" s="82"/>
      <c r="BK1" s="82"/>
      <c r="BL1" s="82"/>
      <c r="BW1" s="87"/>
      <c r="BX1" s="88"/>
      <c r="BY1" s="87"/>
      <c r="BZ1" s="88"/>
      <c r="CA1" s="88"/>
      <c r="CB1" s="88"/>
      <c r="CC1" s="88"/>
      <c r="CD1" s="88"/>
      <c r="CE1" s="87"/>
    </row>
    <row r="2" s="71" customFormat="1" ht="30" customHeight="1" spans="1:83">
      <c r="A2" s="89" t="s">
        <v>3576</v>
      </c>
      <c r="B2" s="89"/>
      <c r="C2" s="89"/>
      <c r="D2" s="89"/>
      <c r="E2" s="89"/>
      <c r="F2" s="89"/>
      <c r="G2" s="89"/>
      <c r="H2" s="89"/>
      <c r="I2" s="89"/>
      <c r="J2" s="89"/>
      <c r="K2" s="89"/>
      <c r="L2" s="89"/>
      <c r="M2" s="89"/>
      <c r="N2" s="89"/>
      <c r="O2" s="89"/>
      <c r="P2" s="89"/>
      <c r="BA2" s="90" t="str">
        <f>参数表!BA2</f>
        <v>评估基准日：</v>
      </c>
      <c r="BB2" s="91" t="str">
        <f>参数表!BB2</f>
        <v>2025年7月31日</v>
      </c>
      <c r="BH2" s="171"/>
      <c r="BI2" s="171"/>
      <c r="BJ2" s="171"/>
      <c r="BK2" s="171"/>
      <c r="BL2" s="171"/>
      <c r="BW2" s="92"/>
      <c r="BX2" s="93"/>
      <c r="BY2" s="92"/>
      <c r="BZ2" s="93"/>
      <c r="CA2" s="93"/>
      <c r="CB2" s="93"/>
      <c r="CC2" s="93"/>
      <c r="CD2" s="93"/>
      <c r="CE2" s="92"/>
    </row>
    <row r="3" ht="15" customHeight="1" spans="1:83">
      <c r="A3" s="94" t="str">
        <f>参数表!F5</f>
        <v>评估基准日：2025年7月31日</v>
      </c>
      <c r="B3" s="94"/>
      <c r="C3" s="94"/>
      <c r="D3" s="94"/>
      <c r="E3" s="94"/>
      <c r="F3" s="94"/>
      <c r="G3" s="94"/>
      <c r="H3" s="94"/>
      <c r="I3" s="94"/>
      <c r="J3" s="94"/>
      <c r="K3" s="94"/>
      <c r="L3" s="94"/>
      <c r="M3" s="95"/>
      <c r="N3" s="95"/>
      <c r="O3" s="95"/>
      <c r="P3" s="95"/>
      <c r="Q3" s="165"/>
      <c r="R3" s="165"/>
      <c r="BA3" s="90" t="str">
        <f>参数表!BA3</f>
        <v>是否显示评估值：</v>
      </c>
      <c r="BB3" s="90" t="str">
        <f>参数表!$BB$3</f>
        <v>是</v>
      </c>
    </row>
    <row r="4" ht="15" customHeight="1" spans="1:83">
      <c r="A4" s="96"/>
      <c r="B4" s="94"/>
      <c r="C4" s="94"/>
      <c r="D4" s="94"/>
      <c r="E4" s="94"/>
      <c r="F4" s="94"/>
      <c r="G4" s="94"/>
      <c r="H4" s="94"/>
      <c r="I4" s="94"/>
      <c r="J4" s="94"/>
      <c r="K4" s="97"/>
      <c r="L4" s="94"/>
      <c r="M4" s="95"/>
      <c r="N4" s="95"/>
      <c r="O4" s="98"/>
      <c r="P4" s="98" t="str">
        <f>"表"&amp;$BA4</f>
        <v>表4-6</v>
      </c>
      <c r="Q4" s="165"/>
      <c r="R4" s="165"/>
      <c r="BA4" s="274" t="str">
        <f>非流动资总!A12</f>
        <v>4-6</v>
      </c>
      <c r="BB4" s="100">
        <f>MAX(COUNTA(A7:A26),COUNTA(B7:B26),COUNTA(J7:J26),COUNTA(L7:L26))</f>
        <v>20</v>
      </c>
      <c r="BC4" s="101">
        <f>ROW(A6)+1</f>
        <v>7</v>
      </c>
      <c r="BD4" s="77"/>
      <c r="BE4" s="77"/>
      <c r="BY4" s="78"/>
    </row>
    <row r="5" ht="15" customHeight="1" spans="1:83">
      <c r="A5" s="102" t="str">
        <f>参数表!F3</f>
        <v>产权持有单位:中煤第五建设有限公司</v>
      </c>
      <c r="B5" s="103"/>
      <c r="C5" s="103"/>
      <c r="D5" s="103"/>
      <c r="E5" s="103"/>
      <c r="F5" s="103"/>
      <c r="G5" s="103"/>
      <c r="H5" s="103"/>
      <c r="I5" s="103"/>
      <c r="J5" s="103"/>
      <c r="K5" s="104"/>
      <c r="L5" s="103"/>
      <c r="M5" s="103"/>
      <c r="N5" s="103"/>
      <c r="O5" s="103"/>
      <c r="P5" s="98" t="s">
        <v>236</v>
      </c>
      <c r="BA5" s="103"/>
      <c r="BB5" s="105" t="str">
        <f ca="1">判断表!C57</f>
        <v>中煤第五建设有限公司第三工程处拟处置实物资产项目\[0000-3基础法明细表.xlsx]股权投资</v>
      </c>
      <c r="BC5" s="106">
        <f>IFERROR(SUMIF(BC7:BC26,"√",L7:L26)/L27,0)</f>
        <v>0</v>
      </c>
      <c r="BD5" s="107"/>
      <c r="BE5" s="107"/>
      <c r="BF5" s="177">
        <f>分类汇总!I28</f>
        <v>0</v>
      </c>
      <c r="BG5" s="177">
        <f>分类汇总!K28</f>
        <v>0</v>
      </c>
      <c r="BW5" s="111"/>
      <c r="BY5" s="78"/>
      <c r="CD5" s="194"/>
      <c r="CE5" s="111"/>
    </row>
    <row r="6" s="72" customFormat="1" ht="24.75" customHeight="1" spans="1:83">
      <c r="A6" s="112" t="s">
        <v>305</v>
      </c>
      <c r="B6" s="113" t="s">
        <v>1741</v>
      </c>
      <c r="C6" s="113" t="s">
        <v>1743</v>
      </c>
      <c r="D6" s="118" t="s">
        <v>3577</v>
      </c>
      <c r="E6" s="113" t="s">
        <v>3491</v>
      </c>
      <c r="F6" s="118" t="s">
        <v>277</v>
      </c>
      <c r="G6" s="114" t="s">
        <v>1631</v>
      </c>
      <c r="H6" s="115" t="s">
        <v>1632</v>
      </c>
      <c r="I6" s="115" t="s">
        <v>1633</v>
      </c>
      <c r="J6" s="113" t="s">
        <v>1549</v>
      </c>
      <c r="K6" s="117" t="s">
        <v>1634</v>
      </c>
      <c r="L6" s="118" t="s">
        <v>1523</v>
      </c>
      <c r="M6" s="113" t="s">
        <v>1550</v>
      </c>
      <c r="N6" s="113" t="s">
        <v>1525</v>
      </c>
      <c r="O6" s="113" t="s">
        <v>1551</v>
      </c>
      <c r="P6" s="113"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91" t="s">
        <v>3578</v>
      </c>
      <c r="BP6" s="185" t="s">
        <v>3579</v>
      </c>
      <c r="BQ6" s="185" t="s">
        <v>3580</v>
      </c>
      <c r="BR6" s="185" t="s">
        <v>3581</v>
      </c>
      <c r="BS6" s="185" t="s">
        <v>3582</v>
      </c>
      <c r="BT6" s="185" t="s">
        <v>3583</v>
      </c>
      <c r="BU6" s="584" t="s">
        <v>3584</v>
      </c>
      <c r="BV6" s="584" t="s">
        <v>3585</v>
      </c>
      <c r="BW6" s="119"/>
      <c r="BX6" s="120" t="s">
        <v>1645</v>
      </c>
      <c r="BY6" s="121" t="s">
        <v>1646</v>
      </c>
      <c r="BZ6" s="121" t="s">
        <v>1647</v>
      </c>
      <c r="CA6" s="121" t="s">
        <v>1648</v>
      </c>
      <c r="CB6" s="121" t="s">
        <v>1647</v>
      </c>
      <c r="CC6" s="121" t="s">
        <v>1647</v>
      </c>
      <c r="CD6" s="121" t="s">
        <v>1649</v>
      </c>
      <c r="CE6" s="122" t="s">
        <v>1650</v>
      </c>
    </row>
    <row r="7" ht="15" customHeight="1" spans="1:83">
      <c r="A7" s="123" t="str">
        <f>IF(B7="","",COUNT(A$6:A6)+1)</f>
        <v/>
      </c>
      <c r="B7" s="124"/>
      <c r="C7" s="125"/>
      <c r="D7" s="126"/>
      <c r="E7" s="353"/>
      <c r="F7" s="979"/>
      <c r="G7" s="127"/>
      <c r="H7" s="127" t="str">
        <f>IFERROR(VLOOKUP(G7,参数表!$H$2:$I$50,2,FALSE),"")</f>
        <v/>
      </c>
      <c r="I7" s="128" t="str">
        <f>IFERROR(IF(OR(G7="人民币",G7=""),"",L7/H7),"")</f>
        <v/>
      </c>
      <c r="J7" s="129"/>
      <c r="K7" s="130"/>
      <c r="L7" s="129" t="str">
        <f t="shared" ref="L7:L26" si="0">IF(B7="","",J7+K7)</f>
        <v/>
      </c>
      <c r="M7" s="129" t="str">
        <f t="shared" ref="M7:M26" si="1">IF(B7="","",IF($BB$3="是",(SUMIF(BP$6:BT$6,BO7,BP7:BT7)+BU7)*F7-BV7,0))</f>
        <v/>
      </c>
      <c r="N7" s="129" t="str">
        <f>IFERROR(M7-L7,"")</f>
        <v/>
      </c>
      <c r="O7" s="129" t="str">
        <f>IFERROR(N7/L7*100,"")</f>
        <v/>
      </c>
      <c r="P7" s="131"/>
      <c r="BA7" s="78"/>
      <c r="BB7" s="132" t="s">
        <v>3586</v>
      </c>
      <c r="BC7" s="133"/>
      <c r="BD7" s="132" t="str">
        <f>IF(OR(B7="",BC7=""),"",COUNTIF(BC$7:BC7,"√"))</f>
        <v/>
      </c>
      <c r="BE7" s="134" t="str">
        <f t="shared" ref="BE7:BE26" si="2">IF(BC7="","",BB7&amp;"︱"&amp;B7&amp;"︱"&amp;TEXT(J7,"#,##0.00"))</f>
        <v/>
      </c>
      <c r="BF7" s="135" t="str">
        <f>IF($B7="","",IF(BF$5=0,"OK","出错"))</f>
        <v/>
      </c>
      <c r="BG7" s="135" t="str">
        <f>IF($B7="","",IF(BG$5=0,"OK","出错"))</f>
        <v/>
      </c>
      <c r="BH7" s="136"/>
      <c r="BI7" s="136"/>
      <c r="BJ7" s="136"/>
      <c r="BK7" s="136"/>
      <c r="BL7" s="136"/>
      <c r="BM7" s="137"/>
      <c r="BN7" s="137"/>
      <c r="BO7" s="165" t="s">
        <v>3587</v>
      </c>
      <c r="BX7" s="134" t="str">
        <f>IF(COUNTIF(BX$6:BX6,B7)&gt;0,"",B7)&amp;""</f>
        <v/>
      </c>
      <c r="BY7" s="138">
        <f>SUMIF(B$7:B$26,BX7,L$7:L$26)</f>
        <v>0</v>
      </c>
      <c r="BZ7" s="132">
        <f t="shared" ref="BZ7" si="3">RANK(BY7,BY$7:BY$26)</f>
        <v>1</v>
      </c>
      <c r="CA7" s="138">
        <f>SUMIF(B$7:B$26,BX7,M$7:M$26)</f>
        <v>0</v>
      </c>
      <c r="CB7" s="132">
        <f>RANK(CA7,CA$7:CA$26)</f>
        <v>1</v>
      </c>
      <c r="CC7" s="138">
        <f>SUM(BY7:BY26)</f>
        <v>0</v>
      </c>
      <c r="CD7" s="138"/>
      <c r="CE7" s="138"/>
    </row>
    <row r="8" ht="15" customHeight="1" spans="1:83">
      <c r="A8" s="123" t="str">
        <f>IF(B8="","",COUNT(A$6:A7)+1)</f>
        <v/>
      </c>
      <c r="B8" s="139"/>
      <c r="C8" s="140"/>
      <c r="D8" s="141"/>
      <c r="E8" s="980"/>
      <c r="F8" s="981"/>
      <c r="G8" s="142"/>
      <c r="H8" s="127" t="str">
        <f>IFERROR(VLOOKUP(G8,参数表!$H$2:$I$50,2,FALSE),"")</f>
        <v/>
      </c>
      <c r="I8" s="128" t="str">
        <f t="shared" ref="I8:I26" si="4">IFERROR(IF(OR(G8="人民币",G8=""),"",L8/H8),"")</f>
        <v/>
      </c>
      <c r="J8" s="143"/>
      <c r="K8" s="144"/>
      <c r="L8" s="129" t="str">
        <f t="shared" si="0"/>
        <v/>
      </c>
      <c r="M8" s="129" t="str">
        <f t="shared" si="1"/>
        <v/>
      </c>
      <c r="N8" s="129" t="str">
        <f t="shared" ref="N8:N29" si="5">IFERROR(M8-L8,"")</f>
        <v/>
      </c>
      <c r="O8" s="129" t="str">
        <f t="shared" ref="O8:O29" si="6">IFERROR(N8/L8*100,"")</f>
        <v/>
      </c>
      <c r="P8" s="145"/>
      <c r="BA8" s="78"/>
      <c r="BB8" s="132" t="s">
        <v>3588</v>
      </c>
      <c r="BC8" s="133"/>
      <c r="BD8" s="132" t="str">
        <f>IF(OR(B8="",BC8=""),"",COUNTIF(BC$7:BC8,"√"))</f>
        <v/>
      </c>
      <c r="BE8" s="134" t="str">
        <f t="shared" si="2"/>
        <v/>
      </c>
      <c r="BF8" s="135" t="str">
        <f t="shared" ref="BF8:BG26" si="7">IF($B8="","",IF(BF$5=0,"OK","出错"))</f>
        <v/>
      </c>
      <c r="BG8" s="135" t="str">
        <f t="shared" si="7"/>
        <v/>
      </c>
      <c r="BH8" s="136"/>
      <c r="BI8" s="136"/>
      <c r="BJ8" s="136"/>
      <c r="BK8" s="136"/>
      <c r="BL8" s="136"/>
      <c r="BM8" s="137"/>
      <c r="BN8" s="137"/>
      <c r="BO8" s="165" t="s">
        <v>3587</v>
      </c>
      <c r="BX8" s="134" t="str">
        <f>IF(COUNTIF(BX$6:BX7,B8)&gt;0,"",B8)&amp;""</f>
        <v/>
      </c>
      <c r="BY8" s="138">
        <f t="shared" ref="BY8:BY26" si="8">SUMIF(B$7:B$26,BX8,L$7:L$26)</f>
        <v>0</v>
      </c>
      <c r="BZ8" s="132">
        <f t="shared" ref="BZ8:BZ26" si="9">RANK(BY8,BY$7:BY$26)</f>
        <v>1</v>
      </c>
      <c r="CA8" s="138">
        <f t="shared" ref="CA8:CA26" si="10">SUMIF(B$7:B$26,BX8,M$7:M$26)</f>
        <v>0</v>
      </c>
      <c r="CB8" s="132">
        <f t="shared" ref="CB8:CB26" si="11">RANK(CA8,CA$7:CA$26)</f>
        <v>1</v>
      </c>
      <c r="CC8" s="138">
        <f>SUM(CA7:CA26)</f>
        <v>0</v>
      </c>
      <c r="CD8" s="138"/>
      <c r="CE8" s="138"/>
    </row>
    <row r="9" ht="15" customHeight="1" spans="1:83">
      <c r="A9" s="123" t="str">
        <f>IF(B9="","",COUNT(A$6:A8)+1)</f>
        <v/>
      </c>
      <c r="B9" s="139"/>
      <c r="C9" s="140"/>
      <c r="D9" s="141"/>
      <c r="E9" s="980"/>
      <c r="F9" s="981"/>
      <c r="G9" s="142"/>
      <c r="H9" s="127" t="str">
        <f>IFERROR(VLOOKUP(G9,参数表!$H$2:$I$50,2,FALSE),"")</f>
        <v/>
      </c>
      <c r="I9" s="128" t="str">
        <f t="shared" si="4"/>
        <v/>
      </c>
      <c r="J9" s="143"/>
      <c r="K9" s="144"/>
      <c r="L9" s="129" t="str">
        <f t="shared" si="0"/>
        <v/>
      </c>
      <c r="M9" s="129" t="str">
        <f t="shared" si="1"/>
        <v/>
      </c>
      <c r="N9" s="129" t="str">
        <f t="shared" si="5"/>
        <v/>
      </c>
      <c r="O9" s="129" t="str">
        <f t="shared" si="6"/>
        <v/>
      </c>
      <c r="P9" s="145"/>
      <c r="BA9" s="78"/>
      <c r="BB9" s="132" t="s">
        <v>3589</v>
      </c>
      <c r="BC9" s="133"/>
      <c r="BD9" s="132" t="str">
        <f>IF(OR(B9="",BC9=""),"",COUNTIF(BC$7:BC9,"√"))</f>
        <v/>
      </c>
      <c r="BE9" s="134" t="str">
        <f t="shared" si="2"/>
        <v/>
      </c>
      <c r="BF9" s="135" t="str">
        <f t="shared" si="7"/>
        <v/>
      </c>
      <c r="BG9" s="135" t="str">
        <f t="shared" si="7"/>
        <v/>
      </c>
      <c r="BH9" s="136"/>
      <c r="BI9" s="136"/>
      <c r="BJ9" s="136"/>
      <c r="BK9" s="136"/>
      <c r="BL9" s="136"/>
      <c r="BM9" s="137"/>
      <c r="BN9" s="137"/>
      <c r="BO9" s="165" t="s">
        <v>3587</v>
      </c>
      <c r="BX9" s="134" t="str">
        <f>IF(COUNTIF(BX$6:BX8,B9)&gt;0,"",B9)&amp;""</f>
        <v/>
      </c>
      <c r="BY9" s="138">
        <f t="shared" si="8"/>
        <v>0</v>
      </c>
      <c r="BZ9" s="132">
        <f t="shared" si="9"/>
        <v>1</v>
      </c>
      <c r="CA9" s="138">
        <f t="shared" si="10"/>
        <v>0</v>
      </c>
      <c r="CB9" s="132">
        <f t="shared" si="11"/>
        <v>1</v>
      </c>
      <c r="CC9" s="132">
        <v>1</v>
      </c>
      <c r="CD9" s="134" t="str">
        <f>IFERROR(INDEX(BX$7:BX$26,MATCH(CC9,IF(CC$7=0,CB$7:CB$26,BZ$7:BZ$26),0))&amp;"","")</f>
        <v/>
      </c>
      <c r="CE9" s="146" t="str">
        <f>IF(CD10="","",IF(CD11="","和","、"))</f>
        <v/>
      </c>
    </row>
    <row r="10" ht="15" customHeight="1" spans="1:83">
      <c r="A10" s="123" t="str">
        <f>IF(B10="","",COUNT(A$6:A9)+1)</f>
        <v/>
      </c>
      <c r="B10" s="139"/>
      <c r="C10" s="140"/>
      <c r="D10" s="141"/>
      <c r="E10" s="980"/>
      <c r="F10" s="981"/>
      <c r="G10" s="142"/>
      <c r="H10" s="127" t="str">
        <f>IFERROR(VLOOKUP(G10,参数表!$H$2:$I$50,2,FALSE),"")</f>
        <v/>
      </c>
      <c r="I10" s="128" t="str">
        <f t="shared" si="4"/>
        <v/>
      </c>
      <c r="J10" s="143"/>
      <c r="K10" s="144"/>
      <c r="L10" s="129" t="str">
        <f t="shared" si="0"/>
        <v/>
      </c>
      <c r="M10" s="129" t="str">
        <f t="shared" si="1"/>
        <v/>
      </c>
      <c r="N10" s="129" t="str">
        <f t="shared" si="5"/>
        <v/>
      </c>
      <c r="O10" s="129" t="str">
        <f t="shared" si="6"/>
        <v/>
      </c>
      <c r="P10" s="145"/>
      <c r="BA10" s="78"/>
      <c r="BB10" s="132" t="s">
        <v>3590</v>
      </c>
      <c r="BC10" s="133"/>
      <c r="BD10" s="132" t="str">
        <f>IF(OR(B10="",BC10=""),"",COUNTIF(BC$7:BC10,"√"))</f>
        <v/>
      </c>
      <c r="BE10" s="134" t="str">
        <f t="shared" si="2"/>
        <v/>
      </c>
      <c r="BF10" s="135" t="str">
        <f t="shared" si="7"/>
        <v/>
      </c>
      <c r="BG10" s="135" t="str">
        <f t="shared" si="7"/>
        <v/>
      </c>
      <c r="BH10" s="136"/>
      <c r="BI10" s="136"/>
      <c r="BJ10" s="136"/>
      <c r="BK10" s="136"/>
      <c r="BL10" s="136"/>
      <c r="BM10" s="137"/>
      <c r="BN10" s="137"/>
      <c r="BO10" s="165" t="s">
        <v>3587</v>
      </c>
      <c r="BX10" s="134" t="str">
        <f>IF(COUNTIF(BX$6:BX9,B10)&gt;0,"",B10)&amp;""</f>
        <v/>
      </c>
      <c r="BY10" s="138">
        <f t="shared" si="8"/>
        <v>0</v>
      </c>
      <c r="BZ10" s="132">
        <f t="shared" si="9"/>
        <v>1</v>
      </c>
      <c r="CA10" s="138">
        <f t="shared" si="10"/>
        <v>0</v>
      </c>
      <c r="CB10" s="132">
        <f t="shared" si="11"/>
        <v>1</v>
      </c>
      <c r="CC10" s="132">
        <v>2</v>
      </c>
      <c r="CD10" s="134" t="str">
        <f t="shared" ref="CD10:CD13" si="12">IFERROR(INDEX(BX$7:BX$26,MATCH(CC10,IF(CC$7=0,CB$7:CB$26,BZ$7:BZ$26),0))&amp;"","")</f>
        <v/>
      </c>
      <c r="CE10" s="146" t="str">
        <f t="shared" ref="CE10:CE11" si="13">IF(CD11="","",IF(CD12="","和","、"))</f>
        <v/>
      </c>
    </row>
    <row r="11" ht="15" customHeight="1" spans="1:83">
      <c r="A11" s="123" t="str">
        <f>IF(B11="","",COUNT(A$6:A10)+1)</f>
        <v/>
      </c>
      <c r="B11" s="139"/>
      <c r="C11" s="140"/>
      <c r="D11" s="141"/>
      <c r="E11" s="980"/>
      <c r="F11" s="981"/>
      <c r="G11" s="142"/>
      <c r="H11" s="127" t="str">
        <f>IFERROR(VLOOKUP(G11,参数表!$H$2:$I$50,2,FALSE),"")</f>
        <v/>
      </c>
      <c r="I11" s="128" t="str">
        <f t="shared" si="4"/>
        <v/>
      </c>
      <c r="J11" s="143"/>
      <c r="K11" s="144"/>
      <c r="L11" s="129" t="str">
        <f t="shared" si="0"/>
        <v/>
      </c>
      <c r="M11" s="129" t="str">
        <f t="shared" si="1"/>
        <v/>
      </c>
      <c r="N11" s="129" t="str">
        <f t="shared" si="5"/>
        <v/>
      </c>
      <c r="O11" s="129" t="str">
        <f t="shared" si="6"/>
        <v/>
      </c>
      <c r="P11" s="145"/>
      <c r="BA11" s="78"/>
      <c r="BB11" s="132" t="s">
        <v>3591</v>
      </c>
      <c r="BC11" s="133"/>
      <c r="BD11" s="132" t="str">
        <f>IF(OR(B11="",BC11=""),"",COUNTIF(BC$7:BC11,"√"))</f>
        <v/>
      </c>
      <c r="BE11" s="134" t="str">
        <f t="shared" si="2"/>
        <v/>
      </c>
      <c r="BF11" s="135" t="str">
        <f t="shared" si="7"/>
        <v/>
      </c>
      <c r="BG11" s="135" t="str">
        <f t="shared" si="7"/>
        <v/>
      </c>
      <c r="BH11" s="136"/>
      <c r="BI11" s="136"/>
      <c r="BJ11" s="136"/>
      <c r="BK11" s="136"/>
      <c r="BL11" s="136"/>
      <c r="BM11" s="137"/>
      <c r="BN11" s="137"/>
      <c r="BO11" s="165" t="s">
        <v>3587</v>
      </c>
      <c r="BX11" s="134" t="str">
        <f>IF(COUNTIF(BX$6:BX10,B11)&gt;0,"",B11)&amp;""</f>
        <v/>
      </c>
      <c r="BY11" s="138">
        <f t="shared" si="8"/>
        <v>0</v>
      </c>
      <c r="BZ11" s="132">
        <f t="shared" si="9"/>
        <v>1</v>
      </c>
      <c r="CA11" s="138">
        <f t="shared" si="10"/>
        <v>0</v>
      </c>
      <c r="CB11" s="132">
        <f t="shared" si="11"/>
        <v>1</v>
      </c>
      <c r="CC11" s="132">
        <v>3</v>
      </c>
      <c r="CD11" s="134" t="str">
        <f t="shared" si="12"/>
        <v/>
      </c>
      <c r="CE11" s="146" t="str">
        <f t="shared" si="13"/>
        <v/>
      </c>
    </row>
    <row r="12" ht="15" customHeight="1" spans="1:83">
      <c r="A12" s="123" t="str">
        <f>IF(B12="","",COUNT(A$6:A11)+1)</f>
        <v/>
      </c>
      <c r="B12" s="139"/>
      <c r="C12" s="140"/>
      <c r="D12" s="141"/>
      <c r="E12" s="980"/>
      <c r="F12" s="981"/>
      <c r="G12" s="142"/>
      <c r="H12" s="127" t="str">
        <f>IFERROR(VLOOKUP(G12,参数表!$H$2:$I$50,2,FALSE),"")</f>
        <v/>
      </c>
      <c r="I12" s="128" t="str">
        <f t="shared" si="4"/>
        <v/>
      </c>
      <c r="J12" s="143"/>
      <c r="K12" s="144"/>
      <c r="L12" s="129" t="str">
        <f t="shared" si="0"/>
        <v/>
      </c>
      <c r="M12" s="129" t="str">
        <f t="shared" si="1"/>
        <v/>
      </c>
      <c r="N12" s="129" t="str">
        <f t="shared" si="5"/>
        <v/>
      </c>
      <c r="O12" s="129" t="str">
        <f t="shared" si="6"/>
        <v/>
      </c>
      <c r="P12" s="145"/>
      <c r="BA12" s="78"/>
      <c r="BB12" s="132" t="s">
        <v>3592</v>
      </c>
      <c r="BC12" s="133"/>
      <c r="BD12" s="132" t="str">
        <f>IF(OR(B12="",BC12=""),"",COUNTIF(BC$7:BC12,"√"))</f>
        <v/>
      </c>
      <c r="BE12" s="134" t="str">
        <f t="shared" si="2"/>
        <v/>
      </c>
      <c r="BF12" s="135" t="str">
        <f t="shared" si="7"/>
        <v/>
      </c>
      <c r="BG12" s="135" t="str">
        <f t="shared" si="7"/>
        <v/>
      </c>
      <c r="BH12" s="136"/>
      <c r="BI12" s="136"/>
      <c r="BJ12" s="136"/>
      <c r="BK12" s="136"/>
      <c r="BL12" s="136"/>
      <c r="BM12" s="137"/>
      <c r="BN12" s="137"/>
      <c r="BO12" s="165" t="s">
        <v>3587</v>
      </c>
      <c r="BX12" s="134" t="str">
        <f>IF(COUNTIF(BX$6:BX11,B12)&gt;0,"",B12)&amp;""</f>
        <v/>
      </c>
      <c r="BY12" s="138">
        <f t="shared" si="8"/>
        <v>0</v>
      </c>
      <c r="BZ12" s="132">
        <f t="shared" si="9"/>
        <v>1</v>
      </c>
      <c r="CA12" s="138">
        <f t="shared" si="10"/>
        <v>0</v>
      </c>
      <c r="CB12" s="132">
        <f t="shared" si="11"/>
        <v>1</v>
      </c>
      <c r="CC12" s="132">
        <v>4</v>
      </c>
      <c r="CD12" s="134" t="str">
        <f t="shared" si="12"/>
        <v/>
      </c>
      <c r="CE12" s="146" t="str">
        <f>IF(CD13="","","和")</f>
        <v/>
      </c>
    </row>
    <row r="13" ht="15" customHeight="1" spans="1:83">
      <c r="A13" s="123" t="str">
        <f>IF(B13="","",COUNT(A$6:A12)+1)</f>
        <v/>
      </c>
      <c r="B13" s="139"/>
      <c r="C13" s="140"/>
      <c r="D13" s="141"/>
      <c r="E13" s="980"/>
      <c r="F13" s="981"/>
      <c r="G13" s="142"/>
      <c r="H13" s="127" t="str">
        <f>IFERROR(VLOOKUP(G13,参数表!$H$2:$I$50,2,FALSE),"")</f>
        <v/>
      </c>
      <c r="I13" s="128" t="str">
        <f t="shared" si="4"/>
        <v/>
      </c>
      <c r="J13" s="143"/>
      <c r="K13" s="144"/>
      <c r="L13" s="129" t="str">
        <f t="shared" si="0"/>
        <v/>
      </c>
      <c r="M13" s="129" t="str">
        <f t="shared" si="1"/>
        <v/>
      </c>
      <c r="N13" s="129" t="str">
        <f t="shared" si="5"/>
        <v/>
      </c>
      <c r="O13" s="129" t="str">
        <f t="shared" si="6"/>
        <v/>
      </c>
      <c r="P13" s="145"/>
      <c r="BA13" s="78"/>
      <c r="BB13" s="132" t="s">
        <v>3593</v>
      </c>
      <c r="BC13" s="133"/>
      <c r="BD13" s="132" t="str">
        <f>IF(OR(B13="",BC13=""),"",COUNTIF(BC$7:BC13,"√"))</f>
        <v/>
      </c>
      <c r="BE13" s="134" t="str">
        <f t="shared" si="2"/>
        <v/>
      </c>
      <c r="BF13" s="135" t="str">
        <f t="shared" si="7"/>
        <v/>
      </c>
      <c r="BG13" s="135" t="str">
        <f t="shared" si="7"/>
        <v/>
      </c>
      <c r="BH13" s="136"/>
      <c r="BI13" s="136"/>
      <c r="BJ13" s="136"/>
      <c r="BK13" s="136"/>
      <c r="BL13" s="136"/>
      <c r="BM13" s="137"/>
      <c r="BN13" s="137"/>
      <c r="BO13" s="165" t="s">
        <v>3587</v>
      </c>
      <c r="BX13" s="134" t="str">
        <f>IF(COUNTIF(BX$6:BX12,B13)&gt;0,"",B13)&amp;""</f>
        <v/>
      </c>
      <c r="BY13" s="138">
        <f t="shared" si="8"/>
        <v>0</v>
      </c>
      <c r="BZ13" s="132">
        <f t="shared" si="9"/>
        <v>1</v>
      </c>
      <c r="CA13" s="138">
        <f t="shared" si="10"/>
        <v>0</v>
      </c>
      <c r="CB13" s="132">
        <f t="shared" si="11"/>
        <v>1</v>
      </c>
      <c r="CC13" s="132">
        <v>5</v>
      </c>
      <c r="CD13" s="134" t="str">
        <f t="shared" si="12"/>
        <v/>
      </c>
      <c r="CE13" s="146"/>
    </row>
    <row r="14" ht="15" customHeight="1" spans="1:83">
      <c r="A14" s="123" t="str">
        <f>IF(B14="","",COUNT(A$6:A13)+1)</f>
        <v/>
      </c>
      <c r="B14" s="139"/>
      <c r="C14" s="140"/>
      <c r="D14" s="141"/>
      <c r="E14" s="980"/>
      <c r="F14" s="981"/>
      <c r="G14" s="142"/>
      <c r="H14" s="127" t="str">
        <f>IFERROR(VLOOKUP(G14,参数表!$H$2:$I$50,2,FALSE),"")</f>
        <v/>
      </c>
      <c r="I14" s="128" t="str">
        <f t="shared" si="4"/>
        <v/>
      </c>
      <c r="J14" s="143"/>
      <c r="K14" s="144"/>
      <c r="L14" s="129" t="str">
        <f t="shared" si="0"/>
        <v/>
      </c>
      <c r="M14" s="129" t="str">
        <f t="shared" si="1"/>
        <v/>
      </c>
      <c r="N14" s="129" t="str">
        <f t="shared" si="5"/>
        <v/>
      </c>
      <c r="O14" s="129" t="str">
        <f t="shared" si="6"/>
        <v/>
      </c>
      <c r="P14" s="145"/>
      <c r="BA14" s="78"/>
      <c r="BB14" s="132" t="s">
        <v>3594</v>
      </c>
      <c r="BC14" s="133"/>
      <c r="BD14" s="132" t="str">
        <f>IF(OR(B14="",BC14=""),"",COUNTIF(BC$7:BC14,"√"))</f>
        <v/>
      </c>
      <c r="BE14" s="134" t="str">
        <f t="shared" si="2"/>
        <v/>
      </c>
      <c r="BF14" s="135" t="str">
        <f t="shared" si="7"/>
        <v/>
      </c>
      <c r="BG14" s="135" t="str">
        <f t="shared" si="7"/>
        <v/>
      </c>
      <c r="BH14" s="136"/>
      <c r="BI14" s="136"/>
      <c r="BJ14" s="136"/>
      <c r="BK14" s="136"/>
      <c r="BL14" s="136"/>
      <c r="BM14" s="137"/>
      <c r="BN14" s="137"/>
      <c r="BO14" s="165" t="s">
        <v>3587</v>
      </c>
      <c r="BX14" s="134" t="str">
        <f>IF(COUNTIF(BX$6:BX13,B14)&gt;0,"",B14)&amp;""</f>
        <v/>
      </c>
      <c r="BY14" s="138">
        <f t="shared" si="8"/>
        <v>0</v>
      </c>
      <c r="BZ14" s="132">
        <f t="shared" si="9"/>
        <v>1</v>
      </c>
      <c r="CA14" s="138">
        <f t="shared" si="10"/>
        <v>0</v>
      </c>
      <c r="CB14" s="132">
        <f t="shared" si="11"/>
        <v>1</v>
      </c>
      <c r="CC14" s="147" t="s">
        <v>1659</v>
      </c>
      <c r="CD14" s="132" t="str">
        <f>CONCATENATE(CD9,CE9,CD10,CE10,CD11,CE11,CD12,CE12,CD13)</f>
        <v/>
      </c>
      <c r="CE14" s="132"/>
    </row>
    <row r="15" ht="15" customHeight="1" spans="1:83">
      <c r="A15" s="123" t="str">
        <f>IF(B15="","",COUNT(A$6:A14)+1)</f>
        <v/>
      </c>
      <c r="B15" s="139"/>
      <c r="C15" s="140"/>
      <c r="D15" s="141"/>
      <c r="E15" s="980"/>
      <c r="F15" s="981"/>
      <c r="G15" s="142"/>
      <c r="H15" s="127" t="str">
        <f>IFERROR(VLOOKUP(G15,参数表!$H$2:$I$50,2,FALSE),"")</f>
        <v/>
      </c>
      <c r="I15" s="128" t="str">
        <f t="shared" si="4"/>
        <v/>
      </c>
      <c r="J15" s="143"/>
      <c r="K15" s="144"/>
      <c r="L15" s="129" t="str">
        <f t="shared" si="0"/>
        <v/>
      </c>
      <c r="M15" s="129" t="str">
        <f t="shared" si="1"/>
        <v/>
      </c>
      <c r="N15" s="129" t="str">
        <f t="shared" si="5"/>
        <v/>
      </c>
      <c r="O15" s="129" t="str">
        <f t="shared" si="6"/>
        <v/>
      </c>
      <c r="P15" s="145"/>
      <c r="BA15" s="78"/>
      <c r="BB15" s="132" t="s">
        <v>3595</v>
      </c>
      <c r="BC15" s="133"/>
      <c r="BD15" s="132" t="str">
        <f>IF(OR(B15="",BC15=""),"",COUNTIF(BC$7:BC15,"√"))</f>
        <v/>
      </c>
      <c r="BE15" s="134" t="str">
        <f t="shared" si="2"/>
        <v/>
      </c>
      <c r="BF15" s="135" t="str">
        <f t="shared" si="7"/>
        <v/>
      </c>
      <c r="BG15" s="135" t="str">
        <f t="shared" si="7"/>
        <v/>
      </c>
      <c r="BH15" s="136"/>
      <c r="BI15" s="136"/>
      <c r="BJ15" s="136"/>
      <c r="BK15" s="136"/>
      <c r="BL15" s="136"/>
      <c r="BM15" s="137"/>
      <c r="BN15" s="137"/>
      <c r="BO15" s="165" t="s">
        <v>3587</v>
      </c>
      <c r="BX15" s="134" t="str">
        <f>IF(COUNTIF(BX$6:BX14,B15)&gt;0,"",B15)&amp;""</f>
        <v/>
      </c>
      <c r="BY15" s="138">
        <f t="shared" si="8"/>
        <v>0</v>
      </c>
      <c r="BZ15" s="132">
        <f t="shared" si="9"/>
        <v>1</v>
      </c>
      <c r="CA15" s="138">
        <f t="shared" si="10"/>
        <v>0</v>
      </c>
      <c r="CB15" s="132">
        <f t="shared" si="11"/>
        <v>1</v>
      </c>
      <c r="CC15" s="133"/>
      <c r="CD15" s="133"/>
    </row>
    <row r="16" ht="15" customHeight="1" spans="1:83">
      <c r="A16" s="123" t="str">
        <f>IF(B16="","",COUNT(A$6:A15)+1)</f>
        <v/>
      </c>
      <c r="B16" s="139"/>
      <c r="C16" s="140"/>
      <c r="D16" s="141"/>
      <c r="E16" s="980"/>
      <c r="F16" s="981"/>
      <c r="G16" s="142"/>
      <c r="H16" s="127" t="str">
        <f>IFERROR(VLOOKUP(G16,参数表!$H$2:$I$50,2,FALSE),"")</f>
        <v/>
      </c>
      <c r="I16" s="128" t="str">
        <f t="shared" si="4"/>
        <v/>
      </c>
      <c r="J16" s="143"/>
      <c r="K16" s="144"/>
      <c r="L16" s="129" t="str">
        <f t="shared" si="0"/>
        <v/>
      </c>
      <c r="M16" s="129" t="str">
        <f t="shared" si="1"/>
        <v/>
      </c>
      <c r="N16" s="129" t="str">
        <f t="shared" si="5"/>
        <v/>
      </c>
      <c r="O16" s="129" t="str">
        <f t="shared" si="6"/>
        <v/>
      </c>
      <c r="P16" s="145"/>
      <c r="BA16" s="78"/>
      <c r="BB16" s="132" t="s">
        <v>3596</v>
      </c>
      <c r="BC16" s="133"/>
      <c r="BD16" s="132" t="str">
        <f>IF(OR(B16="",BC16=""),"",COUNTIF(BC$7:BC16,"√"))</f>
        <v/>
      </c>
      <c r="BE16" s="134" t="str">
        <f t="shared" si="2"/>
        <v/>
      </c>
      <c r="BF16" s="135" t="str">
        <f t="shared" si="7"/>
        <v/>
      </c>
      <c r="BG16" s="135" t="str">
        <f t="shared" si="7"/>
        <v/>
      </c>
      <c r="BH16" s="136"/>
      <c r="BI16" s="136"/>
      <c r="BJ16" s="136"/>
      <c r="BK16" s="136"/>
      <c r="BL16" s="136"/>
      <c r="BM16" s="137"/>
      <c r="BN16" s="137"/>
      <c r="BO16" s="165" t="s">
        <v>3587</v>
      </c>
      <c r="BX16" s="134" t="str">
        <f>IF(COUNTIF(BX$6:BX15,B16)&gt;0,"",B16)&amp;""</f>
        <v/>
      </c>
      <c r="BY16" s="138">
        <f t="shared" si="8"/>
        <v>0</v>
      </c>
      <c r="BZ16" s="132">
        <f t="shared" si="9"/>
        <v>1</v>
      </c>
      <c r="CA16" s="138">
        <f t="shared" si="10"/>
        <v>0</v>
      </c>
      <c r="CB16" s="132">
        <f t="shared" si="11"/>
        <v>1</v>
      </c>
      <c r="CC16" s="133"/>
      <c r="CD16" s="148"/>
    </row>
    <row r="17" ht="15" customHeight="1" spans="1:83">
      <c r="A17" s="123" t="str">
        <f>IF(B17="","",COUNT(A$6:A16)+1)</f>
        <v/>
      </c>
      <c r="B17" s="139"/>
      <c r="C17" s="140"/>
      <c r="D17" s="141"/>
      <c r="E17" s="980"/>
      <c r="F17" s="981"/>
      <c r="G17" s="142"/>
      <c r="H17" s="127" t="str">
        <f>IFERROR(VLOOKUP(G17,参数表!$H$2:$I$50,2,FALSE),"")</f>
        <v/>
      </c>
      <c r="I17" s="128" t="str">
        <f t="shared" si="4"/>
        <v/>
      </c>
      <c r="J17" s="143"/>
      <c r="K17" s="144"/>
      <c r="L17" s="129" t="str">
        <f t="shared" si="0"/>
        <v/>
      </c>
      <c r="M17" s="129" t="str">
        <f t="shared" si="1"/>
        <v/>
      </c>
      <c r="N17" s="129" t="str">
        <f t="shared" si="5"/>
        <v/>
      </c>
      <c r="O17" s="129" t="str">
        <f t="shared" si="6"/>
        <v/>
      </c>
      <c r="P17" s="145"/>
      <c r="BA17" s="78"/>
      <c r="BB17" s="132" t="s">
        <v>3597</v>
      </c>
      <c r="BC17" s="133"/>
      <c r="BD17" s="132" t="str">
        <f>IF(OR(B17="",BC17=""),"",COUNTIF(BC$7:BC17,"√"))</f>
        <v/>
      </c>
      <c r="BE17" s="134" t="str">
        <f t="shared" si="2"/>
        <v/>
      </c>
      <c r="BF17" s="135" t="str">
        <f t="shared" si="7"/>
        <v/>
      </c>
      <c r="BG17" s="135" t="str">
        <f t="shared" si="7"/>
        <v/>
      </c>
      <c r="BH17" s="136"/>
      <c r="BI17" s="136"/>
      <c r="BJ17" s="136"/>
      <c r="BK17" s="136"/>
      <c r="BL17" s="136"/>
      <c r="BM17" s="137"/>
      <c r="BN17" s="137"/>
      <c r="BO17" s="165" t="s">
        <v>3587</v>
      </c>
      <c r="BX17" s="134" t="str">
        <f>IF(COUNTIF(BX$6:BX16,B17)&gt;0,"",B17)&amp;""</f>
        <v/>
      </c>
      <c r="BY17" s="138">
        <f t="shared" si="8"/>
        <v>0</v>
      </c>
      <c r="BZ17" s="132">
        <f t="shared" si="9"/>
        <v>1</v>
      </c>
      <c r="CA17" s="138">
        <f t="shared" si="10"/>
        <v>0</v>
      </c>
      <c r="CB17" s="132">
        <f t="shared" si="11"/>
        <v>1</v>
      </c>
      <c r="CC17" s="133"/>
      <c r="CD17" s="133"/>
    </row>
    <row r="18" ht="15" customHeight="1" spans="1:83">
      <c r="A18" s="123" t="str">
        <f>IF(B18="","",COUNT(A$6:A17)+1)</f>
        <v/>
      </c>
      <c r="B18" s="139"/>
      <c r="C18" s="140"/>
      <c r="D18" s="141"/>
      <c r="E18" s="980"/>
      <c r="F18" s="981"/>
      <c r="G18" s="142"/>
      <c r="H18" s="127" t="str">
        <f>IFERROR(VLOOKUP(G18,参数表!$H$2:$I$50,2,FALSE),"")</f>
        <v/>
      </c>
      <c r="I18" s="128" t="str">
        <f t="shared" si="4"/>
        <v/>
      </c>
      <c r="J18" s="143"/>
      <c r="K18" s="144"/>
      <c r="L18" s="129" t="str">
        <f t="shared" si="0"/>
        <v/>
      </c>
      <c r="M18" s="129" t="str">
        <f t="shared" si="1"/>
        <v/>
      </c>
      <c r="N18" s="129" t="str">
        <f t="shared" si="5"/>
        <v/>
      </c>
      <c r="O18" s="129" t="str">
        <f t="shared" si="6"/>
        <v/>
      </c>
      <c r="P18" s="145"/>
      <c r="BA18" s="78"/>
      <c r="BB18" s="132" t="s">
        <v>3598</v>
      </c>
      <c r="BC18" s="133"/>
      <c r="BD18" s="132" t="str">
        <f>IF(OR(B18="",BC18=""),"",COUNTIF(BC$7:BC18,"√"))</f>
        <v/>
      </c>
      <c r="BE18" s="134" t="str">
        <f t="shared" si="2"/>
        <v/>
      </c>
      <c r="BF18" s="135" t="str">
        <f t="shared" si="7"/>
        <v/>
      </c>
      <c r="BG18" s="135" t="str">
        <f t="shared" si="7"/>
        <v/>
      </c>
      <c r="BH18" s="136"/>
      <c r="BI18" s="136"/>
      <c r="BJ18" s="136"/>
      <c r="BK18" s="136"/>
      <c r="BL18" s="136"/>
      <c r="BM18" s="137"/>
      <c r="BN18" s="137"/>
      <c r="BO18" s="165" t="s">
        <v>3587</v>
      </c>
      <c r="BX18" s="134" t="str">
        <f>IF(COUNTIF(BX$6:BX17,B18)&gt;0,"",B18)&amp;""</f>
        <v/>
      </c>
      <c r="BY18" s="138">
        <f t="shared" si="8"/>
        <v>0</v>
      </c>
      <c r="BZ18" s="132">
        <f t="shared" si="9"/>
        <v>1</v>
      </c>
      <c r="CA18" s="138">
        <f t="shared" si="10"/>
        <v>0</v>
      </c>
      <c r="CB18" s="132">
        <f t="shared" si="11"/>
        <v>1</v>
      </c>
      <c r="CC18" s="133"/>
      <c r="CD18" s="133"/>
    </row>
    <row r="19" ht="15" customHeight="1" spans="1:83">
      <c r="A19" s="123" t="str">
        <f>IF(B19="","",COUNT(A$6:A18)+1)</f>
        <v/>
      </c>
      <c r="B19" s="139"/>
      <c r="C19" s="140"/>
      <c r="D19" s="141"/>
      <c r="E19" s="980"/>
      <c r="F19" s="981"/>
      <c r="G19" s="142"/>
      <c r="H19" s="127" t="str">
        <f>IFERROR(VLOOKUP(G19,参数表!$H$2:$I$50,2,FALSE),"")</f>
        <v/>
      </c>
      <c r="I19" s="128" t="str">
        <f t="shared" si="4"/>
        <v/>
      </c>
      <c r="J19" s="143"/>
      <c r="K19" s="144"/>
      <c r="L19" s="129" t="str">
        <f t="shared" si="0"/>
        <v/>
      </c>
      <c r="M19" s="129" t="str">
        <f t="shared" si="1"/>
        <v/>
      </c>
      <c r="N19" s="129" t="str">
        <f t="shared" si="5"/>
        <v/>
      </c>
      <c r="O19" s="129" t="str">
        <f t="shared" si="6"/>
        <v/>
      </c>
      <c r="P19" s="145"/>
      <c r="BA19" s="78"/>
      <c r="BB19" s="132" t="s">
        <v>3599</v>
      </c>
      <c r="BC19" s="133"/>
      <c r="BD19" s="132" t="str">
        <f>IF(OR(B19="",BC19=""),"",COUNTIF(BC$7:BC19,"√"))</f>
        <v/>
      </c>
      <c r="BE19" s="134" t="str">
        <f t="shared" si="2"/>
        <v/>
      </c>
      <c r="BF19" s="135" t="str">
        <f t="shared" si="7"/>
        <v/>
      </c>
      <c r="BG19" s="135" t="str">
        <f t="shared" si="7"/>
        <v/>
      </c>
      <c r="BH19" s="136"/>
      <c r="BI19" s="136"/>
      <c r="BJ19" s="136"/>
      <c r="BK19" s="136"/>
      <c r="BL19" s="136"/>
      <c r="BM19" s="137"/>
      <c r="BN19" s="137"/>
      <c r="BO19" s="165" t="s">
        <v>3587</v>
      </c>
      <c r="BX19" s="134" t="str">
        <f>IF(COUNTIF(BX$6:BX18,B19)&gt;0,"",B19)&amp;""</f>
        <v/>
      </c>
      <c r="BY19" s="138">
        <f t="shared" si="8"/>
        <v>0</v>
      </c>
      <c r="BZ19" s="132">
        <f t="shared" si="9"/>
        <v>1</v>
      </c>
      <c r="CA19" s="138">
        <f t="shared" si="10"/>
        <v>0</v>
      </c>
      <c r="CB19" s="132">
        <f t="shared" si="11"/>
        <v>1</v>
      </c>
      <c r="CC19" s="133"/>
      <c r="CD19" s="133"/>
    </row>
    <row r="20" ht="15" customHeight="1" spans="1:83">
      <c r="A20" s="123" t="str">
        <f>IF(B20="","",COUNT(A$6:A19)+1)</f>
        <v/>
      </c>
      <c r="B20" s="139"/>
      <c r="C20" s="140"/>
      <c r="D20" s="141"/>
      <c r="E20" s="980"/>
      <c r="F20" s="981"/>
      <c r="G20" s="142"/>
      <c r="H20" s="127" t="str">
        <f>IFERROR(VLOOKUP(G20,参数表!$H$2:$I$50,2,FALSE),"")</f>
        <v/>
      </c>
      <c r="I20" s="128" t="str">
        <f t="shared" si="4"/>
        <v/>
      </c>
      <c r="J20" s="143"/>
      <c r="K20" s="144"/>
      <c r="L20" s="129" t="str">
        <f t="shared" si="0"/>
        <v/>
      </c>
      <c r="M20" s="129" t="str">
        <f t="shared" si="1"/>
        <v/>
      </c>
      <c r="N20" s="129" t="str">
        <f t="shared" si="5"/>
        <v/>
      </c>
      <c r="O20" s="129" t="str">
        <f t="shared" si="6"/>
        <v/>
      </c>
      <c r="P20" s="145"/>
      <c r="BA20" s="78"/>
      <c r="BB20" s="132" t="s">
        <v>3600</v>
      </c>
      <c r="BC20" s="133"/>
      <c r="BD20" s="132" t="str">
        <f>IF(OR(B20="",BC20=""),"",COUNTIF(BC$7:BC20,"√"))</f>
        <v/>
      </c>
      <c r="BE20" s="134" t="str">
        <f t="shared" si="2"/>
        <v/>
      </c>
      <c r="BF20" s="135" t="str">
        <f t="shared" si="7"/>
        <v/>
      </c>
      <c r="BG20" s="135" t="str">
        <f t="shared" si="7"/>
        <v/>
      </c>
      <c r="BH20" s="136"/>
      <c r="BI20" s="136"/>
      <c r="BJ20" s="136"/>
      <c r="BK20" s="136"/>
      <c r="BL20" s="136"/>
      <c r="BM20" s="137"/>
      <c r="BN20" s="137"/>
      <c r="BO20" s="165" t="s">
        <v>3587</v>
      </c>
      <c r="BX20" s="134" t="str">
        <f>IF(COUNTIF(BX$6:BX19,B20)&gt;0,"",B20)&amp;""</f>
        <v/>
      </c>
      <c r="BY20" s="138">
        <f t="shared" si="8"/>
        <v>0</v>
      </c>
      <c r="BZ20" s="132">
        <f t="shared" si="9"/>
        <v>1</v>
      </c>
      <c r="CA20" s="138">
        <f t="shared" si="10"/>
        <v>0</v>
      </c>
      <c r="CB20" s="132">
        <f t="shared" si="11"/>
        <v>1</v>
      </c>
      <c r="CC20" s="133"/>
      <c r="CD20" s="133"/>
    </row>
    <row r="21" ht="15" customHeight="1" spans="1:83">
      <c r="A21" s="123" t="str">
        <f>IF(B21="","",COUNT(A$6:A20)+1)</f>
        <v/>
      </c>
      <c r="B21" s="139"/>
      <c r="C21" s="140"/>
      <c r="D21" s="141"/>
      <c r="E21" s="980"/>
      <c r="F21" s="981"/>
      <c r="G21" s="142"/>
      <c r="H21" s="127" t="str">
        <f>IFERROR(VLOOKUP(G21,参数表!$H$2:$I$50,2,FALSE),"")</f>
        <v/>
      </c>
      <c r="I21" s="128" t="str">
        <f t="shared" si="4"/>
        <v/>
      </c>
      <c r="J21" s="143"/>
      <c r="K21" s="144"/>
      <c r="L21" s="129" t="str">
        <f t="shared" si="0"/>
        <v/>
      </c>
      <c r="M21" s="129" t="str">
        <f t="shared" si="1"/>
        <v/>
      </c>
      <c r="N21" s="129" t="str">
        <f t="shared" si="5"/>
        <v/>
      </c>
      <c r="O21" s="129" t="str">
        <f t="shared" si="6"/>
        <v/>
      </c>
      <c r="P21" s="145"/>
      <c r="BA21" s="78"/>
      <c r="BB21" s="132" t="s">
        <v>3601</v>
      </c>
      <c r="BC21" s="133"/>
      <c r="BD21" s="132" t="str">
        <f>IF(OR(B21="",BC21=""),"",COUNTIF(BC$7:BC21,"√"))</f>
        <v/>
      </c>
      <c r="BE21" s="134" t="str">
        <f t="shared" si="2"/>
        <v/>
      </c>
      <c r="BF21" s="135" t="str">
        <f t="shared" si="7"/>
        <v/>
      </c>
      <c r="BG21" s="135" t="str">
        <f t="shared" si="7"/>
        <v/>
      </c>
      <c r="BH21" s="136"/>
      <c r="BI21" s="136"/>
      <c r="BJ21" s="136"/>
      <c r="BK21" s="136"/>
      <c r="BL21" s="136"/>
      <c r="BM21" s="137"/>
      <c r="BN21" s="137"/>
      <c r="BO21" s="165" t="s">
        <v>3587</v>
      </c>
      <c r="BX21" s="134" t="str">
        <f>IF(COUNTIF(BX$6:BX20,B21)&gt;0,"",B21)&amp;""</f>
        <v/>
      </c>
      <c r="BY21" s="138">
        <f t="shared" si="8"/>
        <v>0</v>
      </c>
      <c r="BZ21" s="132">
        <f t="shared" si="9"/>
        <v>1</v>
      </c>
      <c r="CA21" s="138">
        <f t="shared" si="10"/>
        <v>0</v>
      </c>
      <c r="CB21" s="132">
        <f t="shared" si="11"/>
        <v>1</v>
      </c>
      <c r="CC21" s="133"/>
      <c r="CD21" s="133"/>
    </row>
    <row r="22" ht="15" customHeight="1" spans="1:83">
      <c r="A22" s="123" t="str">
        <f>IF(B22="","",COUNT(A$6:A21)+1)</f>
        <v/>
      </c>
      <c r="B22" s="139"/>
      <c r="C22" s="140"/>
      <c r="D22" s="141"/>
      <c r="E22" s="980"/>
      <c r="F22" s="981"/>
      <c r="G22" s="142"/>
      <c r="H22" s="127" t="str">
        <f>IFERROR(VLOOKUP(G22,参数表!$H$2:$I$50,2,FALSE),"")</f>
        <v/>
      </c>
      <c r="I22" s="128" t="str">
        <f t="shared" si="4"/>
        <v/>
      </c>
      <c r="J22" s="143"/>
      <c r="K22" s="144"/>
      <c r="L22" s="129" t="str">
        <f t="shared" si="0"/>
        <v/>
      </c>
      <c r="M22" s="129" t="str">
        <f t="shared" si="1"/>
        <v/>
      </c>
      <c r="N22" s="129" t="str">
        <f t="shared" si="5"/>
        <v/>
      </c>
      <c r="O22" s="129" t="str">
        <f t="shared" si="6"/>
        <v/>
      </c>
      <c r="P22" s="145"/>
      <c r="BA22" s="78"/>
      <c r="BB22" s="132" t="s">
        <v>3602</v>
      </c>
      <c r="BC22" s="133"/>
      <c r="BD22" s="132" t="str">
        <f>IF(OR(B22="",BC22=""),"",COUNTIF(BC$7:BC22,"√"))</f>
        <v/>
      </c>
      <c r="BE22" s="134" t="str">
        <f t="shared" si="2"/>
        <v/>
      </c>
      <c r="BF22" s="135" t="str">
        <f t="shared" si="7"/>
        <v/>
      </c>
      <c r="BG22" s="135" t="str">
        <f t="shared" si="7"/>
        <v/>
      </c>
      <c r="BH22" s="136"/>
      <c r="BI22" s="136"/>
      <c r="BJ22" s="136"/>
      <c r="BK22" s="136"/>
      <c r="BL22" s="136"/>
      <c r="BM22" s="137"/>
      <c r="BN22" s="137"/>
      <c r="BO22" s="165" t="s">
        <v>3587</v>
      </c>
      <c r="BX22" s="134" t="str">
        <f>IF(COUNTIF(BX$6:BX21,B22)&gt;0,"",B22)&amp;""</f>
        <v/>
      </c>
      <c r="BY22" s="138">
        <f t="shared" si="8"/>
        <v>0</v>
      </c>
      <c r="BZ22" s="132">
        <f t="shared" si="9"/>
        <v>1</v>
      </c>
      <c r="CA22" s="138">
        <f t="shared" si="10"/>
        <v>0</v>
      </c>
      <c r="CB22" s="132">
        <f t="shared" si="11"/>
        <v>1</v>
      </c>
      <c r="CC22" s="133"/>
      <c r="CD22" s="133"/>
    </row>
    <row r="23" ht="15" customHeight="1" spans="1:83">
      <c r="A23" s="123" t="str">
        <f>IF(B23="","",COUNT(A$6:A22)+1)</f>
        <v/>
      </c>
      <c r="B23" s="139"/>
      <c r="C23" s="140"/>
      <c r="D23" s="141"/>
      <c r="E23" s="980"/>
      <c r="F23" s="981"/>
      <c r="G23" s="142"/>
      <c r="H23" s="127" t="str">
        <f>IFERROR(VLOOKUP(G23,参数表!$H$2:$I$50,2,FALSE),"")</f>
        <v/>
      </c>
      <c r="I23" s="128" t="str">
        <f t="shared" si="4"/>
        <v/>
      </c>
      <c r="J23" s="143"/>
      <c r="K23" s="144"/>
      <c r="L23" s="129" t="str">
        <f t="shared" si="0"/>
        <v/>
      </c>
      <c r="M23" s="129" t="str">
        <f t="shared" si="1"/>
        <v/>
      </c>
      <c r="N23" s="129" t="str">
        <f t="shared" si="5"/>
        <v/>
      </c>
      <c r="O23" s="129" t="str">
        <f t="shared" si="6"/>
        <v/>
      </c>
      <c r="P23" s="145"/>
      <c r="BA23" s="78"/>
      <c r="BB23" s="132" t="s">
        <v>3603</v>
      </c>
      <c r="BC23" s="133"/>
      <c r="BD23" s="132" t="str">
        <f>IF(OR(B23="",BC23=""),"",COUNTIF(BC$7:BC23,"√"))</f>
        <v/>
      </c>
      <c r="BE23" s="134" t="str">
        <f t="shared" si="2"/>
        <v/>
      </c>
      <c r="BF23" s="135" t="str">
        <f t="shared" si="7"/>
        <v/>
      </c>
      <c r="BG23" s="135" t="str">
        <f t="shared" si="7"/>
        <v/>
      </c>
      <c r="BH23" s="136"/>
      <c r="BI23" s="136"/>
      <c r="BJ23" s="136"/>
      <c r="BK23" s="136"/>
      <c r="BL23" s="136"/>
      <c r="BM23" s="137"/>
      <c r="BN23" s="137"/>
      <c r="BO23" s="165" t="s">
        <v>3587</v>
      </c>
      <c r="BX23" s="134" t="str">
        <f>IF(COUNTIF(BX$6:BX22,B23)&gt;0,"",B23)&amp;""</f>
        <v/>
      </c>
      <c r="BY23" s="138">
        <f t="shared" si="8"/>
        <v>0</v>
      </c>
      <c r="BZ23" s="132">
        <f t="shared" si="9"/>
        <v>1</v>
      </c>
      <c r="CA23" s="138">
        <f t="shared" si="10"/>
        <v>0</v>
      </c>
      <c r="CB23" s="132">
        <f t="shared" si="11"/>
        <v>1</v>
      </c>
      <c r="CC23" s="133"/>
      <c r="CD23" s="133"/>
    </row>
    <row r="24" ht="15" customHeight="1" spans="1:83">
      <c r="A24" s="123" t="str">
        <f>IF(B24="","",COUNT(A$6:A23)+1)</f>
        <v/>
      </c>
      <c r="B24" s="139"/>
      <c r="C24" s="140"/>
      <c r="D24" s="141"/>
      <c r="E24" s="980"/>
      <c r="F24" s="981"/>
      <c r="G24" s="142"/>
      <c r="H24" s="127" t="str">
        <f>IFERROR(VLOOKUP(G24,参数表!$H$2:$I$50,2,FALSE),"")</f>
        <v/>
      </c>
      <c r="I24" s="128" t="str">
        <f t="shared" si="4"/>
        <v/>
      </c>
      <c r="J24" s="143"/>
      <c r="K24" s="144"/>
      <c r="L24" s="129" t="str">
        <f t="shared" si="0"/>
        <v/>
      </c>
      <c r="M24" s="129" t="str">
        <f t="shared" si="1"/>
        <v/>
      </c>
      <c r="N24" s="129" t="str">
        <f t="shared" si="5"/>
        <v/>
      </c>
      <c r="O24" s="129" t="str">
        <f t="shared" si="6"/>
        <v/>
      </c>
      <c r="P24" s="145"/>
      <c r="BA24" s="78"/>
      <c r="BB24" s="132" t="s">
        <v>3604</v>
      </c>
      <c r="BC24" s="133"/>
      <c r="BD24" s="132" t="str">
        <f>IF(OR(B24="",BC24=""),"",COUNTIF(BC$7:BC24,"√"))</f>
        <v/>
      </c>
      <c r="BE24" s="134" t="str">
        <f t="shared" si="2"/>
        <v/>
      </c>
      <c r="BF24" s="135" t="str">
        <f t="shared" si="7"/>
        <v/>
      </c>
      <c r="BG24" s="135" t="str">
        <f t="shared" si="7"/>
        <v/>
      </c>
      <c r="BH24" s="136"/>
      <c r="BI24" s="136"/>
      <c r="BJ24" s="136"/>
      <c r="BK24" s="136"/>
      <c r="BL24" s="136"/>
      <c r="BM24" s="137"/>
      <c r="BN24" s="137"/>
      <c r="BO24" s="165" t="s">
        <v>3587</v>
      </c>
      <c r="BX24" s="134" t="str">
        <f>IF(COUNTIF(BX$6:BX23,B24)&gt;0,"",B24)&amp;""</f>
        <v/>
      </c>
      <c r="BY24" s="138">
        <f t="shared" si="8"/>
        <v>0</v>
      </c>
      <c r="BZ24" s="132">
        <f t="shared" si="9"/>
        <v>1</v>
      </c>
      <c r="CA24" s="138">
        <f t="shared" si="10"/>
        <v>0</v>
      </c>
      <c r="CB24" s="132">
        <f t="shared" si="11"/>
        <v>1</v>
      </c>
      <c r="CC24" s="133"/>
      <c r="CD24" s="133"/>
    </row>
    <row r="25" ht="15" customHeight="1" spans="1:83">
      <c r="A25" s="123" t="str">
        <f>IF(B25="","",COUNT(A$6:A24)+1)</f>
        <v/>
      </c>
      <c r="B25" s="139"/>
      <c r="C25" s="140"/>
      <c r="D25" s="141"/>
      <c r="E25" s="980"/>
      <c r="F25" s="981"/>
      <c r="G25" s="142"/>
      <c r="H25" s="127" t="str">
        <f>IFERROR(VLOOKUP(G25,参数表!$H$2:$I$50,2,FALSE),"")</f>
        <v/>
      </c>
      <c r="I25" s="128" t="str">
        <f t="shared" si="4"/>
        <v/>
      </c>
      <c r="J25" s="143"/>
      <c r="K25" s="144"/>
      <c r="L25" s="129" t="str">
        <f t="shared" si="0"/>
        <v/>
      </c>
      <c r="M25" s="129" t="str">
        <f t="shared" si="1"/>
        <v/>
      </c>
      <c r="N25" s="129" t="str">
        <f t="shared" si="5"/>
        <v/>
      </c>
      <c r="O25" s="129" t="str">
        <f t="shared" si="6"/>
        <v/>
      </c>
      <c r="P25" s="145"/>
      <c r="BA25" s="78"/>
      <c r="BB25" s="132" t="s">
        <v>3605</v>
      </c>
      <c r="BC25" s="133"/>
      <c r="BD25" s="132" t="str">
        <f>IF(OR(B25="",BC25=""),"",COUNTIF(BC$7:BC25,"√"))</f>
        <v/>
      </c>
      <c r="BE25" s="134" t="str">
        <f t="shared" si="2"/>
        <v/>
      </c>
      <c r="BF25" s="135" t="str">
        <f t="shared" si="7"/>
        <v/>
      </c>
      <c r="BG25" s="135" t="str">
        <f t="shared" si="7"/>
        <v/>
      </c>
      <c r="BH25" s="136"/>
      <c r="BI25" s="136"/>
      <c r="BJ25" s="136"/>
      <c r="BK25" s="136"/>
      <c r="BL25" s="136"/>
      <c r="BM25" s="137"/>
      <c r="BN25" s="137"/>
      <c r="BO25" s="165" t="s">
        <v>3587</v>
      </c>
      <c r="BX25" s="134" t="str">
        <f>IF(COUNTIF(BX$6:BX24,B25)&gt;0,"",B25)&amp;""</f>
        <v/>
      </c>
      <c r="BY25" s="138">
        <f t="shared" si="8"/>
        <v>0</v>
      </c>
      <c r="BZ25" s="132">
        <f t="shared" si="9"/>
        <v>1</v>
      </c>
      <c r="CA25" s="138">
        <f t="shared" si="10"/>
        <v>0</v>
      </c>
      <c r="CB25" s="132">
        <f t="shared" si="11"/>
        <v>1</v>
      </c>
      <c r="CC25" s="133"/>
      <c r="CD25" s="133"/>
    </row>
    <row r="26" ht="15" customHeight="1" spans="1:83">
      <c r="A26" s="123" t="str">
        <f>IF(B26="","",COUNT(A$6:A25)+1)</f>
        <v/>
      </c>
      <c r="B26" s="124"/>
      <c r="C26" s="125"/>
      <c r="D26" s="126"/>
      <c r="E26" s="353"/>
      <c r="F26" s="979"/>
      <c r="G26" s="127"/>
      <c r="H26" s="127" t="str">
        <f>IFERROR(VLOOKUP(G26,参数表!$H$2:$I$50,2,FALSE),"")</f>
        <v/>
      </c>
      <c r="I26" s="128" t="str">
        <f t="shared" si="4"/>
        <v/>
      </c>
      <c r="J26" s="129"/>
      <c r="K26" s="130"/>
      <c r="L26" s="129" t="str">
        <f t="shared" si="0"/>
        <v/>
      </c>
      <c r="M26" s="129" t="str">
        <f t="shared" si="1"/>
        <v/>
      </c>
      <c r="N26" s="129" t="str">
        <f t="shared" si="5"/>
        <v/>
      </c>
      <c r="O26" s="129" t="str">
        <f t="shared" si="6"/>
        <v/>
      </c>
      <c r="P26" s="131"/>
      <c r="BA26" s="78"/>
      <c r="BB26" s="132" t="s">
        <v>3606</v>
      </c>
      <c r="BC26" s="133"/>
      <c r="BD26" s="132" t="str">
        <f>IF(OR(B26="",BC26=""),"",COUNTIF(BC$7:BC26,"√"))</f>
        <v/>
      </c>
      <c r="BE26" s="134" t="str">
        <f t="shared" si="2"/>
        <v/>
      </c>
      <c r="BF26" s="135" t="str">
        <f t="shared" si="7"/>
        <v/>
      </c>
      <c r="BG26" s="135" t="str">
        <f t="shared" si="7"/>
        <v/>
      </c>
      <c r="BH26" s="136"/>
      <c r="BI26" s="136"/>
      <c r="BJ26" s="136"/>
      <c r="BK26" s="136"/>
      <c r="BL26" s="136"/>
      <c r="BM26" s="137"/>
      <c r="BN26" s="137"/>
      <c r="BO26" s="165" t="s">
        <v>3587</v>
      </c>
      <c r="BX26" s="134" t="str">
        <f>IF(COUNTIF(BX$6:BX25,B26)&gt;0,"",B26)&amp;""</f>
        <v/>
      </c>
      <c r="BY26" s="138">
        <f t="shared" si="8"/>
        <v>0</v>
      </c>
      <c r="BZ26" s="132">
        <f t="shared" si="9"/>
        <v>1</v>
      </c>
      <c r="CA26" s="138">
        <f t="shared" si="10"/>
        <v>0</v>
      </c>
      <c r="CB26" s="132">
        <f t="shared" si="11"/>
        <v>1</v>
      </c>
      <c r="CC26" s="133"/>
      <c r="CD26" s="133"/>
    </row>
    <row r="27" s="73" customFormat="1" ht="15" customHeight="1" spans="1:83">
      <c r="A27" s="221" t="s">
        <v>1954</v>
      </c>
      <c r="B27" s="221"/>
      <c r="C27" s="149"/>
      <c r="D27" s="356"/>
      <c r="E27" s="152">
        <f>SUM(E7:E26)</f>
        <v>0</v>
      </c>
      <c r="F27" s="356"/>
      <c r="G27" s="151"/>
      <c r="H27" s="151"/>
      <c r="I27" s="151"/>
      <c r="J27" s="152">
        <f>SUM(J7:J26)</f>
        <v>0</v>
      </c>
      <c r="K27" s="153"/>
      <c r="L27" s="152">
        <f>SUM(L7:L26)</f>
        <v>0</v>
      </c>
      <c r="M27" s="152">
        <f>SUM(M7:M26)</f>
        <v>0</v>
      </c>
      <c r="N27" s="152">
        <f t="shared" si="5"/>
        <v>0</v>
      </c>
      <c r="O27" s="152" t="str">
        <f t="shared" si="6"/>
        <v/>
      </c>
      <c r="P27" s="151"/>
      <c r="BH27" s="72"/>
      <c r="BI27" s="72"/>
      <c r="BJ27" s="72"/>
      <c r="BK27" s="72"/>
      <c r="BL27" s="72"/>
      <c r="BW27" s="111"/>
      <c r="BX27" s="119"/>
      <c r="BY27" s="77"/>
      <c r="BZ27" s="77"/>
      <c r="CA27" s="77"/>
      <c r="CB27" s="119"/>
      <c r="CC27" s="119"/>
      <c r="CD27" s="119"/>
      <c r="CE27" s="111"/>
    </row>
    <row r="28" ht="15" customHeight="1" spans="1:83">
      <c r="A28" s="982" t="s">
        <v>3434</v>
      </c>
      <c r="B28" s="982"/>
      <c r="C28" s="126"/>
      <c r="D28" s="125"/>
      <c r="E28" s="129"/>
      <c r="F28" s="125"/>
      <c r="G28" s="131"/>
      <c r="H28" s="131"/>
      <c r="I28" s="131"/>
      <c r="J28" s="129"/>
      <c r="K28" s="130"/>
      <c r="L28" s="129">
        <f>J28+K28</f>
        <v>0</v>
      </c>
      <c r="M28" s="129">
        <v>0</v>
      </c>
      <c r="N28" s="129">
        <f t="shared" si="5"/>
        <v>0</v>
      </c>
      <c r="O28" s="129" t="str">
        <f t="shared" si="6"/>
        <v/>
      </c>
      <c r="P28" s="131"/>
    </row>
    <row r="29" s="73" customFormat="1" ht="15" customHeight="1" spans="1:83">
      <c r="A29" s="221" t="s">
        <v>1957</v>
      </c>
      <c r="B29" s="221"/>
      <c r="C29" s="149"/>
      <c r="D29" s="356"/>
      <c r="E29" s="152"/>
      <c r="F29" s="356"/>
      <c r="G29" s="131"/>
      <c r="H29" s="131"/>
      <c r="I29" s="131"/>
      <c r="J29" s="152">
        <f>J27-J28</f>
        <v>0</v>
      </c>
      <c r="K29" s="153"/>
      <c r="L29" s="152">
        <f>L27-L28</f>
        <v>0</v>
      </c>
      <c r="M29" s="152">
        <f>M27-M28</f>
        <v>0</v>
      </c>
      <c r="N29" s="152">
        <f t="shared" si="5"/>
        <v>0</v>
      </c>
      <c r="O29" s="152" t="str">
        <f t="shared" si="6"/>
        <v/>
      </c>
      <c r="P29" s="151"/>
      <c r="BH29" s="72"/>
      <c r="BI29" s="72"/>
      <c r="BJ29" s="72"/>
      <c r="BK29" s="72"/>
      <c r="BL29" s="72"/>
      <c r="BW29" s="77"/>
      <c r="BX29" s="78"/>
      <c r="BY29" s="77"/>
      <c r="BZ29" s="78"/>
      <c r="CA29" s="78"/>
      <c r="CB29" s="78"/>
      <c r="CC29" s="78"/>
      <c r="CD29" s="78"/>
      <c r="CE29" s="77"/>
    </row>
    <row r="30" customHeight="1" spans="1:83">
      <c r="A30" s="102" t="str">
        <f>参数表!F$6</f>
        <v>产权持有单位填表人：贾广东</v>
      </c>
      <c r="B30" s="154"/>
      <c r="C30" s="154"/>
      <c r="D30" s="154"/>
      <c r="E30" s="154"/>
      <c r="F30" s="154"/>
      <c r="G30" s="154"/>
      <c r="H30" s="154"/>
      <c r="I30" s="154"/>
      <c r="J30" s="154"/>
      <c r="K30" s="104"/>
      <c r="L30" s="103"/>
      <c r="M30" s="156" t="str">
        <f>"评估人员："&amp;封面!$G$22</f>
        <v>评估人员：</v>
      </c>
      <c r="N30" s="103"/>
      <c r="O30" s="103"/>
      <c r="P30" s="103"/>
    </row>
    <row r="31" customHeight="1" spans="1:83">
      <c r="A31" s="102" t="str">
        <f>参数表!F$7</f>
        <v>填表日期：2025年9月20日</v>
      </c>
      <c r="B31" s="154"/>
      <c r="C31" s="154"/>
      <c r="D31" s="154"/>
      <c r="E31" s="154"/>
      <c r="F31" s="154"/>
      <c r="G31" s="154"/>
      <c r="H31" s="154"/>
      <c r="I31" s="154"/>
      <c r="J31" s="103"/>
      <c r="K31" s="104"/>
      <c r="L31" s="103"/>
      <c r="M31" s="103"/>
      <c r="N31" s="103"/>
      <c r="O31" s="103"/>
      <c r="P31" s="103"/>
    </row>
    <row r="32" hidden="1" customHeight="1" outlineLevel="1" spans="1:83">
      <c r="A32" s="157"/>
      <c r="B32" s="154" t="s">
        <v>1673</v>
      </c>
      <c r="C32" s="158"/>
      <c r="D32" s="158"/>
      <c r="E32" s="158"/>
      <c r="F32" s="158"/>
      <c r="G32" s="154"/>
      <c r="H32" s="154"/>
      <c r="I32" s="154"/>
      <c r="J32" s="159">
        <f>SUMIF($BA7:$BA26,$BA32,J7:J26)</f>
        <v>0</v>
      </c>
      <c r="K32" s="202"/>
      <c r="L32" s="159">
        <f>SUMIF($BA7:$BA26,$BA32,L7:L26)</f>
        <v>0</v>
      </c>
      <c r="M32" s="159">
        <f>SUMIF($BA7:$BA26,$BA32,M7:M26)</f>
        <v>0</v>
      </c>
      <c r="BA32" s="161" t="s">
        <v>1674</v>
      </c>
      <c r="BH32" s="95" t="s">
        <v>1675</v>
      </c>
      <c r="BI32" s="95" t="s">
        <v>1675</v>
      </c>
      <c r="BJ32" s="95" t="s">
        <v>1675</v>
      </c>
      <c r="BK32" s="95" t="s">
        <v>1674</v>
      </c>
      <c r="BL32" s="95" t="s">
        <v>1674</v>
      </c>
    </row>
    <row r="33" hidden="1" customHeight="1" outlineLevel="1" spans="1:64">
      <c r="A33" s="157"/>
      <c r="B33" s="154" t="s">
        <v>1676</v>
      </c>
      <c r="C33" s="158"/>
      <c r="D33" s="158"/>
      <c r="E33" s="158"/>
      <c r="F33" s="158"/>
      <c r="G33" s="158"/>
      <c r="H33" s="158"/>
      <c r="I33" s="158"/>
      <c r="J33" s="159">
        <f>J27-J32</f>
        <v>0</v>
      </c>
      <c r="K33" s="202"/>
      <c r="L33" s="159">
        <f>L27-L32</f>
        <v>0</v>
      </c>
      <c r="M33" s="159">
        <f>M27-M32</f>
        <v>0</v>
      </c>
      <c r="BA33" s="161" t="s">
        <v>1677</v>
      </c>
      <c r="BH33" s="95" t="s">
        <v>1678</v>
      </c>
      <c r="BI33" s="95" t="s">
        <v>1678</v>
      </c>
      <c r="BJ33" s="95" t="s">
        <v>1678</v>
      </c>
      <c r="BK33" s="95" t="s">
        <v>1677</v>
      </c>
      <c r="BL33" s="95" t="s">
        <v>1677</v>
      </c>
    </row>
    <row r="34" customHeight="1" collapsed="1" spans="1:64">
      <c r="A34" s="157"/>
      <c r="B34" s="158"/>
      <c r="C34" s="158"/>
      <c r="D34" s="158"/>
      <c r="E34" s="158"/>
      <c r="F34" s="158"/>
      <c r="G34" s="158"/>
      <c r="H34" s="158"/>
      <c r="I34" s="158"/>
    </row>
    <row r="35" customHeight="1" spans="1:64">
      <c r="A35" s="157"/>
      <c r="B35" s="158"/>
      <c r="C35" s="158"/>
      <c r="D35" s="158"/>
      <c r="E35" s="158"/>
      <c r="F35" s="158"/>
      <c r="G35" s="158"/>
      <c r="H35" s="158"/>
      <c r="I35" s="158"/>
    </row>
    <row r="36" customHeight="1" spans="1:64">
      <c r="A36" s="157"/>
      <c r="B36" s="158"/>
      <c r="C36" s="158"/>
      <c r="D36" s="158"/>
      <c r="E36" s="158"/>
      <c r="F36" s="158"/>
      <c r="G36" s="158"/>
      <c r="H36" s="158"/>
      <c r="I36" s="158"/>
    </row>
    <row r="37" customHeight="1" spans="1:64">
      <c r="A37" s="157"/>
      <c r="B37" s="158"/>
      <c r="C37" s="158"/>
      <c r="D37" s="158"/>
      <c r="E37" s="158"/>
      <c r="F37" s="158"/>
      <c r="G37" s="158"/>
      <c r="H37" s="158"/>
      <c r="I37" s="158"/>
    </row>
    <row r="38" customHeight="1" spans="1:64">
      <c r="A38" s="157"/>
      <c r="B38" s="158"/>
      <c r="C38" s="158"/>
      <c r="D38" s="158"/>
      <c r="E38" s="158"/>
      <c r="F38" s="158"/>
      <c r="G38" s="158"/>
      <c r="H38" s="158"/>
      <c r="I38" s="158"/>
    </row>
    <row r="39" customHeight="1" spans="1:64">
      <c r="A39" s="157"/>
      <c r="B39" s="158"/>
      <c r="C39" s="158"/>
      <c r="D39" s="158"/>
      <c r="E39" s="158"/>
      <c r="F39" s="158"/>
      <c r="G39" s="158"/>
      <c r="H39" s="158"/>
      <c r="I39" s="158"/>
    </row>
  </sheetData>
  <sheetProtection autoFilter="0"/>
  <mergeCells count="8">
    <mergeCell ref="A2:P2"/>
    <mergeCell ref="A3:P3"/>
    <mergeCell ref="CC7:CE7"/>
    <mergeCell ref="CC8:CE8"/>
    <mergeCell ref="CD14:CE14"/>
    <mergeCell ref="A27:B27"/>
    <mergeCell ref="A28:B28"/>
    <mergeCell ref="A29:B29"/>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5" stopIfTrue="1">
      <formula>AND($B7&lt;&gt;"",BH7="")</formula>
    </cfRule>
  </conditionalFormatting>
  <dataValidations count="5">
    <dataValidation type="list" allowBlank="1" showInputMessage="1" showErrorMessage="1" sqref="G7:G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 type="list" allowBlank="1" showInputMessage="1" showErrorMessage="1" sqref="BO7:BO26">
      <formula1>$BP$6:$BT$6</formula1>
    </dataValidation>
    <dataValidation type="list" allowBlank="1" showInputMessage="1" showErrorMessage="1" sqref="BH7:BL26">
      <formula1>BH$32:BH$33</formula1>
    </dataValidation>
  </dataValidations>
  <hyperlinks>
    <hyperlink ref="A1" location="索引目录!D33" display="返回索引页"/>
    <hyperlink ref="B1" location="非流动资产评估汇总!B18"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B0F0"/>
  </sheetPr>
  <dimension ref="A1:BB42"/>
  <sheetViews>
    <sheetView workbookViewId="0">
      <pane xSplit="2" ySplit="6" topLeftCell="C7" activePane="bottomRight" state="frozen"/>
      <selection/>
      <selection pane="topRight"/>
      <selection pane="bottomLeft"/>
      <selection pane="bottomRight" activeCell="E45" sqref="E45"/>
    </sheetView>
  </sheetViews>
  <sheetFormatPr defaultColWidth="7" defaultRowHeight="18" customHeight="1"/>
  <cols>
    <col min="1" max="1" width="19.1" style="1800" customWidth="1"/>
    <col min="2" max="2" width="4.6" style="1801" customWidth="1"/>
    <col min="3" max="4" width="15.6" style="1802" customWidth="1"/>
    <col min="5" max="5" width="5.6" style="1800" customWidth="1"/>
    <col min="6" max="6" width="19.1" style="1800" customWidth="1"/>
    <col min="7" max="7" width="4.6" style="1801" customWidth="1"/>
    <col min="8" max="9" width="15.6" style="1802" customWidth="1"/>
    <col min="10" max="10" width="5.6" style="1800" customWidth="1"/>
    <col min="11" max="11" width="7" style="1800"/>
    <col min="12" max="52" width="7" style="1800" hidden="1" customWidth="1" outlineLevel="1"/>
    <col min="53" max="53" width="14.7" style="1800" customWidth="1" collapsed="1"/>
    <col min="54" max="16384" width="7" style="1800"/>
  </cols>
  <sheetData>
    <row r="1" s="1797" customFormat="1" customHeight="1" spans="1:54">
      <c r="A1" s="1803" t="s">
        <v>233</v>
      </c>
      <c r="B1" s="1804"/>
      <c r="C1" s="1804"/>
      <c r="D1" s="1804"/>
      <c r="E1" s="1804"/>
      <c r="F1" s="1804"/>
      <c r="G1" s="1804"/>
      <c r="H1" s="1804"/>
      <c r="I1" s="1804"/>
      <c r="J1" s="1804"/>
      <c r="BA1" s="1805" t="str">
        <f>参数表!BA1</f>
        <v>注意：补充特殊事项、作价等均从BA列开始填写</v>
      </c>
      <c r="BB1" s="1805"/>
    </row>
    <row r="2" s="1797" customFormat="1" customHeight="1" spans="1:54">
      <c r="A2" s="1806" t="s">
        <v>302</v>
      </c>
      <c r="B2" s="1806"/>
      <c r="C2" s="1806"/>
      <c r="D2" s="1806"/>
      <c r="E2" s="1806"/>
      <c r="F2" s="1806"/>
      <c r="G2" s="1806"/>
      <c r="H2" s="1806"/>
      <c r="I2" s="1806"/>
      <c r="J2" s="1806"/>
      <c r="BA2" s="1805" t="str">
        <f>参数表!BA2</f>
        <v>评估基准日：</v>
      </c>
      <c r="BB2" s="1805" t="str">
        <f>参数表!BB2</f>
        <v>2025年7月31日</v>
      </c>
    </row>
    <row r="3" s="1798" customFormat="1" ht="15" customHeight="1" spans="1:54">
      <c r="A3" s="1807" t="str">
        <f>参数表!F5</f>
        <v>评估基准日：2025年7月31日</v>
      </c>
      <c r="B3" s="1807"/>
      <c r="C3" s="1807"/>
      <c r="D3" s="1807"/>
      <c r="E3" s="1807"/>
      <c r="F3" s="1807"/>
      <c r="G3" s="1807"/>
      <c r="H3" s="1807"/>
      <c r="I3" s="1807"/>
      <c r="J3" s="1807"/>
      <c r="BA3" s="1808" t="str">
        <f>参数表!BA3</f>
        <v>是否显示评估值：</v>
      </c>
      <c r="BB3" s="1808" t="str">
        <f>参数表!BB3</f>
        <v>是</v>
      </c>
    </row>
    <row r="4" customHeight="1" spans="1:54">
      <c r="A4" s="1809" t="str">
        <f>"编制单位:"&amp;封面!F7</f>
        <v>编制单位:中煤第五建设有限公司</v>
      </c>
      <c r="B4" s="1809"/>
      <c r="C4" s="1809"/>
      <c r="D4" s="1810"/>
      <c r="E4" s="1811"/>
      <c r="F4" s="1812"/>
      <c r="G4" s="1813"/>
      <c r="H4" s="1810"/>
      <c r="I4" s="1810"/>
      <c r="J4" s="1814" t="s">
        <v>303</v>
      </c>
      <c r="BA4" s="1799"/>
    </row>
    <row r="5" s="1799" customFormat="1" customHeight="1" spans="1:54">
      <c r="A5" s="1815" t="s">
        <v>304</v>
      </c>
      <c r="B5" s="1815" t="s">
        <v>305</v>
      </c>
      <c r="C5" s="1815" t="s">
        <v>306</v>
      </c>
      <c r="D5" s="1815" t="s">
        <v>307</v>
      </c>
      <c r="E5" s="1815" t="s">
        <v>308</v>
      </c>
      <c r="F5" s="1815" t="s">
        <v>309</v>
      </c>
      <c r="G5" s="1815" t="s">
        <v>305</v>
      </c>
      <c r="H5" s="1815" t="s">
        <v>306</v>
      </c>
      <c r="I5" s="1815" t="s">
        <v>307</v>
      </c>
      <c r="J5" s="1815" t="s">
        <v>308</v>
      </c>
    </row>
    <row r="6" customHeight="1" spans="1:54">
      <c r="A6" s="1816" t="s">
        <v>310</v>
      </c>
      <c r="B6" s="1817">
        <f>IF(A6="","",SUBTOTAL(3,A$6:A6))</f>
        <v>1</v>
      </c>
      <c r="C6" s="1818"/>
      <c r="D6" s="1818"/>
      <c r="E6" s="1819"/>
      <c r="F6" s="1819" t="s">
        <v>311</v>
      </c>
      <c r="G6" s="1817">
        <f>IF(F6="","",SUBTOTAL(3,A$6:A$40,F$6:F6))</f>
        <v>32</v>
      </c>
      <c r="H6" s="1818"/>
      <c r="I6" s="1818"/>
      <c r="J6" s="1819"/>
    </row>
    <row r="7" customHeight="1" spans="1:54">
      <c r="A7" s="1820" t="str">
        <f>分类汇总!B8</f>
        <v>货币资金</v>
      </c>
      <c r="B7" s="1817">
        <f>IF(A7="","",SUBTOTAL(3,A$6:A7))</f>
        <v>2</v>
      </c>
      <c r="C7" s="1821">
        <f>'资负表（未审）-旧'!C7</f>
        <v>0</v>
      </c>
      <c r="D7" s="1821">
        <f>'资负表（未审）-旧'!D7</f>
        <v>0</v>
      </c>
      <c r="E7" s="1822"/>
      <c r="F7" s="1820" t="str">
        <f>分类汇总!B45</f>
        <v>短期借款</v>
      </c>
      <c r="G7" s="1817">
        <f>IF(F7="","",SUBTOTAL(3,A$6:A$40,F$6:F7))</f>
        <v>33</v>
      </c>
      <c r="H7" s="1821">
        <f>'资负表（未审）-旧'!H7</f>
        <v>0</v>
      </c>
      <c r="I7" s="1821">
        <f>'资负表（未审）-旧'!I7</f>
        <v>0</v>
      </c>
      <c r="J7" s="1822"/>
    </row>
    <row r="8" ht="36" spans="1:54">
      <c r="A8" s="1823" t="str">
        <f>分类汇总!B9</f>
        <v>以公允价值计量且其变动计入当期损益的金融资产</v>
      </c>
      <c r="B8" s="1817">
        <f>IF(A8="","",SUBTOTAL(3,A$6:A8))</f>
        <v>3</v>
      </c>
      <c r="C8" s="1821">
        <f>'资负表（未审）-旧'!C8</f>
        <v>0</v>
      </c>
      <c r="D8" s="1821">
        <f>'资负表（未审）-旧'!D8</f>
        <v>0</v>
      </c>
      <c r="E8" s="1822"/>
      <c r="F8" s="1823" t="str">
        <f>分类汇总!B46</f>
        <v>以公允价值计量其其变动计入当期损益的金融负债</v>
      </c>
      <c r="G8" s="1817">
        <f>IF(F8="","",SUBTOTAL(3,A$6:A$40,F$6:F8))</f>
        <v>34</v>
      </c>
      <c r="H8" s="1821">
        <f>'资负表（未审）-旧'!H8</f>
        <v>0</v>
      </c>
      <c r="I8" s="1821">
        <f>'资负表（未审）-旧'!I8</f>
        <v>0</v>
      </c>
      <c r="J8" s="1822"/>
    </row>
    <row r="9" customHeight="1" spans="1:54">
      <c r="A9" s="1820" t="str">
        <f>分类汇总!B11</f>
        <v>衍生金融资产</v>
      </c>
      <c r="B9" s="1817">
        <f>IF(A9="","",SUBTOTAL(3,A$6:A9))</f>
        <v>4</v>
      </c>
      <c r="C9" s="1821">
        <f>'资负表（未审）-旧'!C9</f>
        <v>0</v>
      </c>
      <c r="D9" s="1821">
        <f>'资负表（未审）-旧'!D9</f>
        <v>0</v>
      </c>
      <c r="E9" s="1822"/>
      <c r="F9" s="1820" t="str">
        <f>分类汇总!B48</f>
        <v>衍生金融负债</v>
      </c>
      <c r="G9" s="1817">
        <f>IF(F9="","",SUBTOTAL(3,A$6:A$40,F$6:F9))</f>
        <v>35</v>
      </c>
      <c r="H9" s="1821">
        <f>'资负表（未审）-旧'!H9</f>
        <v>0</v>
      </c>
      <c r="I9" s="1821">
        <f>'资负表（未审）-旧'!I9</f>
        <v>0</v>
      </c>
      <c r="J9" s="1822"/>
    </row>
    <row r="10" customHeight="1" spans="1:54">
      <c r="A10" s="1820" t="str">
        <f>分类汇总!B12</f>
        <v>应收票据</v>
      </c>
      <c r="B10" s="1817">
        <f>IF(A10="","",SUBTOTAL(3,A$6:A10))</f>
        <v>5</v>
      </c>
      <c r="C10" s="1821">
        <f>'资负表（未审）-旧'!C10</f>
        <v>0</v>
      </c>
      <c r="D10" s="1821">
        <f>'资负表（未审）-旧'!D10</f>
        <v>0</v>
      </c>
      <c r="E10" s="1822"/>
      <c r="F10" s="1820" t="str">
        <f>分类汇总!B49</f>
        <v>应付票据</v>
      </c>
      <c r="G10" s="1817">
        <f>IF(F10="","",SUBTOTAL(3,A$6:A$40,F$6:F10))</f>
        <v>36</v>
      </c>
      <c r="H10" s="1821">
        <f>'资负表（未审）-旧'!H10</f>
        <v>0</v>
      </c>
      <c r="I10" s="1821">
        <f>'资负表（未审）-旧'!I10</f>
        <v>0</v>
      </c>
      <c r="J10" s="1822"/>
    </row>
    <row r="11" customHeight="1" spans="1:54">
      <c r="A11" s="1820" t="str">
        <f>分类汇总!B13</f>
        <v>应收账款</v>
      </c>
      <c r="B11" s="1817">
        <f>IF(A11="","",SUBTOTAL(3,A$6:A11))</f>
        <v>6</v>
      </c>
      <c r="C11" s="1821">
        <f>'资负表（未审）-旧'!C11</f>
        <v>0</v>
      </c>
      <c r="D11" s="1821">
        <f>'资负表（未审）-旧'!D11</f>
        <v>0</v>
      </c>
      <c r="E11" s="1822"/>
      <c r="F11" s="1820" t="str">
        <f>分类汇总!B50</f>
        <v>应付账款</v>
      </c>
      <c r="G11" s="1817">
        <f>IF(F11="","",SUBTOTAL(3,A$6:A$40,F$6:F11))</f>
        <v>37</v>
      </c>
      <c r="H11" s="1821">
        <f>'资负表（未审）-旧'!H11</f>
        <v>0</v>
      </c>
      <c r="I11" s="1821">
        <f>'资负表（未审）-旧'!I11</f>
        <v>0</v>
      </c>
      <c r="J11" s="1822"/>
    </row>
    <row r="12" customHeight="1" spans="1:54">
      <c r="A12" s="1820" t="str">
        <f>分类汇总!B15</f>
        <v>预付账款</v>
      </c>
      <c r="B12" s="1817">
        <f>IF(A12="","",SUBTOTAL(3,A$6:A12))</f>
        <v>7</v>
      </c>
      <c r="C12" s="1821">
        <f>'资负表（未审）-旧'!C12</f>
        <v>0</v>
      </c>
      <c r="D12" s="1821">
        <f>'资负表（未审）-旧'!D12</f>
        <v>0</v>
      </c>
      <c r="E12" s="1822"/>
      <c r="F12" s="1820" t="str">
        <f>分类汇总!B51</f>
        <v>预收款项</v>
      </c>
      <c r="G12" s="1817">
        <f>IF(F12="","",SUBTOTAL(3,A$6:A$40,F$6:F12))</f>
        <v>38</v>
      </c>
      <c r="H12" s="1821">
        <f>'资负表（未审）-旧'!H12</f>
        <v>0</v>
      </c>
      <c r="I12" s="1821">
        <f>'资负表（未审）-旧'!I12</f>
        <v>0</v>
      </c>
      <c r="J12" s="1822"/>
    </row>
    <row r="13" customHeight="1" spans="1:54">
      <c r="A13" s="1820" t="str">
        <f>分类汇总!B16</f>
        <v>其他应收款</v>
      </c>
      <c r="B13" s="1817">
        <f>IF(A13="","",SUBTOTAL(3,A$6:A13))</f>
        <v>8</v>
      </c>
      <c r="C13" s="1821">
        <f>'资负表（未审）-旧'!C13</f>
        <v>0</v>
      </c>
      <c r="D13" s="1821">
        <f>'资负表（未审）-旧'!D13</f>
        <v>0</v>
      </c>
      <c r="E13" s="1822"/>
      <c r="F13" s="1820" t="str">
        <f>分类汇总!B53</f>
        <v>应付职工薪酬</v>
      </c>
      <c r="G13" s="1817">
        <f>IF(F13="","",SUBTOTAL(3,A$6:A$40,F$6:F13))</f>
        <v>39</v>
      </c>
      <c r="H13" s="1821">
        <f>'资负表（未审）-旧'!H13</f>
        <v>0</v>
      </c>
      <c r="I13" s="1821">
        <f>'资负表（未审）-旧'!I13</f>
        <v>0</v>
      </c>
      <c r="J13" s="1822"/>
    </row>
    <row r="14" customHeight="1" spans="1:54">
      <c r="A14" s="1820" t="str">
        <f>分类汇总!B17</f>
        <v>存货</v>
      </c>
      <c r="B14" s="1817">
        <f>IF(A14="","",SUBTOTAL(3,A$6:A14))</f>
        <v>9</v>
      </c>
      <c r="C14" s="1824">
        <f>'资负表（未审）-旧'!C14</f>
        <v>0</v>
      </c>
      <c r="D14" s="1824">
        <f>'资负表（未审）-旧'!D14</f>
        <v>0</v>
      </c>
      <c r="E14" s="1822"/>
      <c r="F14" s="1820" t="str">
        <f>分类汇总!B54</f>
        <v>应交税费</v>
      </c>
      <c r="G14" s="1817">
        <f>IF(F14="","",SUBTOTAL(3,A$6:A$40,F$6:F14))</f>
        <v>40</v>
      </c>
      <c r="H14" s="1821">
        <f>'资负表（未审）-旧'!H14</f>
        <v>0</v>
      </c>
      <c r="I14" s="1821">
        <f>'资负表（未审）-旧'!I14</f>
        <v>0</v>
      </c>
      <c r="J14" s="1822"/>
    </row>
    <row r="15" customHeight="1" spans="1:54">
      <c r="A15" s="1820" t="str">
        <f>分类汇总!B19</f>
        <v>持有待售资产</v>
      </c>
      <c r="B15" s="1817">
        <f>IF(A15="","",SUBTOTAL(3,A$6:A15))</f>
        <v>10</v>
      </c>
      <c r="C15" s="1824">
        <f>'资负表（未审）-旧'!C15</f>
        <v>0</v>
      </c>
      <c r="D15" s="1824">
        <f>'资负表（未审）-旧'!D15</f>
        <v>0</v>
      </c>
      <c r="E15" s="1822"/>
      <c r="F15" s="1820" t="str">
        <f>分类汇总!B55</f>
        <v>其他应付款</v>
      </c>
      <c r="G15" s="1817">
        <f>IF(F15="","",SUBTOTAL(3,A$6:A$40,F$6:F15))</f>
        <v>41</v>
      </c>
      <c r="H15" s="1821">
        <f>'资负表（未审）-旧'!H15</f>
        <v>0</v>
      </c>
      <c r="I15" s="1821">
        <f>'资负表（未审）-旧'!I15</f>
        <v>0</v>
      </c>
      <c r="J15" s="1822"/>
    </row>
    <row r="16" customHeight="1" spans="1:54">
      <c r="A16" s="1820" t="str">
        <f>分类汇总!B20</f>
        <v>一年内到期的非流动资产</v>
      </c>
      <c r="B16" s="1817">
        <f>IF(A16="","",SUBTOTAL(3,A$6:A16))</f>
        <v>11</v>
      </c>
      <c r="C16" s="1824">
        <f>'资负表（未审）-旧'!C16</f>
        <v>0</v>
      </c>
      <c r="D16" s="1824">
        <f>'资负表（未审）-旧'!D16</f>
        <v>0</v>
      </c>
      <c r="E16" s="1822"/>
      <c r="F16" s="1820" t="str">
        <f>分类汇总!B56</f>
        <v>持有待售负债</v>
      </c>
      <c r="G16" s="1817">
        <f>IF(F16="","",SUBTOTAL(3,A$6:A$40,F$6:F16))</f>
        <v>42</v>
      </c>
      <c r="H16" s="1821">
        <f>'资负表（未审）-旧'!H16</f>
        <v>0</v>
      </c>
      <c r="I16" s="1821">
        <f>'资负表（未审）-旧'!I16</f>
        <v>0</v>
      </c>
      <c r="J16" s="1822"/>
    </row>
    <row r="17" customHeight="1" spans="1:10">
      <c r="A17" s="1820" t="str">
        <f>分类汇总!B21</f>
        <v>其他流动资产</v>
      </c>
      <c r="B17" s="1817">
        <f>IF(A17="","",SUBTOTAL(3,A$6:A17))</f>
        <v>12</v>
      </c>
      <c r="C17" s="1824">
        <f>'资负表（未审）-旧'!C17</f>
        <v>0</v>
      </c>
      <c r="D17" s="1824">
        <f>'资负表（未审）-旧'!D17</f>
        <v>0</v>
      </c>
      <c r="E17" s="1822"/>
      <c r="F17" s="1820" t="str">
        <f>分类汇总!B57</f>
        <v>一年内到期的非流动负债</v>
      </c>
      <c r="G17" s="1817">
        <f>IF(F17="","",SUBTOTAL(3,A$6:A$40,F$6:F17))</f>
        <v>43</v>
      </c>
      <c r="H17" s="1821">
        <f>'资负表（未审）-旧'!H17</f>
        <v>0</v>
      </c>
      <c r="I17" s="1821">
        <f>'资负表（未审）-旧'!I17</f>
        <v>0</v>
      </c>
      <c r="J17" s="1822"/>
    </row>
    <row r="18" customHeight="1" spans="1:10">
      <c r="A18" s="1820"/>
      <c r="B18" s="1817" t="str">
        <f>IF(A18="","",SUBTOTAL(3,A$6:A18))</f>
        <v/>
      </c>
      <c r="C18" s="1830"/>
      <c r="D18" s="1830"/>
      <c r="E18" s="1831"/>
      <c r="F18" s="1820" t="str">
        <f>分类汇总!B58</f>
        <v>其他流动负债</v>
      </c>
      <c r="G18" s="1817">
        <f>IF(F18="","",SUBTOTAL(3,A$6:A$40,F$6:F18))</f>
        <v>44</v>
      </c>
      <c r="H18" s="1821">
        <f>'资负表（未审）-旧'!H18</f>
        <v>0</v>
      </c>
      <c r="I18" s="1821">
        <f>'资负表（未审）-旧'!I18</f>
        <v>0</v>
      </c>
      <c r="J18" s="1822"/>
    </row>
    <row r="19" customHeight="1" spans="1:10">
      <c r="A19" s="1815" t="s">
        <v>312</v>
      </c>
      <c r="B19" s="1817">
        <f>IF(A19="","",SUBTOTAL(3,A$6:A19))</f>
        <v>13</v>
      </c>
      <c r="C19" s="1818">
        <f>SUM(C7:C18)</f>
        <v>0</v>
      </c>
      <c r="D19" s="1818">
        <f>SUM(D7:D18)</f>
        <v>0</v>
      </c>
      <c r="E19" s="1819"/>
      <c r="F19" s="1825" t="s">
        <v>313</v>
      </c>
      <c r="G19" s="1817">
        <f>IF(F19="","",SUBTOTAL(3,A$6:A$40,F$6:F19))</f>
        <v>45</v>
      </c>
      <c r="H19" s="1826">
        <f>SUM(H7:H18)</f>
        <v>0</v>
      </c>
      <c r="I19" s="1826">
        <f>SUM(I7:I18)</f>
        <v>0</v>
      </c>
      <c r="J19" s="1819"/>
    </row>
    <row r="20" customHeight="1" spans="1:10">
      <c r="A20" s="1820" t="s">
        <v>314</v>
      </c>
      <c r="B20" s="1817">
        <f>IF(A20="","",SUBTOTAL(3,A$6:A20))</f>
        <v>14</v>
      </c>
      <c r="C20" s="1826"/>
      <c r="D20" s="1826"/>
      <c r="E20" s="1819"/>
      <c r="F20" s="1819" t="s">
        <v>315</v>
      </c>
      <c r="G20" s="1817">
        <f>IF(F20="","",SUBTOTAL(3,A$6:A$40,F$6:F20))</f>
        <v>46</v>
      </c>
      <c r="H20" s="1826"/>
      <c r="I20" s="1826"/>
      <c r="J20" s="1819"/>
    </row>
    <row r="21" customHeight="1" spans="1:10">
      <c r="A21" s="1820" t="str">
        <f>分类汇总!B23</f>
        <v>可供出售金融资产</v>
      </c>
      <c r="B21" s="1817">
        <f>IF(A21="","",SUBTOTAL(3,A$6:A21))</f>
        <v>15</v>
      </c>
      <c r="C21" s="1824">
        <f>'资负表（未审）-旧'!C21</f>
        <v>0</v>
      </c>
      <c r="D21" s="1824">
        <f>'资负表（未审）-旧'!D21</f>
        <v>0</v>
      </c>
      <c r="E21" s="1822"/>
      <c r="F21" s="1820" t="str">
        <f>分类汇总!B60</f>
        <v>长期借款</v>
      </c>
      <c r="G21" s="1817">
        <f>IF(F21="","",SUBTOTAL(3,A$6:A$40,F$6:F21))</f>
        <v>47</v>
      </c>
      <c r="H21" s="1821">
        <f>'资负表（未审）-旧'!H21</f>
        <v>0</v>
      </c>
      <c r="I21" s="1821">
        <f>'资负表（未审）-旧'!I21</f>
        <v>0</v>
      </c>
      <c r="J21" s="1822"/>
    </row>
    <row r="22" customHeight="1" spans="1:10">
      <c r="A22" s="1820" t="str">
        <f>分类汇总!B24</f>
        <v>持有至到期投资</v>
      </c>
      <c r="B22" s="1817">
        <f>IF(A22="","",SUBTOTAL(3,A$6:A22))</f>
        <v>16</v>
      </c>
      <c r="C22" s="1824">
        <f>'资负表（未审）-旧'!C22</f>
        <v>0</v>
      </c>
      <c r="D22" s="1824">
        <f>'资负表（未审）-旧'!D22</f>
        <v>0</v>
      </c>
      <c r="E22" s="1822"/>
      <c r="F22" s="1820" t="str">
        <f>分类汇总!B61</f>
        <v>应付债券</v>
      </c>
      <c r="G22" s="1817">
        <f>IF(F22="","",SUBTOTAL(3,A$6:A$40,F$6:F22))</f>
        <v>48</v>
      </c>
      <c r="H22" s="1821">
        <f>'资负表（未审）-旧'!H22</f>
        <v>0</v>
      </c>
      <c r="I22" s="1821">
        <f>'资负表（未审）-旧'!I22</f>
        <v>0</v>
      </c>
      <c r="J22" s="1822"/>
    </row>
    <row r="23" customHeight="1" spans="1:10">
      <c r="A23" s="1820" t="str">
        <f>分类汇总!B27</f>
        <v>长期应收款</v>
      </c>
      <c r="B23" s="1817">
        <f>IF(A23="","",SUBTOTAL(3,A$6:A23))</f>
        <v>17</v>
      </c>
      <c r="C23" s="1824">
        <f>'资负表（未审）-旧'!C23</f>
        <v>0</v>
      </c>
      <c r="D23" s="1824">
        <f>'资负表（未审）-旧'!D23</f>
        <v>0</v>
      </c>
      <c r="E23" s="1822"/>
      <c r="F23" s="1820" t="str">
        <f>分类汇总!B63</f>
        <v>长期应付款</v>
      </c>
      <c r="G23" s="1817">
        <f>IF(F23="","",SUBTOTAL(3,A$6:A$40,F$6:F23))</f>
        <v>49</v>
      </c>
      <c r="H23" s="1821">
        <f>'资负表（未审）-旧'!H23</f>
        <v>0</v>
      </c>
      <c r="I23" s="1821">
        <f>'资负表（未审）-旧'!I23</f>
        <v>0</v>
      </c>
      <c r="J23" s="1822"/>
    </row>
    <row r="24" customHeight="1" spans="1:10">
      <c r="A24" s="1820" t="str">
        <f>分类汇总!B28</f>
        <v>长期股权投资</v>
      </c>
      <c r="B24" s="1817">
        <f>IF(A24="","",SUBTOTAL(3,A$6:A24))</f>
        <v>18</v>
      </c>
      <c r="C24" s="1824">
        <f>'资负表（未审）-旧'!C24</f>
        <v>0</v>
      </c>
      <c r="D24" s="1824">
        <f>'资负表（未审）-旧'!D24</f>
        <v>0</v>
      </c>
      <c r="E24" s="1822"/>
      <c r="F24" s="1820" t="str">
        <f>分类汇总!B64</f>
        <v>预计负债</v>
      </c>
      <c r="G24" s="1817">
        <f>IF(F24="","",SUBTOTAL(3,A$6:A$40,F$6:F24))</f>
        <v>50</v>
      </c>
      <c r="H24" s="1821">
        <f>'资负表（未审）-旧'!H24</f>
        <v>0</v>
      </c>
      <c r="I24" s="1821">
        <f>'资负表（未审）-旧'!I24</f>
        <v>0</v>
      </c>
      <c r="J24" s="1822"/>
    </row>
    <row r="25" customHeight="1" spans="1:10">
      <c r="A25" s="1820" t="str">
        <f>分类汇总!B31</f>
        <v>投资性房地产</v>
      </c>
      <c r="B25" s="1817">
        <f>IF(A25="","",SUBTOTAL(3,A$6:A25))</f>
        <v>19</v>
      </c>
      <c r="C25" s="1824">
        <f>'资负表（未审）-旧'!C25</f>
        <v>0</v>
      </c>
      <c r="D25" s="1824">
        <f>'资负表（未审）-旧'!D25</f>
        <v>0</v>
      </c>
      <c r="E25" s="1822"/>
      <c r="F25" s="1820" t="str">
        <f>分类汇总!B65</f>
        <v>递延收益</v>
      </c>
      <c r="G25" s="1817">
        <f>IF(F25="","",SUBTOTAL(3,A$6:A$40,F$6:F25))</f>
        <v>51</v>
      </c>
      <c r="H25" s="1821">
        <f>'资负表（未审）-旧'!H25</f>
        <v>0</v>
      </c>
      <c r="I25" s="1821">
        <f>'资负表（未审）-旧'!I25</f>
        <v>0</v>
      </c>
      <c r="J25" s="1822"/>
    </row>
    <row r="26" customHeight="1" spans="1:10">
      <c r="A26" s="1820" t="str">
        <f>分类汇总!B32</f>
        <v>固定资产</v>
      </c>
      <c r="B26" s="1817">
        <f>IF(A26="","",SUBTOTAL(3,A$6:A26))</f>
        <v>20</v>
      </c>
      <c r="C26" s="1824">
        <f>'资负表（未审）-旧'!C26</f>
        <v>0</v>
      </c>
      <c r="D26" s="1824">
        <f>'资负表（未审）-旧'!D26</f>
        <v>0</v>
      </c>
      <c r="E26" s="1822"/>
      <c r="F26" s="1820" t="str">
        <f>分类汇总!B66</f>
        <v>递延所得税负债</v>
      </c>
      <c r="G26" s="1817">
        <f>IF(F26="","",SUBTOTAL(3,A$6:A$40,F$6:F26))</f>
        <v>52</v>
      </c>
      <c r="H26" s="1821">
        <f>'资负表（未审）-旧'!H26</f>
        <v>0</v>
      </c>
      <c r="I26" s="1821">
        <f>'资负表（未审）-旧'!I26</f>
        <v>0</v>
      </c>
      <c r="J26" s="1822"/>
    </row>
    <row r="27" customHeight="1" spans="1:10">
      <c r="A27" s="1820" t="str">
        <f>分类汇总!B33</f>
        <v>在建工程</v>
      </c>
      <c r="B27" s="1817">
        <f>IF(A27="","",SUBTOTAL(3,A$6:A27))</f>
        <v>21</v>
      </c>
      <c r="C27" s="1824">
        <f>'资负表（未审）-旧'!C27</f>
        <v>0</v>
      </c>
      <c r="D27" s="1824">
        <f>'资负表（未审）-旧'!D27</f>
        <v>0</v>
      </c>
      <c r="E27" s="1822"/>
      <c r="F27" s="1820" t="str">
        <f>分类汇总!B67</f>
        <v>其他非流动负债</v>
      </c>
      <c r="G27" s="1817">
        <f>IF(F27="","",SUBTOTAL(3,A$6:A$40,F$6:F27))</f>
        <v>53</v>
      </c>
      <c r="H27" s="1821">
        <f>'资负表（未审）-旧'!H27</f>
        <v>0</v>
      </c>
      <c r="I27" s="1821">
        <f>'资负表（未审）-旧'!I27</f>
        <v>0</v>
      </c>
      <c r="J27" s="1822"/>
    </row>
    <row r="28" customHeight="1" spans="1:10">
      <c r="A28" s="1820" t="str">
        <f>分类汇总!B34</f>
        <v>生产性生物资产</v>
      </c>
      <c r="B28" s="1817">
        <f>IF(A28="","",SUBTOTAL(3,A$6:A28))</f>
        <v>22</v>
      </c>
      <c r="C28" s="1824">
        <f>'资负表（未审）-旧'!C28</f>
        <v>0</v>
      </c>
      <c r="D28" s="1824">
        <f>'资负表（未审）-旧'!D28</f>
        <v>0</v>
      </c>
      <c r="E28" s="1822"/>
      <c r="F28" s="1825" t="s">
        <v>316</v>
      </c>
      <c r="G28" s="1817">
        <f>IF(F28="","",SUBTOTAL(3,A$6:A$40,F$6:F28))</f>
        <v>54</v>
      </c>
      <c r="H28" s="1826">
        <f>SUM(H21:H27)</f>
        <v>0</v>
      </c>
      <c r="I28" s="1826">
        <f>SUM(I21:I27)</f>
        <v>0</v>
      </c>
      <c r="J28" s="1819"/>
    </row>
    <row r="29" customHeight="1" spans="1:10">
      <c r="A29" s="1820" t="str">
        <f>分类汇总!B35</f>
        <v>油气资产</v>
      </c>
      <c r="B29" s="1817">
        <f>IF(A29="","",SUBTOTAL(3,A$6:A29))</f>
        <v>23</v>
      </c>
      <c r="C29" s="1824">
        <f>'资负表（未审）-旧'!C29</f>
        <v>0</v>
      </c>
      <c r="D29" s="1824">
        <f>'资负表（未审）-旧'!D29</f>
        <v>0</v>
      </c>
      <c r="E29" s="1822"/>
      <c r="F29" s="1825" t="s">
        <v>317</v>
      </c>
      <c r="G29" s="1817">
        <f>IF(F29="","",SUBTOTAL(3,A$6:A$40,F$6:F29))</f>
        <v>55</v>
      </c>
      <c r="H29" s="1827">
        <f>H19+H28</f>
        <v>0</v>
      </c>
      <c r="I29" s="1827">
        <f>I19+I28</f>
        <v>0</v>
      </c>
      <c r="J29" s="1819"/>
    </row>
    <row r="30" customHeight="1" spans="1:10">
      <c r="A30" s="1820" t="str">
        <f>分类汇总!B37</f>
        <v>无形资产</v>
      </c>
      <c r="B30" s="1817">
        <f>IF(A30="","",SUBTOTAL(3,A$6:A30))</f>
        <v>24</v>
      </c>
      <c r="C30" s="1824">
        <f>'资负表（未审）-旧'!C30</f>
        <v>0</v>
      </c>
      <c r="D30" s="1824">
        <f>'资负表（未审）-旧'!D30</f>
        <v>0</v>
      </c>
      <c r="E30" s="1822"/>
      <c r="F30" s="1819" t="s">
        <v>318</v>
      </c>
      <c r="G30" s="1817">
        <f>IF(F30="","",SUBTOTAL(3,A$6:A$40,F$6:F30))</f>
        <v>56</v>
      </c>
      <c r="H30" s="1824">
        <f>'资负表（未审）-旧'!H30</f>
        <v>0</v>
      </c>
      <c r="I30" s="1824">
        <f>'资负表（未审）-旧'!I30</f>
        <v>0</v>
      </c>
      <c r="J30" s="1828"/>
    </row>
    <row r="31" customHeight="1" spans="1:10">
      <c r="A31" s="1820" t="str">
        <f>分类汇总!B38</f>
        <v>开发支出</v>
      </c>
      <c r="B31" s="1817">
        <f>IF(A31="","",SUBTOTAL(3,A$6:A31))</f>
        <v>25</v>
      </c>
      <c r="C31" s="1824">
        <f>'资负表（未审）-旧'!C31</f>
        <v>0</v>
      </c>
      <c r="D31" s="1824">
        <f>'资负表（未审）-旧'!D31</f>
        <v>0</v>
      </c>
      <c r="E31" s="1822"/>
      <c r="F31" s="1820" t="s">
        <v>319</v>
      </c>
      <c r="G31" s="1817">
        <f>IF(F31="","",SUBTOTAL(3,A$6:A$40,F$6:F31))</f>
        <v>57</v>
      </c>
      <c r="H31" s="1821">
        <f>'资负表（未审）-旧'!H31</f>
        <v>0</v>
      </c>
      <c r="I31" s="1821">
        <f>'资负表（未审）-旧'!I31</f>
        <v>0</v>
      </c>
      <c r="J31" s="1822"/>
    </row>
    <row r="32" customHeight="1" spans="1:10">
      <c r="A32" s="1820" t="str">
        <f>分类汇总!B39</f>
        <v>商誉</v>
      </c>
      <c r="B32" s="1817">
        <f>IF(A32="","",SUBTOTAL(3,A$6:A32))</f>
        <v>26</v>
      </c>
      <c r="C32" s="1824">
        <f>'资负表（未审）-旧'!C32</f>
        <v>0</v>
      </c>
      <c r="D32" s="1824">
        <f>'资负表（未审）-旧'!D32</f>
        <v>0</v>
      </c>
      <c r="E32" s="1822"/>
      <c r="F32" s="1820" t="s">
        <v>320</v>
      </c>
      <c r="G32" s="1817">
        <f>IF(F32="","",SUBTOTAL(3,A$6:A$40,F$6:F32))</f>
        <v>58</v>
      </c>
      <c r="H32" s="1821">
        <f>'资负表（未审）-旧'!H32</f>
        <v>0</v>
      </c>
      <c r="I32" s="1821">
        <f>'资负表（未审）-旧'!I32</f>
        <v>0</v>
      </c>
      <c r="J32" s="1822"/>
    </row>
    <row r="33" customHeight="1" spans="1:10">
      <c r="A33" s="1820" t="str">
        <f>分类汇总!B40</f>
        <v>长期待摊费用</v>
      </c>
      <c r="B33" s="1817">
        <f>IF(A33="","",SUBTOTAL(3,A$6:A33))</f>
        <v>27</v>
      </c>
      <c r="C33" s="1824">
        <f>'资负表（未审）-旧'!C33</f>
        <v>0</v>
      </c>
      <c r="D33" s="1824">
        <f>'资负表（未审）-旧'!D33</f>
        <v>0</v>
      </c>
      <c r="E33" s="1822"/>
      <c r="F33" s="1820" t="s">
        <v>321</v>
      </c>
      <c r="G33" s="1817">
        <f>IF(F33="","",SUBTOTAL(3,A$6:A$40,F$6:F33))</f>
        <v>59</v>
      </c>
      <c r="H33" s="1829">
        <f>'资负表（未审）-旧'!H33</f>
        <v>0</v>
      </c>
      <c r="I33" s="1829">
        <f>'资负表（未审）-旧'!I33</f>
        <v>0</v>
      </c>
      <c r="J33" s="1822"/>
    </row>
    <row r="34" customHeight="1" spans="1:10">
      <c r="A34" s="1820" t="str">
        <f>分类汇总!B41</f>
        <v>递延所得税资产</v>
      </c>
      <c r="B34" s="1817">
        <f>IF(A34="","",SUBTOTAL(3,A$6:A34))</f>
        <v>28</v>
      </c>
      <c r="C34" s="1824">
        <f>'资负表（未审）-旧'!C34</f>
        <v>0</v>
      </c>
      <c r="D34" s="1824">
        <f>'资负表（未审）-旧'!D34</f>
        <v>0</v>
      </c>
      <c r="E34" s="1822"/>
      <c r="F34" s="1820" t="s">
        <v>322</v>
      </c>
      <c r="G34" s="1817">
        <f>IF(F34="","",SUBTOTAL(3,A$6:A$40,F$6:F34))</f>
        <v>60</v>
      </c>
      <c r="H34" s="1824">
        <f>'资负表（未审）-旧'!H34</f>
        <v>0</v>
      </c>
      <c r="I34" s="1824">
        <f>'资负表（未审）-旧'!I34</f>
        <v>0</v>
      </c>
      <c r="J34" s="1822"/>
    </row>
    <row r="35" customHeight="1" spans="1:10">
      <c r="A35" s="1820" t="str">
        <f>分类汇总!B42</f>
        <v>其他非流动资产</v>
      </c>
      <c r="B35" s="1817">
        <f>IF(A35="","",SUBTOTAL(3,A$6:A35))</f>
        <v>29</v>
      </c>
      <c r="C35" s="1824">
        <f>'资负表（未审）-旧'!C35</f>
        <v>0</v>
      </c>
      <c r="D35" s="1824">
        <f>'资负表（未审）-旧'!D35</f>
        <v>0</v>
      </c>
      <c r="E35" s="1822"/>
      <c r="F35" s="1820" t="s">
        <v>323</v>
      </c>
      <c r="G35" s="1817">
        <f>IF(F35="","",SUBTOTAL(3,A$6:A$40,F$6:F35))</f>
        <v>61</v>
      </c>
      <c r="H35" s="1821">
        <f>'资负表（未审）-旧'!H35</f>
        <v>0</v>
      </c>
      <c r="I35" s="1821">
        <f>'资负表（未审）-旧'!I35</f>
        <v>0</v>
      </c>
      <c r="J35" s="1822"/>
    </row>
    <row r="36" customHeight="1" spans="1:10">
      <c r="A36" s="1820"/>
      <c r="B36" s="1817" t="str">
        <f>IF(A36="","",SUBTOTAL(3,A$6:A36))</f>
        <v/>
      </c>
      <c r="C36" s="1830"/>
      <c r="D36" s="1830"/>
      <c r="E36" s="1831"/>
      <c r="F36" s="1820" t="s">
        <v>324</v>
      </c>
      <c r="G36" s="1817">
        <f>IF(F36="","",SUBTOTAL(3,A$6:A$40,F$6:F36))</f>
        <v>62</v>
      </c>
      <c r="H36" s="1821">
        <f>'资负表（未审）-旧'!H36</f>
        <v>0</v>
      </c>
      <c r="I36" s="1821">
        <f>'资负表（未审）-旧'!I36</f>
        <v>0</v>
      </c>
      <c r="J36" s="1822"/>
    </row>
    <row r="37" customHeight="1" spans="1:10">
      <c r="A37" s="1820"/>
      <c r="B37" s="1817" t="str">
        <f>IF(A37="","",SUBTOTAL(3,A$6:A37))</f>
        <v/>
      </c>
      <c r="C37" s="1830"/>
      <c r="D37" s="1830"/>
      <c r="E37" s="1831"/>
      <c r="F37" s="1820" t="s">
        <v>325</v>
      </c>
      <c r="G37" s="1817">
        <f>IF(F37="","",SUBTOTAL(3,A$6:A$40,F$6:F37))</f>
        <v>63</v>
      </c>
      <c r="H37" s="1821">
        <f>'资负表（未审）-旧'!H37</f>
        <v>0</v>
      </c>
      <c r="I37" s="1821">
        <f>'资负表（未审）-旧'!I37</f>
        <v>0</v>
      </c>
      <c r="J37" s="1822"/>
    </row>
    <row r="38" customHeight="1" spans="1:10">
      <c r="A38" s="1820"/>
      <c r="B38" s="1817" t="str">
        <f>IF(A38="","",SUBTOTAL(3,A$6:A38))</f>
        <v/>
      </c>
      <c r="C38" s="1830"/>
      <c r="D38" s="1830"/>
      <c r="E38" s="1831"/>
      <c r="F38" s="1820" t="s">
        <v>326</v>
      </c>
      <c r="G38" s="1817">
        <f>IF(F38="","",SUBTOTAL(3,A$6:A$40,F$6:F38))</f>
        <v>64</v>
      </c>
      <c r="H38" s="1821">
        <f>'资负表（未审）-旧'!H38</f>
        <v>0</v>
      </c>
      <c r="I38" s="1821">
        <f>'资负表（未审）-旧'!I38</f>
        <v>0</v>
      </c>
      <c r="J38" s="1822"/>
    </row>
    <row r="39" customHeight="1" spans="1:10">
      <c r="A39" s="1815" t="s">
        <v>327</v>
      </c>
      <c r="B39" s="1817">
        <f>IF(A39="","",SUBTOTAL(3,A$6:A39))</f>
        <v>30</v>
      </c>
      <c r="C39" s="1818">
        <f>SUM(C21:C38)</f>
        <v>0</v>
      </c>
      <c r="D39" s="1818">
        <f>SUM(D21:D38)</f>
        <v>0</v>
      </c>
      <c r="E39" s="1819"/>
      <c r="F39" s="1832" t="s">
        <v>328</v>
      </c>
      <c r="G39" s="1817">
        <f>IF(F39="","",SUBTOTAL(3,A$6:A$40,F$6:F39))</f>
        <v>65</v>
      </c>
      <c r="H39" s="1833">
        <f>SUM(H31:H33,H35:H38)-H34</f>
        <v>0</v>
      </c>
      <c r="I39" s="1833">
        <f>SUM(I31:I33,I35:I38)-I34</f>
        <v>0</v>
      </c>
      <c r="J39" s="1819"/>
    </row>
    <row r="40" customHeight="1" spans="1:10">
      <c r="A40" s="1834" t="s">
        <v>329</v>
      </c>
      <c r="B40" s="1835">
        <f>IF(A40="","",SUBTOTAL(3,A$6:A40))</f>
        <v>31</v>
      </c>
      <c r="C40" s="1827">
        <f>SUM(C39,C19)</f>
        <v>0</v>
      </c>
      <c r="D40" s="1827">
        <f>SUM(D39,D19)</f>
        <v>0</v>
      </c>
      <c r="E40" s="1836"/>
      <c r="F40" s="1832" t="s">
        <v>330</v>
      </c>
      <c r="G40" s="1817">
        <f>IF(F40="","",SUBTOTAL(3,A$6:A$40,F$6:F40))</f>
        <v>66</v>
      </c>
      <c r="H40" s="1833">
        <f>H29+H39</f>
        <v>0</v>
      </c>
      <c r="I40" s="1833">
        <f>I29+I39</f>
        <v>0</v>
      </c>
      <c r="J40" s="1837"/>
    </row>
    <row r="41" customHeight="1" spans="1:10">
      <c r="A41" s="1820"/>
      <c r="B41" s="1817"/>
      <c r="C41" s="1838"/>
      <c r="D41" s="1838"/>
      <c r="E41" s="1839"/>
      <c r="F41" s="1819" t="s">
        <v>331</v>
      </c>
      <c r="G41" s="1817">
        <f>IF(F41="","",SUBTOTAL(3,A$6:A$40,F$6:F41))</f>
        <v>67</v>
      </c>
      <c r="H41" s="1818">
        <f>H40-C40</f>
        <v>0</v>
      </c>
      <c r="I41" s="1818">
        <f>I40-D40</f>
        <v>0</v>
      </c>
      <c r="J41" s="1819"/>
    </row>
    <row r="42" customHeight="1" spans="1:10">
      <c r="A42" s="1843" t="str">
        <f>"填表人："&amp;封面!F11</f>
        <v>填表人：贾广东</v>
      </c>
      <c r="B42" s="1844"/>
      <c r="C42" s="1843"/>
      <c r="D42" s="1845" t="str">
        <f>"财务主管："&amp;基本情况!I8</f>
        <v>财务主管：</v>
      </c>
      <c r="E42" s="1845"/>
      <c r="F42" s="1846"/>
      <c r="G42" s="1847" t="str">
        <f>"负责人："&amp;基本情况!I5</f>
        <v>负责人：</v>
      </c>
      <c r="H42" s="1847"/>
      <c r="I42" s="1843"/>
      <c r="J42" s="1843"/>
    </row>
  </sheetData>
  <sheetProtection selectLockedCells="1" autoFilter="0"/>
  <mergeCells count="5">
    <mergeCell ref="A2:J2"/>
    <mergeCell ref="A3:J3"/>
    <mergeCell ref="A4:C4"/>
    <mergeCell ref="D42:E42"/>
    <mergeCell ref="G42:H42"/>
  </mergeCells>
  <conditionalFormatting sqref="H41:I41">
    <cfRule type="cellIs" dxfId="1" priority="1" stopIfTrue="1" operator="notEqual">
      <formula>0</formula>
    </cfRule>
  </conditionalFormatting>
  <hyperlinks>
    <hyperlink ref="A1" location="索引目录!C4" display="返回索引页"/>
  </hyperlinks>
  <printOptions horizontalCentered="1"/>
  <pageMargins left="0.708661417322835" right="0.708661417322835" top="0.748031496062992" bottom="0.748031496062992" header="0.31496062992126" footer="0.31496062992126"/>
  <pageSetup paperSize="9" orientation="landscape" blackAndWhite="1"/>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9"/>
  <dimension ref="A1:BW39"/>
  <sheetViews>
    <sheetView workbookViewId="0">
      <pane xSplit="4" ySplit="7" topLeftCell="E8" activePane="bottomRight" state="frozen"/>
      <selection/>
      <selection pane="topRight"/>
      <selection pane="bottomLeft"/>
      <selection pane="bottomRight" activeCell="E45" sqref="E45"/>
    </sheetView>
  </sheetViews>
  <sheetFormatPr defaultColWidth="9" defaultRowHeight="15.75" customHeight="1"/>
  <cols>
    <col min="1" max="1" width="4.3" style="290" customWidth="1"/>
    <col min="2" max="2" width="14.2" style="229" customWidth="1"/>
    <col min="3" max="3" width="4.7" style="229" customWidth="1"/>
    <col min="4" max="4" width="8" style="229" customWidth="1"/>
    <col min="5" max="5" width="7.7" style="229" customWidth="1"/>
    <col min="6" max="6" width="6.5" style="229" customWidth="1"/>
    <col min="7" max="7" width="11.7" style="229" customWidth="1"/>
    <col min="8" max="9" width="4.6" style="75" customWidth="1" outlineLevel="1"/>
    <col min="10" max="10" width="6.1" style="75" customWidth="1" outlineLevel="1"/>
    <col min="11" max="11" width="13.8" style="229" customWidth="1" outlineLevel="1"/>
    <col min="12" max="12" width="13.8" style="951" customWidth="1" outlineLevel="1"/>
    <col min="13" max="13" width="13.8" style="229" customWidth="1"/>
    <col min="14" max="14" width="13.7" style="229" customWidth="1"/>
    <col min="15" max="15" width="7.2" style="229" customWidth="1"/>
    <col min="16" max="16" width="7.1" style="229" customWidth="1"/>
    <col min="17" max="52" width="9" style="229" hidden="1" customWidth="1" outlineLevel="1"/>
    <col min="53" max="53" width="14.7" style="229" customWidth="1" collapsed="1"/>
    <col min="54" max="54" width="6.7" style="229" customWidth="1"/>
    <col min="55" max="56" width="5" style="229" customWidth="1"/>
    <col min="57" max="57" width="8.6" style="229" customWidth="1"/>
    <col min="58" max="59" width="10.6" style="229" customWidth="1"/>
    <col min="60" max="63" width="5" style="254" customWidth="1"/>
    <col min="64" max="64" width="6.7" style="254" customWidth="1"/>
    <col min="65" max="65" width="10.3" style="229" customWidth="1"/>
    <col min="66" max="66" width="8.6" style="229"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229"/>
  </cols>
  <sheetData>
    <row r="1" customHeight="1" spans="1:75">
      <c r="A1" s="203" t="s">
        <v>1591</v>
      </c>
      <c r="B1" s="204" t="s">
        <v>1592</v>
      </c>
      <c r="H1" s="82"/>
      <c r="I1" s="82"/>
      <c r="J1" s="82"/>
      <c r="BA1" s="951" t="s">
        <v>3607</v>
      </c>
      <c r="BB1" s="237"/>
      <c r="BO1" s="87"/>
      <c r="BP1" s="88"/>
      <c r="BQ1" s="87"/>
      <c r="BR1" s="88"/>
      <c r="BS1" s="88"/>
      <c r="BT1" s="88"/>
      <c r="BU1" s="88"/>
      <c r="BV1" s="88"/>
      <c r="BW1" s="87"/>
    </row>
    <row r="2" s="237" customFormat="1" ht="30" customHeight="1" spans="1:75">
      <c r="A2" s="293" t="s">
        <v>3608</v>
      </c>
      <c r="B2" s="294"/>
      <c r="C2" s="294"/>
      <c r="D2" s="294"/>
      <c r="E2" s="294"/>
      <c r="F2" s="294"/>
      <c r="G2" s="294"/>
      <c r="H2" s="294"/>
      <c r="I2" s="294"/>
      <c r="J2" s="294"/>
      <c r="K2" s="294"/>
      <c r="L2" s="294"/>
      <c r="M2" s="294"/>
      <c r="N2" s="294"/>
      <c r="O2" s="294"/>
      <c r="P2" s="294"/>
      <c r="BA2" s="107" t="s">
        <v>4</v>
      </c>
      <c r="BB2" s="952" t="str">
        <f>RIGHT(A3,LEN(A3)-6)</f>
        <v>2025年7月31日</v>
      </c>
      <c r="BH2" s="295"/>
      <c r="BI2" s="295"/>
      <c r="BJ2" s="295"/>
      <c r="BK2" s="295"/>
      <c r="BL2" s="295"/>
      <c r="BO2" s="92"/>
      <c r="BP2" s="93"/>
      <c r="BQ2" s="92"/>
      <c r="BR2" s="93"/>
      <c r="BS2" s="93"/>
      <c r="BT2" s="93"/>
      <c r="BU2" s="93"/>
      <c r="BV2" s="93"/>
      <c r="BW2" s="92"/>
    </row>
    <row r="3" ht="14.1" customHeight="1" spans="1:75">
      <c r="A3" s="296" t="str">
        <f>参数表!F5</f>
        <v>评估基准日：2025年7月31日</v>
      </c>
      <c r="B3" s="296"/>
      <c r="C3" s="296"/>
      <c r="D3" s="296"/>
      <c r="E3" s="296"/>
      <c r="F3" s="296"/>
      <c r="G3" s="162"/>
      <c r="H3" s="162"/>
      <c r="I3" s="162"/>
      <c r="J3" s="162"/>
      <c r="K3" s="162"/>
      <c r="L3" s="162"/>
      <c r="M3" s="162"/>
      <c r="N3" s="162"/>
      <c r="O3" s="162"/>
      <c r="P3" s="162"/>
      <c r="BA3" s="107" t="s">
        <v>3609</v>
      </c>
      <c r="BB3" s="162" t="str">
        <f>参数表!$BB$3</f>
        <v>是</v>
      </c>
    </row>
    <row r="4" ht="14.1" customHeight="1" spans="1:75">
      <c r="A4" s="297"/>
      <c r="B4" s="296"/>
      <c r="C4" s="296"/>
      <c r="D4" s="296"/>
      <c r="E4" s="296"/>
      <c r="F4" s="296"/>
      <c r="G4" s="162"/>
      <c r="H4" s="94"/>
      <c r="I4" s="94"/>
      <c r="J4" s="94"/>
      <c r="K4" s="162"/>
      <c r="L4" s="965"/>
      <c r="M4" s="162"/>
      <c r="N4" s="162"/>
      <c r="O4" s="162"/>
      <c r="P4" s="98" t="str">
        <f>"表"&amp;$BA4</f>
        <v>表4-7</v>
      </c>
      <c r="BA4" s="298" t="str">
        <f>非流动资总!A13</f>
        <v>4-7</v>
      </c>
      <c r="BB4" s="100">
        <f>MAX(COUNTA(A7:A26),COUNTA(B7:B26),COUNTA(K7:K26),COUNTA(M7:M26))</f>
        <v>20</v>
      </c>
      <c r="BC4" s="101">
        <f>ROW(A6)+1</f>
        <v>7</v>
      </c>
      <c r="BD4" s="77"/>
      <c r="BE4" s="77"/>
      <c r="BQ4" s="78"/>
    </row>
    <row r="5" customHeight="1" spans="1:75">
      <c r="A5" s="299" t="str">
        <f>参数表!F3</f>
        <v>产权持有单位:中煤第五建设有限公司</v>
      </c>
      <c r="B5" s="107"/>
      <c r="C5" s="107"/>
      <c r="D5" s="107"/>
      <c r="E5" s="107"/>
      <c r="F5" s="107"/>
      <c r="G5" s="107"/>
      <c r="H5" s="103"/>
      <c r="I5" s="103"/>
      <c r="J5" s="103"/>
      <c r="K5" s="107"/>
      <c r="L5" s="966"/>
      <c r="M5" s="107"/>
      <c r="N5" s="107"/>
      <c r="O5" s="107"/>
      <c r="P5" s="300" t="s">
        <v>236</v>
      </c>
      <c r="BA5" s="107"/>
      <c r="BB5" s="105" t="str">
        <f ca="1">判断表!C58</f>
        <v>中煤第五建设有限公司第三工程处拟处置实物资产项目\[0000-3基础法明细表.xlsx]其他权益工具</v>
      </c>
      <c r="BC5" s="106">
        <f>IFERROR(SUMIF(BC7:BC26,"√",M7:M26)/M27,0)</f>
        <v>0</v>
      </c>
      <c r="BD5" s="107"/>
      <c r="BE5" s="107"/>
      <c r="BF5" s="177">
        <f>分类汇总!I29</f>
        <v>0</v>
      </c>
      <c r="BG5" s="177">
        <f>分类汇总!K29</f>
        <v>0</v>
      </c>
      <c r="BH5" s="165"/>
      <c r="BI5" s="165"/>
      <c r="BJ5" s="165"/>
      <c r="BK5" s="165"/>
      <c r="BL5" s="165"/>
      <c r="BM5" s="75"/>
      <c r="BN5" s="75"/>
      <c r="BO5" s="111"/>
      <c r="BQ5" s="78"/>
      <c r="BW5" s="111"/>
    </row>
    <row r="6" s="964" customFormat="1" ht="36" spans="1:75">
      <c r="A6" s="967" t="s">
        <v>305</v>
      </c>
      <c r="B6" s="328" t="s">
        <v>1741</v>
      </c>
      <c r="C6" s="328" t="s">
        <v>3610</v>
      </c>
      <c r="D6" s="968" t="s">
        <v>1743</v>
      </c>
      <c r="E6" s="328" t="s">
        <v>1744</v>
      </c>
      <c r="F6" s="969" t="s">
        <v>3611</v>
      </c>
      <c r="G6" s="329" t="s">
        <v>3612</v>
      </c>
      <c r="H6" s="114" t="s">
        <v>1631</v>
      </c>
      <c r="I6" s="115" t="s">
        <v>1632</v>
      </c>
      <c r="J6" s="115" t="s">
        <v>1633</v>
      </c>
      <c r="K6" s="328" t="s">
        <v>1549</v>
      </c>
      <c r="L6" s="970" t="s">
        <v>3236</v>
      </c>
      <c r="M6" s="328" t="s">
        <v>1523</v>
      </c>
      <c r="N6" s="328" t="s">
        <v>1550</v>
      </c>
      <c r="O6" s="328" t="s">
        <v>1551</v>
      </c>
      <c r="P6" s="328"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19"/>
      <c r="BP6" s="120" t="s">
        <v>1645</v>
      </c>
      <c r="BQ6" s="121" t="s">
        <v>1646</v>
      </c>
      <c r="BR6" s="121" t="s">
        <v>1647</v>
      </c>
      <c r="BS6" s="121" t="s">
        <v>1648</v>
      </c>
      <c r="BT6" s="121" t="s">
        <v>1647</v>
      </c>
      <c r="BU6" s="121" t="s">
        <v>1647</v>
      </c>
      <c r="BV6" s="121" t="s">
        <v>1649</v>
      </c>
      <c r="BW6" s="122" t="s">
        <v>1650</v>
      </c>
    </row>
    <row r="7" s="254" customFormat="1" customHeight="1" spans="1:75">
      <c r="A7" s="123" t="str">
        <f>IF(B7="","",COUNT(A$6:A6)+1)</f>
        <v/>
      </c>
      <c r="B7" s="957"/>
      <c r="C7" s="957"/>
      <c r="D7" s="971"/>
      <c r="E7" s="957"/>
      <c r="F7" s="957"/>
      <c r="G7" s="955"/>
      <c r="H7" s="127"/>
      <c r="I7" s="127" t="str">
        <f>IFERROR(VLOOKUP(H7,参数表!$H$2:$I$50,2,FALSE),"")</f>
        <v/>
      </c>
      <c r="J7" s="128" t="str">
        <f>IFERROR(IF(OR(H7="人民币",H7=""),"",M7/I7),"")</f>
        <v/>
      </c>
      <c r="K7" s="955"/>
      <c r="L7" s="972"/>
      <c r="M7" s="955" t="str">
        <f>IF(B7="","",K7+L7)</f>
        <v/>
      </c>
      <c r="N7" s="956" t="str">
        <f t="shared" ref="N7:N26" si="0">IF(B7="","",IF(BB$3="是",E7*G7,0))</f>
        <v/>
      </c>
      <c r="O7" s="955" t="str">
        <f>IFERROR((N7-M7)/M7*100,"")</f>
        <v/>
      </c>
      <c r="P7" s="957"/>
      <c r="BA7" s="78"/>
      <c r="BB7" s="132" t="s">
        <v>3613</v>
      </c>
      <c r="BC7" s="133"/>
      <c r="BD7" s="132" t="str">
        <f>IF(OR(B7="",BC7=""),"",COUNTIF(BC$7:BC7,"√"))</f>
        <v/>
      </c>
      <c r="BE7" s="134" t="str">
        <f t="shared" ref="BE7:BE26" si="1">IF(BC7="","",BB7&amp;"︱"&amp;B7&amp;"︱"&amp;TEXT(K7,"#,##0.00"))</f>
        <v/>
      </c>
      <c r="BF7" s="135" t="str">
        <f>IF($B7="","",IF(BF$5=0,"OK","出错"))</f>
        <v/>
      </c>
      <c r="BG7" s="135" t="str">
        <f>IF($B7="","",IF(BG$5=0,"OK","出错"))</f>
        <v/>
      </c>
      <c r="BH7" s="136"/>
      <c r="BI7" s="136"/>
      <c r="BJ7" s="136"/>
      <c r="BK7" s="136"/>
      <c r="BL7" s="136"/>
      <c r="BM7" s="137"/>
      <c r="BN7" s="137"/>
      <c r="BO7" s="77"/>
      <c r="BP7" s="134" t="str">
        <f>IF(COUNTIF(BP$6:BP6,C7)&gt;0,"",C7)&amp;""</f>
        <v/>
      </c>
      <c r="BQ7" s="138">
        <f>SUMIF(C$7:C$26,BP7,M$7:M$26)</f>
        <v>0</v>
      </c>
      <c r="BR7" s="132">
        <f t="shared" ref="BR7" si="2">RANK(BQ7,BQ$7:BQ$26)</f>
        <v>1</v>
      </c>
      <c r="BS7" s="138">
        <f>SUMIF(C$7:C$26,BP7,N$7:N$26)</f>
        <v>0</v>
      </c>
      <c r="BT7" s="132">
        <f>RANK(BS7,BS$7:BS$26)</f>
        <v>1</v>
      </c>
      <c r="BU7" s="138">
        <f>SUM(BQ7:BQ26)</f>
        <v>0</v>
      </c>
      <c r="BV7" s="138"/>
      <c r="BW7" s="138"/>
    </row>
    <row r="8" customHeight="1" spans="1:75">
      <c r="A8" s="123" t="str">
        <f>IF(B8="","",COUNT(A$6:A7)+1)</f>
        <v/>
      </c>
      <c r="B8" s="322" t="s">
        <v>347</v>
      </c>
      <c r="C8" s="322" t="s">
        <v>347</v>
      </c>
      <c r="D8" s="973" t="s">
        <v>347</v>
      </c>
      <c r="E8" s="325"/>
      <c r="F8" s="325"/>
      <c r="G8" s="256"/>
      <c r="H8" s="142"/>
      <c r="I8" s="127" t="str">
        <f>IFERROR(VLOOKUP(H8,参数表!$H$2:$I$50,2,FALSE),"")</f>
        <v/>
      </c>
      <c r="J8" s="128" t="str">
        <f t="shared" ref="J8:J26" si="3">IFERROR(IF(OR(H8="人民币",H8=""),"",M8/I8),"")</f>
        <v/>
      </c>
      <c r="K8" s="958"/>
      <c r="L8" s="974"/>
      <c r="M8" s="955" t="str">
        <f t="shared" ref="M8:M26" si="4">IF(B8="","",K8+L8)</f>
        <v/>
      </c>
      <c r="N8" s="956" t="str">
        <f t="shared" si="0"/>
        <v/>
      </c>
      <c r="O8" s="955" t="str">
        <f t="shared" ref="O8:O29" si="5">IFERROR((N8-M8)/M8*100,"")</f>
        <v/>
      </c>
      <c r="P8" s="959" t="s">
        <v>347</v>
      </c>
      <c r="BA8" s="78"/>
      <c r="BB8" s="132" t="s">
        <v>3614</v>
      </c>
      <c r="BC8" s="133"/>
      <c r="BD8" s="132" t="str">
        <f>IF(OR(B8="",BC8=""),"",COUNTIF(BC$7:BC8,"√"))</f>
        <v/>
      </c>
      <c r="BE8" s="134" t="str">
        <f t="shared" si="1"/>
        <v/>
      </c>
      <c r="BF8" s="135" t="str">
        <f t="shared" ref="BF8:BG26" si="6">IF($B8="","",IF(BF$5=0,"OK","出错"))</f>
        <v/>
      </c>
      <c r="BG8" s="135" t="str">
        <f t="shared" si="6"/>
        <v/>
      </c>
      <c r="BH8" s="136"/>
      <c r="BI8" s="136"/>
      <c r="BJ8" s="136"/>
      <c r="BK8" s="136"/>
      <c r="BL8" s="136"/>
      <c r="BM8" s="137"/>
      <c r="BN8" s="137"/>
      <c r="BP8" s="134" t="str">
        <f>IF(COUNTIF(BP$6:BP7,C8)&gt;0,"",C8)&amp;""</f>
        <v/>
      </c>
      <c r="BQ8" s="138">
        <f t="shared" ref="BQ8:BQ26" si="7">SUMIF(C$7:C$26,BP8,M$7:M$26)</f>
        <v>0</v>
      </c>
      <c r="BR8" s="132">
        <f t="shared" ref="BR8:BR26" si="8">RANK(BQ8,BQ$7:BQ$26)</f>
        <v>1</v>
      </c>
      <c r="BS8" s="138">
        <f t="shared" ref="BS8:BS26" si="9">SUMIF(C$7:C$26,BP8,N$7:N$26)</f>
        <v>0</v>
      </c>
      <c r="BT8" s="132">
        <f t="shared" ref="BT8:BT26" si="10">RANK(BS8,BS$7:BS$26)</f>
        <v>1</v>
      </c>
      <c r="BU8" s="138">
        <f>SUM(BS7:BS26)</f>
        <v>0</v>
      </c>
      <c r="BV8" s="138"/>
      <c r="BW8" s="138"/>
    </row>
    <row r="9" customHeight="1" spans="1:75">
      <c r="A9" s="123" t="str">
        <f>IF(B9="","",COUNT(A$6:A8)+1)</f>
        <v/>
      </c>
      <c r="B9" s="322" t="s">
        <v>347</v>
      </c>
      <c r="C9" s="322" t="s">
        <v>347</v>
      </c>
      <c r="D9" s="973" t="s">
        <v>347</v>
      </c>
      <c r="E9" s="325"/>
      <c r="F9" s="325"/>
      <c r="G9" s="256"/>
      <c r="H9" s="142"/>
      <c r="I9" s="127" t="str">
        <f>IFERROR(VLOOKUP(H9,参数表!$H$2:$I$50,2,FALSE),"")</f>
        <v/>
      </c>
      <c r="J9" s="128" t="str">
        <f t="shared" si="3"/>
        <v/>
      </c>
      <c r="K9" s="958"/>
      <c r="L9" s="974"/>
      <c r="M9" s="955" t="str">
        <f t="shared" si="4"/>
        <v/>
      </c>
      <c r="N9" s="956" t="str">
        <f t="shared" si="0"/>
        <v/>
      </c>
      <c r="O9" s="955" t="str">
        <f t="shared" si="5"/>
        <v/>
      </c>
      <c r="P9" s="959" t="s">
        <v>347</v>
      </c>
      <c r="BA9" s="78"/>
      <c r="BB9" s="132" t="s">
        <v>3615</v>
      </c>
      <c r="BC9" s="133"/>
      <c r="BD9" s="132" t="str">
        <f>IF(OR(B9="",BC9=""),"",COUNTIF(BC$7:BC9,"√"))</f>
        <v/>
      </c>
      <c r="BE9" s="134" t="str">
        <f t="shared" si="1"/>
        <v/>
      </c>
      <c r="BF9" s="135" t="str">
        <f t="shared" si="6"/>
        <v/>
      </c>
      <c r="BG9" s="135" t="str">
        <f t="shared" si="6"/>
        <v/>
      </c>
      <c r="BH9" s="136"/>
      <c r="BI9" s="136"/>
      <c r="BJ9" s="136"/>
      <c r="BK9" s="136"/>
      <c r="BL9" s="136"/>
      <c r="BM9" s="137"/>
      <c r="BN9" s="137"/>
      <c r="BP9" s="134" t="str">
        <f>IF(COUNTIF(BP$6:BP8,C9)&gt;0,"",C9)&amp;""</f>
        <v/>
      </c>
      <c r="BQ9" s="138">
        <f t="shared" si="7"/>
        <v>0</v>
      </c>
      <c r="BR9" s="132">
        <f t="shared" si="8"/>
        <v>1</v>
      </c>
      <c r="BS9" s="138">
        <f t="shared" si="9"/>
        <v>0</v>
      </c>
      <c r="BT9" s="132">
        <f t="shared" si="10"/>
        <v>1</v>
      </c>
      <c r="BU9" s="132">
        <v>1</v>
      </c>
      <c r="BV9" s="134" t="str">
        <f>IFERROR(INDEX(BP$7:BP$26,MATCH(BU9,IF(BU$7=0,BT$7:BT$26,BR$7:BR$26),0))&amp;"","")</f>
        <v/>
      </c>
      <c r="BW9" s="146" t="str">
        <f>IF(BV10="","",IF(BV11="","和","、"))</f>
        <v/>
      </c>
    </row>
    <row r="10" customHeight="1" spans="1:75">
      <c r="A10" s="123" t="str">
        <f>IF(B10="","",COUNT(A$6:A9)+1)</f>
        <v/>
      </c>
      <c r="B10" s="322" t="s">
        <v>347</v>
      </c>
      <c r="C10" s="322" t="s">
        <v>347</v>
      </c>
      <c r="D10" s="973" t="s">
        <v>347</v>
      </c>
      <c r="E10" s="325"/>
      <c r="F10" s="325"/>
      <c r="G10" s="256"/>
      <c r="H10" s="142"/>
      <c r="I10" s="127" t="str">
        <f>IFERROR(VLOOKUP(H10,参数表!$H$2:$I$50,2,FALSE),"")</f>
        <v/>
      </c>
      <c r="J10" s="128" t="str">
        <f t="shared" si="3"/>
        <v/>
      </c>
      <c r="K10" s="958"/>
      <c r="L10" s="974"/>
      <c r="M10" s="955" t="str">
        <f t="shared" si="4"/>
        <v/>
      </c>
      <c r="N10" s="956" t="str">
        <f t="shared" si="0"/>
        <v/>
      </c>
      <c r="O10" s="955" t="str">
        <f t="shared" si="5"/>
        <v/>
      </c>
      <c r="P10" s="959" t="s">
        <v>347</v>
      </c>
      <c r="BA10" s="78"/>
      <c r="BB10" s="132" t="s">
        <v>3616</v>
      </c>
      <c r="BC10" s="133"/>
      <c r="BD10" s="132" t="str">
        <f>IF(OR(B10="",BC10=""),"",COUNTIF(BC$7:BC10,"√"))</f>
        <v/>
      </c>
      <c r="BE10" s="134" t="str">
        <f t="shared" si="1"/>
        <v/>
      </c>
      <c r="BF10" s="135" t="str">
        <f t="shared" si="6"/>
        <v/>
      </c>
      <c r="BG10" s="135" t="str">
        <f t="shared" si="6"/>
        <v/>
      </c>
      <c r="BH10" s="136"/>
      <c r="BI10" s="136"/>
      <c r="BJ10" s="136"/>
      <c r="BK10" s="136"/>
      <c r="BL10" s="136"/>
      <c r="BM10" s="137"/>
      <c r="BN10" s="137"/>
      <c r="BP10" s="134" t="str">
        <f>IF(COUNTIF(BP$6:BP9,C10)&gt;0,"",C10)&amp;""</f>
        <v/>
      </c>
      <c r="BQ10" s="138">
        <f t="shared" si="7"/>
        <v>0</v>
      </c>
      <c r="BR10" s="132">
        <f t="shared" si="8"/>
        <v>1</v>
      </c>
      <c r="BS10" s="138">
        <f t="shared" si="9"/>
        <v>0</v>
      </c>
      <c r="BT10" s="132">
        <f t="shared" si="10"/>
        <v>1</v>
      </c>
      <c r="BU10" s="132">
        <v>2</v>
      </c>
      <c r="BV10" s="134" t="str">
        <f t="shared" ref="BV10:BV13" si="11">IFERROR(INDEX(BP$7:BP$26,MATCH(BU10,IF(BU$7=0,BT$7:BT$26,BR$7:BR$26),0))&amp;"","")</f>
        <v/>
      </c>
      <c r="BW10" s="146" t="str">
        <f t="shared" ref="BW10:BW11" si="12">IF(BV11="","",IF(BV12="","和","、"))</f>
        <v/>
      </c>
    </row>
    <row r="11" customHeight="1" spans="1:75">
      <c r="A11" s="123" t="str">
        <f>IF(B11="","",COUNT(A$6:A10)+1)</f>
        <v/>
      </c>
      <c r="B11" s="322" t="s">
        <v>347</v>
      </c>
      <c r="C11" s="322" t="s">
        <v>347</v>
      </c>
      <c r="D11" s="973" t="s">
        <v>347</v>
      </c>
      <c r="E11" s="325"/>
      <c r="F11" s="325"/>
      <c r="G11" s="256"/>
      <c r="H11" s="142"/>
      <c r="I11" s="127" t="str">
        <f>IFERROR(VLOOKUP(H11,参数表!$H$2:$I$50,2,FALSE),"")</f>
        <v/>
      </c>
      <c r="J11" s="128" t="str">
        <f t="shared" si="3"/>
        <v/>
      </c>
      <c r="K11" s="958"/>
      <c r="L11" s="974"/>
      <c r="M11" s="955" t="str">
        <f t="shared" si="4"/>
        <v/>
      </c>
      <c r="N11" s="956" t="str">
        <f t="shared" si="0"/>
        <v/>
      </c>
      <c r="O11" s="955" t="str">
        <f t="shared" si="5"/>
        <v/>
      </c>
      <c r="P11" s="959" t="s">
        <v>347</v>
      </c>
      <c r="BA11" s="78"/>
      <c r="BB11" s="132" t="s">
        <v>3617</v>
      </c>
      <c r="BC11" s="133"/>
      <c r="BD11" s="132" t="str">
        <f>IF(OR(B11="",BC11=""),"",COUNTIF(BC$7:BC11,"√"))</f>
        <v/>
      </c>
      <c r="BE11" s="134" t="str">
        <f t="shared" si="1"/>
        <v/>
      </c>
      <c r="BF11" s="135" t="str">
        <f t="shared" si="6"/>
        <v/>
      </c>
      <c r="BG11" s="135" t="str">
        <f t="shared" si="6"/>
        <v/>
      </c>
      <c r="BH11" s="136"/>
      <c r="BI11" s="136"/>
      <c r="BJ11" s="136"/>
      <c r="BK11" s="136"/>
      <c r="BL11" s="136"/>
      <c r="BM11" s="137"/>
      <c r="BN11" s="137"/>
      <c r="BP11" s="134" t="str">
        <f>IF(COUNTIF(BP$6:BP10,C11)&gt;0,"",C11)&amp;""</f>
        <v/>
      </c>
      <c r="BQ11" s="138">
        <f t="shared" si="7"/>
        <v>0</v>
      </c>
      <c r="BR11" s="132">
        <f t="shared" si="8"/>
        <v>1</v>
      </c>
      <c r="BS11" s="138">
        <f t="shared" si="9"/>
        <v>0</v>
      </c>
      <c r="BT11" s="132">
        <f t="shared" si="10"/>
        <v>1</v>
      </c>
      <c r="BU11" s="132">
        <v>3</v>
      </c>
      <c r="BV11" s="134" t="str">
        <f t="shared" si="11"/>
        <v/>
      </c>
      <c r="BW11" s="146" t="str">
        <f t="shared" si="12"/>
        <v/>
      </c>
    </row>
    <row r="12" customHeight="1" spans="1:75">
      <c r="A12" s="123" t="str">
        <f>IF(B12="","",COUNT(A$6:A11)+1)</f>
        <v/>
      </c>
      <c r="B12" s="322" t="s">
        <v>347</v>
      </c>
      <c r="C12" s="322" t="s">
        <v>347</v>
      </c>
      <c r="D12" s="973" t="s">
        <v>347</v>
      </c>
      <c r="E12" s="325"/>
      <c r="F12" s="325"/>
      <c r="G12" s="256"/>
      <c r="H12" s="142"/>
      <c r="I12" s="127" t="str">
        <f>IFERROR(VLOOKUP(H12,参数表!$H$2:$I$50,2,FALSE),"")</f>
        <v/>
      </c>
      <c r="J12" s="128" t="str">
        <f t="shared" si="3"/>
        <v/>
      </c>
      <c r="K12" s="958"/>
      <c r="L12" s="974"/>
      <c r="M12" s="955" t="str">
        <f t="shared" si="4"/>
        <v/>
      </c>
      <c r="N12" s="956" t="str">
        <f t="shared" si="0"/>
        <v/>
      </c>
      <c r="O12" s="955" t="str">
        <f t="shared" si="5"/>
        <v/>
      </c>
      <c r="P12" s="959" t="s">
        <v>347</v>
      </c>
      <c r="BA12" s="78"/>
      <c r="BB12" s="132" t="s">
        <v>3618</v>
      </c>
      <c r="BC12" s="133"/>
      <c r="BD12" s="132" t="str">
        <f>IF(OR(B12="",BC12=""),"",COUNTIF(BC$7:BC12,"√"))</f>
        <v/>
      </c>
      <c r="BE12" s="134" t="str">
        <f t="shared" si="1"/>
        <v/>
      </c>
      <c r="BF12" s="135" t="str">
        <f t="shared" si="6"/>
        <v/>
      </c>
      <c r="BG12" s="135" t="str">
        <f t="shared" si="6"/>
        <v/>
      </c>
      <c r="BH12" s="136"/>
      <c r="BI12" s="136"/>
      <c r="BJ12" s="136"/>
      <c r="BK12" s="136"/>
      <c r="BL12" s="136"/>
      <c r="BM12" s="137"/>
      <c r="BN12" s="137"/>
      <c r="BP12" s="134" t="str">
        <f>IF(COUNTIF(BP$6:BP11,C12)&gt;0,"",C12)&amp;""</f>
        <v/>
      </c>
      <c r="BQ12" s="138">
        <f t="shared" si="7"/>
        <v>0</v>
      </c>
      <c r="BR12" s="132">
        <f t="shared" si="8"/>
        <v>1</v>
      </c>
      <c r="BS12" s="138">
        <f t="shared" si="9"/>
        <v>0</v>
      </c>
      <c r="BT12" s="132">
        <f t="shared" si="10"/>
        <v>1</v>
      </c>
      <c r="BU12" s="132">
        <v>4</v>
      </c>
      <c r="BV12" s="134" t="str">
        <f t="shared" si="11"/>
        <v/>
      </c>
      <c r="BW12" s="146" t="str">
        <f>IF(BV13="","","和")</f>
        <v/>
      </c>
    </row>
    <row r="13" customHeight="1" spans="1:75">
      <c r="A13" s="123" t="str">
        <f>IF(B13="","",COUNT(A$6:A12)+1)</f>
        <v/>
      </c>
      <c r="B13" s="322" t="s">
        <v>347</v>
      </c>
      <c r="C13" s="322" t="s">
        <v>347</v>
      </c>
      <c r="D13" s="973" t="s">
        <v>347</v>
      </c>
      <c r="E13" s="325"/>
      <c r="F13" s="325"/>
      <c r="G13" s="256"/>
      <c r="H13" s="142"/>
      <c r="I13" s="127" t="str">
        <f>IFERROR(VLOOKUP(H13,参数表!$H$2:$I$50,2,FALSE),"")</f>
        <v/>
      </c>
      <c r="J13" s="128" t="str">
        <f t="shared" si="3"/>
        <v/>
      </c>
      <c r="K13" s="958"/>
      <c r="L13" s="974"/>
      <c r="M13" s="955" t="str">
        <f t="shared" si="4"/>
        <v/>
      </c>
      <c r="N13" s="956" t="str">
        <f t="shared" si="0"/>
        <v/>
      </c>
      <c r="O13" s="955" t="str">
        <f t="shared" si="5"/>
        <v/>
      </c>
      <c r="P13" s="959" t="s">
        <v>347</v>
      </c>
      <c r="BA13" s="78"/>
      <c r="BB13" s="132" t="s">
        <v>3619</v>
      </c>
      <c r="BC13" s="133"/>
      <c r="BD13" s="132" t="str">
        <f>IF(OR(B13="",BC13=""),"",COUNTIF(BC$7:BC13,"√"))</f>
        <v/>
      </c>
      <c r="BE13" s="134" t="str">
        <f t="shared" si="1"/>
        <v/>
      </c>
      <c r="BF13" s="135" t="str">
        <f t="shared" si="6"/>
        <v/>
      </c>
      <c r="BG13" s="135" t="str">
        <f>IF($B13="","",IF(BG$5=0,"OK","出错"))</f>
        <v/>
      </c>
      <c r="BH13" s="136"/>
      <c r="BI13" s="136"/>
      <c r="BJ13" s="136"/>
      <c r="BK13" s="136"/>
      <c r="BL13" s="136"/>
      <c r="BM13" s="137"/>
      <c r="BN13" s="137"/>
      <c r="BP13" s="134" t="str">
        <f>IF(COUNTIF(BP$6:BP12,C13)&gt;0,"",C13)&amp;""</f>
        <v/>
      </c>
      <c r="BQ13" s="138">
        <f t="shared" si="7"/>
        <v>0</v>
      </c>
      <c r="BR13" s="132">
        <f t="shared" si="8"/>
        <v>1</v>
      </c>
      <c r="BS13" s="138">
        <f t="shared" si="9"/>
        <v>0</v>
      </c>
      <c r="BT13" s="132">
        <f t="shared" si="10"/>
        <v>1</v>
      </c>
      <c r="BU13" s="132">
        <v>5</v>
      </c>
      <c r="BV13" s="134" t="str">
        <f t="shared" si="11"/>
        <v/>
      </c>
      <c r="BW13" s="146"/>
    </row>
    <row r="14" customHeight="1" spans="1:75">
      <c r="A14" s="123" t="str">
        <f>IF(B14="","",COUNT(A$6:A13)+1)</f>
        <v/>
      </c>
      <c r="B14" s="322" t="s">
        <v>347</v>
      </c>
      <c r="C14" s="322" t="s">
        <v>347</v>
      </c>
      <c r="D14" s="973" t="s">
        <v>347</v>
      </c>
      <c r="E14" s="325"/>
      <c r="F14" s="325"/>
      <c r="G14" s="256"/>
      <c r="H14" s="142"/>
      <c r="I14" s="127" t="str">
        <f>IFERROR(VLOOKUP(H14,参数表!$H$2:$I$50,2,FALSE),"")</f>
        <v/>
      </c>
      <c r="J14" s="128" t="str">
        <f t="shared" si="3"/>
        <v/>
      </c>
      <c r="K14" s="958"/>
      <c r="L14" s="974"/>
      <c r="M14" s="955" t="str">
        <f t="shared" si="4"/>
        <v/>
      </c>
      <c r="N14" s="956" t="str">
        <f t="shared" si="0"/>
        <v/>
      </c>
      <c r="O14" s="955" t="str">
        <f t="shared" si="5"/>
        <v/>
      </c>
      <c r="P14" s="959" t="s">
        <v>347</v>
      </c>
      <c r="BA14" s="78"/>
      <c r="BB14" s="132" t="s">
        <v>3620</v>
      </c>
      <c r="BC14" s="133"/>
      <c r="BD14" s="132" t="str">
        <f>IF(OR(B14="",BC14=""),"",COUNTIF(BC$7:BC14,"√"))</f>
        <v/>
      </c>
      <c r="BE14" s="134" t="str">
        <f t="shared" si="1"/>
        <v/>
      </c>
      <c r="BF14" s="135" t="str">
        <f t="shared" si="6"/>
        <v/>
      </c>
      <c r="BG14" s="135" t="str">
        <f t="shared" si="6"/>
        <v/>
      </c>
      <c r="BH14" s="136"/>
      <c r="BI14" s="136"/>
      <c r="BJ14" s="136"/>
      <c r="BK14" s="136"/>
      <c r="BL14" s="136"/>
      <c r="BM14" s="137"/>
      <c r="BN14" s="137"/>
      <c r="BP14" s="134" t="str">
        <f>IF(COUNTIF(BP$6:BP13,C14)&gt;0,"",C14)&amp;""</f>
        <v/>
      </c>
      <c r="BQ14" s="138">
        <f t="shared" si="7"/>
        <v>0</v>
      </c>
      <c r="BR14" s="132">
        <f t="shared" si="8"/>
        <v>1</v>
      </c>
      <c r="BS14" s="138">
        <f t="shared" si="9"/>
        <v>0</v>
      </c>
      <c r="BT14" s="132">
        <f t="shared" si="10"/>
        <v>1</v>
      </c>
      <c r="BU14" s="147" t="s">
        <v>1659</v>
      </c>
      <c r="BV14" s="132" t="str">
        <f>CONCATENATE(BV9,BW9,BV10,BW10,BV11,BW11,BV12,BW12,BV13)</f>
        <v/>
      </c>
      <c r="BW14" s="132"/>
    </row>
    <row r="15" customHeight="1" spans="1:75">
      <c r="A15" s="123" t="str">
        <f>IF(B15="","",COUNT(A$6:A14)+1)</f>
        <v/>
      </c>
      <c r="B15" s="322" t="s">
        <v>347</v>
      </c>
      <c r="C15" s="322" t="s">
        <v>347</v>
      </c>
      <c r="D15" s="973" t="s">
        <v>347</v>
      </c>
      <c r="E15" s="325"/>
      <c r="F15" s="325"/>
      <c r="G15" s="256"/>
      <c r="H15" s="142"/>
      <c r="I15" s="127" t="str">
        <f>IFERROR(VLOOKUP(H15,参数表!$H$2:$I$50,2,FALSE),"")</f>
        <v/>
      </c>
      <c r="J15" s="128" t="str">
        <f t="shared" si="3"/>
        <v/>
      </c>
      <c r="K15" s="958"/>
      <c r="L15" s="974"/>
      <c r="M15" s="955" t="str">
        <f t="shared" si="4"/>
        <v/>
      </c>
      <c r="N15" s="956" t="str">
        <f t="shared" si="0"/>
        <v/>
      </c>
      <c r="O15" s="955" t="str">
        <f t="shared" si="5"/>
        <v/>
      </c>
      <c r="P15" s="959" t="s">
        <v>347</v>
      </c>
      <c r="BA15" s="78"/>
      <c r="BB15" s="132" t="s">
        <v>3621</v>
      </c>
      <c r="BC15" s="133"/>
      <c r="BD15" s="132" t="str">
        <f>IF(OR(B15="",BC15=""),"",COUNTIF(BC$7:BC15,"√"))</f>
        <v/>
      </c>
      <c r="BE15" s="134" t="str">
        <f t="shared" si="1"/>
        <v/>
      </c>
      <c r="BF15" s="135" t="str">
        <f t="shared" si="6"/>
        <v/>
      </c>
      <c r="BG15" s="135" t="str">
        <f t="shared" si="6"/>
        <v/>
      </c>
      <c r="BH15" s="136"/>
      <c r="BI15" s="136"/>
      <c r="BJ15" s="136"/>
      <c r="BK15" s="136"/>
      <c r="BL15" s="136"/>
      <c r="BM15" s="137"/>
      <c r="BN15" s="137"/>
      <c r="BP15" s="134" t="str">
        <f>IF(COUNTIF(BP$6:BP14,C15)&gt;0,"",C15)&amp;""</f>
        <v/>
      </c>
      <c r="BQ15" s="138">
        <f t="shared" si="7"/>
        <v>0</v>
      </c>
      <c r="BR15" s="132">
        <f t="shared" si="8"/>
        <v>1</v>
      </c>
      <c r="BS15" s="138">
        <f t="shared" si="9"/>
        <v>0</v>
      </c>
      <c r="BT15" s="132">
        <f t="shared" si="10"/>
        <v>1</v>
      </c>
      <c r="BU15" s="133"/>
      <c r="BV15" s="133"/>
    </row>
    <row r="16" customHeight="1" spans="1:75">
      <c r="A16" s="123" t="str">
        <f>IF(B16="","",COUNT(A$6:A15)+1)</f>
        <v/>
      </c>
      <c r="B16" s="322" t="s">
        <v>347</v>
      </c>
      <c r="C16" s="322" t="s">
        <v>347</v>
      </c>
      <c r="D16" s="973" t="s">
        <v>347</v>
      </c>
      <c r="E16" s="325"/>
      <c r="F16" s="325"/>
      <c r="G16" s="256"/>
      <c r="H16" s="142"/>
      <c r="I16" s="127" t="str">
        <f>IFERROR(VLOOKUP(H16,参数表!$H$2:$I$50,2,FALSE),"")</f>
        <v/>
      </c>
      <c r="J16" s="128" t="str">
        <f t="shared" si="3"/>
        <v/>
      </c>
      <c r="K16" s="958"/>
      <c r="L16" s="974"/>
      <c r="M16" s="955" t="str">
        <f t="shared" si="4"/>
        <v/>
      </c>
      <c r="N16" s="956" t="str">
        <f t="shared" si="0"/>
        <v/>
      </c>
      <c r="O16" s="955" t="str">
        <f t="shared" si="5"/>
        <v/>
      </c>
      <c r="P16" s="959" t="s">
        <v>347</v>
      </c>
      <c r="BA16" s="78"/>
      <c r="BB16" s="132" t="s">
        <v>3622</v>
      </c>
      <c r="BC16" s="133"/>
      <c r="BD16" s="132" t="str">
        <f>IF(OR(B16="",BC16=""),"",COUNTIF(BC$7:BC16,"√"))</f>
        <v/>
      </c>
      <c r="BE16" s="134" t="str">
        <f t="shared" si="1"/>
        <v/>
      </c>
      <c r="BF16" s="135" t="str">
        <f t="shared" si="6"/>
        <v/>
      </c>
      <c r="BG16" s="135" t="str">
        <f t="shared" si="6"/>
        <v/>
      </c>
      <c r="BH16" s="136"/>
      <c r="BI16" s="136"/>
      <c r="BJ16" s="136"/>
      <c r="BK16" s="136"/>
      <c r="BL16" s="136"/>
      <c r="BM16" s="137"/>
      <c r="BN16" s="137"/>
      <c r="BP16" s="134" t="str">
        <f>IF(COUNTIF(BP$6:BP15,C16)&gt;0,"",C16)&amp;""</f>
        <v/>
      </c>
      <c r="BQ16" s="138">
        <f t="shared" si="7"/>
        <v>0</v>
      </c>
      <c r="BR16" s="132">
        <f t="shared" si="8"/>
        <v>1</v>
      </c>
      <c r="BS16" s="138">
        <f t="shared" si="9"/>
        <v>0</v>
      </c>
      <c r="BT16" s="132">
        <f t="shared" si="10"/>
        <v>1</v>
      </c>
      <c r="BU16" s="133"/>
      <c r="BV16" s="148"/>
    </row>
    <row r="17" customHeight="1" spans="1:75">
      <c r="A17" s="123" t="str">
        <f>IF(B17="","",COUNT(A$6:A16)+1)</f>
        <v/>
      </c>
      <c r="B17" s="322" t="s">
        <v>347</v>
      </c>
      <c r="C17" s="322" t="s">
        <v>347</v>
      </c>
      <c r="D17" s="973" t="s">
        <v>347</v>
      </c>
      <c r="E17" s="325"/>
      <c r="F17" s="325"/>
      <c r="G17" s="256"/>
      <c r="H17" s="142"/>
      <c r="I17" s="127" t="str">
        <f>IFERROR(VLOOKUP(H17,参数表!$H$2:$I$50,2,FALSE),"")</f>
        <v/>
      </c>
      <c r="J17" s="128" t="str">
        <f t="shared" si="3"/>
        <v/>
      </c>
      <c r="K17" s="958"/>
      <c r="L17" s="974"/>
      <c r="M17" s="955" t="str">
        <f t="shared" si="4"/>
        <v/>
      </c>
      <c r="N17" s="956" t="str">
        <f t="shared" si="0"/>
        <v/>
      </c>
      <c r="O17" s="955" t="str">
        <f t="shared" si="5"/>
        <v/>
      </c>
      <c r="P17" s="959" t="s">
        <v>347</v>
      </c>
      <c r="BA17" s="78"/>
      <c r="BB17" s="132" t="s">
        <v>3623</v>
      </c>
      <c r="BC17" s="133"/>
      <c r="BD17" s="132" t="str">
        <f>IF(OR(B17="",BC17=""),"",COUNTIF(BC$7:BC17,"√"))</f>
        <v/>
      </c>
      <c r="BE17" s="134" t="str">
        <f t="shared" si="1"/>
        <v/>
      </c>
      <c r="BF17" s="135" t="str">
        <f t="shared" si="6"/>
        <v/>
      </c>
      <c r="BG17" s="135" t="str">
        <f t="shared" si="6"/>
        <v/>
      </c>
      <c r="BH17" s="136"/>
      <c r="BI17" s="136"/>
      <c r="BJ17" s="136"/>
      <c r="BK17" s="136"/>
      <c r="BL17" s="136"/>
      <c r="BM17" s="137"/>
      <c r="BN17" s="137"/>
      <c r="BP17" s="134" t="str">
        <f>IF(COUNTIF(BP$6:BP16,C17)&gt;0,"",C17)&amp;""</f>
        <v/>
      </c>
      <c r="BQ17" s="138">
        <f t="shared" si="7"/>
        <v>0</v>
      </c>
      <c r="BR17" s="132">
        <f t="shared" si="8"/>
        <v>1</v>
      </c>
      <c r="BS17" s="138">
        <f t="shared" si="9"/>
        <v>0</v>
      </c>
      <c r="BT17" s="132">
        <f t="shared" si="10"/>
        <v>1</v>
      </c>
      <c r="BU17" s="133"/>
      <c r="BV17" s="133"/>
    </row>
    <row r="18" customHeight="1" spans="1:75">
      <c r="A18" s="123" t="str">
        <f>IF(B18="","",COUNT(A$6:A17)+1)</f>
        <v/>
      </c>
      <c r="B18" s="322" t="s">
        <v>347</v>
      </c>
      <c r="C18" s="322" t="s">
        <v>347</v>
      </c>
      <c r="D18" s="973" t="s">
        <v>347</v>
      </c>
      <c r="E18" s="325"/>
      <c r="F18" s="325"/>
      <c r="G18" s="256"/>
      <c r="H18" s="142"/>
      <c r="I18" s="127" t="str">
        <f>IFERROR(VLOOKUP(H18,参数表!$H$2:$I$50,2,FALSE),"")</f>
        <v/>
      </c>
      <c r="J18" s="128" t="str">
        <f t="shared" si="3"/>
        <v/>
      </c>
      <c r="K18" s="958"/>
      <c r="L18" s="974"/>
      <c r="M18" s="955" t="str">
        <f t="shared" si="4"/>
        <v/>
      </c>
      <c r="N18" s="956" t="str">
        <f t="shared" si="0"/>
        <v/>
      </c>
      <c r="O18" s="955" t="str">
        <f t="shared" si="5"/>
        <v/>
      </c>
      <c r="P18" s="959" t="s">
        <v>347</v>
      </c>
      <c r="BA18" s="78"/>
      <c r="BB18" s="132" t="s">
        <v>3624</v>
      </c>
      <c r="BC18" s="133"/>
      <c r="BD18" s="132" t="str">
        <f>IF(OR(B18="",BC18=""),"",COUNTIF(BC$7:BC18,"√"))</f>
        <v/>
      </c>
      <c r="BE18" s="134" t="str">
        <f t="shared" si="1"/>
        <v/>
      </c>
      <c r="BF18" s="135" t="str">
        <f t="shared" si="6"/>
        <v/>
      </c>
      <c r="BG18" s="135" t="str">
        <f t="shared" si="6"/>
        <v/>
      </c>
      <c r="BH18" s="136"/>
      <c r="BI18" s="136"/>
      <c r="BJ18" s="136"/>
      <c r="BK18" s="136"/>
      <c r="BL18" s="136"/>
      <c r="BM18" s="137"/>
      <c r="BN18" s="137"/>
      <c r="BP18" s="134" t="str">
        <f>IF(COUNTIF(BP$6:BP17,C18)&gt;0,"",C18)&amp;""</f>
        <v/>
      </c>
      <c r="BQ18" s="138">
        <f t="shared" si="7"/>
        <v>0</v>
      </c>
      <c r="BR18" s="132">
        <f t="shared" si="8"/>
        <v>1</v>
      </c>
      <c r="BS18" s="138">
        <f t="shared" si="9"/>
        <v>0</v>
      </c>
      <c r="BT18" s="132">
        <f t="shared" si="10"/>
        <v>1</v>
      </c>
      <c r="BU18" s="133"/>
      <c r="BV18" s="133"/>
    </row>
    <row r="19" customHeight="1" spans="1:75">
      <c r="A19" s="123" t="str">
        <f>IF(B19="","",COUNT(A$6:A18)+1)</f>
        <v/>
      </c>
      <c r="B19" s="322" t="s">
        <v>347</v>
      </c>
      <c r="C19" s="322" t="s">
        <v>347</v>
      </c>
      <c r="D19" s="973" t="s">
        <v>347</v>
      </c>
      <c r="E19" s="325"/>
      <c r="F19" s="325"/>
      <c r="G19" s="256"/>
      <c r="H19" s="142"/>
      <c r="I19" s="127" t="str">
        <f>IFERROR(VLOOKUP(H19,参数表!$H$2:$I$50,2,FALSE),"")</f>
        <v/>
      </c>
      <c r="J19" s="128" t="str">
        <f t="shared" si="3"/>
        <v/>
      </c>
      <c r="K19" s="958"/>
      <c r="L19" s="974"/>
      <c r="M19" s="955" t="str">
        <f t="shared" si="4"/>
        <v/>
      </c>
      <c r="N19" s="956" t="str">
        <f t="shared" si="0"/>
        <v/>
      </c>
      <c r="O19" s="955" t="str">
        <f t="shared" si="5"/>
        <v/>
      </c>
      <c r="P19" s="959" t="s">
        <v>347</v>
      </c>
      <c r="BA19" s="78"/>
      <c r="BB19" s="132" t="s">
        <v>3625</v>
      </c>
      <c r="BC19" s="133"/>
      <c r="BD19" s="132" t="str">
        <f>IF(OR(B19="",BC19=""),"",COUNTIF(BC$7:BC19,"√"))</f>
        <v/>
      </c>
      <c r="BE19" s="134" t="str">
        <f t="shared" si="1"/>
        <v/>
      </c>
      <c r="BF19" s="135" t="str">
        <f t="shared" si="6"/>
        <v/>
      </c>
      <c r="BG19" s="135" t="str">
        <f t="shared" si="6"/>
        <v/>
      </c>
      <c r="BH19" s="136"/>
      <c r="BI19" s="136"/>
      <c r="BJ19" s="136"/>
      <c r="BK19" s="136"/>
      <c r="BL19" s="136"/>
      <c r="BM19" s="137"/>
      <c r="BN19" s="137"/>
      <c r="BP19" s="134" t="str">
        <f>IF(COUNTIF(BP$6:BP18,C19)&gt;0,"",C19)&amp;""</f>
        <v/>
      </c>
      <c r="BQ19" s="138">
        <f t="shared" si="7"/>
        <v>0</v>
      </c>
      <c r="BR19" s="132">
        <f t="shared" si="8"/>
        <v>1</v>
      </c>
      <c r="BS19" s="138">
        <f t="shared" si="9"/>
        <v>0</v>
      </c>
      <c r="BT19" s="132">
        <f t="shared" si="10"/>
        <v>1</v>
      </c>
      <c r="BU19" s="133"/>
      <c r="BV19" s="133"/>
    </row>
    <row r="20" customHeight="1" spans="1:75">
      <c r="A20" s="123" t="str">
        <f>IF(B20="","",COUNT(A$6:A19)+1)</f>
        <v/>
      </c>
      <c r="B20" s="322" t="s">
        <v>347</v>
      </c>
      <c r="C20" s="322" t="s">
        <v>347</v>
      </c>
      <c r="D20" s="973" t="s">
        <v>347</v>
      </c>
      <c r="E20" s="325"/>
      <c r="F20" s="325"/>
      <c r="G20" s="256"/>
      <c r="H20" s="142"/>
      <c r="I20" s="127" t="str">
        <f>IFERROR(VLOOKUP(H20,参数表!$H$2:$I$50,2,FALSE),"")</f>
        <v/>
      </c>
      <c r="J20" s="128" t="str">
        <f t="shared" si="3"/>
        <v/>
      </c>
      <c r="K20" s="958"/>
      <c r="L20" s="974"/>
      <c r="M20" s="955" t="str">
        <f t="shared" si="4"/>
        <v/>
      </c>
      <c r="N20" s="956" t="str">
        <f t="shared" si="0"/>
        <v/>
      </c>
      <c r="O20" s="955" t="str">
        <f t="shared" si="5"/>
        <v/>
      </c>
      <c r="P20" s="959" t="s">
        <v>347</v>
      </c>
      <c r="BA20" s="78"/>
      <c r="BB20" s="132" t="s">
        <v>3626</v>
      </c>
      <c r="BC20" s="133"/>
      <c r="BD20" s="132" t="str">
        <f>IF(OR(B20="",BC20=""),"",COUNTIF(BC$7:BC20,"√"))</f>
        <v/>
      </c>
      <c r="BE20" s="134" t="str">
        <f t="shared" si="1"/>
        <v/>
      </c>
      <c r="BF20" s="135" t="str">
        <f t="shared" si="6"/>
        <v/>
      </c>
      <c r="BG20" s="135" t="str">
        <f t="shared" si="6"/>
        <v/>
      </c>
      <c r="BH20" s="136"/>
      <c r="BI20" s="136"/>
      <c r="BJ20" s="136"/>
      <c r="BK20" s="136"/>
      <c r="BL20" s="136"/>
      <c r="BM20" s="137"/>
      <c r="BN20" s="137"/>
      <c r="BP20" s="134" t="str">
        <f>IF(COUNTIF(BP$6:BP19,C20)&gt;0,"",C20)&amp;""</f>
        <v/>
      </c>
      <c r="BQ20" s="138">
        <f t="shared" si="7"/>
        <v>0</v>
      </c>
      <c r="BR20" s="132">
        <f t="shared" si="8"/>
        <v>1</v>
      </c>
      <c r="BS20" s="138">
        <f t="shared" si="9"/>
        <v>0</v>
      </c>
      <c r="BT20" s="132">
        <f t="shared" si="10"/>
        <v>1</v>
      </c>
      <c r="BU20" s="133"/>
      <c r="BV20" s="133"/>
    </row>
    <row r="21" customHeight="1" spans="1:75">
      <c r="A21" s="123" t="str">
        <f>IF(B21="","",COUNT(A$6:A20)+1)</f>
        <v/>
      </c>
      <c r="B21" s="322" t="s">
        <v>347</v>
      </c>
      <c r="C21" s="322" t="s">
        <v>347</v>
      </c>
      <c r="D21" s="973" t="s">
        <v>347</v>
      </c>
      <c r="E21" s="325"/>
      <c r="F21" s="325"/>
      <c r="G21" s="256"/>
      <c r="H21" s="142"/>
      <c r="I21" s="127" t="str">
        <f>IFERROR(VLOOKUP(H21,参数表!$H$2:$I$50,2,FALSE),"")</f>
        <v/>
      </c>
      <c r="J21" s="128" t="str">
        <f t="shared" si="3"/>
        <v/>
      </c>
      <c r="K21" s="958"/>
      <c r="L21" s="974"/>
      <c r="M21" s="955" t="str">
        <f t="shared" si="4"/>
        <v/>
      </c>
      <c r="N21" s="956" t="str">
        <f t="shared" si="0"/>
        <v/>
      </c>
      <c r="O21" s="955" t="str">
        <f t="shared" si="5"/>
        <v/>
      </c>
      <c r="P21" s="959" t="s">
        <v>347</v>
      </c>
      <c r="BA21" s="78"/>
      <c r="BB21" s="132" t="s">
        <v>3627</v>
      </c>
      <c r="BC21" s="133"/>
      <c r="BD21" s="132" t="str">
        <f>IF(OR(B21="",BC21=""),"",COUNTIF(BC$7:BC21,"√"))</f>
        <v/>
      </c>
      <c r="BE21" s="134" t="str">
        <f t="shared" si="1"/>
        <v/>
      </c>
      <c r="BF21" s="135" t="str">
        <f t="shared" si="6"/>
        <v/>
      </c>
      <c r="BG21" s="135" t="str">
        <f t="shared" si="6"/>
        <v/>
      </c>
      <c r="BH21" s="136"/>
      <c r="BI21" s="136"/>
      <c r="BJ21" s="136"/>
      <c r="BK21" s="136"/>
      <c r="BL21" s="136"/>
      <c r="BM21" s="137"/>
      <c r="BN21" s="137"/>
      <c r="BP21" s="134" t="str">
        <f>IF(COUNTIF(BP$6:BP20,C21)&gt;0,"",C21)&amp;""</f>
        <v/>
      </c>
      <c r="BQ21" s="138">
        <f t="shared" si="7"/>
        <v>0</v>
      </c>
      <c r="BR21" s="132">
        <f t="shared" si="8"/>
        <v>1</v>
      </c>
      <c r="BS21" s="138">
        <f t="shared" si="9"/>
        <v>0</v>
      </c>
      <c r="BT21" s="132">
        <f t="shared" si="10"/>
        <v>1</v>
      </c>
      <c r="BU21" s="133"/>
      <c r="BV21" s="133"/>
    </row>
    <row r="22" customHeight="1" spans="1:75">
      <c r="A22" s="123" t="str">
        <f>IF(B22="","",COUNT(A$6:A21)+1)</f>
        <v/>
      </c>
      <c r="B22" s="322" t="s">
        <v>347</v>
      </c>
      <c r="C22" s="322" t="s">
        <v>347</v>
      </c>
      <c r="D22" s="973" t="s">
        <v>347</v>
      </c>
      <c r="E22" s="325"/>
      <c r="F22" s="325"/>
      <c r="G22" s="256"/>
      <c r="H22" s="142"/>
      <c r="I22" s="127" t="str">
        <f>IFERROR(VLOOKUP(H22,参数表!$H$2:$I$50,2,FALSE),"")</f>
        <v/>
      </c>
      <c r="J22" s="128" t="str">
        <f t="shared" si="3"/>
        <v/>
      </c>
      <c r="K22" s="958"/>
      <c r="L22" s="974"/>
      <c r="M22" s="955" t="str">
        <f t="shared" si="4"/>
        <v/>
      </c>
      <c r="N22" s="956" t="str">
        <f t="shared" si="0"/>
        <v/>
      </c>
      <c r="O22" s="955" t="str">
        <f t="shared" si="5"/>
        <v/>
      </c>
      <c r="P22" s="959" t="s">
        <v>347</v>
      </c>
      <c r="BA22" s="78"/>
      <c r="BB22" s="132" t="s">
        <v>3628</v>
      </c>
      <c r="BC22" s="133"/>
      <c r="BD22" s="132" t="str">
        <f>IF(OR(B22="",BC22=""),"",COUNTIF(BC$7:BC22,"√"))</f>
        <v/>
      </c>
      <c r="BE22" s="134" t="str">
        <f t="shared" si="1"/>
        <v/>
      </c>
      <c r="BF22" s="135" t="str">
        <f t="shared" si="6"/>
        <v/>
      </c>
      <c r="BG22" s="135" t="str">
        <f t="shared" si="6"/>
        <v/>
      </c>
      <c r="BH22" s="136"/>
      <c r="BI22" s="136"/>
      <c r="BJ22" s="136"/>
      <c r="BK22" s="136"/>
      <c r="BL22" s="136"/>
      <c r="BM22" s="137"/>
      <c r="BN22" s="137"/>
      <c r="BP22" s="134" t="str">
        <f>IF(COUNTIF(BP$6:BP21,C22)&gt;0,"",C22)&amp;""</f>
        <v/>
      </c>
      <c r="BQ22" s="138">
        <f t="shared" si="7"/>
        <v>0</v>
      </c>
      <c r="BR22" s="132">
        <f t="shared" si="8"/>
        <v>1</v>
      </c>
      <c r="BS22" s="138">
        <f t="shared" si="9"/>
        <v>0</v>
      </c>
      <c r="BT22" s="132">
        <f t="shared" si="10"/>
        <v>1</v>
      </c>
      <c r="BU22" s="133"/>
      <c r="BV22" s="133"/>
    </row>
    <row r="23" customHeight="1" spans="1:75">
      <c r="A23" s="123" t="str">
        <f>IF(B23="","",COUNT(A$6:A22)+1)</f>
        <v/>
      </c>
      <c r="B23" s="322" t="s">
        <v>347</v>
      </c>
      <c r="C23" s="322" t="s">
        <v>347</v>
      </c>
      <c r="D23" s="973" t="s">
        <v>347</v>
      </c>
      <c r="E23" s="325"/>
      <c r="F23" s="325"/>
      <c r="G23" s="256"/>
      <c r="H23" s="142"/>
      <c r="I23" s="127" t="str">
        <f>IFERROR(VLOOKUP(H23,参数表!$H$2:$I$50,2,FALSE),"")</f>
        <v/>
      </c>
      <c r="J23" s="128" t="str">
        <f t="shared" si="3"/>
        <v/>
      </c>
      <c r="K23" s="958"/>
      <c r="L23" s="974"/>
      <c r="M23" s="955" t="str">
        <f t="shared" si="4"/>
        <v/>
      </c>
      <c r="N23" s="956" t="str">
        <f t="shared" si="0"/>
        <v/>
      </c>
      <c r="O23" s="955" t="str">
        <f t="shared" si="5"/>
        <v/>
      </c>
      <c r="P23" s="959" t="s">
        <v>347</v>
      </c>
      <c r="BA23" s="78"/>
      <c r="BB23" s="132" t="s">
        <v>3629</v>
      </c>
      <c r="BC23" s="133"/>
      <c r="BD23" s="132" t="str">
        <f>IF(OR(B23="",BC23=""),"",COUNTIF(BC$7:BC23,"√"))</f>
        <v/>
      </c>
      <c r="BE23" s="134" t="str">
        <f t="shared" si="1"/>
        <v/>
      </c>
      <c r="BF23" s="135" t="str">
        <f t="shared" si="6"/>
        <v/>
      </c>
      <c r="BG23" s="135" t="str">
        <f t="shared" si="6"/>
        <v/>
      </c>
      <c r="BH23" s="136"/>
      <c r="BI23" s="136"/>
      <c r="BJ23" s="136"/>
      <c r="BK23" s="136"/>
      <c r="BL23" s="136"/>
      <c r="BM23" s="137"/>
      <c r="BN23" s="137"/>
      <c r="BP23" s="134" t="str">
        <f>IF(COUNTIF(BP$6:BP22,C23)&gt;0,"",C23)&amp;""</f>
        <v/>
      </c>
      <c r="BQ23" s="138">
        <f t="shared" si="7"/>
        <v>0</v>
      </c>
      <c r="BR23" s="132">
        <f t="shared" si="8"/>
        <v>1</v>
      </c>
      <c r="BS23" s="138">
        <f t="shared" si="9"/>
        <v>0</v>
      </c>
      <c r="BT23" s="132">
        <f t="shared" si="10"/>
        <v>1</v>
      </c>
      <c r="BU23" s="133"/>
      <c r="BV23" s="133"/>
    </row>
    <row r="24" customHeight="1" spans="1:75">
      <c r="A24" s="123" t="str">
        <f>IF(B24="","",COUNT(A$6:A23)+1)</f>
        <v/>
      </c>
      <c r="B24" s="322" t="s">
        <v>347</v>
      </c>
      <c r="C24" s="322" t="s">
        <v>347</v>
      </c>
      <c r="D24" s="973" t="s">
        <v>347</v>
      </c>
      <c r="E24" s="325"/>
      <c r="F24" s="325"/>
      <c r="G24" s="256"/>
      <c r="H24" s="142"/>
      <c r="I24" s="127" t="str">
        <f>IFERROR(VLOOKUP(H24,参数表!$H$2:$I$50,2,FALSE),"")</f>
        <v/>
      </c>
      <c r="J24" s="128" t="str">
        <f t="shared" si="3"/>
        <v/>
      </c>
      <c r="K24" s="958"/>
      <c r="L24" s="974"/>
      <c r="M24" s="955" t="str">
        <f t="shared" si="4"/>
        <v/>
      </c>
      <c r="N24" s="956" t="str">
        <f t="shared" si="0"/>
        <v/>
      </c>
      <c r="O24" s="955" t="str">
        <f t="shared" si="5"/>
        <v/>
      </c>
      <c r="P24" s="959" t="s">
        <v>347</v>
      </c>
      <c r="BA24" s="78"/>
      <c r="BB24" s="132" t="s">
        <v>3630</v>
      </c>
      <c r="BC24" s="133"/>
      <c r="BD24" s="132" t="str">
        <f>IF(OR(B24="",BC24=""),"",COUNTIF(BC$7:BC24,"√"))</f>
        <v/>
      </c>
      <c r="BE24" s="134" t="str">
        <f t="shared" si="1"/>
        <v/>
      </c>
      <c r="BF24" s="135" t="str">
        <f t="shared" si="6"/>
        <v/>
      </c>
      <c r="BG24" s="135" t="str">
        <f t="shared" si="6"/>
        <v/>
      </c>
      <c r="BH24" s="136"/>
      <c r="BI24" s="136"/>
      <c r="BJ24" s="136"/>
      <c r="BK24" s="136"/>
      <c r="BL24" s="136"/>
      <c r="BM24" s="137"/>
      <c r="BN24" s="137"/>
      <c r="BP24" s="134" t="str">
        <f>IF(COUNTIF(BP$6:BP23,C24)&gt;0,"",C24)&amp;""</f>
        <v/>
      </c>
      <c r="BQ24" s="138">
        <f t="shared" si="7"/>
        <v>0</v>
      </c>
      <c r="BR24" s="132">
        <f t="shared" si="8"/>
        <v>1</v>
      </c>
      <c r="BS24" s="138">
        <f t="shared" si="9"/>
        <v>0</v>
      </c>
      <c r="BT24" s="132">
        <f t="shared" si="10"/>
        <v>1</v>
      </c>
      <c r="BU24" s="133"/>
      <c r="BV24" s="133"/>
    </row>
    <row r="25" customHeight="1" spans="1:75">
      <c r="A25" s="123" t="str">
        <f>IF(B25="","",COUNT(A$6:A24)+1)</f>
        <v/>
      </c>
      <c r="B25" s="322" t="s">
        <v>347</v>
      </c>
      <c r="C25" s="322" t="s">
        <v>347</v>
      </c>
      <c r="D25" s="973" t="s">
        <v>347</v>
      </c>
      <c r="E25" s="325"/>
      <c r="F25" s="325"/>
      <c r="G25" s="256"/>
      <c r="H25" s="142"/>
      <c r="I25" s="127" t="str">
        <f>IFERROR(VLOOKUP(H25,参数表!$H$2:$I$50,2,FALSE),"")</f>
        <v/>
      </c>
      <c r="J25" s="128" t="str">
        <f t="shared" si="3"/>
        <v/>
      </c>
      <c r="K25" s="958"/>
      <c r="L25" s="974"/>
      <c r="M25" s="955" t="str">
        <f t="shared" si="4"/>
        <v/>
      </c>
      <c r="N25" s="956" t="str">
        <f t="shared" si="0"/>
        <v/>
      </c>
      <c r="O25" s="955" t="str">
        <f t="shared" si="5"/>
        <v/>
      </c>
      <c r="P25" s="959" t="s">
        <v>347</v>
      </c>
      <c r="BA25" s="78"/>
      <c r="BB25" s="132" t="s">
        <v>3631</v>
      </c>
      <c r="BC25" s="133"/>
      <c r="BD25" s="132" t="str">
        <f>IF(OR(B25="",BC25=""),"",COUNTIF(BC$7:BC25,"√"))</f>
        <v/>
      </c>
      <c r="BE25" s="134" t="str">
        <f t="shared" si="1"/>
        <v/>
      </c>
      <c r="BF25" s="135" t="str">
        <f t="shared" si="6"/>
        <v/>
      </c>
      <c r="BG25" s="135" t="str">
        <f t="shared" si="6"/>
        <v/>
      </c>
      <c r="BH25" s="136"/>
      <c r="BI25" s="136"/>
      <c r="BJ25" s="136"/>
      <c r="BK25" s="136"/>
      <c r="BL25" s="136"/>
      <c r="BM25" s="137"/>
      <c r="BN25" s="137"/>
      <c r="BP25" s="134" t="str">
        <f>IF(COUNTIF(BP$6:BP24,C25)&gt;0,"",C25)&amp;""</f>
        <v/>
      </c>
      <c r="BQ25" s="138">
        <f t="shared" si="7"/>
        <v>0</v>
      </c>
      <c r="BR25" s="132">
        <f t="shared" si="8"/>
        <v>1</v>
      </c>
      <c r="BS25" s="138">
        <f t="shared" si="9"/>
        <v>0</v>
      </c>
      <c r="BT25" s="132">
        <f t="shared" si="10"/>
        <v>1</v>
      </c>
      <c r="BU25" s="133"/>
      <c r="BV25" s="133"/>
    </row>
    <row r="26" customHeight="1" spans="1:75">
      <c r="A26" s="123" t="str">
        <f>IF(B26="","",COUNT(A$6:A25)+1)</f>
        <v/>
      </c>
      <c r="B26" s="315" t="s">
        <v>347</v>
      </c>
      <c r="C26" s="315" t="s">
        <v>347</v>
      </c>
      <c r="D26" s="975" t="s">
        <v>347</v>
      </c>
      <c r="E26" s="318"/>
      <c r="F26" s="318"/>
      <c r="G26" s="320"/>
      <c r="H26" s="127"/>
      <c r="I26" s="127" t="str">
        <f>IFERROR(VLOOKUP(H26,参数表!$H$2:$I$50,2,FALSE),"")</f>
        <v/>
      </c>
      <c r="J26" s="128" t="str">
        <f t="shared" si="3"/>
        <v/>
      </c>
      <c r="K26" s="955"/>
      <c r="L26" s="972"/>
      <c r="M26" s="955" t="str">
        <f t="shared" si="4"/>
        <v/>
      </c>
      <c r="N26" s="956" t="str">
        <f t="shared" si="0"/>
        <v/>
      </c>
      <c r="O26" s="955" t="str">
        <f t="shared" si="5"/>
        <v/>
      </c>
      <c r="P26" s="957" t="s">
        <v>347</v>
      </c>
      <c r="BA26" s="78"/>
      <c r="BB26" s="132" t="s">
        <v>3632</v>
      </c>
      <c r="BC26" s="133"/>
      <c r="BD26" s="132" t="str">
        <f>IF(OR(B26="",BC26=""),"",COUNTIF(BC$7:BC26,"√"))</f>
        <v/>
      </c>
      <c r="BE26" s="134" t="str">
        <f t="shared" si="1"/>
        <v/>
      </c>
      <c r="BF26" s="135" t="str">
        <f t="shared" si="6"/>
        <v/>
      </c>
      <c r="BG26" s="135" t="str">
        <f t="shared" si="6"/>
        <v/>
      </c>
      <c r="BH26" s="136"/>
      <c r="BI26" s="136"/>
      <c r="BJ26" s="136"/>
      <c r="BK26" s="136"/>
      <c r="BL26" s="136"/>
      <c r="BM26" s="137"/>
      <c r="BN26" s="137"/>
      <c r="BP26" s="134" t="str">
        <f>IF(COUNTIF(BP$6:BP25,C26)&gt;0,"",C26)&amp;""</f>
        <v/>
      </c>
      <c r="BQ26" s="138">
        <f t="shared" si="7"/>
        <v>0</v>
      </c>
      <c r="BR26" s="132">
        <f t="shared" si="8"/>
        <v>1</v>
      </c>
      <c r="BS26" s="138">
        <f t="shared" si="9"/>
        <v>0</v>
      </c>
      <c r="BT26" s="132">
        <f t="shared" si="10"/>
        <v>1</v>
      </c>
      <c r="BU26" s="133"/>
      <c r="BV26" s="133"/>
    </row>
    <row r="27" s="271" customFormat="1" customHeight="1" spans="1:75">
      <c r="A27" s="114" t="s">
        <v>1922</v>
      </c>
      <c r="B27" s="114"/>
      <c r="C27" s="114"/>
      <c r="D27" s="960"/>
      <c r="E27" s="114"/>
      <c r="F27" s="114"/>
      <c r="G27" s="961"/>
      <c r="H27" s="151"/>
      <c r="I27" s="151"/>
      <c r="J27" s="151"/>
      <c r="K27" s="961">
        <f>SUM(K7:K26)</f>
        <v>0</v>
      </c>
      <c r="L27" s="976"/>
      <c r="M27" s="961">
        <f>SUM(M7:M26)</f>
        <v>0</v>
      </c>
      <c r="N27" s="961">
        <f>SUM(N7:N26)</f>
        <v>0</v>
      </c>
      <c r="O27" s="961" t="str">
        <f t="shared" si="5"/>
        <v/>
      </c>
      <c r="P27" s="962"/>
      <c r="BH27" s="287"/>
      <c r="BI27" s="287"/>
      <c r="BJ27" s="287"/>
      <c r="BK27" s="287"/>
      <c r="BL27" s="287"/>
      <c r="BO27" s="111"/>
      <c r="BP27" s="119"/>
      <c r="BQ27" s="77"/>
      <c r="BR27" s="77"/>
      <c r="BS27" s="77"/>
      <c r="BT27" s="119"/>
      <c r="BU27" s="119"/>
      <c r="BV27" s="119"/>
      <c r="BW27" s="111"/>
    </row>
    <row r="28" customHeight="1" spans="1:75">
      <c r="A28" s="963" t="s">
        <v>3434</v>
      </c>
      <c r="B28" s="963"/>
      <c r="C28" s="963"/>
      <c r="D28" s="977"/>
      <c r="E28" s="963"/>
      <c r="F28" s="963"/>
      <c r="G28" s="955"/>
      <c r="H28" s="131"/>
      <c r="I28" s="131"/>
      <c r="J28" s="131"/>
      <c r="K28" s="955"/>
      <c r="L28" s="972"/>
      <c r="M28" s="955">
        <f>K28+L28</f>
        <v>0</v>
      </c>
      <c r="N28" s="955"/>
      <c r="O28" s="955" t="str">
        <f t="shared" si="5"/>
        <v/>
      </c>
      <c r="P28" s="957"/>
    </row>
    <row r="29" s="271" customFormat="1" customHeight="1" spans="1:75">
      <c r="A29" s="114" t="s">
        <v>3633</v>
      </c>
      <c r="B29" s="114"/>
      <c r="C29" s="114"/>
      <c r="D29" s="114"/>
      <c r="E29" s="114"/>
      <c r="F29" s="114"/>
      <c r="G29" s="961"/>
      <c r="H29" s="131"/>
      <c r="I29" s="131"/>
      <c r="J29" s="131"/>
      <c r="K29" s="961">
        <f>K27-K28</f>
        <v>0</v>
      </c>
      <c r="L29" s="976"/>
      <c r="M29" s="961">
        <f>M27-M28</f>
        <v>0</v>
      </c>
      <c r="N29" s="961">
        <f>N27-N28</f>
        <v>0</v>
      </c>
      <c r="O29" s="961" t="str">
        <f t="shared" si="5"/>
        <v/>
      </c>
      <c r="P29" s="962"/>
      <c r="BH29" s="287"/>
      <c r="BI29" s="287"/>
      <c r="BJ29" s="287"/>
      <c r="BK29" s="287"/>
      <c r="BL29" s="287"/>
      <c r="BO29" s="77"/>
      <c r="BP29" s="78"/>
      <c r="BQ29" s="77"/>
      <c r="BR29" s="78"/>
      <c r="BS29" s="78"/>
      <c r="BT29" s="78"/>
      <c r="BU29" s="78"/>
      <c r="BV29" s="78"/>
      <c r="BW29" s="77"/>
    </row>
    <row r="30" customHeight="1" spans="1:75">
      <c r="A30" s="102" t="str">
        <f>参数表!F$6</f>
        <v>产权持有单位填表人：贾广东</v>
      </c>
      <c r="B30" s="107"/>
      <c r="C30" s="107"/>
      <c r="D30" s="107"/>
      <c r="E30" s="107"/>
      <c r="F30" s="107"/>
      <c r="G30" s="107"/>
      <c r="H30" s="154"/>
      <c r="I30" s="154"/>
      <c r="J30" s="154"/>
      <c r="K30" s="107"/>
      <c r="L30" s="966"/>
      <c r="M30" s="107"/>
      <c r="N30" s="103" t="str">
        <f>"评估人员："&amp;封面!$G$36</f>
        <v>评估人员：</v>
      </c>
      <c r="O30" s="107"/>
      <c r="P30" s="107"/>
    </row>
    <row r="31" customHeight="1" spans="1:75">
      <c r="A31" s="102" t="str">
        <f>参数表!F$7</f>
        <v>填表日期：2025年9月20日</v>
      </c>
      <c r="B31" s="107"/>
      <c r="C31" s="107"/>
      <c r="D31" s="107"/>
      <c r="E31" s="107"/>
      <c r="F31" s="107"/>
      <c r="G31" s="107"/>
      <c r="H31" s="154"/>
      <c r="I31" s="154"/>
      <c r="J31" s="154"/>
      <c r="K31" s="107"/>
      <c r="L31" s="966"/>
      <c r="M31" s="107"/>
      <c r="N31" s="107"/>
      <c r="O31" s="107"/>
      <c r="P31" s="107"/>
    </row>
    <row r="32" hidden="1" customHeight="1" outlineLevel="1" spans="1:75">
      <c r="B32" s="154" t="s">
        <v>1673</v>
      </c>
      <c r="H32" s="154"/>
      <c r="I32" s="154"/>
      <c r="J32" s="154"/>
      <c r="K32" s="335">
        <f>SUMIF($BA7:$BA26,$BA32,K7:K26)</f>
        <v>0</v>
      </c>
      <c r="L32" s="978"/>
      <c r="M32" s="335">
        <f>SUMIF($BA7:$BA26,$BA32,M7:M26)</f>
        <v>0</v>
      </c>
      <c r="N32" s="335">
        <f>SUMIF($BA7:$BA26,$BA32,N7:N26)</f>
        <v>0</v>
      </c>
      <c r="BA32" s="161" t="s">
        <v>1674</v>
      </c>
      <c r="BH32" s="162" t="s">
        <v>1675</v>
      </c>
      <c r="BI32" s="162" t="s">
        <v>1675</v>
      </c>
      <c r="BJ32" s="162" t="s">
        <v>1675</v>
      </c>
      <c r="BK32" s="162" t="s">
        <v>1674</v>
      </c>
      <c r="BL32" s="162" t="s">
        <v>1674</v>
      </c>
    </row>
    <row r="33" hidden="1" customHeight="1" outlineLevel="1" spans="2:64">
      <c r="B33" s="154" t="s">
        <v>1676</v>
      </c>
      <c r="H33" s="158"/>
      <c r="I33" s="158"/>
      <c r="J33" s="158"/>
      <c r="K33" s="335">
        <f>K27-K32</f>
        <v>0</v>
      </c>
      <c r="L33" s="978"/>
      <c r="M33" s="335">
        <f>M27-M32</f>
        <v>0</v>
      </c>
      <c r="N33" s="335">
        <f>N27-N32</f>
        <v>0</v>
      </c>
      <c r="BA33" s="161" t="s">
        <v>1677</v>
      </c>
      <c r="BH33" s="162" t="s">
        <v>1678</v>
      </c>
      <c r="BI33" s="162" t="s">
        <v>1678</v>
      </c>
      <c r="BJ33" s="162" t="s">
        <v>1678</v>
      </c>
      <c r="BK33" s="162" t="s">
        <v>1677</v>
      </c>
      <c r="BL33" s="162" t="s">
        <v>1677</v>
      </c>
    </row>
    <row r="34" customHeight="1" collapsed="1" spans="2:64">
      <c r="H34" s="158"/>
      <c r="I34" s="158"/>
      <c r="J34" s="158"/>
    </row>
    <row r="35" customHeight="1" spans="2:64">
      <c r="H35" s="158"/>
      <c r="I35" s="158"/>
      <c r="J35" s="158"/>
    </row>
    <row r="36" customHeight="1" spans="2:64">
      <c r="H36" s="158"/>
      <c r="I36" s="158"/>
      <c r="J36" s="158"/>
    </row>
    <row r="37" customHeight="1" spans="2:64">
      <c r="H37" s="158"/>
      <c r="I37" s="158"/>
      <c r="J37" s="158"/>
    </row>
    <row r="38" customHeight="1" spans="2:64">
      <c r="H38" s="158"/>
      <c r="I38" s="158"/>
      <c r="J38" s="158"/>
    </row>
    <row r="39" customHeight="1" spans="2:64">
      <c r="H39" s="158"/>
      <c r="I39" s="158"/>
      <c r="J39" s="158"/>
    </row>
  </sheetData>
  <sheetProtection autoFilter="0"/>
  <mergeCells count="8">
    <mergeCell ref="A2:P2"/>
    <mergeCell ref="A3:P3"/>
    <mergeCell ref="BU7:BW7"/>
    <mergeCell ref="BU8:BW8"/>
    <mergeCell ref="BV14:BW14"/>
    <mergeCell ref="A27:C27"/>
    <mergeCell ref="A28:C28"/>
    <mergeCell ref="A29:C29"/>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5" stopIfTrue="1">
      <formula>AND($B7&lt;&gt;"",BH7="")</formula>
    </cfRule>
  </conditionalFormatting>
  <dataValidations count="4">
    <dataValidation type="list" allowBlank="1" showInputMessage="1" showErrorMessage="1" sqref="H7:H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 type="list" allowBlank="1" showInputMessage="1" showErrorMessage="1" sqref="BH7:BL26">
      <formula1>BH$32:BH$33</formula1>
    </dataValidation>
  </dataValidations>
  <hyperlinks>
    <hyperlink ref="A1" location="索引目录!D33" display="返回索引页"/>
    <hyperlink ref="B1" location="非流动资产评估汇总!B18"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0"/>
  <dimension ref="A1:BW39"/>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3" style="290" customWidth="1"/>
    <col min="2" max="2" width="26.5" style="229" customWidth="1"/>
    <col min="3" max="3" width="9" style="229"/>
    <col min="4" max="4" width="6.2" style="229" customWidth="1"/>
    <col min="5" max="5" width="8.7" style="229" customWidth="1"/>
    <col min="6" max="7" width="4.6" style="75" customWidth="1" outlineLevel="1"/>
    <col min="8" max="9" width="6.1" style="75" customWidth="1" outlineLevel="1"/>
    <col min="10" max="10" width="14.5" style="229" customWidth="1"/>
    <col min="11" max="12" width="11" style="229" customWidth="1" outlineLevel="1"/>
    <col min="13" max="14" width="12.6" style="229" customWidth="1"/>
    <col min="15" max="15" width="8.6" style="229" customWidth="1"/>
    <col min="16" max="16" width="5.5" style="229" customWidth="1"/>
    <col min="17" max="52" width="9" style="229" hidden="1" customWidth="1" outlineLevel="1"/>
    <col min="53" max="53" width="14.7" style="229" customWidth="1" collapsed="1"/>
    <col min="54" max="54" width="6.7" style="229" customWidth="1"/>
    <col min="55" max="56" width="5.1" style="229" customWidth="1"/>
    <col min="57" max="57" width="8.7" style="229" customWidth="1"/>
    <col min="58" max="59" width="10.6" style="229" customWidth="1"/>
    <col min="60" max="61" width="5" style="254" customWidth="1"/>
    <col min="62" max="63" width="5.1" style="254" customWidth="1"/>
    <col min="64" max="64" width="6.7" style="254" customWidth="1"/>
    <col min="65" max="65" width="10.3" style="229" customWidth="1"/>
    <col min="66" max="66" width="8.7" style="229" customWidth="1"/>
    <col min="67" max="67" width="1.6" style="77" customWidth="1"/>
    <col min="68" max="68" width="10.6" style="78" customWidth="1"/>
    <col min="69" max="69" width="10.6" style="77" customWidth="1"/>
    <col min="70" max="70" width="4.6" style="78" customWidth="1"/>
    <col min="71" max="71" width="10.6" style="78" customWidth="1"/>
    <col min="72" max="73" width="4.6" style="78" customWidth="1"/>
    <col min="74" max="74" width="10.6" style="78" customWidth="1"/>
    <col min="75" max="75" width="5" style="77" customWidth="1"/>
    <col min="76" max="16384" width="9" style="229"/>
  </cols>
  <sheetData>
    <row r="1" customHeight="1" spans="1:75">
      <c r="A1" s="203" t="s">
        <v>1591</v>
      </c>
      <c r="B1" s="204" t="s">
        <v>1592</v>
      </c>
      <c r="F1" s="82"/>
      <c r="G1" s="82"/>
      <c r="H1" s="82"/>
      <c r="I1" s="82"/>
      <c r="BA1" s="951" t="s">
        <v>3607</v>
      </c>
      <c r="BB1" s="237"/>
      <c r="BO1" s="87"/>
      <c r="BP1" s="88"/>
      <c r="BQ1" s="87"/>
      <c r="BR1" s="88"/>
      <c r="BS1" s="88"/>
      <c r="BT1" s="88"/>
      <c r="BU1" s="88"/>
      <c r="BV1" s="88"/>
      <c r="BW1" s="87"/>
    </row>
    <row r="2" s="237" customFormat="1" ht="30" customHeight="1" spans="1:75">
      <c r="A2" s="293" t="s">
        <v>3634</v>
      </c>
      <c r="B2" s="294"/>
      <c r="C2" s="294"/>
      <c r="D2" s="294"/>
      <c r="E2" s="294"/>
      <c r="F2" s="294"/>
      <c r="G2" s="294"/>
      <c r="H2" s="294"/>
      <c r="I2" s="294"/>
      <c r="J2" s="294"/>
      <c r="K2" s="294"/>
      <c r="L2" s="294"/>
      <c r="M2" s="294"/>
      <c r="N2" s="294"/>
      <c r="O2" s="294"/>
      <c r="P2" s="294"/>
      <c r="BA2" s="107" t="s">
        <v>4</v>
      </c>
      <c r="BB2" s="952" t="str">
        <f>RIGHT(A3,LEN(A3)-6)</f>
        <v>2025年7月31日</v>
      </c>
      <c r="BH2" s="295"/>
      <c r="BI2" s="295"/>
      <c r="BJ2" s="295"/>
      <c r="BK2" s="295"/>
      <c r="BL2" s="295"/>
      <c r="BO2" s="92"/>
      <c r="BP2" s="93"/>
      <c r="BQ2" s="92"/>
      <c r="BR2" s="93"/>
      <c r="BS2" s="93"/>
      <c r="BT2" s="93"/>
      <c r="BU2" s="93"/>
      <c r="BV2" s="93"/>
      <c r="BW2" s="92"/>
    </row>
    <row r="3" ht="14.1" customHeight="1" spans="1:75">
      <c r="A3" s="296" t="str">
        <f>参数表!F5</f>
        <v>评估基准日：2025年7月31日</v>
      </c>
      <c r="B3" s="296"/>
      <c r="C3" s="296"/>
      <c r="D3" s="296"/>
      <c r="E3" s="296"/>
      <c r="F3" s="296"/>
      <c r="G3" s="296"/>
      <c r="H3" s="296"/>
      <c r="I3" s="296"/>
      <c r="J3" s="162"/>
      <c r="K3" s="162"/>
      <c r="L3" s="162"/>
      <c r="M3" s="162"/>
      <c r="N3" s="162"/>
      <c r="O3" s="162"/>
      <c r="P3" s="162"/>
      <c r="BA3" s="107" t="s">
        <v>3609</v>
      </c>
      <c r="BB3" s="162" t="str">
        <f>参数表!$BB$3</f>
        <v>是</v>
      </c>
    </row>
    <row r="4" ht="14.1" customHeight="1" spans="1:75">
      <c r="A4" s="297"/>
      <c r="B4" s="296"/>
      <c r="C4" s="296"/>
      <c r="D4" s="296"/>
      <c r="E4" s="296"/>
      <c r="F4" s="94"/>
      <c r="G4" s="94"/>
      <c r="H4" s="94"/>
      <c r="I4" s="94"/>
      <c r="J4" s="162"/>
      <c r="K4" s="162"/>
      <c r="L4" s="162"/>
      <c r="M4" s="162"/>
      <c r="N4" s="162"/>
      <c r="O4" s="162"/>
      <c r="P4" s="98" t="str">
        <f>"表"&amp;$BA4</f>
        <v>表4-8</v>
      </c>
      <c r="BA4" s="298" t="str">
        <f>非流动资总!A14</f>
        <v>4-8</v>
      </c>
      <c r="BB4" s="100">
        <f>MAX(COUNTA(A7:A26),COUNTA(B7:B26),COUNTA(N7:N26),COUNTA(M7:M26))</f>
        <v>20</v>
      </c>
      <c r="BC4" s="101">
        <f>ROW(A6)+1</f>
        <v>7</v>
      </c>
      <c r="BD4" s="77"/>
      <c r="BE4" s="77"/>
      <c r="BQ4" s="78"/>
    </row>
    <row r="5" customHeight="1" spans="1:75">
      <c r="A5" s="299" t="str">
        <f>参数表!F3</f>
        <v>产权持有单位:中煤第五建设有限公司</v>
      </c>
      <c r="B5" s="107"/>
      <c r="C5" s="107"/>
      <c r="D5" s="107"/>
      <c r="E5" s="107"/>
      <c r="F5" s="103"/>
      <c r="G5" s="103"/>
      <c r="H5" s="103"/>
      <c r="I5" s="103"/>
      <c r="J5" s="107"/>
      <c r="K5" s="107"/>
      <c r="L5" s="107"/>
      <c r="M5" s="107"/>
      <c r="N5" s="107"/>
      <c r="O5" s="107"/>
      <c r="P5" s="300" t="s">
        <v>236</v>
      </c>
      <c r="BA5" s="107"/>
      <c r="BB5" s="105" t="str">
        <f ca="1">判断表!C59</f>
        <v>中煤第五建设有限公司第三工程处拟处置实物资产项目\[0000-3基础法明细表.xlsx]其他金资</v>
      </c>
      <c r="BC5" s="106">
        <f>IFERROR(SUMIF(BC7:BC26,"√",M7:M26)/M27,0)</f>
        <v>0</v>
      </c>
      <c r="BD5" s="107"/>
      <c r="BE5" s="107"/>
      <c r="BF5" s="177">
        <f>分类汇总!I30</f>
        <v>0</v>
      </c>
      <c r="BG5" s="177">
        <f>分类汇总!K30</f>
        <v>0</v>
      </c>
      <c r="BH5" s="165"/>
      <c r="BI5" s="165"/>
      <c r="BJ5" s="165"/>
      <c r="BK5" s="165"/>
      <c r="BL5" s="165"/>
      <c r="BM5" s="75"/>
      <c r="BN5" s="75"/>
      <c r="BO5" s="111"/>
      <c r="BQ5" s="78"/>
      <c r="BW5" s="111"/>
    </row>
    <row r="6" s="287" customFormat="1" ht="24.75" customHeight="1" spans="1:75">
      <c r="A6" s="301" t="s">
        <v>305</v>
      </c>
      <c r="B6" s="115" t="s">
        <v>3635</v>
      </c>
      <c r="C6" s="115" t="s">
        <v>3636</v>
      </c>
      <c r="D6" s="115" t="s">
        <v>1637</v>
      </c>
      <c r="E6" s="115" t="s">
        <v>3637</v>
      </c>
      <c r="F6" s="114" t="s">
        <v>1631</v>
      </c>
      <c r="G6" s="115" t="s">
        <v>1632</v>
      </c>
      <c r="H6" s="116" t="s">
        <v>3638</v>
      </c>
      <c r="I6" s="115" t="s">
        <v>1633</v>
      </c>
      <c r="J6" s="115" t="s">
        <v>3639</v>
      </c>
      <c r="K6" s="114" t="s">
        <v>1549</v>
      </c>
      <c r="L6" s="953" t="s">
        <v>3236</v>
      </c>
      <c r="M6" s="114" t="s">
        <v>1523</v>
      </c>
      <c r="N6" s="954" t="s">
        <v>1550</v>
      </c>
      <c r="O6" s="115" t="s">
        <v>1551</v>
      </c>
      <c r="P6" s="115" t="s">
        <v>308</v>
      </c>
      <c r="BA6" s="100" t="s">
        <v>1545</v>
      </c>
      <c r="BB6" s="100" t="s">
        <v>1635</v>
      </c>
      <c r="BC6" s="100" t="s">
        <v>1636</v>
      </c>
      <c r="BD6" s="100" t="s">
        <v>1637</v>
      </c>
      <c r="BE6" s="100" t="s">
        <v>1638</v>
      </c>
      <c r="BF6" s="115" t="s">
        <v>1639</v>
      </c>
      <c r="BG6" s="115" t="s">
        <v>1640</v>
      </c>
      <c r="BH6" s="113" t="s">
        <v>1748</v>
      </c>
      <c r="BI6" s="113" t="s">
        <v>1749</v>
      </c>
      <c r="BJ6" s="118" t="s">
        <v>1750</v>
      </c>
      <c r="BK6" s="118" t="s">
        <v>1686</v>
      </c>
      <c r="BL6" s="118" t="s">
        <v>1687</v>
      </c>
      <c r="BM6" s="118" t="s">
        <v>2063</v>
      </c>
      <c r="BN6" s="113" t="s">
        <v>1644</v>
      </c>
      <c r="BO6" s="119"/>
      <c r="BP6" s="120" t="s">
        <v>1645</v>
      </c>
      <c r="BQ6" s="121" t="s">
        <v>1646</v>
      </c>
      <c r="BR6" s="121" t="s">
        <v>1647</v>
      </c>
      <c r="BS6" s="121" t="s">
        <v>1648</v>
      </c>
      <c r="BT6" s="121" t="s">
        <v>1647</v>
      </c>
      <c r="BU6" s="121" t="s">
        <v>1647</v>
      </c>
      <c r="BV6" s="121" t="s">
        <v>1649</v>
      </c>
      <c r="BW6" s="122" t="s">
        <v>1650</v>
      </c>
    </row>
    <row r="7" customHeight="1" spans="1:75">
      <c r="A7" s="123" t="str">
        <f>IF(B7="","",COUNT(A$6:A6)+1)</f>
        <v/>
      </c>
      <c r="B7" s="315" t="s">
        <v>347</v>
      </c>
      <c r="C7" s="315" t="s">
        <v>347</v>
      </c>
      <c r="D7" s="318" t="s">
        <v>347</v>
      </c>
      <c r="E7" s="319" t="s">
        <v>347</v>
      </c>
      <c r="F7" s="127"/>
      <c r="G7" s="127" t="str">
        <f>IFERROR(VLOOKUP(F7,参数表!$H$2:$I$50,2,FALSE),"")</f>
        <v/>
      </c>
      <c r="H7" s="128" t="str">
        <f>IFERROR(IF(OR(F7="人民币",F7=""),"",J7/G7),"")</f>
        <v/>
      </c>
      <c r="I7" s="128" t="str">
        <f>IFERROR(IF(OR(F7="人民币",F7=""),"",M7/G7),"")</f>
        <v/>
      </c>
      <c r="J7" s="320" t="s">
        <v>347</v>
      </c>
      <c r="K7" s="955"/>
      <c r="L7" s="955"/>
      <c r="M7" s="955" t="str">
        <f>IF(B7="","",K7+L7)</f>
        <v/>
      </c>
      <c r="N7" s="956" t="str">
        <f t="shared" ref="N7:N26" si="0">IF(B7="","",IF($BB$3="是",M7,0))</f>
        <v/>
      </c>
      <c r="O7" s="955" t="str">
        <f>IFERROR((N7-M7)/M7*100,"")</f>
        <v/>
      </c>
      <c r="P7" s="957" t="s">
        <v>347</v>
      </c>
      <c r="BA7" s="78"/>
      <c r="BB7" s="132" t="s">
        <v>3640</v>
      </c>
      <c r="BC7" s="133"/>
      <c r="BD7" s="132" t="str">
        <f>IF(OR(B7="",BC7=""),"",COUNTIF(BC$7:BC7,"√"))</f>
        <v/>
      </c>
      <c r="BE7" s="134" t="str">
        <f t="shared" ref="BE7:BE26" si="1">IF(BC7="","",BB7&amp;"︱"&amp;B7&amp;"︱"&amp;TEXT(K7,"#,##0.00"))</f>
        <v/>
      </c>
      <c r="BF7" s="135" t="str">
        <f>IF($B7="","",IF(BF$5=0,"OK","出错"))</f>
        <v/>
      </c>
      <c r="BG7" s="135" t="str">
        <f>IF($B7="","",IF(BG$5=0,"OK","出错"))</f>
        <v/>
      </c>
      <c r="BH7" s="136"/>
      <c r="BI7" s="136"/>
      <c r="BJ7" s="136"/>
      <c r="BK7" s="136"/>
      <c r="BL7" s="136"/>
      <c r="BM7" s="137"/>
      <c r="BN7" s="137"/>
      <c r="BP7" s="134" t="str">
        <f>IF(COUNTIF(BP$6:BP6,C7)&gt;0,"",C7)&amp;""</f>
        <v/>
      </c>
      <c r="BQ7" s="138">
        <f>SUMIF(C$7:C$26,BP7,M$7:M$26)</f>
        <v>0</v>
      </c>
      <c r="BR7" s="132">
        <f t="shared" ref="BR7" si="2">RANK(BQ7,BQ$7:BQ$26)</f>
        <v>1</v>
      </c>
      <c r="BS7" s="138">
        <f>SUMIF(C$7:C$26,BP7,N$7:N$26)</f>
        <v>0</v>
      </c>
      <c r="BT7" s="132">
        <f>RANK(BS7,BS$7:BS$26)</f>
        <v>1</v>
      </c>
      <c r="BU7" s="138">
        <f>SUM(BQ7:BQ26)</f>
        <v>0</v>
      </c>
      <c r="BV7" s="138"/>
      <c r="BW7" s="138"/>
    </row>
    <row r="8" customHeight="1" spans="1:75">
      <c r="A8" s="123" t="str">
        <f>IF(B8="","",COUNT(A$6:A7)+1)</f>
        <v/>
      </c>
      <c r="B8" s="322" t="s">
        <v>347</v>
      </c>
      <c r="C8" s="322" t="s">
        <v>347</v>
      </c>
      <c r="D8" s="325" t="s">
        <v>347</v>
      </c>
      <c r="E8" s="326" t="s">
        <v>347</v>
      </c>
      <c r="F8" s="142"/>
      <c r="G8" s="127" t="str">
        <f>IFERROR(VLOOKUP(F8,参数表!$H$2:$I$50,2,FALSE),"")</f>
        <v/>
      </c>
      <c r="H8" s="128" t="str">
        <f t="shared" ref="H8:H26" si="3">IFERROR(IF(OR(F8="人民币",F8=""),"",J8/G8),"")</f>
        <v/>
      </c>
      <c r="I8" s="128" t="str">
        <f t="shared" ref="I8:I26" si="4">IFERROR(IF(OR(F8="人民币",F8=""),"",M8/G8),"")</f>
        <v/>
      </c>
      <c r="J8" s="256" t="s">
        <v>347</v>
      </c>
      <c r="K8" s="958"/>
      <c r="L8" s="958"/>
      <c r="M8" s="955" t="str">
        <f t="shared" ref="M8:M26" si="5">IF(B8="","",K8+L8)</f>
        <v/>
      </c>
      <c r="N8" s="956" t="str">
        <f t="shared" si="0"/>
        <v/>
      </c>
      <c r="O8" s="955" t="str">
        <f t="shared" ref="O8:O29" si="6">IFERROR((N8-M8)/M8*100,"")</f>
        <v/>
      </c>
      <c r="P8" s="959" t="s">
        <v>347</v>
      </c>
      <c r="BA8" s="78"/>
      <c r="BB8" s="132" t="s">
        <v>3641</v>
      </c>
      <c r="BC8" s="133"/>
      <c r="BD8" s="132" t="str">
        <f>IF(OR(B8="",BC8=""),"",COUNTIF(BC$7:BC8,"√"))</f>
        <v/>
      </c>
      <c r="BE8" s="134" t="str">
        <f t="shared" si="1"/>
        <v/>
      </c>
      <c r="BF8" s="135" t="str">
        <f t="shared" ref="BF8:BG26" si="7">IF($B8="","",IF(BF$5=0,"OK","出错"))</f>
        <v/>
      </c>
      <c r="BG8" s="135" t="str">
        <f t="shared" si="7"/>
        <v/>
      </c>
      <c r="BH8" s="136"/>
      <c r="BI8" s="136"/>
      <c r="BJ8" s="136"/>
      <c r="BK8" s="136"/>
      <c r="BL8" s="136"/>
      <c r="BM8" s="137"/>
      <c r="BN8" s="137"/>
      <c r="BP8" s="134" t="str">
        <f>IF(COUNTIF(BP$6:BP7,C8)&gt;0,"",C8)&amp;""</f>
        <v/>
      </c>
      <c r="BQ8" s="138">
        <f t="shared" ref="BQ8:BQ26" si="8">SUMIF(C$7:C$26,BP8,M$7:M$26)</f>
        <v>0</v>
      </c>
      <c r="BR8" s="132">
        <f t="shared" ref="BR8:BR26" si="9">RANK(BQ8,BQ$7:BQ$26)</f>
        <v>1</v>
      </c>
      <c r="BS8" s="138">
        <f t="shared" ref="BS8:BS26" si="10">SUMIF(C$7:C$26,BP8,N$7:N$26)</f>
        <v>0</v>
      </c>
      <c r="BT8" s="132">
        <f t="shared" ref="BT8:BT26" si="11">RANK(BS8,BS$7:BS$26)</f>
        <v>1</v>
      </c>
      <c r="BU8" s="138">
        <f>SUM(BS7:BS26)</f>
        <v>0</v>
      </c>
      <c r="BV8" s="138"/>
      <c r="BW8" s="138"/>
    </row>
    <row r="9" customHeight="1" spans="1:75">
      <c r="A9" s="123" t="str">
        <f>IF(B9="","",COUNT(A$6:A8)+1)</f>
        <v/>
      </c>
      <c r="B9" s="322" t="s">
        <v>347</v>
      </c>
      <c r="C9" s="322" t="s">
        <v>347</v>
      </c>
      <c r="D9" s="325" t="s">
        <v>347</v>
      </c>
      <c r="E9" s="326" t="s">
        <v>347</v>
      </c>
      <c r="F9" s="142"/>
      <c r="G9" s="127" t="str">
        <f>IFERROR(VLOOKUP(F9,参数表!$H$2:$I$50,2,FALSE),"")</f>
        <v/>
      </c>
      <c r="H9" s="128" t="str">
        <f t="shared" si="3"/>
        <v/>
      </c>
      <c r="I9" s="128" t="str">
        <f t="shared" si="4"/>
        <v/>
      </c>
      <c r="J9" s="256" t="s">
        <v>347</v>
      </c>
      <c r="K9" s="958"/>
      <c r="L9" s="958"/>
      <c r="M9" s="955" t="str">
        <f t="shared" si="5"/>
        <v/>
      </c>
      <c r="N9" s="956" t="str">
        <f t="shared" si="0"/>
        <v/>
      </c>
      <c r="O9" s="955" t="str">
        <f t="shared" si="6"/>
        <v/>
      </c>
      <c r="P9" s="959" t="s">
        <v>347</v>
      </c>
      <c r="BA9" s="78"/>
      <c r="BB9" s="132" t="s">
        <v>3642</v>
      </c>
      <c r="BC9" s="133"/>
      <c r="BD9" s="132" t="str">
        <f>IF(OR(B9="",BC9=""),"",COUNTIF(BC$7:BC9,"√"))</f>
        <v/>
      </c>
      <c r="BE9" s="134" t="str">
        <f t="shared" si="1"/>
        <v/>
      </c>
      <c r="BF9" s="135" t="str">
        <f t="shared" si="7"/>
        <v/>
      </c>
      <c r="BG9" s="135" t="str">
        <f t="shared" si="7"/>
        <v/>
      </c>
      <c r="BH9" s="136"/>
      <c r="BI9" s="136"/>
      <c r="BJ9" s="136"/>
      <c r="BK9" s="136"/>
      <c r="BL9" s="136"/>
      <c r="BM9" s="137"/>
      <c r="BN9" s="137"/>
      <c r="BP9" s="134" t="str">
        <f>IF(COUNTIF(BP$6:BP8,C9)&gt;0,"",C9)&amp;""</f>
        <v/>
      </c>
      <c r="BQ9" s="138">
        <f t="shared" si="8"/>
        <v>0</v>
      </c>
      <c r="BR9" s="132">
        <f t="shared" si="9"/>
        <v>1</v>
      </c>
      <c r="BS9" s="138">
        <f t="shared" si="10"/>
        <v>0</v>
      </c>
      <c r="BT9" s="132">
        <f t="shared" si="11"/>
        <v>1</v>
      </c>
      <c r="BU9" s="132">
        <v>1</v>
      </c>
      <c r="BV9" s="134" t="str">
        <f>IFERROR(INDEX(BP$7:BP$26,MATCH(BU9,IF(BU$7=0,BT$7:BT$26,BR$7:BR$26),0))&amp;"","")</f>
        <v/>
      </c>
      <c r="BW9" s="146" t="str">
        <f>IF(BV10="","",IF(BV11="","和","、"))</f>
        <v/>
      </c>
    </row>
    <row r="10" customHeight="1" spans="1:75">
      <c r="A10" s="123" t="str">
        <f>IF(B10="","",COUNT(A$6:A9)+1)</f>
        <v/>
      </c>
      <c r="B10" s="322" t="s">
        <v>347</v>
      </c>
      <c r="C10" s="322" t="s">
        <v>347</v>
      </c>
      <c r="D10" s="325" t="s">
        <v>347</v>
      </c>
      <c r="E10" s="326" t="s">
        <v>347</v>
      </c>
      <c r="F10" s="142"/>
      <c r="G10" s="127" t="str">
        <f>IFERROR(VLOOKUP(F10,参数表!$H$2:$I$50,2,FALSE),"")</f>
        <v/>
      </c>
      <c r="H10" s="128" t="str">
        <f t="shared" si="3"/>
        <v/>
      </c>
      <c r="I10" s="128" t="str">
        <f t="shared" si="4"/>
        <v/>
      </c>
      <c r="J10" s="256" t="s">
        <v>347</v>
      </c>
      <c r="K10" s="958"/>
      <c r="L10" s="958"/>
      <c r="M10" s="955" t="str">
        <f t="shared" si="5"/>
        <v/>
      </c>
      <c r="N10" s="956" t="str">
        <f t="shared" si="0"/>
        <v/>
      </c>
      <c r="O10" s="955" t="str">
        <f t="shared" si="6"/>
        <v/>
      </c>
      <c r="P10" s="959" t="s">
        <v>347</v>
      </c>
      <c r="BA10" s="78"/>
      <c r="BB10" s="132" t="s">
        <v>3643</v>
      </c>
      <c r="BC10" s="133"/>
      <c r="BD10" s="132" t="str">
        <f>IF(OR(B10="",BC10=""),"",COUNTIF(BC$7:BC10,"√"))</f>
        <v/>
      </c>
      <c r="BE10" s="134" t="str">
        <f t="shared" si="1"/>
        <v/>
      </c>
      <c r="BF10" s="135" t="str">
        <f t="shared" si="7"/>
        <v/>
      </c>
      <c r="BG10" s="135" t="str">
        <f t="shared" si="7"/>
        <v/>
      </c>
      <c r="BH10" s="136"/>
      <c r="BI10" s="136"/>
      <c r="BJ10" s="136"/>
      <c r="BK10" s="136"/>
      <c r="BL10" s="136"/>
      <c r="BM10" s="137"/>
      <c r="BN10" s="137"/>
      <c r="BP10" s="134" t="str">
        <f>IF(COUNTIF(BP$6:BP9,C10)&gt;0,"",C10)&amp;""</f>
        <v/>
      </c>
      <c r="BQ10" s="138">
        <f t="shared" si="8"/>
        <v>0</v>
      </c>
      <c r="BR10" s="132">
        <f t="shared" si="9"/>
        <v>1</v>
      </c>
      <c r="BS10" s="138">
        <f t="shared" si="10"/>
        <v>0</v>
      </c>
      <c r="BT10" s="132">
        <f t="shared" si="11"/>
        <v>1</v>
      </c>
      <c r="BU10" s="132">
        <v>2</v>
      </c>
      <c r="BV10" s="134" t="str">
        <f t="shared" ref="BV10:BV13" si="12">IFERROR(INDEX(BP$7:BP$26,MATCH(BU10,IF(BU$7=0,BT$7:BT$26,BR$7:BR$26),0))&amp;"","")</f>
        <v/>
      </c>
      <c r="BW10" s="146" t="str">
        <f t="shared" ref="BW10:BW11" si="13">IF(BV11="","",IF(BV12="","和","、"))</f>
        <v/>
      </c>
    </row>
    <row r="11" customHeight="1" spans="1:75">
      <c r="A11" s="123" t="str">
        <f>IF(B11="","",COUNT(A$6:A10)+1)</f>
        <v/>
      </c>
      <c r="B11" s="322" t="s">
        <v>347</v>
      </c>
      <c r="C11" s="322" t="s">
        <v>347</v>
      </c>
      <c r="D11" s="325" t="s">
        <v>347</v>
      </c>
      <c r="E11" s="326" t="s">
        <v>347</v>
      </c>
      <c r="F11" s="142"/>
      <c r="G11" s="127" t="str">
        <f>IFERROR(VLOOKUP(F11,参数表!$H$2:$I$50,2,FALSE),"")</f>
        <v/>
      </c>
      <c r="H11" s="128" t="str">
        <f t="shared" si="3"/>
        <v/>
      </c>
      <c r="I11" s="128" t="str">
        <f t="shared" si="4"/>
        <v/>
      </c>
      <c r="J11" s="256" t="s">
        <v>347</v>
      </c>
      <c r="K11" s="958"/>
      <c r="L11" s="958"/>
      <c r="M11" s="955" t="str">
        <f t="shared" si="5"/>
        <v/>
      </c>
      <c r="N11" s="956" t="str">
        <f t="shared" si="0"/>
        <v/>
      </c>
      <c r="O11" s="955" t="str">
        <f t="shared" si="6"/>
        <v/>
      </c>
      <c r="P11" s="959" t="s">
        <v>347</v>
      </c>
      <c r="BA11" s="78"/>
      <c r="BB11" s="132" t="s">
        <v>3644</v>
      </c>
      <c r="BC11" s="133"/>
      <c r="BD11" s="132" t="str">
        <f>IF(OR(B11="",BC11=""),"",COUNTIF(BC$7:BC11,"√"))</f>
        <v/>
      </c>
      <c r="BE11" s="134" t="str">
        <f t="shared" si="1"/>
        <v/>
      </c>
      <c r="BF11" s="135" t="str">
        <f t="shared" si="7"/>
        <v/>
      </c>
      <c r="BG11" s="135" t="str">
        <f t="shared" si="7"/>
        <v/>
      </c>
      <c r="BH11" s="136"/>
      <c r="BI11" s="136"/>
      <c r="BJ11" s="136"/>
      <c r="BK11" s="136"/>
      <c r="BL11" s="136"/>
      <c r="BM11" s="137"/>
      <c r="BN11" s="137"/>
      <c r="BP11" s="134" t="str">
        <f>IF(COUNTIF(BP$6:BP10,C11)&gt;0,"",C11)&amp;""</f>
        <v/>
      </c>
      <c r="BQ11" s="138">
        <f t="shared" si="8"/>
        <v>0</v>
      </c>
      <c r="BR11" s="132">
        <f t="shared" si="9"/>
        <v>1</v>
      </c>
      <c r="BS11" s="138">
        <f t="shared" si="10"/>
        <v>0</v>
      </c>
      <c r="BT11" s="132">
        <f t="shared" si="11"/>
        <v>1</v>
      </c>
      <c r="BU11" s="132">
        <v>3</v>
      </c>
      <c r="BV11" s="134" t="str">
        <f t="shared" si="12"/>
        <v/>
      </c>
      <c r="BW11" s="146" t="str">
        <f t="shared" si="13"/>
        <v/>
      </c>
    </row>
    <row r="12" customHeight="1" spans="1:75">
      <c r="A12" s="123" t="str">
        <f>IF(B12="","",COUNT(A$6:A11)+1)</f>
        <v/>
      </c>
      <c r="B12" s="322" t="s">
        <v>347</v>
      </c>
      <c r="C12" s="322" t="s">
        <v>347</v>
      </c>
      <c r="D12" s="325" t="s">
        <v>347</v>
      </c>
      <c r="E12" s="326" t="s">
        <v>347</v>
      </c>
      <c r="F12" s="142"/>
      <c r="G12" s="127" t="str">
        <f>IFERROR(VLOOKUP(F12,参数表!$H$2:$I$50,2,FALSE),"")</f>
        <v/>
      </c>
      <c r="H12" s="128" t="str">
        <f t="shared" si="3"/>
        <v/>
      </c>
      <c r="I12" s="128" t="str">
        <f t="shared" si="4"/>
        <v/>
      </c>
      <c r="J12" s="256" t="s">
        <v>347</v>
      </c>
      <c r="K12" s="958"/>
      <c r="L12" s="958"/>
      <c r="M12" s="955" t="str">
        <f t="shared" si="5"/>
        <v/>
      </c>
      <c r="N12" s="956" t="str">
        <f t="shared" si="0"/>
        <v/>
      </c>
      <c r="O12" s="955" t="str">
        <f t="shared" si="6"/>
        <v/>
      </c>
      <c r="P12" s="959" t="s">
        <v>347</v>
      </c>
      <c r="BA12" s="78"/>
      <c r="BB12" s="132" t="s">
        <v>3645</v>
      </c>
      <c r="BC12" s="133"/>
      <c r="BD12" s="132" t="str">
        <f>IF(OR(B12="",BC12=""),"",COUNTIF(BC$7:BC12,"√"))</f>
        <v/>
      </c>
      <c r="BE12" s="134" t="str">
        <f t="shared" si="1"/>
        <v/>
      </c>
      <c r="BF12" s="135" t="str">
        <f t="shared" si="7"/>
        <v/>
      </c>
      <c r="BG12" s="135" t="str">
        <f t="shared" si="7"/>
        <v/>
      </c>
      <c r="BH12" s="136"/>
      <c r="BI12" s="136"/>
      <c r="BJ12" s="136"/>
      <c r="BK12" s="136"/>
      <c r="BL12" s="136"/>
      <c r="BM12" s="137"/>
      <c r="BN12" s="137"/>
      <c r="BP12" s="134" t="str">
        <f>IF(COUNTIF(BP$6:BP11,C12)&gt;0,"",C12)&amp;""</f>
        <v/>
      </c>
      <c r="BQ12" s="138">
        <f t="shared" si="8"/>
        <v>0</v>
      </c>
      <c r="BR12" s="132">
        <f t="shared" si="9"/>
        <v>1</v>
      </c>
      <c r="BS12" s="138">
        <f t="shared" si="10"/>
        <v>0</v>
      </c>
      <c r="BT12" s="132">
        <f t="shared" si="11"/>
        <v>1</v>
      </c>
      <c r="BU12" s="132">
        <v>4</v>
      </c>
      <c r="BV12" s="134" t="str">
        <f t="shared" si="12"/>
        <v/>
      </c>
      <c r="BW12" s="146" t="str">
        <f>IF(BV13="","","和")</f>
        <v/>
      </c>
    </row>
    <row r="13" customHeight="1" spans="1:75">
      <c r="A13" s="123" t="str">
        <f>IF(B13="","",COUNT(A$6:A12)+1)</f>
        <v/>
      </c>
      <c r="B13" s="322" t="s">
        <v>347</v>
      </c>
      <c r="C13" s="322" t="s">
        <v>347</v>
      </c>
      <c r="D13" s="325" t="s">
        <v>347</v>
      </c>
      <c r="E13" s="326" t="s">
        <v>347</v>
      </c>
      <c r="F13" s="142"/>
      <c r="G13" s="127" t="str">
        <f>IFERROR(VLOOKUP(F13,参数表!$H$2:$I$50,2,FALSE),"")</f>
        <v/>
      </c>
      <c r="H13" s="128" t="str">
        <f t="shared" si="3"/>
        <v/>
      </c>
      <c r="I13" s="128" t="str">
        <f t="shared" si="4"/>
        <v/>
      </c>
      <c r="J13" s="256" t="s">
        <v>347</v>
      </c>
      <c r="K13" s="958"/>
      <c r="L13" s="958"/>
      <c r="M13" s="955" t="str">
        <f t="shared" si="5"/>
        <v/>
      </c>
      <c r="N13" s="956" t="str">
        <f t="shared" si="0"/>
        <v/>
      </c>
      <c r="O13" s="955" t="str">
        <f t="shared" si="6"/>
        <v/>
      </c>
      <c r="P13" s="959" t="s">
        <v>347</v>
      </c>
      <c r="BA13" s="78"/>
      <c r="BB13" s="132" t="s">
        <v>3646</v>
      </c>
      <c r="BC13" s="133"/>
      <c r="BD13" s="132" t="str">
        <f>IF(OR(B13="",BC13=""),"",COUNTIF(BC$7:BC13,"√"))</f>
        <v/>
      </c>
      <c r="BE13" s="134" t="str">
        <f t="shared" si="1"/>
        <v/>
      </c>
      <c r="BF13" s="135" t="str">
        <f t="shared" si="7"/>
        <v/>
      </c>
      <c r="BG13" s="135" t="str">
        <f t="shared" si="7"/>
        <v/>
      </c>
      <c r="BH13" s="136"/>
      <c r="BI13" s="136"/>
      <c r="BJ13" s="136"/>
      <c r="BK13" s="136"/>
      <c r="BL13" s="136"/>
      <c r="BM13" s="137"/>
      <c r="BN13" s="137"/>
      <c r="BP13" s="134" t="str">
        <f>IF(COUNTIF(BP$6:BP12,C13)&gt;0,"",C13)&amp;""</f>
        <v/>
      </c>
      <c r="BQ13" s="138">
        <f t="shared" si="8"/>
        <v>0</v>
      </c>
      <c r="BR13" s="132">
        <f t="shared" si="9"/>
        <v>1</v>
      </c>
      <c r="BS13" s="138">
        <f t="shared" si="10"/>
        <v>0</v>
      </c>
      <c r="BT13" s="132">
        <f t="shared" si="11"/>
        <v>1</v>
      </c>
      <c r="BU13" s="132">
        <v>5</v>
      </c>
      <c r="BV13" s="134" t="str">
        <f t="shared" si="12"/>
        <v/>
      </c>
      <c r="BW13" s="146"/>
    </row>
    <row r="14" customHeight="1" spans="1:75">
      <c r="A14" s="123" t="str">
        <f>IF(B14="","",COUNT(A$6:A13)+1)</f>
        <v/>
      </c>
      <c r="B14" s="322" t="s">
        <v>347</v>
      </c>
      <c r="C14" s="322" t="s">
        <v>347</v>
      </c>
      <c r="D14" s="325" t="s">
        <v>347</v>
      </c>
      <c r="E14" s="326" t="s">
        <v>347</v>
      </c>
      <c r="F14" s="142"/>
      <c r="G14" s="127" t="str">
        <f>IFERROR(VLOOKUP(F14,参数表!$H$2:$I$50,2,FALSE),"")</f>
        <v/>
      </c>
      <c r="H14" s="128" t="str">
        <f t="shared" si="3"/>
        <v/>
      </c>
      <c r="I14" s="128" t="str">
        <f t="shared" si="4"/>
        <v/>
      </c>
      <c r="J14" s="256" t="s">
        <v>347</v>
      </c>
      <c r="K14" s="958"/>
      <c r="L14" s="958"/>
      <c r="M14" s="955" t="str">
        <f t="shared" si="5"/>
        <v/>
      </c>
      <c r="N14" s="956" t="str">
        <f t="shared" si="0"/>
        <v/>
      </c>
      <c r="O14" s="955" t="str">
        <f t="shared" si="6"/>
        <v/>
      </c>
      <c r="P14" s="959" t="s">
        <v>347</v>
      </c>
      <c r="BA14" s="78"/>
      <c r="BB14" s="132" t="s">
        <v>3647</v>
      </c>
      <c r="BC14" s="133"/>
      <c r="BD14" s="132" t="str">
        <f>IF(OR(B14="",BC14=""),"",COUNTIF(BC$7:BC14,"√"))</f>
        <v/>
      </c>
      <c r="BE14" s="134" t="str">
        <f t="shared" si="1"/>
        <v/>
      </c>
      <c r="BF14" s="135" t="str">
        <f t="shared" si="7"/>
        <v/>
      </c>
      <c r="BG14" s="135" t="str">
        <f t="shared" si="7"/>
        <v/>
      </c>
      <c r="BH14" s="136"/>
      <c r="BI14" s="136"/>
      <c r="BJ14" s="136"/>
      <c r="BK14" s="136"/>
      <c r="BL14" s="136"/>
      <c r="BM14" s="137"/>
      <c r="BN14" s="137"/>
      <c r="BP14" s="134" t="str">
        <f>IF(COUNTIF(BP$6:BP13,C14)&gt;0,"",C14)&amp;""</f>
        <v/>
      </c>
      <c r="BQ14" s="138">
        <f t="shared" si="8"/>
        <v>0</v>
      </c>
      <c r="BR14" s="132">
        <f t="shared" si="9"/>
        <v>1</v>
      </c>
      <c r="BS14" s="138">
        <f t="shared" si="10"/>
        <v>0</v>
      </c>
      <c r="BT14" s="132">
        <f t="shared" si="11"/>
        <v>1</v>
      </c>
      <c r="BU14" s="147" t="s">
        <v>1659</v>
      </c>
      <c r="BV14" s="132" t="str">
        <f>CONCATENATE(BV9,BW9,BV10,BW10,BV11,BW11,BV12,BW12,BV13)</f>
        <v/>
      </c>
      <c r="BW14" s="132"/>
    </row>
    <row r="15" customHeight="1" spans="1:75">
      <c r="A15" s="123" t="str">
        <f>IF(B15="","",COUNT(A$6:A14)+1)</f>
        <v/>
      </c>
      <c r="B15" s="322" t="s">
        <v>347</v>
      </c>
      <c r="C15" s="322" t="s">
        <v>347</v>
      </c>
      <c r="D15" s="325" t="s">
        <v>347</v>
      </c>
      <c r="E15" s="326" t="s">
        <v>347</v>
      </c>
      <c r="F15" s="142"/>
      <c r="G15" s="127" t="str">
        <f>IFERROR(VLOOKUP(F15,参数表!$H$2:$I$50,2,FALSE),"")</f>
        <v/>
      </c>
      <c r="H15" s="128" t="str">
        <f t="shared" si="3"/>
        <v/>
      </c>
      <c r="I15" s="128" t="str">
        <f t="shared" si="4"/>
        <v/>
      </c>
      <c r="J15" s="256" t="s">
        <v>347</v>
      </c>
      <c r="K15" s="958"/>
      <c r="L15" s="958"/>
      <c r="M15" s="955" t="str">
        <f t="shared" si="5"/>
        <v/>
      </c>
      <c r="N15" s="956" t="str">
        <f t="shared" si="0"/>
        <v/>
      </c>
      <c r="O15" s="955" t="str">
        <f t="shared" si="6"/>
        <v/>
      </c>
      <c r="P15" s="959" t="s">
        <v>347</v>
      </c>
      <c r="BA15" s="78"/>
      <c r="BB15" s="132" t="s">
        <v>3648</v>
      </c>
      <c r="BC15" s="133"/>
      <c r="BD15" s="132" t="str">
        <f>IF(OR(B15="",BC15=""),"",COUNTIF(BC$7:BC15,"√"))</f>
        <v/>
      </c>
      <c r="BE15" s="134" t="str">
        <f t="shared" si="1"/>
        <v/>
      </c>
      <c r="BF15" s="135" t="str">
        <f t="shared" si="7"/>
        <v/>
      </c>
      <c r="BG15" s="135" t="str">
        <f t="shared" si="7"/>
        <v/>
      </c>
      <c r="BH15" s="136"/>
      <c r="BI15" s="136"/>
      <c r="BJ15" s="136"/>
      <c r="BK15" s="136"/>
      <c r="BL15" s="136"/>
      <c r="BM15" s="137"/>
      <c r="BN15" s="137"/>
      <c r="BP15" s="134" t="str">
        <f>IF(COUNTIF(BP$6:BP14,C15)&gt;0,"",C15)&amp;""</f>
        <v/>
      </c>
      <c r="BQ15" s="138">
        <f t="shared" si="8"/>
        <v>0</v>
      </c>
      <c r="BR15" s="132">
        <f t="shared" si="9"/>
        <v>1</v>
      </c>
      <c r="BS15" s="138">
        <f t="shared" si="10"/>
        <v>0</v>
      </c>
      <c r="BT15" s="132">
        <f t="shared" si="11"/>
        <v>1</v>
      </c>
      <c r="BU15" s="133"/>
      <c r="BV15" s="133"/>
    </row>
    <row r="16" customHeight="1" spans="1:75">
      <c r="A16" s="123" t="str">
        <f>IF(B16="","",COUNT(A$6:A15)+1)</f>
        <v/>
      </c>
      <c r="B16" s="322" t="s">
        <v>347</v>
      </c>
      <c r="C16" s="322" t="s">
        <v>347</v>
      </c>
      <c r="D16" s="325" t="s">
        <v>347</v>
      </c>
      <c r="E16" s="326" t="s">
        <v>347</v>
      </c>
      <c r="F16" s="142"/>
      <c r="G16" s="127" t="str">
        <f>IFERROR(VLOOKUP(F16,参数表!$H$2:$I$50,2,FALSE),"")</f>
        <v/>
      </c>
      <c r="H16" s="128" t="str">
        <f t="shared" si="3"/>
        <v/>
      </c>
      <c r="I16" s="128" t="str">
        <f t="shared" si="4"/>
        <v/>
      </c>
      <c r="J16" s="256" t="s">
        <v>347</v>
      </c>
      <c r="K16" s="958"/>
      <c r="L16" s="958"/>
      <c r="M16" s="955" t="str">
        <f t="shared" si="5"/>
        <v/>
      </c>
      <c r="N16" s="956" t="str">
        <f t="shared" si="0"/>
        <v/>
      </c>
      <c r="O16" s="955" t="str">
        <f t="shared" si="6"/>
        <v/>
      </c>
      <c r="P16" s="959" t="s">
        <v>347</v>
      </c>
      <c r="BA16" s="78"/>
      <c r="BB16" s="132" t="s">
        <v>3649</v>
      </c>
      <c r="BC16" s="133"/>
      <c r="BD16" s="132" t="str">
        <f>IF(OR(B16="",BC16=""),"",COUNTIF(BC$7:BC16,"√"))</f>
        <v/>
      </c>
      <c r="BE16" s="134" t="str">
        <f t="shared" si="1"/>
        <v/>
      </c>
      <c r="BF16" s="135" t="str">
        <f t="shared" si="7"/>
        <v/>
      </c>
      <c r="BG16" s="135" t="str">
        <f t="shared" si="7"/>
        <v/>
      </c>
      <c r="BH16" s="136"/>
      <c r="BI16" s="136"/>
      <c r="BJ16" s="136"/>
      <c r="BK16" s="136"/>
      <c r="BL16" s="136"/>
      <c r="BM16" s="137"/>
      <c r="BN16" s="137"/>
      <c r="BP16" s="134" t="str">
        <f>IF(COUNTIF(BP$6:BP15,C16)&gt;0,"",C16)&amp;""</f>
        <v/>
      </c>
      <c r="BQ16" s="138">
        <f t="shared" si="8"/>
        <v>0</v>
      </c>
      <c r="BR16" s="132">
        <f t="shared" si="9"/>
        <v>1</v>
      </c>
      <c r="BS16" s="138">
        <f t="shared" si="10"/>
        <v>0</v>
      </c>
      <c r="BT16" s="132">
        <f t="shared" si="11"/>
        <v>1</v>
      </c>
      <c r="BU16" s="133"/>
      <c r="BV16" s="148"/>
    </row>
    <row r="17" customHeight="1" spans="1:75">
      <c r="A17" s="123" t="str">
        <f>IF(B17="","",COUNT(A$6:A16)+1)</f>
        <v/>
      </c>
      <c r="B17" s="322" t="s">
        <v>347</v>
      </c>
      <c r="C17" s="322" t="s">
        <v>347</v>
      </c>
      <c r="D17" s="325" t="s">
        <v>347</v>
      </c>
      <c r="E17" s="326" t="s">
        <v>347</v>
      </c>
      <c r="F17" s="142"/>
      <c r="G17" s="127" t="str">
        <f>IFERROR(VLOOKUP(F17,参数表!$H$2:$I$50,2,FALSE),"")</f>
        <v/>
      </c>
      <c r="H17" s="128" t="str">
        <f t="shared" si="3"/>
        <v/>
      </c>
      <c r="I17" s="128" t="str">
        <f t="shared" si="4"/>
        <v/>
      </c>
      <c r="J17" s="256" t="s">
        <v>347</v>
      </c>
      <c r="K17" s="958"/>
      <c r="L17" s="958"/>
      <c r="M17" s="955" t="str">
        <f t="shared" si="5"/>
        <v/>
      </c>
      <c r="N17" s="956" t="str">
        <f t="shared" si="0"/>
        <v/>
      </c>
      <c r="O17" s="955" t="str">
        <f t="shared" si="6"/>
        <v/>
      </c>
      <c r="P17" s="959" t="s">
        <v>347</v>
      </c>
      <c r="BA17" s="78"/>
      <c r="BB17" s="132" t="s">
        <v>3650</v>
      </c>
      <c r="BC17" s="133"/>
      <c r="BD17" s="132" t="str">
        <f>IF(OR(B17="",BC17=""),"",COUNTIF(BC$7:BC17,"√"))</f>
        <v/>
      </c>
      <c r="BE17" s="134" t="str">
        <f t="shared" si="1"/>
        <v/>
      </c>
      <c r="BF17" s="135" t="str">
        <f t="shared" si="7"/>
        <v/>
      </c>
      <c r="BG17" s="135" t="str">
        <f t="shared" si="7"/>
        <v/>
      </c>
      <c r="BH17" s="136"/>
      <c r="BI17" s="136"/>
      <c r="BJ17" s="136"/>
      <c r="BK17" s="136"/>
      <c r="BL17" s="136"/>
      <c r="BM17" s="137"/>
      <c r="BN17" s="137"/>
      <c r="BP17" s="134" t="str">
        <f>IF(COUNTIF(BP$6:BP16,C17)&gt;0,"",C17)&amp;""</f>
        <v/>
      </c>
      <c r="BQ17" s="138">
        <f t="shared" si="8"/>
        <v>0</v>
      </c>
      <c r="BR17" s="132">
        <f t="shared" si="9"/>
        <v>1</v>
      </c>
      <c r="BS17" s="138">
        <f t="shared" si="10"/>
        <v>0</v>
      </c>
      <c r="BT17" s="132">
        <f t="shared" si="11"/>
        <v>1</v>
      </c>
      <c r="BU17" s="133"/>
      <c r="BV17" s="133"/>
    </row>
    <row r="18" customHeight="1" spans="1:75">
      <c r="A18" s="123" t="str">
        <f>IF(B18="","",COUNT(A$6:A17)+1)</f>
        <v/>
      </c>
      <c r="B18" s="322" t="s">
        <v>347</v>
      </c>
      <c r="C18" s="322" t="s">
        <v>347</v>
      </c>
      <c r="D18" s="325" t="s">
        <v>347</v>
      </c>
      <c r="E18" s="326" t="s">
        <v>347</v>
      </c>
      <c r="F18" s="142"/>
      <c r="G18" s="127" t="str">
        <f>IFERROR(VLOOKUP(F18,参数表!$H$2:$I$50,2,FALSE),"")</f>
        <v/>
      </c>
      <c r="H18" s="128" t="str">
        <f t="shared" si="3"/>
        <v/>
      </c>
      <c r="I18" s="128" t="str">
        <f t="shared" si="4"/>
        <v/>
      </c>
      <c r="J18" s="256" t="s">
        <v>347</v>
      </c>
      <c r="K18" s="958"/>
      <c r="L18" s="958"/>
      <c r="M18" s="955" t="str">
        <f t="shared" si="5"/>
        <v/>
      </c>
      <c r="N18" s="956" t="str">
        <f t="shared" si="0"/>
        <v/>
      </c>
      <c r="O18" s="955" t="str">
        <f t="shared" si="6"/>
        <v/>
      </c>
      <c r="P18" s="959" t="s">
        <v>347</v>
      </c>
      <c r="BA18" s="78"/>
      <c r="BB18" s="132" t="s">
        <v>3651</v>
      </c>
      <c r="BC18" s="133"/>
      <c r="BD18" s="132" t="str">
        <f>IF(OR(B18="",BC18=""),"",COUNTIF(BC$7:BC18,"√"))</f>
        <v/>
      </c>
      <c r="BE18" s="134" t="str">
        <f t="shared" si="1"/>
        <v/>
      </c>
      <c r="BF18" s="135" t="str">
        <f t="shared" si="7"/>
        <v/>
      </c>
      <c r="BG18" s="135" t="str">
        <f t="shared" si="7"/>
        <v/>
      </c>
      <c r="BH18" s="136"/>
      <c r="BI18" s="136"/>
      <c r="BJ18" s="136"/>
      <c r="BK18" s="136"/>
      <c r="BL18" s="136"/>
      <c r="BM18" s="137"/>
      <c r="BN18" s="137"/>
      <c r="BP18" s="134" t="str">
        <f>IF(COUNTIF(BP$6:BP17,C18)&gt;0,"",C18)&amp;""</f>
        <v/>
      </c>
      <c r="BQ18" s="138">
        <f t="shared" si="8"/>
        <v>0</v>
      </c>
      <c r="BR18" s="132">
        <f t="shared" si="9"/>
        <v>1</v>
      </c>
      <c r="BS18" s="138">
        <f t="shared" si="10"/>
        <v>0</v>
      </c>
      <c r="BT18" s="132">
        <f t="shared" si="11"/>
        <v>1</v>
      </c>
      <c r="BU18" s="133"/>
      <c r="BV18" s="133"/>
    </row>
    <row r="19" customHeight="1" spans="1:75">
      <c r="A19" s="123" t="str">
        <f>IF(B19="","",COUNT(A$6:A18)+1)</f>
        <v/>
      </c>
      <c r="B19" s="322" t="s">
        <v>347</v>
      </c>
      <c r="C19" s="322" t="s">
        <v>347</v>
      </c>
      <c r="D19" s="325" t="s">
        <v>347</v>
      </c>
      <c r="E19" s="326" t="s">
        <v>347</v>
      </c>
      <c r="F19" s="142"/>
      <c r="G19" s="127" t="str">
        <f>IFERROR(VLOOKUP(F19,参数表!$H$2:$I$50,2,FALSE),"")</f>
        <v/>
      </c>
      <c r="H19" s="128" t="str">
        <f t="shared" si="3"/>
        <v/>
      </c>
      <c r="I19" s="128" t="str">
        <f t="shared" si="4"/>
        <v/>
      </c>
      <c r="J19" s="256" t="s">
        <v>347</v>
      </c>
      <c r="K19" s="958"/>
      <c r="L19" s="958"/>
      <c r="M19" s="955" t="str">
        <f t="shared" si="5"/>
        <v/>
      </c>
      <c r="N19" s="956" t="str">
        <f t="shared" si="0"/>
        <v/>
      </c>
      <c r="O19" s="955" t="str">
        <f t="shared" si="6"/>
        <v/>
      </c>
      <c r="P19" s="959" t="s">
        <v>347</v>
      </c>
      <c r="BA19" s="78"/>
      <c r="BB19" s="132" t="s">
        <v>3652</v>
      </c>
      <c r="BC19" s="133"/>
      <c r="BD19" s="132" t="str">
        <f>IF(OR(B19="",BC19=""),"",COUNTIF(BC$7:BC19,"√"))</f>
        <v/>
      </c>
      <c r="BE19" s="134" t="str">
        <f t="shared" si="1"/>
        <v/>
      </c>
      <c r="BF19" s="135" t="str">
        <f t="shared" si="7"/>
        <v/>
      </c>
      <c r="BG19" s="135" t="str">
        <f t="shared" si="7"/>
        <v/>
      </c>
      <c r="BH19" s="136"/>
      <c r="BI19" s="136"/>
      <c r="BJ19" s="136"/>
      <c r="BK19" s="136"/>
      <c r="BL19" s="136"/>
      <c r="BM19" s="137"/>
      <c r="BN19" s="137"/>
      <c r="BP19" s="134" t="str">
        <f>IF(COUNTIF(BP$6:BP18,C19)&gt;0,"",C19)&amp;""</f>
        <v/>
      </c>
      <c r="BQ19" s="138">
        <f t="shared" si="8"/>
        <v>0</v>
      </c>
      <c r="BR19" s="132">
        <f t="shared" si="9"/>
        <v>1</v>
      </c>
      <c r="BS19" s="138">
        <f t="shared" si="10"/>
        <v>0</v>
      </c>
      <c r="BT19" s="132">
        <f t="shared" si="11"/>
        <v>1</v>
      </c>
      <c r="BU19" s="133"/>
      <c r="BV19" s="133"/>
    </row>
    <row r="20" customHeight="1" spans="1:75">
      <c r="A20" s="123" t="str">
        <f>IF(B20="","",COUNT(A$6:A19)+1)</f>
        <v/>
      </c>
      <c r="B20" s="322" t="s">
        <v>347</v>
      </c>
      <c r="C20" s="322" t="s">
        <v>347</v>
      </c>
      <c r="D20" s="325" t="s">
        <v>347</v>
      </c>
      <c r="E20" s="326" t="s">
        <v>347</v>
      </c>
      <c r="F20" s="142"/>
      <c r="G20" s="127" t="str">
        <f>IFERROR(VLOOKUP(F20,参数表!$H$2:$I$50,2,FALSE),"")</f>
        <v/>
      </c>
      <c r="H20" s="128" t="str">
        <f t="shared" si="3"/>
        <v/>
      </c>
      <c r="I20" s="128" t="str">
        <f t="shared" si="4"/>
        <v/>
      </c>
      <c r="J20" s="256" t="s">
        <v>347</v>
      </c>
      <c r="K20" s="958"/>
      <c r="L20" s="958"/>
      <c r="M20" s="955" t="str">
        <f t="shared" si="5"/>
        <v/>
      </c>
      <c r="N20" s="956" t="str">
        <f t="shared" si="0"/>
        <v/>
      </c>
      <c r="O20" s="955" t="str">
        <f t="shared" si="6"/>
        <v/>
      </c>
      <c r="P20" s="959" t="s">
        <v>347</v>
      </c>
      <c r="BA20" s="78"/>
      <c r="BB20" s="132" t="s">
        <v>3653</v>
      </c>
      <c r="BC20" s="133"/>
      <c r="BD20" s="132" t="str">
        <f>IF(OR(B20="",BC20=""),"",COUNTIF(BC$7:BC20,"√"))</f>
        <v/>
      </c>
      <c r="BE20" s="134" t="str">
        <f t="shared" si="1"/>
        <v/>
      </c>
      <c r="BF20" s="135" t="str">
        <f t="shared" si="7"/>
        <v/>
      </c>
      <c r="BG20" s="135" t="str">
        <f t="shared" si="7"/>
        <v/>
      </c>
      <c r="BH20" s="136"/>
      <c r="BI20" s="136"/>
      <c r="BJ20" s="136"/>
      <c r="BK20" s="136"/>
      <c r="BL20" s="136"/>
      <c r="BM20" s="137"/>
      <c r="BN20" s="137"/>
      <c r="BP20" s="134" t="str">
        <f>IF(COUNTIF(BP$6:BP19,C20)&gt;0,"",C20)&amp;""</f>
        <v/>
      </c>
      <c r="BQ20" s="138">
        <f t="shared" si="8"/>
        <v>0</v>
      </c>
      <c r="BR20" s="132">
        <f t="shared" si="9"/>
        <v>1</v>
      </c>
      <c r="BS20" s="138">
        <f t="shared" si="10"/>
        <v>0</v>
      </c>
      <c r="BT20" s="132">
        <f t="shared" si="11"/>
        <v>1</v>
      </c>
      <c r="BU20" s="133"/>
      <c r="BV20" s="133"/>
    </row>
    <row r="21" customHeight="1" spans="1:75">
      <c r="A21" s="123" t="str">
        <f>IF(B21="","",COUNT(A$6:A20)+1)</f>
        <v/>
      </c>
      <c r="B21" s="322" t="s">
        <v>347</v>
      </c>
      <c r="C21" s="322" t="s">
        <v>347</v>
      </c>
      <c r="D21" s="325" t="s">
        <v>347</v>
      </c>
      <c r="E21" s="326" t="s">
        <v>347</v>
      </c>
      <c r="F21" s="142"/>
      <c r="G21" s="127" t="str">
        <f>IFERROR(VLOOKUP(F21,参数表!$H$2:$I$50,2,FALSE),"")</f>
        <v/>
      </c>
      <c r="H21" s="128" t="str">
        <f t="shared" si="3"/>
        <v/>
      </c>
      <c r="I21" s="128" t="str">
        <f t="shared" si="4"/>
        <v/>
      </c>
      <c r="J21" s="256" t="s">
        <v>347</v>
      </c>
      <c r="K21" s="958"/>
      <c r="L21" s="958"/>
      <c r="M21" s="955" t="str">
        <f t="shared" si="5"/>
        <v/>
      </c>
      <c r="N21" s="956" t="str">
        <f t="shared" si="0"/>
        <v/>
      </c>
      <c r="O21" s="955" t="str">
        <f t="shared" si="6"/>
        <v/>
      </c>
      <c r="P21" s="959" t="s">
        <v>347</v>
      </c>
      <c r="BA21" s="78"/>
      <c r="BB21" s="132" t="s">
        <v>3654</v>
      </c>
      <c r="BC21" s="133"/>
      <c r="BD21" s="132" t="str">
        <f>IF(OR(B21="",BC21=""),"",COUNTIF(BC$7:BC21,"√"))</f>
        <v/>
      </c>
      <c r="BE21" s="134" t="str">
        <f t="shared" si="1"/>
        <v/>
      </c>
      <c r="BF21" s="135" t="str">
        <f t="shared" si="7"/>
        <v/>
      </c>
      <c r="BG21" s="135" t="str">
        <f t="shared" si="7"/>
        <v/>
      </c>
      <c r="BH21" s="136"/>
      <c r="BI21" s="136"/>
      <c r="BJ21" s="136"/>
      <c r="BK21" s="136"/>
      <c r="BL21" s="136"/>
      <c r="BM21" s="137"/>
      <c r="BN21" s="137"/>
      <c r="BP21" s="134" t="str">
        <f>IF(COUNTIF(BP$6:BP20,C21)&gt;0,"",C21)&amp;""</f>
        <v/>
      </c>
      <c r="BQ21" s="138">
        <f t="shared" si="8"/>
        <v>0</v>
      </c>
      <c r="BR21" s="132">
        <f t="shared" si="9"/>
        <v>1</v>
      </c>
      <c r="BS21" s="138">
        <f t="shared" si="10"/>
        <v>0</v>
      </c>
      <c r="BT21" s="132">
        <f t="shared" si="11"/>
        <v>1</v>
      </c>
      <c r="BU21" s="133"/>
      <c r="BV21" s="133"/>
    </row>
    <row r="22" customHeight="1" spans="1:75">
      <c r="A22" s="123" t="str">
        <f>IF(B22="","",COUNT(A$6:A21)+1)</f>
        <v/>
      </c>
      <c r="B22" s="322" t="s">
        <v>347</v>
      </c>
      <c r="C22" s="322" t="s">
        <v>347</v>
      </c>
      <c r="D22" s="325" t="s">
        <v>347</v>
      </c>
      <c r="E22" s="326" t="s">
        <v>347</v>
      </c>
      <c r="F22" s="142"/>
      <c r="G22" s="127" t="str">
        <f>IFERROR(VLOOKUP(F22,参数表!$H$2:$I$50,2,FALSE),"")</f>
        <v/>
      </c>
      <c r="H22" s="128" t="str">
        <f t="shared" si="3"/>
        <v/>
      </c>
      <c r="I22" s="128" t="str">
        <f t="shared" si="4"/>
        <v/>
      </c>
      <c r="J22" s="256" t="s">
        <v>347</v>
      </c>
      <c r="K22" s="958"/>
      <c r="L22" s="958"/>
      <c r="M22" s="955" t="str">
        <f t="shared" si="5"/>
        <v/>
      </c>
      <c r="N22" s="956" t="str">
        <f t="shared" si="0"/>
        <v/>
      </c>
      <c r="O22" s="955" t="str">
        <f t="shared" si="6"/>
        <v/>
      </c>
      <c r="P22" s="959" t="s">
        <v>347</v>
      </c>
      <c r="BA22" s="78"/>
      <c r="BB22" s="132" t="s">
        <v>3655</v>
      </c>
      <c r="BC22" s="133"/>
      <c r="BD22" s="132" t="str">
        <f>IF(OR(B22="",BC22=""),"",COUNTIF(BC$7:BC22,"√"))</f>
        <v/>
      </c>
      <c r="BE22" s="134" t="str">
        <f t="shared" si="1"/>
        <v/>
      </c>
      <c r="BF22" s="135" t="str">
        <f t="shared" si="7"/>
        <v/>
      </c>
      <c r="BG22" s="135" t="str">
        <f t="shared" si="7"/>
        <v/>
      </c>
      <c r="BH22" s="136"/>
      <c r="BI22" s="136"/>
      <c r="BJ22" s="136"/>
      <c r="BK22" s="136"/>
      <c r="BL22" s="136"/>
      <c r="BM22" s="137"/>
      <c r="BN22" s="137"/>
      <c r="BP22" s="134" t="str">
        <f>IF(COUNTIF(BP$6:BP21,C22)&gt;0,"",C22)&amp;""</f>
        <v/>
      </c>
      <c r="BQ22" s="138">
        <f t="shared" si="8"/>
        <v>0</v>
      </c>
      <c r="BR22" s="132">
        <f t="shared" si="9"/>
        <v>1</v>
      </c>
      <c r="BS22" s="138">
        <f t="shared" si="10"/>
        <v>0</v>
      </c>
      <c r="BT22" s="132">
        <f t="shared" si="11"/>
        <v>1</v>
      </c>
      <c r="BU22" s="133"/>
      <c r="BV22" s="133"/>
    </row>
    <row r="23" customHeight="1" spans="1:75">
      <c r="A23" s="123" t="str">
        <f>IF(B23="","",COUNT(A$6:A22)+1)</f>
        <v/>
      </c>
      <c r="B23" s="322" t="s">
        <v>347</v>
      </c>
      <c r="C23" s="322" t="s">
        <v>347</v>
      </c>
      <c r="D23" s="325" t="s">
        <v>347</v>
      </c>
      <c r="E23" s="326" t="s">
        <v>347</v>
      </c>
      <c r="F23" s="142"/>
      <c r="G23" s="127" t="str">
        <f>IFERROR(VLOOKUP(F23,参数表!$H$2:$I$50,2,FALSE),"")</f>
        <v/>
      </c>
      <c r="H23" s="128" t="str">
        <f t="shared" si="3"/>
        <v/>
      </c>
      <c r="I23" s="128" t="str">
        <f t="shared" si="4"/>
        <v/>
      </c>
      <c r="J23" s="256" t="s">
        <v>347</v>
      </c>
      <c r="K23" s="958"/>
      <c r="L23" s="958"/>
      <c r="M23" s="955" t="str">
        <f t="shared" si="5"/>
        <v/>
      </c>
      <c r="N23" s="956" t="str">
        <f t="shared" si="0"/>
        <v/>
      </c>
      <c r="O23" s="955" t="str">
        <f t="shared" si="6"/>
        <v/>
      </c>
      <c r="P23" s="959" t="s">
        <v>347</v>
      </c>
      <c r="BA23" s="78"/>
      <c r="BB23" s="132" t="s">
        <v>3656</v>
      </c>
      <c r="BC23" s="133"/>
      <c r="BD23" s="132" t="str">
        <f>IF(OR(B23="",BC23=""),"",COUNTIF(BC$7:BC23,"√"))</f>
        <v/>
      </c>
      <c r="BE23" s="134" t="str">
        <f t="shared" si="1"/>
        <v/>
      </c>
      <c r="BF23" s="135" t="str">
        <f t="shared" si="7"/>
        <v/>
      </c>
      <c r="BG23" s="135" t="str">
        <f t="shared" si="7"/>
        <v/>
      </c>
      <c r="BH23" s="136"/>
      <c r="BI23" s="136"/>
      <c r="BJ23" s="136"/>
      <c r="BK23" s="136"/>
      <c r="BL23" s="136"/>
      <c r="BM23" s="137"/>
      <c r="BN23" s="137"/>
      <c r="BP23" s="134" t="str">
        <f>IF(COUNTIF(BP$6:BP22,C23)&gt;0,"",C23)&amp;""</f>
        <v/>
      </c>
      <c r="BQ23" s="138">
        <f t="shared" si="8"/>
        <v>0</v>
      </c>
      <c r="BR23" s="132">
        <f t="shared" si="9"/>
        <v>1</v>
      </c>
      <c r="BS23" s="138">
        <f t="shared" si="10"/>
        <v>0</v>
      </c>
      <c r="BT23" s="132">
        <f t="shared" si="11"/>
        <v>1</v>
      </c>
      <c r="BU23" s="133"/>
      <c r="BV23" s="133"/>
    </row>
    <row r="24" customHeight="1" spans="1:75">
      <c r="A24" s="123" t="str">
        <f>IF(B24="","",COUNT(A$6:A23)+1)</f>
        <v/>
      </c>
      <c r="B24" s="322" t="s">
        <v>347</v>
      </c>
      <c r="C24" s="322" t="s">
        <v>347</v>
      </c>
      <c r="D24" s="325" t="s">
        <v>347</v>
      </c>
      <c r="E24" s="326" t="s">
        <v>347</v>
      </c>
      <c r="F24" s="142"/>
      <c r="G24" s="127" t="str">
        <f>IFERROR(VLOOKUP(F24,参数表!$H$2:$I$50,2,FALSE),"")</f>
        <v/>
      </c>
      <c r="H24" s="128" t="str">
        <f t="shared" si="3"/>
        <v/>
      </c>
      <c r="I24" s="128" t="str">
        <f t="shared" si="4"/>
        <v/>
      </c>
      <c r="J24" s="256" t="s">
        <v>347</v>
      </c>
      <c r="K24" s="958"/>
      <c r="L24" s="958"/>
      <c r="M24" s="955" t="str">
        <f t="shared" si="5"/>
        <v/>
      </c>
      <c r="N24" s="956" t="str">
        <f t="shared" si="0"/>
        <v/>
      </c>
      <c r="O24" s="955" t="str">
        <f t="shared" si="6"/>
        <v/>
      </c>
      <c r="P24" s="959" t="s">
        <v>347</v>
      </c>
      <c r="BA24" s="78"/>
      <c r="BB24" s="132" t="s">
        <v>3657</v>
      </c>
      <c r="BC24" s="133"/>
      <c r="BD24" s="132" t="str">
        <f>IF(OR(B24="",BC24=""),"",COUNTIF(BC$7:BC24,"√"))</f>
        <v/>
      </c>
      <c r="BE24" s="134" t="str">
        <f t="shared" si="1"/>
        <v/>
      </c>
      <c r="BF24" s="135" t="str">
        <f t="shared" si="7"/>
        <v/>
      </c>
      <c r="BG24" s="135" t="str">
        <f t="shared" si="7"/>
        <v/>
      </c>
      <c r="BH24" s="136"/>
      <c r="BI24" s="136"/>
      <c r="BJ24" s="136"/>
      <c r="BK24" s="136"/>
      <c r="BL24" s="136"/>
      <c r="BM24" s="137"/>
      <c r="BN24" s="137"/>
      <c r="BP24" s="134" t="str">
        <f>IF(COUNTIF(BP$6:BP23,C24)&gt;0,"",C24)&amp;""</f>
        <v/>
      </c>
      <c r="BQ24" s="138">
        <f t="shared" si="8"/>
        <v>0</v>
      </c>
      <c r="BR24" s="132">
        <f t="shared" si="9"/>
        <v>1</v>
      </c>
      <c r="BS24" s="138">
        <f t="shared" si="10"/>
        <v>0</v>
      </c>
      <c r="BT24" s="132">
        <f t="shared" si="11"/>
        <v>1</v>
      </c>
      <c r="BU24" s="133"/>
      <c r="BV24" s="133"/>
    </row>
    <row r="25" customHeight="1" spans="1:75">
      <c r="A25" s="123" t="str">
        <f>IF(B25="","",COUNT(A$6:A24)+1)</f>
        <v/>
      </c>
      <c r="B25" s="322" t="s">
        <v>347</v>
      </c>
      <c r="C25" s="322" t="s">
        <v>347</v>
      </c>
      <c r="D25" s="325" t="s">
        <v>347</v>
      </c>
      <c r="E25" s="326" t="s">
        <v>347</v>
      </c>
      <c r="F25" s="142"/>
      <c r="G25" s="127" t="str">
        <f>IFERROR(VLOOKUP(F25,参数表!$H$2:$I$50,2,FALSE),"")</f>
        <v/>
      </c>
      <c r="H25" s="128" t="str">
        <f t="shared" si="3"/>
        <v/>
      </c>
      <c r="I25" s="128" t="str">
        <f t="shared" si="4"/>
        <v/>
      </c>
      <c r="J25" s="256" t="s">
        <v>347</v>
      </c>
      <c r="K25" s="958"/>
      <c r="L25" s="958"/>
      <c r="M25" s="955" t="str">
        <f t="shared" si="5"/>
        <v/>
      </c>
      <c r="N25" s="956" t="str">
        <f t="shared" si="0"/>
        <v/>
      </c>
      <c r="O25" s="955" t="str">
        <f t="shared" si="6"/>
        <v/>
      </c>
      <c r="P25" s="959" t="s">
        <v>347</v>
      </c>
      <c r="BA25" s="78"/>
      <c r="BB25" s="132" t="s">
        <v>3658</v>
      </c>
      <c r="BC25" s="133"/>
      <c r="BD25" s="132" t="str">
        <f>IF(OR(B25="",BC25=""),"",COUNTIF(BC$7:BC25,"√"))</f>
        <v/>
      </c>
      <c r="BE25" s="134" t="str">
        <f t="shared" si="1"/>
        <v/>
      </c>
      <c r="BF25" s="135" t="str">
        <f t="shared" si="7"/>
        <v/>
      </c>
      <c r="BG25" s="135" t="str">
        <f t="shared" si="7"/>
        <v/>
      </c>
      <c r="BH25" s="136"/>
      <c r="BI25" s="136"/>
      <c r="BJ25" s="136"/>
      <c r="BK25" s="136"/>
      <c r="BL25" s="136"/>
      <c r="BM25" s="137"/>
      <c r="BN25" s="137"/>
      <c r="BP25" s="134" t="str">
        <f>IF(COUNTIF(BP$6:BP24,C25)&gt;0,"",C25)&amp;""</f>
        <v/>
      </c>
      <c r="BQ25" s="138">
        <f t="shared" si="8"/>
        <v>0</v>
      </c>
      <c r="BR25" s="132">
        <f t="shared" si="9"/>
        <v>1</v>
      </c>
      <c r="BS25" s="138">
        <f t="shared" si="10"/>
        <v>0</v>
      </c>
      <c r="BT25" s="132">
        <f t="shared" si="11"/>
        <v>1</v>
      </c>
      <c r="BU25" s="133"/>
      <c r="BV25" s="133"/>
    </row>
    <row r="26" customHeight="1" spans="1:75">
      <c r="A26" s="123" t="str">
        <f>IF(B26="","",COUNT(A$6:A25)+1)</f>
        <v/>
      </c>
      <c r="B26" s="315" t="s">
        <v>347</v>
      </c>
      <c r="C26" s="315" t="s">
        <v>347</v>
      </c>
      <c r="D26" s="318" t="s">
        <v>347</v>
      </c>
      <c r="E26" s="319" t="s">
        <v>347</v>
      </c>
      <c r="F26" s="127"/>
      <c r="G26" s="127" t="str">
        <f>IFERROR(VLOOKUP(F26,参数表!$H$2:$I$50,2,FALSE),"")</f>
        <v/>
      </c>
      <c r="H26" s="128" t="str">
        <f t="shared" si="3"/>
        <v/>
      </c>
      <c r="I26" s="128" t="str">
        <f t="shared" si="4"/>
        <v/>
      </c>
      <c r="J26" s="320" t="s">
        <v>347</v>
      </c>
      <c r="K26" s="955"/>
      <c r="L26" s="955"/>
      <c r="M26" s="955" t="str">
        <f t="shared" si="5"/>
        <v/>
      </c>
      <c r="N26" s="956" t="str">
        <f t="shared" si="0"/>
        <v/>
      </c>
      <c r="O26" s="955" t="str">
        <f t="shared" si="6"/>
        <v/>
      </c>
      <c r="P26" s="957" t="s">
        <v>347</v>
      </c>
      <c r="BA26" s="78"/>
      <c r="BB26" s="132" t="s">
        <v>3659</v>
      </c>
      <c r="BC26" s="133"/>
      <c r="BD26" s="132" t="str">
        <f>IF(OR(B26="",BC26=""),"",COUNTIF(BC$7:BC26,"√"))</f>
        <v/>
      </c>
      <c r="BE26" s="134" t="str">
        <f t="shared" si="1"/>
        <v/>
      </c>
      <c r="BF26" s="135" t="str">
        <f t="shared" si="7"/>
        <v/>
      </c>
      <c r="BG26" s="135" t="str">
        <f t="shared" si="7"/>
        <v/>
      </c>
      <c r="BH26" s="136"/>
      <c r="BI26" s="136"/>
      <c r="BJ26" s="136"/>
      <c r="BK26" s="136"/>
      <c r="BL26" s="136"/>
      <c r="BM26" s="137"/>
      <c r="BN26" s="137"/>
      <c r="BP26" s="134" t="str">
        <f>IF(COUNTIF(BP$6:BP25,C26)&gt;0,"",C26)&amp;""</f>
        <v/>
      </c>
      <c r="BQ26" s="138">
        <f t="shared" si="8"/>
        <v>0</v>
      </c>
      <c r="BR26" s="132">
        <f t="shared" si="9"/>
        <v>1</v>
      </c>
      <c r="BS26" s="138">
        <f t="shared" si="10"/>
        <v>0</v>
      </c>
      <c r="BT26" s="132">
        <f t="shared" si="11"/>
        <v>1</v>
      </c>
      <c r="BU26" s="133"/>
      <c r="BV26" s="133"/>
    </row>
    <row r="27" s="271" customFormat="1" customHeight="1" spans="1:75">
      <c r="A27" s="114" t="s">
        <v>1922</v>
      </c>
      <c r="B27" s="114"/>
      <c r="C27" s="960"/>
      <c r="D27" s="114"/>
      <c r="E27" s="114"/>
      <c r="F27" s="149"/>
      <c r="G27" s="149"/>
      <c r="H27" s="149"/>
      <c r="I27" s="149"/>
      <c r="J27" s="961"/>
      <c r="K27" s="961">
        <f>SUM(K7:K26)</f>
        <v>0</v>
      </c>
      <c r="L27" s="961"/>
      <c r="M27" s="961">
        <f>SUM(M7:M26)</f>
        <v>0</v>
      </c>
      <c r="N27" s="961">
        <f>SUM(N7:N26)</f>
        <v>0</v>
      </c>
      <c r="O27" s="961" t="str">
        <f t="shared" si="6"/>
        <v/>
      </c>
      <c r="P27" s="962"/>
      <c r="BH27" s="287"/>
      <c r="BI27" s="287"/>
      <c r="BJ27" s="287"/>
      <c r="BK27" s="287"/>
      <c r="BL27" s="287"/>
      <c r="BO27" s="111"/>
      <c r="BP27" s="119"/>
      <c r="BQ27" s="77"/>
      <c r="BR27" s="77"/>
      <c r="BS27" s="77"/>
      <c r="BT27" s="119"/>
      <c r="BU27" s="119"/>
      <c r="BV27" s="119"/>
      <c r="BW27" s="111"/>
    </row>
    <row r="28" customHeight="1" spans="1:75">
      <c r="A28" s="963" t="s">
        <v>3434</v>
      </c>
      <c r="B28" s="963"/>
      <c r="C28" s="957"/>
      <c r="D28" s="963"/>
      <c r="E28" s="963"/>
      <c r="F28" s="126"/>
      <c r="G28" s="126"/>
      <c r="H28" s="126"/>
      <c r="I28" s="126"/>
      <c r="J28" s="955"/>
      <c r="K28" s="955"/>
      <c r="L28" s="955"/>
      <c r="M28" s="955">
        <f>K28+L28</f>
        <v>0</v>
      </c>
      <c r="N28" s="955"/>
      <c r="O28" s="955" t="str">
        <f t="shared" si="6"/>
        <v/>
      </c>
      <c r="P28" s="957"/>
    </row>
    <row r="29" s="271" customFormat="1" customHeight="1" spans="1:75">
      <c r="A29" s="114" t="s">
        <v>3633</v>
      </c>
      <c r="B29" s="114"/>
      <c r="C29" s="114"/>
      <c r="D29" s="114"/>
      <c r="E29" s="114"/>
      <c r="F29" s="149"/>
      <c r="G29" s="149"/>
      <c r="H29" s="149"/>
      <c r="I29" s="149"/>
      <c r="J29" s="961"/>
      <c r="K29" s="961">
        <f>K27-K28</f>
        <v>0</v>
      </c>
      <c r="L29" s="961"/>
      <c r="M29" s="961">
        <f>M27-M28</f>
        <v>0</v>
      </c>
      <c r="N29" s="961">
        <f>N27-N28</f>
        <v>0</v>
      </c>
      <c r="O29" s="961" t="str">
        <f t="shared" si="6"/>
        <v/>
      </c>
      <c r="P29" s="962"/>
      <c r="BH29" s="287"/>
      <c r="BI29" s="287"/>
      <c r="BJ29" s="287"/>
      <c r="BK29" s="287"/>
      <c r="BL29" s="287"/>
      <c r="BO29" s="77"/>
      <c r="BP29" s="78"/>
      <c r="BQ29" s="77"/>
      <c r="BR29" s="78"/>
      <c r="BS29" s="78"/>
      <c r="BT29" s="78"/>
      <c r="BU29" s="78"/>
      <c r="BV29" s="78"/>
      <c r="BW29" s="77"/>
    </row>
    <row r="30" customHeight="1" spans="1:75">
      <c r="A30" s="102" t="str">
        <f>参数表!F$6</f>
        <v>产权持有单位填表人：贾广东</v>
      </c>
      <c r="B30" s="107"/>
      <c r="C30" s="107"/>
      <c r="D30" s="107"/>
      <c r="E30" s="107"/>
      <c r="F30" s="154"/>
      <c r="G30" s="154"/>
      <c r="H30" s="154"/>
      <c r="I30" s="154"/>
      <c r="J30" s="107"/>
      <c r="K30" s="107"/>
      <c r="L30" s="107"/>
      <c r="M30" s="107"/>
      <c r="N30" s="103" t="str">
        <f>"评估人员："&amp;封面!$G$36</f>
        <v>评估人员：</v>
      </c>
      <c r="O30" s="107"/>
      <c r="P30" s="107"/>
    </row>
    <row r="31" customHeight="1" spans="1:75">
      <c r="A31" s="102" t="str">
        <f>参数表!F$7</f>
        <v>填表日期：2025年9月20日</v>
      </c>
      <c r="B31" s="107"/>
      <c r="C31" s="107"/>
      <c r="D31" s="107"/>
      <c r="E31" s="107"/>
      <c r="F31" s="154"/>
      <c r="G31" s="154"/>
      <c r="H31" s="154"/>
      <c r="I31" s="154"/>
      <c r="J31" s="107"/>
      <c r="K31" s="107"/>
      <c r="L31" s="107"/>
      <c r="M31" s="107"/>
      <c r="N31" s="107"/>
      <c r="O31" s="107"/>
      <c r="P31" s="107"/>
    </row>
    <row r="32" hidden="1" customHeight="1" outlineLevel="1" spans="1:75">
      <c r="B32" s="154" t="s">
        <v>1673</v>
      </c>
      <c r="F32" s="158"/>
      <c r="G32" s="158"/>
      <c r="H32" s="158"/>
      <c r="I32" s="158"/>
      <c r="J32" s="335">
        <f>SUMIF($BA7:$BA26,$BA32,J7:J26)</f>
        <v>0</v>
      </c>
      <c r="K32" s="335">
        <f>SUMIF($BA7:$BA26,$BA32,K7:K26)</f>
        <v>0</v>
      </c>
      <c r="L32" s="336"/>
      <c r="M32" s="335">
        <f>SUMIF($BA7:$BA26,$BA32,M7:M26)</f>
        <v>0</v>
      </c>
      <c r="N32" s="335">
        <f>SUMIF($BA7:$BA26,$BA32,N7:N26)</f>
        <v>0</v>
      </c>
      <c r="BA32" s="161" t="s">
        <v>1674</v>
      </c>
      <c r="BH32" s="162" t="s">
        <v>1675</v>
      </c>
      <c r="BI32" s="162" t="s">
        <v>1675</v>
      </c>
      <c r="BJ32" s="162" t="s">
        <v>1675</v>
      </c>
      <c r="BK32" s="162" t="s">
        <v>1674</v>
      </c>
      <c r="BL32" s="162" t="s">
        <v>1674</v>
      </c>
    </row>
    <row r="33" hidden="1" customHeight="1" outlineLevel="1" spans="2:64">
      <c r="B33" s="154" t="s">
        <v>1676</v>
      </c>
      <c r="F33" s="158"/>
      <c r="G33" s="158"/>
      <c r="H33" s="158"/>
      <c r="I33" s="158"/>
      <c r="J33" s="335">
        <f>J27-J32</f>
        <v>0</v>
      </c>
      <c r="K33" s="335">
        <f>K27-K32</f>
        <v>0</v>
      </c>
      <c r="L33" s="336"/>
      <c r="M33" s="335">
        <f>M27-M32</f>
        <v>0</v>
      </c>
      <c r="N33" s="335">
        <f>N27-N32</f>
        <v>0</v>
      </c>
      <c r="BA33" s="161" t="s">
        <v>1677</v>
      </c>
      <c r="BH33" s="162" t="s">
        <v>1678</v>
      </c>
      <c r="BI33" s="162" t="s">
        <v>1678</v>
      </c>
      <c r="BJ33" s="162" t="s">
        <v>1678</v>
      </c>
      <c r="BK33" s="162" t="s">
        <v>1677</v>
      </c>
      <c r="BL33" s="162" t="s">
        <v>1677</v>
      </c>
    </row>
    <row r="34" customHeight="1" collapsed="1" spans="2:64">
      <c r="F34" s="158"/>
      <c r="G34" s="158"/>
      <c r="H34" s="158"/>
      <c r="I34" s="158"/>
    </row>
    <row r="35" customHeight="1" spans="2:64">
      <c r="F35" s="158"/>
      <c r="G35" s="158"/>
      <c r="H35" s="158"/>
      <c r="I35" s="158"/>
    </row>
    <row r="36" customHeight="1" spans="2:64">
      <c r="F36" s="158"/>
      <c r="G36" s="158"/>
      <c r="H36" s="158"/>
      <c r="I36" s="158"/>
    </row>
    <row r="37" customHeight="1" spans="2:64">
      <c r="F37" s="158"/>
      <c r="G37" s="158"/>
      <c r="H37" s="158"/>
      <c r="I37" s="158"/>
    </row>
    <row r="38" customHeight="1" spans="2:64">
      <c r="F38" s="158"/>
      <c r="G38" s="158"/>
      <c r="H38" s="158"/>
      <c r="I38" s="158"/>
    </row>
    <row r="39" customHeight="1" spans="2:64">
      <c r="F39" s="158"/>
      <c r="G39" s="158"/>
      <c r="H39" s="158"/>
      <c r="I39" s="158"/>
    </row>
  </sheetData>
  <sheetProtection autoFilter="0"/>
  <mergeCells count="8">
    <mergeCell ref="A2:P2"/>
    <mergeCell ref="A3:P3"/>
    <mergeCell ref="BU7:BW7"/>
    <mergeCell ref="BU8:BW8"/>
    <mergeCell ref="BV14:BW14"/>
    <mergeCell ref="A27:B27"/>
    <mergeCell ref="A28:B28"/>
    <mergeCell ref="A29:B29"/>
  </mergeCells>
  <conditionalFormatting sqref="BM7:BM26">
    <cfRule type="expression" dxfId="5" priority="4" stopIfTrue="1">
      <formula>AND(BK7="无",BM7="")</formula>
    </cfRule>
  </conditionalFormatting>
  <conditionalFormatting sqref="BF7:BG26">
    <cfRule type="containsText" dxfId="6" priority="1" stopIfTrue="1" operator="between" text="出错">
      <formula>NOT(ISERROR(SEARCH("出错",BF7)))</formula>
    </cfRule>
  </conditionalFormatting>
  <conditionalFormatting sqref="BH7:BL26">
    <cfRule type="expression" dxfId="5" priority="5" stopIfTrue="1">
      <formula>AND($B7&lt;&gt;"",BH7="")</formula>
    </cfRule>
  </conditionalFormatting>
  <dataValidations count="4">
    <dataValidation type="list" allowBlank="1" showInputMessage="1" showErrorMessage="1" sqref="F7:F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 type="list" allowBlank="1" showInputMessage="1" showErrorMessage="1" sqref="BH7:BL26">
      <formula1>BH$32:BH$33</formula1>
    </dataValidation>
  </dataValidations>
  <hyperlinks>
    <hyperlink ref="A1" location="索引目录!D33" display="返回索引页"/>
    <hyperlink ref="B1" location="非流动资产评估汇总!B18"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1">
    <tabColor rgb="FFFF0000"/>
  </sheetPr>
  <dimension ref="A1:CE36"/>
  <sheetViews>
    <sheetView zoomScale="90" zoomScaleNormal="90" workbookViewId="0">
      <pane xSplit="2" ySplit="6" topLeftCell="D7" activePane="bottomRight" state="frozen"/>
      <selection/>
      <selection pane="topRight"/>
      <selection pane="bottomLeft"/>
      <selection pane="bottomRight" activeCell="E45" sqref="E45"/>
    </sheetView>
  </sheetViews>
  <sheetFormatPr defaultColWidth="9" defaultRowHeight="15.75" customHeight="1"/>
  <cols>
    <col min="1" max="1" width="7.6" style="75" customWidth="1"/>
    <col min="2" max="2" width="35.2" style="75" customWidth="1"/>
    <col min="3" max="3" width="20.6" style="75" hidden="1" customWidth="1" outlineLevel="1"/>
    <col min="4" max="4" width="20.6" style="75" customWidth="1" collapsed="1"/>
    <col min="5" max="7" width="20.6" style="75" customWidth="1"/>
    <col min="8" max="52" width="9" style="75" hidden="1" customWidth="1" outlineLevel="1"/>
    <col min="53" max="53" width="10.6" style="257" customWidth="1" collapsed="1"/>
    <col min="54" max="60" width="10.6" style="257" customWidth="1"/>
    <col min="61" max="61" width="1.6" style="227" customWidth="1"/>
    <col min="62" max="69" width="10.6" style="25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86" customFormat="1" ht="13.8" spans="1:83">
      <c r="A1" s="947" t="s">
        <v>3660</v>
      </c>
      <c r="B1" s="204" t="s">
        <v>1592</v>
      </c>
      <c r="C1" s="82"/>
      <c r="D1" s="82"/>
      <c r="E1" s="82"/>
      <c r="F1" s="82"/>
      <c r="G1" s="82"/>
      <c r="BA1" s="230" t="str">
        <f>参数表!BA1</f>
        <v>注意：补充特殊事项、作价等均从BA列开始填写</v>
      </c>
      <c r="BB1" s="948"/>
      <c r="BC1" s="700"/>
      <c r="BD1" s="700"/>
      <c r="BE1" s="700"/>
      <c r="BF1" s="700"/>
      <c r="BG1" s="700"/>
      <c r="BH1" s="700"/>
      <c r="BI1" s="700"/>
      <c r="BJ1" s="700"/>
      <c r="BK1" s="700"/>
      <c r="BL1" s="700"/>
      <c r="BM1" s="700"/>
      <c r="BN1" s="700"/>
      <c r="BO1" s="700"/>
      <c r="BP1" s="700"/>
      <c r="BQ1" s="700"/>
      <c r="BY1" s="82"/>
      <c r="CA1" s="70"/>
      <c r="CB1" s="70"/>
      <c r="CC1" s="70"/>
      <c r="CD1" s="232"/>
      <c r="CE1" s="232"/>
    </row>
    <row r="2" s="71" customFormat="1" ht="30" customHeight="1" spans="1:83">
      <c r="A2" s="233" t="s">
        <v>3661</v>
      </c>
      <c r="B2" s="233"/>
      <c r="C2" s="233"/>
      <c r="D2" s="233"/>
      <c r="E2" s="233"/>
      <c r="F2" s="233"/>
      <c r="G2" s="233"/>
      <c r="BA2" s="948" t="str">
        <f>参数表!BA2</f>
        <v>评估基准日：</v>
      </c>
      <c r="BB2" s="948" t="str">
        <f>参数表!BB2</f>
        <v>2025年7月31日</v>
      </c>
      <c r="BC2" s="949"/>
      <c r="BD2" s="949"/>
      <c r="BE2" s="949"/>
      <c r="BF2" s="949"/>
      <c r="BG2" s="949"/>
      <c r="BH2" s="949"/>
      <c r="BI2" s="234"/>
      <c r="BJ2" s="949"/>
      <c r="BK2" s="949"/>
      <c r="BL2" s="949"/>
      <c r="BM2" s="949"/>
      <c r="BN2" s="949"/>
      <c r="BO2" s="949"/>
      <c r="BP2" s="949"/>
      <c r="BQ2" s="949"/>
      <c r="BS2" s="235"/>
      <c r="BT2" s="235"/>
      <c r="BU2" s="235"/>
      <c r="BV2" s="235"/>
      <c r="BW2" s="235"/>
      <c r="BX2" s="235"/>
      <c r="BY2" s="236"/>
      <c r="BZ2" s="235"/>
      <c r="CD2" s="237"/>
      <c r="CE2" s="237"/>
    </row>
    <row r="3" ht="15" customHeight="1" spans="1:83">
      <c r="A3" s="238" t="str">
        <f>参数表!F5</f>
        <v>评估基准日：2025年7月31日</v>
      </c>
      <c r="B3" s="238"/>
      <c r="C3" s="238"/>
      <c r="D3" s="238"/>
      <c r="E3" s="238"/>
      <c r="F3" s="238"/>
      <c r="G3" s="238"/>
      <c r="BA3" s="948" t="str">
        <f>参数表!BA3</f>
        <v>是否显示评估值：</v>
      </c>
      <c r="BB3" s="948" t="str">
        <f>参数表!BB3</f>
        <v>是</v>
      </c>
    </row>
    <row r="4" ht="15" customHeight="1" spans="1:83">
      <c r="A4" s="238"/>
      <c r="B4" s="238"/>
      <c r="C4" s="238"/>
      <c r="D4" s="238"/>
      <c r="E4" s="238"/>
      <c r="F4" s="238"/>
      <c r="G4" s="338" t="str">
        <f>"表"&amp;A28</f>
        <v>表4-9</v>
      </c>
      <c r="K4" s="277"/>
      <c r="BA4" s="240" t="s">
        <v>1595</v>
      </c>
      <c r="BB4" s="241"/>
      <c r="BC4" s="241"/>
      <c r="BD4" s="241"/>
      <c r="BE4" s="241"/>
      <c r="BF4" s="241"/>
      <c r="BG4" s="241"/>
      <c r="BH4" s="241"/>
      <c r="BI4" s="242"/>
      <c r="BJ4" s="241" t="s">
        <v>1545</v>
      </c>
      <c r="BK4" s="241"/>
      <c r="BL4" s="241"/>
      <c r="BM4" s="241"/>
      <c r="BN4" s="241"/>
      <c r="BO4" s="241"/>
      <c r="BP4" s="241"/>
      <c r="BQ4" s="241"/>
      <c r="BS4" s="228" t="str">
        <f>LEFT(A2,LEN(A2)-5)</f>
        <v>投资性房地产资产</v>
      </c>
    </row>
    <row r="5" ht="15" customHeight="1" spans="1:83">
      <c r="A5" s="243" t="str">
        <f>参数表!F3</f>
        <v>产权持有单位:中煤第五建设有限公司</v>
      </c>
      <c r="G5" s="244" t="s">
        <v>236</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投资性房地产资产为：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1525</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255" t="str">
        <f>A$28&amp;"-"&amp;SUBTOTAL(103,B$7:B7)</f>
        <v>4-9-1</v>
      </c>
      <c r="B7" s="950" t="s">
        <v>3662</v>
      </c>
      <c r="C7" s="143">
        <f>'投资-房屋成本'!AG31</f>
        <v>0</v>
      </c>
      <c r="D7" s="143">
        <f>'投资-房屋成本'!AM31</f>
        <v>0</v>
      </c>
      <c r="E7" s="143">
        <f>'投资-房屋成本'!AQ31</f>
        <v>0</v>
      </c>
      <c r="F7" s="143">
        <f t="shared" ref="F7:F10" si="0">E7-D7</f>
        <v>0</v>
      </c>
      <c r="G7" s="143" t="str">
        <f t="shared" ref="G7:G10" si="1">IF(D7=0,"",F7/D7*100)</f>
        <v/>
      </c>
      <c r="BA7" s="256">
        <f>'投资-房屋成本'!AL29</f>
        <v>0</v>
      </c>
      <c r="BB7" s="256">
        <f>'投资-房屋成本'!AM29</f>
        <v>0</v>
      </c>
      <c r="BC7" s="256">
        <f>BB7-BD7</f>
        <v>0</v>
      </c>
      <c r="BD7" s="256">
        <f>D7</f>
        <v>0</v>
      </c>
      <c r="BE7" s="256">
        <f>'投资-房屋成本'!AO29</f>
        <v>0</v>
      </c>
      <c r="BF7" s="256">
        <f>'投资-房屋成本'!AQ29</f>
        <v>0</v>
      </c>
      <c r="BG7" s="256">
        <f>BF7-BH7</f>
        <v>0</v>
      </c>
      <c r="BH7" s="256">
        <f>E7</f>
        <v>0</v>
      </c>
      <c r="BI7" s="242"/>
      <c r="BJ7" s="143">
        <f>'投资-房屋成本'!AL34</f>
        <v>0</v>
      </c>
      <c r="BK7" s="143">
        <f>'投资-房屋成本'!AM34</f>
        <v>0</v>
      </c>
      <c r="BL7" s="143">
        <f>'投资-房屋成本'!AN34</f>
        <v>0</v>
      </c>
      <c r="BM7" s="256">
        <f>BK7-BL7</f>
        <v>0</v>
      </c>
      <c r="BN7" s="143">
        <f>'投资-房屋成本'!AO34</f>
        <v>0</v>
      </c>
      <c r="BO7" s="256">
        <f>'投资-房屋成本'!AQ34</f>
        <v>0</v>
      </c>
      <c r="BP7" s="256">
        <f>0</f>
        <v>0</v>
      </c>
      <c r="BQ7" s="256">
        <f>BO7-BP7</f>
        <v>0</v>
      </c>
      <c r="BS7" s="228" t="str">
        <f t="shared" ref="BS7:BS10" si="2">IF(F7&gt;0,"增值",IF(F7=0,"无增减值","减值"))</f>
        <v>无增减值</v>
      </c>
      <c r="BT7" s="257">
        <f t="shared" ref="BT7:BT10" si="3">ABS(F7)</f>
        <v>0</v>
      </c>
      <c r="BU7" s="257">
        <f t="shared" ref="BU7:BU10" si="4">IFERROR(ABS(G7),0)</f>
        <v>0</v>
      </c>
      <c r="BV7" s="258">
        <f t="shared" ref="BV7:BV10" si="5">IFERROR(FIND("-",B7),0)</f>
        <v>7</v>
      </c>
      <c r="BW7" s="259" t="str">
        <f>IF(SUM(BA7:BH7)=0,"",RIGHT(B7,LEN(B7)-BV7))</f>
        <v/>
      </c>
      <c r="BX7" s="158" t="str">
        <f>IF(BY7="","",IF(BZ7&gt;1,"、",IF(BZ7=1,"和","")))</f>
        <v/>
      </c>
      <c r="BY7" s="158" t="str">
        <f>IF(BW7="","",1)</f>
        <v/>
      </c>
      <c r="BZ7" s="228">
        <f>COUNT(BY8:BY$27)</f>
        <v>0</v>
      </c>
    </row>
    <row r="8" ht="15" customHeight="1" spans="1:83">
      <c r="A8" s="255" t="str">
        <f>A$28&amp;"-"&amp;SUBTOTAL(103,B$7:B8)</f>
        <v>4-9-2</v>
      </c>
      <c r="B8" s="950" t="s">
        <v>3663</v>
      </c>
      <c r="C8" s="143">
        <f>'投资-房屋公允'!AD29</f>
        <v>0</v>
      </c>
      <c r="D8" s="143">
        <f>'投资-房屋公允'!AF29</f>
        <v>0</v>
      </c>
      <c r="E8" s="143">
        <f>'投资-房屋公允'!AG29</f>
        <v>0</v>
      </c>
      <c r="F8" s="143">
        <f t="shared" si="0"/>
        <v>0</v>
      </c>
      <c r="G8" s="143" t="str">
        <f t="shared" si="1"/>
        <v/>
      </c>
      <c r="BA8" s="256">
        <f>BB8</f>
        <v>0</v>
      </c>
      <c r="BB8" s="256">
        <f>'投资-房屋公允'!AF29</f>
        <v>0</v>
      </c>
      <c r="BC8" s="256">
        <f t="shared" ref="BC8:BC10" si="6">BB8-BD8</f>
        <v>0</v>
      </c>
      <c r="BD8" s="256">
        <f t="shared" ref="BD8:BD10" si="7">D8</f>
        <v>0</v>
      </c>
      <c r="BE8" s="256">
        <f>BF8</f>
        <v>0</v>
      </c>
      <c r="BF8" s="256">
        <f>'投资-房屋公允'!AG29</f>
        <v>0</v>
      </c>
      <c r="BG8" s="256">
        <f t="shared" ref="BG8:BG10" si="8">BF8-BH8</f>
        <v>0</v>
      </c>
      <c r="BH8" s="256">
        <f t="shared" ref="BH8:BH10" si="9">E8</f>
        <v>0</v>
      </c>
      <c r="BI8" s="242"/>
      <c r="BJ8" s="256">
        <f>BK8</f>
        <v>0</v>
      </c>
      <c r="BK8" s="256">
        <f>'投资-房屋公允'!AF32</f>
        <v>0</v>
      </c>
      <c r="BL8" s="256">
        <f>0</f>
        <v>0</v>
      </c>
      <c r="BM8" s="256">
        <f t="shared" ref="BM8:BM10" si="10">BK8-BL8</f>
        <v>0</v>
      </c>
      <c r="BN8" s="256">
        <f>BO8</f>
        <v>0</v>
      </c>
      <c r="BO8" s="256">
        <f>'投资-房屋公允'!AG32</f>
        <v>0</v>
      </c>
      <c r="BP8" s="256">
        <f>0</f>
        <v>0</v>
      </c>
      <c r="BQ8" s="256">
        <f t="shared" ref="BQ8:BQ10" si="11">BO8-BP8</f>
        <v>0</v>
      </c>
      <c r="BS8" s="228" t="str">
        <f t="shared" si="2"/>
        <v>无增减值</v>
      </c>
      <c r="BT8" s="257">
        <f t="shared" si="3"/>
        <v>0</v>
      </c>
      <c r="BU8" s="257">
        <f t="shared" si="4"/>
        <v>0</v>
      </c>
      <c r="BV8" s="258">
        <f t="shared" si="5"/>
        <v>7</v>
      </c>
      <c r="BW8" s="259" t="str">
        <f t="shared" ref="BW8:BW10" si="12">IF(SUM(BA8:BH8)=0,"",RIGHT(B8,LEN(B8)-BV8))</f>
        <v/>
      </c>
      <c r="BX8" s="158" t="str">
        <f t="shared" ref="BX8:BX10" si="13">IF(BY8="","",IF(BZ8&gt;1,"、",IF(BZ8=1,"和","")))</f>
        <v/>
      </c>
      <c r="BY8" s="158" t="str">
        <f t="shared" ref="BY8:BY10" si="14">IF(BW8="","",1)</f>
        <v/>
      </c>
      <c r="BZ8" s="228">
        <f>COUNT(BY9:BY$27)</f>
        <v>0</v>
      </c>
    </row>
    <row r="9" ht="15" customHeight="1" spans="1:83">
      <c r="A9" s="255" t="str">
        <f>A$28&amp;"-"&amp;SUBTOTAL(103,B$7:B9)</f>
        <v>4-9-3</v>
      </c>
      <c r="B9" s="950" t="s">
        <v>3664</v>
      </c>
      <c r="C9" s="143">
        <f>'投资-土地成本'!AH30</f>
        <v>0</v>
      </c>
      <c r="D9" s="143">
        <f>'投资-土地成本'!AL30</f>
        <v>0</v>
      </c>
      <c r="E9" s="143">
        <f>'投资-土地成本'!AN30</f>
        <v>0</v>
      </c>
      <c r="F9" s="143">
        <f t="shared" si="0"/>
        <v>0</v>
      </c>
      <c r="G9" s="143" t="str">
        <f t="shared" si="1"/>
        <v/>
      </c>
      <c r="BA9" s="256">
        <f>'投资-土地成本'!AG28</f>
        <v>0</v>
      </c>
      <c r="BB9" s="256">
        <f>'投资-土地成本'!AL28</f>
        <v>0</v>
      </c>
      <c r="BC9" s="256">
        <f t="shared" si="6"/>
        <v>0</v>
      </c>
      <c r="BD9" s="256">
        <f t="shared" si="7"/>
        <v>0</v>
      </c>
      <c r="BE9" s="256">
        <f>BF9</f>
        <v>0</v>
      </c>
      <c r="BF9" s="256">
        <f>'投资-土地成本'!AN28</f>
        <v>0</v>
      </c>
      <c r="BG9" s="256">
        <f t="shared" si="8"/>
        <v>0</v>
      </c>
      <c r="BH9" s="256">
        <f t="shared" si="9"/>
        <v>0</v>
      </c>
      <c r="BI9" s="242"/>
      <c r="BJ9" s="143">
        <f>'投资-土地成本'!AG33</f>
        <v>0</v>
      </c>
      <c r="BK9" s="256">
        <f>'投资-土地成本'!AL33</f>
        <v>0</v>
      </c>
      <c r="BL9" s="256">
        <f>'投资-土地成本'!AM33</f>
        <v>0</v>
      </c>
      <c r="BM9" s="256">
        <f t="shared" si="10"/>
        <v>0</v>
      </c>
      <c r="BN9" s="256">
        <f>BO9</f>
        <v>0</v>
      </c>
      <c r="BO9" s="256">
        <f>'投资-土地成本'!AN33</f>
        <v>0</v>
      </c>
      <c r="BP9" s="256">
        <f>0</f>
        <v>0</v>
      </c>
      <c r="BQ9" s="256">
        <f t="shared" si="11"/>
        <v>0</v>
      </c>
      <c r="BS9" s="228" t="str">
        <f t="shared" si="2"/>
        <v>无增减值</v>
      </c>
      <c r="BT9" s="257">
        <f t="shared" si="3"/>
        <v>0</v>
      </c>
      <c r="BU9" s="257">
        <f t="shared" si="4"/>
        <v>0</v>
      </c>
      <c r="BV9" s="258">
        <f t="shared" si="5"/>
        <v>7</v>
      </c>
      <c r="BW9" s="259" t="str">
        <f t="shared" si="12"/>
        <v/>
      </c>
      <c r="BX9" s="158" t="str">
        <f t="shared" si="13"/>
        <v/>
      </c>
      <c r="BY9" s="158" t="str">
        <f t="shared" si="14"/>
        <v/>
      </c>
      <c r="BZ9" s="228">
        <f>COUNT(BY10:BY$27)</f>
        <v>0</v>
      </c>
    </row>
    <row r="10" ht="15" customHeight="1" spans="1:83">
      <c r="A10" s="255" t="str">
        <f>A$28&amp;"-"&amp;SUBTOTAL(103,B$7:B10)</f>
        <v>4-9-4</v>
      </c>
      <c r="B10" s="950" t="s">
        <v>3665</v>
      </c>
      <c r="C10" s="143">
        <f>'投资-土地公允'!AF28</f>
        <v>0</v>
      </c>
      <c r="D10" s="143">
        <f>'投资-土地公允'!AH28</f>
        <v>0</v>
      </c>
      <c r="E10" s="143">
        <f>'投资-土地公允'!AI28</f>
        <v>0</v>
      </c>
      <c r="F10" s="143">
        <f t="shared" si="0"/>
        <v>0</v>
      </c>
      <c r="G10" s="143" t="str">
        <f t="shared" si="1"/>
        <v/>
      </c>
      <c r="BA10" s="256">
        <f>BB10</f>
        <v>0</v>
      </c>
      <c r="BB10" s="256">
        <f>'投资-土地公允'!AH28</f>
        <v>0</v>
      </c>
      <c r="BC10" s="256">
        <f t="shared" si="6"/>
        <v>0</v>
      </c>
      <c r="BD10" s="256">
        <f t="shared" si="7"/>
        <v>0</v>
      </c>
      <c r="BE10" s="256">
        <f>BF10</f>
        <v>0</v>
      </c>
      <c r="BF10" s="256">
        <f>'投资-土地公允'!AI28</f>
        <v>0</v>
      </c>
      <c r="BG10" s="256">
        <f t="shared" si="8"/>
        <v>0</v>
      </c>
      <c r="BH10" s="256">
        <f t="shared" si="9"/>
        <v>0</v>
      </c>
      <c r="BI10" s="242"/>
      <c r="BJ10" s="256">
        <f>BK10</f>
        <v>0</v>
      </c>
      <c r="BK10" s="256">
        <f>'投资-土地公允'!AH31</f>
        <v>0</v>
      </c>
      <c r="BL10" s="256">
        <f>0</f>
        <v>0</v>
      </c>
      <c r="BM10" s="256">
        <f t="shared" si="10"/>
        <v>0</v>
      </c>
      <c r="BN10" s="256">
        <f>BO10</f>
        <v>0</v>
      </c>
      <c r="BO10" s="256">
        <f>'投资-土地公允'!AI31</f>
        <v>0</v>
      </c>
      <c r="BP10" s="256">
        <f>0</f>
        <v>0</v>
      </c>
      <c r="BQ10" s="256">
        <f t="shared" si="11"/>
        <v>0</v>
      </c>
      <c r="BS10" s="228" t="str">
        <f t="shared" si="2"/>
        <v>无增减值</v>
      </c>
      <c r="BT10" s="257">
        <f t="shared" si="3"/>
        <v>0</v>
      </c>
      <c r="BU10" s="257">
        <f t="shared" si="4"/>
        <v>0</v>
      </c>
      <c r="BV10" s="258">
        <f t="shared" si="5"/>
        <v>7</v>
      </c>
      <c r="BW10" s="259" t="str">
        <f t="shared" si="12"/>
        <v/>
      </c>
      <c r="BX10" s="158" t="str">
        <f t="shared" si="13"/>
        <v/>
      </c>
      <c r="BY10" s="158" t="str">
        <f t="shared" si="14"/>
        <v/>
      </c>
      <c r="BZ10" s="228">
        <f>COUNT(BY11:BY$27)</f>
        <v>0</v>
      </c>
    </row>
    <row r="11" ht="15" customHeight="1" spans="1:83">
      <c r="A11" s="339"/>
      <c r="B11" s="145"/>
      <c r="C11" s="143"/>
      <c r="D11" s="143"/>
      <c r="E11" s="143"/>
      <c r="F11" s="143"/>
      <c r="G11" s="143"/>
      <c r="BA11" s="256"/>
      <c r="BB11" s="256"/>
      <c r="BC11" s="256"/>
      <c r="BD11" s="256"/>
      <c r="BE11" s="256"/>
      <c r="BF11" s="256"/>
      <c r="BG11" s="256"/>
      <c r="BH11" s="256"/>
      <c r="BI11" s="242"/>
      <c r="BJ11" s="256"/>
      <c r="BK11" s="256"/>
      <c r="BL11" s="256"/>
      <c r="BM11" s="256"/>
      <c r="BN11" s="256"/>
      <c r="BO11" s="256"/>
      <c r="BP11" s="256"/>
      <c r="BQ11" s="256"/>
      <c r="BS11" s="228"/>
      <c r="BT11" s="257"/>
      <c r="BU11" s="257"/>
      <c r="BV11" s="258"/>
      <c r="BW11" s="259"/>
      <c r="BY11" s="158"/>
      <c r="BZ11" s="228"/>
    </row>
    <row r="12" ht="15" customHeight="1" spans="1:83">
      <c r="A12" s="339"/>
      <c r="B12" s="145"/>
      <c r="C12" s="143"/>
      <c r="D12" s="143"/>
      <c r="E12" s="143"/>
      <c r="F12" s="143"/>
      <c r="G12" s="143"/>
      <c r="BA12" s="256"/>
      <c r="BB12" s="256"/>
      <c r="BC12" s="256"/>
      <c r="BD12" s="256"/>
      <c r="BE12" s="256"/>
      <c r="BF12" s="256"/>
      <c r="BG12" s="256"/>
      <c r="BH12" s="256"/>
      <c r="BI12" s="242"/>
      <c r="BJ12" s="256"/>
      <c r="BK12" s="256"/>
      <c r="BL12" s="256"/>
      <c r="BM12" s="256"/>
      <c r="BN12" s="256"/>
      <c r="BO12" s="256"/>
      <c r="BP12" s="256"/>
      <c r="BQ12" s="256"/>
      <c r="BS12" s="228"/>
      <c r="BT12" s="257"/>
      <c r="BU12" s="257"/>
      <c r="BV12" s="258"/>
      <c r="BW12" s="259"/>
      <c r="BY12" s="158"/>
      <c r="BZ12" s="228"/>
    </row>
    <row r="13" ht="15" customHeight="1" spans="1:83">
      <c r="A13" s="339"/>
      <c r="B13" s="145"/>
      <c r="C13" s="143"/>
      <c r="D13" s="143"/>
      <c r="E13" s="143"/>
      <c r="F13" s="143"/>
      <c r="G13" s="143"/>
      <c r="BA13" s="256"/>
      <c r="BB13" s="256"/>
      <c r="BC13" s="256"/>
      <c r="BD13" s="256"/>
      <c r="BE13" s="256"/>
      <c r="BF13" s="256"/>
      <c r="BG13" s="256"/>
      <c r="BH13" s="256"/>
      <c r="BI13" s="242"/>
      <c r="BJ13" s="256"/>
      <c r="BK13" s="256"/>
      <c r="BL13" s="256"/>
      <c r="BM13" s="256"/>
      <c r="BN13" s="256"/>
      <c r="BO13" s="256"/>
      <c r="BP13" s="256"/>
      <c r="BQ13" s="256"/>
      <c r="BS13" s="228"/>
      <c r="BT13" s="257"/>
      <c r="BU13" s="257"/>
      <c r="BV13" s="258"/>
      <c r="BW13" s="259"/>
      <c r="BY13" s="158"/>
      <c r="BZ13" s="228"/>
    </row>
    <row r="14" ht="15" customHeight="1" spans="1:83">
      <c r="A14" s="339"/>
      <c r="B14" s="145"/>
      <c r="C14" s="143"/>
      <c r="D14" s="143"/>
      <c r="E14" s="143"/>
      <c r="F14" s="143"/>
      <c r="G14" s="143"/>
      <c r="BA14" s="256"/>
      <c r="BB14" s="256"/>
      <c r="BC14" s="256"/>
      <c r="BD14" s="256"/>
      <c r="BE14" s="256"/>
      <c r="BF14" s="256"/>
      <c r="BG14" s="256"/>
      <c r="BH14" s="256"/>
      <c r="BI14" s="242"/>
      <c r="BJ14" s="256"/>
      <c r="BK14" s="256"/>
      <c r="BL14" s="256"/>
      <c r="BM14" s="256"/>
      <c r="BN14" s="256"/>
      <c r="BO14" s="256"/>
      <c r="BP14" s="256"/>
      <c r="BQ14" s="256"/>
      <c r="BS14" s="228"/>
      <c r="BT14" s="257"/>
      <c r="BU14" s="257"/>
      <c r="BV14" s="258"/>
      <c r="BW14" s="259"/>
      <c r="BY14" s="158"/>
      <c r="BZ14" s="228"/>
    </row>
    <row r="15" ht="15" customHeight="1" spans="1:83">
      <c r="A15" s="339"/>
      <c r="B15" s="145"/>
      <c r="C15" s="143"/>
      <c r="D15" s="143"/>
      <c r="E15" s="143"/>
      <c r="F15" s="143"/>
      <c r="G15" s="143"/>
      <c r="BA15" s="256"/>
      <c r="BB15" s="256"/>
      <c r="BC15" s="256"/>
      <c r="BD15" s="256"/>
      <c r="BE15" s="256"/>
      <c r="BF15" s="256"/>
      <c r="BG15" s="256"/>
      <c r="BH15" s="256"/>
      <c r="BI15" s="242"/>
      <c r="BJ15" s="256"/>
      <c r="BK15" s="256"/>
      <c r="BL15" s="256"/>
      <c r="BM15" s="256"/>
      <c r="BN15" s="256"/>
      <c r="BO15" s="256"/>
      <c r="BP15" s="256"/>
      <c r="BQ15" s="256"/>
      <c r="BS15" s="228"/>
      <c r="BT15" s="257"/>
      <c r="BU15" s="257"/>
      <c r="BV15" s="258"/>
      <c r="BW15" s="259"/>
      <c r="BY15" s="158"/>
      <c r="BZ15" s="228"/>
    </row>
    <row r="16" ht="15" customHeight="1" spans="1:83">
      <c r="A16" s="339"/>
      <c r="B16" s="145"/>
      <c r="C16" s="143"/>
      <c r="D16" s="143"/>
      <c r="E16" s="143"/>
      <c r="F16" s="143"/>
      <c r="G16" s="143"/>
      <c r="BA16" s="256"/>
      <c r="BB16" s="256"/>
      <c r="BC16" s="256"/>
      <c r="BD16" s="256"/>
      <c r="BE16" s="256"/>
      <c r="BF16" s="256"/>
      <c r="BG16" s="256"/>
      <c r="BH16" s="256"/>
      <c r="BI16" s="242"/>
      <c r="BJ16" s="256"/>
      <c r="BK16" s="256"/>
      <c r="BL16" s="256"/>
      <c r="BM16" s="256"/>
      <c r="BN16" s="256"/>
      <c r="BO16" s="256"/>
      <c r="BP16" s="256"/>
      <c r="BQ16" s="256"/>
      <c r="BS16" s="228"/>
      <c r="BT16" s="257"/>
      <c r="BU16" s="257"/>
      <c r="BV16" s="258"/>
      <c r="BW16" s="259"/>
      <c r="BY16" s="158"/>
      <c r="BZ16" s="228"/>
    </row>
    <row r="17" ht="15" customHeight="1" spans="1:83">
      <c r="A17" s="339"/>
      <c r="B17" s="145"/>
      <c r="C17" s="143"/>
      <c r="D17" s="143"/>
      <c r="E17" s="143"/>
      <c r="F17" s="143"/>
      <c r="G17" s="143"/>
      <c r="BA17" s="256"/>
      <c r="BB17" s="256"/>
      <c r="BC17" s="256"/>
      <c r="BD17" s="256"/>
      <c r="BE17" s="256"/>
      <c r="BF17" s="256"/>
      <c r="BG17" s="256"/>
      <c r="BH17" s="256"/>
      <c r="BI17" s="242"/>
      <c r="BJ17" s="256"/>
      <c r="BK17" s="256"/>
      <c r="BL17" s="256"/>
      <c r="BM17" s="256"/>
      <c r="BN17" s="256"/>
      <c r="BO17" s="256"/>
      <c r="BP17" s="256"/>
      <c r="BQ17" s="256"/>
      <c r="BS17" s="228"/>
      <c r="BT17" s="257"/>
      <c r="BU17" s="257"/>
      <c r="BV17" s="258"/>
      <c r="BW17" s="259"/>
      <c r="BY17" s="158"/>
      <c r="BZ17" s="228"/>
    </row>
    <row r="18" ht="15" customHeight="1" spans="1:83">
      <c r="A18" s="339"/>
      <c r="B18" s="145"/>
      <c r="C18" s="143"/>
      <c r="D18" s="143"/>
      <c r="E18" s="143"/>
      <c r="F18" s="143"/>
      <c r="G18" s="143"/>
      <c r="BA18" s="256"/>
      <c r="BB18" s="256"/>
      <c r="BC18" s="256"/>
      <c r="BD18" s="256"/>
      <c r="BE18" s="256"/>
      <c r="BF18" s="256"/>
      <c r="BG18" s="256"/>
      <c r="BH18" s="256"/>
      <c r="BI18" s="242"/>
      <c r="BJ18" s="256"/>
      <c r="BK18" s="256"/>
      <c r="BL18" s="256"/>
      <c r="BM18" s="256"/>
      <c r="BN18" s="256"/>
      <c r="BO18" s="256"/>
      <c r="BP18" s="256"/>
      <c r="BQ18" s="256"/>
      <c r="BS18" s="228"/>
      <c r="BT18" s="257"/>
      <c r="BU18" s="257"/>
      <c r="BV18" s="258"/>
      <c r="BW18" s="259"/>
      <c r="BY18" s="158"/>
      <c r="BZ18" s="228"/>
    </row>
    <row r="19" ht="15" customHeight="1" spans="1:83">
      <c r="A19" s="339"/>
      <c r="B19" s="145"/>
      <c r="C19" s="143"/>
      <c r="D19" s="143"/>
      <c r="E19" s="143"/>
      <c r="F19" s="143"/>
      <c r="G19" s="143"/>
      <c r="BA19" s="256"/>
      <c r="BB19" s="256"/>
      <c r="BC19" s="256"/>
      <c r="BD19" s="256"/>
      <c r="BE19" s="256"/>
      <c r="BF19" s="256"/>
      <c r="BG19" s="256"/>
      <c r="BH19" s="256"/>
      <c r="BI19" s="242"/>
      <c r="BJ19" s="256"/>
      <c r="BK19" s="256"/>
      <c r="BL19" s="256"/>
      <c r="BM19" s="256"/>
      <c r="BN19" s="256"/>
      <c r="BO19" s="256"/>
      <c r="BP19" s="256"/>
      <c r="BQ19" s="256"/>
      <c r="BS19" s="228"/>
      <c r="BT19" s="257"/>
      <c r="BU19" s="257"/>
      <c r="BV19" s="258"/>
      <c r="BW19" s="259"/>
      <c r="BY19" s="158"/>
      <c r="BZ19" s="228"/>
    </row>
    <row r="20" ht="15" customHeight="1" spans="1:83">
      <c r="A20" s="339"/>
      <c r="B20" s="145"/>
      <c r="C20" s="143"/>
      <c r="D20" s="143"/>
      <c r="E20" s="143"/>
      <c r="F20" s="143"/>
      <c r="G20" s="143"/>
      <c r="BA20" s="256"/>
      <c r="BB20" s="256"/>
      <c r="BC20" s="256"/>
      <c r="BD20" s="256"/>
      <c r="BE20" s="256"/>
      <c r="BF20" s="256"/>
      <c r="BG20" s="256"/>
      <c r="BH20" s="256"/>
      <c r="BI20" s="242"/>
      <c r="BJ20" s="256"/>
      <c r="BK20" s="256"/>
      <c r="BL20" s="256"/>
      <c r="BM20" s="256"/>
      <c r="BN20" s="256"/>
      <c r="BO20" s="256"/>
      <c r="BP20" s="256"/>
      <c r="BQ20" s="256"/>
      <c r="BS20" s="228"/>
      <c r="BT20" s="257"/>
      <c r="BU20" s="257"/>
      <c r="BV20" s="258"/>
      <c r="BW20" s="259"/>
      <c r="BY20" s="158"/>
      <c r="BZ20" s="228"/>
    </row>
    <row r="21" ht="15" customHeight="1" spans="1:83">
      <c r="A21" s="339"/>
      <c r="B21" s="145"/>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ht="15" customHeight="1" spans="1:83">
      <c r="A22" s="339"/>
      <c r="B22" s="145"/>
      <c r="C22" s="143"/>
      <c r="D22" s="143"/>
      <c r="E22" s="143"/>
      <c r="F22" s="143"/>
      <c r="G22" s="143"/>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ht="15" customHeight="1" spans="1:83">
      <c r="A23" s="339"/>
      <c r="B23" s="145"/>
      <c r="C23" s="143"/>
      <c r="D23" s="143"/>
      <c r="E23" s="143"/>
      <c r="F23" s="143"/>
      <c r="G23" s="143"/>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ht="15" customHeight="1" spans="1:83">
      <c r="A24" s="339"/>
      <c r="B24" s="145"/>
      <c r="C24" s="143"/>
      <c r="D24" s="143"/>
      <c r="E24" s="143"/>
      <c r="F24" s="143"/>
      <c r="G24" s="143"/>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ht="15" customHeight="1" spans="1:83">
      <c r="A25" s="143"/>
      <c r="B25" s="143"/>
      <c r="C25" s="143"/>
      <c r="D25" s="143"/>
      <c r="E25" s="143"/>
      <c r="F25" s="143"/>
      <c r="G25" s="143"/>
      <c r="BA25" s="256"/>
      <c r="BB25" s="256"/>
      <c r="BC25" s="256"/>
      <c r="BD25" s="256"/>
      <c r="BE25" s="256"/>
      <c r="BF25" s="256"/>
      <c r="BG25" s="256"/>
      <c r="BH25" s="256"/>
      <c r="BI25" s="242"/>
      <c r="BJ25" s="256"/>
      <c r="BK25" s="256"/>
      <c r="BL25" s="256"/>
      <c r="BM25" s="256"/>
      <c r="BN25" s="256"/>
      <c r="BO25" s="256"/>
      <c r="BP25" s="256"/>
      <c r="BQ25" s="256"/>
      <c r="BS25" s="228"/>
      <c r="BT25" s="257"/>
      <c r="BU25" s="257"/>
      <c r="BV25" s="258"/>
      <c r="BW25" s="259"/>
      <c r="BY25" s="158"/>
      <c r="BZ25" s="228"/>
    </row>
    <row r="26" s="73" customFormat="1" ht="15" customHeight="1" spans="1:83">
      <c r="A26" s="143"/>
      <c r="B26" s="143"/>
      <c r="C26" s="143"/>
      <c r="D26" s="143"/>
      <c r="E26" s="143"/>
      <c r="F26" s="143"/>
      <c r="G26" s="143"/>
      <c r="BA26" s="256"/>
      <c r="BB26" s="256"/>
      <c r="BC26" s="256"/>
      <c r="BD26" s="256"/>
      <c r="BE26" s="256"/>
      <c r="BF26" s="256"/>
      <c r="BG26" s="256"/>
      <c r="BH26" s="256"/>
      <c r="BI26" s="242"/>
      <c r="BJ26" s="256"/>
      <c r="BK26" s="256"/>
      <c r="BL26" s="256"/>
      <c r="BM26" s="256"/>
      <c r="BN26" s="256"/>
      <c r="BO26" s="256"/>
      <c r="BP26" s="256"/>
      <c r="BQ26" s="256"/>
      <c r="BR26" s="75"/>
      <c r="BS26" s="228"/>
      <c r="BT26" s="257"/>
      <c r="BU26" s="257"/>
      <c r="BV26" s="258"/>
      <c r="BW26" s="259"/>
      <c r="BX26" s="158"/>
      <c r="BY26" s="158"/>
      <c r="BZ26" s="228"/>
      <c r="CA26" s="75"/>
      <c r="CB26" s="75"/>
      <c r="CC26" s="75"/>
      <c r="CD26" s="229"/>
      <c r="CE26" s="229"/>
    </row>
    <row r="27" ht="15" customHeight="1" spans="1:83">
      <c r="A27" s="143"/>
      <c r="B27" s="143"/>
      <c r="C27" s="143"/>
      <c r="D27" s="143"/>
      <c r="E27" s="143"/>
      <c r="F27" s="143"/>
      <c r="G27" s="143"/>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341" t="str">
        <f>非流动资总!A15</f>
        <v>4-9</v>
      </c>
      <c r="B28" s="342" t="s">
        <v>3666</v>
      </c>
      <c r="C28" s="264">
        <f t="shared" ref="C28:E28" si="15">SUM(C7:C27)</f>
        <v>0</v>
      </c>
      <c r="D28" s="264">
        <f t="shared" si="15"/>
        <v>0</v>
      </c>
      <c r="E28" s="264">
        <f t="shared" si="15"/>
        <v>0</v>
      </c>
      <c r="F28" s="264">
        <f>F26-F27</f>
        <v>0</v>
      </c>
      <c r="G28" s="265" t="str">
        <f>IF(D28=0,"",F28/D28*100)</f>
        <v/>
      </c>
      <c r="BA28" s="266">
        <f>SUM(BA7:BA27)</f>
        <v>0</v>
      </c>
      <c r="BB28" s="266">
        <f t="shared" ref="BB28:BH28" si="16">SUM(BB7:BB27)</f>
        <v>0</v>
      </c>
      <c r="BC28" s="266">
        <f t="shared" si="16"/>
        <v>0</v>
      </c>
      <c r="BD28" s="266">
        <f t="shared" si="16"/>
        <v>0</v>
      </c>
      <c r="BE28" s="266">
        <f t="shared" si="16"/>
        <v>0</v>
      </c>
      <c r="BF28" s="266">
        <f t="shared" si="16"/>
        <v>0</v>
      </c>
      <c r="BG28" s="266">
        <f t="shared" si="16"/>
        <v>0</v>
      </c>
      <c r="BH28" s="266">
        <f t="shared" si="16"/>
        <v>0</v>
      </c>
      <c r="BI28" s="267"/>
      <c r="BJ28" s="266">
        <f t="shared" ref="BJ28:BQ28" si="17">SUM(BJ7:BJ27)</f>
        <v>0</v>
      </c>
      <c r="BK28" s="266">
        <f t="shared" si="17"/>
        <v>0</v>
      </c>
      <c r="BL28" s="266">
        <f t="shared" si="17"/>
        <v>0</v>
      </c>
      <c r="BM28" s="266">
        <f t="shared" si="17"/>
        <v>0</v>
      </c>
      <c r="BN28" s="266">
        <f t="shared" si="17"/>
        <v>0</v>
      </c>
      <c r="BO28" s="266">
        <f t="shared" si="17"/>
        <v>0</v>
      </c>
      <c r="BP28" s="266">
        <f t="shared" si="17"/>
        <v>0</v>
      </c>
      <c r="BQ28" s="266">
        <f t="shared" si="17"/>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ht="15" customHeight="1" spans="1:83">
      <c r="A29" s="75" t="str">
        <f>参数表!F$6</f>
        <v>产权持有单位填表人：贾广东</v>
      </c>
      <c r="B29" s="158"/>
      <c r="C29" s="158"/>
      <c r="D29" s="158"/>
      <c r="E29" s="158" t="str">
        <f>"评估人员："&amp;封面!$G$24&amp;" "&amp;封面!$G$28</f>
        <v>评估人员：</v>
      </c>
      <c r="F29" s="158"/>
      <c r="G29" s="244"/>
    </row>
    <row r="30" ht="15" customHeight="1" spans="1:83">
      <c r="A30" s="75" t="str">
        <f>参数表!F$7</f>
        <v>填表日期：2025年9月20日</v>
      </c>
      <c r="B30" s="158"/>
      <c r="C30" s="158"/>
      <c r="D30" s="158"/>
      <c r="E30" s="158"/>
      <c r="F30" s="158"/>
    </row>
    <row r="31" customHeight="1" spans="1:83">
      <c r="A31" s="158"/>
      <c r="B31" s="158"/>
      <c r="C31" s="158"/>
      <c r="D31" s="158"/>
      <c r="E31" s="158"/>
      <c r="F31" s="158"/>
    </row>
    <row r="32" customHeight="1" spans="1:83">
      <c r="A32" s="158"/>
      <c r="B32" s="158"/>
      <c r="C32" s="158"/>
      <c r="D32" s="158"/>
      <c r="E32" s="158"/>
      <c r="F32" s="158"/>
    </row>
    <row r="33" customHeight="1" spans="1:6">
      <c r="A33" s="158"/>
      <c r="B33" s="158"/>
      <c r="C33" s="158"/>
      <c r="D33" s="158"/>
      <c r="E33" s="158"/>
      <c r="F33" s="158"/>
    </row>
    <row r="34" customHeight="1" spans="1:6">
      <c r="A34" s="158"/>
      <c r="B34" s="158"/>
      <c r="C34" s="158"/>
      <c r="D34" s="158"/>
      <c r="E34" s="158"/>
      <c r="F34" s="158"/>
    </row>
    <row r="35" customHeight="1" spans="1:6">
      <c r="A35" s="158"/>
      <c r="B35" s="158"/>
      <c r="C35" s="158"/>
      <c r="D35" s="158"/>
      <c r="E35" s="158"/>
      <c r="F35" s="158"/>
    </row>
    <row r="36" customHeight="1" spans="1:6">
      <c r="A36" s="158"/>
      <c r="B36" s="158"/>
      <c r="C36" s="158"/>
      <c r="D36" s="158"/>
      <c r="E36" s="158"/>
      <c r="F36" s="158"/>
    </row>
  </sheetData>
  <sheetProtection autoFilter="0"/>
  <mergeCells count="8">
    <mergeCell ref="A2:G2"/>
    <mergeCell ref="A3:G3"/>
    <mergeCell ref="BA4:BH4"/>
    <mergeCell ref="BJ4:BQ4"/>
    <mergeCell ref="BA5:BD5"/>
    <mergeCell ref="BE5:BH5"/>
    <mergeCell ref="BJ5:BM5"/>
    <mergeCell ref="BN5:BQ5"/>
  </mergeCells>
  <conditionalFormatting sqref="C7:G24">
    <cfRule type="expression" dxfId="3" priority="2">
      <formula>$D7+$E7=0</formula>
    </cfRule>
  </conditionalFormatting>
  <conditionalFormatting sqref="A25:G27">
    <cfRule type="expression" dxfId="3" priority="1">
      <formula>$D25+$E25=0</formula>
    </cfRule>
  </conditionalFormatting>
  <hyperlinks>
    <hyperlink ref="A1" location="索引目录!D28" display="返回索引页"/>
    <hyperlink ref="B1" location="非流动资产评估汇总!B21" display="返回"/>
    <hyperlink ref="B8" location="'投资性房地产-房屋公允模式'!B1" display="投资性房地产-房屋（采用公允模式计量）"/>
    <hyperlink ref="B10" location="'投资性地产-土地公允模式'!B1" display="投资性房地产-土地（采用公允模式计量）"/>
    <hyperlink ref="B7" location="'投资性房地产-房屋成本模式'!B1" display="投资性房地产-房屋（采用成本模式计量）"/>
    <hyperlink ref="B9" location="'投资性地产-土地成本模式'!B1" display="投资性房地产-土地（采用成本模式计量）"/>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
  <dimension ref="A1:CQ40"/>
  <sheetViews>
    <sheetView workbookViewId="0">
      <pane xSplit="6" ySplit="9" topLeftCell="G10"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5.1" style="688" customWidth="1"/>
    <col min="3" max="3" width="5.1" style="75" customWidth="1"/>
    <col min="4" max="4" width="10.7" style="75" customWidth="1" outlineLevel="1"/>
    <col min="5" max="5" width="4.7" style="165" customWidth="1" outlineLevel="1"/>
    <col min="6" max="6" width="9.6" style="75" customWidth="1"/>
    <col min="7" max="7" width="4.3" style="75" customWidth="1" outlineLevel="1"/>
    <col min="8" max="8" width="9" style="75" customWidth="1" outlineLevel="1"/>
    <col min="9" max="9" width="11.2" style="75" customWidth="1" outlineLevel="1"/>
    <col min="10" max="10" width="5.2" style="165" customWidth="1"/>
    <col min="11" max="11" width="5.7" style="75" customWidth="1" outlineLevel="1"/>
    <col min="12" max="13" width="5.5" style="75" customWidth="1" outlineLevel="1"/>
    <col min="14" max="18" width="5" style="75" customWidth="1" outlineLevel="1"/>
    <col min="19" max="19" width="5.2" style="75" customWidth="1" outlineLevel="1"/>
    <col min="20" max="20" width="5" style="75" customWidth="1" outlineLevel="1"/>
    <col min="21" max="21" width="5" style="165" customWidth="1" outlineLevel="1"/>
    <col min="22" max="22" width="5" style="937" customWidth="1" outlineLevel="1"/>
    <col min="23" max="23" width="5.2" style="165" customWidth="1"/>
    <col min="24" max="24" width="4.5" style="165" customWidth="1"/>
    <col min="25" max="25" width="6.1" style="75" customWidth="1"/>
    <col min="26" max="26" width="7" style="75" customWidth="1"/>
    <col min="27" max="28" width="4.6" style="75" customWidth="1" outlineLevel="1"/>
    <col min="29" max="31" width="6.1" style="75" customWidth="1" outlineLevel="1"/>
    <col min="32" max="34" width="10.6" style="75" customWidth="1" outlineLevel="1"/>
    <col min="35" max="37" width="10.6" style="76" customWidth="1" outlineLevel="1"/>
    <col min="38" max="39" width="9.7" style="75" customWidth="1"/>
    <col min="40" max="40" width="7.8" style="75" customWidth="1"/>
    <col min="41" max="41" width="9.7" style="75" customWidth="1"/>
    <col min="42" max="42" width="5.6" style="75" customWidth="1"/>
    <col min="43" max="43" width="9.7" style="75" customWidth="1"/>
    <col min="44" max="44" width="5.6" style="75" customWidth="1"/>
    <col min="45" max="45" width="7.7" style="75" customWidth="1"/>
    <col min="46" max="46" width="6.6" style="75" customWidth="1"/>
    <col min="47" max="47" width="15.2" style="75" customWidth="1"/>
    <col min="48" max="48" width="15.2" style="75" hidden="1" customWidth="1" outlineLevel="1"/>
    <col min="49" max="52" width="9" style="75" hidden="1" customWidth="1" outlineLevel="1"/>
    <col min="53" max="53" width="14.7" style="75" customWidth="1" collapsed="1"/>
    <col min="54" max="54" width="6.7" style="75" customWidth="1"/>
    <col min="55" max="56" width="5.1" style="75" customWidth="1"/>
    <col min="57" max="57" width="8.7" style="938" customWidth="1"/>
    <col min="58" max="59" width="10" style="75" customWidth="1"/>
    <col min="60" max="64" width="4.7" style="165" customWidth="1"/>
    <col min="65" max="65" width="10.3" style="75" customWidth="1"/>
    <col min="66" max="66" width="4.7" style="165" customWidth="1"/>
    <col min="67" max="67" width="9" style="75"/>
    <col min="68" max="68" width="8.8" style="165" customWidth="1"/>
    <col min="69" max="77" width="8.7" style="158" customWidth="1"/>
    <col min="78" max="78" width="8.7" style="228" customWidth="1"/>
    <col min="79" max="86" width="8.7" style="158" customWidth="1"/>
    <col min="87" max="87" width="1.6" style="77" customWidth="1"/>
    <col min="88" max="88" width="10.6" style="78" customWidth="1"/>
    <col min="89" max="89" width="10.6" style="77" customWidth="1"/>
    <col min="90" max="90" width="4.6" style="78" customWidth="1"/>
    <col min="91" max="91" width="10.6" style="78" customWidth="1"/>
    <col min="92" max="93" width="4.6" style="78" customWidth="1"/>
    <col min="94" max="94" width="10.6" style="78" customWidth="1"/>
    <col min="95" max="95" width="5" style="77" customWidth="1"/>
    <col min="96" max="16384" width="9" style="75"/>
  </cols>
  <sheetData>
    <row r="1" s="86" customFormat="1" ht="13.8" spans="1:95">
      <c r="A1" s="203" t="s">
        <v>1591</v>
      </c>
      <c r="B1" s="689"/>
      <c r="C1" s="204" t="s">
        <v>1592</v>
      </c>
      <c r="D1" s="204"/>
      <c r="E1" s="495"/>
      <c r="F1" s="82"/>
      <c r="G1" s="82"/>
      <c r="H1" s="82"/>
      <c r="I1" s="82"/>
      <c r="J1" s="82"/>
      <c r="K1" s="82"/>
      <c r="L1" s="82"/>
      <c r="M1" s="82"/>
      <c r="N1" s="82"/>
      <c r="O1" s="82"/>
      <c r="P1" s="82"/>
      <c r="Q1" s="82"/>
      <c r="R1" s="82"/>
      <c r="S1" s="82"/>
      <c r="T1" s="82"/>
      <c r="U1" s="82"/>
      <c r="V1" s="939"/>
      <c r="W1" s="82"/>
      <c r="X1" s="82"/>
      <c r="Y1" s="82"/>
      <c r="Z1" s="82"/>
      <c r="AA1" s="82"/>
      <c r="AB1" s="82"/>
      <c r="AC1" s="82"/>
      <c r="AD1" s="82"/>
      <c r="AE1" s="82"/>
      <c r="AF1" s="82"/>
      <c r="AG1" s="82"/>
      <c r="AH1" s="82"/>
      <c r="AI1" s="205"/>
      <c r="AJ1" s="205"/>
      <c r="AK1" s="205"/>
      <c r="AL1" s="82"/>
      <c r="AM1" s="82"/>
      <c r="AN1" s="82"/>
      <c r="AO1" s="82"/>
      <c r="AP1" s="82"/>
      <c r="AQ1" s="82"/>
      <c r="AR1" s="82"/>
      <c r="AS1" s="82"/>
      <c r="AT1" s="82"/>
      <c r="AU1" s="82"/>
      <c r="AV1" s="82"/>
      <c r="BA1" s="84" t="str">
        <f>参数表!BA1</f>
        <v>注意：补充特殊事项、作价等均从BA列开始填写</v>
      </c>
      <c r="BB1" s="85"/>
      <c r="BE1" s="940"/>
      <c r="BH1" s="82"/>
      <c r="BI1" s="82"/>
      <c r="BJ1" s="82"/>
      <c r="BK1" s="82"/>
      <c r="BL1" s="82"/>
      <c r="BN1" s="82"/>
      <c r="BP1" s="82"/>
      <c r="BZ1" s="82"/>
      <c r="CI1" s="87"/>
      <c r="CJ1" s="88"/>
      <c r="CK1" s="87"/>
      <c r="CL1" s="88"/>
      <c r="CM1" s="88"/>
      <c r="CN1" s="88"/>
      <c r="CO1" s="88"/>
      <c r="CP1" s="88"/>
      <c r="CQ1" s="87"/>
    </row>
    <row r="2" s="71" customFormat="1" ht="30" customHeight="1" spans="1:95">
      <c r="A2" s="89" t="s">
        <v>3667</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906"/>
      <c r="AV2" s="906"/>
      <c r="BA2" s="90" t="str">
        <f>参数表!BA2</f>
        <v>评估基准日：</v>
      </c>
      <c r="BB2" s="91" t="str">
        <f>参数表!BB2</f>
        <v>2025年7月31日</v>
      </c>
      <c r="BE2" s="941"/>
      <c r="BH2" s="171"/>
      <c r="BI2" s="171"/>
      <c r="BJ2" s="171"/>
      <c r="BK2" s="171"/>
      <c r="BL2" s="171"/>
      <c r="BN2" s="171"/>
      <c r="BP2" s="171"/>
      <c r="BQ2" s="235"/>
      <c r="BR2" s="235"/>
      <c r="BS2" s="235"/>
      <c r="BT2" s="235"/>
      <c r="BU2" s="235"/>
      <c r="BV2" s="235"/>
      <c r="BW2" s="235"/>
      <c r="BX2" s="235"/>
      <c r="BY2" s="235"/>
      <c r="BZ2" s="236"/>
      <c r="CA2" s="235"/>
      <c r="CB2" s="235"/>
      <c r="CC2" s="235"/>
      <c r="CD2" s="235"/>
      <c r="CE2" s="235"/>
      <c r="CF2" s="235"/>
      <c r="CG2" s="235"/>
      <c r="CH2" s="235"/>
      <c r="CI2" s="92"/>
      <c r="CJ2" s="88"/>
      <c r="CK2" s="87"/>
      <c r="CL2" s="88"/>
      <c r="CM2" s="88"/>
      <c r="CN2" s="88"/>
      <c r="CO2" s="88"/>
      <c r="CP2" s="88"/>
      <c r="CQ2" s="87"/>
    </row>
    <row r="3" s="71" customFormat="1" ht="15" customHeight="1" spans="1:95">
      <c r="A3" s="932" t="s">
        <v>3668</v>
      </c>
      <c r="B3" s="932"/>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c r="AC3" s="932"/>
      <c r="AD3" s="932"/>
      <c r="AE3" s="932"/>
      <c r="AF3" s="932"/>
      <c r="AG3" s="932"/>
      <c r="AH3" s="932"/>
      <c r="AI3" s="932"/>
      <c r="AJ3" s="932"/>
      <c r="AK3" s="932"/>
      <c r="AL3" s="932"/>
      <c r="AM3" s="932"/>
      <c r="AN3" s="932"/>
      <c r="AO3" s="932"/>
      <c r="AP3" s="932"/>
      <c r="AQ3" s="932"/>
      <c r="AR3" s="932"/>
      <c r="AS3" s="932"/>
      <c r="AT3" s="932"/>
      <c r="AU3" s="906"/>
      <c r="AV3" s="906"/>
      <c r="BA3" s="90" t="str">
        <f>参数表!BA3</f>
        <v>是否显示评估值：</v>
      </c>
      <c r="BB3" s="90" t="str">
        <f>参数表!BB3</f>
        <v>是</v>
      </c>
      <c r="BE3" s="941"/>
      <c r="BH3" s="171"/>
      <c r="BI3" s="171"/>
      <c r="BJ3" s="171"/>
      <c r="BK3" s="171"/>
      <c r="BL3" s="171"/>
      <c r="BN3" s="171"/>
      <c r="BP3" s="171"/>
      <c r="BQ3" s="235"/>
      <c r="BR3" s="235"/>
      <c r="BS3" s="235"/>
      <c r="BT3" s="235"/>
      <c r="BU3" s="235"/>
      <c r="BV3" s="235"/>
      <c r="BW3" s="235"/>
      <c r="BX3" s="235"/>
      <c r="BY3" s="235"/>
      <c r="BZ3" s="236"/>
      <c r="CA3" s="235"/>
      <c r="CB3" s="235"/>
      <c r="CC3" s="235"/>
      <c r="CD3" s="235"/>
      <c r="CE3" s="235"/>
      <c r="CF3" s="235"/>
      <c r="CG3" s="235"/>
      <c r="CH3" s="235"/>
      <c r="CI3" s="77"/>
      <c r="CJ3" s="88"/>
      <c r="CK3" s="87"/>
      <c r="CL3" s="88"/>
      <c r="CM3" s="88"/>
      <c r="CN3" s="88"/>
      <c r="CO3" s="88"/>
      <c r="CP3" s="88"/>
      <c r="CQ3" s="87"/>
    </row>
    <row r="4" ht="15" customHeight="1" spans="1:95">
      <c r="A4" s="94" t="str">
        <f>参数表!F5</f>
        <v>评估基准日：2025年7月31日</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BA4" s="95"/>
      <c r="BB4" s="100">
        <f>MAX(COUNTA(A9:A28),COUNTA(C9:C28),COUNTA(AF9:AF28),COUNTA(AG9:AG28))</f>
        <v>20</v>
      </c>
      <c r="BC4" s="101">
        <f>ROW(A8)+1</f>
        <v>9</v>
      </c>
      <c r="BD4" s="77"/>
      <c r="BE4" s="77"/>
      <c r="CJ4" s="93"/>
      <c r="CK4" s="92"/>
      <c r="CL4" s="93"/>
      <c r="CM4" s="93"/>
      <c r="CN4" s="93"/>
      <c r="CO4" s="93"/>
      <c r="CP4" s="93"/>
      <c r="CQ4" s="92"/>
    </row>
    <row r="5" ht="15" customHeight="1" spans="1:95">
      <c r="A5" s="96"/>
      <c r="B5" s="96"/>
      <c r="C5" s="94"/>
      <c r="D5" s="94"/>
      <c r="E5" s="94"/>
      <c r="F5" s="94"/>
      <c r="G5" s="94"/>
      <c r="H5" s="94"/>
      <c r="I5" s="94"/>
      <c r="J5" s="94"/>
      <c r="K5" s="94"/>
      <c r="L5" s="94"/>
      <c r="M5" s="94"/>
      <c r="N5" s="94"/>
      <c r="O5" s="94"/>
      <c r="P5" s="94"/>
      <c r="Q5" s="94"/>
      <c r="R5" s="94"/>
      <c r="S5" s="94"/>
      <c r="T5" s="94"/>
      <c r="U5" s="94"/>
      <c r="V5" s="746"/>
      <c r="W5" s="94"/>
      <c r="X5" s="94"/>
      <c r="Y5" s="94"/>
      <c r="Z5" s="94"/>
      <c r="AA5" s="94"/>
      <c r="AB5" s="94"/>
      <c r="AC5" s="94"/>
      <c r="AD5" s="94"/>
      <c r="AE5" s="94"/>
      <c r="AF5" s="94"/>
      <c r="AG5" s="94"/>
      <c r="AH5" s="94"/>
      <c r="AI5" s="97"/>
      <c r="AJ5" s="97"/>
      <c r="AK5" s="97"/>
      <c r="AL5" s="94"/>
      <c r="AM5" s="94"/>
      <c r="AN5" s="94"/>
      <c r="AO5" s="94"/>
      <c r="AP5" s="94"/>
      <c r="AQ5" s="94"/>
      <c r="AR5" s="94"/>
      <c r="AS5" s="94"/>
      <c r="AT5" s="98" t="str">
        <f>"表"&amp;$BA5</f>
        <v>表4-9-1</v>
      </c>
      <c r="BA5" s="274" t="str">
        <f>投资性房产总!A7</f>
        <v>4-9-1</v>
      </c>
      <c r="BB5" s="105" t="str">
        <f ca="1">判断表!C61</f>
        <v>中煤第五建设有限公司第三工程处拟处置实物资产项目\[0000-3基础法明细表.xlsx]投资-房屋成本</v>
      </c>
      <c r="BC5" s="106">
        <f>IFERROR(SUMIF(BC9:BC28,"√",AL9:AL28)/AL29,0)</f>
        <v>0</v>
      </c>
      <c r="BD5" s="107"/>
      <c r="BE5" s="107"/>
      <c r="CI5" s="111"/>
      <c r="CK5" s="78"/>
    </row>
    <row r="6" ht="15" customHeight="1" spans="1:95">
      <c r="A6" s="102" t="str">
        <f>参数表!F3</f>
        <v>产权持有单位:中煤第五建设有限公司</v>
      </c>
      <c r="B6" s="96"/>
      <c r="C6" s="103"/>
      <c r="D6" s="103"/>
      <c r="E6" s="95"/>
      <c r="F6" s="103"/>
      <c r="G6" s="103"/>
      <c r="H6" s="103"/>
      <c r="I6" s="103"/>
      <c r="J6" s="95"/>
      <c r="K6" s="103"/>
      <c r="L6" s="103"/>
      <c r="M6" s="103"/>
      <c r="N6" s="103"/>
      <c r="O6" s="103"/>
      <c r="P6" s="103"/>
      <c r="Q6" s="103"/>
      <c r="R6" s="103"/>
      <c r="S6" s="103"/>
      <c r="T6" s="103"/>
      <c r="U6" s="95"/>
      <c r="V6" s="746"/>
      <c r="W6" s="95"/>
      <c r="X6" s="95"/>
      <c r="Y6" s="103"/>
      <c r="Z6" s="103"/>
      <c r="AA6" s="103"/>
      <c r="AB6" s="103"/>
      <c r="AC6" s="103"/>
      <c r="AD6" s="103"/>
      <c r="AE6" s="103"/>
      <c r="AF6" s="103"/>
      <c r="AG6" s="103"/>
      <c r="AH6" s="103"/>
      <c r="AI6" s="104"/>
      <c r="AJ6" s="104"/>
      <c r="AK6" s="104"/>
      <c r="AL6" s="103"/>
      <c r="AM6" s="103"/>
      <c r="AN6" s="103"/>
      <c r="AO6" s="103"/>
      <c r="AP6" s="103"/>
      <c r="AQ6" s="103"/>
      <c r="AR6" s="103"/>
      <c r="AS6" s="103"/>
      <c r="AT6" s="98" t="s">
        <v>236</v>
      </c>
      <c r="BA6" s="103"/>
      <c r="BB6" s="100"/>
      <c r="BC6" s="100"/>
      <c r="BD6" s="100"/>
      <c r="BE6" s="100"/>
      <c r="BF6" s="108">
        <f>分类汇总!I31</f>
        <v>0</v>
      </c>
      <c r="BG6" s="108">
        <f>分类汇总!K31</f>
        <v>0</v>
      </c>
      <c r="BH6" s="109"/>
      <c r="BI6" s="109"/>
      <c r="BJ6" s="109"/>
      <c r="BK6" s="109"/>
      <c r="BL6" s="109"/>
      <c r="BM6" s="110"/>
      <c r="BN6" s="109"/>
      <c r="BO6" s="110"/>
      <c r="BP6" s="109"/>
      <c r="CI6" s="119"/>
      <c r="CK6" s="78"/>
    </row>
    <row r="7" s="72" customFormat="1" ht="15" customHeight="1" spans="1:95">
      <c r="A7" s="195" t="s">
        <v>305</v>
      </c>
      <c r="B7" s="934" t="s">
        <v>3669</v>
      </c>
      <c r="C7" s="208" t="s">
        <v>3670</v>
      </c>
      <c r="D7" s="210" t="s">
        <v>3671</v>
      </c>
      <c r="E7" s="209" t="s">
        <v>3672</v>
      </c>
      <c r="F7" s="149" t="s">
        <v>3673</v>
      </c>
      <c r="G7" s="149" t="s">
        <v>3674</v>
      </c>
      <c r="H7" s="149" t="s">
        <v>3675</v>
      </c>
      <c r="I7" s="149" t="s">
        <v>3676</v>
      </c>
      <c r="J7" s="113" t="s">
        <v>3677</v>
      </c>
      <c r="K7" s="118" t="s">
        <v>3678</v>
      </c>
      <c r="L7" s="118" t="s">
        <v>3679</v>
      </c>
      <c r="M7" s="118" t="s">
        <v>3680</v>
      </c>
      <c r="N7" s="528" t="s">
        <v>3681</v>
      </c>
      <c r="O7" s="528" t="s">
        <v>3682</v>
      </c>
      <c r="P7" s="118" t="s">
        <v>3683</v>
      </c>
      <c r="Q7" s="118" t="s">
        <v>3684</v>
      </c>
      <c r="R7" s="118" t="s">
        <v>3685</v>
      </c>
      <c r="S7" s="118" t="s">
        <v>3686</v>
      </c>
      <c r="T7" s="118" t="s">
        <v>3687</v>
      </c>
      <c r="U7" s="193" t="s">
        <v>3688</v>
      </c>
      <c r="V7" s="529" t="s">
        <v>3689</v>
      </c>
      <c r="W7" s="118" t="s">
        <v>3690</v>
      </c>
      <c r="X7" s="684" t="s">
        <v>2176</v>
      </c>
      <c r="Y7" s="684" t="s">
        <v>3691</v>
      </c>
      <c r="Z7" s="118" t="s">
        <v>3692</v>
      </c>
      <c r="AA7" s="511" t="s">
        <v>1964</v>
      </c>
      <c r="AB7" s="512"/>
      <c r="AC7" s="512"/>
      <c r="AD7" s="512"/>
      <c r="AE7" s="513"/>
      <c r="AF7" s="514" t="s">
        <v>1549</v>
      </c>
      <c r="AG7" s="189"/>
      <c r="AH7" s="190"/>
      <c r="AI7" s="515" t="s">
        <v>1634</v>
      </c>
      <c r="AJ7" s="516"/>
      <c r="AK7" s="517"/>
      <c r="AL7" s="514" t="s">
        <v>1523</v>
      </c>
      <c r="AM7" s="189"/>
      <c r="AN7" s="190"/>
      <c r="AO7" s="113" t="s">
        <v>1550</v>
      </c>
      <c r="AP7" s="113"/>
      <c r="AQ7" s="113"/>
      <c r="AR7" s="118" t="s">
        <v>1551</v>
      </c>
      <c r="AS7" s="118" t="s">
        <v>3693</v>
      </c>
      <c r="AT7" s="118" t="s">
        <v>308</v>
      </c>
      <c r="AU7" s="909" t="s">
        <v>3694</v>
      </c>
      <c r="AV7" s="349"/>
      <c r="BA7" s="191"/>
      <c r="BB7" s="100"/>
      <c r="BC7" s="100"/>
      <c r="BD7" s="100"/>
      <c r="BE7" s="100"/>
      <c r="BF7" s="192" t="s">
        <v>1639</v>
      </c>
      <c r="BG7" s="192" t="s">
        <v>1640</v>
      </c>
      <c r="BH7" s="118" t="s">
        <v>1748</v>
      </c>
      <c r="BI7" s="118" t="s">
        <v>3695</v>
      </c>
      <c r="BJ7" s="118" t="s">
        <v>1712</v>
      </c>
      <c r="BK7" s="118" t="s">
        <v>3696</v>
      </c>
      <c r="BL7" s="118" t="s">
        <v>1641</v>
      </c>
      <c r="BM7" s="118" t="s">
        <v>2209</v>
      </c>
      <c r="BN7" s="118" t="s">
        <v>3697</v>
      </c>
      <c r="BO7" s="118" t="s">
        <v>1644</v>
      </c>
      <c r="BP7" s="191"/>
      <c r="BQ7" s="191" t="s">
        <v>3698</v>
      </c>
      <c r="BR7" s="191"/>
      <c r="BS7" s="743">
        <f>参数表!$E$15</f>
        <v>0</v>
      </c>
      <c r="BT7" s="780"/>
      <c r="BU7" s="780"/>
      <c r="BV7" s="780"/>
      <c r="BW7" s="780"/>
      <c r="BX7" s="191"/>
      <c r="BY7" s="191"/>
      <c r="BZ7" s="910">
        <v>1</v>
      </c>
      <c r="CA7" s="780"/>
      <c r="CB7" s="191"/>
      <c r="CC7" s="191"/>
      <c r="CD7" s="642" t="str">
        <f>$BB$2</f>
        <v>2025年7月31日</v>
      </c>
      <c r="CE7" s="781"/>
      <c r="CF7" s="191">
        <v>0.4</v>
      </c>
      <c r="CG7" s="191">
        <v>0.6</v>
      </c>
      <c r="CH7" s="191"/>
      <c r="CI7" s="77"/>
      <c r="CJ7" s="78"/>
      <c r="CK7" s="78"/>
      <c r="CL7" s="78"/>
      <c r="CM7" s="78"/>
      <c r="CN7" s="78"/>
      <c r="CO7" s="78"/>
      <c r="CP7" s="194"/>
      <c r="CQ7" s="111"/>
    </row>
    <row r="8" s="72" customFormat="1" ht="15" customHeight="1" spans="1:95">
      <c r="A8" s="195"/>
      <c r="B8" s="935"/>
      <c r="C8" s="208"/>
      <c r="D8" s="769"/>
      <c r="E8" s="695"/>
      <c r="F8" s="149"/>
      <c r="G8" s="149"/>
      <c r="H8" s="149"/>
      <c r="I8" s="149"/>
      <c r="J8" s="113"/>
      <c r="K8" s="113"/>
      <c r="L8" s="113"/>
      <c r="M8" s="118"/>
      <c r="N8" s="528"/>
      <c r="O8" s="528"/>
      <c r="P8" s="113"/>
      <c r="Q8" s="113"/>
      <c r="R8" s="113"/>
      <c r="S8" s="113"/>
      <c r="T8" s="113"/>
      <c r="U8" s="198"/>
      <c r="V8" s="532"/>
      <c r="W8" s="113"/>
      <c r="X8" s="684"/>
      <c r="Y8" s="684"/>
      <c r="Z8" s="113"/>
      <c r="AA8" s="519" t="s">
        <v>1968</v>
      </c>
      <c r="AB8" s="519" t="s">
        <v>1969</v>
      </c>
      <c r="AC8" s="519" t="s">
        <v>3699</v>
      </c>
      <c r="AD8" s="519" t="s">
        <v>3700</v>
      </c>
      <c r="AE8" s="149" t="s">
        <v>3701</v>
      </c>
      <c r="AF8" s="113" t="s">
        <v>1556</v>
      </c>
      <c r="AG8" s="113" t="s">
        <v>1557</v>
      </c>
      <c r="AH8" s="113" t="s">
        <v>3702</v>
      </c>
      <c r="AI8" s="117" t="s">
        <v>3703</v>
      </c>
      <c r="AJ8" s="117" t="s">
        <v>3704</v>
      </c>
      <c r="AK8" s="117" t="s">
        <v>3705</v>
      </c>
      <c r="AL8" s="113" t="s">
        <v>1556</v>
      </c>
      <c r="AM8" s="113" t="s">
        <v>1557</v>
      </c>
      <c r="AN8" s="113" t="s">
        <v>3702</v>
      </c>
      <c r="AO8" s="113" t="s">
        <v>1556</v>
      </c>
      <c r="AP8" s="149" t="s">
        <v>2753</v>
      </c>
      <c r="AQ8" s="113" t="s">
        <v>1557</v>
      </c>
      <c r="AR8" s="113"/>
      <c r="AS8" s="118"/>
      <c r="AT8" s="113"/>
      <c r="AU8" s="912"/>
      <c r="BA8" s="100" t="s">
        <v>1545</v>
      </c>
      <c r="BB8" s="100" t="s">
        <v>1635</v>
      </c>
      <c r="BC8" s="100" t="s">
        <v>1636</v>
      </c>
      <c r="BD8" s="100" t="s">
        <v>1637</v>
      </c>
      <c r="BE8" s="100" t="s">
        <v>1638</v>
      </c>
      <c r="BF8" s="197"/>
      <c r="BG8" s="197"/>
      <c r="BH8" s="118"/>
      <c r="BI8" s="118"/>
      <c r="BJ8" s="118"/>
      <c r="BK8" s="118"/>
      <c r="BL8" s="118"/>
      <c r="BM8" s="118"/>
      <c r="BN8" s="118"/>
      <c r="BO8" s="118"/>
      <c r="BP8" s="520" t="s">
        <v>2667</v>
      </c>
      <c r="BQ8" s="184" t="s">
        <v>3706</v>
      </c>
      <c r="BR8" s="184" t="s">
        <v>3707</v>
      </c>
      <c r="BS8" s="184" t="s">
        <v>2757</v>
      </c>
      <c r="BT8" s="783" t="s">
        <v>3708</v>
      </c>
      <c r="BU8" s="841" t="s">
        <v>3709</v>
      </c>
      <c r="BV8" s="841" t="s">
        <v>3710</v>
      </c>
      <c r="BW8" s="783" t="s">
        <v>3711</v>
      </c>
      <c r="BX8" s="184" t="s">
        <v>3712</v>
      </c>
      <c r="BY8" s="184" t="s">
        <v>3713</v>
      </c>
      <c r="BZ8" s="784" t="s">
        <v>3714</v>
      </c>
      <c r="CA8" s="783" t="s">
        <v>3715</v>
      </c>
      <c r="CB8" s="184" t="s">
        <v>3716</v>
      </c>
      <c r="CC8" s="184" t="s">
        <v>3717</v>
      </c>
      <c r="CD8" s="184" t="s">
        <v>2761</v>
      </c>
      <c r="CE8" s="784" t="s">
        <v>2763</v>
      </c>
      <c r="CF8" s="184" t="s">
        <v>3718</v>
      </c>
      <c r="CG8" s="184" t="s">
        <v>3719</v>
      </c>
      <c r="CH8" s="184" t="s">
        <v>3720</v>
      </c>
      <c r="CI8" s="77"/>
      <c r="CJ8" s="120" t="s">
        <v>1645</v>
      </c>
      <c r="CK8" s="121" t="s">
        <v>1646</v>
      </c>
      <c r="CL8" s="121" t="s">
        <v>1647</v>
      </c>
      <c r="CM8" s="121" t="s">
        <v>1648</v>
      </c>
      <c r="CN8" s="121" t="s">
        <v>1647</v>
      </c>
      <c r="CO8" s="121" t="s">
        <v>1647</v>
      </c>
      <c r="CP8" s="121" t="s">
        <v>1649</v>
      </c>
      <c r="CQ8" s="122" t="s">
        <v>1650</v>
      </c>
    </row>
    <row r="9" ht="15" customHeight="1" spans="1:95">
      <c r="A9" s="123" t="str">
        <f>IF(F9="","",COUNT(A$8:A8)+1)</f>
        <v/>
      </c>
      <c r="B9" s="123"/>
      <c r="C9" s="124"/>
      <c r="D9" s="124"/>
      <c r="E9" s="126"/>
      <c r="F9" s="124"/>
      <c r="G9" s="124"/>
      <c r="H9" s="124"/>
      <c r="I9" s="124"/>
      <c r="J9" s="126"/>
      <c r="K9" s="126"/>
      <c r="L9" s="126"/>
      <c r="M9" s="126"/>
      <c r="N9" s="126"/>
      <c r="O9" s="126"/>
      <c r="P9" s="126"/>
      <c r="Q9" s="126"/>
      <c r="R9" s="126"/>
      <c r="S9" s="124"/>
      <c r="T9" s="125"/>
      <c r="U9" s="126"/>
      <c r="V9" s="533"/>
      <c r="W9" s="125"/>
      <c r="X9" s="125"/>
      <c r="Y9" s="129"/>
      <c r="Z9" s="129" t="str">
        <f>IFERROR(AF9/Y9,"")</f>
        <v/>
      </c>
      <c r="AA9" s="127"/>
      <c r="AB9" s="127" t="str">
        <f>IFERROR(VLOOKUP(AA9,参数表!$H$2:$I$50,2,FALSE),"")</f>
        <v/>
      </c>
      <c r="AC9" s="128" t="str">
        <f>IFERROR(IF(OR(AA9="人民币",AA9=""),"",AL9/AB9),"")</f>
        <v/>
      </c>
      <c r="AD9" s="128" t="str">
        <f>IFERROR(IF(OR(AA9="人民币",AA9=""),"",AM9/AB9),"")</f>
        <v/>
      </c>
      <c r="AE9" s="129" t="str">
        <f>IFERROR(IF(OR(AA9="人民币",AA9=""),"",AN9/AB9),"")</f>
        <v/>
      </c>
      <c r="AF9" s="129"/>
      <c r="AG9" s="129"/>
      <c r="AH9" s="129"/>
      <c r="AI9" s="130"/>
      <c r="AJ9" s="130"/>
      <c r="AK9" s="130"/>
      <c r="AL9" s="129" t="str">
        <f>IF(F9="","",AF9+AI9)</f>
        <v/>
      </c>
      <c r="AM9" s="129" t="str">
        <f>IF(F9="","",AG9+AJ9)</f>
        <v/>
      </c>
      <c r="AN9" s="129" t="str">
        <f>IF(F9="","",AH9+AK9)</f>
        <v/>
      </c>
      <c r="AO9" s="129" t="str">
        <f t="shared" ref="AO9:AO28" si="0">IF(C9="","",IFERROR(IF($BB$3="是",Y9*AS9,""),""))</f>
        <v/>
      </c>
      <c r="AP9" s="521" t="str">
        <f t="shared" ref="AP9:AP28" si="1">IF(C9="","",IF($BB$3="是",IF(BP9="成本法",MAX(30,CH9*100),""),""))</f>
        <v/>
      </c>
      <c r="AQ9" s="129" t="str">
        <f>IFERROR(IF(AP9="",AO9,ROUND(AO9*AP9/100,0)),"")</f>
        <v/>
      </c>
      <c r="AR9" s="129" t="str">
        <f>IFERROR((AQ9-(AM9-AN9))/(AM9-AN9)*100,"")</f>
        <v/>
      </c>
      <c r="AS9" s="129" t="str">
        <f t="shared" ref="AS9:AS28" si="2">IF(AO9="","",IF($BB$3="是",IF(BP9="成本法",BQ9,BR9),""))</f>
        <v/>
      </c>
      <c r="AT9" s="124"/>
      <c r="AU9" s="913"/>
      <c r="AV9" s="942"/>
      <c r="BA9" s="78"/>
      <c r="BB9" s="132" t="s">
        <v>3721</v>
      </c>
      <c r="BC9" s="133"/>
      <c r="BD9" s="132" t="str">
        <f>IF(OR(F9="",BC9=""),"",COUNTIF(BC$9:BC9,"√"))</f>
        <v/>
      </c>
      <c r="BE9" s="134" t="str">
        <f t="shared" ref="BE9:BE28" si="3">IF(FD9="","",BB9&amp;"︱"&amp;F9&amp;"︱"&amp;TEXT(AF9,"#,##0.00"))</f>
        <v/>
      </c>
      <c r="BF9" s="135" t="str">
        <f>IF($C9="","",IF(BF$5=0,"OK","出错"))</f>
        <v/>
      </c>
      <c r="BG9" s="135" t="str">
        <f>IF($C9="","",IF(BG$5=0,"OK","出错"))</f>
        <v/>
      </c>
      <c r="BH9" s="136"/>
      <c r="BI9" s="136"/>
      <c r="BJ9" s="136"/>
      <c r="BK9" s="136"/>
      <c r="BL9" s="136"/>
      <c r="BM9" s="137"/>
      <c r="BN9" s="136"/>
      <c r="BO9" s="137"/>
      <c r="BP9" s="165" t="s">
        <v>2706</v>
      </c>
      <c r="BQ9" s="223"/>
      <c r="BR9" s="156">
        <f t="shared" ref="BR9:BR28" si="4">X9*BQ9</f>
        <v>0</v>
      </c>
      <c r="BS9" s="156">
        <f>BR9/(1+BS$7)*BS$7</f>
        <v>0</v>
      </c>
      <c r="BT9" s="776"/>
      <c r="BU9" s="776"/>
      <c r="BV9" s="776"/>
      <c r="BW9" s="851">
        <f>BR9*BT9+Y9*BV9</f>
        <v>0</v>
      </c>
      <c r="BX9" s="156">
        <f>BS9+BR9*(BT9-BU9)/1.06*6%</f>
        <v>0</v>
      </c>
      <c r="BY9" s="156">
        <f>BR9+BW9</f>
        <v>0</v>
      </c>
      <c r="BZ9" s="156">
        <f>BZ$7</f>
        <v>1</v>
      </c>
      <c r="CA9" s="658">
        <f>LOOKUP(BZ9,参数表!$A$13:$B$19)</f>
        <v>0</v>
      </c>
      <c r="CB9" s="156">
        <f>BY9*BZ9*CA9/2</f>
        <v>0</v>
      </c>
      <c r="CC9" s="156">
        <f>ROUND(BY9+CB9-BX9,-2)</f>
        <v>0</v>
      </c>
      <c r="CD9" s="156">
        <f>(CD$7-V9)/365.25</f>
        <v>125.582477754962</v>
      </c>
      <c r="CE9" s="223"/>
      <c r="CF9" s="746">
        <f>IFERROR(ROUND(1-CD9/CE9,2),0)</f>
        <v>0</v>
      </c>
      <c r="CG9" s="746">
        <f>CF9</f>
        <v>0</v>
      </c>
      <c r="CH9" s="746">
        <f>ROUND(IF(ABS(CG9-CF9)&gt;5%,CG9,CF9*CF$7+CG9*CG$7),2)</f>
        <v>0</v>
      </c>
      <c r="CJ9" s="134" t="str">
        <f>IF(COUNTIF(CJ$8:CJ8,F9)&gt;0,"",F9)&amp;""</f>
        <v/>
      </c>
      <c r="CK9" s="138">
        <f>SUMIF(F$9:F$28,CJ9,AL$9:AL$28)</f>
        <v>0</v>
      </c>
      <c r="CL9" s="132">
        <f t="shared" ref="CL9" si="5">RANK(CK9,CK$9:CK$28)</f>
        <v>1</v>
      </c>
      <c r="CM9" s="138">
        <f>SUMIF(F$9:F$28,CJ9,AO$9:AO$28)</f>
        <v>0</v>
      </c>
      <c r="CN9" s="132">
        <f>RANK(CM9,CM$9:CM$28)</f>
        <v>1</v>
      </c>
      <c r="CO9" s="138">
        <f>SUM(CK9:CK28)</f>
        <v>0</v>
      </c>
      <c r="CP9" s="138"/>
      <c r="CQ9" s="138"/>
    </row>
    <row r="10" ht="15" customHeight="1" spans="1:95">
      <c r="A10" s="123" t="str">
        <f>IF(F10="","",COUNT(A$8:A9)+1)</f>
        <v/>
      </c>
      <c r="B10" s="141"/>
      <c r="C10" s="139"/>
      <c r="D10" s="139"/>
      <c r="E10" s="141"/>
      <c r="F10" s="139"/>
      <c r="G10" s="139"/>
      <c r="H10" s="535"/>
      <c r="I10" s="535"/>
      <c r="J10" s="141"/>
      <c r="K10" s="914"/>
      <c r="L10" s="914"/>
      <c r="M10" s="914"/>
      <c r="N10" s="914"/>
      <c r="O10" s="914"/>
      <c r="P10" s="914"/>
      <c r="Q10" s="914"/>
      <c r="R10" s="914"/>
      <c r="S10" s="535"/>
      <c r="T10" s="915"/>
      <c r="U10" s="141"/>
      <c r="V10" s="536"/>
      <c r="W10" s="140"/>
      <c r="X10" s="140"/>
      <c r="Y10" s="143"/>
      <c r="Z10" s="129" t="str">
        <f t="shared" ref="Z10:Z28" si="6">IFERROR(AF10/Y10,"")</f>
        <v/>
      </c>
      <c r="AA10" s="142"/>
      <c r="AB10" s="127" t="str">
        <f>IFERROR(VLOOKUP(AA10,参数表!$H$2:$I$50,2,FALSE),"")</f>
        <v/>
      </c>
      <c r="AC10" s="128" t="str">
        <f t="shared" ref="AC10:AC28" si="7">IFERROR(IF(OR(AA10="人民币",AA10=""),"",AL10/AB10),"")</f>
        <v/>
      </c>
      <c r="AD10" s="128" t="str">
        <f t="shared" ref="AD10:AD28" si="8">IFERROR(IF(OR(AA10="人民币",AA10=""),"",AM10/AB10),"")</f>
        <v/>
      </c>
      <c r="AE10" s="129" t="str">
        <f t="shared" ref="AE10:AE28" si="9">IFERROR(IF(OR(AA10="人民币",AA10=""),"",AN10/AB10),"")</f>
        <v/>
      </c>
      <c r="AF10" s="143"/>
      <c r="AG10" s="143"/>
      <c r="AH10" s="143"/>
      <c r="AI10" s="144"/>
      <c r="AJ10" s="144"/>
      <c r="AK10" s="144"/>
      <c r="AL10" s="129" t="str">
        <f t="shared" ref="AL10:AL28" si="10">IF(F10="","",AF10+AI10)</f>
        <v/>
      </c>
      <c r="AM10" s="129" t="str">
        <f t="shared" ref="AM10:AM28" si="11">IF(F10="","",AG10+AJ10)</f>
        <v/>
      </c>
      <c r="AN10" s="129" t="str">
        <f t="shared" ref="AN10:AN28" si="12">IF(F10="","",AH10+AK10)</f>
        <v/>
      </c>
      <c r="AO10" s="129" t="str">
        <f t="shared" si="0"/>
        <v/>
      </c>
      <c r="AP10" s="521" t="str">
        <f t="shared" si="1"/>
        <v/>
      </c>
      <c r="AQ10" s="129" t="str">
        <f t="shared" ref="AQ10:AQ28" si="13">IFERROR(IF(AP10="",AO10,ROUND(AO10*AP10/100,0)),"")</f>
        <v/>
      </c>
      <c r="AR10" s="129" t="str">
        <f t="shared" ref="AR10:AR31" si="14">IFERROR((AQ10-(AM10-AN10))/(AM10-AN10)*100,"")</f>
        <v/>
      </c>
      <c r="AS10" s="129" t="str">
        <f t="shared" si="2"/>
        <v/>
      </c>
      <c r="AT10" s="139"/>
      <c r="AU10" s="913"/>
      <c r="AV10" s="942"/>
      <c r="BA10" s="78"/>
      <c r="BB10" s="132" t="s">
        <v>3722</v>
      </c>
      <c r="BC10" s="133"/>
      <c r="BD10" s="132" t="str">
        <f>IF(OR(F10="",BC10=""),"",COUNTIF(BC$9:BC10,"√"))</f>
        <v/>
      </c>
      <c r="BE10" s="134" t="str">
        <f t="shared" si="3"/>
        <v/>
      </c>
      <c r="BF10" s="135" t="str">
        <f t="shared" ref="BF10:BG28" si="15">IF($C10="","",IF(BF$5=0,"OK","出错"))</f>
        <v/>
      </c>
      <c r="BG10" s="135" t="str">
        <f t="shared" si="15"/>
        <v/>
      </c>
      <c r="BH10" s="136"/>
      <c r="BI10" s="136"/>
      <c r="BJ10" s="136"/>
      <c r="BK10" s="136"/>
      <c r="BL10" s="136"/>
      <c r="BM10" s="137"/>
      <c r="BN10" s="136"/>
      <c r="BO10" s="137"/>
      <c r="BP10" s="165" t="s">
        <v>2706</v>
      </c>
      <c r="BQ10" s="223"/>
      <c r="BR10" s="156">
        <f t="shared" si="4"/>
        <v>0</v>
      </c>
      <c r="BS10" s="156">
        <f t="shared" ref="BS10:BS28" si="16">BR10/(1+BS$7)*BS$7</f>
        <v>0</v>
      </c>
      <c r="BT10" s="776"/>
      <c r="BU10" s="776"/>
      <c r="BV10" s="776"/>
      <c r="BW10" s="851">
        <f t="shared" ref="BW10:BW28" si="17">BR10*BT10+Y10*BV10</f>
        <v>0</v>
      </c>
      <c r="BX10" s="156">
        <f t="shared" ref="BX10:BX28" si="18">BS10+BR10*(BT10-BU10)/1.06*6%</f>
        <v>0</v>
      </c>
      <c r="BY10" s="156">
        <f t="shared" ref="BY10:BY28" si="19">BR10+BW10</f>
        <v>0</v>
      </c>
      <c r="BZ10" s="156">
        <f t="shared" ref="BZ10:BZ28" si="20">BZ$7</f>
        <v>1</v>
      </c>
      <c r="CA10" s="658">
        <f>LOOKUP(BZ10,参数表!$A$13:$B$19)</f>
        <v>0</v>
      </c>
      <c r="CB10" s="156">
        <f t="shared" ref="CB10:CB28" si="21">BY10*BZ10*CA10/2</f>
        <v>0</v>
      </c>
      <c r="CC10" s="156">
        <f t="shared" ref="CC10:CC28" si="22">ROUND(BY10+CB10-BX10,-2)</f>
        <v>0</v>
      </c>
      <c r="CD10" s="156">
        <f t="shared" ref="CD10:CD28" si="23">(CD$7-V10)/365.25</f>
        <v>125.582477754962</v>
      </c>
      <c r="CE10" s="223"/>
      <c r="CF10" s="746">
        <f t="shared" ref="CF10:CF28" si="24">IFERROR(ROUND(1-CD10/CE10,2),0)</f>
        <v>0</v>
      </c>
      <c r="CG10" s="746">
        <f t="shared" ref="CG10:CG28" si="25">CF10</f>
        <v>0</v>
      </c>
      <c r="CH10" s="746">
        <f t="shared" ref="CH10:CH28" si="26">ROUND(IF(ABS(CG10-CF10)&gt;5%,CG10,CF10*CF$7+CG10*CG$7),2)</f>
        <v>0</v>
      </c>
      <c r="CJ10" s="134" t="str">
        <f>IF(COUNTIF(CJ$8:CJ9,F10)&gt;0,"",F10)&amp;""</f>
        <v/>
      </c>
      <c r="CK10" s="138">
        <f t="shared" ref="CK10:CK28" si="27">SUMIF(F$9:F$28,CJ10,AL$9:AL$28)</f>
        <v>0</v>
      </c>
      <c r="CL10" s="132">
        <f t="shared" ref="CL10:CL28" si="28">RANK(CK10,CK$9:CK$28)</f>
        <v>1</v>
      </c>
      <c r="CM10" s="138">
        <f t="shared" ref="CM10:CM28" si="29">SUMIF(F$9:F$28,CJ10,AO$9:AO$28)</f>
        <v>0</v>
      </c>
      <c r="CN10" s="132">
        <f t="shared" ref="CN10:CN28" si="30">RANK(CM10,CM$9:CM$28)</f>
        <v>1</v>
      </c>
      <c r="CO10" s="138">
        <f>SUM(CM9:CM28)</f>
        <v>0</v>
      </c>
      <c r="CP10" s="138"/>
      <c r="CQ10" s="138"/>
    </row>
    <row r="11" ht="15" customHeight="1" spans="1:95">
      <c r="A11" s="123" t="str">
        <f>IF(F11="","",COUNT(A$8:A10)+1)</f>
        <v/>
      </c>
      <c r="B11" s="141"/>
      <c r="C11" s="139"/>
      <c r="D11" s="139"/>
      <c r="E11" s="141"/>
      <c r="F11" s="139"/>
      <c r="G11" s="139"/>
      <c r="H11" s="535"/>
      <c r="I11" s="535"/>
      <c r="J11" s="141"/>
      <c r="K11" s="914"/>
      <c r="L11" s="914"/>
      <c r="M11" s="914"/>
      <c r="N11" s="914"/>
      <c r="O11" s="914"/>
      <c r="P11" s="914"/>
      <c r="Q11" s="914"/>
      <c r="R11" s="914"/>
      <c r="S11" s="535"/>
      <c r="T11" s="915"/>
      <c r="U11" s="141"/>
      <c r="V11" s="536"/>
      <c r="W11" s="140"/>
      <c r="X11" s="140"/>
      <c r="Y11" s="143"/>
      <c r="Z11" s="129" t="str">
        <f t="shared" si="6"/>
        <v/>
      </c>
      <c r="AA11" s="142"/>
      <c r="AB11" s="127" t="str">
        <f>IFERROR(VLOOKUP(AA11,参数表!$H$2:$I$50,2,FALSE),"")</f>
        <v/>
      </c>
      <c r="AC11" s="128" t="str">
        <f t="shared" si="7"/>
        <v/>
      </c>
      <c r="AD11" s="128" t="str">
        <f t="shared" si="8"/>
        <v/>
      </c>
      <c r="AE11" s="129" t="str">
        <f t="shared" si="9"/>
        <v/>
      </c>
      <c r="AF11" s="143"/>
      <c r="AG11" s="143"/>
      <c r="AH11" s="143"/>
      <c r="AI11" s="144"/>
      <c r="AJ11" s="144"/>
      <c r="AK11" s="144"/>
      <c r="AL11" s="129" t="str">
        <f t="shared" si="10"/>
        <v/>
      </c>
      <c r="AM11" s="129" t="str">
        <f t="shared" si="11"/>
        <v/>
      </c>
      <c r="AN11" s="129" t="str">
        <f t="shared" si="12"/>
        <v/>
      </c>
      <c r="AO11" s="129" t="str">
        <f t="shared" si="0"/>
        <v/>
      </c>
      <c r="AP11" s="521" t="str">
        <f t="shared" si="1"/>
        <v/>
      </c>
      <c r="AQ11" s="129" t="str">
        <f t="shared" si="13"/>
        <v/>
      </c>
      <c r="AR11" s="129" t="str">
        <f t="shared" si="14"/>
        <v/>
      </c>
      <c r="AS11" s="129" t="str">
        <f t="shared" si="2"/>
        <v/>
      </c>
      <c r="AT11" s="139"/>
      <c r="AU11" s="913"/>
      <c r="AV11" s="942"/>
      <c r="BA11" s="78"/>
      <c r="BB11" s="132" t="s">
        <v>3723</v>
      </c>
      <c r="BC11" s="133"/>
      <c r="BD11" s="132" t="str">
        <f>IF(OR(F11="",BC11=""),"",COUNTIF(BC$9:BC11,"√"))</f>
        <v/>
      </c>
      <c r="BE11" s="134" t="str">
        <f t="shared" si="3"/>
        <v/>
      </c>
      <c r="BF11" s="135" t="str">
        <f t="shared" si="15"/>
        <v/>
      </c>
      <c r="BG11" s="135" t="str">
        <f t="shared" si="15"/>
        <v/>
      </c>
      <c r="BH11" s="136"/>
      <c r="BI11" s="136"/>
      <c r="BJ11" s="136"/>
      <c r="BK11" s="136"/>
      <c r="BL11" s="136"/>
      <c r="BM11" s="137"/>
      <c r="BN11" s="136"/>
      <c r="BO11" s="137"/>
      <c r="BP11" s="165" t="s">
        <v>2706</v>
      </c>
      <c r="BQ11" s="223"/>
      <c r="BR11" s="156">
        <f t="shared" si="4"/>
        <v>0</v>
      </c>
      <c r="BS11" s="156">
        <f t="shared" si="16"/>
        <v>0</v>
      </c>
      <c r="BT11" s="776"/>
      <c r="BU11" s="776"/>
      <c r="BV11" s="776"/>
      <c r="BW11" s="851">
        <f t="shared" si="17"/>
        <v>0</v>
      </c>
      <c r="BX11" s="156">
        <f t="shared" si="18"/>
        <v>0</v>
      </c>
      <c r="BY11" s="156">
        <f t="shared" si="19"/>
        <v>0</v>
      </c>
      <c r="BZ11" s="156">
        <f t="shared" si="20"/>
        <v>1</v>
      </c>
      <c r="CA11" s="658">
        <f>LOOKUP(BZ11,参数表!$A$13:$B$19)</f>
        <v>0</v>
      </c>
      <c r="CB11" s="156">
        <f t="shared" si="21"/>
        <v>0</v>
      </c>
      <c r="CC11" s="156">
        <f t="shared" si="22"/>
        <v>0</v>
      </c>
      <c r="CD11" s="156">
        <f t="shared" si="23"/>
        <v>125.582477754962</v>
      </c>
      <c r="CE11" s="223"/>
      <c r="CF11" s="746">
        <f t="shared" si="24"/>
        <v>0</v>
      </c>
      <c r="CG11" s="746">
        <f t="shared" si="25"/>
        <v>0</v>
      </c>
      <c r="CH11" s="746">
        <f t="shared" si="26"/>
        <v>0</v>
      </c>
      <c r="CJ11" s="134" t="str">
        <f>IF(COUNTIF(CJ$8:CJ10,F11)&gt;0,"",F11)&amp;""</f>
        <v/>
      </c>
      <c r="CK11" s="138">
        <f t="shared" si="27"/>
        <v>0</v>
      </c>
      <c r="CL11" s="132">
        <f t="shared" si="28"/>
        <v>1</v>
      </c>
      <c r="CM11" s="138">
        <f t="shared" si="29"/>
        <v>0</v>
      </c>
      <c r="CN11" s="132">
        <f t="shared" si="30"/>
        <v>1</v>
      </c>
      <c r="CO11" s="132">
        <v>1</v>
      </c>
      <c r="CP11" s="134" t="str">
        <f>IFERROR(INDEX(CJ$9:CJ$28,MATCH(CO11,IF(CO$9=0,CN$9:CN$28,CL$9:CL$28),0))&amp;"","")</f>
        <v/>
      </c>
      <c r="CQ11" s="146" t="str">
        <f>IF(CP12="","",IF(CP13="","和","、"))</f>
        <v/>
      </c>
    </row>
    <row r="12" ht="15" customHeight="1" spans="1:95">
      <c r="A12" s="123" t="str">
        <f>IF(F12="","",COUNT(A$8:A11)+1)</f>
        <v/>
      </c>
      <c r="B12" s="141"/>
      <c r="C12" s="139"/>
      <c r="D12" s="139"/>
      <c r="E12" s="141"/>
      <c r="F12" s="139"/>
      <c r="G12" s="139"/>
      <c r="H12" s="535"/>
      <c r="I12" s="535"/>
      <c r="J12" s="141"/>
      <c r="K12" s="914"/>
      <c r="L12" s="914"/>
      <c r="M12" s="914"/>
      <c r="N12" s="914"/>
      <c r="O12" s="914"/>
      <c r="P12" s="914"/>
      <c r="Q12" s="914"/>
      <c r="R12" s="914"/>
      <c r="S12" s="535"/>
      <c r="T12" s="915"/>
      <c r="U12" s="141"/>
      <c r="V12" s="536"/>
      <c r="W12" s="140"/>
      <c r="X12" s="140"/>
      <c r="Y12" s="143"/>
      <c r="Z12" s="129" t="str">
        <f t="shared" si="6"/>
        <v/>
      </c>
      <c r="AA12" s="142"/>
      <c r="AB12" s="127" t="str">
        <f>IFERROR(VLOOKUP(AA12,参数表!$H$2:$I$50,2,FALSE),"")</f>
        <v/>
      </c>
      <c r="AC12" s="128" t="str">
        <f t="shared" si="7"/>
        <v/>
      </c>
      <c r="AD12" s="128" t="str">
        <f t="shared" si="8"/>
        <v/>
      </c>
      <c r="AE12" s="129" t="str">
        <f t="shared" si="9"/>
        <v/>
      </c>
      <c r="AF12" s="143"/>
      <c r="AG12" s="143"/>
      <c r="AH12" s="143"/>
      <c r="AI12" s="144"/>
      <c r="AJ12" s="144"/>
      <c r="AK12" s="144"/>
      <c r="AL12" s="129" t="str">
        <f t="shared" si="10"/>
        <v/>
      </c>
      <c r="AM12" s="129" t="str">
        <f t="shared" si="11"/>
        <v/>
      </c>
      <c r="AN12" s="129" t="str">
        <f t="shared" si="12"/>
        <v/>
      </c>
      <c r="AO12" s="129" t="str">
        <f t="shared" si="0"/>
        <v/>
      </c>
      <c r="AP12" s="521" t="str">
        <f t="shared" si="1"/>
        <v/>
      </c>
      <c r="AQ12" s="129" t="str">
        <f t="shared" si="13"/>
        <v/>
      </c>
      <c r="AR12" s="129" t="str">
        <f t="shared" si="14"/>
        <v/>
      </c>
      <c r="AS12" s="129" t="str">
        <f t="shared" si="2"/>
        <v/>
      </c>
      <c r="AT12" s="139"/>
      <c r="AU12" s="913"/>
      <c r="AV12" s="942"/>
      <c r="BA12" s="78"/>
      <c r="BB12" s="132" t="s">
        <v>3724</v>
      </c>
      <c r="BC12" s="133"/>
      <c r="BD12" s="132" t="str">
        <f>IF(OR(F12="",BC12=""),"",COUNTIF(BC$9:BC12,"√"))</f>
        <v/>
      </c>
      <c r="BE12" s="134" t="str">
        <f t="shared" si="3"/>
        <v/>
      </c>
      <c r="BF12" s="135" t="str">
        <f t="shared" si="15"/>
        <v/>
      </c>
      <c r="BG12" s="135" t="str">
        <f t="shared" si="15"/>
        <v/>
      </c>
      <c r="BH12" s="136"/>
      <c r="BI12" s="136"/>
      <c r="BJ12" s="136"/>
      <c r="BK12" s="136"/>
      <c r="BL12" s="136"/>
      <c r="BM12" s="137"/>
      <c r="BN12" s="136"/>
      <c r="BO12" s="137"/>
      <c r="BP12" s="165" t="s">
        <v>2706</v>
      </c>
      <c r="BQ12" s="223"/>
      <c r="BR12" s="156">
        <f t="shared" si="4"/>
        <v>0</v>
      </c>
      <c r="BS12" s="156">
        <f t="shared" si="16"/>
        <v>0</v>
      </c>
      <c r="BT12" s="776"/>
      <c r="BU12" s="776"/>
      <c r="BV12" s="776"/>
      <c r="BW12" s="851">
        <f t="shared" si="17"/>
        <v>0</v>
      </c>
      <c r="BX12" s="156">
        <f t="shared" si="18"/>
        <v>0</v>
      </c>
      <c r="BY12" s="156">
        <f t="shared" si="19"/>
        <v>0</v>
      </c>
      <c r="BZ12" s="156">
        <f t="shared" si="20"/>
        <v>1</v>
      </c>
      <c r="CA12" s="658">
        <f>LOOKUP(BZ12,参数表!$A$13:$B$19)</f>
        <v>0</v>
      </c>
      <c r="CB12" s="156">
        <f t="shared" si="21"/>
        <v>0</v>
      </c>
      <c r="CC12" s="156">
        <f t="shared" si="22"/>
        <v>0</v>
      </c>
      <c r="CD12" s="156">
        <f t="shared" si="23"/>
        <v>125.582477754962</v>
      </c>
      <c r="CE12" s="223"/>
      <c r="CF12" s="746">
        <f t="shared" si="24"/>
        <v>0</v>
      </c>
      <c r="CG12" s="746">
        <f t="shared" si="25"/>
        <v>0</v>
      </c>
      <c r="CH12" s="746">
        <f t="shared" si="26"/>
        <v>0</v>
      </c>
      <c r="CJ12" s="134" t="str">
        <f>IF(COUNTIF(CJ$8:CJ11,F12)&gt;0,"",F12)&amp;""</f>
        <v/>
      </c>
      <c r="CK12" s="138">
        <f t="shared" si="27"/>
        <v>0</v>
      </c>
      <c r="CL12" s="132">
        <f t="shared" si="28"/>
        <v>1</v>
      </c>
      <c r="CM12" s="138">
        <f t="shared" si="29"/>
        <v>0</v>
      </c>
      <c r="CN12" s="132">
        <f t="shared" si="30"/>
        <v>1</v>
      </c>
      <c r="CO12" s="132">
        <v>2</v>
      </c>
      <c r="CP12" s="134" t="str">
        <f>IFERROR(INDEX(CJ$9:CJ$28,MATCH(CO12,IF(CO$9=0,CN$9:CN$28,CL$9:CL$28),0))&amp;"","")</f>
        <v/>
      </c>
      <c r="CQ12" s="146" t="str">
        <f t="shared" ref="CQ12:CQ13" si="31">IF(CP13="","",IF(CP14="","和","、"))</f>
        <v/>
      </c>
    </row>
    <row r="13" ht="15" customHeight="1" spans="1:95">
      <c r="A13" s="123" t="str">
        <f>IF(F13="","",COUNT(A$8:A12)+1)</f>
        <v/>
      </c>
      <c r="B13" s="141"/>
      <c r="C13" s="139"/>
      <c r="D13" s="139"/>
      <c r="E13" s="141"/>
      <c r="F13" s="139"/>
      <c r="G13" s="139"/>
      <c r="H13" s="535"/>
      <c r="I13" s="535"/>
      <c r="J13" s="141"/>
      <c r="K13" s="914"/>
      <c r="L13" s="914"/>
      <c r="M13" s="914"/>
      <c r="N13" s="914"/>
      <c r="O13" s="914"/>
      <c r="P13" s="914"/>
      <c r="Q13" s="914"/>
      <c r="R13" s="914"/>
      <c r="S13" s="535"/>
      <c r="T13" s="915"/>
      <c r="U13" s="141"/>
      <c r="V13" s="536"/>
      <c r="W13" s="140"/>
      <c r="X13" s="140"/>
      <c r="Y13" s="143"/>
      <c r="Z13" s="129" t="str">
        <f t="shared" si="6"/>
        <v/>
      </c>
      <c r="AA13" s="142"/>
      <c r="AB13" s="127" t="str">
        <f>IFERROR(VLOOKUP(AA13,参数表!$H$2:$I$50,2,FALSE),"")</f>
        <v/>
      </c>
      <c r="AC13" s="128" t="str">
        <f t="shared" si="7"/>
        <v/>
      </c>
      <c r="AD13" s="128" t="str">
        <f t="shared" si="8"/>
        <v/>
      </c>
      <c r="AE13" s="129" t="str">
        <f t="shared" si="9"/>
        <v/>
      </c>
      <c r="AF13" s="143"/>
      <c r="AG13" s="143"/>
      <c r="AH13" s="143"/>
      <c r="AI13" s="144"/>
      <c r="AJ13" s="144"/>
      <c r="AK13" s="144"/>
      <c r="AL13" s="129" t="str">
        <f t="shared" si="10"/>
        <v/>
      </c>
      <c r="AM13" s="129" t="str">
        <f t="shared" si="11"/>
        <v/>
      </c>
      <c r="AN13" s="129" t="str">
        <f t="shared" si="12"/>
        <v/>
      </c>
      <c r="AO13" s="129" t="str">
        <f t="shared" si="0"/>
        <v/>
      </c>
      <c r="AP13" s="521" t="str">
        <f t="shared" si="1"/>
        <v/>
      </c>
      <c r="AQ13" s="129" t="str">
        <f t="shared" si="13"/>
        <v/>
      </c>
      <c r="AR13" s="129" t="str">
        <f t="shared" si="14"/>
        <v/>
      </c>
      <c r="AS13" s="129" t="str">
        <f t="shared" si="2"/>
        <v/>
      </c>
      <c r="AT13" s="139"/>
      <c r="AU13" s="913"/>
      <c r="AV13" s="942"/>
      <c r="BA13" s="78"/>
      <c r="BB13" s="132" t="s">
        <v>3725</v>
      </c>
      <c r="BC13" s="133"/>
      <c r="BD13" s="132" t="str">
        <f>IF(OR(F13="",BC13=""),"",COUNTIF(BC$9:BC13,"√"))</f>
        <v/>
      </c>
      <c r="BE13" s="134" t="str">
        <f t="shared" si="3"/>
        <v/>
      </c>
      <c r="BF13" s="135" t="str">
        <f t="shared" si="15"/>
        <v/>
      </c>
      <c r="BG13" s="135" t="str">
        <f t="shared" si="15"/>
        <v/>
      </c>
      <c r="BH13" s="136"/>
      <c r="BI13" s="136"/>
      <c r="BJ13" s="136"/>
      <c r="BK13" s="136"/>
      <c r="BL13" s="136"/>
      <c r="BM13" s="137"/>
      <c r="BN13" s="136"/>
      <c r="BO13" s="137"/>
      <c r="BP13" s="165" t="s">
        <v>2706</v>
      </c>
      <c r="BQ13" s="223"/>
      <c r="BR13" s="156">
        <f t="shared" si="4"/>
        <v>0</v>
      </c>
      <c r="BS13" s="156">
        <f t="shared" si="16"/>
        <v>0</v>
      </c>
      <c r="BT13" s="776"/>
      <c r="BU13" s="776"/>
      <c r="BV13" s="776"/>
      <c r="BW13" s="851">
        <f t="shared" si="17"/>
        <v>0</v>
      </c>
      <c r="BX13" s="156">
        <f t="shared" si="18"/>
        <v>0</v>
      </c>
      <c r="BY13" s="156">
        <f t="shared" si="19"/>
        <v>0</v>
      </c>
      <c r="BZ13" s="156">
        <f t="shared" si="20"/>
        <v>1</v>
      </c>
      <c r="CA13" s="658">
        <f>LOOKUP(BZ13,参数表!$A$13:$B$19)</f>
        <v>0</v>
      </c>
      <c r="CB13" s="156">
        <f t="shared" si="21"/>
        <v>0</v>
      </c>
      <c r="CC13" s="156">
        <f t="shared" si="22"/>
        <v>0</v>
      </c>
      <c r="CD13" s="156">
        <f t="shared" si="23"/>
        <v>125.582477754962</v>
      </c>
      <c r="CE13" s="223"/>
      <c r="CF13" s="746">
        <f t="shared" si="24"/>
        <v>0</v>
      </c>
      <c r="CG13" s="746">
        <f t="shared" si="25"/>
        <v>0</v>
      </c>
      <c r="CH13" s="746">
        <f t="shared" si="26"/>
        <v>0</v>
      </c>
      <c r="CJ13" s="134" t="str">
        <f>IF(COUNTIF(CJ$8:CJ12,F13)&gt;0,"",F13)&amp;""</f>
        <v/>
      </c>
      <c r="CK13" s="138">
        <f t="shared" si="27"/>
        <v>0</v>
      </c>
      <c r="CL13" s="132">
        <f t="shared" si="28"/>
        <v>1</v>
      </c>
      <c r="CM13" s="138">
        <f t="shared" si="29"/>
        <v>0</v>
      </c>
      <c r="CN13" s="132">
        <f t="shared" si="30"/>
        <v>1</v>
      </c>
      <c r="CO13" s="132">
        <v>3</v>
      </c>
      <c r="CP13" s="134" t="str">
        <f t="shared" ref="CP13:CP15" si="32">IFERROR(INDEX(CJ$9:CJ$28,MATCH(CO13,IF(CO$9=0,CN$9:CN$28,CL$9:CL$28),0))&amp;"","")</f>
        <v/>
      </c>
      <c r="CQ13" s="146" t="str">
        <f t="shared" si="31"/>
        <v/>
      </c>
    </row>
    <row r="14" ht="15" customHeight="1" spans="1:95">
      <c r="A14" s="123" t="str">
        <f>IF(F14="","",COUNT(A$8:A13)+1)</f>
        <v/>
      </c>
      <c r="B14" s="141"/>
      <c r="C14" s="139"/>
      <c r="D14" s="139"/>
      <c r="E14" s="141"/>
      <c r="F14" s="139"/>
      <c r="G14" s="139"/>
      <c r="H14" s="535"/>
      <c r="I14" s="535"/>
      <c r="J14" s="141"/>
      <c r="K14" s="914"/>
      <c r="L14" s="914"/>
      <c r="M14" s="914"/>
      <c r="N14" s="914"/>
      <c r="O14" s="914"/>
      <c r="P14" s="914"/>
      <c r="Q14" s="914"/>
      <c r="R14" s="914"/>
      <c r="S14" s="535"/>
      <c r="T14" s="915"/>
      <c r="U14" s="141"/>
      <c r="V14" s="536"/>
      <c r="W14" s="140"/>
      <c r="X14" s="140"/>
      <c r="Y14" s="143"/>
      <c r="Z14" s="129" t="str">
        <f t="shared" si="6"/>
        <v/>
      </c>
      <c r="AA14" s="142"/>
      <c r="AB14" s="127" t="str">
        <f>IFERROR(VLOOKUP(AA14,参数表!$H$2:$I$50,2,FALSE),"")</f>
        <v/>
      </c>
      <c r="AC14" s="128" t="str">
        <f t="shared" si="7"/>
        <v/>
      </c>
      <c r="AD14" s="128" t="str">
        <f t="shared" si="8"/>
        <v/>
      </c>
      <c r="AE14" s="129" t="str">
        <f t="shared" si="9"/>
        <v/>
      </c>
      <c r="AF14" s="143"/>
      <c r="AG14" s="143"/>
      <c r="AH14" s="143"/>
      <c r="AI14" s="144"/>
      <c r="AJ14" s="144"/>
      <c r="AK14" s="144"/>
      <c r="AL14" s="129" t="str">
        <f t="shared" si="10"/>
        <v/>
      </c>
      <c r="AM14" s="129" t="str">
        <f t="shared" si="11"/>
        <v/>
      </c>
      <c r="AN14" s="129" t="str">
        <f t="shared" si="12"/>
        <v/>
      </c>
      <c r="AO14" s="129" t="str">
        <f t="shared" si="0"/>
        <v/>
      </c>
      <c r="AP14" s="521" t="str">
        <f t="shared" si="1"/>
        <v/>
      </c>
      <c r="AQ14" s="129" t="str">
        <f t="shared" si="13"/>
        <v/>
      </c>
      <c r="AR14" s="129" t="str">
        <f t="shared" si="14"/>
        <v/>
      </c>
      <c r="AS14" s="129" t="str">
        <f t="shared" si="2"/>
        <v/>
      </c>
      <c r="AT14" s="139"/>
      <c r="AU14" s="913"/>
      <c r="AV14" s="942"/>
      <c r="BA14" s="78"/>
      <c r="BB14" s="132" t="s">
        <v>3726</v>
      </c>
      <c r="BC14" s="133"/>
      <c r="BD14" s="132" t="str">
        <f>IF(OR(F14="",BC14=""),"",COUNTIF(BC$9:BC14,"√"))</f>
        <v/>
      </c>
      <c r="BE14" s="134" t="str">
        <f t="shared" si="3"/>
        <v/>
      </c>
      <c r="BF14" s="135" t="str">
        <f t="shared" si="15"/>
        <v/>
      </c>
      <c r="BG14" s="135" t="str">
        <f t="shared" si="15"/>
        <v/>
      </c>
      <c r="BH14" s="136"/>
      <c r="BI14" s="136"/>
      <c r="BJ14" s="136"/>
      <c r="BK14" s="136"/>
      <c r="BL14" s="136"/>
      <c r="BM14" s="137"/>
      <c r="BN14" s="136"/>
      <c r="BO14" s="137"/>
      <c r="BP14" s="165" t="s">
        <v>2706</v>
      </c>
      <c r="BQ14" s="223"/>
      <c r="BR14" s="156">
        <f t="shared" si="4"/>
        <v>0</v>
      </c>
      <c r="BS14" s="156">
        <f t="shared" si="16"/>
        <v>0</v>
      </c>
      <c r="BT14" s="776"/>
      <c r="BU14" s="776"/>
      <c r="BV14" s="776"/>
      <c r="BW14" s="851">
        <f t="shared" si="17"/>
        <v>0</v>
      </c>
      <c r="BX14" s="156">
        <f t="shared" si="18"/>
        <v>0</v>
      </c>
      <c r="BY14" s="156">
        <f t="shared" si="19"/>
        <v>0</v>
      </c>
      <c r="BZ14" s="156">
        <f t="shared" si="20"/>
        <v>1</v>
      </c>
      <c r="CA14" s="658">
        <f>LOOKUP(BZ14,参数表!$A$13:$B$19)</f>
        <v>0</v>
      </c>
      <c r="CB14" s="156">
        <f t="shared" si="21"/>
        <v>0</v>
      </c>
      <c r="CC14" s="156">
        <f t="shared" si="22"/>
        <v>0</v>
      </c>
      <c r="CD14" s="156">
        <f t="shared" si="23"/>
        <v>125.582477754962</v>
      </c>
      <c r="CE14" s="223"/>
      <c r="CF14" s="746">
        <f t="shared" si="24"/>
        <v>0</v>
      </c>
      <c r="CG14" s="746">
        <f t="shared" si="25"/>
        <v>0</v>
      </c>
      <c r="CH14" s="746">
        <f t="shared" si="26"/>
        <v>0</v>
      </c>
      <c r="CJ14" s="134" t="str">
        <f>IF(COUNTIF(CJ$8:CJ13,F14)&gt;0,"",F14)&amp;""</f>
        <v/>
      </c>
      <c r="CK14" s="138">
        <f t="shared" si="27"/>
        <v>0</v>
      </c>
      <c r="CL14" s="132">
        <f t="shared" si="28"/>
        <v>1</v>
      </c>
      <c r="CM14" s="138">
        <f t="shared" si="29"/>
        <v>0</v>
      </c>
      <c r="CN14" s="132">
        <f t="shared" si="30"/>
        <v>1</v>
      </c>
      <c r="CO14" s="132">
        <v>4</v>
      </c>
      <c r="CP14" s="134" t="str">
        <f t="shared" si="32"/>
        <v/>
      </c>
      <c r="CQ14" s="146" t="str">
        <f>IF(CP15="","","和")</f>
        <v/>
      </c>
    </row>
    <row r="15" ht="15" customHeight="1" spans="1:95">
      <c r="A15" s="123" t="str">
        <f>IF(F15="","",COUNT(A$8:A14)+1)</f>
        <v/>
      </c>
      <c r="B15" s="141"/>
      <c r="C15" s="139"/>
      <c r="D15" s="139"/>
      <c r="E15" s="141"/>
      <c r="F15" s="139"/>
      <c r="G15" s="139"/>
      <c r="H15" s="535"/>
      <c r="I15" s="535"/>
      <c r="J15" s="141"/>
      <c r="K15" s="914"/>
      <c r="L15" s="914"/>
      <c r="M15" s="914"/>
      <c r="N15" s="914"/>
      <c r="O15" s="914"/>
      <c r="P15" s="914"/>
      <c r="Q15" s="914"/>
      <c r="R15" s="914"/>
      <c r="S15" s="535"/>
      <c r="T15" s="915"/>
      <c r="U15" s="141"/>
      <c r="V15" s="536"/>
      <c r="W15" s="140"/>
      <c r="X15" s="140"/>
      <c r="Y15" s="143"/>
      <c r="Z15" s="129" t="str">
        <f t="shared" si="6"/>
        <v/>
      </c>
      <c r="AA15" s="142"/>
      <c r="AB15" s="127" t="str">
        <f>IFERROR(VLOOKUP(AA15,参数表!$H$2:$I$50,2,FALSE),"")</f>
        <v/>
      </c>
      <c r="AC15" s="128" t="str">
        <f t="shared" si="7"/>
        <v/>
      </c>
      <c r="AD15" s="128" t="str">
        <f t="shared" si="8"/>
        <v/>
      </c>
      <c r="AE15" s="129" t="str">
        <f t="shared" si="9"/>
        <v/>
      </c>
      <c r="AF15" s="143"/>
      <c r="AG15" s="143"/>
      <c r="AH15" s="143"/>
      <c r="AI15" s="144"/>
      <c r="AJ15" s="144"/>
      <c r="AK15" s="144"/>
      <c r="AL15" s="129" t="str">
        <f t="shared" si="10"/>
        <v/>
      </c>
      <c r="AM15" s="129" t="str">
        <f t="shared" si="11"/>
        <v/>
      </c>
      <c r="AN15" s="129" t="str">
        <f t="shared" si="12"/>
        <v/>
      </c>
      <c r="AO15" s="129" t="str">
        <f t="shared" si="0"/>
        <v/>
      </c>
      <c r="AP15" s="521" t="str">
        <f t="shared" si="1"/>
        <v/>
      </c>
      <c r="AQ15" s="129" t="str">
        <f t="shared" si="13"/>
        <v/>
      </c>
      <c r="AR15" s="129" t="str">
        <f t="shared" si="14"/>
        <v/>
      </c>
      <c r="AS15" s="129" t="str">
        <f t="shared" si="2"/>
        <v/>
      </c>
      <c r="AT15" s="139"/>
      <c r="AU15" s="913"/>
      <c r="AV15" s="942"/>
      <c r="BA15" s="78"/>
      <c r="BB15" s="132" t="s">
        <v>3727</v>
      </c>
      <c r="BC15" s="133"/>
      <c r="BD15" s="132" t="str">
        <f>IF(OR(F15="",BC15=""),"",COUNTIF(BC$9:BC15,"√"))</f>
        <v/>
      </c>
      <c r="BE15" s="134" t="str">
        <f t="shared" si="3"/>
        <v/>
      </c>
      <c r="BF15" s="135" t="str">
        <f t="shared" si="15"/>
        <v/>
      </c>
      <c r="BG15" s="135" t="str">
        <f t="shared" si="15"/>
        <v/>
      </c>
      <c r="BH15" s="136"/>
      <c r="BI15" s="136"/>
      <c r="BJ15" s="136"/>
      <c r="BK15" s="136"/>
      <c r="BL15" s="136"/>
      <c r="BM15" s="137"/>
      <c r="BN15" s="136"/>
      <c r="BO15" s="137"/>
      <c r="BP15" s="165" t="s">
        <v>2706</v>
      </c>
      <c r="BQ15" s="223"/>
      <c r="BR15" s="156">
        <f t="shared" si="4"/>
        <v>0</v>
      </c>
      <c r="BS15" s="156">
        <f t="shared" si="16"/>
        <v>0</v>
      </c>
      <c r="BT15" s="776"/>
      <c r="BU15" s="776"/>
      <c r="BV15" s="776"/>
      <c r="BW15" s="851">
        <f t="shared" si="17"/>
        <v>0</v>
      </c>
      <c r="BX15" s="156">
        <f t="shared" si="18"/>
        <v>0</v>
      </c>
      <c r="BY15" s="156">
        <f t="shared" si="19"/>
        <v>0</v>
      </c>
      <c r="BZ15" s="156">
        <f t="shared" si="20"/>
        <v>1</v>
      </c>
      <c r="CA15" s="658">
        <f>LOOKUP(BZ15,参数表!$A$13:$B$19)</f>
        <v>0</v>
      </c>
      <c r="CB15" s="156">
        <f t="shared" si="21"/>
        <v>0</v>
      </c>
      <c r="CC15" s="156">
        <f t="shared" si="22"/>
        <v>0</v>
      </c>
      <c r="CD15" s="156">
        <f t="shared" si="23"/>
        <v>125.582477754962</v>
      </c>
      <c r="CE15" s="223"/>
      <c r="CF15" s="746">
        <f t="shared" si="24"/>
        <v>0</v>
      </c>
      <c r="CG15" s="746">
        <f t="shared" si="25"/>
        <v>0</v>
      </c>
      <c r="CH15" s="746">
        <f t="shared" si="26"/>
        <v>0</v>
      </c>
      <c r="CJ15" s="134" t="str">
        <f>IF(COUNTIF(CJ$8:CJ14,F15)&gt;0,"",F15)&amp;""</f>
        <v/>
      </c>
      <c r="CK15" s="138">
        <f t="shared" si="27"/>
        <v>0</v>
      </c>
      <c r="CL15" s="132">
        <f t="shared" si="28"/>
        <v>1</v>
      </c>
      <c r="CM15" s="138">
        <f t="shared" si="29"/>
        <v>0</v>
      </c>
      <c r="CN15" s="132">
        <f t="shared" si="30"/>
        <v>1</v>
      </c>
      <c r="CO15" s="132">
        <v>5</v>
      </c>
      <c r="CP15" s="134" t="str">
        <f t="shared" si="32"/>
        <v/>
      </c>
      <c r="CQ15" s="146"/>
    </row>
    <row r="16" ht="15" customHeight="1" spans="1:95">
      <c r="A16" s="123" t="str">
        <f>IF(F16="","",COUNT(A$8:A15)+1)</f>
        <v/>
      </c>
      <c r="B16" s="141"/>
      <c r="C16" s="139"/>
      <c r="D16" s="139"/>
      <c r="E16" s="141"/>
      <c r="F16" s="139"/>
      <c r="G16" s="139"/>
      <c r="H16" s="535"/>
      <c r="I16" s="535"/>
      <c r="J16" s="141"/>
      <c r="K16" s="914"/>
      <c r="L16" s="914"/>
      <c r="M16" s="914"/>
      <c r="N16" s="914"/>
      <c r="O16" s="914"/>
      <c r="P16" s="914"/>
      <c r="Q16" s="914"/>
      <c r="R16" s="914"/>
      <c r="S16" s="535"/>
      <c r="T16" s="915"/>
      <c r="U16" s="141"/>
      <c r="V16" s="536"/>
      <c r="W16" s="140"/>
      <c r="X16" s="140"/>
      <c r="Y16" s="143"/>
      <c r="Z16" s="129" t="str">
        <f t="shared" si="6"/>
        <v/>
      </c>
      <c r="AA16" s="142"/>
      <c r="AB16" s="127" t="str">
        <f>IFERROR(VLOOKUP(AA16,参数表!$H$2:$I$50,2,FALSE),"")</f>
        <v/>
      </c>
      <c r="AC16" s="128" t="str">
        <f t="shared" si="7"/>
        <v/>
      </c>
      <c r="AD16" s="128" t="str">
        <f t="shared" si="8"/>
        <v/>
      </c>
      <c r="AE16" s="129" t="str">
        <f t="shared" si="9"/>
        <v/>
      </c>
      <c r="AF16" s="143"/>
      <c r="AG16" s="143"/>
      <c r="AH16" s="143"/>
      <c r="AI16" s="144"/>
      <c r="AJ16" s="144"/>
      <c r="AK16" s="144"/>
      <c r="AL16" s="129" t="str">
        <f t="shared" si="10"/>
        <v/>
      </c>
      <c r="AM16" s="129" t="str">
        <f t="shared" si="11"/>
        <v/>
      </c>
      <c r="AN16" s="129" t="str">
        <f t="shared" si="12"/>
        <v/>
      </c>
      <c r="AO16" s="129" t="str">
        <f t="shared" si="0"/>
        <v/>
      </c>
      <c r="AP16" s="521" t="str">
        <f t="shared" si="1"/>
        <v/>
      </c>
      <c r="AQ16" s="129" t="str">
        <f t="shared" si="13"/>
        <v/>
      </c>
      <c r="AR16" s="129" t="str">
        <f t="shared" si="14"/>
        <v/>
      </c>
      <c r="AS16" s="129" t="str">
        <f t="shared" si="2"/>
        <v/>
      </c>
      <c r="AT16" s="139"/>
      <c r="AU16" s="913"/>
      <c r="AV16" s="942"/>
      <c r="BA16" s="78"/>
      <c r="BB16" s="132" t="s">
        <v>3728</v>
      </c>
      <c r="BC16" s="133"/>
      <c r="BD16" s="132" t="str">
        <f>IF(OR(F16="",BC16=""),"",COUNTIF(BC$9:BC16,"√"))</f>
        <v/>
      </c>
      <c r="BE16" s="134" t="str">
        <f t="shared" si="3"/>
        <v/>
      </c>
      <c r="BF16" s="135" t="str">
        <f t="shared" si="15"/>
        <v/>
      </c>
      <c r="BG16" s="135" t="str">
        <f t="shared" si="15"/>
        <v/>
      </c>
      <c r="BH16" s="136"/>
      <c r="BI16" s="136"/>
      <c r="BJ16" s="136"/>
      <c r="BK16" s="136"/>
      <c r="BL16" s="136"/>
      <c r="BM16" s="137"/>
      <c r="BN16" s="136"/>
      <c r="BO16" s="137"/>
      <c r="BP16" s="165" t="s">
        <v>2706</v>
      </c>
      <c r="BQ16" s="223"/>
      <c r="BR16" s="156">
        <f t="shared" si="4"/>
        <v>0</v>
      </c>
      <c r="BS16" s="156">
        <f t="shared" si="16"/>
        <v>0</v>
      </c>
      <c r="BT16" s="776"/>
      <c r="BU16" s="776"/>
      <c r="BV16" s="776"/>
      <c r="BW16" s="851">
        <f t="shared" si="17"/>
        <v>0</v>
      </c>
      <c r="BX16" s="156">
        <f t="shared" si="18"/>
        <v>0</v>
      </c>
      <c r="BY16" s="156">
        <f t="shared" si="19"/>
        <v>0</v>
      </c>
      <c r="BZ16" s="156">
        <f t="shared" si="20"/>
        <v>1</v>
      </c>
      <c r="CA16" s="658">
        <f>LOOKUP(BZ16,参数表!$A$13:$B$19)</f>
        <v>0</v>
      </c>
      <c r="CB16" s="156">
        <f t="shared" si="21"/>
        <v>0</v>
      </c>
      <c r="CC16" s="156">
        <f t="shared" si="22"/>
        <v>0</v>
      </c>
      <c r="CD16" s="156">
        <f t="shared" si="23"/>
        <v>125.582477754962</v>
      </c>
      <c r="CE16" s="223"/>
      <c r="CF16" s="746">
        <f t="shared" si="24"/>
        <v>0</v>
      </c>
      <c r="CG16" s="746">
        <f t="shared" si="25"/>
        <v>0</v>
      </c>
      <c r="CH16" s="746">
        <f t="shared" si="26"/>
        <v>0</v>
      </c>
      <c r="CJ16" s="134" t="str">
        <f>IF(COUNTIF(CJ$8:CJ15,F16)&gt;0,"",F16)&amp;""</f>
        <v/>
      </c>
      <c r="CK16" s="138">
        <f t="shared" si="27"/>
        <v>0</v>
      </c>
      <c r="CL16" s="132">
        <f t="shared" si="28"/>
        <v>1</v>
      </c>
      <c r="CM16" s="138">
        <f t="shared" si="29"/>
        <v>0</v>
      </c>
      <c r="CN16" s="132">
        <f t="shared" si="30"/>
        <v>1</v>
      </c>
      <c r="CO16" s="147" t="s">
        <v>1659</v>
      </c>
      <c r="CP16" s="132" t="str">
        <f>CONCATENATE(CP11,CQ11,CP12,CQ12,CP13,CQ13,CP14,CQ14,CP15)</f>
        <v/>
      </c>
      <c r="CQ16" s="132"/>
    </row>
    <row r="17" ht="15" customHeight="1" spans="1:95">
      <c r="A17" s="123" t="str">
        <f>IF(F17="","",COUNT(A$8:A16)+1)</f>
        <v/>
      </c>
      <c r="B17" s="141"/>
      <c r="C17" s="139"/>
      <c r="D17" s="139"/>
      <c r="E17" s="141"/>
      <c r="F17" s="139"/>
      <c r="G17" s="139"/>
      <c r="H17" s="535"/>
      <c r="I17" s="535"/>
      <c r="J17" s="141"/>
      <c r="K17" s="914"/>
      <c r="L17" s="914"/>
      <c r="M17" s="914"/>
      <c r="N17" s="914"/>
      <c r="O17" s="914"/>
      <c r="P17" s="914"/>
      <c r="Q17" s="914"/>
      <c r="R17" s="914"/>
      <c r="S17" s="535"/>
      <c r="T17" s="915"/>
      <c r="U17" s="141"/>
      <c r="V17" s="536"/>
      <c r="W17" s="140"/>
      <c r="X17" s="140"/>
      <c r="Y17" s="143"/>
      <c r="Z17" s="129" t="str">
        <f t="shared" si="6"/>
        <v/>
      </c>
      <c r="AA17" s="142"/>
      <c r="AB17" s="127" t="str">
        <f>IFERROR(VLOOKUP(AA17,参数表!$H$2:$I$50,2,FALSE),"")</f>
        <v/>
      </c>
      <c r="AC17" s="128" t="str">
        <f t="shared" si="7"/>
        <v/>
      </c>
      <c r="AD17" s="128" t="str">
        <f t="shared" si="8"/>
        <v/>
      </c>
      <c r="AE17" s="129" t="str">
        <f t="shared" si="9"/>
        <v/>
      </c>
      <c r="AF17" s="143"/>
      <c r="AG17" s="143"/>
      <c r="AH17" s="143"/>
      <c r="AI17" s="144"/>
      <c r="AJ17" s="144"/>
      <c r="AK17" s="144"/>
      <c r="AL17" s="129" t="str">
        <f t="shared" si="10"/>
        <v/>
      </c>
      <c r="AM17" s="129" t="str">
        <f t="shared" si="11"/>
        <v/>
      </c>
      <c r="AN17" s="129" t="str">
        <f t="shared" si="12"/>
        <v/>
      </c>
      <c r="AO17" s="129" t="str">
        <f t="shared" si="0"/>
        <v/>
      </c>
      <c r="AP17" s="521" t="str">
        <f t="shared" si="1"/>
        <v/>
      </c>
      <c r="AQ17" s="129" t="str">
        <f t="shared" si="13"/>
        <v/>
      </c>
      <c r="AR17" s="129" t="str">
        <f t="shared" si="14"/>
        <v/>
      </c>
      <c r="AS17" s="129" t="str">
        <f t="shared" si="2"/>
        <v/>
      </c>
      <c r="AT17" s="139"/>
      <c r="AU17" s="913"/>
      <c r="AV17" s="942"/>
      <c r="BA17" s="78"/>
      <c r="BB17" s="132" t="s">
        <v>3729</v>
      </c>
      <c r="BC17" s="133"/>
      <c r="BD17" s="132" t="str">
        <f>IF(OR(F17="",BC17=""),"",COUNTIF(BC$9:BC17,"√"))</f>
        <v/>
      </c>
      <c r="BE17" s="134" t="str">
        <f t="shared" si="3"/>
        <v/>
      </c>
      <c r="BF17" s="135" t="str">
        <f t="shared" si="15"/>
        <v/>
      </c>
      <c r="BG17" s="135" t="str">
        <f t="shared" si="15"/>
        <v/>
      </c>
      <c r="BH17" s="136"/>
      <c r="BI17" s="136"/>
      <c r="BJ17" s="136"/>
      <c r="BK17" s="136"/>
      <c r="BL17" s="136"/>
      <c r="BM17" s="137"/>
      <c r="BN17" s="136"/>
      <c r="BO17" s="137"/>
      <c r="BP17" s="165" t="s">
        <v>2706</v>
      </c>
      <c r="BQ17" s="223"/>
      <c r="BR17" s="156">
        <f t="shared" si="4"/>
        <v>0</v>
      </c>
      <c r="BS17" s="156">
        <f t="shared" si="16"/>
        <v>0</v>
      </c>
      <c r="BT17" s="776"/>
      <c r="BU17" s="776"/>
      <c r="BV17" s="776"/>
      <c r="BW17" s="851">
        <f t="shared" si="17"/>
        <v>0</v>
      </c>
      <c r="BX17" s="156">
        <f t="shared" si="18"/>
        <v>0</v>
      </c>
      <c r="BY17" s="156">
        <f t="shared" si="19"/>
        <v>0</v>
      </c>
      <c r="BZ17" s="156">
        <f t="shared" si="20"/>
        <v>1</v>
      </c>
      <c r="CA17" s="658">
        <f>LOOKUP(BZ17,参数表!$A$13:$B$19)</f>
        <v>0</v>
      </c>
      <c r="CB17" s="156">
        <f t="shared" si="21"/>
        <v>0</v>
      </c>
      <c r="CC17" s="156">
        <f t="shared" si="22"/>
        <v>0</v>
      </c>
      <c r="CD17" s="156">
        <f t="shared" si="23"/>
        <v>125.582477754962</v>
      </c>
      <c r="CE17" s="223"/>
      <c r="CF17" s="746">
        <f t="shared" si="24"/>
        <v>0</v>
      </c>
      <c r="CG17" s="746">
        <f t="shared" si="25"/>
        <v>0</v>
      </c>
      <c r="CH17" s="746">
        <f t="shared" si="26"/>
        <v>0</v>
      </c>
      <c r="CJ17" s="134" t="str">
        <f>IF(COUNTIF(CJ$8:CJ16,F17)&gt;0,"",F17)&amp;""</f>
        <v/>
      </c>
      <c r="CK17" s="138">
        <f t="shared" si="27"/>
        <v>0</v>
      </c>
      <c r="CL17" s="132">
        <f t="shared" si="28"/>
        <v>1</v>
      </c>
      <c r="CM17" s="138">
        <f t="shared" si="29"/>
        <v>0</v>
      </c>
      <c r="CN17" s="132">
        <f t="shared" si="30"/>
        <v>1</v>
      </c>
      <c r="CO17" s="133"/>
      <c r="CP17" s="133"/>
    </row>
    <row r="18" ht="15" customHeight="1" spans="1:95">
      <c r="A18" s="123" t="str">
        <f>IF(F18="","",COUNT(A$8:A17)+1)</f>
        <v/>
      </c>
      <c r="B18" s="141"/>
      <c r="C18" s="139"/>
      <c r="D18" s="139"/>
      <c r="E18" s="141"/>
      <c r="F18" s="139"/>
      <c r="G18" s="139"/>
      <c r="H18" s="535"/>
      <c r="I18" s="535"/>
      <c r="J18" s="141"/>
      <c r="K18" s="914"/>
      <c r="L18" s="914"/>
      <c r="M18" s="914"/>
      <c r="N18" s="914"/>
      <c r="O18" s="914"/>
      <c r="P18" s="914"/>
      <c r="Q18" s="914"/>
      <c r="R18" s="914"/>
      <c r="S18" s="535"/>
      <c r="T18" s="915"/>
      <c r="U18" s="141"/>
      <c r="V18" s="536"/>
      <c r="W18" s="140"/>
      <c r="X18" s="140"/>
      <c r="Y18" s="143"/>
      <c r="Z18" s="129" t="str">
        <f t="shared" si="6"/>
        <v/>
      </c>
      <c r="AA18" s="142"/>
      <c r="AB18" s="127" t="str">
        <f>IFERROR(VLOOKUP(AA18,参数表!$H$2:$I$50,2,FALSE),"")</f>
        <v/>
      </c>
      <c r="AC18" s="128" t="str">
        <f t="shared" si="7"/>
        <v/>
      </c>
      <c r="AD18" s="128" t="str">
        <f t="shared" si="8"/>
        <v/>
      </c>
      <c r="AE18" s="129" t="str">
        <f t="shared" si="9"/>
        <v/>
      </c>
      <c r="AF18" s="143"/>
      <c r="AG18" s="143"/>
      <c r="AH18" s="143"/>
      <c r="AI18" s="144"/>
      <c r="AJ18" s="144"/>
      <c r="AK18" s="144"/>
      <c r="AL18" s="129" t="str">
        <f t="shared" si="10"/>
        <v/>
      </c>
      <c r="AM18" s="129" t="str">
        <f t="shared" si="11"/>
        <v/>
      </c>
      <c r="AN18" s="129" t="str">
        <f t="shared" si="12"/>
        <v/>
      </c>
      <c r="AO18" s="129" t="str">
        <f t="shared" si="0"/>
        <v/>
      </c>
      <c r="AP18" s="521" t="str">
        <f t="shared" si="1"/>
        <v/>
      </c>
      <c r="AQ18" s="129" t="str">
        <f t="shared" si="13"/>
        <v/>
      </c>
      <c r="AR18" s="129" t="str">
        <f t="shared" si="14"/>
        <v/>
      </c>
      <c r="AS18" s="129" t="str">
        <f t="shared" si="2"/>
        <v/>
      </c>
      <c r="AT18" s="139"/>
      <c r="AU18" s="913"/>
      <c r="AV18" s="942"/>
      <c r="BA18" s="78"/>
      <c r="BB18" s="132" t="s">
        <v>3730</v>
      </c>
      <c r="BC18" s="133"/>
      <c r="BD18" s="132" t="str">
        <f>IF(OR(F18="",BC18=""),"",COUNTIF(BC$9:BC18,"√"))</f>
        <v/>
      </c>
      <c r="BE18" s="134" t="str">
        <f t="shared" si="3"/>
        <v/>
      </c>
      <c r="BF18" s="135" t="str">
        <f t="shared" si="15"/>
        <v/>
      </c>
      <c r="BG18" s="135" t="str">
        <f t="shared" si="15"/>
        <v/>
      </c>
      <c r="BH18" s="136"/>
      <c r="BI18" s="136"/>
      <c r="BJ18" s="136"/>
      <c r="BK18" s="136"/>
      <c r="BL18" s="136"/>
      <c r="BM18" s="137"/>
      <c r="BN18" s="136"/>
      <c r="BO18" s="137"/>
      <c r="BP18" s="165" t="s">
        <v>2706</v>
      </c>
      <c r="BQ18" s="223"/>
      <c r="BR18" s="156">
        <f t="shared" si="4"/>
        <v>0</v>
      </c>
      <c r="BS18" s="156">
        <f t="shared" si="16"/>
        <v>0</v>
      </c>
      <c r="BT18" s="776"/>
      <c r="BU18" s="776"/>
      <c r="BV18" s="776"/>
      <c r="BW18" s="851">
        <f t="shared" si="17"/>
        <v>0</v>
      </c>
      <c r="BX18" s="156">
        <f t="shared" si="18"/>
        <v>0</v>
      </c>
      <c r="BY18" s="156">
        <f t="shared" si="19"/>
        <v>0</v>
      </c>
      <c r="BZ18" s="156">
        <f t="shared" si="20"/>
        <v>1</v>
      </c>
      <c r="CA18" s="658">
        <f>LOOKUP(BZ18,参数表!$A$13:$B$19)</f>
        <v>0</v>
      </c>
      <c r="CB18" s="156">
        <f t="shared" si="21"/>
        <v>0</v>
      </c>
      <c r="CC18" s="156">
        <f t="shared" si="22"/>
        <v>0</v>
      </c>
      <c r="CD18" s="156">
        <f t="shared" si="23"/>
        <v>125.582477754962</v>
      </c>
      <c r="CE18" s="223"/>
      <c r="CF18" s="746">
        <f t="shared" si="24"/>
        <v>0</v>
      </c>
      <c r="CG18" s="746">
        <f t="shared" si="25"/>
        <v>0</v>
      </c>
      <c r="CH18" s="746">
        <f t="shared" si="26"/>
        <v>0</v>
      </c>
      <c r="CJ18" s="134" t="str">
        <f>IF(COUNTIF(CJ$8:CJ17,F18)&gt;0,"",F18)&amp;""</f>
        <v/>
      </c>
      <c r="CK18" s="138">
        <f t="shared" si="27"/>
        <v>0</v>
      </c>
      <c r="CL18" s="132">
        <f t="shared" si="28"/>
        <v>1</v>
      </c>
      <c r="CM18" s="138">
        <f t="shared" si="29"/>
        <v>0</v>
      </c>
      <c r="CN18" s="132">
        <f t="shared" si="30"/>
        <v>1</v>
      </c>
      <c r="CO18" s="133"/>
      <c r="CP18" s="148"/>
    </row>
    <row r="19" ht="15" customHeight="1" spans="1:95">
      <c r="A19" s="123" t="str">
        <f>IF(F19="","",COUNT(A$8:A18)+1)</f>
        <v/>
      </c>
      <c r="B19" s="141"/>
      <c r="C19" s="139"/>
      <c r="D19" s="139"/>
      <c r="E19" s="141"/>
      <c r="F19" s="139"/>
      <c r="G19" s="139"/>
      <c r="H19" s="535"/>
      <c r="I19" s="535"/>
      <c r="J19" s="141"/>
      <c r="K19" s="914"/>
      <c r="L19" s="914"/>
      <c r="M19" s="914"/>
      <c r="N19" s="914"/>
      <c r="O19" s="914"/>
      <c r="P19" s="914"/>
      <c r="Q19" s="914"/>
      <c r="R19" s="914"/>
      <c r="S19" s="535"/>
      <c r="T19" s="915"/>
      <c r="U19" s="141"/>
      <c r="V19" s="536"/>
      <c r="W19" s="140"/>
      <c r="X19" s="140"/>
      <c r="Y19" s="143"/>
      <c r="Z19" s="129" t="str">
        <f t="shared" si="6"/>
        <v/>
      </c>
      <c r="AA19" s="142"/>
      <c r="AB19" s="127" t="str">
        <f>IFERROR(VLOOKUP(AA19,参数表!$H$2:$I$50,2,FALSE),"")</f>
        <v/>
      </c>
      <c r="AC19" s="128" t="str">
        <f t="shared" si="7"/>
        <v/>
      </c>
      <c r="AD19" s="128" t="str">
        <f t="shared" si="8"/>
        <v/>
      </c>
      <c r="AE19" s="129" t="str">
        <f t="shared" si="9"/>
        <v/>
      </c>
      <c r="AF19" s="143"/>
      <c r="AG19" s="143"/>
      <c r="AH19" s="143"/>
      <c r="AI19" s="144"/>
      <c r="AJ19" s="144"/>
      <c r="AK19" s="144"/>
      <c r="AL19" s="129" t="str">
        <f t="shared" si="10"/>
        <v/>
      </c>
      <c r="AM19" s="129" t="str">
        <f t="shared" si="11"/>
        <v/>
      </c>
      <c r="AN19" s="129" t="str">
        <f t="shared" si="12"/>
        <v/>
      </c>
      <c r="AO19" s="129" t="str">
        <f t="shared" si="0"/>
        <v/>
      </c>
      <c r="AP19" s="521" t="str">
        <f t="shared" si="1"/>
        <v/>
      </c>
      <c r="AQ19" s="129" t="str">
        <f t="shared" si="13"/>
        <v/>
      </c>
      <c r="AR19" s="129" t="str">
        <f t="shared" si="14"/>
        <v/>
      </c>
      <c r="AS19" s="129" t="str">
        <f t="shared" si="2"/>
        <v/>
      </c>
      <c r="AT19" s="139"/>
      <c r="AU19" s="913"/>
      <c r="AV19" s="942"/>
      <c r="BA19" s="78"/>
      <c r="BB19" s="132" t="s">
        <v>3731</v>
      </c>
      <c r="BC19" s="133"/>
      <c r="BD19" s="132" t="str">
        <f>IF(OR(F19="",BC19=""),"",COUNTIF(BC$9:BC19,"√"))</f>
        <v/>
      </c>
      <c r="BE19" s="134" t="str">
        <f t="shared" si="3"/>
        <v/>
      </c>
      <c r="BF19" s="135" t="str">
        <f t="shared" si="15"/>
        <v/>
      </c>
      <c r="BG19" s="135" t="str">
        <f t="shared" si="15"/>
        <v/>
      </c>
      <c r="BH19" s="136"/>
      <c r="BI19" s="136"/>
      <c r="BJ19" s="136"/>
      <c r="BK19" s="136"/>
      <c r="BL19" s="136"/>
      <c r="BM19" s="137"/>
      <c r="BN19" s="136"/>
      <c r="BO19" s="137"/>
      <c r="BP19" s="165" t="s">
        <v>2706</v>
      </c>
      <c r="BQ19" s="223"/>
      <c r="BR19" s="156">
        <f t="shared" si="4"/>
        <v>0</v>
      </c>
      <c r="BS19" s="156">
        <f t="shared" si="16"/>
        <v>0</v>
      </c>
      <c r="BT19" s="776"/>
      <c r="BU19" s="776"/>
      <c r="BV19" s="776"/>
      <c r="BW19" s="851">
        <f t="shared" si="17"/>
        <v>0</v>
      </c>
      <c r="BX19" s="156">
        <f t="shared" si="18"/>
        <v>0</v>
      </c>
      <c r="BY19" s="156">
        <f t="shared" si="19"/>
        <v>0</v>
      </c>
      <c r="BZ19" s="156">
        <f t="shared" si="20"/>
        <v>1</v>
      </c>
      <c r="CA19" s="658">
        <f>LOOKUP(BZ19,参数表!$A$13:$B$19)</f>
        <v>0</v>
      </c>
      <c r="CB19" s="156">
        <f t="shared" si="21"/>
        <v>0</v>
      </c>
      <c r="CC19" s="156">
        <f t="shared" si="22"/>
        <v>0</v>
      </c>
      <c r="CD19" s="156">
        <f t="shared" si="23"/>
        <v>125.582477754962</v>
      </c>
      <c r="CE19" s="223"/>
      <c r="CF19" s="746">
        <f t="shared" si="24"/>
        <v>0</v>
      </c>
      <c r="CG19" s="746">
        <f t="shared" si="25"/>
        <v>0</v>
      </c>
      <c r="CH19" s="746">
        <f t="shared" si="26"/>
        <v>0</v>
      </c>
      <c r="CJ19" s="134" t="str">
        <f>IF(COUNTIF(CJ$8:CJ18,F19)&gt;0,"",F19)&amp;""</f>
        <v/>
      </c>
      <c r="CK19" s="138">
        <f t="shared" si="27"/>
        <v>0</v>
      </c>
      <c r="CL19" s="132">
        <f t="shared" si="28"/>
        <v>1</v>
      </c>
      <c r="CM19" s="138">
        <f t="shared" si="29"/>
        <v>0</v>
      </c>
      <c r="CN19" s="132">
        <f t="shared" si="30"/>
        <v>1</v>
      </c>
      <c r="CO19" s="133"/>
      <c r="CP19" s="133"/>
    </row>
    <row r="20" ht="15" customHeight="1" spans="1:95">
      <c r="A20" s="123" t="str">
        <f>IF(F20="","",COUNT(A$8:A19)+1)</f>
        <v/>
      </c>
      <c r="B20" s="141"/>
      <c r="C20" s="139"/>
      <c r="D20" s="139"/>
      <c r="E20" s="141"/>
      <c r="F20" s="139"/>
      <c r="G20" s="139"/>
      <c r="H20" s="535"/>
      <c r="I20" s="535"/>
      <c r="J20" s="141"/>
      <c r="K20" s="914"/>
      <c r="L20" s="914"/>
      <c r="M20" s="914"/>
      <c r="N20" s="914"/>
      <c r="O20" s="914"/>
      <c r="P20" s="914"/>
      <c r="Q20" s="914"/>
      <c r="R20" s="914"/>
      <c r="S20" s="535"/>
      <c r="T20" s="915"/>
      <c r="U20" s="141"/>
      <c r="V20" s="536"/>
      <c r="W20" s="140"/>
      <c r="X20" s="140"/>
      <c r="Y20" s="143"/>
      <c r="Z20" s="129" t="str">
        <f t="shared" si="6"/>
        <v/>
      </c>
      <c r="AA20" s="142"/>
      <c r="AB20" s="127" t="str">
        <f>IFERROR(VLOOKUP(AA20,参数表!$H$2:$I$50,2,FALSE),"")</f>
        <v/>
      </c>
      <c r="AC20" s="128" t="str">
        <f t="shared" si="7"/>
        <v/>
      </c>
      <c r="AD20" s="128" t="str">
        <f t="shared" si="8"/>
        <v/>
      </c>
      <c r="AE20" s="129" t="str">
        <f t="shared" si="9"/>
        <v/>
      </c>
      <c r="AF20" s="143"/>
      <c r="AG20" s="143"/>
      <c r="AH20" s="143"/>
      <c r="AI20" s="144"/>
      <c r="AJ20" s="144"/>
      <c r="AK20" s="144"/>
      <c r="AL20" s="129" t="str">
        <f t="shared" si="10"/>
        <v/>
      </c>
      <c r="AM20" s="129" t="str">
        <f t="shared" si="11"/>
        <v/>
      </c>
      <c r="AN20" s="129" t="str">
        <f t="shared" si="12"/>
        <v/>
      </c>
      <c r="AO20" s="129" t="str">
        <f t="shared" si="0"/>
        <v/>
      </c>
      <c r="AP20" s="521" t="str">
        <f t="shared" si="1"/>
        <v/>
      </c>
      <c r="AQ20" s="129" t="str">
        <f t="shared" si="13"/>
        <v/>
      </c>
      <c r="AR20" s="129" t="str">
        <f t="shared" si="14"/>
        <v/>
      </c>
      <c r="AS20" s="129" t="str">
        <f t="shared" si="2"/>
        <v/>
      </c>
      <c r="AT20" s="139"/>
      <c r="AU20" s="913"/>
      <c r="AV20" s="942"/>
      <c r="BA20" s="78"/>
      <c r="BB20" s="132" t="s">
        <v>3732</v>
      </c>
      <c r="BC20" s="133"/>
      <c r="BD20" s="132" t="str">
        <f>IF(OR(F20="",BC20=""),"",COUNTIF(BC$9:BC20,"√"))</f>
        <v/>
      </c>
      <c r="BE20" s="134" t="str">
        <f t="shared" si="3"/>
        <v/>
      </c>
      <c r="BF20" s="135" t="str">
        <f t="shared" si="15"/>
        <v/>
      </c>
      <c r="BG20" s="135" t="str">
        <f t="shared" si="15"/>
        <v/>
      </c>
      <c r="BH20" s="136"/>
      <c r="BI20" s="136"/>
      <c r="BJ20" s="136"/>
      <c r="BK20" s="136"/>
      <c r="BL20" s="136"/>
      <c r="BM20" s="137"/>
      <c r="BN20" s="136"/>
      <c r="BO20" s="137"/>
      <c r="BP20" s="165" t="s">
        <v>2706</v>
      </c>
      <c r="BQ20" s="223"/>
      <c r="BR20" s="156">
        <f t="shared" si="4"/>
        <v>0</v>
      </c>
      <c r="BS20" s="156">
        <f t="shared" si="16"/>
        <v>0</v>
      </c>
      <c r="BT20" s="776"/>
      <c r="BU20" s="776"/>
      <c r="BV20" s="776"/>
      <c r="BW20" s="851">
        <f t="shared" si="17"/>
        <v>0</v>
      </c>
      <c r="BX20" s="156">
        <f t="shared" si="18"/>
        <v>0</v>
      </c>
      <c r="BY20" s="156">
        <f t="shared" si="19"/>
        <v>0</v>
      </c>
      <c r="BZ20" s="156">
        <f t="shared" si="20"/>
        <v>1</v>
      </c>
      <c r="CA20" s="658">
        <f>LOOKUP(BZ20,参数表!$A$13:$B$19)</f>
        <v>0</v>
      </c>
      <c r="CB20" s="156">
        <f t="shared" si="21"/>
        <v>0</v>
      </c>
      <c r="CC20" s="156">
        <f t="shared" si="22"/>
        <v>0</v>
      </c>
      <c r="CD20" s="156">
        <f t="shared" si="23"/>
        <v>125.582477754962</v>
      </c>
      <c r="CE20" s="223"/>
      <c r="CF20" s="746">
        <f t="shared" si="24"/>
        <v>0</v>
      </c>
      <c r="CG20" s="746">
        <f t="shared" si="25"/>
        <v>0</v>
      </c>
      <c r="CH20" s="746">
        <f t="shared" si="26"/>
        <v>0</v>
      </c>
      <c r="CJ20" s="134" t="str">
        <f>IF(COUNTIF(CJ$8:CJ19,F20)&gt;0,"",F20)&amp;""</f>
        <v/>
      </c>
      <c r="CK20" s="138">
        <f t="shared" si="27"/>
        <v>0</v>
      </c>
      <c r="CL20" s="132">
        <f t="shared" si="28"/>
        <v>1</v>
      </c>
      <c r="CM20" s="138">
        <f t="shared" si="29"/>
        <v>0</v>
      </c>
      <c r="CN20" s="132">
        <f t="shared" si="30"/>
        <v>1</v>
      </c>
      <c r="CO20" s="133"/>
      <c r="CP20" s="133"/>
    </row>
    <row r="21" ht="15" customHeight="1" spans="1:95">
      <c r="A21" s="123" t="str">
        <f>IF(F21="","",COUNT(A$8:A20)+1)</f>
        <v/>
      </c>
      <c r="B21" s="141"/>
      <c r="C21" s="139"/>
      <c r="D21" s="139"/>
      <c r="E21" s="141"/>
      <c r="F21" s="139"/>
      <c r="G21" s="139"/>
      <c r="H21" s="535"/>
      <c r="I21" s="535"/>
      <c r="J21" s="141"/>
      <c r="K21" s="914"/>
      <c r="L21" s="914"/>
      <c r="M21" s="914"/>
      <c r="N21" s="914"/>
      <c r="O21" s="914"/>
      <c r="P21" s="914"/>
      <c r="Q21" s="914"/>
      <c r="R21" s="914"/>
      <c r="S21" s="535"/>
      <c r="T21" s="915"/>
      <c r="U21" s="141"/>
      <c r="V21" s="536"/>
      <c r="W21" s="140"/>
      <c r="X21" s="140"/>
      <c r="Y21" s="143"/>
      <c r="Z21" s="129" t="str">
        <f t="shared" si="6"/>
        <v/>
      </c>
      <c r="AA21" s="142"/>
      <c r="AB21" s="127" t="str">
        <f>IFERROR(VLOOKUP(AA21,参数表!$H$2:$I$50,2,FALSE),"")</f>
        <v/>
      </c>
      <c r="AC21" s="128" t="str">
        <f t="shared" si="7"/>
        <v/>
      </c>
      <c r="AD21" s="128" t="str">
        <f t="shared" si="8"/>
        <v/>
      </c>
      <c r="AE21" s="129" t="str">
        <f t="shared" si="9"/>
        <v/>
      </c>
      <c r="AF21" s="143"/>
      <c r="AG21" s="143"/>
      <c r="AH21" s="143"/>
      <c r="AI21" s="144"/>
      <c r="AJ21" s="144"/>
      <c r="AK21" s="144"/>
      <c r="AL21" s="129" t="str">
        <f t="shared" si="10"/>
        <v/>
      </c>
      <c r="AM21" s="129" t="str">
        <f t="shared" si="11"/>
        <v/>
      </c>
      <c r="AN21" s="129" t="str">
        <f t="shared" si="12"/>
        <v/>
      </c>
      <c r="AO21" s="129" t="str">
        <f t="shared" si="0"/>
        <v/>
      </c>
      <c r="AP21" s="521" t="str">
        <f t="shared" si="1"/>
        <v/>
      </c>
      <c r="AQ21" s="129" t="str">
        <f t="shared" si="13"/>
        <v/>
      </c>
      <c r="AR21" s="129" t="str">
        <f t="shared" si="14"/>
        <v/>
      </c>
      <c r="AS21" s="129" t="str">
        <f t="shared" si="2"/>
        <v/>
      </c>
      <c r="AT21" s="139"/>
      <c r="AU21" s="913"/>
      <c r="AV21" s="942"/>
      <c r="BA21" s="78"/>
      <c r="BB21" s="132" t="s">
        <v>3733</v>
      </c>
      <c r="BC21" s="133"/>
      <c r="BD21" s="132" t="str">
        <f>IF(OR(F21="",BC21=""),"",COUNTIF(BC$9:BC21,"√"))</f>
        <v/>
      </c>
      <c r="BE21" s="134" t="str">
        <f t="shared" si="3"/>
        <v/>
      </c>
      <c r="BF21" s="135" t="str">
        <f t="shared" si="15"/>
        <v/>
      </c>
      <c r="BG21" s="135" t="str">
        <f t="shared" si="15"/>
        <v/>
      </c>
      <c r="BH21" s="136"/>
      <c r="BI21" s="136"/>
      <c r="BJ21" s="136"/>
      <c r="BK21" s="136"/>
      <c r="BL21" s="136"/>
      <c r="BM21" s="137"/>
      <c r="BN21" s="136"/>
      <c r="BO21" s="137"/>
      <c r="BP21" s="165" t="s">
        <v>2706</v>
      </c>
      <c r="BQ21" s="223"/>
      <c r="BR21" s="156">
        <f t="shared" si="4"/>
        <v>0</v>
      </c>
      <c r="BS21" s="156">
        <f t="shared" si="16"/>
        <v>0</v>
      </c>
      <c r="BT21" s="776"/>
      <c r="BU21" s="776"/>
      <c r="BV21" s="776"/>
      <c r="BW21" s="851">
        <f t="shared" si="17"/>
        <v>0</v>
      </c>
      <c r="BX21" s="156">
        <f t="shared" si="18"/>
        <v>0</v>
      </c>
      <c r="BY21" s="156">
        <f t="shared" si="19"/>
        <v>0</v>
      </c>
      <c r="BZ21" s="156">
        <f t="shared" si="20"/>
        <v>1</v>
      </c>
      <c r="CA21" s="658">
        <f>LOOKUP(BZ21,参数表!$A$13:$B$19)</f>
        <v>0</v>
      </c>
      <c r="CB21" s="156">
        <f t="shared" si="21"/>
        <v>0</v>
      </c>
      <c r="CC21" s="156">
        <f t="shared" si="22"/>
        <v>0</v>
      </c>
      <c r="CD21" s="156">
        <f t="shared" si="23"/>
        <v>125.582477754962</v>
      </c>
      <c r="CE21" s="223"/>
      <c r="CF21" s="746">
        <f t="shared" si="24"/>
        <v>0</v>
      </c>
      <c r="CG21" s="746">
        <f t="shared" si="25"/>
        <v>0</v>
      </c>
      <c r="CH21" s="746">
        <f t="shared" si="26"/>
        <v>0</v>
      </c>
      <c r="CJ21" s="134" t="str">
        <f>IF(COUNTIF(CJ$8:CJ20,F21)&gt;0,"",F21)&amp;""</f>
        <v/>
      </c>
      <c r="CK21" s="138">
        <f t="shared" si="27"/>
        <v>0</v>
      </c>
      <c r="CL21" s="132">
        <f t="shared" si="28"/>
        <v>1</v>
      </c>
      <c r="CM21" s="138">
        <f t="shared" si="29"/>
        <v>0</v>
      </c>
      <c r="CN21" s="132">
        <f t="shared" si="30"/>
        <v>1</v>
      </c>
      <c r="CO21" s="133"/>
      <c r="CP21" s="133"/>
    </row>
    <row r="22" ht="15" customHeight="1" spans="1:95">
      <c r="A22" s="123" t="str">
        <f>IF(F22="","",COUNT(A$8:A21)+1)</f>
        <v/>
      </c>
      <c r="B22" s="141"/>
      <c r="C22" s="139"/>
      <c r="D22" s="139"/>
      <c r="E22" s="141"/>
      <c r="F22" s="139"/>
      <c r="G22" s="139"/>
      <c r="H22" s="535"/>
      <c r="I22" s="535"/>
      <c r="J22" s="141"/>
      <c r="K22" s="914"/>
      <c r="L22" s="914"/>
      <c r="M22" s="914"/>
      <c r="N22" s="914"/>
      <c r="O22" s="914"/>
      <c r="P22" s="914"/>
      <c r="Q22" s="914"/>
      <c r="R22" s="914"/>
      <c r="S22" s="535"/>
      <c r="T22" s="915"/>
      <c r="U22" s="141"/>
      <c r="V22" s="536"/>
      <c r="W22" s="140"/>
      <c r="X22" s="140"/>
      <c r="Y22" s="143"/>
      <c r="Z22" s="129" t="str">
        <f t="shared" si="6"/>
        <v/>
      </c>
      <c r="AA22" s="142"/>
      <c r="AB22" s="127" t="str">
        <f>IFERROR(VLOOKUP(AA22,参数表!$H$2:$I$50,2,FALSE),"")</f>
        <v/>
      </c>
      <c r="AC22" s="128" t="str">
        <f t="shared" si="7"/>
        <v/>
      </c>
      <c r="AD22" s="128" t="str">
        <f t="shared" si="8"/>
        <v/>
      </c>
      <c r="AE22" s="129" t="str">
        <f t="shared" si="9"/>
        <v/>
      </c>
      <c r="AF22" s="143"/>
      <c r="AG22" s="143"/>
      <c r="AH22" s="143"/>
      <c r="AI22" s="144"/>
      <c r="AJ22" s="144"/>
      <c r="AK22" s="144"/>
      <c r="AL22" s="129" t="str">
        <f t="shared" si="10"/>
        <v/>
      </c>
      <c r="AM22" s="129" t="str">
        <f t="shared" si="11"/>
        <v/>
      </c>
      <c r="AN22" s="129" t="str">
        <f t="shared" si="12"/>
        <v/>
      </c>
      <c r="AO22" s="129" t="str">
        <f t="shared" si="0"/>
        <v/>
      </c>
      <c r="AP22" s="521" t="str">
        <f t="shared" si="1"/>
        <v/>
      </c>
      <c r="AQ22" s="129" t="str">
        <f t="shared" si="13"/>
        <v/>
      </c>
      <c r="AR22" s="129" t="str">
        <f t="shared" si="14"/>
        <v/>
      </c>
      <c r="AS22" s="129" t="str">
        <f t="shared" si="2"/>
        <v/>
      </c>
      <c r="AT22" s="139"/>
      <c r="AU22" s="913"/>
      <c r="AV22" s="942"/>
      <c r="BA22" s="78"/>
      <c r="BB22" s="132" t="s">
        <v>3734</v>
      </c>
      <c r="BC22" s="133"/>
      <c r="BD22" s="132" t="str">
        <f>IF(OR(F22="",BC22=""),"",COUNTIF(BC$9:BC22,"√"))</f>
        <v/>
      </c>
      <c r="BE22" s="134" t="str">
        <f t="shared" si="3"/>
        <v/>
      </c>
      <c r="BF22" s="135" t="str">
        <f t="shared" si="15"/>
        <v/>
      </c>
      <c r="BG22" s="135" t="str">
        <f t="shared" si="15"/>
        <v/>
      </c>
      <c r="BH22" s="136"/>
      <c r="BI22" s="136"/>
      <c r="BJ22" s="136"/>
      <c r="BK22" s="136"/>
      <c r="BL22" s="136"/>
      <c r="BM22" s="137"/>
      <c r="BN22" s="136"/>
      <c r="BO22" s="137"/>
      <c r="BP22" s="165" t="s">
        <v>2706</v>
      </c>
      <c r="BQ22" s="223"/>
      <c r="BR22" s="156">
        <f t="shared" si="4"/>
        <v>0</v>
      </c>
      <c r="BS22" s="156">
        <f t="shared" si="16"/>
        <v>0</v>
      </c>
      <c r="BT22" s="776"/>
      <c r="BU22" s="776"/>
      <c r="BV22" s="776"/>
      <c r="BW22" s="851">
        <f t="shared" si="17"/>
        <v>0</v>
      </c>
      <c r="BX22" s="156">
        <f t="shared" si="18"/>
        <v>0</v>
      </c>
      <c r="BY22" s="156">
        <f t="shared" si="19"/>
        <v>0</v>
      </c>
      <c r="BZ22" s="156">
        <f t="shared" si="20"/>
        <v>1</v>
      </c>
      <c r="CA22" s="658">
        <f>LOOKUP(BZ22,参数表!$A$13:$B$19)</f>
        <v>0</v>
      </c>
      <c r="CB22" s="156">
        <f t="shared" si="21"/>
        <v>0</v>
      </c>
      <c r="CC22" s="156">
        <f t="shared" si="22"/>
        <v>0</v>
      </c>
      <c r="CD22" s="156">
        <f t="shared" si="23"/>
        <v>125.582477754962</v>
      </c>
      <c r="CE22" s="223"/>
      <c r="CF22" s="746">
        <f t="shared" si="24"/>
        <v>0</v>
      </c>
      <c r="CG22" s="746">
        <f t="shared" si="25"/>
        <v>0</v>
      </c>
      <c r="CH22" s="746">
        <f t="shared" si="26"/>
        <v>0</v>
      </c>
      <c r="CJ22" s="134" t="str">
        <f>IF(COUNTIF(CJ$8:CJ21,F22)&gt;0,"",F22)&amp;""</f>
        <v/>
      </c>
      <c r="CK22" s="138">
        <f t="shared" si="27"/>
        <v>0</v>
      </c>
      <c r="CL22" s="132">
        <f t="shared" si="28"/>
        <v>1</v>
      </c>
      <c r="CM22" s="138">
        <f t="shared" si="29"/>
        <v>0</v>
      </c>
      <c r="CN22" s="132">
        <f t="shared" si="30"/>
        <v>1</v>
      </c>
      <c r="CO22" s="133"/>
      <c r="CP22" s="133"/>
    </row>
    <row r="23" ht="15" customHeight="1" spans="1:95">
      <c r="A23" s="123" t="str">
        <f>IF(F23="","",COUNT(A$8:A22)+1)</f>
        <v/>
      </c>
      <c r="B23" s="141"/>
      <c r="C23" s="139"/>
      <c r="D23" s="139"/>
      <c r="E23" s="141"/>
      <c r="F23" s="139"/>
      <c r="G23" s="139"/>
      <c r="H23" s="535"/>
      <c r="I23" s="535"/>
      <c r="J23" s="141"/>
      <c r="K23" s="914"/>
      <c r="L23" s="914"/>
      <c r="M23" s="914"/>
      <c r="N23" s="914"/>
      <c r="O23" s="914"/>
      <c r="P23" s="914"/>
      <c r="Q23" s="914"/>
      <c r="R23" s="914"/>
      <c r="S23" s="535"/>
      <c r="T23" s="915"/>
      <c r="U23" s="141"/>
      <c r="V23" s="536"/>
      <c r="W23" s="140"/>
      <c r="X23" s="140"/>
      <c r="Y23" s="143"/>
      <c r="Z23" s="129" t="str">
        <f t="shared" si="6"/>
        <v/>
      </c>
      <c r="AA23" s="142"/>
      <c r="AB23" s="127" t="str">
        <f>IFERROR(VLOOKUP(AA23,参数表!$H$2:$I$50,2,FALSE),"")</f>
        <v/>
      </c>
      <c r="AC23" s="128" t="str">
        <f t="shared" si="7"/>
        <v/>
      </c>
      <c r="AD23" s="128" t="str">
        <f t="shared" si="8"/>
        <v/>
      </c>
      <c r="AE23" s="129" t="str">
        <f t="shared" si="9"/>
        <v/>
      </c>
      <c r="AF23" s="143"/>
      <c r="AG23" s="143"/>
      <c r="AH23" s="143"/>
      <c r="AI23" s="144"/>
      <c r="AJ23" s="144"/>
      <c r="AK23" s="144"/>
      <c r="AL23" s="129" t="str">
        <f t="shared" si="10"/>
        <v/>
      </c>
      <c r="AM23" s="129" t="str">
        <f t="shared" si="11"/>
        <v/>
      </c>
      <c r="AN23" s="129" t="str">
        <f t="shared" si="12"/>
        <v/>
      </c>
      <c r="AO23" s="129" t="str">
        <f t="shared" si="0"/>
        <v/>
      </c>
      <c r="AP23" s="521" t="str">
        <f t="shared" si="1"/>
        <v/>
      </c>
      <c r="AQ23" s="129" t="str">
        <f t="shared" si="13"/>
        <v/>
      </c>
      <c r="AR23" s="129" t="str">
        <f t="shared" si="14"/>
        <v/>
      </c>
      <c r="AS23" s="129" t="str">
        <f t="shared" si="2"/>
        <v/>
      </c>
      <c r="AT23" s="139"/>
      <c r="AU23" s="913"/>
      <c r="AV23" s="942"/>
      <c r="BA23" s="78"/>
      <c r="BB23" s="132" t="s">
        <v>3735</v>
      </c>
      <c r="BC23" s="133"/>
      <c r="BD23" s="132" t="str">
        <f>IF(OR(F23="",BC23=""),"",COUNTIF(BC$9:BC23,"√"))</f>
        <v/>
      </c>
      <c r="BE23" s="134" t="str">
        <f t="shared" si="3"/>
        <v/>
      </c>
      <c r="BF23" s="135" t="str">
        <f t="shared" si="15"/>
        <v/>
      </c>
      <c r="BG23" s="135" t="str">
        <f t="shared" si="15"/>
        <v/>
      </c>
      <c r="BH23" s="136"/>
      <c r="BI23" s="136"/>
      <c r="BJ23" s="136"/>
      <c r="BK23" s="136"/>
      <c r="BL23" s="136"/>
      <c r="BM23" s="137"/>
      <c r="BN23" s="136"/>
      <c r="BO23" s="137"/>
      <c r="BP23" s="165" t="s">
        <v>2706</v>
      </c>
      <c r="BQ23" s="223"/>
      <c r="BR23" s="156">
        <f t="shared" si="4"/>
        <v>0</v>
      </c>
      <c r="BS23" s="156">
        <f t="shared" si="16"/>
        <v>0</v>
      </c>
      <c r="BT23" s="776"/>
      <c r="BU23" s="776"/>
      <c r="BV23" s="776"/>
      <c r="BW23" s="851">
        <f t="shared" si="17"/>
        <v>0</v>
      </c>
      <c r="BX23" s="156">
        <f t="shared" si="18"/>
        <v>0</v>
      </c>
      <c r="BY23" s="156">
        <f t="shared" si="19"/>
        <v>0</v>
      </c>
      <c r="BZ23" s="156">
        <f t="shared" si="20"/>
        <v>1</v>
      </c>
      <c r="CA23" s="658">
        <f>LOOKUP(BZ23,参数表!$A$13:$B$19)</f>
        <v>0</v>
      </c>
      <c r="CB23" s="156">
        <f t="shared" si="21"/>
        <v>0</v>
      </c>
      <c r="CC23" s="156">
        <f t="shared" si="22"/>
        <v>0</v>
      </c>
      <c r="CD23" s="156">
        <f t="shared" si="23"/>
        <v>125.582477754962</v>
      </c>
      <c r="CE23" s="223"/>
      <c r="CF23" s="746">
        <f t="shared" si="24"/>
        <v>0</v>
      </c>
      <c r="CG23" s="746">
        <f t="shared" si="25"/>
        <v>0</v>
      </c>
      <c r="CH23" s="746">
        <f t="shared" si="26"/>
        <v>0</v>
      </c>
      <c r="CJ23" s="134" t="str">
        <f>IF(COUNTIF(CJ$8:CJ22,F23)&gt;0,"",F23)&amp;""</f>
        <v/>
      </c>
      <c r="CK23" s="138">
        <f t="shared" si="27"/>
        <v>0</v>
      </c>
      <c r="CL23" s="132">
        <f t="shared" si="28"/>
        <v>1</v>
      </c>
      <c r="CM23" s="138">
        <f t="shared" si="29"/>
        <v>0</v>
      </c>
      <c r="CN23" s="132">
        <f t="shared" si="30"/>
        <v>1</v>
      </c>
      <c r="CO23" s="133"/>
      <c r="CP23" s="133"/>
    </row>
    <row r="24" ht="15" customHeight="1" spans="1:95">
      <c r="A24" s="123" t="str">
        <f>IF(F24="","",COUNT(A$8:A23)+1)</f>
        <v/>
      </c>
      <c r="B24" s="141"/>
      <c r="C24" s="139"/>
      <c r="D24" s="139"/>
      <c r="E24" s="141"/>
      <c r="F24" s="139"/>
      <c r="G24" s="139"/>
      <c r="H24" s="535"/>
      <c r="I24" s="535"/>
      <c r="J24" s="141"/>
      <c r="K24" s="914"/>
      <c r="L24" s="914"/>
      <c r="M24" s="914"/>
      <c r="N24" s="914"/>
      <c r="O24" s="914"/>
      <c r="P24" s="914"/>
      <c r="Q24" s="914"/>
      <c r="R24" s="914"/>
      <c r="S24" s="535"/>
      <c r="T24" s="915"/>
      <c r="U24" s="141"/>
      <c r="V24" s="536"/>
      <c r="W24" s="140"/>
      <c r="X24" s="140"/>
      <c r="Y24" s="143"/>
      <c r="Z24" s="129" t="str">
        <f t="shared" si="6"/>
        <v/>
      </c>
      <c r="AA24" s="142"/>
      <c r="AB24" s="127" t="str">
        <f>IFERROR(VLOOKUP(AA24,参数表!$H$2:$I$50,2,FALSE),"")</f>
        <v/>
      </c>
      <c r="AC24" s="128" t="str">
        <f t="shared" si="7"/>
        <v/>
      </c>
      <c r="AD24" s="128" t="str">
        <f t="shared" si="8"/>
        <v/>
      </c>
      <c r="AE24" s="129" t="str">
        <f t="shared" si="9"/>
        <v/>
      </c>
      <c r="AF24" s="143"/>
      <c r="AG24" s="143"/>
      <c r="AH24" s="143"/>
      <c r="AI24" s="144"/>
      <c r="AJ24" s="144"/>
      <c r="AK24" s="144"/>
      <c r="AL24" s="129" t="str">
        <f t="shared" si="10"/>
        <v/>
      </c>
      <c r="AM24" s="129" t="str">
        <f t="shared" si="11"/>
        <v/>
      </c>
      <c r="AN24" s="129" t="str">
        <f t="shared" si="12"/>
        <v/>
      </c>
      <c r="AO24" s="129" t="str">
        <f t="shared" si="0"/>
        <v/>
      </c>
      <c r="AP24" s="521" t="str">
        <f t="shared" si="1"/>
        <v/>
      </c>
      <c r="AQ24" s="129" t="str">
        <f t="shared" si="13"/>
        <v/>
      </c>
      <c r="AR24" s="129" t="str">
        <f t="shared" si="14"/>
        <v/>
      </c>
      <c r="AS24" s="129" t="str">
        <f t="shared" si="2"/>
        <v/>
      </c>
      <c r="AT24" s="139"/>
      <c r="AU24" s="913"/>
      <c r="AV24" s="942"/>
      <c r="BA24" s="78"/>
      <c r="BB24" s="132" t="s">
        <v>3736</v>
      </c>
      <c r="BC24" s="133"/>
      <c r="BD24" s="132" t="str">
        <f>IF(OR(F24="",BC24=""),"",COUNTIF(BC$9:BC24,"√"))</f>
        <v/>
      </c>
      <c r="BE24" s="134" t="str">
        <f t="shared" si="3"/>
        <v/>
      </c>
      <c r="BF24" s="135" t="str">
        <f t="shared" si="15"/>
        <v/>
      </c>
      <c r="BG24" s="135" t="str">
        <f t="shared" si="15"/>
        <v/>
      </c>
      <c r="BH24" s="136"/>
      <c r="BI24" s="136"/>
      <c r="BJ24" s="136"/>
      <c r="BK24" s="136"/>
      <c r="BL24" s="136"/>
      <c r="BM24" s="137"/>
      <c r="BN24" s="136"/>
      <c r="BO24" s="137"/>
      <c r="BP24" s="165" t="s">
        <v>2706</v>
      </c>
      <c r="BQ24" s="223"/>
      <c r="BR24" s="156">
        <f t="shared" si="4"/>
        <v>0</v>
      </c>
      <c r="BS24" s="156">
        <f t="shared" si="16"/>
        <v>0</v>
      </c>
      <c r="BT24" s="776"/>
      <c r="BU24" s="776"/>
      <c r="BV24" s="776"/>
      <c r="BW24" s="851">
        <f t="shared" si="17"/>
        <v>0</v>
      </c>
      <c r="BX24" s="156">
        <f t="shared" si="18"/>
        <v>0</v>
      </c>
      <c r="BY24" s="156">
        <f t="shared" si="19"/>
        <v>0</v>
      </c>
      <c r="BZ24" s="156">
        <f t="shared" si="20"/>
        <v>1</v>
      </c>
      <c r="CA24" s="658">
        <f>LOOKUP(BZ24,参数表!$A$13:$B$19)</f>
        <v>0</v>
      </c>
      <c r="CB24" s="156">
        <f t="shared" si="21"/>
        <v>0</v>
      </c>
      <c r="CC24" s="156">
        <f t="shared" si="22"/>
        <v>0</v>
      </c>
      <c r="CD24" s="156">
        <f t="shared" si="23"/>
        <v>125.582477754962</v>
      </c>
      <c r="CE24" s="223"/>
      <c r="CF24" s="746">
        <f t="shared" si="24"/>
        <v>0</v>
      </c>
      <c r="CG24" s="746">
        <f t="shared" si="25"/>
        <v>0</v>
      </c>
      <c r="CH24" s="746">
        <f t="shared" si="26"/>
        <v>0</v>
      </c>
      <c r="CJ24" s="134" t="str">
        <f>IF(COUNTIF(CJ$8:CJ23,F24)&gt;0,"",F24)&amp;""</f>
        <v/>
      </c>
      <c r="CK24" s="138">
        <f t="shared" si="27"/>
        <v>0</v>
      </c>
      <c r="CL24" s="132">
        <f t="shared" si="28"/>
        <v>1</v>
      </c>
      <c r="CM24" s="138">
        <f t="shared" si="29"/>
        <v>0</v>
      </c>
      <c r="CN24" s="132">
        <f t="shared" si="30"/>
        <v>1</v>
      </c>
      <c r="CO24" s="133"/>
      <c r="CP24" s="133"/>
    </row>
    <row r="25" ht="15" customHeight="1" spans="1:95">
      <c r="A25" s="123" t="str">
        <f>IF(F25="","",COUNT(A$8:A24)+1)</f>
        <v/>
      </c>
      <c r="B25" s="141"/>
      <c r="C25" s="139"/>
      <c r="D25" s="139"/>
      <c r="E25" s="141"/>
      <c r="F25" s="139"/>
      <c r="G25" s="139"/>
      <c r="H25" s="535"/>
      <c r="I25" s="535"/>
      <c r="J25" s="141"/>
      <c r="K25" s="914"/>
      <c r="L25" s="914"/>
      <c r="M25" s="914"/>
      <c r="N25" s="914"/>
      <c r="O25" s="914"/>
      <c r="P25" s="914"/>
      <c r="Q25" s="914"/>
      <c r="R25" s="914"/>
      <c r="S25" s="535"/>
      <c r="T25" s="915"/>
      <c r="U25" s="141"/>
      <c r="V25" s="536"/>
      <c r="W25" s="140"/>
      <c r="X25" s="140"/>
      <c r="Y25" s="143"/>
      <c r="Z25" s="129" t="str">
        <f t="shared" si="6"/>
        <v/>
      </c>
      <c r="AA25" s="142"/>
      <c r="AB25" s="127" t="str">
        <f>IFERROR(VLOOKUP(AA25,参数表!$H$2:$I$50,2,FALSE),"")</f>
        <v/>
      </c>
      <c r="AC25" s="128" t="str">
        <f t="shared" si="7"/>
        <v/>
      </c>
      <c r="AD25" s="128" t="str">
        <f t="shared" si="8"/>
        <v/>
      </c>
      <c r="AE25" s="129" t="str">
        <f t="shared" si="9"/>
        <v/>
      </c>
      <c r="AF25" s="143"/>
      <c r="AG25" s="143"/>
      <c r="AH25" s="143"/>
      <c r="AI25" s="144"/>
      <c r="AJ25" s="144"/>
      <c r="AK25" s="144"/>
      <c r="AL25" s="129" t="str">
        <f t="shared" si="10"/>
        <v/>
      </c>
      <c r="AM25" s="129" t="str">
        <f t="shared" si="11"/>
        <v/>
      </c>
      <c r="AN25" s="129" t="str">
        <f t="shared" si="12"/>
        <v/>
      </c>
      <c r="AO25" s="129" t="str">
        <f t="shared" si="0"/>
        <v/>
      </c>
      <c r="AP25" s="521" t="str">
        <f t="shared" si="1"/>
        <v/>
      </c>
      <c r="AQ25" s="129" t="str">
        <f t="shared" si="13"/>
        <v/>
      </c>
      <c r="AR25" s="129" t="str">
        <f t="shared" si="14"/>
        <v/>
      </c>
      <c r="AS25" s="129" t="str">
        <f t="shared" si="2"/>
        <v/>
      </c>
      <c r="AT25" s="139"/>
      <c r="AU25" s="913"/>
      <c r="AV25" s="942"/>
      <c r="BA25" s="78"/>
      <c r="BB25" s="132" t="s">
        <v>3737</v>
      </c>
      <c r="BC25" s="133"/>
      <c r="BD25" s="132" t="str">
        <f>IF(OR(F25="",BC25=""),"",COUNTIF(BC$9:BC25,"√"))</f>
        <v/>
      </c>
      <c r="BE25" s="134" t="str">
        <f t="shared" si="3"/>
        <v/>
      </c>
      <c r="BF25" s="135" t="str">
        <f t="shared" si="15"/>
        <v/>
      </c>
      <c r="BG25" s="135" t="str">
        <f t="shared" si="15"/>
        <v/>
      </c>
      <c r="BH25" s="136"/>
      <c r="BI25" s="136"/>
      <c r="BJ25" s="136"/>
      <c r="BK25" s="136"/>
      <c r="BL25" s="136"/>
      <c r="BM25" s="137"/>
      <c r="BN25" s="136"/>
      <c r="BO25" s="137"/>
      <c r="BP25" s="165" t="s">
        <v>2706</v>
      </c>
      <c r="BQ25" s="223"/>
      <c r="BR25" s="156">
        <f t="shared" si="4"/>
        <v>0</v>
      </c>
      <c r="BS25" s="156">
        <f t="shared" si="16"/>
        <v>0</v>
      </c>
      <c r="BT25" s="776"/>
      <c r="BU25" s="776"/>
      <c r="BV25" s="776"/>
      <c r="BW25" s="851">
        <f t="shared" si="17"/>
        <v>0</v>
      </c>
      <c r="BX25" s="156">
        <f t="shared" si="18"/>
        <v>0</v>
      </c>
      <c r="BY25" s="156">
        <f t="shared" si="19"/>
        <v>0</v>
      </c>
      <c r="BZ25" s="156">
        <f t="shared" si="20"/>
        <v>1</v>
      </c>
      <c r="CA25" s="658">
        <f>LOOKUP(BZ25,参数表!$A$13:$B$19)</f>
        <v>0</v>
      </c>
      <c r="CB25" s="156">
        <f t="shared" si="21"/>
        <v>0</v>
      </c>
      <c r="CC25" s="156">
        <f t="shared" si="22"/>
        <v>0</v>
      </c>
      <c r="CD25" s="156">
        <f t="shared" si="23"/>
        <v>125.582477754962</v>
      </c>
      <c r="CE25" s="223"/>
      <c r="CF25" s="746">
        <f t="shared" si="24"/>
        <v>0</v>
      </c>
      <c r="CG25" s="746">
        <f t="shared" si="25"/>
        <v>0</v>
      </c>
      <c r="CH25" s="746">
        <f t="shared" si="26"/>
        <v>0</v>
      </c>
      <c r="CJ25" s="134" t="str">
        <f>IF(COUNTIF(CJ$8:CJ24,F25)&gt;0,"",F25)&amp;""</f>
        <v/>
      </c>
      <c r="CK25" s="138">
        <f t="shared" si="27"/>
        <v>0</v>
      </c>
      <c r="CL25" s="132">
        <f t="shared" si="28"/>
        <v>1</v>
      </c>
      <c r="CM25" s="138">
        <f t="shared" si="29"/>
        <v>0</v>
      </c>
      <c r="CN25" s="132">
        <f t="shared" si="30"/>
        <v>1</v>
      </c>
      <c r="CO25" s="133"/>
      <c r="CP25" s="133"/>
    </row>
    <row r="26" ht="15" customHeight="1" spans="1:95">
      <c r="A26" s="123" t="str">
        <f>IF(F26="","",COUNT(A$8:A25)+1)</f>
        <v/>
      </c>
      <c r="B26" s="141"/>
      <c r="C26" s="139"/>
      <c r="D26" s="139"/>
      <c r="E26" s="141"/>
      <c r="F26" s="139"/>
      <c r="G26" s="139"/>
      <c r="H26" s="535"/>
      <c r="I26" s="535"/>
      <c r="J26" s="141"/>
      <c r="K26" s="914"/>
      <c r="L26" s="914"/>
      <c r="M26" s="914"/>
      <c r="N26" s="914"/>
      <c r="O26" s="914"/>
      <c r="P26" s="914"/>
      <c r="Q26" s="914"/>
      <c r="R26" s="914"/>
      <c r="S26" s="535"/>
      <c r="T26" s="915"/>
      <c r="U26" s="141"/>
      <c r="V26" s="536"/>
      <c r="W26" s="140"/>
      <c r="X26" s="140"/>
      <c r="Y26" s="143"/>
      <c r="Z26" s="129" t="str">
        <f t="shared" si="6"/>
        <v/>
      </c>
      <c r="AA26" s="142"/>
      <c r="AB26" s="127" t="str">
        <f>IFERROR(VLOOKUP(AA26,参数表!$H$2:$I$50,2,FALSE),"")</f>
        <v/>
      </c>
      <c r="AC26" s="128" t="str">
        <f t="shared" si="7"/>
        <v/>
      </c>
      <c r="AD26" s="128" t="str">
        <f t="shared" si="8"/>
        <v/>
      </c>
      <c r="AE26" s="129" t="str">
        <f t="shared" si="9"/>
        <v/>
      </c>
      <c r="AF26" s="143"/>
      <c r="AG26" s="143"/>
      <c r="AH26" s="143"/>
      <c r="AI26" s="144"/>
      <c r="AJ26" s="144"/>
      <c r="AK26" s="144"/>
      <c r="AL26" s="129" t="str">
        <f t="shared" si="10"/>
        <v/>
      </c>
      <c r="AM26" s="129" t="str">
        <f t="shared" si="11"/>
        <v/>
      </c>
      <c r="AN26" s="129" t="str">
        <f t="shared" si="12"/>
        <v/>
      </c>
      <c r="AO26" s="129" t="str">
        <f t="shared" si="0"/>
        <v/>
      </c>
      <c r="AP26" s="521" t="str">
        <f t="shared" si="1"/>
        <v/>
      </c>
      <c r="AQ26" s="129" t="str">
        <f t="shared" si="13"/>
        <v/>
      </c>
      <c r="AR26" s="129" t="str">
        <f t="shared" si="14"/>
        <v/>
      </c>
      <c r="AS26" s="129" t="str">
        <f t="shared" si="2"/>
        <v/>
      </c>
      <c r="AT26" s="139"/>
      <c r="AU26" s="913"/>
      <c r="AV26" s="942"/>
      <c r="BA26" s="78"/>
      <c r="BB26" s="132" t="s">
        <v>3738</v>
      </c>
      <c r="BC26" s="133"/>
      <c r="BD26" s="132" t="str">
        <f>IF(OR(F26="",BC26=""),"",COUNTIF(BC$9:BC26,"√"))</f>
        <v/>
      </c>
      <c r="BE26" s="134" t="str">
        <f t="shared" si="3"/>
        <v/>
      </c>
      <c r="BF26" s="135" t="str">
        <f t="shared" si="15"/>
        <v/>
      </c>
      <c r="BG26" s="135" t="str">
        <f t="shared" si="15"/>
        <v/>
      </c>
      <c r="BH26" s="136"/>
      <c r="BI26" s="136"/>
      <c r="BJ26" s="136"/>
      <c r="BK26" s="136"/>
      <c r="BL26" s="136"/>
      <c r="BM26" s="137"/>
      <c r="BN26" s="136"/>
      <c r="BO26" s="137"/>
      <c r="BP26" s="165" t="s">
        <v>2706</v>
      </c>
      <c r="BQ26" s="223"/>
      <c r="BR26" s="156">
        <f t="shared" si="4"/>
        <v>0</v>
      </c>
      <c r="BS26" s="156">
        <f t="shared" si="16"/>
        <v>0</v>
      </c>
      <c r="BT26" s="776"/>
      <c r="BU26" s="776"/>
      <c r="BV26" s="776"/>
      <c r="BW26" s="851">
        <f t="shared" si="17"/>
        <v>0</v>
      </c>
      <c r="BX26" s="156">
        <f t="shared" si="18"/>
        <v>0</v>
      </c>
      <c r="BY26" s="156">
        <f t="shared" si="19"/>
        <v>0</v>
      </c>
      <c r="BZ26" s="156">
        <f t="shared" si="20"/>
        <v>1</v>
      </c>
      <c r="CA26" s="658">
        <f>LOOKUP(BZ26,参数表!$A$13:$B$19)</f>
        <v>0</v>
      </c>
      <c r="CB26" s="156">
        <f t="shared" si="21"/>
        <v>0</v>
      </c>
      <c r="CC26" s="156">
        <f t="shared" si="22"/>
        <v>0</v>
      </c>
      <c r="CD26" s="156">
        <f t="shared" si="23"/>
        <v>125.582477754962</v>
      </c>
      <c r="CE26" s="223"/>
      <c r="CF26" s="746">
        <f t="shared" si="24"/>
        <v>0</v>
      </c>
      <c r="CG26" s="746">
        <f t="shared" si="25"/>
        <v>0</v>
      </c>
      <c r="CH26" s="746">
        <f t="shared" si="26"/>
        <v>0</v>
      </c>
      <c r="CJ26" s="134" t="str">
        <f>IF(COUNTIF(CJ$8:CJ25,F26)&gt;0,"",F26)&amp;""</f>
        <v/>
      </c>
      <c r="CK26" s="138">
        <f t="shared" si="27"/>
        <v>0</v>
      </c>
      <c r="CL26" s="132">
        <f t="shared" si="28"/>
        <v>1</v>
      </c>
      <c r="CM26" s="138">
        <f t="shared" si="29"/>
        <v>0</v>
      </c>
      <c r="CN26" s="132">
        <f t="shared" si="30"/>
        <v>1</v>
      </c>
      <c r="CO26" s="133"/>
      <c r="CP26" s="133"/>
    </row>
    <row r="27" ht="15" customHeight="1" spans="1:95">
      <c r="A27" s="123" t="str">
        <f>IF(F27="","",COUNT(A$8:A26)+1)</f>
        <v/>
      </c>
      <c r="B27" s="141"/>
      <c r="C27" s="139"/>
      <c r="D27" s="139"/>
      <c r="E27" s="141"/>
      <c r="F27" s="139"/>
      <c r="G27" s="139"/>
      <c r="H27" s="535"/>
      <c r="I27" s="535"/>
      <c r="J27" s="141"/>
      <c r="K27" s="914"/>
      <c r="L27" s="914"/>
      <c r="M27" s="914"/>
      <c r="N27" s="914"/>
      <c r="O27" s="914"/>
      <c r="P27" s="914"/>
      <c r="Q27" s="914"/>
      <c r="R27" s="914"/>
      <c r="S27" s="535"/>
      <c r="T27" s="915"/>
      <c r="U27" s="141"/>
      <c r="V27" s="536"/>
      <c r="W27" s="140"/>
      <c r="X27" s="140"/>
      <c r="Y27" s="143"/>
      <c r="Z27" s="129" t="str">
        <f t="shared" si="6"/>
        <v/>
      </c>
      <c r="AA27" s="142"/>
      <c r="AB27" s="127" t="str">
        <f>IFERROR(VLOOKUP(AA27,参数表!$H$2:$I$50,2,FALSE),"")</f>
        <v/>
      </c>
      <c r="AC27" s="128" t="str">
        <f t="shared" si="7"/>
        <v/>
      </c>
      <c r="AD27" s="128" t="str">
        <f t="shared" si="8"/>
        <v/>
      </c>
      <c r="AE27" s="129" t="str">
        <f t="shared" si="9"/>
        <v/>
      </c>
      <c r="AF27" s="143"/>
      <c r="AG27" s="143"/>
      <c r="AH27" s="143"/>
      <c r="AI27" s="144"/>
      <c r="AJ27" s="144"/>
      <c r="AK27" s="144"/>
      <c r="AL27" s="129" t="str">
        <f t="shared" si="10"/>
        <v/>
      </c>
      <c r="AM27" s="129" t="str">
        <f t="shared" si="11"/>
        <v/>
      </c>
      <c r="AN27" s="129" t="str">
        <f t="shared" si="12"/>
        <v/>
      </c>
      <c r="AO27" s="129" t="str">
        <f t="shared" si="0"/>
        <v/>
      </c>
      <c r="AP27" s="521" t="str">
        <f t="shared" si="1"/>
        <v/>
      </c>
      <c r="AQ27" s="129" t="str">
        <f t="shared" si="13"/>
        <v/>
      </c>
      <c r="AR27" s="129" t="str">
        <f t="shared" si="14"/>
        <v/>
      </c>
      <c r="AS27" s="129" t="str">
        <f t="shared" si="2"/>
        <v/>
      </c>
      <c r="AT27" s="139"/>
      <c r="AU27" s="913"/>
      <c r="AV27" s="942"/>
      <c r="BA27" s="78"/>
      <c r="BB27" s="132" t="s">
        <v>3739</v>
      </c>
      <c r="BC27" s="133"/>
      <c r="BD27" s="132" t="str">
        <f>IF(OR(F27="",BC27=""),"",COUNTIF(BC$9:BC27,"√"))</f>
        <v/>
      </c>
      <c r="BE27" s="134" t="str">
        <f t="shared" si="3"/>
        <v/>
      </c>
      <c r="BF27" s="135" t="str">
        <f t="shared" si="15"/>
        <v/>
      </c>
      <c r="BG27" s="135" t="str">
        <f t="shared" si="15"/>
        <v/>
      </c>
      <c r="BH27" s="136"/>
      <c r="BI27" s="136"/>
      <c r="BJ27" s="136"/>
      <c r="BK27" s="136"/>
      <c r="BL27" s="136"/>
      <c r="BM27" s="137"/>
      <c r="BN27" s="136"/>
      <c r="BO27" s="137"/>
      <c r="BP27" s="165" t="s">
        <v>2706</v>
      </c>
      <c r="BQ27" s="223"/>
      <c r="BR27" s="156">
        <f t="shared" si="4"/>
        <v>0</v>
      </c>
      <c r="BS27" s="156">
        <f t="shared" si="16"/>
        <v>0</v>
      </c>
      <c r="BT27" s="776"/>
      <c r="BU27" s="776"/>
      <c r="BV27" s="776"/>
      <c r="BW27" s="851">
        <f t="shared" si="17"/>
        <v>0</v>
      </c>
      <c r="BX27" s="156">
        <f t="shared" si="18"/>
        <v>0</v>
      </c>
      <c r="BY27" s="156">
        <f t="shared" si="19"/>
        <v>0</v>
      </c>
      <c r="BZ27" s="156">
        <f t="shared" si="20"/>
        <v>1</v>
      </c>
      <c r="CA27" s="658">
        <f>LOOKUP(BZ27,参数表!$A$13:$B$19)</f>
        <v>0</v>
      </c>
      <c r="CB27" s="156">
        <f t="shared" si="21"/>
        <v>0</v>
      </c>
      <c r="CC27" s="156">
        <f t="shared" si="22"/>
        <v>0</v>
      </c>
      <c r="CD27" s="156">
        <f t="shared" si="23"/>
        <v>125.582477754962</v>
      </c>
      <c r="CE27" s="223"/>
      <c r="CF27" s="746">
        <f t="shared" si="24"/>
        <v>0</v>
      </c>
      <c r="CG27" s="746">
        <f t="shared" si="25"/>
        <v>0</v>
      </c>
      <c r="CH27" s="746">
        <f t="shared" si="26"/>
        <v>0</v>
      </c>
      <c r="CI27" s="111"/>
      <c r="CJ27" s="134" t="str">
        <f>IF(COUNTIF(CJ$8:CJ26,F27)&gt;0,"",F27)&amp;""</f>
        <v/>
      </c>
      <c r="CK27" s="138">
        <f t="shared" si="27"/>
        <v>0</v>
      </c>
      <c r="CL27" s="132">
        <f t="shared" si="28"/>
        <v>1</v>
      </c>
      <c r="CM27" s="138">
        <f t="shared" si="29"/>
        <v>0</v>
      </c>
      <c r="CN27" s="132">
        <f t="shared" si="30"/>
        <v>1</v>
      </c>
      <c r="CO27" s="133"/>
      <c r="CP27" s="133"/>
    </row>
    <row r="28" ht="15" customHeight="1" spans="1:95">
      <c r="A28" s="123" t="str">
        <f>IF(F28="","",COUNT(A$8:A27)+1)</f>
        <v/>
      </c>
      <c r="B28" s="123"/>
      <c r="C28" s="124"/>
      <c r="D28" s="124"/>
      <c r="E28" s="126"/>
      <c r="F28" s="124"/>
      <c r="G28" s="124"/>
      <c r="H28" s="124"/>
      <c r="I28" s="124"/>
      <c r="J28" s="126"/>
      <c r="K28" s="126"/>
      <c r="L28" s="126"/>
      <c r="M28" s="126"/>
      <c r="N28" s="126"/>
      <c r="O28" s="126"/>
      <c r="P28" s="126"/>
      <c r="Q28" s="126"/>
      <c r="R28" s="126"/>
      <c r="S28" s="124"/>
      <c r="T28" s="125"/>
      <c r="U28" s="126"/>
      <c r="V28" s="533"/>
      <c r="W28" s="125"/>
      <c r="X28" s="125"/>
      <c r="Y28" s="129"/>
      <c r="Z28" s="129" t="str">
        <f t="shared" si="6"/>
        <v/>
      </c>
      <c r="AA28" s="127"/>
      <c r="AB28" s="127" t="str">
        <f>IFERROR(VLOOKUP(AA28,参数表!$H$2:$I$50,2,FALSE),"")</f>
        <v/>
      </c>
      <c r="AC28" s="128" t="str">
        <f t="shared" si="7"/>
        <v/>
      </c>
      <c r="AD28" s="128" t="str">
        <f t="shared" si="8"/>
        <v/>
      </c>
      <c r="AE28" s="129" t="str">
        <f t="shared" si="9"/>
        <v/>
      </c>
      <c r="AF28" s="129"/>
      <c r="AG28" s="129"/>
      <c r="AH28" s="129"/>
      <c r="AI28" s="130"/>
      <c r="AJ28" s="130"/>
      <c r="AK28" s="130"/>
      <c r="AL28" s="129" t="str">
        <f t="shared" si="10"/>
        <v/>
      </c>
      <c r="AM28" s="129" t="str">
        <f t="shared" si="11"/>
        <v/>
      </c>
      <c r="AN28" s="129" t="str">
        <f t="shared" si="12"/>
        <v/>
      </c>
      <c r="AO28" s="129" t="str">
        <f t="shared" si="0"/>
        <v/>
      </c>
      <c r="AP28" s="521" t="str">
        <f t="shared" si="1"/>
        <v/>
      </c>
      <c r="AQ28" s="129" t="str">
        <f t="shared" si="13"/>
        <v/>
      </c>
      <c r="AR28" s="129" t="str">
        <f t="shared" si="14"/>
        <v/>
      </c>
      <c r="AS28" s="129" t="str">
        <f t="shared" si="2"/>
        <v/>
      </c>
      <c r="AT28" s="124"/>
      <c r="AU28" s="913"/>
      <c r="AV28" s="942"/>
      <c r="BA28" s="78"/>
      <c r="BB28" s="132" t="s">
        <v>3740</v>
      </c>
      <c r="BC28" s="133"/>
      <c r="BD28" s="132" t="str">
        <f>IF(OR(F28="",BC28=""),"",COUNTIF(BC$9:BC28,"√"))</f>
        <v/>
      </c>
      <c r="BE28" s="134" t="str">
        <f t="shared" si="3"/>
        <v/>
      </c>
      <c r="BF28" s="135" t="str">
        <f t="shared" si="15"/>
        <v/>
      </c>
      <c r="BG28" s="135" t="str">
        <f t="shared" si="15"/>
        <v/>
      </c>
      <c r="BH28" s="136"/>
      <c r="BI28" s="136"/>
      <c r="BJ28" s="136"/>
      <c r="BK28" s="136"/>
      <c r="BL28" s="136"/>
      <c r="BM28" s="137"/>
      <c r="BN28" s="136"/>
      <c r="BO28" s="137"/>
      <c r="BP28" s="165" t="s">
        <v>2706</v>
      </c>
      <c r="BQ28" s="223"/>
      <c r="BR28" s="156">
        <f t="shared" si="4"/>
        <v>0</v>
      </c>
      <c r="BS28" s="156">
        <f t="shared" si="16"/>
        <v>0</v>
      </c>
      <c r="BT28" s="776"/>
      <c r="BU28" s="776"/>
      <c r="BV28" s="776"/>
      <c r="BW28" s="851">
        <f t="shared" si="17"/>
        <v>0</v>
      </c>
      <c r="BX28" s="156">
        <f t="shared" si="18"/>
        <v>0</v>
      </c>
      <c r="BY28" s="156">
        <f t="shared" si="19"/>
        <v>0</v>
      </c>
      <c r="BZ28" s="156">
        <f t="shared" si="20"/>
        <v>1</v>
      </c>
      <c r="CA28" s="658">
        <f>LOOKUP(BZ28,参数表!$A$13:$B$19)</f>
        <v>0</v>
      </c>
      <c r="CB28" s="156">
        <f t="shared" si="21"/>
        <v>0</v>
      </c>
      <c r="CC28" s="156">
        <f t="shared" si="22"/>
        <v>0</v>
      </c>
      <c r="CD28" s="156">
        <f t="shared" si="23"/>
        <v>125.582477754962</v>
      </c>
      <c r="CE28" s="223"/>
      <c r="CF28" s="746">
        <f t="shared" si="24"/>
        <v>0</v>
      </c>
      <c r="CG28" s="746">
        <f t="shared" si="25"/>
        <v>0</v>
      </c>
      <c r="CH28" s="746">
        <f t="shared" si="26"/>
        <v>0</v>
      </c>
      <c r="CJ28" s="134" t="str">
        <f>IF(COUNTIF(CJ$8:CJ27,F28)&gt;0,"",F28)&amp;""</f>
        <v/>
      </c>
      <c r="CK28" s="138">
        <f t="shared" si="27"/>
        <v>0</v>
      </c>
      <c r="CL28" s="132">
        <f t="shared" si="28"/>
        <v>1</v>
      </c>
      <c r="CM28" s="138">
        <f t="shared" si="29"/>
        <v>0</v>
      </c>
      <c r="CN28" s="132">
        <f t="shared" si="30"/>
        <v>1</v>
      </c>
      <c r="CO28" s="133"/>
      <c r="CP28" s="133"/>
    </row>
    <row r="29" s="73" customFormat="1" ht="15" customHeight="1" spans="1:95">
      <c r="A29" s="221" t="s">
        <v>1954</v>
      </c>
      <c r="B29" s="221"/>
      <c r="C29" s="493"/>
      <c r="D29" s="493"/>
      <c r="E29" s="493"/>
      <c r="F29" s="493"/>
      <c r="G29" s="943"/>
      <c r="H29" s="221"/>
      <c r="I29" s="221"/>
      <c r="J29" s="149"/>
      <c r="K29" s="149"/>
      <c r="L29" s="149"/>
      <c r="M29" s="149"/>
      <c r="N29" s="149"/>
      <c r="O29" s="149"/>
      <c r="P29" s="149"/>
      <c r="Q29" s="149"/>
      <c r="R29" s="149"/>
      <c r="S29" s="221"/>
      <c r="T29" s="149"/>
      <c r="U29" s="149"/>
      <c r="V29" s="944"/>
      <c r="W29" s="356"/>
      <c r="X29" s="356"/>
      <c r="Y29" s="152">
        <f>SUM(Y9:Y28)</f>
        <v>0</v>
      </c>
      <c r="Z29" s="152"/>
      <c r="AA29" s="152"/>
      <c r="AB29" s="152"/>
      <c r="AC29" s="152"/>
      <c r="AD29" s="152"/>
      <c r="AE29" s="152"/>
      <c r="AF29" s="152">
        <f>SUM(AF9:AF28)</f>
        <v>0</v>
      </c>
      <c r="AG29" s="152">
        <f>SUM(AG9:AG28)</f>
        <v>0</v>
      </c>
      <c r="AH29" s="152">
        <f>SUM(AH9:AH28)</f>
        <v>0</v>
      </c>
      <c r="AI29" s="153"/>
      <c r="AJ29" s="153"/>
      <c r="AK29" s="153"/>
      <c r="AL29" s="152">
        <f>SUM(AL9:AL28)</f>
        <v>0</v>
      </c>
      <c r="AM29" s="152">
        <f>SUM(AM9:AM28)</f>
        <v>0</v>
      </c>
      <c r="AN29" s="152">
        <f>SUM(AN9:AN28)</f>
        <v>0</v>
      </c>
      <c r="AO29" s="152">
        <f>SUM(AO9:AO28)</f>
        <v>0</v>
      </c>
      <c r="AP29" s="525"/>
      <c r="AQ29" s="152">
        <f>SUM(AQ9:AQ28)</f>
        <v>0</v>
      </c>
      <c r="AR29" s="152" t="str">
        <f t="shared" si="14"/>
        <v/>
      </c>
      <c r="AS29" s="152"/>
      <c r="AT29" s="221"/>
      <c r="AU29" s="917"/>
      <c r="AV29" s="945"/>
      <c r="BE29" s="946"/>
      <c r="BH29" s="72"/>
      <c r="BI29" s="72"/>
      <c r="BJ29" s="72"/>
      <c r="BK29" s="72"/>
      <c r="BL29" s="72"/>
      <c r="BN29" s="72"/>
      <c r="BP29" s="72"/>
      <c r="BQ29" s="247"/>
      <c r="BR29" s="247"/>
      <c r="BS29" s="247"/>
      <c r="BT29" s="247"/>
      <c r="BU29" s="247"/>
      <c r="BV29" s="247"/>
      <c r="BW29" s="247"/>
      <c r="BX29" s="247"/>
      <c r="BY29" s="247"/>
      <c r="BZ29" s="268"/>
      <c r="CA29" s="247"/>
      <c r="CB29" s="247"/>
      <c r="CC29" s="247"/>
      <c r="CD29" s="247"/>
      <c r="CE29" s="247"/>
      <c r="CF29" s="247"/>
      <c r="CG29" s="247"/>
      <c r="CH29" s="247"/>
      <c r="CI29" s="77"/>
      <c r="CJ29" s="119"/>
      <c r="CK29" s="77"/>
      <c r="CL29" s="77"/>
      <c r="CM29" s="77"/>
      <c r="CN29" s="119"/>
      <c r="CO29" s="119"/>
      <c r="CP29" s="119"/>
      <c r="CQ29" s="111"/>
    </row>
    <row r="30" ht="15" customHeight="1" spans="1:95">
      <c r="A30" s="124" t="s">
        <v>3434</v>
      </c>
      <c r="B30" s="124"/>
      <c r="C30" s="124"/>
      <c r="D30" s="124"/>
      <c r="E30" s="124"/>
      <c r="F30" s="124"/>
      <c r="G30" s="126"/>
      <c r="H30" s="124"/>
      <c r="I30" s="124"/>
      <c r="J30" s="126"/>
      <c r="K30" s="126"/>
      <c r="L30" s="126"/>
      <c r="M30" s="126"/>
      <c r="N30" s="126"/>
      <c r="O30" s="126"/>
      <c r="P30" s="126"/>
      <c r="Q30" s="126"/>
      <c r="R30" s="126"/>
      <c r="S30" s="124"/>
      <c r="T30" s="126"/>
      <c r="U30" s="126"/>
      <c r="V30" s="533"/>
      <c r="W30" s="125"/>
      <c r="X30" s="125"/>
      <c r="Y30" s="129"/>
      <c r="Z30" s="129"/>
      <c r="AA30" s="129"/>
      <c r="AB30" s="129"/>
      <c r="AC30" s="129"/>
      <c r="AD30" s="129"/>
      <c r="AE30" s="129"/>
      <c r="AF30" s="129"/>
      <c r="AG30" s="129">
        <f>AH29</f>
        <v>0</v>
      </c>
      <c r="AH30" s="129"/>
      <c r="AI30" s="130"/>
      <c r="AJ30" s="130"/>
      <c r="AK30" s="130"/>
      <c r="AL30" s="129"/>
      <c r="AM30" s="129">
        <f>AN29</f>
        <v>0</v>
      </c>
      <c r="AN30" s="129"/>
      <c r="AO30" s="129"/>
      <c r="AP30" s="521"/>
      <c r="AQ30" s="129">
        <v>0</v>
      </c>
      <c r="AR30" s="129" t="str">
        <f t="shared" si="14"/>
        <v/>
      </c>
      <c r="AS30" s="129"/>
      <c r="AT30" s="124"/>
      <c r="AU30" s="913"/>
      <c r="AV30" s="942"/>
    </row>
    <row r="31" s="73" customFormat="1" customHeight="1" spans="1:95">
      <c r="A31" s="221" t="s">
        <v>1957</v>
      </c>
      <c r="B31" s="221"/>
      <c r="C31" s="221"/>
      <c r="D31" s="221"/>
      <c r="E31" s="221"/>
      <c r="F31" s="221"/>
      <c r="G31" s="149"/>
      <c r="H31" s="151"/>
      <c r="I31" s="151"/>
      <c r="J31" s="149"/>
      <c r="K31" s="149"/>
      <c r="L31" s="149"/>
      <c r="M31" s="149"/>
      <c r="N31" s="149"/>
      <c r="O31" s="149"/>
      <c r="P31" s="149"/>
      <c r="Q31" s="149"/>
      <c r="R31" s="149"/>
      <c r="S31" s="149"/>
      <c r="T31" s="149"/>
      <c r="U31" s="149"/>
      <c r="V31" s="944"/>
      <c r="W31" s="356"/>
      <c r="X31" s="356"/>
      <c r="Y31" s="152"/>
      <c r="Z31" s="152"/>
      <c r="AA31" s="152"/>
      <c r="AB31" s="152"/>
      <c r="AC31" s="152"/>
      <c r="AD31" s="152"/>
      <c r="AE31" s="152"/>
      <c r="AF31" s="152">
        <f>AF29-AF30</f>
        <v>0</v>
      </c>
      <c r="AG31" s="152">
        <f>AG29-AG30</f>
        <v>0</v>
      </c>
      <c r="AH31" s="152"/>
      <c r="AI31" s="153"/>
      <c r="AJ31" s="153"/>
      <c r="AK31" s="153"/>
      <c r="AL31" s="152">
        <f>AL29-AL30</f>
        <v>0</v>
      </c>
      <c r="AM31" s="152">
        <f>AM29-AM30</f>
        <v>0</v>
      </c>
      <c r="AN31" s="152"/>
      <c r="AO31" s="152">
        <f>AO29-AO30</f>
        <v>0</v>
      </c>
      <c r="AP31" s="525"/>
      <c r="AQ31" s="152">
        <f>AQ29-AQ30</f>
        <v>0</v>
      </c>
      <c r="AR31" s="152" t="str">
        <f t="shared" si="14"/>
        <v/>
      </c>
      <c r="AS31" s="152"/>
      <c r="AT31" s="221"/>
      <c r="AU31" s="917"/>
      <c r="AV31" s="945"/>
      <c r="BE31" s="946"/>
      <c r="BH31" s="72"/>
      <c r="BI31" s="72"/>
      <c r="BJ31" s="72"/>
      <c r="BK31" s="72"/>
      <c r="BL31" s="72"/>
      <c r="BN31" s="72"/>
      <c r="BP31" s="72"/>
      <c r="BQ31" s="247"/>
      <c r="BR31" s="247"/>
      <c r="BS31" s="247"/>
      <c r="BT31" s="247"/>
      <c r="BU31" s="247"/>
      <c r="BV31" s="247"/>
      <c r="BW31" s="247"/>
      <c r="BX31" s="247"/>
      <c r="BY31" s="247"/>
      <c r="BZ31" s="268"/>
      <c r="CA31" s="247"/>
      <c r="CB31" s="247"/>
      <c r="CC31" s="247"/>
      <c r="CD31" s="247"/>
      <c r="CE31" s="247"/>
      <c r="CF31" s="247"/>
      <c r="CG31" s="247"/>
      <c r="CH31" s="247"/>
      <c r="CI31" s="77"/>
      <c r="CJ31" s="78"/>
      <c r="CK31" s="77"/>
      <c r="CL31" s="78"/>
      <c r="CM31" s="78"/>
      <c r="CN31" s="78"/>
      <c r="CO31" s="78"/>
      <c r="CP31" s="78"/>
      <c r="CQ31" s="77"/>
    </row>
    <row r="32" customHeight="1" spans="1:95">
      <c r="A32" s="102" t="str">
        <f>参数表!F$6</f>
        <v>产权持有单位填表人：贾广东</v>
      </c>
      <c r="B32" s="96"/>
      <c r="C32" s="154"/>
      <c r="D32" s="154"/>
      <c r="E32" s="286"/>
      <c r="F32" s="154"/>
      <c r="G32" s="154"/>
      <c r="H32" s="154"/>
      <c r="I32" s="154"/>
      <c r="J32" s="95"/>
      <c r="K32" s="103"/>
      <c r="L32" s="103"/>
      <c r="M32" s="103"/>
      <c r="N32" s="103"/>
      <c r="O32" s="103"/>
      <c r="P32" s="103"/>
      <c r="Q32" s="103"/>
      <c r="R32" s="103"/>
      <c r="S32" s="103"/>
      <c r="T32" s="103"/>
      <c r="U32" s="95"/>
      <c r="V32" s="746"/>
      <c r="W32" s="95"/>
      <c r="X32" s="95"/>
      <c r="Y32" s="103"/>
      <c r="Z32" s="103"/>
      <c r="AA32" s="103"/>
      <c r="AB32" s="103"/>
      <c r="AC32" s="103"/>
      <c r="AD32" s="103"/>
      <c r="AE32" s="103"/>
      <c r="AF32" s="103"/>
      <c r="AG32" s="103"/>
      <c r="AH32" s="103"/>
      <c r="AI32" s="104"/>
      <c r="AJ32" s="104"/>
      <c r="AK32" s="104"/>
      <c r="AL32" s="103"/>
      <c r="AM32" s="103"/>
      <c r="AN32" s="103"/>
      <c r="AO32" s="103"/>
      <c r="AP32" s="103"/>
      <c r="AQ32" s="156" t="str">
        <f>"评估人员："&amp;封面!$G$24</f>
        <v>评估人员：</v>
      </c>
      <c r="AR32" s="103"/>
      <c r="AS32" s="103"/>
      <c r="AT32" s="103"/>
    </row>
    <row r="33" customHeight="1" spans="1:66">
      <c r="A33" s="102" t="str">
        <f>参数表!F$7</f>
        <v>填表日期：2025年9月20日</v>
      </c>
      <c r="B33" s="96"/>
      <c r="C33" s="154"/>
      <c r="D33" s="154"/>
      <c r="E33" s="286"/>
      <c r="F33" s="154"/>
      <c r="G33" s="154"/>
      <c r="H33" s="154"/>
      <c r="I33" s="154"/>
      <c r="J33" s="95"/>
      <c r="K33" s="103"/>
      <c r="L33" s="103"/>
      <c r="M33" s="103"/>
      <c r="N33" s="103"/>
      <c r="O33" s="103"/>
      <c r="P33" s="103"/>
      <c r="Q33" s="103"/>
      <c r="R33" s="103"/>
      <c r="S33" s="103"/>
      <c r="T33" s="103"/>
      <c r="U33" s="95"/>
      <c r="V33" s="746"/>
      <c r="W33" s="95"/>
      <c r="X33" s="95"/>
      <c r="Y33" s="103"/>
      <c r="Z33" s="103"/>
      <c r="AA33" s="103"/>
      <c r="AB33" s="103"/>
      <c r="AC33" s="103"/>
      <c r="AD33" s="103"/>
      <c r="AE33" s="103"/>
      <c r="AF33" s="103"/>
      <c r="AG33" s="103"/>
      <c r="AH33" s="103"/>
      <c r="AI33" s="104"/>
      <c r="AJ33" s="104"/>
      <c r="AK33" s="104"/>
      <c r="AL33" s="103"/>
      <c r="AM33" s="103"/>
      <c r="AN33" s="103"/>
      <c r="AO33" s="103"/>
      <c r="AP33" s="103"/>
      <c r="AQ33" s="103"/>
      <c r="AR33" s="103"/>
      <c r="AS33" s="103"/>
      <c r="AT33" s="103"/>
    </row>
    <row r="34" hidden="1" customHeight="1" outlineLevel="1" spans="1:66">
      <c r="A34" s="157"/>
      <c r="B34" s="696"/>
      <c r="C34" s="154" t="s">
        <v>1673</v>
      </c>
      <c r="D34" s="158"/>
      <c r="E34" s="286" t="s">
        <v>1674</v>
      </c>
      <c r="F34" s="158"/>
      <c r="G34" s="158"/>
      <c r="H34" s="158"/>
      <c r="I34" s="158"/>
      <c r="Y34" s="159">
        <f>SUMIF($BA9:$BA28,$BA34,Y9:Y28)</f>
        <v>0</v>
      </c>
      <c r="Z34" s="176"/>
      <c r="AA34" s="176"/>
      <c r="AB34" s="176"/>
      <c r="AC34" s="176"/>
      <c r="AD34" s="176"/>
      <c r="AE34" s="176"/>
      <c r="AF34" s="159">
        <f>SUMIF($BA9:$BA28,$BA34,AF9:AF28)</f>
        <v>0</v>
      </c>
      <c r="AG34" s="159">
        <f>SUMIF($BA9:$BA28,$BA34,AG9:AG28)</f>
        <v>0</v>
      </c>
      <c r="AH34" s="159">
        <f>SUMIF($BA9:$BA28,$BA34,AH9:AH28)</f>
        <v>0</v>
      </c>
      <c r="AI34" s="202"/>
      <c r="AJ34" s="202"/>
      <c r="AK34" s="202"/>
      <c r="AL34" s="159">
        <f>SUMIF($BA9:$BA28,$BA34,AL9:AL28)</f>
        <v>0</v>
      </c>
      <c r="AM34" s="159">
        <f>SUMIF($BA9:$BA28,$BA34,AM9:AM28)</f>
        <v>0</v>
      </c>
      <c r="AN34" s="159">
        <f>SUMIF($BA9:$BA28,$BA34,AN9:AN28)</f>
        <v>0</v>
      </c>
      <c r="AO34" s="159">
        <f>SUMIF($BA9:$BA28,$BA34,AO9:AO28)</f>
        <v>0</v>
      </c>
      <c r="AP34" s="176"/>
      <c r="AQ34" s="159">
        <f>SUMIF($BA9:$BA28,$BA34,AQ9:AQ28)</f>
        <v>0</v>
      </c>
      <c r="BA34" s="161" t="s">
        <v>1674</v>
      </c>
      <c r="BH34" s="95" t="s">
        <v>1675</v>
      </c>
      <c r="BI34" s="95" t="s">
        <v>1675</v>
      </c>
      <c r="BJ34" s="95" t="s">
        <v>1675</v>
      </c>
      <c r="BK34" s="95" t="s">
        <v>1675</v>
      </c>
      <c r="BL34" s="95" t="s">
        <v>1675</v>
      </c>
      <c r="BN34" s="95" t="s">
        <v>1675</v>
      </c>
    </row>
    <row r="35" hidden="1" customHeight="1" outlineLevel="1" spans="1:66">
      <c r="A35" s="157"/>
      <c r="B35" s="696"/>
      <c r="C35" s="154" t="s">
        <v>1676</v>
      </c>
      <c r="D35" s="158"/>
      <c r="E35" s="286" t="s">
        <v>1677</v>
      </c>
      <c r="F35" s="158"/>
      <c r="G35" s="158"/>
      <c r="H35" s="158"/>
      <c r="I35" s="158"/>
      <c r="Y35" s="159">
        <f>Y29-Y34</f>
        <v>0</v>
      </c>
      <c r="Z35" s="176"/>
      <c r="AA35" s="176"/>
      <c r="AB35" s="176"/>
      <c r="AC35" s="176"/>
      <c r="AD35" s="176"/>
      <c r="AE35" s="176"/>
      <c r="AF35" s="159">
        <f>AF29-AF34</f>
        <v>0</v>
      </c>
      <c r="AG35" s="159">
        <f>AG29-AG34</f>
        <v>0</v>
      </c>
      <c r="AH35" s="159">
        <f>AH29-AH34</f>
        <v>0</v>
      </c>
      <c r="AI35" s="202"/>
      <c r="AJ35" s="202"/>
      <c r="AK35" s="202"/>
      <c r="AL35" s="159">
        <f>AL29-AL34</f>
        <v>0</v>
      </c>
      <c r="AM35" s="159">
        <f>AM29-AM34</f>
        <v>0</v>
      </c>
      <c r="AN35" s="159">
        <f>AN29-AN34</f>
        <v>0</v>
      </c>
      <c r="AO35" s="159">
        <f>AO29-AO34</f>
        <v>0</v>
      </c>
      <c r="AP35" s="176"/>
      <c r="AQ35" s="159">
        <f>AQ29-AQ34</f>
        <v>0</v>
      </c>
      <c r="BA35" s="161" t="s">
        <v>1677</v>
      </c>
      <c r="BH35" s="95" t="s">
        <v>1678</v>
      </c>
      <c r="BI35" s="95" t="s">
        <v>1678</v>
      </c>
      <c r="BJ35" s="95" t="s">
        <v>1678</v>
      </c>
      <c r="BK35" s="95" t="s">
        <v>1678</v>
      </c>
      <c r="BL35" s="95" t="s">
        <v>1678</v>
      </c>
      <c r="BN35" s="95" t="s">
        <v>1678</v>
      </c>
    </row>
    <row r="36" customHeight="1" collapsed="1" spans="1:66">
      <c r="A36" s="157"/>
      <c r="B36" s="696"/>
      <c r="C36" s="158"/>
      <c r="D36" s="158"/>
      <c r="E36" s="228"/>
      <c r="F36" s="158"/>
      <c r="G36" s="158"/>
      <c r="H36" s="158"/>
      <c r="I36" s="158"/>
    </row>
    <row r="37" customHeight="1" spans="1:66">
      <c r="A37" s="157"/>
      <c r="B37" s="696"/>
      <c r="C37" s="158"/>
      <c r="D37" s="158"/>
      <c r="E37" s="228"/>
      <c r="F37" s="158"/>
      <c r="G37" s="158"/>
      <c r="H37" s="158"/>
      <c r="I37" s="158"/>
    </row>
    <row r="38" customHeight="1" spans="1:66">
      <c r="A38" s="157"/>
      <c r="B38" s="696"/>
      <c r="C38" s="158"/>
      <c r="D38" s="158"/>
      <c r="E38" s="228"/>
      <c r="F38" s="158"/>
      <c r="G38" s="158"/>
      <c r="H38" s="158"/>
      <c r="I38" s="158"/>
    </row>
    <row r="39" customHeight="1" spans="1:66">
      <c r="A39" s="157"/>
      <c r="B39" s="696"/>
      <c r="C39" s="158"/>
      <c r="D39" s="158"/>
      <c r="E39" s="228"/>
      <c r="F39" s="158"/>
      <c r="G39" s="158"/>
      <c r="H39" s="158"/>
      <c r="I39" s="158"/>
    </row>
    <row r="40" customHeight="1" spans="1:66">
      <c r="A40" s="157"/>
      <c r="B40" s="696"/>
      <c r="C40" s="158"/>
      <c r="D40" s="158"/>
      <c r="E40" s="228"/>
      <c r="F40" s="158"/>
      <c r="G40" s="158"/>
      <c r="H40" s="158"/>
      <c r="I40" s="158"/>
    </row>
  </sheetData>
  <sheetProtection autoFilter="0"/>
  <mergeCells count="54">
    <mergeCell ref="A2:AT2"/>
    <mergeCell ref="A3:AT3"/>
    <mergeCell ref="A4:AT4"/>
    <mergeCell ref="AA7:AE7"/>
    <mergeCell ref="AF7:AH7"/>
    <mergeCell ref="AI7:AK7"/>
    <mergeCell ref="AL7:AN7"/>
    <mergeCell ref="AO7:AQ7"/>
    <mergeCell ref="CO9:CQ9"/>
    <mergeCell ref="CO10:CQ10"/>
    <mergeCell ref="CP16:CQ16"/>
    <mergeCell ref="A29:F29"/>
    <mergeCell ref="A30:F30"/>
    <mergeCell ref="A31:F31"/>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Q7:Q8"/>
    <mergeCell ref="R7:R8"/>
    <mergeCell ref="S7:S8"/>
    <mergeCell ref="T7:T8"/>
    <mergeCell ref="U7:U8"/>
    <mergeCell ref="V7:V8"/>
    <mergeCell ref="W7:W8"/>
    <mergeCell ref="X7:X8"/>
    <mergeCell ref="Y7:Y8"/>
    <mergeCell ref="Z7:Z8"/>
    <mergeCell ref="AR7:AR8"/>
    <mergeCell ref="AS7:AS8"/>
    <mergeCell ref="AT7:AT8"/>
    <mergeCell ref="AU7:AU8"/>
    <mergeCell ref="BF7:BF8"/>
    <mergeCell ref="BG7:BG8"/>
    <mergeCell ref="BH7:BH8"/>
    <mergeCell ref="BI7:BI8"/>
    <mergeCell ref="BJ7:BJ8"/>
    <mergeCell ref="BK7:BK8"/>
    <mergeCell ref="BL7:BL8"/>
    <mergeCell ref="BM7:BM8"/>
    <mergeCell ref="BN7:BN8"/>
    <mergeCell ref="BO7:BO8"/>
  </mergeCells>
  <conditionalFormatting sqref="BM9:BM28">
    <cfRule type="expression" dxfId="5" priority="11" stopIfTrue="1">
      <formula>AND(BL9="无",BM9="")</formula>
    </cfRule>
  </conditionalFormatting>
  <conditionalFormatting sqref="BF9:BG28">
    <cfRule type="containsText" dxfId="6" priority="1" stopIfTrue="1" operator="between" text="出错">
      <formula>NOT(ISERROR(SEARCH("出错",BF9)))</formula>
    </cfRule>
  </conditionalFormatting>
  <conditionalFormatting sqref="BH9:BL28 BN9:BN28">
    <cfRule type="expression" dxfId="5" priority="12" stopIfTrue="1">
      <formula>AND($C9&lt;&gt;"",BH9="")</formula>
    </cfRule>
  </conditionalFormatting>
  <dataValidations count="5">
    <dataValidation type="list" allowBlank="1" showInputMessage="1" showErrorMessage="1" sqref="E9:E28 BN9:BN28 BH9:BL28">
      <formula1>E$34:E$35</formula1>
    </dataValidation>
    <dataValidation type="list" allowBlank="1" showInputMessage="1" showErrorMessage="1" sqref="AA9:AA28">
      <formula1>OFFSET(参数表!$H$2:$H$50,,,COUNTA(参数表!$H$2:$H$50))</formula1>
    </dataValidation>
    <dataValidation type="list" allowBlank="1" showInputMessage="1" showErrorMessage="1" sqref="BA9:BA28 BA34:BA35">
      <formula1>"是,否"</formula1>
    </dataValidation>
    <dataValidation type="list" allowBlank="1" showInputMessage="1" showErrorMessage="1" sqref="BC9:BC28">
      <formula1>"  ,√"</formula1>
    </dataValidation>
    <dataValidation type="list" allowBlank="1" showInputMessage="1" showErrorMessage="1" sqref="BP9:BP28">
      <formula1>"成本法,收益法,市场法"</formula1>
    </dataValidation>
  </dataValidations>
  <hyperlinks>
    <hyperlink ref="A1" location="索引目录!D34" display="返回索引页"/>
    <hyperlink ref="C1" location="投资性房地产汇总表!B9"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3"/>
  <dimension ref="A1:BY38"/>
  <sheetViews>
    <sheetView workbookViewId="0">
      <pane xSplit="6" ySplit="9" topLeftCell="G10"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5.6" style="688" customWidth="1"/>
    <col min="3" max="3" width="5.6" style="75" customWidth="1"/>
    <col min="4" max="4" width="10.6" style="75" customWidth="1" outlineLevel="1"/>
    <col min="5" max="5" width="4.7" style="165" customWidth="1" outlineLevel="1"/>
    <col min="6" max="6" width="10.6" style="75" customWidth="1"/>
    <col min="7" max="7" width="4.3" style="75" customWidth="1" outlineLevel="1"/>
    <col min="8" max="8" width="9" style="75" customWidth="1" outlineLevel="1"/>
    <col min="9" max="9" width="11.2" style="75" customWidth="1" outlineLevel="1"/>
    <col min="10" max="10" width="5.2" style="165" customWidth="1"/>
    <col min="11" max="11" width="5.7" style="75" customWidth="1" outlineLevel="1"/>
    <col min="12" max="13" width="5.5" style="75" customWidth="1" outlineLevel="1"/>
    <col min="14" max="18" width="5" style="75" customWidth="1" outlineLevel="1"/>
    <col min="19" max="19" width="5.2" style="75" customWidth="1" outlineLevel="1"/>
    <col min="20" max="20" width="5" style="75" customWidth="1" outlineLevel="1"/>
    <col min="21" max="22" width="4.6" style="165" customWidth="1"/>
    <col min="23" max="23" width="8.3" style="75" customWidth="1"/>
    <col min="24" max="24" width="7.7" style="75" customWidth="1"/>
    <col min="25" max="26" width="4.6" style="75" customWidth="1" outlineLevel="1"/>
    <col min="27" max="28" width="6.1" style="75" customWidth="1" outlineLevel="1"/>
    <col min="29" max="29" width="12.1" style="75" customWidth="1"/>
    <col min="30" max="30" width="12.6" style="75" customWidth="1" outlineLevel="1"/>
    <col min="31" max="31" width="12.6" style="76" customWidth="1" outlineLevel="1"/>
    <col min="32" max="33" width="12.6" style="75" customWidth="1"/>
    <col min="34" max="36" width="6.6" style="75" customWidth="1"/>
    <col min="37" max="37" width="15.2" style="75" customWidth="1"/>
    <col min="38" max="52" width="9" style="75" hidden="1" customWidth="1" outlineLevel="1"/>
    <col min="53" max="53" width="14.7" style="75" customWidth="1" collapsed="1"/>
    <col min="54" max="54" width="6.7" style="75" customWidth="1"/>
    <col min="55" max="56" width="5.1" style="75" customWidth="1"/>
    <col min="57" max="57" width="8.7" style="75" customWidth="1"/>
    <col min="58" max="59" width="9.8" style="75" customWidth="1"/>
    <col min="60" max="64" width="4.7" style="165" customWidth="1"/>
    <col min="65" max="65" width="10.3" style="75" customWidth="1"/>
    <col min="66" max="66" width="4.7" style="165" customWidth="1"/>
    <col min="67" max="67" width="8.7" style="75" customWidth="1"/>
    <col min="68" max="68" width="8.6" style="75" customWidth="1"/>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86" customFormat="1" ht="13.8" spans="1:77">
      <c r="A1" s="203" t="s">
        <v>1591</v>
      </c>
      <c r="B1" s="689"/>
      <c r="C1" s="204" t="s">
        <v>1592</v>
      </c>
      <c r="D1" s="204"/>
      <c r="E1" s="495"/>
      <c r="F1" s="82"/>
      <c r="G1" s="82"/>
      <c r="H1" s="82"/>
      <c r="I1" s="82"/>
      <c r="J1" s="82"/>
      <c r="K1" s="82"/>
      <c r="L1" s="82"/>
      <c r="M1" s="82"/>
      <c r="N1" s="82"/>
      <c r="O1" s="82"/>
      <c r="P1" s="82"/>
      <c r="Q1" s="82"/>
      <c r="R1" s="82"/>
      <c r="S1" s="82"/>
      <c r="T1" s="82"/>
      <c r="U1" s="82"/>
      <c r="V1" s="82"/>
      <c r="W1" s="82"/>
      <c r="X1" s="82"/>
      <c r="Y1" s="82"/>
      <c r="Z1" s="82"/>
      <c r="AA1" s="82"/>
      <c r="AB1" s="82"/>
      <c r="AC1" s="82"/>
      <c r="AD1" s="82"/>
      <c r="AE1" s="205"/>
      <c r="AF1" s="82"/>
      <c r="AG1" s="82"/>
      <c r="AH1" s="82"/>
      <c r="AI1" s="82"/>
      <c r="AJ1" s="82"/>
      <c r="AK1" s="82"/>
      <c r="BA1" s="84" t="str">
        <f>参数表!BA1</f>
        <v>注意：补充特殊事项、作价等均从BA列开始填写</v>
      </c>
      <c r="BB1" s="85"/>
      <c r="BH1" s="82"/>
      <c r="BI1" s="82"/>
      <c r="BJ1" s="82"/>
      <c r="BK1" s="82"/>
      <c r="BL1" s="82"/>
      <c r="BN1" s="82"/>
      <c r="BQ1" s="87"/>
      <c r="BR1" s="88"/>
      <c r="BS1" s="87"/>
      <c r="BT1" s="88"/>
      <c r="BU1" s="88"/>
      <c r="BV1" s="88"/>
      <c r="BW1" s="88"/>
      <c r="BX1" s="88"/>
      <c r="BY1" s="87"/>
    </row>
    <row r="2" s="71" customFormat="1" ht="30" customHeight="1" spans="1:77">
      <c r="A2" s="89" t="s">
        <v>3667</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906"/>
      <c r="BA2" s="90" t="str">
        <f>参数表!BA2</f>
        <v>评估基准日：</v>
      </c>
      <c r="BB2" s="91" t="str">
        <f>参数表!BB2</f>
        <v>2025年7月31日</v>
      </c>
      <c r="BH2" s="171"/>
      <c r="BI2" s="171"/>
      <c r="BJ2" s="171"/>
      <c r="BK2" s="171"/>
      <c r="BL2" s="171"/>
      <c r="BN2" s="171"/>
      <c r="BQ2" s="92"/>
      <c r="BR2" s="88"/>
      <c r="BS2" s="87"/>
      <c r="BT2" s="88"/>
      <c r="BU2" s="88"/>
      <c r="BV2" s="88"/>
      <c r="BW2" s="88"/>
      <c r="BX2" s="88"/>
      <c r="BY2" s="87"/>
    </row>
    <row r="3" s="71" customFormat="1" ht="15" customHeight="1" spans="1:77">
      <c r="A3" s="932" t="s">
        <v>3741</v>
      </c>
      <c r="B3" s="932"/>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c r="AC3" s="932"/>
      <c r="AD3" s="932"/>
      <c r="AE3" s="932"/>
      <c r="AF3" s="932"/>
      <c r="AG3" s="932"/>
      <c r="AH3" s="932"/>
      <c r="AI3" s="932"/>
      <c r="AJ3" s="932"/>
      <c r="AK3" s="906"/>
      <c r="BA3" s="90" t="str">
        <f>参数表!BA3</f>
        <v>是否显示评估值：</v>
      </c>
      <c r="BB3" s="90" t="str">
        <f>参数表!BB3</f>
        <v>是</v>
      </c>
      <c r="BH3" s="171"/>
      <c r="BI3" s="171"/>
      <c r="BJ3" s="171"/>
      <c r="BK3" s="171"/>
      <c r="BL3" s="171"/>
      <c r="BN3" s="171"/>
      <c r="BQ3" s="77"/>
      <c r="BR3" s="88"/>
      <c r="BS3" s="87"/>
      <c r="BT3" s="88"/>
      <c r="BU3" s="88"/>
      <c r="BV3" s="88"/>
      <c r="BW3" s="88"/>
      <c r="BX3" s="88"/>
      <c r="BY3" s="87"/>
    </row>
    <row r="4" ht="15" customHeight="1" spans="1:77">
      <c r="A4" s="94" t="str">
        <f>参数表!F5</f>
        <v>评估基准日：2025年7月31日</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BA4" s="95"/>
      <c r="BB4" s="100">
        <f>MAX(COUNTA(A9:A28),COUNTA(C9:C28),COUNTA(AD9:AD28),COUNTA(AF9:AF28))</f>
        <v>20</v>
      </c>
      <c r="BC4" s="101">
        <f>ROW(A8)+1</f>
        <v>9</v>
      </c>
      <c r="BD4" s="77"/>
      <c r="BE4" s="77"/>
      <c r="BR4" s="93"/>
      <c r="BS4" s="92"/>
      <c r="BT4" s="93"/>
      <c r="BU4" s="93"/>
      <c r="BV4" s="93"/>
      <c r="BW4" s="93"/>
      <c r="BX4" s="93"/>
      <c r="BY4" s="92"/>
    </row>
    <row r="5" ht="15" customHeight="1" spans="1:77">
      <c r="A5" s="96"/>
      <c r="B5" s="96"/>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7"/>
      <c r="AF5" s="94"/>
      <c r="AG5" s="94"/>
      <c r="AH5" s="94"/>
      <c r="AI5" s="94"/>
      <c r="AJ5" s="98" t="str">
        <f>"表"&amp;$BA5</f>
        <v>表4-9-2</v>
      </c>
      <c r="BA5" s="274" t="str">
        <f>投资性房产总!A8</f>
        <v>4-9-2</v>
      </c>
      <c r="BB5" s="105" t="str">
        <f ca="1">判断表!C62</f>
        <v>中煤第五建设有限公司第三工程处拟处置实物资产项目\[0000-3基础法明细表.xlsx]投资-房屋公允</v>
      </c>
      <c r="BC5" s="106">
        <f>IFERROR(SUMIF(BC9:BC28,"√",AF9:AF28)/AF29,0)</f>
        <v>0</v>
      </c>
      <c r="BD5" s="107"/>
      <c r="BE5" s="107"/>
      <c r="BQ5" s="111"/>
      <c r="BS5" s="78"/>
    </row>
    <row r="6" ht="15" customHeight="1" spans="1:77">
      <c r="A6" s="102" t="str">
        <f>参数表!F3</f>
        <v>产权持有单位:中煤第五建设有限公司</v>
      </c>
      <c r="B6" s="96"/>
      <c r="C6" s="103"/>
      <c r="D6" s="103"/>
      <c r="E6" s="95"/>
      <c r="F6" s="103"/>
      <c r="G6" s="103"/>
      <c r="H6" s="103"/>
      <c r="I6" s="103"/>
      <c r="J6" s="95"/>
      <c r="K6" s="103"/>
      <c r="L6" s="103"/>
      <c r="M6" s="103"/>
      <c r="N6" s="103"/>
      <c r="O6" s="103"/>
      <c r="P6" s="103"/>
      <c r="Q6" s="103"/>
      <c r="R6" s="103"/>
      <c r="S6" s="103"/>
      <c r="T6" s="103"/>
      <c r="U6" s="95"/>
      <c r="V6" s="95"/>
      <c r="W6" s="103"/>
      <c r="X6" s="103"/>
      <c r="Y6" s="103"/>
      <c r="Z6" s="103"/>
      <c r="AA6" s="103"/>
      <c r="AB6" s="103"/>
      <c r="AC6" s="103"/>
      <c r="AD6" s="103"/>
      <c r="AE6" s="104"/>
      <c r="AF6" s="103"/>
      <c r="AG6" s="103"/>
      <c r="AH6" s="103"/>
      <c r="AI6" s="103"/>
      <c r="AJ6" s="98" t="s">
        <v>236</v>
      </c>
      <c r="BA6" s="103"/>
      <c r="BB6" s="100"/>
      <c r="BC6" s="100"/>
      <c r="BD6" s="100"/>
      <c r="BE6" s="100"/>
      <c r="BF6" s="108">
        <f>'投资-房屋成本'!BF6</f>
        <v>0</v>
      </c>
      <c r="BG6" s="108">
        <f>'投资-房屋成本'!BG6</f>
        <v>0</v>
      </c>
      <c r="BH6" s="109"/>
      <c r="BI6" s="109"/>
      <c r="BJ6" s="109"/>
      <c r="BK6" s="109"/>
      <c r="BL6" s="109"/>
      <c r="BM6" s="110"/>
      <c r="BN6" s="109"/>
      <c r="BO6" s="110"/>
      <c r="BQ6" s="119"/>
      <c r="BS6" s="78"/>
    </row>
    <row r="7" s="72" customFormat="1" ht="15" customHeight="1" spans="1:77">
      <c r="A7" s="195" t="s">
        <v>305</v>
      </c>
      <c r="B7" s="934" t="s">
        <v>3669</v>
      </c>
      <c r="C7" s="208" t="s">
        <v>3670</v>
      </c>
      <c r="D7" s="210" t="s">
        <v>3671</v>
      </c>
      <c r="E7" s="209" t="s">
        <v>3672</v>
      </c>
      <c r="F7" s="149" t="s">
        <v>3673</v>
      </c>
      <c r="G7" s="891" t="s">
        <v>3742</v>
      </c>
      <c r="H7" s="149" t="s">
        <v>3675</v>
      </c>
      <c r="I7" s="149" t="s">
        <v>3676</v>
      </c>
      <c r="J7" s="113" t="s">
        <v>3677</v>
      </c>
      <c r="K7" s="118" t="s">
        <v>3678</v>
      </c>
      <c r="L7" s="118" t="s">
        <v>3679</v>
      </c>
      <c r="M7" s="118" t="s">
        <v>3680</v>
      </c>
      <c r="N7" s="528" t="s">
        <v>3681</v>
      </c>
      <c r="O7" s="528" t="s">
        <v>3682</v>
      </c>
      <c r="P7" s="118" t="s">
        <v>3683</v>
      </c>
      <c r="Q7" s="118" t="s">
        <v>3684</v>
      </c>
      <c r="R7" s="118" t="s">
        <v>3685</v>
      </c>
      <c r="S7" s="118" t="s">
        <v>3686</v>
      </c>
      <c r="T7" s="118" t="s">
        <v>3687</v>
      </c>
      <c r="U7" s="118" t="s">
        <v>3690</v>
      </c>
      <c r="V7" s="684" t="s">
        <v>2176</v>
      </c>
      <c r="W7" s="684" t="s">
        <v>3691</v>
      </c>
      <c r="X7" s="118" t="s">
        <v>3692</v>
      </c>
      <c r="Y7" s="511" t="s">
        <v>1964</v>
      </c>
      <c r="Z7" s="512"/>
      <c r="AA7" s="512"/>
      <c r="AB7" s="512"/>
      <c r="AC7" s="118" t="s">
        <v>3743</v>
      </c>
      <c r="AD7" s="113" t="s">
        <v>1549</v>
      </c>
      <c r="AE7" s="117" t="s">
        <v>1634</v>
      </c>
      <c r="AF7" s="113" t="s">
        <v>1523</v>
      </c>
      <c r="AG7" s="113" t="s">
        <v>1550</v>
      </c>
      <c r="AH7" s="113" t="s">
        <v>1525</v>
      </c>
      <c r="AI7" s="118" t="s">
        <v>1551</v>
      </c>
      <c r="AJ7" s="118" t="s">
        <v>308</v>
      </c>
      <c r="AK7" s="909" t="s">
        <v>3694</v>
      </c>
      <c r="BA7" s="191"/>
      <c r="BB7" s="100"/>
      <c r="BC7" s="100"/>
      <c r="BD7" s="100"/>
      <c r="BE7" s="100"/>
      <c r="BF7" s="192" t="s">
        <v>1639</v>
      </c>
      <c r="BG7" s="192" t="s">
        <v>1640</v>
      </c>
      <c r="BH7" s="118" t="s">
        <v>1748</v>
      </c>
      <c r="BI7" s="118" t="s">
        <v>3744</v>
      </c>
      <c r="BJ7" s="118" t="s">
        <v>1750</v>
      </c>
      <c r="BK7" s="118" t="s">
        <v>3745</v>
      </c>
      <c r="BL7" s="118" t="s">
        <v>1641</v>
      </c>
      <c r="BM7" s="118" t="s">
        <v>2209</v>
      </c>
      <c r="BN7" s="118" t="s">
        <v>3697</v>
      </c>
      <c r="BO7" s="118" t="s">
        <v>1644</v>
      </c>
      <c r="BP7" s="682" t="s">
        <v>2184</v>
      </c>
      <c r="BQ7" s="77"/>
      <c r="BR7" s="78"/>
      <c r="BS7" s="78"/>
      <c r="BT7" s="78"/>
      <c r="BU7" s="78"/>
      <c r="BV7" s="78"/>
      <c r="BW7" s="78"/>
      <c r="BX7" s="78"/>
      <c r="BY7" s="111"/>
    </row>
    <row r="8" s="72" customFormat="1" ht="15" customHeight="1" spans="1:77">
      <c r="A8" s="195"/>
      <c r="B8" s="935"/>
      <c r="C8" s="208"/>
      <c r="D8" s="769"/>
      <c r="E8" s="695"/>
      <c r="F8" s="149"/>
      <c r="G8" s="891"/>
      <c r="H8" s="149"/>
      <c r="I8" s="149"/>
      <c r="J8" s="113"/>
      <c r="K8" s="113"/>
      <c r="L8" s="113"/>
      <c r="M8" s="118"/>
      <c r="N8" s="528"/>
      <c r="O8" s="528"/>
      <c r="P8" s="113"/>
      <c r="Q8" s="113"/>
      <c r="R8" s="113"/>
      <c r="S8" s="113"/>
      <c r="T8" s="113"/>
      <c r="U8" s="113"/>
      <c r="V8" s="684"/>
      <c r="W8" s="684"/>
      <c r="X8" s="113"/>
      <c r="Y8" s="519" t="s">
        <v>1968</v>
      </c>
      <c r="Z8" s="519" t="s">
        <v>1969</v>
      </c>
      <c r="AA8" s="519" t="s">
        <v>3746</v>
      </c>
      <c r="AB8" s="519" t="s">
        <v>3747</v>
      </c>
      <c r="AC8" s="118"/>
      <c r="AD8" s="113"/>
      <c r="AE8" s="117"/>
      <c r="AF8" s="113" t="s">
        <v>1556</v>
      </c>
      <c r="AG8" s="113" t="s">
        <v>1557</v>
      </c>
      <c r="AH8" s="113"/>
      <c r="AI8" s="113"/>
      <c r="AJ8" s="113"/>
      <c r="AK8" s="912"/>
      <c r="BA8" s="100" t="s">
        <v>1545</v>
      </c>
      <c r="BB8" s="100" t="s">
        <v>1635</v>
      </c>
      <c r="BC8" s="100" t="s">
        <v>1636</v>
      </c>
      <c r="BD8" s="100" t="s">
        <v>1637</v>
      </c>
      <c r="BE8" s="100" t="s">
        <v>1638</v>
      </c>
      <c r="BF8" s="197"/>
      <c r="BG8" s="197"/>
      <c r="BH8" s="118"/>
      <c r="BI8" s="118"/>
      <c r="BJ8" s="118"/>
      <c r="BK8" s="118"/>
      <c r="BL8" s="118"/>
      <c r="BM8" s="118"/>
      <c r="BN8" s="118"/>
      <c r="BO8" s="118"/>
      <c r="BP8" s="682"/>
      <c r="BQ8" s="77"/>
      <c r="BR8" s="120" t="s">
        <v>1645</v>
      </c>
      <c r="BS8" s="121" t="s">
        <v>1646</v>
      </c>
      <c r="BT8" s="121" t="s">
        <v>1647</v>
      </c>
      <c r="BU8" s="121" t="s">
        <v>1648</v>
      </c>
      <c r="BV8" s="121" t="s">
        <v>1647</v>
      </c>
      <c r="BW8" s="121" t="s">
        <v>1647</v>
      </c>
      <c r="BX8" s="121" t="s">
        <v>1649</v>
      </c>
      <c r="BY8" s="122" t="s">
        <v>1650</v>
      </c>
    </row>
    <row r="9" ht="15" customHeight="1" spans="1:77">
      <c r="A9" s="123" t="str">
        <f>IF(F9="","",COUNT(A$8:A8)+1)</f>
        <v/>
      </c>
      <c r="B9" s="123"/>
      <c r="C9" s="124"/>
      <c r="D9" s="124"/>
      <c r="E9" s="126"/>
      <c r="F9" s="124"/>
      <c r="G9" s="124"/>
      <c r="H9" s="124"/>
      <c r="I9" s="124"/>
      <c r="J9" s="126"/>
      <c r="K9" s="126"/>
      <c r="L9" s="126"/>
      <c r="M9" s="126"/>
      <c r="N9" s="126"/>
      <c r="O9" s="126"/>
      <c r="P9" s="126"/>
      <c r="Q9" s="126"/>
      <c r="R9" s="126"/>
      <c r="S9" s="124"/>
      <c r="T9" s="125"/>
      <c r="U9" s="125"/>
      <c r="V9" s="125"/>
      <c r="W9" s="129"/>
      <c r="X9" s="129" t="str">
        <f t="shared" ref="X9:X28" si="0">IFERROR(AC9/W9,"")</f>
        <v/>
      </c>
      <c r="Y9" s="127"/>
      <c r="Z9" s="127" t="str">
        <f>IFERROR(VLOOKUP(Y9,参数表!$H$2:$I$50,2,FALSE),"")</f>
        <v/>
      </c>
      <c r="AA9" s="128" t="str">
        <f>IFERROR(IF(OR(Y9="人民币",Y9=""),"",AC9/Z9),"")</f>
        <v/>
      </c>
      <c r="AB9" s="128" t="str">
        <f>IFERROR(IF(OR(Y9="人民币",Y9=""),"",AF9/Z9),"")</f>
        <v/>
      </c>
      <c r="AC9" s="129"/>
      <c r="AD9" s="129"/>
      <c r="AE9" s="130"/>
      <c r="AF9" s="129" t="str">
        <f t="shared" ref="AF9:AF28" si="1">IF(F9="","",AD9+AE9)</f>
        <v/>
      </c>
      <c r="AG9" s="129" t="str">
        <f t="shared" ref="AG9:AG28" si="2">IF(F9="","",IF($BB$3="是",W9*BP9,""))</f>
        <v/>
      </c>
      <c r="AH9" s="129" t="str">
        <f t="shared" ref="AH9:AH29" si="3">IFERROR(AG9-AF9,"")</f>
        <v/>
      </c>
      <c r="AI9" s="129" t="str">
        <f t="shared" ref="AI9:AI29" si="4">IFERROR(AH9/AF9*100,"")</f>
        <v/>
      </c>
      <c r="AJ9" s="124"/>
      <c r="AK9" s="936"/>
      <c r="AL9" s="72"/>
      <c r="BA9" s="78"/>
      <c r="BB9" s="132" t="s">
        <v>3748</v>
      </c>
      <c r="BC9" s="133"/>
      <c r="BD9" s="132" t="str">
        <f>IF(OR(F9="",BC9=""),"",COUNTIF(BC$9:BC9,"√"))</f>
        <v/>
      </c>
      <c r="BE9" s="134" t="str">
        <f t="shared" ref="BE9:BE28" si="5">IF(FC9="","",BB9&amp;"︱"&amp;F9&amp;"︱"&amp;TEXT(AD9,"#,##0.00"))</f>
        <v/>
      </c>
      <c r="BF9" s="135" t="str">
        <f>IF($C9="","",IF(BF$5=0,"OK","出错"))</f>
        <v/>
      </c>
      <c r="BG9" s="135" t="str">
        <f>IF($C9="","",IF(BG$5=0,"OK","出错"))</f>
        <v/>
      </c>
      <c r="BH9" s="136"/>
      <c r="BI9" s="136"/>
      <c r="BJ9" s="136"/>
      <c r="BK9" s="136"/>
      <c r="BL9" s="136"/>
      <c r="BM9" s="137"/>
      <c r="BN9" s="136"/>
      <c r="BO9" s="137"/>
      <c r="BR9" s="134" t="str">
        <f>IF(COUNTIF(BR$8:BR8,F9)&gt;0,"",F9)&amp;""</f>
        <v/>
      </c>
      <c r="BS9" s="138">
        <f>SUMIF(F$9:F$28,BR9,AF$9:AF$28)</f>
        <v>0</v>
      </c>
      <c r="BT9" s="132">
        <f t="shared" ref="BT9" si="6">RANK(BS9,BS$9:BS$28)</f>
        <v>1</v>
      </c>
      <c r="BU9" s="138">
        <f>SUMIF(F$9:F$28,BR9,AG$9:AG$28)</f>
        <v>0</v>
      </c>
      <c r="BV9" s="132">
        <f>RANK(BU9,BU$9:BU$28)</f>
        <v>1</v>
      </c>
      <c r="BW9" s="138">
        <f>SUM(BS9:BS28)</f>
        <v>0</v>
      </c>
      <c r="BX9" s="138"/>
      <c r="BY9" s="138"/>
    </row>
    <row r="10" ht="15" customHeight="1" spans="1:77">
      <c r="A10" s="123" t="str">
        <f>IF(F10="","",COUNT(A$8:A9)+1)</f>
        <v/>
      </c>
      <c r="B10" s="141"/>
      <c r="C10" s="139"/>
      <c r="D10" s="139"/>
      <c r="E10" s="141"/>
      <c r="F10" s="139"/>
      <c r="G10" s="139"/>
      <c r="H10" s="535"/>
      <c r="I10" s="535"/>
      <c r="J10" s="141"/>
      <c r="K10" s="914"/>
      <c r="L10" s="914"/>
      <c r="M10" s="914"/>
      <c r="N10" s="914"/>
      <c r="O10" s="914"/>
      <c r="P10" s="914"/>
      <c r="Q10" s="914"/>
      <c r="R10" s="914"/>
      <c r="S10" s="535"/>
      <c r="T10" s="915"/>
      <c r="U10" s="140"/>
      <c r="V10" s="140"/>
      <c r="W10" s="143"/>
      <c r="X10" s="129" t="str">
        <f t="shared" si="0"/>
        <v/>
      </c>
      <c r="Y10" s="142"/>
      <c r="Z10" s="127" t="str">
        <f>IFERROR(VLOOKUP(Y10,参数表!$H$2:$I$50,2,FALSE),"")</f>
        <v/>
      </c>
      <c r="AA10" s="128" t="str">
        <f t="shared" ref="AA10:AA28" si="7">IFERROR(IF(OR(Y10="人民币",Y10=""),"",AC10/Z10),"")</f>
        <v/>
      </c>
      <c r="AB10" s="128" t="str">
        <f t="shared" ref="AB10:AB28" si="8">IFERROR(IF(OR(Y10="人民币",Y10=""),"",AF10/Z10),"")</f>
        <v/>
      </c>
      <c r="AC10" s="143"/>
      <c r="AD10" s="143"/>
      <c r="AE10" s="144"/>
      <c r="AF10" s="129" t="str">
        <f t="shared" si="1"/>
        <v/>
      </c>
      <c r="AG10" s="129" t="str">
        <f t="shared" si="2"/>
        <v/>
      </c>
      <c r="AH10" s="129" t="str">
        <f t="shared" si="3"/>
        <v/>
      </c>
      <c r="AI10" s="129" t="str">
        <f t="shared" si="4"/>
        <v/>
      </c>
      <c r="AJ10" s="139"/>
      <c r="AK10" s="913"/>
      <c r="AL10" s="72"/>
      <c r="BA10" s="78"/>
      <c r="BB10" s="132" t="s">
        <v>3749</v>
      </c>
      <c r="BC10" s="133"/>
      <c r="BD10" s="132" t="str">
        <f>IF(OR(F10="",BC10=""),"",COUNTIF(BC$9:BC10,"√"))</f>
        <v/>
      </c>
      <c r="BE10" s="134" t="str">
        <f t="shared" si="5"/>
        <v/>
      </c>
      <c r="BF10" s="135" t="str">
        <f t="shared" ref="BF10:BG28" si="9">IF($C10="","",IF(BF$5=0,"OK","出错"))</f>
        <v/>
      </c>
      <c r="BG10" s="135" t="str">
        <f t="shared" si="9"/>
        <v/>
      </c>
      <c r="BH10" s="136"/>
      <c r="BI10" s="136"/>
      <c r="BJ10" s="136"/>
      <c r="BK10" s="136"/>
      <c r="BL10" s="136"/>
      <c r="BM10" s="137"/>
      <c r="BN10" s="136"/>
      <c r="BO10" s="137"/>
      <c r="BR10" s="134" t="str">
        <f>IF(COUNTIF(BR$8:BR9,F10)&gt;0,"",F10)&amp;""</f>
        <v/>
      </c>
      <c r="BS10" s="138">
        <f t="shared" ref="BS10:BS28" si="10">SUMIF(F$9:F$28,BR10,AF$9:AF$28)</f>
        <v>0</v>
      </c>
      <c r="BT10" s="132">
        <f t="shared" ref="BT10:BT28" si="11">RANK(BS10,BS$9:BS$28)</f>
        <v>1</v>
      </c>
      <c r="BU10" s="138">
        <f t="shared" ref="BU10:BU28" si="12">SUMIF(F$9:F$28,BR10,AG$9:AG$28)</f>
        <v>0</v>
      </c>
      <c r="BV10" s="132">
        <f t="shared" ref="BV10:BV28" si="13">RANK(BU10,BU$9:BU$28)</f>
        <v>1</v>
      </c>
      <c r="BW10" s="138">
        <f>SUM(BU9:BU28)</f>
        <v>0</v>
      </c>
      <c r="BX10" s="138"/>
      <c r="BY10" s="138"/>
    </row>
    <row r="11" ht="15" customHeight="1" spans="1:77">
      <c r="A11" s="123" t="str">
        <f>IF(F11="","",COUNT(A$8:A10)+1)</f>
        <v/>
      </c>
      <c r="B11" s="141"/>
      <c r="C11" s="139"/>
      <c r="D11" s="139"/>
      <c r="E11" s="141"/>
      <c r="F11" s="139"/>
      <c r="G11" s="139"/>
      <c r="H11" s="535"/>
      <c r="I11" s="535"/>
      <c r="J11" s="141"/>
      <c r="K11" s="914"/>
      <c r="L11" s="914"/>
      <c r="M11" s="914"/>
      <c r="N11" s="914"/>
      <c r="O11" s="914"/>
      <c r="P11" s="914"/>
      <c r="Q11" s="914"/>
      <c r="R11" s="914"/>
      <c r="S11" s="535"/>
      <c r="T11" s="915"/>
      <c r="U11" s="140"/>
      <c r="V11" s="140"/>
      <c r="W11" s="143"/>
      <c r="X11" s="129" t="str">
        <f t="shared" si="0"/>
        <v/>
      </c>
      <c r="Y11" s="142"/>
      <c r="Z11" s="127" t="str">
        <f>IFERROR(VLOOKUP(Y11,参数表!$H$2:$I$50,2,FALSE),"")</f>
        <v/>
      </c>
      <c r="AA11" s="128" t="str">
        <f t="shared" si="7"/>
        <v/>
      </c>
      <c r="AB11" s="128" t="str">
        <f t="shared" si="8"/>
        <v/>
      </c>
      <c r="AC11" s="143"/>
      <c r="AD11" s="143"/>
      <c r="AE11" s="144"/>
      <c r="AF11" s="129" t="str">
        <f t="shared" si="1"/>
        <v/>
      </c>
      <c r="AG11" s="129" t="str">
        <f t="shared" si="2"/>
        <v/>
      </c>
      <c r="AH11" s="129" t="str">
        <f t="shared" si="3"/>
        <v/>
      </c>
      <c r="AI11" s="129" t="str">
        <f t="shared" si="4"/>
        <v/>
      </c>
      <c r="AJ11" s="139"/>
      <c r="AK11" s="913"/>
      <c r="BA11" s="78"/>
      <c r="BB11" s="132" t="s">
        <v>3750</v>
      </c>
      <c r="BC11" s="133"/>
      <c r="BD11" s="132" t="str">
        <f>IF(OR(F11="",BC11=""),"",COUNTIF(BC$9:BC11,"√"))</f>
        <v/>
      </c>
      <c r="BE11" s="134" t="str">
        <f t="shared" si="5"/>
        <v/>
      </c>
      <c r="BF11" s="135" t="str">
        <f t="shared" si="9"/>
        <v/>
      </c>
      <c r="BG11" s="135" t="str">
        <f t="shared" si="9"/>
        <v/>
      </c>
      <c r="BH11" s="136"/>
      <c r="BI11" s="136"/>
      <c r="BJ11" s="136"/>
      <c r="BK11" s="136"/>
      <c r="BL11" s="136"/>
      <c r="BM11" s="137"/>
      <c r="BN11" s="136"/>
      <c r="BO11" s="137"/>
      <c r="BR11" s="134" t="str">
        <f>IF(COUNTIF(BR$8:BR10,F11)&gt;0,"",F11)&amp;""</f>
        <v/>
      </c>
      <c r="BS11" s="138">
        <f t="shared" si="10"/>
        <v>0</v>
      </c>
      <c r="BT11" s="132">
        <f t="shared" si="11"/>
        <v>1</v>
      </c>
      <c r="BU11" s="138">
        <f t="shared" si="12"/>
        <v>0</v>
      </c>
      <c r="BV11" s="132">
        <f t="shared" si="13"/>
        <v>1</v>
      </c>
      <c r="BW11" s="132">
        <v>1</v>
      </c>
      <c r="BX11" s="134" t="str">
        <f>IFERROR(INDEX(BR$9:BR$28,MATCH(BW11,IF(BW$9=0,BV$9:BV$28,BT$9:BT$28),0))&amp;"","")</f>
        <v/>
      </c>
      <c r="BY11" s="146" t="str">
        <f>IF(BX12="","",IF(BX13="","和","、"))</f>
        <v/>
      </c>
    </row>
    <row r="12" ht="15" customHeight="1" spans="1:77">
      <c r="A12" s="123" t="str">
        <f>IF(F12="","",COUNT(A$8:A11)+1)</f>
        <v/>
      </c>
      <c r="B12" s="141"/>
      <c r="C12" s="139"/>
      <c r="D12" s="139"/>
      <c r="E12" s="141"/>
      <c r="F12" s="139"/>
      <c r="G12" s="139"/>
      <c r="H12" s="535"/>
      <c r="I12" s="535"/>
      <c r="J12" s="141"/>
      <c r="K12" s="914"/>
      <c r="L12" s="914"/>
      <c r="M12" s="914"/>
      <c r="N12" s="914"/>
      <c r="O12" s="914"/>
      <c r="P12" s="914"/>
      <c r="Q12" s="914"/>
      <c r="R12" s="914"/>
      <c r="S12" s="535"/>
      <c r="T12" s="915"/>
      <c r="U12" s="140"/>
      <c r="V12" s="140"/>
      <c r="W12" s="143"/>
      <c r="X12" s="129" t="str">
        <f t="shared" si="0"/>
        <v/>
      </c>
      <c r="Y12" s="142"/>
      <c r="Z12" s="127" t="str">
        <f>IFERROR(VLOOKUP(Y12,参数表!$H$2:$I$50,2,FALSE),"")</f>
        <v/>
      </c>
      <c r="AA12" s="128" t="str">
        <f t="shared" si="7"/>
        <v/>
      </c>
      <c r="AB12" s="128" t="str">
        <f t="shared" si="8"/>
        <v/>
      </c>
      <c r="AC12" s="143"/>
      <c r="AD12" s="143"/>
      <c r="AE12" s="144"/>
      <c r="AF12" s="129" t="str">
        <f t="shared" si="1"/>
        <v/>
      </c>
      <c r="AG12" s="129" t="str">
        <f t="shared" si="2"/>
        <v/>
      </c>
      <c r="AH12" s="129" t="str">
        <f t="shared" si="3"/>
        <v/>
      </c>
      <c r="AI12" s="129" t="str">
        <f t="shared" si="4"/>
        <v/>
      </c>
      <c r="AJ12" s="139"/>
      <c r="AK12" s="913"/>
      <c r="BA12" s="78"/>
      <c r="BB12" s="132" t="s">
        <v>3751</v>
      </c>
      <c r="BC12" s="133"/>
      <c r="BD12" s="132" t="str">
        <f>IF(OR(F12="",BC12=""),"",COUNTIF(BC$9:BC12,"√"))</f>
        <v/>
      </c>
      <c r="BE12" s="134" t="str">
        <f t="shared" si="5"/>
        <v/>
      </c>
      <c r="BF12" s="135" t="str">
        <f t="shared" si="9"/>
        <v/>
      </c>
      <c r="BG12" s="135" t="str">
        <f t="shared" si="9"/>
        <v/>
      </c>
      <c r="BH12" s="136"/>
      <c r="BI12" s="136"/>
      <c r="BJ12" s="136"/>
      <c r="BK12" s="136"/>
      <c r="BL12" s="136"/>
      <c r="BM12" s="137"/>
      <c r="BN12" s="136"/>
      <c r="BO12" s="137"/>
      <c r="BR12" s="134" t="str">
        <f>IF(COUNTIF(BR$8:BR11,F12)&gt;0,"",F12)&amp;""</f>
        <v/>
      </c>
      <c r="BS12" s="138">
        <f t="shared" si="10"/>
        <v>0</v>
      </c>
      <c r="BT12" s="132">
        <f t="shared" si="11"/>
        <v>1</v>
      </c>
      <c r="BU12" s="138">
        <f t="shared" si="12"/>
        <v>0</v>
      </c>
      <c r="BV12" s="132">
        <f t="shared" si="13"/>
        <v>1</v>
      </c>
      <c r="BW12" s="132">
        <v>2</v>
      </c>
      <c r="BX12" s="134" t="str">
        <f>IFERROR(INDEX(BR$9:BR$28,MATCH(BW12,IF(BW$9=0,BV$9:BV$28,BT$9:BT$28),0))&amp;"","")</f>
        <v/>
      </c>
      <c r="BY12" s="146" t="str">
        <f t="shared" ref="BY12:BY13" si="14">IF(BX13="","",IF(BX14="","和","、"))</f>
        <v/>
      </c>
    </row>
    <row r="13" ht="15" customHeight="1" spans="1:77">
      <c r="A13" s="123" t="str">
        <f>IF(F13="","",COUNT(A$8:A12)+1)</f>
        <v/>
      </c>
      <c r="B13" s="141"/>
      <c r="C13" s="139"/>
      <c r="D13" s="139"/>
      <c r="E13" s="141"/>
      <c r="F13" s="139"/>
      <c r="G13" s="139"/>
      <c r="H13" s="535"/>
      <c r="I13" s="535"/>
      <c r="J13" s="141"/>
      <c r="K13" s="914"/>
      <c r="L13" s="914"/>
      <c r="M13" s="914"/>
      <c r="N13" s="914"/>
      <c r="O13" s="914"/>
      <c r="P13" s="914"/>
      <c r="Q13" s="914"/>
      <c r="R13" s="914"/>
      <c r="S13" s="535"/>
      <c r="T13" s="915"/>
      <c r="U13" s="140"/>
      <c r="V13" s="140"/>
      <c r="W13" s="143"/>
      <c r="X13" s="129" t="str">
        <f t="shared" si="0"/>
        <v/>
      </c>
      <c r="Y13" s="142"/>
      <c r="Z13" s="127" t="str">
        <f>IFERROR(VLOOKUP(Y13,参数表!$H$2:$I$50,2,FALSE),"")</f>
        <v/>
      </c>
      <c r="AA13" s="128" t="str">
        <f t="shared" si="7"/>
        <v/>
      </c>
      <c r="AB13" s="128" t="str">
        <f t="shared" si="8"/>
        <v/>
      </c>
      <c r="AC13" s="143"/>
      <c r="AD13" s="143"/>
      <c r="AE13" s="144"/>
      <c r="AF13" s="129" t="str">
        <f t="shared" si="1"/>
        <v/>
      </c>
      <c r="AG13" s="129" t="str">
        <f t="shared" si="2"/>
        <v/>
      </c>
      <c r="AH13" s="129" t="str">
        <f t="shared" si="3"/>
        <v/>
      </c>
      <c r="AI13" s="129" t="str">
        <f t="shared" si="4"/>
        <v/>
      </c>
      <c r="AJ13" s="139"/>
      <c r="AK13" s="913"/>
      <c r="BA13" s="78"/>
      <c r="BB13" s="132" t="s">
        <v>3752</v>
      </c>
      <c r="BC13" s="133"/>
      <c r="BD13" s="132" t="str">
        <f>IF(OR(F13="",BC13=""),"",COUNTIF(BC$9:BC13,"√"))</f>
        <v/>
      </c>
      <c r="BE13" s="134" t="str">
        <f t="shared" si="5"/>
        <v/>
      </c>
      <c r="BF13" s="135" t="str">
        <f t="shared" si="9"/>
        <v/>
      </c>
      <c r="BG13" s="135" t="str">
        <f t="shared" si="9"/>
        <v/>
      </c>
      <c r="BH13" s="136"/>
      <c r="BI13" s="136"/>
      <c r="BJ13" s="136"/>
      <c r="BK13" s="136"/>
      <c r="BL13" s="136"/>
      <c r="BM13" s="137"/>
      <c r="BN13" s="136"/>
      <c r="BO13" s="137"/>
      <c r="BR13" s="134" t="str">
        <f>IF(COUNTIF(BR$8:BR12,F13)&gt;0,"",F13)&amp;""</f>
        <v/>
      </c>
      <c r="BS13" s="138">
        <f t="shared" si="10"/>
        <v>0</v>
      </c>
      <c r="BT13" s="132">
        <f t="shared" si="11"/>
        <v>1</v>
      </c>
      <c r="BU13" s="138">
        <f t="shared" si="12"/>
        <v>0</v>
      </c>
      <c r="BV13" s="132">
        <f t="shared" si="13"/>
        <v>1</v>
      </c>
      <c r="BW13" s="132">
        <v>3</v>
      </c>
      <c r="BX13" s="134" t="str">
        <f t="shared" ref="BX13:BX15" si="15">IFERROR(INDEX(BR$9:BR$28,MATCH(BW13,IF(BW$9=0,BV$9:BV$28,BT$9:BT$28),0))&amp;"","")</f>
        <v/>
      </c>
      <c r="BY13" s="146" t="str">
        <f t="shared" si="14"/>
        <v/>
      </c>
    </row>
    <row r="14" ht="15" customHeight="1" spans="1:77">
      <c r="A14" s="123" t="str">
        <f>IF(F14="","",COUNT(A$8:A13)+1)</f>
        <v/>
      </c>
      <c r="B14" s="141"/>
      <c r="C14" s="139"/>
      <c r="D14" s="139"/>
      <c r="E14" s="141"/>
      <c r="F14" s="139"/>
      <c r="G14" s="139"/>
      <c r="H14" s="535"/>
      <c r="I14" s="535"/>
      <c r="J14" s="141"/>
      <c r="K14" s="914"/>
      <c r="L14" s="914"/>
      <c r="M14" s="914"/>
      <c r="N14" s="914"/>
      <c r="O14" s="914"/>
      <c r="P14" s="914"/>
      <c r="Q14" s="914"/>
      <c r="R14" s="914"/>
      <c r="S14" s="535"/>
      <c r="T14" s="915"/>
      <c r="U14" s="140"/>
      <c r="V14" s="140"/>
      <c r="W14" s="143"/>
      <c r="X14" s="129" t="str">
        <f t="shared" si="0"/>
        <v/>
      </c>
      <c r="Y14" s="142"/>
      <c r="Z14" s="127" t="str">
        <f>IFERROR(VLOOKUP(Y14,参数表!$H$2:$I$50,2,FALSE),"")</f>
        <v/>
      </c>
      <c r="AA14" s="128" t="str">
        <f t="shared" si="7"/>
        <v/>
      </c>
      <c r="AB14" s="128" t="str">
        <f t="shared" si="8"/>
        <v/>
      </c>
      <c r="AC14" s="143"/>
      <c r="AD14" s="143"/>
      <c r="AE14" s="144"/>
      <c r="AF14" s="129" t="str">
        <f t="shared" si="1"/>
        <v/>
      </c>
      <c r="AG14" s="129" t="str">
        <f t="shared" si="2"/>
        <v/>
      </c>
      <c r="AH14" s="129" t="str">
        <f t="shared" si="3"/>
        <v/>
      </c>
      <c r="AI14" s="129" t="str">
        <f t="shared" si="4"/>
        <v/>
      </c>
      <c r="AJ14" s="139"/>
      <c r="AK14" s="913"/>
      <c r="BA14" s="78"/>
      <c r="BB14" s="132" t="s">
        <v>3753</v>
      </c>
      <c r="BC14" s="133"/>
      <c r="BD14" s="132" t="str">
        <f>IF(OR(F14="",BC14=""),"",COUNTIF(BC$9:BC14,"√"))</f>
        <v/>
      </c>
      <c r="BE14" s="134" t="str">
        <f t="shared" si="5"/>
        <v/>
      </c>
      <c r="BF14" s="135" t="str">
        <f t="shared" si="9"/>
        <v/>
      </c>
      <c r="BG14" s="135" t="str">
        <f t="shared" si="9"/>
        <v/>
      </c>
      <c r="BH14" s="136"/>
      <c r="BI14" s="136"/>
      <c r="BJ14" s="136"/>
      <c r="BK14" s="136"/>
      <c r="BL14" s="136"/>
      <c r="BM14" s="137"/>
      <c r="BN14" s="136"/>
      <c r="BO14" s="137"/>
      <c r="BR14" s="134" t="str">
        <f>IF(COUNTIF(BR$8:BR13,F14)&gt;0,"",F14)&amp;""</f>
        <v/>
      </c>
      <c r="BS14" s="138">
        <f t="shared" si="10"/>
        <v>0</v>
      </c>
      <c r="BT14" s="132">
        <f t="shared" si="11"/>
        <v>1</v>
      </c>
      <c r="BU14" s="138">
        <f t="shared" si="12"/>
        <v>0</v>
      </c>
      <c r="BV14" s="132">
        <f t="shared" si="13"/>
        <v>1</v>
      </c>
      <c r="BW14" s="132">
        <v>4</v>
      </c>
      <c r="BX14" s="134" t="str">
        <f t="shared" si="15"/>
        <v/>
      </c>
      <c r="BY14" s="146" t="str">
        <f>IF(BX15="","","和")</f>
        <v/>
      </c>
    </row>
    <row r="15" ht="15" customHeight="1" spans="1:77">
      <c r="A15" s="123" t="str">
        <f>IF(F15="","",COUNT(A$8:A14)+1)</f>
        <v/>
      </c>
      <c r="B15" s="141"/>
      <c r="C15" s="139"/>
      <c r="D15" s="139"/>
      <c r="E15" s="141"/>
      <c r="F15" s="139"/>
      <c r="G15" s="139"/>
      <c r="H15" s="535"/>
      <c r="I15" s="535"/>
      <c r="J15" s="141"/>
      <c r="K15" s="914"/>
      <c r="L15" s="914"/>
      <c r="M15" s="914"/>
      <c r="N15" s="914"/>
      <c r="O15" s="914"/>
      <c r="P15" s="914"/>
      <c r="Q15" s="914"/>
      <c r="R15" s="914"/>
      <c r="S15" s="535"/>
      <c r="T15" s="915"/>
      <c r="U15" s="140"/>
      <c r="V15" s="140"/>
      <c r="W15" s="143"/>
      <c r="X15" s="129" t="str">
        <f t="shared" si="0"/>
        <v/>
      </c>
      <c r="Y15" s="142"/>
      <c r="Z15" s="127" t="str">
        <f>IFERROR(VLOOKUP(Y15,参数表!$H$2:$I$50,2,FALSE),"")</f>
        <v/>
      </c>
      <c r="AA15" s="128" t="str">
        <f t="shared" si="7"/>
        <v/>
      </c>
      <c r="AB15" s="128" t="str">
        <f t="shared" si="8"/>
        <v/>
      </c>
      <c r="AC15" s="143"/>
      <c r="AD15" s="143"/>
      <c r="AE15" s="144"/>
      <c r="AF15" s="129" t="str">
        <f t="shared" si="1"/>
        <v/>
      </c>
      <c r="AG15" s="129" t="str">
        <f t="shared" si="2"/>
        <v/>
      </c>
      <c r="AH15" s="129" t="str">
        <f t="shared" si="3"/>
        <v/>
      </c>
      <c r="AI15" s="129" t="str">
        <f t="shared" si="4"/>
        <v/>
      </c>
      <c r="AJ15" s="139"/>
      <c r="AK15" s="913"/>
      <c r="BA15" s="78"/>
      <c r="BB15" s="132" t="s">
        <v>3754</v>
      </c>
      <c r="BC15" s="133"/>
      <c r="BD15" s="132" t="str">
        <f>IF(OR(F15="",BC15=""),"",COUNTIF(BC$9:BC15,"√"))</f>
        <v/>
      </c>
      <c r="BE15" s="134" t="str">
        <f t="shared" si="5"/>
        <v/>
      </c>
      <c r="BF15" s="135" t="str">
        <f t="shared" si="9"/>
        <v/>
      </c>
      <c r="BG15" s="135" t="str">
        <f t="shared" si="9"/>
        <v/>
      </c>
      <c r="BH15" s="136"/>
      <c r="BI15" s="136"/>
      <c r="BJ15" s="136"/>
      <c r="BK15" s="136"/>
      <c r="BL15" s="136"/>
      <c r="BM15" s="137"/>
      <c r="BN15" s="136"/>
      <c r="BO15" s="137"/>
      <c r="BR15" s="134" t="str">
        <f>IF(COUNTIF(BR$8:BR14,F15)&gt;0,"",F15)&amp;""</f>
        <v/>
      </c>
      <c r="BS15" s="138">
        <f t="shared" si="10"/>
        <v>0</v>
      </c>
      <c r="BT15" s="132">
        <f t="shared" si="11"/>
        <v>1</v>
      </c>
      <c r="BU15" s="138">
        <f t="shared" si="12"/>
        <v>0</v>
      </c>
      <c r="BV15" s="132">
        <f t="shared" si="13"/>
        <v>1</v>
      </c>
      <c r="BW15" s="132">
        <v>5</v>
      </c>
      <c r="BX15" s="134" t="str">
        <f t="shared" si="15"/>
        <v/>
      </c>
      <c r="BY15" s="146"/>
    </row>
    <row r="16" ht="15" customHeight="1" spans="1:77">
      <c r="A16" s="123" t="str">
        <f>IF(F16="","",COUNT(A$8:A15)+1)</f>
        <v/>
      </c>
      <c r="B16" s="141"/>
      <c r="C16" s="139"/>
      <c r="D16" s="139"/>
      <c r="E16" s="141"/>
      <c r="F16" s="139"/>
      <c r="G16" s="139"/>
      <c r="H16" s="535"/>
      <c r="I16" s="535"/>
      <c r="J16" s="141"/>
      <c r="K16" s="914"/>
      <c r="L16" s="914"/>
      <c r="M16" s="914"/>
      <c r="N16" s="914"/>
      <c r="O16" s="914"/>
      <c r="P16" s="914"/>
      <c r="Q16" s="914"/>
      <c r="R16" s="914"/>
      <c r="S16" s="535"/>
      <c r="T16" s="915"/>
      <c r="U16" s="140"/>
      <c r="V16" s="140"/>
      <c r="W16" s="143"/>
      <c r="X16" s="129" t="str">
        <f t="shared" si="0"/>
        <v/>
      </c>
      <c r="Y16" s="142"/>
      <c r="Z16" s="127" t="str">
        <f>IFERROR(VLOOKUP(Y16,参数表!$H$2:$I$50,2,FALSE),"")</f>
        <v/>
      </c>
      <c r="AA16" s="128" t="str">
        <f t="shared" si="7"/>
        <v/>
      </c>
      <c r="AB16" s="128" t="str">
        <f t="shared" si="8"/>
        <v/>
      </c>
      <c r="AC16" s="143"/>
      <c r="AD16" s="143"/>
      <c r="AE16" s="144"/>
      <c r="AF16" s="129" t="str">
        <f t="shared" si="1"/>
        <v/>
      </c>
      <c r="AG16" s="129" t="str">
        <f t="shared" si="2"/>
        <v/>
      </c>
      <c r="AH16" s="129" t="str">
        <f t="shared" si="3"/>
        <v/>
      </c>
      <c r="AI16" s="129" t="str">
        <f t="shared" si="4"/>
        <v/>
      </c>
      <c r="AJ16" s="139"/>
      <c r="AK16" s="913"/>
      <c r="BA16" s="78"/>
      <c r="BB16" s="132" t="s">
        <v>3755</v>
      </c>
      <c r="BC16" s="133"/>
      <c r="BD16" s="132" t="str">
        <f>IF(OR(F16="",BC16=""),"",COUNTIF(BC$9:BC16,"√"))</f>
        <v/>
      </c>
      <c r="BE16" s="134" t="str">
        <f t="shared" si="5"/>
        <v/>
      </c>
      <c r="BF16" s="135" t="str">
        <f t="shared" si="9"/>
        <v/>
      </c>
      <c r="BG16" s="135" t="str">
        <f t="shared" si="9"/>
        <v/>
      </c>
      <c r="BH16" s="136"/>
      <c r="BI16" s="136"/>
      <c r="BJ16" s="136"/>
      <c r="BK16" s="136"/>
      <c r="BL16" s="136"/>
      <c r="BM16" s="137"/>
      <c r="BN16" s="136"/>
      <c r="BO16" s="137"/>
      <c r="BR16" s="134" t="str">
        <f>IF(COUNTIF(BR$8:BR15,F16)&gt;0,"",F16)&amp;""</f>
        <v/>
      </c>
      <c r="BS16" s="138">
        <f t="shared" si="10"/>
        <v>0</v>
      </c>
      <c r="BT16" s="132">
        <f t="shared" si="11"/>
        <v>1</v>
      </c>
      <c r="BU16" s="138">
        <f t="shared" si="12"/>
        <v>0</v>
      </c>
      <c r="BV16" s="132">
        <f t="shared" si="13"/>
        <v>1</v>
      </c>
      <c r="BW16" s="147" t="s">
        <v>1659</v>
      </c>
      <c r="BX16" s="132" t="str">
        <f>CONCATENATE(BX11,BY11,BX12,BY12,BX13,BY13,BX14,BY14,BX15)</f>
        <v/>
      </c>
      <c r="BY16" s="132"/>
    </row>
    <row r="17" ht="15" customHeight="1" spans="1:77">
      <c r="A17" s="123" t="str">
        <f>IF(F17="","",COUNT(A$8:A16)+1)</f>
        <v/>
      </c>
      <c r="B17" s="141"/>
      <c r="C17" s="139"/>
      <c r="D17" s="139"/>
      <c r="E17" s="141"/>
      <c r="F17" s="139"/>
      <c r="G17" s="139"/>
      <c r="H17" s="535"/>
      <c r="I17" s="535"/>
      <c r="J17" s="141"/>
      <c r="K17" s="914"/>
      <c r="L17" s="914"/>
      <c r="M17" s="914"/>
      <c r="N17" s="914"/>
      <c r="O17" s="914"/>
      <c r="P17" s="914"/>
      <c r="Q17" s="914"/>
      <c r="R17" s="914"/>
      <c r="S17" s="535"/>
      <c r="T17" s="915"/>
      <c r="U17" s="140"/>
      <c r="V17" s="140"/>
      <c r="W17" s="143"/>
      <c r="X17" s="129" t="str">
        <f t="shared" si="0"/>
        <v/>
      </c>
      <c r="Y17" s="142"/>
      <c r="Z17" s="127" t="str">
        <f>IFERROR(VLOOKUP(Y17,参数表!$H$2:$I$50,2,FALSE),"")</f>
        <v/>
      </c>
      <c r="AA17" s="128" t="str">
        <f t="shared" si="7"/>
        <v/>
      </c>
      <c r="AB17" s="128" t="str">
        <f t="shared" si="8"/>
        <v/>
      </c>
      <c r="AC17" s="143"/>
      <c r="AD17" s="143"/>
      <c r="AE17" s="144"/>
      <c r="AF17" s="129" t="str">
        <f t="shared" si="1"/>
        <v/>
      </c>
      <c r="AG17" s="129" t="str">
        <f t="shared" si="2"/>
        <v/>
      </c>
      <c r="AH17" s="129" t="str">
        <f t="shared" si="3"/>
        <v/>
      </c>
      <c r="AI17" s="129" t="str">
        <f t="shared" si="4"/>
        <v/>
      </c>
      <c r="AJ17" s="139"/>
      <c r="AK17" s="913"/>
      <c r="BA17" s="78"/>
      <c r="BB17" s="132" t="s">
        <v>3756</v>
      </c>
      <c r="BC17" s="133"/>
      <c r="BD17" s="132" t="str">
        <f>IF(OR(F17="",BC17=""),"",COUNTIF(BC$9:BC17,"√"))</f>
        <v/>
      </c>
      <c r="BE17" s="134" t="str">
        <f t="shared" si="5"/>
        <v/>
      </c>
      <c r="BF17" s="135" t="str">
        <f t="shared" si="9"/>
        <v/>
      </c>
      <c r="BG17" s="135" t="str">
        <f t="shared" si="9"/>
        <v/>
      </c>
      <c r="BH17" s="136"/>
      <c r="BI17" s="136"/>
      <c r="BJ17" s="136"/>
      <c r="BK17" s="136"/>
      <c r="BL17" s="136"/>
      <c r="BM17" s="137"/>
      <c r="BN17" s="136"/>
      <c r="BO17" s="137"/>
      <c r="BR17" s="134" t="str">
        <f>IF(COUNTIF(BR$8:BR16,F17)&gt;0,"",F17)&amp;""</f>
        <v/>
      </c>
      <c r="BS17" s="138">
        <f t="shared" si="10"/>
        <v>0</v>
      </c>
      <c r="BT17" s="132">
        <f t="shared" si="11"/>
        <v>1</v>
      </c>
      <c r="BU17" s="138">
        <f t="shared" si="12"/>
        <v>0</v>
      </c>
      <c r="BV17" s="132">
        <f t="shared" si="13"/>
        <v>1</v>
      </c>
      <c r="BW17" s="133"/>
      <c r="BX17" s="133"/>
    </row>
    <row r="18" ht="15" customHeight="1" spans="1:77">
      <c r="A18" s="123" t="str">
        <f>IF(F18="","",COUNT(A$8:A17)+1)</f>
        <v/>
      </c>
      <c r="B18" s="141"/>
      <c r="C18" s="139"/>
      <c r="D18" s="139"/>
      <c r="E18" s="141"/>
      <c r="F18" s="139"/>
      <c r="G18" s="139"/>
      <c r="H18" s="535"/>
      <c r="I18" s="535"/>
      <c r="J18" s="141"/>
      <c r="K18" s="914"/>
      <c r="L18" s="914"/>
      <c r="M18" s="914"/>
      <c r="N18" s="914"/>
      <c r="O18" s="914"/>
      <c r="P18" s="914"/>
      <c r="Q18" s="914"/>
      <c r="R18" s="914"/>
      <c r="S18" s="535"/>
      <c r="T18" s="915"/>
      <c r="U18" s="140"/>
      <c r="V18" s="140"/>
      <c r="W18" s="143"/>
      <c r="X18" s="129" t="str">
        <f t="shared" si="0"/>
        <v/>
      </c>
      <c r="Y18" s="142"/>
      <c r="Z18" s="127" t="str">
        <f>IFERROR(VLOOKUP(Y18,参数表!$H$2:$I$50,2,FALSE),"")</f>
        <v/>
      </c>
      <c r="AA18" s="128" t="str">
        <f t="shared" si="7"/>
        <v/>
      </c>
      <c r="AB18" s="128" t="str">
        <f t="shared" si="8"/>
        <v/>
      </c>
      <c r="AC18" s="143"/>
      <c r="AD18" s="143"/>
      <c r="AE18" s="144"/>
      <c r="AF18" s="129" t="str">
        <f t="shared" si="1"/>
        <v/>
      </c>
      <c r="AG18" s="129" t="str">
        <f t="shared" si="2"/>
        <v/>
      </c>
      <c r="AH18" s="129" t="str">
        <f t="shared" si="3"/>
        <v/>
      </c>
      <c r="AI18" s="129" t="str">
        <f t="shared" si="4"/>
        <v/>
      </c>
      <c r="AJ18" s="139"/>
      <c r="AK18" s="913"/>
      <c r="BA18" s="78"/>
      <c r="BB18" s="132" t="s">
        <v>3757</v>
      </c>
      <c r="BC18" s="133"/>
      <c r="BD18" s="132" t="str">
        <f>IF(OR(F18="",BC18=""),"",COUNTIF(BC$9:BC18,"√"))</f>
        <v/>
      </c>
      <c r="BE18" s="134" t="str">
        <f t="shared" si="5"/>
        <v/>
      </c>
      <c r="BF18" s="135" t="str">
        <f t="shared" si="9"/>
        <v/>
      </c>
      <c r="BG18" s="135" t="str">
        <f t="shared" si="9"/>
        <v/>
      </c>
      <c r="BH18" s="136"/>
      <c r="BI18" s="136"/>
      <c r="BJ18" s="136"/>
      <c r="BK18" s="136"/>
      <c r="BL18" s="136"/>
      <c r="BM18" s="137"/>
      <c r="BN18" s="136"/>
      <c r="BO18" s="137"/>
      <c r="BR18" s="134" t="str">
        <f>IF(COUNTIF(BR$8:BR17,F18)&gt;0,"",F18)&amp;""</f>
        <v/>
      </c>
      <c r="BS18" s="138">
        <f t="shared" si="10"/>
        <v>0</v>
      </c>
      <c r="BT18" s="132">
        <f t="shared" si="11"/>
        <v>1</v>
      </c>
      <c r="BU18" s="138">
        <f t="shared" si="12"/>
        <v>0</v>
      </c>
      <c r="BV18" s="132">
        <f t="shared" si="13"/>
        <v>1</v>
      </c>
      <c r="BW18" s="133"/>
      <c r="BX18" s="148"/>
    </row>
    <row r="19" ht="15" customHeight="1" spans="1:77">
      <c r="A19" s="123" t="str">
        <f>IF(F19="","",COUNT(A$8:A18)+1)</f>
        <v/>
      </c>
      <c r="B19" s="141"/>
      <c r="C19" s="139"/>
      <c r="D19" s="139"/>
      <c r="E19" s="141"/>
      <c r="F19" s="139"/>
      <c r="G19" s="139"/>
      <c r="H19" s="535"/>
      <c r="I19" s="535"/>
      <c r="J19" s="141"/>
      <c r="K19" s="914"/>
      <c r="L19" s="914"/>
      <c r="M19" s="914"/>
      <c r="N19" s="914"/>
      <c r="O19" s="914"/>
      <c r="P19" s="914"/>
      <c r="Q19" s="914"/>
      <c r="R19" s="914"/>
      <c r="S19" s="535"/>
      <c r="T19" s="915"/>
      <c r="U19" s="140"/>
      <c r="V19" s="140"/>
      <c r="W19" s="143"/>
      <c r="X19" s="129" t="str">
        <f t="shared" si="0"/>
        <v/>
      </c>
      <c r="Y19" s="142"/>
      <c r="Z19" s="127" t="str">
        <f>IFERROR(VLOOKUP(Y19,参数表!$H$2:$I$50,2,FALSE),"")</f>
        <v/>
      </c>
      <c r="AA19" s="128" t="str">
        <f t="shared" si="7"/>
        <v/>
      </c>
      <c r="AB19" s="128" t="str">
        <f t="shared" si="8"/>
        <v/>
      </c>
      <c r="AC19" s="143"/>
      <c r="AD19" s="143"/>
      <c r="AE19" s="144"/>
      <c r="AF19" s="129" t="str">
        <f t="shared" si="1"/>
        <v/>
      </c>
      <c r="AG19" s="129" t="str">
        <f t="shared" si="2"/>
        <v/>
      </c>
      <c r="AH19" s="129" t="str">
        <f t="shared" si="3"/>
        <v/>
      </c>
      <c r="AI19" s="129" t="str">
        <f t="shared" si="4"/>
        <v/>
      </c>
      <c r="AJ19" s="139"/>
      <c r="AK19" s="913"/>
      <c r="BA19" s="78"/>
      <c r="BB19" s="132" t="s">
        <v>3758</v>
      </c>
      <c r="BC19" s="133"/>
      <c r="BD19" s="132" t="str">
        <f>IF(OR(F19="",BC19=""),"",COUNTIF(BC$9:BC19,"√"))</f>
        <v/>
      </c>
      <c r="BE19" s="134" t="str">
        <f t="shared" si="5"/>
        <v/>
      </c>
      <c r="BF19" s="135" t="str">
        <f t="shared" si="9"/>
        <v/>
      </c>
      <c r="BG19" s="135" t="str">
        <f t="shared" si="9"/>
        <v/>
      </c>
      <c r="BH19" s="136"/>
      <c r="BI19" s="136"/>
      <c r="BJ19" s="136"/>
      <c r="BK19" s="136"/>
      <c r="BL19" s="136"/>
      <c r="BM19" s="137"/>
      <c r="BN19" s="136"/>
      <c r="BO19" s="137"/>
      <c r="BR19" s="134" t="str">
        <f>IF(COUNTIF(BR$8:BR18,F19)&gt;0,"",F19)&amp;""</f>
        <v/>
      </c>
      <c r="BS19" s="138">
        <f t="shared" si="10"/>
        <v>0</v>
      </c>
      <c r="BT19" s="132">
        <f t="shared" si="11"/>
        <v>1</v>
      </c>
      <c r="BU19" s="138">
        <f t="shared" si="12"/>
        <v>0</v>
      </c>
      <c r="BV19" s="132">
        <f t="shared" si="13"/>
        <v>1</v>
      </c>
      <c r="BW19" s="133"/>
      <c r="BX19" s="133"/>
    </row>
    <row r="20" ht="15" customHeight="1" spans="1:77">
      <c r="A20" s="123" t="str">
        <f>IF(F20="","",COUNT(A$8:A19)+1)</f>
        <v/>
      </c>
      <c r="B20" s="141"/>
      <c r="C20" s="139"/>
      <c r="D20" s="139"/>
      <c r="E20" s="141"/>
      <c r="F20" s="139"/>
      <c r="G20" s="139"/>
      <c r="H20" s="535"/>
      <c r="I20" s="535"/>
      <c r="J20" s="141"/>
      <c r="K20" s="914"/>
      <c r="L20" s="914"/>
      <c r="M20" s="914"/>
      <c r="N20" s="914"/>
      <c r="O20" s="914"/>
      <c r="P20" s="914"/>
      <c r="Q20" s="914"/>
      <c r="R20" s="914"/>
      <c r="S20" s="535"/>
      <c r="T20" s="915"/>
      <c r="U20" s="140"/>
      <c r="V20" s="140"/>
      <c r="W20" s="143"/>
      <c r="X20" s="129" t="str">
        <f t="shared" si="0"/>
        <v/>
      </c>
      <c r="Y20" s="142"/>
      <c r="Z20" s="127" t="str">
        <f>IFERROR(VLOOKUP(Y20,参数表!$H$2:$I$50,2,FALSE),"")</f>
        <v/>
      </c>
      <c r="AA20" s="128" t="str">
        <f t="shared" si="7"/>
        <v/>
      </c>
      <c r="AB20" s="128" t="str">
        <f t="shared" si="8"/>
        <v/>
      </c>
      <c r="AC20" s="143"/>
      <c r="AD20" s="143"/>
      <c r="AE20" s="144"/>
      <c r="AF20" s="129" t="str">
        <f t="shared" si="1"/>
        <v/>
      </c>
      <c r="AG20" s="129" t="str">
        <f t="shared" si="2"/>
        <v/>
      </c>
      <c r="AH20" s="129" t="str">
        <f t="shared" si="3"/>
        <v/>
      </c>
      <c r="AI20" s="129" t="str">
        <f t="shared" si="4"/>
        <v/>
      </c>
      <c r="AJ20" s="139"/>
      <c r="AK20" s="913"/>
      <c r="BA20" s="78"/>
      <c r="BB20" s="132" t="s">
        <v>3759</v>
      </c>
      <c r="BC20" s="133"/>
      <c r="BD20" s="132" t="str">
        <f>IF(OR(F20="",BC20=""),"",COUNTIF(BC$9:BC20,"√"))</f>
        <v/>
      </c>
      <c r="BE20" s="134" t="str">
        <f t="shared" si="5"/>
        <v/>
      </c>
      <c r="BF20" s="135" t="str">
        <f t="shared" si="9"/>
        <v/>
      </c>
      <c r="BG20" s="135" t="str">
        <f t="shared" si="9"/>
        <v/>
      </c>
      <c r="BH20" s="136"/>
      <c r="BI20" s="136"/>
      <c r="BJ20" s="136"/>
      <c r="BK20" s="136"/>
      <c r="BL20" s="136"/>
      <c r="BM20" s="137"/>
      <c r="BN20" s="136"/>
      <c r="BO20" s="137"/>
      <c r="BR20" s="134" t="str">
        <f>IF(COUNTIF(BR$8:BR19,F20)&gt;0,"",F20)&amp;""</f>
        <v/>
      </c>
      <c r="BS20" s="138">
        <f t="shared" si="10"/>
        <v>0</v>
      </c>
      <c r="BT20" s="132">
        <f t="shared" si="11"/>
        <v>1</v>
      </c>
      <c r="BU20" s="138">
        <f t="shared" si="12"/>
        <v>0</v>
      </c>
      <c r="BV20" s="132">
        <f t="shared" si="13"/>
        <v>1</v>
      </c>
      <c r="BW20" s="133"/>
      <c r="BX20" s="133"/>
    </row>
    <row r="21" ht="15" customHeight="1" spans="1:77">
      <c r="A21" s="123" t="str">
        <f>IF(F21="","",COUNT(A$8:A20)+1)</f>
        <v/>
      </c>
      <c r="B21" s="141"/>
      <c r="C21" s="139"/>
      <c r="D21" s="139"/>
      <c r="E21" s="141"/>
      <c r="F21" s="139"/>
      <c r="G21" s="139"/>
      <c r="H21" s="535"/>
      <c r="I21" s="535"/>
      <c r="J21" s="141"/>
      <c r="K21" s="914"/>
      <c r="L21" s="914"/>
      <c r="M21" s="914"/>
      <c r="N21" s="914"/>
      <c r="O21" s="914"/>
      <c r="P21" s="914"/>
      <c r="Q21" s="914"/>
      <c r="R21" s="914"/>
      <c r="S21" s="535"/>
      <c r="T21" s="915"/>
      <c r="U21" s="140"/>
      <c r="V21" s="140"/>
      <c r="W21" s="143"/>
      <c r="X21" s="129" t="str">
        <f t="shared" si="0"/>
        <v/>
      </c>
      <c r="Y21" s="142"/>
      <c r="Z21" s="127" t="str">
        <f>IFERROR(VLOOKUP(Y21,参数表!$H$2:$I$50,2,FALSE),"")</f>
        <v/>
      </c>
      <c r="AA21" s="128" t="str">
        <f t="shared" si="7"/>
        <v/>
      </c>
      <c r="AB21" s="128" t="str">
        <f t="shared" si="8"/>
        <v/>
      </c>
      <c r="AC21" s="143"/>
      <c r="AD21" s="143"/>
      <c r="AE21" s="144"/>
      <c r="AF21" s="129" t="str">
        <f t="shared" si="1"/>
        <v/>
      </c>
      <c r="AG21" s="129" t="str">
        <f t="shared" si="2"/>
        <v/>
      </c>
      <c r="AH21" s="129" t="str">
        <f t="shared" si="3"/>
        <v/>
      </c>
      <c r="AI21" s="129" t="str">
        <f t="shared" si="4"/>
        <v/>
      </c>
      <c r="AJ21" s="139"/>
      <c r="AK21" s="913"/>
      <c r="BA21" s="78"/>
      <c r="BB21" s="132" t="s">
        <v>3760</v>
      </c>
      <c r="BC21" s="133"/>
      <c r="BD21" s="132" t="str">
        <f>IF(OR(F21="",BC21=""),"",COUNTIF(BC$9:BC21,"√"))</f>
        <v/>
      </c>
      <c r="BE21" s="134" t="str">
        <f t="shared" si="5"/>
        <v/>
      </c>
      <c r="BF21" s="135" t="str">
        <f t="shared" si="9"/>
        <v/>
      </c>
      <c r="BG21" s="135" t="str">
        <f t="shared" si="9"/>
        <v/>
      </c>
      <c r="BH21" s="136"/>
      <c r="BI21" s="136"/>
      <c r="BJ21" s="136"/>
      <c r="BK21" s="136"/>
      <c r="BL21" s="136"/>
      <c r="BM21" s="137"/>
      <c r="BN21" s="136"/>
      <c r="BO21" s="137"/>
      <c r="BR21" s="134" t="str">
        <f>IF(COUNTIF(BR$8:BR20,F21)&gt;0,"",F21)&amp;""</f>
        <v/>
      </c>
      <c r="BS21" s="138">
        <f t="shared" si="10"/>
        <v>0</v>
      </c>
      <c r="BT21" s="132">
        <f t="shared" si="11"/>
        <v>1</v>
      </c>
      <c r="BU21" s="138">
        <f t="shared" si="12"/>
        <v>0</v>
      </c>
      <c r="BV21" s="132">
        <f t="shared" si="13"/>
        <v>1</v>
      </c>
      <c r="BW21" s="133"/>
      <c r="BX21" s="133"/>
    </row>
    <row r="22" ht="15" customHeight="1" spans="1:77">
      <c r="A22" s="123" t="str">
        <f>IF(F22="","",COUNT(A$8:A21)+1)</f>
        <v/>
      </c>
      <c r="B22" s="141"/>
      <c r="C22" s="139"/>
      <c r="D22" s="139"/>
      <c r="E22" s="141"/>
      <c r="F22" s="139"/>
      <c r="G22" s="139"/>
      <c r="H22" s="535"/>
      <c r="I22" s="535"/>
      <c r="J22" s="141"/>
      <c r="K22" s="914"/>
      <c r="L22" s="914"/>
      <c r="M22" s="914"/>
      <c r="N22" s="914"/>
      <c r="O22" s="914"/>
      <c r="P22" s="914"/>
      <c r="Q22" s="914"/>
      <c r="R22" s="914"/>
      <c r="S22" s="535"/>
      <c r="T22" s="915"/>
      <c r="U22" s="140"/>
      <c r="V22" s="140"/>
      <c r="W22" s="143"/>
      <c r="X22" s="129" t="str">
        <f t="shared" si="0"/>
        <v/>
      </c>
      <c r="Y22" s="142"/>
      <c r="Z22" s="127" t="str">
        <f>IFERROR(VLOOKUP(Y22,参数表!$H$2:$I$50,2,FALSE),"")</f>
        <v/>
      </c>
      <c r="AA22" s="128" t="str">
        <f t="shared" si="7"/>
        <v/>
      </c>
      <c r="AB22" s="128" t="str">
        <f t="shared" si="8"/>
        <v/>
      </c>
      <c r="AC22" s="143"/>
      <c r="AD22" s="143"/>
      <c r="AE22" s="144"/>
      <c r="AF22" s="129" t="str">
        <f t="shared" si="1"/>
        <v/>
      </c>
      <c r="AG22" s="129" t="str">
        <f t="shared" si="2"/>
        <v/>
      </c>
      <c r="AH22" s="129" t="str">
        <f t="shared" si="3"/>
        <v/>
      </c>
      <c r="AI22" s="129" t="str">
        <f t="shared" si="4"/>
        <v/>
      </c>
      <c r="AJ22" s="139"/>
      <c r="AK22" s="913"/>
      <c r="BA22" s="78"/>
      <c r="BB22" s="132" t="s">
        <v>3761</v>
      </c>
      <c r="BC22" s="133"/>
      <c r="BD22" s="132" t="str">
        <f>IF(OR(F22="",BC22=""),"",COUNTIF(BC$9:BC22,"√"))</f>
        <v/>
      </c>
      <c r="BE22" s="134" t="str">
        <f t="shared" si="5"/>
        <v/>
      </c>
      <c r="BF22" s="135" t="str">
        <f t="shared" si="9"/>
        <v/>
      </c>
      <c r="BG22" s="135" t="str">
        <f t="shared" si="9"/>
        <v/>
      </c>
      <c r="BH22" s="136"/>
      <c r="BI22" s="136"/>
      <c r="BJ22" s="136"/>
      <c r="BK22" s="136"/>
      <c r="BL22" s="136"/>
      <c r="BM22" s="137"/>
      <c r="BN22" s="136"/>
      <c r="BO22" s="137"/>
      <c r="BR22" s="134" t="str">
        <f>IF(COUNTIF(BR$8:BR21,F22)&gt;0,"",F22)&amp;""</f>
        <v/>
      </c>
      <c r="BS22" s="138">
        <f t="shared" si="10"/>
        <v>0</v>
      </c>
      <c r="BT22" s="132">
        <f t="shared" si="11"/>
        <v>1</v>
      </c>
      <c r="BU22" s="138">
        <f t="shared" si="12"/>
        <v>0</v>
      </c>
      <c r="BV22" s="132">
        <f t="shared" si="13"/>
        <v>1</v>
      </c>
      <c r="BW22" s="133"/>
      <c r="BX22" s="133"/>
    </row>
    <row r="23" ht="15" customHeight="1" spans="1:77">
      <c r="A23" s="123" t="str">
        <f>IF(F23="","",COUNT(A$8:A22)+1)</f>
        <v/>
      </c>
      <c r="B23" s="141"/>
      <c r="C23" s="139"/>
      <c r="D23" s="139"/>
      <c r="E23" s="141"/>
      <c r="F23" s="139"/>
      <c r="G23" s="139"/>
      <c r="H23" s="535"/>
      <c r="I23" s="535"/>
      <c r="J23" s="141"/>
      <c r="K23" s="914"/>
      <c r="L23" s="914"/>
      <c r="M23" s="914"/>
      <c r="N23" s="914"/>
      <c r="O23" s="914"/>
      <c r="P23" s="914"/>
      <c r="Q23" s="914"/>
      <c r="R23" s="914"/>
      <c r="S23" s="535"/>
      <c r="T23" s="915"/>
      <c r="U23" s="140"/>
      <c r="V23" s="140"/>
      <c r="W23" s="143"/>
      <c r="X23" s="129" t="str">
        <f t="shared" si="0"/>
        <v/>
      </c>
      <c r="Y23" s="142"/>
      <c r="Z23" s="127" t="str">
        <f>IFERROR(VLOOKUP(Y23,参数表!$H$2:$I$50,2,FALSE),"")</f>
        <v/>
      </c>
      <c r="AA23" s="128" t="str">
        <f t="shared" si="7"/>
        <v/>
      </c>
      <c r="AB23" s="128" t="str">
        <f t="shared" si="8"/>
        <v/>
      </c>
      <c r="AC23" s="143"/>
      <c r="AD23" s="143"/>
      <c r="AE23" s="144"/>
      <c r="AF23" s="129" t="str">
        <f t="shared" si="1"/>
        <v/>
      </c>
      <c r="AG23" s="129" t="str">
        <f t="shared" si="2"/>
        <v/>
      </c>
      <c r="AH23" s="129" t="str">
        <f t="shared" si="3"/>
        <v/>
      </c>
      <c r="AI23" s="129" t="str">
        <f t="shared" si="4"/>
        <v/>
      </c>
      <c r="AJ23" s="139"/>
      <c r="AK23" s="913"/>
      <c r="BA23" s="78"/>
      <c r="BB23" s="132" t="s">
        <v>3762</v>
      </c>
      <c r="BC23" s="133"/>
      <c r="BD23" s="132" t="str">
        <f>IF(OR(F23="",BC23=""),"",COUNTIF(BC$9:BC23,"√"))</f>
        <v/>
      </c>
      <c r="BE23" s="134" t="str">
        <f t="shared" si="5"/>
        <v/>
      </c>
      <c r="BF23" s="135" t="str">
        <f t="shared" si="9"/>
        <v/>
      </c>
      <c r="BG23" s="135" t="str">
        <f t="shared" si="9"/>
        <v/>
      </c>
      <c r="BH23" s="136"/>
      <c r="BI23" s="136"/>
      <c r="BJ23" s="136"/>
      <c r="BK23" s="136"/>
      <c r="BL23" s="136"/>
      <c r="BM23" s="137"/>
      <c r="BN23" s="136"/>
      <c r="BO23" s="137"/>
      <c r="BR23" s="134" t="str">
        <f>IF(COUNTIF(BR$8:BR22,F23)&gt;0,"",F23)&amp;""</f>
        <v/>
      </c>
      <c r="BS23" s="138">
        <f t="shared" si="10"/>
        <v>0</v>
      </c>
      <c r="BT23" s="132">
        <f t="shared" si="11"/>
        <v>1</v>
      </c>
      <c r="BU23" s="138">
        <f t="shared" si="12"/>
        <v>0</v>
      </c>
      <c r="BV23" s="132">
        <f t="shared" si="13"/>
        <v>1</v>
      </c>
      <c r="BW23" s="133"/>
      <c r="BX23" s="133"/>
    </row>
    <row r="24" ht="15" customHeight="1" spans="1:77">
      <c r="A24" s="123" t="str">
        <f>IF(F24="","",COUNT(A$8:A23)+1)</f>
        <v/>
      </c>
      <c r="B24" s="141"/>
      <c r="C24" s="139"/>
      <c r="D24" s="139"/>
      <c r="E24" s="141"/>
      <c r="F24" s="139"/>
      <c r="G24" s="139"/>
      <c r="H24" s="535"/>
      <c r="I24" s="535"/>
      <c r="J24" s="141"/>
      <c r="K24" s="914"/>
      <c r="L24" s="914"/>
      <c r="M24" s="914"/>
      <c r="N24" s="914"/>
      <c r="O24" s="914"/>
      <c r="P24" s="914"/>
      <c r="Q24" s="914"/>
      <c r="R24" s="914"/>
      <c r="S24" s="535"/>
      <c r="T24" s="915"/>
      <c r="U24" s="140"/>
      <c r="V24" s="140"/>
      <c r="W24" s="143"/>
      <c r="X24" s="129" t="str">
        <f t="shared" si="0"/>
        <v/>
      </c>
      <c r="Y24" s="142"/>
      <c r="Z24" s="127" t="str">
        <f>IFERROR(VLOOKUP(Y24,参数表!$H$2:$I$50,2,FALSE),"")</f>
        <v/>
      </c>
      <c r="AA24" s="128" t="str">
        <f t="shared" si="7"/>
        <v/>
      </c>
      <c r="AB24" s="128" t="str">
        <f t="shared" si="8"/>
        <v/>
      </c>
      <c r="AC24" s="143"/>
      <c r="AD24" s="143"/>
      <c r="AE24" s="144"/>
      <c r="AF24" s="129" t="str">
        <f t="shared" si="1"/>
        <v/>
      </c>
      <c r="AG24" s="129" t="str">
        <f t="shared" si="2"/>
        <v/>
      </c>
      <c r="AH24" s="129" t="str">
        <f t="shared" si="3"/>
        <v/>
      </c>
      <c r="AI24" s="129" t="str">
        <f t="shared" si="4"/>
        <v/>
      </c>
      <c r="AJ24" s="139"/>
      <c r="AK24" s="913"/>
      <c r="BA24" s="78"/>
      <c r="BB24" s="132" t="s">
        <v>3763</v>
      </c>
      <c r="BC24" s="133"/>
      <c r="BD24" s="132" t="str">
        <f>IF(OR(F24="",BC24=""),"",COUNTIF(BC$9:BC24,"√"))</f>
        <v/>
      </c>
      <c r="BE24" s="134" t="str">
        <f t="shared" si="5"/>
        <v/>
      </c>
      <c r="BF24" s="135" t="str">
        <f t="shared" si="9"/>
        <v/>
      </c>
      <c r="BG24" s="135" t="str">
        <f t="shared" si="9"/>
        <v/>
      </c>
      <c r="BH24" s="136"/>
      <c r="BI24" s="136"/>
      <c r="BJ24" s="136"/>
      <c r="BK24" s="136"/>
      <c r="BL24" s="136"/>
      <c r="BM24" s="137"/>
      <c r="BN24" s="136"/>
      <c r="BO24" s="137"/>
      <c r="BR24" s="134" t="str">
        <f>IF(COUNTIF(BR$8:BR23,F24)&gt;0,"",F24)&amp;""</f>
        <v/>
      </c>
      <c r="BS24" s="138">
        <f t="shared" si="10"/>
        <v>0</v>
      </c>
      <c r="BT24" s="132">
        <f t="shared" si="11"/>
        <v>1</v>
      </c>
      <c r="BU24" s="138">
        <f t="shared" si="12"/>
        <v>0</v>
      </c>
      <c r="BV24" s="132">
        <f t="shared" si="13"/>
        <v>1</v>
      </c>
      <c r="BW24" s="133"/>
      <c r="BX24" s="133"/>
    </row>
    <row r="25" ht="15" customHeight="1" spans="1:77">
      <c r="A25" s="123" t="str">
        <f>IF(F25="","",COUNT(A$8:A24)+1)</f>
        <v/>
      </c>
      <c r="B25" s="141"/>
      <c r="C25" s="139"/>
      <c r="D25" s="139"/>
      <c r="E25" s="141"/>
      <c r="F25" s="139"/>
      <c r="G25" s="139"/>
      <c r="H25" s="535"/>
      <c r="I25" s="535"/>
      <c r="J25" s="141"/>
      <c r="K25" s="914"/>
      <c r="L25" s="914"/>
      <c r="M25" s="914"/>
      <c r="N25" s="914"/>
      <c r="O25" s="914"/>
      <c r="P25" s="914"/>
      <c r="Q25" s="914"/>
      <c r="R25" s="914"/>
      <c r="S25" s="535"/>
      <c r="T25" s="915"/>
      <c r="U25" s="140"/>
      <c r="V25" s="140"/>
      <c r="W25" s="143"/>
      <c r="X25" s="129" t="str">
        <f t="shared" si="0"/>
        <v/>
      </c>
      <c r="Y25" s="142"/>
      <c r="Z25" s="127" t="str">
        <f>IFERROR(VLOOKUP(Y25,参数表!$H$2:$I$50,2,FALSE),"")</f>
        <v/>
      </c>
      <c r="AA25" s="128" t="str">
        <f t="shared" si="7"/>
        <v/>
      </c>
      <c r="AB25" s="128" t="str">
        <f t="shared" si="8"/>
        <v/>
      </c>
      <c r="AC25" s="143"/>
      <c r="AD25" s="143"/>
      <c r="AE25" s="144"/>
      <c r="AF25" s="129" t="str">
        <f t="shared" si="1"/>
        <v/>
      </c>
      <c r="AG25" s="129" t="str">
        <f t="shared" si="2"/>
        <v/>
      </c>
      <c r="AH25" s="129" t="str">
        <f t="shared" si="3"/>
        <v/>
      </c>
      <c r="AI25" s="129" t="str">
        <f t="shared" si="4"/>
        <v/>
      </c>
      <c r="AJ25" s="139"/>
      <c r="AK25" s="913"/>
      <c r="BA25" s="78"/>
      <c r="BB25" s="132" t="s">
        <v>3764</v>
      </c>
      <c r="BC25" s="133"/>
      <c r="BD25" s="132" t="str">
        <f>IF(OR(F25="",BC25=""),"",COUNTIF(BC$9:BC25,"√"))</f>
        <v/>
      </c>
      <c r="BE25" s="134" t="str">
        <f t="shared" si="5"/>
        <v/>
      </c>
      <c r="BF25" s="135" t="str">
        <f t="shared" si="9"/>
        <v/>
      </c>
      <c r="BG25" s="135" t="str">
        <f t="shared" si="9"/>
        <v/>
      </c>
      <c r="BH25" s="136"/>
      <c r="BI25" s="136"/>
      <c r="BJ25" s="136"/>
      <c r="BK25" s="136"/>
      <c r="BL25" s="136"/>
      <c r="BM25" s="137"/>
      <c r="BN25" s="136"/>
      <c r="BO25" s="137"/>
      <c r="BR25" s="134" t="str">
        <f>IF(COUNTIF(BR$8:BR24,F25)&gt;0,"",F25)&amp;""</f>
        <v/>
      </c>
      <c r="BS25" s="138">
        <f t="shared" si="10"/>
        <v>0</v>
      </c>
      <c r="BT25" s="132">
        <f t="shared" si="11"/>
        <v>1</v>
      </c>
      <c r="BU25" s="138">
        <f t="shared" si="12"/>
        <v>0</v>
      </c>
      <c r="BV25" s="132">
        <f t="shared" si="13"/>
        <v>1</v>
      </c>
      <c r="BW25" s="133"/>
      <c r="BX25" s="133"/>
    </row>
    <row r="26" ht="15" customHeight="1" spans="1:77">
      <c r="A26" s="123" t="str">
        <f>IF(F26="","",COUNT(A$8:A25)+1)</f>
        <v/>
      </c>
      <c r="B26" s="141"/>
      <c r="C26" s="139"/>
      <c r="D26" s="139"/>
      <c r="E26" s="141"/>
      <c r="F26" s="139"/>
      <c r="G26" s="139"/>
      <c r="H26" s="535"/>
      <c r="I26" s="535"/>
      <c r="J26" s="141"/>
      <c r="K26" s="914"/>
      <c r="L26" s="914"/>
      <c r="M26" s="914"/>
      <c r="N26" s="914"/>
      <c r="O26" s="914"/>
      <c r="P26" s="914"/>
      <c r="Q26" s="914"/>
      <c r="R26" s="914"/>
      <c r="S26" s="535"/>
      <c r="T26" s="915"/>
      <c r="U26" s="140"/>
      <c r="V26" s="140"/>
      <c r="W26" s="143"/>
      <c r="X26" s="129" t="str">
        <f t="shared" si="0"/>
        <v/>
      </c>
      <c r="Y26" s="142"/>
      <c r="Z26" s="127" t="str">
        <f>IFERROR(VLOOKUP(Y26,参数表!$H$2:$I$50,2,FALSE),"")</f>
        <v/>
      </c>
      <c r="AA26" s="128" t="str">
        <f t="shared" si="7"/>
        <v/>
      </c>
      <c r="AB26" s="128" t="str">
        <f t="shared" si="8"/>
        <v/>
      </c>
      <c r="AC26" s="143"/>
      <c r="AD26" s="143"/>
      <c r="AE26" s="144"/>
      <c r="AF26" s="129" t="str">
        <f t="shared" si="1"/>
        <v/>
      </c>
      <c r="AG26" s="129" t="str">
        <f t="shared" si="2"/>
        <v/>
      </c>
      <c r="AH26" s="129" t="str">
        <f t="shared" si="3"/>
        <v/>
      </c>
      <c r="AI26" s="129" t="str">
        <f t="shared" si="4"/>
        <v/>
      </c>
      <c r="AJ26" s="139"/>
      <c r="AK26" s="913"/>
      <c r="BA26" s="78"/>
      <c r="BB26" s="132" t="s">
        <v>3765</v>
      </c>
      <c r="BC26" s="133"/>
      <c r="BD26" s="132" t="str">
        <f>IF(OR(F26="",BC26=""),"",COUNTIF(BC$9:BC26,"√"))</f>
        <v/>
      </c>
      <c r="BE26" s="134" t="str">
        <f t="shared" si="5"/>
        <v/>
      </c>
      <c r="BF26" s="135" t="str">
        <f t="shared" si="9"/>
        <v/>
      </c>
      <c r="BG26" s="135" t="str">
        <f t="shared" si="9"/>
        <v/>
      </c>
      <c r="BH26" s="136"/>
      <c r="BI26" s="136"/>
      <c r="BJ26" s="136"/>
      <c r="BK26" s="136"/>
      <c r="BL26" s="136"/>
      <c r="BM26" s="137"/>
      <c r="BN26" s="136"/>
      <c r="BO26" s="137"/>
      <c r="BR26" s="134" t="str">
        <f>IF(COUNTIF(BR$8:BR25,F26)&gt;0,"",F26)&amp;""</f>
        <v/>
      </c>
      <c r="BS26" s="138">
        <f t="shared" si="10"/>
        <v>0</v>
      </c>
      <c r="BT26" s="132">
        <f t="shared" si="11"/>
        <v>1</v>
      </c>
      <c r="BU26" s="138">
        <f t="shared" si="12"/>
        <v>0</v>
      </c>
      <c r="BV26" s="132">
        <f t="shared" si="13"/>
        <v>1</v>
      </c>
      <c r="BW26" s="133"/>
      <c r="BX26" s="133"/>
    </row>
    <row r="27" ht="15" customHeight="1" spans="1:77">
      <c r="A27" s="123" t="str">
        <f>IF(F27="","",COUNT(A$8:A26)+1)</f>
        <v/>
      </c>
      <c r="B27" s="141"/>
      <c r="C27" s="139"/>
      <c r="D27" s="139"/>
      <c r="E27" s="141"/>
      <c r="F27" s="139"/>
      <c r="G27" s="139"/>
      <c r="H27" s="535"/>
      <c r="I27" s="535"/>
      <c r="J27" s="141"/>
      <c r="K27" s="914"/>
      <c r="L27" s="914"/>
      <c r="M27" s="914"/>
      <c r="N27" s="914"/>
      <c r="O27" s="914"/>
      <c r="P27" s="914"/>
      <c r="Q27" s="914"/>
      <c r="R27" s="914"/>
      <c r="S27" s="535"/>
      <c r="T27" s="915"/>
      <c r="U27" s="140"/>
      <c r="V27" s="140"/>
      <c r="W27" s="143"/>
      <c r="X27" s="129" t="str">
        <f t="shared" si="0"/>
        <v/>
      </c>
      <c r="Y27" s="142"/>
      <c r="Z27" s="127" t="str">
        <f>IFERROR(VLOOKUP(Y27,参数表!$H$2:$I$50,2,FALSE),"")</f>
        <v/>
      </c>
      <c r="AA27" s="128" t="str">
        <f t="shared" si="7"/>
        <v/>
      </c>
      <c r="AB27" s="128" t="str">
        <f t="shared" si="8"/>
        <v/>
      </c>
      <c r="AC27" s="143"/>
      <c r="AD27" s="143"/>
      <c r="AE27" s="144"/>
      <c r="AF27" s="129" t="str">
        <f t="shared" si="1"/>
        <v/>
      </c>
      <c r="AG27" s="129" t="str">
        <f t="shared" si="2"/>
        <v/>
      </c>
      <c r="AH27" s="129" t="str">
        <f t="shared" si="3"/>
        <v/>
      </c>
      <c r="AI27" s="129" t="str">
        <f t="shared" si="4"/>
        <v/>
      </c>
      <c r="AJ27" s="139"/>
      <c r="AK27" s="913"/>
      <c r="BA27" s="78"/>
      <c r="BB27" s="132" t="s">
        <v>3766</v>
      </c>
      <c r="BC27" s="133"/>
      <c r="BD27" s="132" t="str">
        <f>IF(OR(F27="",BC27=""),"",COUNTIF(BC$9:BC27,"√"))</f>
        <v/>
      </c>
      <c r="BE27" s="134" t="str">
        <f t="shared" si="5"/>
        <v/>
      </c>
      <c r="BF27" s="135" t="str">
        <f t="shared" si="9"/>
        <v/>
      </c>
      <c r="BG27" s="135" t="str">
        <f t="shared" si="9"/>
        <v/>
      </c>
      <c r="BH27" s="136"/>
      <c r="BI27" s="136"/>
      <c r="BJ27" s="136"/>
      <c r="BK27" s="136"/>
      <c r="BL27" s="136"/>
      <c r="BM27" s="137"/>
      <c r="BN27" s="136"/>
      <c r="BO27" s="137"/>
      <c r="BQ27" s="111"/>
      <c r="BR27" s="134" t="str">
        <f>IF(COUNTIF(BR$8:BR26,F27)&gt;0,"",F27)&amp;""</f>
        <v/>
      </c>
      <c r="BS27" s="138">
        <f t="shared" si="10"/>
        <v>0</v>
      </c>
      <c r="BT27" s="132">
        <f t="shared" si="11"/>
        <v>1</v>
      </c>
      <c r="BU27" s="138">
        <f t="shared" si="12"/>
        <v>0</v>
      </c>
      <c r="BV27" s="132">
        <f t="shared" si="13"/>
        <v>1</v>
      </c>
      <c r="BW27" s="133"/>
      <c r="BX27" s="133"/>
    </row>
    <row r="28" ht="15" customHeight="1" spans="1:77">
      <c r="A28" s="123" t="str">
        <f>IF(F28="","",COUNT(A$8:A27)+1)</f>
        <v/>
      </c>
      <c r="B28" s="123"/>
      <c r="C28" s="131"/>
      <c r="D28" s="131"/>
      <c r="E28" s="126"/>
      <c r="F28" s="131"/>
      <c r="G28" s="124"/>
      <c r="H28" s="124"/>
      <c r="I28" s="124"/>
      <c r="J28" s="126"/>
      <c r="K28" s="126"/>
      <c r="L28" s="126"/>
      <c r="M28" s="126"/>
      <c r="N28" s="126"/>
      <c r="O28" s="126"/>
      <c r="P28" s="126"/>
      <c r="Q28" s="126"/>
      <c r="R28" s="126"/>
      <c r="S28" s="124"/>
      <c r="T28" s="125"/>
      <c r="U28" s="125"/>
      <c r="V28" s="125"/>
      <c r="W28" s="129"/>
      <c r="X28" s="129" t="str">
        <f t="shared" si="0"/>
        <v/>
      </c>
      <c r="Y28" s="127"/>
      <c r="Z28" s="127" t="str">
        <f>IFERROR(VLOOKUP(Y28,参数表!$H$2:$I$50,2,FALSE),"")</f>
        <v/>
      </c>
      <c r="AA28" s="128" t="str">
        <f t="shared" si="7"/>
        <v/>
      </c>
      <c r="AB28" s="128" t="str">
        <f t="shared" si="8"/>
        <v/>
      </c>
      <c r="AC28" s="129"/>
      <c r="AD28" s="129"/>
      <c r="AE28" s="130"/>
      <c r="AF28" s="129" t="str">
        <f t="shared" si="1"/>
        <v/>
      </c>
      <c r="AG28" s="129" t="str">
        <f t="shared" si="2"/>
        <v/>
      </c>
      <c r="AH28" s="129" t="str">
        <f t="shared" si="3"/>
        <v/>
      </c>
      <c r="AI28" s="129" t="str">
        <f t="shared" si="4"/>
        <v/>
      </c>
      <c r="AJ28" s="124"/>
      <c r="AK28" s="913"/>
      <c r="BA28" s="78"/>
      <c r="BB28" s="132" t="s">
        <v>3767</v>
      </c>
      <c r="BC28" s="133"/>
      <c r="BD28" s="132" t="str">
        <f>IF(OR(F28="",BC28=""),"",COUNTIF(BC$9:BC28,"√"))</f>
        <v/>
      </c>
      <c r="BE28" s="134" t="str">
        <f t="shared" si="5"/>
        <v/>
      </c>
      <c r="BF28" s="135" t="str">
        <f t="shared" si="9"/>
        <v/>
      </c>
      <c r="BG28" s="135" t="str">
        <f t="shared" si="9"/>
        <v/>
      </c>
      <c r="BH28" s="136"/>
      <c r="BI28" s="136"/>
      <c r="BJ28" s="136"/>
      <c r="BK28" s="136"/>
      <c r="BL28" s="136"/>
      <c r="BM28" s="137"/>
      <c r="BN28" s="136"/>
      <c r="BO28" s="137"/>
      <c r="BR28" s="134" t="str">
        <f>IF(COUNTIF(BR$8:BR27,F28)&gt;0,"",F28)&amp;""</f>
        <v/>
      </c>
      <c r="BS28" s="138">
        <f t="shared" si="10"/>
        <v>0</v>
      </c>
      <c r="BT28" s="132">
        <f t="shared" si="11"/>
        <v>1</v>
      </c>
      <c r="BU28" s="138">
        <f t="shared" si="12"/>
        <v>0</v>
      </c>
      <c r="BV28" s="132">
        <f t="shared" si="13"/>
        <v>1</v>
      </c>
      <c r="BW28" s="133"/>
      <c r="BX28" s="133"/>
    </row>
    <row r="29" s="73" customFormat="1" ht="15" customHeight="1" spans="1:77">
      <c r="A29" s="149" t="s">
        <v>3768</v>
      </c>
      <c r="B29" s="149"/>
      <c r="C29" s="149"/>
      <c r="D29" s="149"/>
      <c r="E29" s="149"/>
      <c r="F29" s="149"/>
      <c r="G29" s="149"/>
      <c r="H29" s="151"/>
      <c r="I29" s="151"/>
      <c r="J29" s="149"/>
      <c r="K29" s="149"/>
      <c r="L29" s="149"/>
      <c r="M29" s="149"/>
      <c r="N29" s="149"/>
      <c r="O29" s="149"/>
      <c r="P29" s="149"/>
      <c r="Q29" s="149"/>
      <c r="R29" s="149"/>
      <c r="S29" s="149"/>
      <c r="T29" s="149"/>
      <c r="U29" s="150"/>
      <c r="V29" s="356"/>
      <c r="W29" s="152">
        <f>SUM(W9:W28)</f>
        <v>0</v>
      </c>
      <c r="X29" s="152"/>
      <c r="Y29" s="152"/>
      <c r="Z29" s="152"/>
      <c r="AA29" s="152"/>
      <c r="AB29" s="152"/>
      <c r="AC29" s="152">
        <f>SUM(AC9:AC28)</f>
        <v>0</v>
      </c>
      <c r="AD29" s="152">
        <f>SUM(AD9:AD28)</f>
        <v>0</v>
      </c>
      <c r="AE29" s="153"/>
      <c r="AF29" s="152">
        <f>SUM(AF9:AF28)</f>
        <v>0</v>
      </c>
      <c r="AG29" s="152">
        <f>SUM(AG9:AG28)</f>
        <v>0</v>
      </c>
      <c r="AH29" s="152">
        <f t="shared" si="3"/>
        <v>0</v>
      </c>
      <c r="AI29" s="152" t="str">
        <f t="shared" si="4"/>
        <v/>
      </c>
      <c r="AJ29" s="221"/>
      <c r="AK29" s="917"/>
      <c r="BH29" s="72"/>
      <c r="BI29" s="72"/>
      <c r="BJ29" s="72"/>
      <c r="BK29" s="72"/>
      <c r="BL29" s="72"/>
      <c r="BN29" s="72"/>
      <c r="BQ29" s="77"/>
      <c r="BR29" s="119"/>
      <c r="BS29" s="77"/>
      <c r="BT29" s="77"/>
      <c r="BU29" s="77"/>
      <c r="BV29" s="119"/>
      <c r="BW29" s="119"/>
      <c r="BX29" s="119"/>
      <c r="BY29" s="111"/>
    </row>
    <row r="30" ht="15" customHeight="1" spans="1:77">
      <c r="A30" s="102" t="str">
        <f>参数表!F$6</f>
        <v>产权持有单位填表人：贾广东</v>
      </c>
      <c r="B30" s="96"/>
      <c r="C30" s="154"/>
      <c r="D30" s="154"/>
      <c r="E30" s="286"/>
      <c r="F30" s="154"/>
      <c r="G30" s="154"/>
      <c r="H30" s="154"/>
      <c r="I30" s="154"/>
      <c r="J30" s="95"/>
      <c r="K30" s="103"/>
      <c r="L30" s="103"/>
      <c r="M30" s="103"/>
      <c r="N30" s="103"/>
      <c r="O30" s="103"/>
      <c r="P30" s="103"/>
      <c r="Q30" s="103"/>
      <c r="R30" s="103"/>
      <c r="S30" s="103"/>
      <c r="T30" s="103"/>
      <c r="U30" s="95"/>
      <c r="V30" s="95"/>
      <c r="W30" s="103"/>
      <c r="X30" s="103"/>
      <c r="Y30" s="103"/>
      <c r="Z30" s="103"/>
      <c r="AA30" s="103"/>
      <c r="AB30" s="103"/>
      <c r="AC30" s="103"/>
      <c r="AD30" s="103"/>
      <c r="AE30" s="104"/>
      <c r="AF30" s="103"/>
      <c r="AG30" s="156" t="str">
        <f>"评估人员："&amp;封面!$G$24</f>
        <v>评估人员：</v>
      </c>
      <c r="AH30" s="103"/>
      <c r="AI30" s="103"/>
      <c r="AJ30" s="103"/>
    </row>
    <row r="31" customHeight="1" spans="1:77">
      <c r="A31" s="102" t="str">
        <f>参数表!F$7</f>
        <v>填表日期：2025年9月20日</v>
      </c>
      <c r="B31" s="96"/>
      <c r="C31" s="154"/>
      <c r="D31" s="154"/>
      <c r="E31" s="286"/>
      <c r="F31" s="154"/>
      <c r="G31" s="154"/>
      <c r="H31" s="154"/>
      <c r="I31" s="154"/>
      <c r="J31" s="95"/>
      <c r="K31" s="103"/>
      <c r="L31" s="103"/>
      <c r="M31" s="103"/>
      <c r="N31" s="103"/>
      <c r="O31" s="103"/>
      <c r="P31" s="103"/>
      <c r="Q31" s="103"/>
      <c r="R31" s="103"/>
      <c r="S31" s="103"/>
      <c r="T31" s="103"/>
      <c r="U31" s="95"/>
      <c r="V31" s="95"/>
      <c r="W31" s="103"/>
      <c r="X31" s="103"/>
      <c r="Y31" s="103"/>
      <c r="Z31" s="103"/>
      <c r="AA31" s="103"/>
      <c r="AB31" s="103"/>
      <c r="AC31" s="103"/>
      <c r="AD31" s="103"/>
      <c r="AE31" s="104"/>
      <c r="AF31" s="103"/>
      <c r="AG31" s="103"/>
      <c r="AH31" s="103"/>
      <c r="AI31" s="103"/>
      <c r="AJ31" s="103"/>
    </row>
    <row r="32" hidden="1" customHeight="1" outlineLevel="1" spans="1:77">
      <c r="A32" s="157"/>
      <c r="B32" s="696"/>
      <c r="C32" s="154" t="s">
        <v>1673</v>
      </c>
      <c r="D32" s="158"/>
      <c r="E32" s="286" t="s">
        <v>1674</v>
      </c>
      <c r="F32" s="158"/>
      <c r="G32" s="158"/>
      <c r="H32" s="158"/>
      <c r="I32" s="158"/>
      <c r="W32" s="159">
        <f>SUMIF($BA9:$BA28,$BA32,W9:W28)</f>
        <v>0</v>
      </c>
      <c r="X32" s="176"/>
      <c r="Y32" s="176"/>
      <c r="Z32" s="176"/>
      <c r="AA32" s="176"/>
      <c r="AB32" s="176"/>
      <c r="AC32" s="159">
        <f>SUMIF($BA9:$BA28,$BA32,AC9:AC28)</f>
        <v>0</v>
      </c>
      <c r="AD32" s="159">
        <f>SUMIF($BA9:$BA28,$BA32,AD9:AD28)</f>
        <v>0</v>
      </c>
      <c r="AE32" s="202"/>
      <c r="AF32" s="159">
        <f>SUMIF($BA9:$BA28,$BA32,AF9:AF28)</f>
        <v>0</v>
      </c>
      <c r="AG32" s="159">
        <f>SUMIF($BA9:$BA28,$BA32,AG9:AG28)</f>
        <v>0</v>
      </c>
      <c r="BA32" s="161" t="s">
        <v>1674</v>
      </c>
      <c r="BH32" s="95" t="s">
        <v>1675</v>
      </c>
      <c r="BI32" s="95" t="s">
        <v>1675</v>
      </c>
      <c r="BJ32" s="95" t="s">
        <v>1675</v>
      </c>
      <c r="BK32" s="95" t="s">
        <v>1675</v>
      </c>
      <c r="BL32" s="95" t="s">
        <v>1675</v>
      </c>
      <c r="BN32" s="95" t="s">
        <v>1675</v>
      </c>
    </row>
    <row r="33" hidden="1" customHeight="1" outlineLevel="1" spans="1:66">
      <c r="A33" s="157"/>
      <c r="B33" s="696"/>
      <c r="C33" s="154" t="s">
        <v>1676</v>
      </c>
      <c r="D33" s="158"/>
      <c r="E33" s="286" t="s">
        <v>1677</v>
      </c>
      <c r="F33" s="158"/>
      <c r="G33" s="158"/>
      <c r="H33" s="158"/>
      <c r="I33" s="158"/>
      <c r="W33" s="159">
        <f>W29-W32</f>
        <v>0</v>
      </c>
      <c r="X33" s="176"/>
      <c r="Y33" s="176"/>
      <c r="Z33" s="176"/>
      <c r="AA33" s="176"/>
      <c r="AB33" s="176"/>
      <c r="AC33" s="159">
        <f>AC29-AC32</f>
        <v>0</v>
      </c>
      <c r="AD33" s="159">
        <f>AD29-AD32</f>
        <v>0</v>
      </c>
      <c r="AE33" s="202"/>
      <c r="AF33" s="159">
        <f>AF29-AF32</f>
        <v>0</v>
      </c>
      <c r="AG33" s="159">
        <f>AG29-AG32</f>
        <v>0</v>
      </c>
      <c r="BA33" s="161" t="s">
        <v>1677</v>
      </c>
      <c r="BH33" s="95" t="s">
        <v>1678</v>
      </c>
      <c r="BI33" s="95" t="s">
        <v>1678</v>
      </c>
      <c r="BJ33" s="95" t="s">
        <v>1678</v>
      </c>
      <c r="BK33" s="95" t="s">
        <v>1678</v>
      </c>
      <c r="BL33" s="95" t="s">
        <v>1678</v>
      </c>
      <c r="BN33" s="95" t="s">
        <v>1678</v>
      </c>
    </row>
    <row r="34" customHeight="1" collapsed="1" spans="1:66">
      <c r="A34" s="157"/>
      <c r="B34" s="696"/>
      <c r="C34" s="158"/>
      <c r="D34" s="158"/>
      <c r="E34" s="228"/>
      <c r="F34" s="158"/>
      <c r="G34" s="158"/>
      <c r="H34" s="158"/>
      <c r="I34" s="158"/>
    </row>
    <row r="35" customHeight="1" spans="1:66">
      <c r="A35" s="157"/>
      <c r="B35" s="696"/>
      <c r="C35" s="158"/>
      <c r="D35" s="158"/>
      <c r="E35" s="228"/>
      <c r="F35" s="158"/>
      <c r="G35" s="158"/>
      <c r="H35" s="158"/>
      <c r="I35" s="158"/>
    </row>
    <row r="36" customHeight="1" spans="1:66">
      <c r="A36" s="157"/>
      <c r="B36" s="696"/>
      <c r="C36" s="158"/>
      <c r="D36" s="158"/>
      <c r="E36" s="228"/>
      <c r="F36" s="158"/>
      <c r="G36" s="158"/>
      <c r="H36" s="158"/>
      <c r="I36" s="158"/>
    </row>
    <row r="37" customHeight="1" spans="1:66">
      <c r="A37" s="157"/>
      <c r="B37" s="696"/>
      <c r="C37" s="158"/>
      <c r="D37" s="158"/>
      <c r="E37" s="228"/>
      <c r="F37" s="158"/>
      <c r="G37" s="158"/>
      <c r="H37" s="158"/>
      <c r="I37" s="158"/>
    </row>
    <row r="38" customHeight="1" spans="1:66">
      <c r="A38" s="157"/>
      <c r="B38" s="696"/>
      <c r="C38" s="158"/>
      <c r="D38" s="158"/>
      <c r="E38" s="228"/>
      <c r="F38" s="158"/>
      <c r="G38" s="158"/>
      <c r="H38" s="158"/>
      <c r="I38" s="158"/>
    </row>
  </sheetData>
  <sheetProtection autoFilter="0"/>
  <mergeCells count="52">
    <mergeCell ref="A2:AJ2"/>
    <mergeCell ref="A3:AJ3"/>
    <mergeCell ref="A4:AJ4"/>
    <mergeCell ref="Y7:AB7"/>
    <mergeCell ref="BW9:BY9"/>
    <mergeCell ref="BW10:BY10"/>
    <mergeCell ref="BX16:BY16"/>
    <mergeCell ref="A29:F29"/>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Q7:Q8"/>
    <mergeCell ref="R7:R8"/>
    <mergeCell ref="S7:S8"/>
    <mergeCell ref="T7:T8"/>
    <mergeCell ref="U7:U8"/>
    <mergeCell ref="V7:V8"/>
    <mergeCell ref="W7:W8"/>
    <mergeCell ref="X7:X8"/>
    <mergeCell ref="AC7:AC8"/>
    <mergeCell ref="AD7:AD8"/>
    <mergeCell ref="AE7:AE8"/>
    <mergeCell ref="AF7:AF8"/>
    <mergeCell ref="AG7:AG8"/>
    <mergeCell ref="AH7:AH8"/>
    <mergeCell ref="AI7:AI8"/>
    <mergeCell ref="AJ7:AJ8"/>
    <mergeCell ref="AK7:AK8"/>
    <mergeCell ref="BF7:BF8"/>
    <mergeCell ref="BG7:BG8"/>
    <mergeCell ref="BH7:BH8"/>
    <mergeCell ref="BI7:BI8"/>
    <mergeCell ref="BJ7:BJ8"/>
    <mergeCell ref="BK7:BK8"/>
    <mergeCell ref="BL7:BL8"/>
    <mergeCell ref="BM7:BM8"/>
    <mergeCell ref="BN7:BN8"/>
    <mergeCell ref="BO7:BO8"/>
    <mergeCell ref="BP7:BP8"/>
  </mergeCells>
  <conditionalFormatting sqref="BM9:BM28">
    <cfRule type="expression" dxfId="5" priority="5" stopIfTrue="1">
      <formula>AND(BL9="无",BM9="")</formula>
    </cfRule>
  </conditionalFormatting>
  <conditionalFormatting sqref="BF9:BG28">
    <cfRule type="containsText" dxfId="6" priority="1" stopIfTrue="1" operator="between" text="出错">
      <formula>NOT(ISERROR(SEARCH("出错",BF9)))</formula>
    </cfRule>
  </conditionalFormatting>
  <conditionalFormatting sqref="BH9:BL28 BN9:BN28">
    <cfRule type="expression" dxfId="5" priority="6" stopIfTrue="1">
      <formula>AND($C9&lt;&gt;"",BH9="")</formula>
    </cfRule>
  </conditionalFormatting>
  <dataValidations count="4">
    <dataValidation type="list" allowBlank="1" showInputMessage="1" showErrorMessage="1" sqref="E9:E28 BN9:BN28 BH9:BL28">
      <formula1>E$32:E$33</formula1>
    </dataValidation>
    <dataValidation type="list" allowBlank="1" showInputMessage="1" showErrorMessage="1" sqref="Y9:Y28">
      <formula1>OFFSET(参数表!$H$2:$H$50,,,COUNTA(参数表!$H$2:$H$50))</formula1>
    </dataValidation>
    <dataValidation type="list" allowBlank="1" showInputMessage="1" showErrorMessage="1" sqref="BA9:BA28 BA32:BA33">
      <formula1>"是,否"</formula1>
    </dataValidation>
    <dataValidation type="list" allowBlank="1" showInputMessage="1" showErrorMessage="1" sqref="BC9:BC28">
      <formula1>"  ,√"</formula1>
    </dataValidation>
  </dataValidations>
  <hyperlinks>
    <hyperlink ref="A1" location="索引目录!D34" display="返回索引页"/>
    <hyperlink ref="C1" location="投资性房地产汇总表!B10"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4"/>
  <dimension ref="A1:BY40"/>
  <sheetViews>
    <sheetView workbookViewId="0">
      <pane xSplit="6" ySplit="8" topLeftCell="G9"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4.6" style="688" customWidth="1"/>
    <col min="3" max="3" width="6.6" style="75" customWidth="1"/>
    <col min="4" max="4" width="8.6" style="75" customWidth="1" outlineLevel="1"/>
    <col min="5" max="5" width="4.7" style="165" customWidth="1" outlineLevel="1"/>
    <col min="6" max="6" width="9.6" style="75" customWidth="1"/>
    <col min="7" max="7" width="4.7" style="75" customWidth="1" outlineLevel="1"/>
    <col min="8" max="8" width="10.5" style="75" customWidth="1"/>
    <col min="9" max="9" width="6.6" style="75" customWidth="1"/>
    <col min="10" max="11" width="4.6" style="75" customWidth="1"/>
    <col min="12" max="12" width="6.6" style="165" customWidth="1"/>
    <col min="13" max="13" width="4.6" style="75" customWidth="1"/>
    <col min="14" max="14" width="6.6" style="75" customWidth="1"/>
    <col min="15" max="26" width="12.7" style="75" customWidth="1" outlineLevel="1"/>
    <col min="27" max="27" width="4.7" style="75" customWidth="1" outlineLevel="1"/>
    <col min="28" max="29" width="4.6" style="75" customWidth="1" outlineLevel="1"/>
    <col min="30" max="32" width="6.1" style="75" customWidth="1" outlineLevel="1"/>
    <col min="33" max="33" width="9.6" style="75" customWidth="1"/>
    <col min="34" max="34" width="9.6" style="75" customWidth="1" outlineLevel="1"/>
    <col min="35" max="35" width="5.1" style="75" customWidth="1" outlineLevel="1"/>
    <col min="36" max="37" width="12.6" style="76" customWidth="1" outlineLevel="1"/>
    <col min="38" max="38" width="9.6" style="75" customWidth="1"/>
    <col min="39" max="39" width="5.1" style="75" customWidth="1"/>
    <col min="40" max="40" width="10.7" style="75" customWidth="1"/>
    <col min="41" max="43" width="6.6" style="75" customWidth="1"/>
    <col min="44" max="52" width="9" style="75" hidden="1" customWidth="1" outlineLevel="1"/>
    <col min="53" max="53" width="14.7" style="75" customWidth="1" collapsed="1"/>
    <col min="54" max="54" width="6.7" style="75" customWidth="1"/>
    <col min="55" max="56" width="5.1" style="75" customWidth="1"/>
    <col min="57" max="57" width="8.7" style="75" customWidth="1"/>
    <col min="58" max="59" width="10" style="75" customWidth="1"/>
    <col min="60" max="64" width="4.7" style="165" customWidth="1"/>
    <col min="65" max="65" width="10.3" style="75" customWidth="1"/>
    <col min="66" max="66" width="4.7" style="165" customWidth="1"/>
    <col min="67" max="67" width="8.7" style="75" customWidth="1"/>
    <col min="68" max="68" width="9" style="75"/>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86" customFormat="1" ht="13.8" spans="1:77">
      <c r="A1" s="203" t="s">
        <v>1591</v>
      </c>
      <c r="B1" s="689"/>
      <c r="C1" s="204" t="s">
        <v>1592</v>
      </c>
      <c r="D1" s="204"/>
      <c r="E1" s="495"/>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205"/>
      <c r="AK1" s="205"/>
      <c r="AL1" s="82"/>
      <c r="AM1" s="82"/>
      <c r="AN1" s="82"/>
      <c r="AO1" s="82"/>
      <c r="AP1" s="82"/>
      <c r="AQ1" s="82"/>
      <c r="BA1" s="84" t="str">
        <f>参数表!BA1</f>
        <v>注意：补充特殊事项、作价等均从BA列开始填写</v>
      </c>
      <c r="BB1" s="85"/>
      <c r="BH1" s="82"/>
      <c r="BI1" s="82"/>
      <c r="BJ1" s="82"/>
      <c r="BK1" s="82"/>
      <c r="BL1" s="82"/>
      <c r="BN1" s="82"/>
      <c r="BQ1" s="87"/>
      <c r="BR1" s="88"/>
      <c r="BS1" s="87"/>
      <c r="BT1" s="88"/>
      <c r="BU1" s="88"/>
      <c r="BV1" s="88"/>
      <c r="BW1" s="88"/>
      <c r="BX1" s="88"/>
      <c r="BY1" s="87"/>
    </row>
    <row r="2" s="71" customFormat="1" ht="30" customHeight="1" spans="1:77">
      <c r="A2" s="89" t="s">
        <v>3769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BA2" s="90" t="str">
        <f>参数表!BA2</f>
        <v>评估基准日：</v>
      </c>
      <c r="BB2" s="91" t="str">
        <f>参数表!BB2</f>
        <v>2025年7月31日</v>
      </c>
      <c r="BH2" s="171"/>
      <c r="BI2" s="171"/>
      <c r="BJ2" s="171"/>
      <c r="BK2" s="171"/>
      <c r="BL2" s="171"/>
      <c r="BN2" s="171"/>
      <c r="BQ2" s="92"/>
      <c r="BR2" s="93"/>
      <c r="BS2" s="92"/>
      <c r="BT2" s="93"/>
      <c r="BU2" s="93"/>
      <c r="BV2" s="93"/>
      <c r="BW2" s="93"/>
      <c r="BX2" s="93"/>
      <c r="BY2" s="92"/>
    </row>
    <row r="3" s="71" customFormat="1" ht="15" customHeight="1" spans="1:77">
      <c r="A3" s="932" t="s">
        <v>3668</v>
      </c>
      <c r="B3" s="932"/>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c r="AC3" s="932"/>
      <c r="AD3" s="932"/>
      <c r="AE3" s="932"/>
      <c r="AF3" s="932"/>
      <c r="AG3" s="932"/>
      <c r="AH3" s="932"/>
      <c r="AI3" s="932"/>
      <c r="AJ3" s="932"/>
      <c r="AK3" s="932"/>
      <c r="AL3" s="932"/>
      <c r="AM3" s="932"/>
      <c r="AN3" s="932"/>
      <c r="AO3" s="932"/>
      <c r="AP3" s="932"/>
      <c r="AQ3" s="932"/>
      <c r="BA3" s="90" t="str">
        <f>参数表!BA3</f>
        <v>是否显示评估值：</v>
      </c>
      <c r="BB3" s="90" t="str">
        <f>参数表!BB3</f>
        <v>是</v>
      </c>
      <c r="BH3" s="171"/>
      <c r="BI3" s="171"/>
      <c r="BJ3" s="171"/>
      <c r="BK3" s="171"/>
      <c r="BL3" s="171"/>
      <c r="BN3" s="171"/>
      <c r="BQ3" s="92"/>
      <c r="BR3" s="93"/>
      <c r="BS3" s="92"/>
      <c r="BT3" s="93"/>
      <c r="BU3" s="93"/>
      <c r="BV3" s="93"/>
      <c r="BW3" s="93"/>
      <c r="BX3" s="93"/>
      <c r="BY3" s="92"/>
    </row>
    <row r="4" ht="15" customHeight="1" spans="1:77">
      <c r="A4" s="94" t="str">
        <f>参数表!F5</f>
        <v>评估基准日：2025年7月31日</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BA4" s="95"/>
      <c r="BB4" s="100">
        <f>MAX(COUNTA(A8:A27),COUNTA(C8:C27),COUNTA(AH8:AH27),COUNTA(AL8:AL27))</f>
        <v>20</v>
      </c>
      <c r="BC4" s="101">
        <f>ROW(A7)+1</f>
        <v>8</v>
      </c>
      <c r="BD4" s="77"/>
      <c r="BE4" s="77"/>
      <c r="BS4" s="78"/>
    </row>
    <row r="5" ht="15" customHeight="1" spans="1:77">
      <c r="A5" s="96"/>
      <c r="B5" s="96"/>
      <c r="C5" s="94"/>
      <c r="D5" s="94"/>
      <c r="E5" s="94"/>
      <c r="F5" s="94"/>
      <c r="G5" s="94"/>
      <c r="H5" s="94"/>
      <c r="I5" s="94"/>
      <c r="J5" s="94"/>
      <c r="K5" s="94"/>
      <c r="L5" s="94"/>
      <c r="M5" s="94"/>
      <c r="N5" s="95"/>
      <c r="O5" s="95"/>
      <c r="P5" s="95"/>
      <c r="Q5" s="95"/>
      <c r="R5" s="95"/>
      <c r="S5" s="95"/>
      <c r="T5" s="95"/>
      <c r="U5" s="95"/>
      <c r="V5" s="95"/>
      <c r="W5" s="95"/>
      <c r="X5" s="95"/>
      <c r="Y5" s="95"/>
      <c r="Z5" s="95"/>
      <c r="AA5" s="95"/>
      <c r="AB5" s="95"/>
      <c r="AC5" s="95"/>
      <c r="AD5" s="95"/>
      <c r="AE5" s="95"/>
      <c r="AF5" s="95"/>
      <c r="AG5" s="95"/>
      <c r="AH5" s="95"/>
      <c r="AI5" s="95"/>
      <c r="AJ5" s="206"/>
      <c r="AK5" s="206"/>
      <c r="AL5" s="95"/>
      <c r="AM5" s="95"/>
      <c r="AN5" s="95"/>
      <c r="AO5" s="95"/>
      <c r="AP5" s="95"/>
      <c r="AQ5" s="98" t="str">
        <f>"表"&amp;$BA5</f>
        <v>表4-9-3</v>
      </c>
      <c r="BA5" s="347" t="str">
        <f>投资性房产总!A9</f>
        <v>4-9-3</v>
      </c>
      <c r="BB5" s="105" t="str">
        <f ca="1">判断表!C63</f>
        <v>中煤第五建设有限公司第三工程处拟处置实物资产项目\[0000-3基础法明细表.xlsx]投资-土地成本</v>
      </c>
      <c r="BC5" s="106">
        <f>IFERROR(SUMIF(BC8:BC27,"√",AL8:AL27)/AL28,0)</f>
        <v>0</v>
      </c>
      <c r="BD5" s="107"/>
      <c r="BE5" s="107"/>
      <c r="BS5" s="78"/>
    </row>
    <row r="6" ht="15" customHeight="1" spans="1:77">
      <c r="A6" s="102" t="str">
        <f>参数表!F3</f>
        <v>产权持有单位:中煤第五建设有限公司</v>
      </c>
      <c r="B6" s="96"/>
      <c r="C6" s="103"/>
      <c r="D6" s="103"/>
      <c r="E6" s="95"/>
      <c r="F6" s="103"/>
      <c r="G6" s="103"/>
      <c r="H6" s="103"/>
      <c r="I6" s="103"/>
      <c r="J6" s="103"/>
      <c r="K6" s="103"/>
      <c r="L6" s="95"/>
      <c r="M6" s="103"/>
      <c r="N6" s="103"/>
      <c r="O6" s="103"/>
      <c r="P6" s="103"/>
      <c r="Q6" s="103"/>
      <c r="R6" s="103"/>
      <c r="S6" s="103"/>
      <c r="T6" s="103"/>
      <c r="U6" s="103"/>
      <c r="V6" s="103"/>
      <c r="W6" s="103"/>
      <c r="X6" s="103"/>
      <c r="Y6" s="103"/>
      <c r="Z6" s="103"/>
      <c r="AA6" s="103"/>
      <c r="AB6" s="103"/>
      <c r="AC6" s="103"/>
      <c r="AD6" s="103"/>
      <c r="AE6" s="103"/>
      <c r="AF6" s="103"/>
      <c r="AG6" s="103"/>
      <c r="AH6" s="103"/>
      <c r="AI6" s="103"/>
      <c r="AJ6" s="104"/>
      <c r="AK6" s="104"/>
      <c r="AL6" s="103"/>
      <c r="AM6" s="103"/>
      <c r="AN6" s="103"/>
      <c r="AO6" s="103"/>
      <c r="AP6" s="103"/>
      <c r="AQ6" s="98" t="s">
        <v>236</v>
      </c>
      <c r="BA6" s="103"/>
      <c r="BB6" s="100"/>
      <c r="BC6" s="100"/>
      <c r="BD6" s="100"/>
      <c r="BE6" s="100"/>
      <c r="BF6" s="108">
        <f>'投资-房屋公允'!BF6</f>
        <v>0</v>
      </c>
      <c r="BG6" s="108">
        <f>'投资-房屋公允'!BG6</f>
        <v>0</v>
      </c>
      <c r="BH6" s="109"/>
      <c r="BI6" s="109"/>
      <c r="BJ6" s="109"/>
      <c r="BK6" s="109"/>
      <c r="BL6" s="109"/>
      <c r="BM6" s="110"/>
      <c r="BN6" s="109"/>
      <c r="BO6" s="110"/>
      <c r="BP6" s="693" t="s">
        <v>3770</v>
      </c>
      <c r="BQ6" s="111"/>
      <c r="BS6" s="78"/>
      <c r="BX6" s="194"/>
      <c r="BY6" s="111"/>
    </row>
    <row r="7" s="349" customFormat="1" ht="25.5" customHeight="1" spans="1:77">
      <c r="A7" s="207" t="s">
        <v>305</v>
      </c>
      <c r="B7" s="207" t="s">
        <v>3669</v>
      </c>
      <c r="C7" s="208" t="s">
        <v>3771</v>
      </c>
      <c r="D7" s="208" t="s">
        <v>3671</v>
      </c>
      <c r="E7" s="208" t="s">
        <v>3672</v>
      </c>
      <c r="F7" s="208" t="s">
        <v>3772</v>
      </c>
      <c r="G7" s="208" t="s">
        <v>3674</v>
      </c>
      <c r="H7" s="208" t="s">
        <v>3773</v>
      </c>
      <c r="I7" s="208" t="s">
        <v>3774</v>
      </c>
      <c r="J7" s="118" t="s">
        <v>3775</v>
      </c>
      <c r="K7" s="118" t="s">
        <v>3776</v>
      </c>
      <c r="L7" s="118" t="s">
        <v>3777</v>
      </c>
      <c r="M7" s="118" t="s">
        <v>3778</v>
      </c>
      <c r="N7" s="118" t="s">
        <v>3779</v>
      </c>
      <c r="O7" s="118" t="s">
        <v>3780</v>
      </c>
      <c r="P7" s="118" t="s">
        <v>3781</v>
      </c>
      <c r="Q7" s="118" t="s">
        <v>3782</v>
      </c>
      <c r="R7" s="118" t="s">
        <v>3783</v>
      </c>
      <c r="S7" s="118" t="s">
        <v>3784</v>
      </c>
      <c r="T7" s="118" t="s">
        <v>3785</v>
      </c>
      <c r="U7" s="118" t="s">
        <v>3786</v>
      </c>
      <c r="V7" s="118" t="s">
        <v>3787</v>
      </c>
      <c r="W7" s="118" t="s">
        <v>3788</v>
      </c>
      <c r="X7" s="118" t="s">
        <v>3789</v>
      </c>
      <c r="Y7" s="118" t="s">
        <v>3790</v>
      </c>
      <c r="Z7" s="118" t="s">
        <v>3791</v>
      </c>
      <c r="AA7" s="118" t="s">
        <v>3792</v>
      </c>
      <c r="AB7" s="114" t="s">
        <v>1631</v>
      </c>
      <c r="AC7" s="115" t="s">
        <v>1632</v>
      </c>
      <c r="AD7" s="116" t="s">
        <v>3638</v>
      </c>
      <c r="AE7" s="116" t="s">
        <v>3793</v>
      </c>
      <c r="AF7" s="116" t="s">
        <v>3794</v>
      </c>
      <c r="AG7" s="118" t="s">
        <v>2751</v>
      </c>
      <c r="AH7" s="118" t="s">
        <v>1549</v>
      </c>
      <c r="AI7" s="118" t="s">
        <v>3702</v>
      </c>
      <c r="AJ7" s="352" t="s">
        <v>1634</v>
      </c>
      <c r="AK7" s="352" t="s">
        <v>3705</v>
      </c>
      <c r="AL7" s="118" t="s">
        <v>1523</v>
      </c>
      <c r="AM7" s="118" t="s">
        <v>3702</v>
      </c>
      <c r="AN7" s="118" t="s">
        <v>1550</v>
      </c>
      <c r="AO7" s="118" t="s">
        <v>1525</v>
      </c>
      <c r="AP7" s="118" t="s">
        <v>1551</v>
      </c>
      <c r="AQ7" s="118" t="s">
        <v>308</v>
      </c>
      <c r="BA7" s="933" t="s">
        <v>1545</v>
      </c>
      <c r="BB7" s="933" t="s">
        <v>1635</v>
      </c>
      <c r="BC7" s="933" t="s">
        <v>1636</v>
      </c>
      <c r="BD7" s="933" t="s">
        <v>1637</v>
      </c>
      <c r="BE7" s="933" t="s">
        <v>1638</v>
      </c>
      <c r="BF7" s="115" t="s">
        <v>1639</v>
      </c>
      <c r="BG7" s="115" t="s">
        <v>1640</v>
      </c>
      <c r="BH7" s="118" t="s">
        <v>1748</v>
      </c>
      <c r="BI7" s="118" t="s">
        <v>3744</v>
      </c>
      <c r="BJ7" s="118" t="s">
        <v>1750</v>
      </c>
      <c r="BK7" s="118" t="s">
        <v>3745</v>
      </c>
      <c r="BL7" s="118" t="s">
        <v>1641</v>
      </c>
      <c r="BM7" s="118" t="s">
        <v>2209</v>
      </c>
      <c r="BN7" s="118" t="s">
        <v>3697</v>
      </c>
      <c r="BO7" s="118" t="s">
        <v>1644</v>
      </c>
      <c r="BP7" s="224" t="s">
        <v>2184</v>
      </c>
      <c r="BQ7" s="119"/>
      <c r="BR7" s="120" t="s">
        <v>1645</v>
      </c>
      <c r="BS7" s="121" t="s">
        <v>1646</v>
      </c>
      <c r="BT7" s="121" t="s">
        <v>1647</v>
      </c>
      <c r="BU7" s="121" t="s">
        <v>1648</v>
      </c>
      <c r="BV7" s="121" t="s">
        <v>1647</v>
      </c>
      <c r="BW7" s="121" t="s">
        <v>1647</v>
      </c>
      <c r="BX7" s="121" t="s">
        <v>1649</v>
      </c>
      <c r="BY7" s="122" t="s">
        <v>1650</v>
      </c>
    </row>
    <row r="8" s="73" customFormat="1" ht="15" customHeight="1" spans="1:77">
      <c r="A8" s="123" t="str">
        <f>IF(F8="","",COUNT(A$7:A7)+1)</f>
        <v/>
      </c>
      <c r="B8" s="123"/>
      <c r="C8" s="126"/>
      <c r="D8" s="126"/>
      <c r="E8" s="126"/>
      <c r="F8" s="124"/>
      <c r="G8" s="124"/>
      <c r="H8" s="124"/>
      <c r="I8" s="125"/>
      <c r="J8" s="124"/>
      <c r="K8" s="126"/>
      <c r="L8" s="125"/>
      <c r="M8" s="126"/>
      <c r="N8" s="491"/>
      <c r="O8" s="491"/>
      <c r="P8" s="491"/>
      <c r="Q8" s="491"/>
      <c r="R8" s="491"/>
      <c r="S8" s="491"/>
      <c r="T8" s="491"/>
      <c r="U8" s="491"/>
      <c r="V8" s="491"/>
      <c r="W8" s="491"/>
      <c r="X8" s="491"/>
      <c r="Y8" s="491"/>
      <c r="Z8" s="491"/>
      <c r="AA8" s="491"/>
      <c r="AB8" s="127"/>
      <c r="AC8" s="127" t="str">
        <f>IFERROR(VLOOKUP(AB8,参数表!$H$2:$I$50,2,FALSE),"")</f>
        <v/>
      </c>
      <c r="AD8" s="128" t="str">
        <f>IFERROR(IF(OR(AB8="人民币",AB8=""),"",AG8/AC8),"")</f>
        <v/>
      </c>
      <c r="AE8" s="128" t="str">
        <f>IFERROR(IF(OR(AB8="人民币",AB8=""),"",AL8/AC8),"")</f>
        <v/>
      </c>
      <c r="AF8" s="128" t="str">
        <f>IFERROR(IF(OR(AB8="人民币",AB8=""),"",AM8/AC8),"")</f>
        <v/>
      </c>
      <c r="AG8" s="129"/>
      <c r="AH8" s="129"/>
      <c r="AI8" s="129"/>
      <c r="AJ8" s="130"/>
      <c r="AK8" s="130"/>
      <c r="AL8" s="129" t="str">
        <f>IF(F8="","",AH8+AJ8)</f>
        <v/>
      </c>
      <c r="AM8" s="129" t="str">
        <f>IF(F8="","",AI8+AK8)</f>
        <v/>
      </c>
      <c r="AN8" s="129" t="str">
        <f>IF(F8="","",IF($BB$3="是",N8*BP8,""))</f>
        <v/>
      </c>
      <c r="AO8" s="129" t="str">
        <f>IFERROR(AN8-(AL8-AM8),"")</f>
        <v/>
      </c>
      <c r="AP8" s="129" t="str">
        <f>IFERROR(AO8/(AL8-AM8)*100,"")</f>
        <v/>
      </c>
      <c r="AQ8" s="131"/>
      <c r="BA8" s="78"/>
      <c r="BB8" s="132" t="s">
        <v>3795</v>
      </c>
      <c r="BC8" s="133"/>
      <c r="BD8" s="132" t="str">
        <f>IF(OR(F8="",BC8=""),"",COUNTIF(BC8:BC$9,"√"))</f>
        <v/>
      </c>
      <c r="BE8" s="134" t="str">
        <f t="shared" ref="BE8:BE27" si="0">IF(FC8="","",BB8&amp;"︱"&amp;F8&amp;"︱"&amp;TEXT(AH8,"#,##0.00"))</f>
        <v/>
      </c>
      <c r="BF8" s="135" t="str">
        <f>IF($C8="","",IF(BF$5=0,"OK","出错"))</f>
        <v/>
      </c>
      <c r="BG8" s="135" t="str">
        <f>IF($C8="","",IF(BG$5=0,"OK","出错"))</f>
        <v/>
      </c>
      <c r="BH8" s="136"/>
      <c r="BI8" s="136"/>
      <c r="BJ8" s="136"/>
      <c r="BK8" s="136"/>
      <c r="BL8" s="136"/>
      <c r="BM8" s="137"/>
      <c r="BN8" s="136"/>
      <c r="BO8" s="137"/>
      <c r="BQ8" s="77"/>
      <c r="BR8" s="134" t="str">
        <f>IF(COUNTIF(BR$7:BR7,K8)&gt;0,"",K8)&amp;""</f>
        <v/>
      </c>
      <c r="BS8" s="138">
        <f>SUMIF(K$8:K$27,BR8,AG$8:AG$27)</f>
        <v>0</v>
      </c>
      <c r="BT8" s="132">
        <f t="shared" ref="BT8" si="1">RANK(BS8,BS$8:BS$27)</f>
        <v>1</v>
      </c>
      <c r="BU8" s="138">
        <f>SUMIF(K$8:K$27,BR8,AN$8:AN$27)</f>
        <v>0</v>
      </c>
      <c r="BV8" s="132">
        <f>RANK(BU8,BU$8:BU$27)</f>
        <v>1</v>
      </c>
      <c r="BW8" s="138">
        <f>SUM(BS8:BS27)</f>
        <v>0</v>
      </c>
      <c r="BX8" s="138"/>
      <c r="BY8" s="138"/>
    </row>
    <row r="9" ht="15" customHeight="1" spans="1:77">
      <c r="A9" s="123" t="str">
        <f>IF(F9="","",COUNT(A$7:A8)+1)</f>
        <v/>
      </c>
      <c r="B9" s="141"/>
      <c r="C9" s="141"/>
      <c r="D9" s="141"/>
      <c r="E9" s="141"/>
      <c r="F9" s="139"/>
      <c r="G9" s="139"/>
      <c r="H9" s="139"/>
      <c r="I9" s="140"/>
      <c r="J9" s="141"/>
      <c r="K9" s="141"/>
      <c r="L9" s="140"/>
      <c r="M9" s="141"/>
      <c r="N9" s="501"/>
      <c r="O9" s="501"/>
      <c r="P9" s="501"/>
      <c r="Q9" s="501"/>
      <c r="R9" s="501"/>
      <c r="S9" s="501"/>
      <c r="T9" s="501"/>
      <c r="U9" s="501"/>
      <c r="V9" s="501"/>
      <c r="W9" s="501"/>
      <c r="X9" s="501"/>
      <c r="Y9" s="501"/>
      <c r="Z9" s="501"/>
      <c r="AA9" s="501"/>
      <c r="AB9" s="142"/>
      <c r="AC9" s="127" t="str">
        <f>IFERROR(VLOOKUP(AB9,参数表!$H$2:$I$50,2,FALSE),"")</f>
        <v/>
      </c>
      <c r="AD9" s="128" t="str">
        <f t="shared" ref="AD9:AD27" si="2">IFERROR(IF(OR(AB9="人民币",AB9=""),"",AG9/AC9),"")</f>
        <v/>
      </c>
      <c r="AE9" s="128" t="str">
        <f t="shared" ref="AE9:AE27" si="3">IFERROR(IF(OR(AB9="人民币",AB9=""),"",AL9/AC9),"")</f>
        <v/>
      </c>
      <c r="AF9" s="128" t="str">
        <f t="shared" ref="AF9:AF27" si="4">IFERROR(IF(OR(AB9="人民币",AB9=""),"",AM9/AC9),"")</f>
        <v/>
      </c>
      <c r="AG9" s="143"/>
      <c r="AH9" s="143"/>
      <c r="AI9" s="143"/>
      <c r="AJ9" s="144"/>
      <c r="AK9" s="144"/>
      <c r="AL9" s="129" t="str">
        <f t="shared" ref="AL9:AL27" si="5">IF(F9="","",AH9+AJ9)</f>
        <v/>
      </c>
      <c r="AM9" s="129" t="str">
        <f t="shared" ref="AM9:AM27" si="6">IF(F9="","",AI9+AK9)</f>
        <v/>
      </c>
      <c r="AN9" s="129" t="str">
        <f t="shared" ref="AN9:AN27" si="7">IF(F9="","",IF($BB$3="是",N9*BP9,""))</f>
        <v/>
      </c>
      <c r="AO9" s="129" t="str">
        <f t="shared" ref="AO9:AO27" si="8">IFERROR(AN9-(AL9-AM9),"")</f>
        <v/>
      </c>
      <c r="AP9" s="129" t="str">
        <f t="shared" ref="AP9:AP27" si="9">IFERROR(AO9/(AL9-AM9)*100,"")</f>
        <v/>
      </c>
      <c r="AQ9" s="145"/>
      <c r="BA9" s="78"/>
      <c r="BB9" s="132" t="s">
        <v>3796</v>
      </c>
      <c r="BC9" s="133"/>
      <c r="BD9" s="132" t="str">
        <f>IF(OR(F9="",BC9=""),"",COUNTIF(BC9:BC$9,"√"))</f>
        <v/>
      </c>
      <c r="BE9" s="134" t="str">
        <f t="shared" si="0"/>
        <v/>
      </c>
      <c r="BF9" s="135" t="str">
        <f t="shared" ref="BF9:BG27" si="10">IF($C9="","",IF(BF$5=0,"OK","出错"))</f>
        <v/>
      </c>
      <c r="BG9" s="135" t="str">
        <f t="shared" si="10"/>
        <v/>
      </c>
      <c r="BH9" s="136"/>
      <c r="BI9" s="136"/>
      <c r="BJ9" s="136"/>
      <c r="BK9" s="136"/>
      <c r="BL9" s="136"/>
      <c r="BM9" s="137"/>
      <c r="BN9" s="136"/>
      <c r="BO9" s="137"/>
      <c r="BR9" s="134" t="str">
        <f>IF(COUNTIF(BR$7:BR8,K9)&gt;0,"",K9)&amp;""</f>
        <v/>
      </c>
      <c r="BS9" s="138">
        <f t="shared" ref="BS9:BS27" si="11">SUMIF(K$8:K$27,BR9,AG$8:AG$27)</f>
        <v>0</v>
      </c>
      <c r="BT9" s="132">
        <f t="shared" ref="BT9:BT27" si="12">RANK(BS9,BS$8:BS$27)</f>
        <v>1</v>
      </c>
      <c r="BU9" s="138">
        <f t="shared" ref="BU9:BU27" si="13">SUMIF(K$8:K$27,BR9,AN$8:AN$27)</f>
        <v>0</v>
      </c>
      <c r="BV9" s="132">
        <f t="shared" ref="BV9:BV27" si="14">RANK(BU9,BU$8:BU$27)</f>
        <v>1</v>
      </c>
      <c r="BW9" s="138">
        <f>SUM(BU8:BU27)</f>
        <v>0</v>
      </c>
      <c r="BX9" s="138"/>
      <c r="BY9" s="138"/>
    </row>
    <row r="10" ht="15" customHeight="1" spans="1:77">
      <c r="A10" s="123" t="str">
        <f>IF(F10="","",COUNT(A$7:A9)+1)</f>
        <v/>
      </c>
      <c r="B10" s="141"/>
      <c r="C10" s="141"/>
      <c r="D10" s="141"/>
      <c r="E10" s="141"/>
      <c r="F10" s="139"/>
      <c r="G10" s="139"/>
      <c r="H10" s="139"/>
      <c r="I10" s="140"/>
      <c r="J10" s="141"/>
      <c r="K10" s="141"/>
      <c r="L10" s="140"/>
      <c r="M10" s="141"/>
      <c r="N10" s="501"/>
      <c r="O10" s="501"/>
      <c r="P10" s="501"/>
      <c r="Q10" s="501"/>
      <c r="R10" s="501"/>
      <c r="S10" s="501"/>
      <c r="T10" s="501"/>
      <c r="U10" s="501"/>
      <c r="V10" s="501"/>
      <c r="W10" s="501"/>
      <c r="X10" s="501"/>
      <c r="Y10" s="501"/>
      <c r="Z10" s="501"/>
      <c r="AA10" s="501"/>
      <c r="AB10" s="142"/>
      <c r="AC10" s="127" t="str">
        <f>IFERROR(VLOOKUP(AB10,参数表!$H$2:$I$50,2,FALSE),"")</f>
        <v/>
      </c>
      <c r="AD10" s="128" t="str">
        <f t="shared" si="2"/>
        <v/>
      </c>
      <c r="AE10" s="128" t="str">
        <f t="shared" si="3"/>
        <v/>
      </c>
      <c r="AF10" s="128" t="str">
        <f t="shared" si="4"/>
        <v/>
      </c>
      <c r="AG10" s="143"/>
      <c r="AH10" s="143"/>
      <c r="AI10" s="143"/>
      <c r="AJ10" s="144"/>
      <c r="AK10" s="144"/>
      <c r="AL10" s="129" t="str">
        <f t="shared" si="5"/>
        <v/>
      </c>
      <c r="AM10" s="129" t="str">
        <f t="shared" si="6"/>
        <v/>
      </c>
      <c r="AN10" s="129" t="str">
        <f t="shared" si="7"/>
        <v/>
      </c>
      <c r="AO10" s="129" t="str">
        <f t="shared" si="8"/>
        <v/>
      </c>
      <c r="AP10" s="129" t="str">
        <f t="shared" si="9"/>
        <v/>
      </c>
      <c r="AQ10" s="145"/>
      <c r="BA10" s="78"/>
      <c r="BB10" s="132" t="s">
        <v>3797</v>
      </c>
      <c r="BC10" s="133"/>
      <c r="BD10" s="132" t="str">
        <f>IF(OR(F10="",BC10=""),"",COUNTIF(BC$9:BC10,"√"))</f>
        <v/>
      </c>
      <c r="BE10" s="134" t="str">
        <f t="shared" si="0"/>
        <v/>
      </c>
      <c r="BF10" s="135" t="str">
        <f t="shared" si="10"/>
        <v/>
      </c>
      <c r="BG10" s="135" t="str">
        <f t="shared" si="10"/>
        <v/>
      </c>
      <c r="BH10" s="136"/>
      <c r="BI10" s="136"/>
      <c r="BJ10" s="136"/>
      <c r="BK10" s="136"/>
      <c r="BL10" s="136"/>
      <c r="BM10" s="137"/>
      <c r="BN10" s="136"/>
      <c r="BO10" s="137"/>
      <c r="BR10" s="134" t="str">
        <f>IF(COUNTIF(BR$7:BR9,K10)&gt;0,"",K10)&amp;""</f>
        <v/>
      </c>
      <c r="BS10" s="138">
        <f t="shared" si="11"/>
        <v>0</v>
      </c>
      <c r="BT10" s="132">
        <f t="shared" si="12"/>
        <v>1</v>
      </c>
      <c r="BU10" s="138">
        <f t="shared" si="13"/>
        <v>0</v>
      </c>
      <c r="BV10" s="132">
        <f t="shared" si="14"/>
        <v>1</v>
      </c>
      <c r="BW10" s="132">
        <v>1</v>
      </c>
      <c r="BX10" s="134" t="str">
        <f>IFERROR(INDEX(BR$8:BR$27,MATCH(BW10,IF(BW$8=0,BV$8:BV$27,BT$8:BT$27),0))&amp;"","")</f>
        <v/>
      </c>
      <c r="BY10" s="146" t="str">
        <f>IF(BX11="","",IF(BX12="","和","、"))</f>
        <v/>
      </c>
    </row>
    <row r="11" ht="15" customHeight="1" spans="1:77">
      <c r="A11" s="123" t="str">
        <f>IF(F11="","",COUNT(A$7:A10)+1)</f>
        <v/>
      </c>
      <c r="B11" s="141"/>
      <c r="C11" s="141"/>
      <c r="D11" s="141"/>
      <c r="E11" s="141"/>
      <c r="F11" s="139"/>
      <c r="G11" s="139"/>
      <c r="H11" s="139"/>
      <c r="I11" s="140"/>
      <c r="J11" s="141"/>
      <c r="K11" s="141"/>
      <c r="L11" s="140"/>
      <c r="M11" s="141"/>
      <c r="N11" s="501"/>
      <c r="O11" s="501"/>
      <c r="P11" s="501"/>
      <c r="Q11" s="501"/>
      <c r="R11" s="501"/>
      <c r="S11" s="501"/>
      <c r="T11" s="501"/>
      <c r="U11" s="501"/>
      <c r="V11" s="501"/>
      <c r="W11" s="501"/>
      <c r="X11" s="501"/>
      <c r="Y11" s="501"/>
      <c r="Z11" s="501"/>
      <c r="AA11" s="501"/>
      <c r="AB11" s="142"/>
      <c r="AC11" s="127" t="str">
        <f>IFERROR(VLOOKUP(AB11,参数表!$H$2:$I$50,2,FALSE),"")</f>
        <v/>
      </c>
      <c r="AD11" s="128" t="str">
        <f t="shared" si="2"/>
        <v/>
      </c>
      <c r="AE11" s="128" t="str">
        <f t="shared" si="3"/>
        <v/>
      </c>
      <c r="AF11" s="128" t="str">
        <f t="shared" si="4"/>
        <v/>
      </c>
      <c r="AG11" s="143"/>
      <c r="AH11" s="143"/>
      <c r="AI11" s="143"/>
      <c r="AJ11" s="144"/>
      <c r="AK11" s="144"/>
      <c r="AL11" s="129" t="str">
        <f t="shared" si="5"/>
        <v/>
      </c>
      <c r="AM11" s="129" t="str">
        <f t="shared" si="6"/>
        <v/>
      </c>
      <c r="AN11" s="129" t="str">
        <f t="shared" si="7"/>
        <v/>
      </c>
      <c r="AO11" s="129" t="str">
        <f t="shared" si="8"/>
        <v/>
      </c>
      <c r="AP11" s="129" t="str">
        <f t="shared" si="9"/>
        <v/>
      </c>
      <c r="AQ11" s="145"/>
      <c r="BA11" s="78"/>
      <c r="BB11" s="132" t="s">
        <v>3798</v>
      </c>
      <c r="BC11" s="133"/>
      <c r="BD11" s="132" t="str">
        <f>IF(OR(F11="",BC11=""),"",COUNTIF(BC$9:BC11,"√"))</f>
        <v/>
      </c>
      <c r="BE11" s="134" t="str">
        <f t="shared" si="0"/>
        <v/>
      </c>
      <c r="BF11" s="135" t="str">
        <f t="shared" si="10"/>
        <v/>
      </c>
      <c r="BG11" s="135" t="str">
        <f t="shared" si="10"/>
        <v/>
      </c>
      <c r="BH11" s="136"/>
      <c r="BI11" s="136"/>
      <c r="BJ11" s="136"/>
      <c r="BK11" s="136"/>
      <c r="BL11" s="136"/>
      <c r="BM11" s="137"/>
      <c r="BN11" s="136"/>
      <c r="BO11" s="137"/>
      <c r="BR11" s="134" t="str">
        <f>IF(COUNTIF(BR$7:BR10,K11)&gt;0,"",K11)&amp;""</f>
        <v/>
      </c>
      <c r="BS11" s="138">
        <f t="shared" si="11"/>
        <v>0</v>
      </c>
      <c r="BT11" s="132">
        <f t="shared" si="12"/>
        <v>1</v>
      </c>
      <c r="BU11" s="138">
        <f t="shared" si="13"/>
        <v>0</v>
      </c>
      <c r="BV11" s="132">
        <f t="shared" si="14"/>
        <v>1</v>
      </c>
      <c r="BW11" s="132">
        <v>2</v>
      </c>
      <c r="BX11" s="134" t="str">
        <f t="shared" ref="BX11:BX14" si="15">IFERROR(INDEX(BR$8:BR$27,MATCH(BW11,IF(BW$8=0,BV$8:BV$27,BT$8:BT$27),0))&amp;"","")</f>
        <v/>
      </c>
      <c r="BY11" s="146" t="str">
        <f t="shared" ref="BY11:BY12" si="16">IF(BX12="","",IF(BX13="","和","、"))</f>
        <v/>
      </c>
    </row>
    <row r="12" ht="15" customHeight="1" spans="1:77">
      <c r="A12" s="123" t="str">
        <f>IF(F12="","",COUNT(A$7:A11)+1)</f>
        <v/>
      </c>
      <c r="B12" s="141"/>
      <c r="C12" s="141"/>
      <c r="D12" s="141"/>
      <c r="E12" s="141"/>
      <c r="F12" s="139"/>
      <c r="G12" s="139"/>
      <c r="H12" s="139"/>
      <c r="I12" s="140"/>
      <c r="J12" s="141"/>
      <c r="K12" s="141"/>
      <c r="L12" s="140"/>
      <c r="M12" s="141"/>
      <c r="N12" s="501"/>
      <c r="O12" s="501"/>
      <c r="P12" s="501"/>
      <c r="Q12" s="501"/>
      <c r="R12" s="501"/>
      <c r="S12" s="501"/>
      <c r="T12" s="501"/>
      <c r="U12" s="501"/>
      <c r="V12" s="501"/>
      <c r="W12" s="501"/>
      <c r="X12" s="501"/>
      <c r="Y12" s="501"/>
      <c r="Z12" s="501"/>
      <c r="AA12" s="501"/>
      <c r="AB12" s="142"/>
      <c r="AC12" s="127" t="str">
        <f>IFERROR(VLOOKUP(AB12,参数表!$H$2:$I$50,2,FALSE),"")</f>
        <v/>
      </c>
      <c r="AD12" s="128" t="str">
        <f t="shared" si="2"/>
        <v/>
      </c>
      <c r="AE12" s="128" t="str">
        <f t="shared" si="3"/>
        <v/>
      </c>
      <c r="AF12" s="128" t="str">
        <f t="shared" si="4"/>
        <v/>
      </c>
      <c r="AG12" s="143"/>
      <c r="AH12" s="143"/>
      <c r="AI12" s="143"/>
      <c r="AJ12" s="144"/>
      <c r="AK12" s="144"/>
      <c r="AL12" s="129" t="str">
        <f t="shared" si="5"/>
        <v/>
      </c>
      <c r="AM12" s="129" t="str">
        <f t="shared" si="6"/>
        <v/>
      </c>
      <c r="AN12" s="129" t="str">
        <f t="shared" si="7"/>
        <v/>
      </c>
      <c r="AO12" s="129" t="str">
        <f t="shared" si="8"/>
        <v/>
      </c>
      <c r="AP12" s="129" t="str">
        <f t="shared" si="9"/>
        <v/>
      </c>
      <c r="AQ12" s="145"/>
      <c r="BA12" s="78"/>
      <c r="BB12" s="132" t="s">
        <v>3799</v>
      </c>
      <c r="BC12" s="133"/>
      <c r="BD12" s="132" t="str">
        <f>IF(OR(F12="",BC12=""),"",COUNTIF(BC$9:BC12,"√"))</f>
        <v/>
      </c>
      <c r="BE12" s="134" t="str">
        <f t="shared" si="0"/>
        <v/>
      </c>
      <c r="BF12" s="135" t="str">
        <f t="shared" si="10"/>
        <v/>
      </c>
      <c r="BG12" s="135" t="str">
        <f t="shared" si="10"/>
        <v/>
      </c>
      <c r="BH12" s="136"/>
      <c r="BI12" s="136"/>
      <c r="BJ12" s="136"/>
      <c r="BK12" s="136"/>
      <c r="BL12" s="136"/>
      <c r="BM12" s="137"/>
      <c r="BN12" s="136"/>
      <c r="BO12" s="137"/>
      <c r="BR12" s="134" t="str">
        <f>IF(COUNTIF(BR$7:BR11,K12)&gt;0,"",K12)&amp;""</f>
        <v/>
      </c>
      <c r="BS12" s="138">
        <f t="shared" si="11"/>
        <v>0</v>
      </c>
      <c r="BT12" s="132">
        <f t="shared" si="12"/>
        <v>1</v>
      </c>
      <c r="BU12" s="138">
        <f t="shared" si="13"/>
        <v>0</v>
      </c>
      <c r="BV12" s="132">
        <f t="shared" si="14"/>
        <v>1</v>
      </c>
      <c r="BW12" s="132">
        <v>3</v>
      </c>
      <c r="BX12" s="134" t="str">
        <f t="shared" si="15"/>
        <v/>
      </c>
      <c r="BY12" s="146" t="str">
        <f t="shared" si="16"/>
        <v/>
      </c>
    </row>
    <row r="13" ht="15" customHeight="1" spans="1:77">
      <c r="A13" s="123" t="str">
        <f>IF(F13="","",COUNT(A$7:A12)+1)</f>
        <v/>
      </c>
      <c r="B13" s="141"/>
      <c r="C13" s="141"/>
      <c r="D13" s="141"/>
      <c r="E13" s="141"/>
      <c r="F13" s="139"/>
      <c r="G13" s="139"/>
      <c r="H13" s="139"/>
      <c r="I13" s="140"/>
      <c r="J13" s="141"/>
      <c r="K13" s="141"/>
      <c r="L13" s="140"/>
      <c r="M13" s="141"/>
      <c r="N13" s="501"/>
      <c r="O13" s="501"/>
      <c r="P13" s="501"/>
      <c r="Q13" s="501"/>
      <c r="R13" s="501"/>
      <c r="S13" s="501"/>
      <c r="T13" s="501"/>
      <c r="U13" s="501"/>
      <c r="V13" s="501"/>
      <c r="W13" s="501"/>
      <c r="X13" s="501"/>
      <c r="Y13" s="501"/>
      <c r="Z13" s="501"/>
      <c r="AA13" s="501"/>
      <c r="AB13" s="142"/>
      <c r="AC13" s="127" t="str">
        <f>IFERROR(VLOOKUP(AB13,参数表!$H$2:$I$50,2,FALSE),"")</f>
        <v/>
      </c>
      <c r="AD13" s="128" t="str">
        <f t="shared" si="2"/>
        <v/>
      </c>
      <c r="AE13" s="128" t="str">
        <f t="shared" si="3"/>
        <v/>
      </c>
      <c r="AF13" s="128" t="str">
        <f t="shared" si="4"/>
        <v/>
      </c>
      <c r="AG13" s="143"/>
      <c r="AH13" s="143"/>
      <c r="AI13" s="143"/>
      <c r="AJ13" s="144"/>
      <c r="AK13" s="144"/>
      <c r="AL13" s="129" t="str">
        <f t="shared" si="5"/>
        <v/>
      </c>
      <c r="AM13" s="129" t="str">
        <f t="shared" si="6"/>
        <v/>
      </c>
      <c r="AN13" s="129" t="str">
        <f t="shared" si="7"/>
        <v/>
      </c>
      <c r="AO13" s="129" t="str">
        <f t="shared" si="8"/>
        <v/>
      </c>
      <c r="AP13" s="129" t="str">
        <f t="shared" si="9"/>
        <v/>
      </c>
      <c r="AQ13" s="145"/>
      <c r="BA13" s="78"/>
      <c r="BB13" s="132" t="s">
        <v>3800</v>
      </c>
      <c r="BC13" s="133"/>
      <c r="BD13" s="132" t="str">
        <f>IF(OR(F13="",BC13=""),"",COUNTIF(BC$9:BC13,"√"))</f>
        <v/>
      </c>
      <c r="BE13" s="134" t="str">
        <f t="shared" si="0"/>
        <v/>
      </c>
      <c r="BF13" s="135" t="str">
        <f t="shared" si="10"/>
        <v/>
      </c>
      <c r="BG13" s="135" t="str">
        <f t="shared" si="10"/>
        <v/>
      </c>
      <c r="BH13" s="136"/>
      <c r="BI13" s="136"/>
      <c r="BJ13" s="136"/>
      <c r="BK13" s="136"/>
      <c r="BL13" s="136"/>
      <c r="BM13" s="137"/>
      <c r="BN13" s="136"/>
      <c r="BO13" s="137"/>
      <c r="BR13" s="134" t="str">
        <f>IF(COUNTIF(BR$7:BR12,K13)&gt;0,"",K13)&amp;""</f>
        <v/>
      </c>
      <c r="BS13" s="138">
        <f t="shared" si="11"/>
        <v>0</v>
      </c>
      <c r="BT13" s="132">
        <f t="shared" si="12"/>
        <v>1</v>
      </c>
      <c r="BU13" s="138">
        <f t="shared" si="13"/>
        <v>0</v>
      </c>
      <c r="BV13" s="132">
        <f t="shared" si="14"/>
        <v>1</v>
      </c>
      <c r="BW13" s="132">
        <v>4</v>
      </c>
      <c r="BX13" s="134" t="str">
        <f t="shared" si="15"/>
        <v/>
      </c>
      <c r="BY13" s="146" t="str">
        <f>IF(BX14="","","和")</f>
        <v/>
      </c>
    </row>
    <row r="14" ht="15" customHeight="1" spans="1:77">
      <c r="A14" s="123" t="str">
        <f>IF(F14="","",COUNT(A$7:A13)+1)</f>
        <v/>
      </c>
      <c r="B14" s="141"/>
      <c r="C14" s="141"/>
      <c r="D14" s="141"/>
      <c r="E14" s="141"/>
      <c r="F14" s="139"/>
      <c r="G14" s="139"/>
      <c r="H14" s="139"/>
      <c r="I14" s="140"/>
      <c r="J14" s="141"/>
      <c r="K14" s="141"/>
      <c r="L14" s="140"/>
      <c r="M14" s="141"/>
      <c r="N14" s="501"/>
      <c r="O14" s="501"/>
      <c r="P14" s="501"/>
      <c r="Q14" s="501"/>
      <c r="R14" s="501"/>
      <c r="S14" s="501"/>
      <c r="T14" s="501"/>
      <c r="U14" s="501"/>
      <c r="V14" s="501"/>
      <c r="W14" s="501"/>
      <c r="X14" s="501"/>
      <c r="Y14" s="501"/>
      <c r="Z14" s="501"/>
      <c r="AA14" s="501"/>
      <c r="AB14" s="142"/>
      <c r="AC14" s="127" t="str">
        <f>IFERROR(VLOOKUP(AB14,参数表!$H$2:$I$50,2,FALSE),"")</f>
        <v/>
      </c>
      <c r="AD14" s="128" t="str">
        <f t="shared" si="2"/>
        <v/>
      </c>
      <c r="AE14" s="128" t="str">
        <f t="shared" si="3"/>
        <v/>
      </c>
      <c r="AF14" s="128" t="str">
        <f t="shared" si="4"/>
        <v/>
      </c>
      <c r="AG14" s="143"/>
      <c r="AH14" s="143"/>
      <c r="AI14" s="143"/>
      <c r="AJ14" s="144"/>
      <c r="AK14" s="144"/>
      <c r="AL14" s="129" t="str">
        <f t="shared" si="5"/>
        <v/>
      </c>
      <c r="AM14" s="129" t="str">
        <f t="shared" si="6"/>
        <v/>
      </c>
      <c r="AN14" s="129" t="str">
        <f t="shared" si="7"/>
        <v/>
      </c>
      <c r="AO14" s="129" t="str">
        <f t="shared" si="8"/>
        <v/>
      </c>
      <c r="AP14" s="129" t="str">
        <f t="shared" si="9"/>
        <v/>
      </c>
      <c r="AQ14" s="145"/>
      <c r="BA14" s="78"/>
      <c r="BB14" s="132" t="s">
        <v>3801</v>
      </c>
      <c r="BC14" s="133"/>
      <c r="BD14" s="132" t="str">
        <f>IF(OR(F14="",BC14=""),"",COUNTIF(BC$9:BC14,"√"))</f>
        <v/>
      </c>
      <c r="BE14" s="134" t="str">
        <f t="shared" si="0"/>
        <v/>
      </c>
      <c r="BF14" s="135" t="str">
        <f t="shared" si="10"/>
        <v/>
      </c>
      <c r="BG14" s="135" t="str">
        <f t="shared" si="10"/>
        <v/>
      </c>
      <c r="BH14" s="136"/>
      <c r="BI14" s="136"/>
      <c r="BJ14" s="136"/>
      <c r="BK14" s="136"/>
      <c r="BL14" s="136"/>
      <c r="BM14" s="137"/>
      <c r="BN14" s="136"/>
      <c r="BO14" s="137"/>
      <c r="BR14" s="134" t="str">
        <f>IF(COUNTIF(BR$7:BR13,K14)&gt;0,"",K14)&amp;""</f>
        <v/>
      </c>
      <c r="BS14" s="138">
        <f t="shared" si="11"/>
        <v>0</v>
      </c>
      <c r="BT14" s="132">
        <f t="shared" si="12"/>
        <v>1</v>
      </c>
      <c r="BU14" s="138">
        <f t="shared" si="13"/>
        <v>0</v>
      </c>
      <c r="BV14" s="132">
        <f t="shared" si="14"/>
        <v>1</v>
      </c>
      <c r="BW14" s="132">
        <v>5</v>
      </c>
      <c r="BX14" s="134" t="str">
        <f t="shared" si="15"/>
        <v/>
      </c>
      <c r="BY14" s="146"/>
    </row>
    <row r="15" ht="15" customHeight="1" spans="1:77">
      <c r="A15" s="123" t="str">
        <f>IF(F15="","",COUNT(A$7:A14)+1)</f>
        <v/>
      </c>
      <c r="B15" s="141"/>
      <c r="C15" s="141"/>
      <c r="D15" s="141"/>
      <c r="E15" s="141"/>
      <c r="F15" s="139"/>
      <c r="G15" s="139"/>
      <c r="H15" s="139"/>
      <c r="I15" s="140"/>
      <c r="J15" s="141"/>
      <c r="K15" s="141"/>
      <c r="L15" s="140"/>
      <c r="M15" s="141"/>
      <c r="N15" s="501"/>
      <c r="O15" s="501"/>
      <c r="P15" s="501"/>
      <c r="Q15" s="501"/>
      <c r="R15" s="501"/>
      <c r="S15" s="501"/>
      <c r="T15" s="501"/>
      <c r="U15" s="501"/>
      <c r="V15" s="501"/>
      <c r="W15" s="501"/>
      <c r="X15" s="501"/>
      <c r="Y15" s="501"/>
      <c r="Z15" s="501"/>
      <c r="AA15" s="501"/>
      <c r="AB15" s="142"/>
      <c r="AC15" s="127" t="str">
        <f>IFERROR(VLOOKUP(AB15,参数表!$H$2:$I$50,2,FALSE),"")</f>
        <v/>
      </c>
      <c r="AD15" s="128" t="str">
        <f t="shared" si="2"/>
        <v/>
      </c>
      <c r="AE15" s="128" t="str">
        <f t="shared" si="3"/>
        <v/>
      </c>
      <c r="AF15" s="128" t="str">
        <f t="shared" si="4"/>
        <v/>
      </c>
      <c r="AG15" s="143"/>
      <c r="AH15" s="143"/>
      <c r="AI15" s="143"/>
      <c r="AJ15" s="144"/>
      <c r="AK15" s="144"/>
      <c r="AL15" s="129" t="str">
        <f t="shared" si="5"/>
        <v/>
      </c>
      <c r="AM15" s="129" t="str">
        <f t="shared" si="6"/>
        <v/>
      </c>
      <c r="AN15" s="129" t="str">
        <f t="shared" si="7"/>
        <v/>
      </c>
      <c r="AO15" s="129" t="str">
        <f t="shared" si="8"/>
        <v/>
      </c>
      <c r="AP15" s="129" t="str">
        <f t="shared" si="9"/>
        <v/>
      </c>
      <c r="AQ15" s="145"/>
      <c r="BA15" s="78"/>
      <c r="BB15" s="132" t="s">
        <v>3802</v>
      </c>
      <c r="BC15" s="133"/>
      <c r="BD15" s="132" t="str">
        <f>IF(OR(F15="",BC15=""),"",COUNTIF(BC$9:BC15,"√"))</f>
        <v/>
      </c>
      <c r="BE15" s="134" t="str">
        <f t="shared" si="0"/>
        <v/>
      </c>
      <c r="BF15" s="135" t="str">
        <f t="shared" si="10"/>
        <v/>
      </c>
      <c r="BG15" s="135" t="str">
        <f t="shared" si="10"/>
        <v/>
      </c>
      <c r="BH15" s="136"/>
      <c r="BI15" s="136"/>
      <c r="BJ15" s="136"/>
      <c r="BK15" s="136"/>
      <c r="BL15" s="136"/>
      <c r="BM15" s="137"/>
      <c r="BN15" s="136"/>
      <c r="BO15" s="137"/>
      <c r="BR15" s="134" t="str">
        <f>IF(COUNTIF(BR$7:BR14,K15)&gt;0,"",K15)&amp;""</f>
        <v/>
      </c>
      <c r="BS15" s="138">
        <f t="shared" si="11"/>
        <v>0</v>
      </c>
      <c r="BT15" s="132">
        <f t="shared" si="12"/>
        <v>1</v>
      </c>
      <c r="BU15" s="138">
        <f t="shared" si="13"/>
        <v>0</v>
      </c>
      <c r="BV15" s="132">
        <f t="shared" si="14"/>
        <v>1</v>
      </c>
      <c r="BW15" s="147" t="s">
        <v>1659</v>
      </c>
      <c r="BX15" s="132" t="str">
        <f>CONCATENATE(BX10,BY10,BX11,BY11,BX12,BY12,BX13,BY13,BX14)</f>
        <v/>
      </c>
      <c r="BY15" s="132"/>
    </row>
    <row r="16" ht="15" customHeight="1" spans="1:77">
      <c r="A16" s="123" t="str">
        <f>IF(F16="","",COUNT(A$7:A15)+1)</f>
        <v/>
      </c>
      <c r="B16" s="141"/>
      <c r="C16" s="141"/>
      <c r="D16" s="141"/>
      <c r="E16" s="141"/>
      <c r="F16" s="139"/>
      <c r="G16" s="139"/>
      <c r="H16" s="139"/>
      <c r="I16" s="140"/>
      <c r="J16" s="141"/>
      <c r="K16" s="141"/>
      <c r="L16" s="140"/>
      <c r="M16" s="141"/>
      <c r="N16" s="501"/>
      <c r="O16" s="501"/>
      <c r="P16" s="501"/>
      <c r="Q16" s="501"/>
      <c r="R16" s="501"/>
      <c r="S16" s="501"/>
      <c r="T16" s="501"/>
      <c r="U16" s="501"/>
      <c r="V16" s="501"/>
      <c r="W16" s="501"/>
      <c r="X16" s="501"/>
      <c r="Y16" s="501"/>
      <c r="Z16" s="501"/>
      <c r="AA16" s="501"/>
      <c r="AB16" s="142"/>
      <c r="AC16" s="127" t="str">
        <f>IFERROR(VLOOKUP(AB16,参数表!$H$2:$I$50,2,FALSE),"")</f>
        <v/>
      </c>
      <c r="AD16" s="128" t="str">
        <f t="shared" si="2"/>
        <v/>
      </c>
      <c r="AE16" s="128" t="str">
        <f t="shared" si="3"/>
        <v/>
      </c>
      <c r="AF16" s="128" t="str">
        <f t="shared" si="4"/>
        <v/>
      </c>
      <c r="AG16" s="143"/>
      <c r="AH16" s="143"/>
      <c r="AI16" s="143"/>
      <c r="AJ16" s="144"/>
      <c r="AK16" s="144"/>
      <c r="AL16" s="129" t="str">
        <f t="shared" si="5"/>
        <v/>
      </c>
      <c r="AM16" s="129" t="str">
        <f t="shared" si="6"/>
        <v/>
      </c>
      <c r="AN16" s="129" t="str">
        <f t="shared" si="7"/>
        <v/>
      </c>
      <c r="AO16" s="129" t="str">
        <f t="shared" si="8"/>
        <v/>
      </c>
      <c r="AP16" s="129" t="str">
        <f t="shared" si="9"/>
        <v/>
      </c>
      <c r="AQ16" s="145"/>
      <c r="BA16" s="78"/>
      <c r="BB16" s="132" t="s">
        <v>3803</v>
      </c>
      <c r="BC16" s="133"/>
      <c r="BD16" s="132" t="str">
        <f>IF(OR(F16="",BC16=""),"",COUNTIF(BC$9:BC16,"√"))</f>
        <v/>
      </c>
      <c r="BE16" s="134" t="str">
        <f t="shared" si="0"/>
        <v/>
      </c>
      <c r="BF16" s="135" t="str">
        <f t="shared" si="10"/>
        <v/>
      </c>
      <c r="BG16" s="135" t="str">
        <f t="shared" si="10"/>
        <v/>
      </c>
      <c r="BH16" s="136"/>
      <c r="BI16" s="136"/>
      <c r="BJ16" s="136"/>
      <c r="BK16" s="136"/>
      <c r="BL16" s="136"/>
      <c r="BM16" s="137"/>
      <c r="BN16" s="136"/>
      <c r="BO16" s="137"/>
      <c r="BR16" s="134" t="str">
        <f>IF(COUNTIF(BR$7:BR15,K16)&gt;0,"",K16)&amp;""</f>
        <v/>
      </c>
      <c r="BS16" s="138">
        <f t="shared" si="11"/>
        <v>0</v>
      </c>
      <c r="BT16" s="132">
        <f t="shared" si="12"/>
        <v>1</v>
      </c>
      <c r="BU16" s="138">
        <f t="shared" si="13"/>
        <v>0</v>
      </c>
      <c r="BV16" s="132">
        <f t="shared" si="14"/>
        <v>1</v>
      </c>
      <c r="BW16" s="133"/>
      <c r="BX16" s="133"/>
    </row>
    <row r="17" ht="15" customHeight="1" spans="1:77">
      <c r="A17" s="123" t="str">
        <f>IF(F17="","",COUNT(A$7:A16)+1)</f>
        <v/>
      </c>
      <c r="B17" s="141"/>
      <c r="C17" s="141"/>
      <c r="D17" s="141"/>
      <c r="E17" s="141"/>
      <c r="F17" s="139"/>
      <c r="G17" s="139"/>
      <c r="H17" s="139"/>
      <c r="I17" s="140"/>
      <c r="J17" s="141"/>
      <c r="K17" s="141"/>
      <c r="L17" s="140"/>
      <c r="M17" s="141"/>
      <c r="N17" s="501"/>
      <c r="O17" s="501"/>
      <c r="P17" s="501"/>
      <c r="Q17" s="501"/>
      <c r="R17" s="501"/>
      <c r="S17" s="501"/>
      <c r="T17" s="501"/>
      <c r="U17" s="501"/>
      <c r="V17" s="501"/>
      <c r="W17" s="501"/>
      <c r="X17" s="501"/>
      <c r="Y17" s="501"/>
      <c r="Z17" s="501"/>
      <c r="AA17" s="501"/>
      <c r="AB17" s="142"/>
      <c r="AC17" s="127" t="str">
        <f>IFERROR(VLOOKUP(AB17,参数表!$H$2:$I$50,2,FALSE),"")</f>
        <v/>
      </c>
      <c r="AD17" s="128" t="str">
        <f t="shared" si="2"/>
        <v/>
      </c>
      <c r="AE17" s="128" t="str">
        <f t="shared" si="3"/>
        <v/>
      </c>
      <c r="AF17" s="128" t="str">
        <f t="shared" si="4"/>
        <v/>
      </c>
      <c r="AG17" s="143"/>
      <c r="AH17" s="143"/>
      <c r="AI17" s="143"/>
      <c r="AJ17" s="144"/>
      <c r="AK17" s="144"/>
      <c r="AL17" s="129" t="str">
        <f t="shared" si="5"/>
        <v/>
      </c>
      <c r="AM17" s="129" t="str">
        <f t="shared" si="6"/>
        <v/>
      </c>
      <c r="AN17" s="129" t="str">
        <f t="shared" si="7"/>
        <v/>
      </c>
      <c r="AO17" s="129" t="str">
        <f t="shared" si="8"/>
        <v/>
      </c>
      <c r="AP17" s="129" t="str">
        <f t="shared" si="9"/>
        <v/>
      </c>
      <c r="AQ17" s="145"/>
      <c r="BA17" s="78"/>
      <c r="BB17" s="132" t="s">
        <v>3804</v>
      </c>
      <c r="BC17" s="133"/>
      <c r="BD17" s="132" t="str">
        <f>IF(OR(F17="",BC17=""),"",COUNTIF(BC$9:BC17,"√"))</f>
        <v/>
      </c>
      <c r="BE17" s="134" t="str">
        <f t="shared" si="0"/>
        <v/>
      </c>
      <c r="BF17" s="135" t="str">
        <f t="shared" si="10"/>
        <v/>
      </c>
      <c r="BG17" s="135" t="str">
        <f t="shared" si="10"/>
        <v/>
      </c>
      <c r="BH17" s="136"/>
      <c r="BI17" s="136"/>
      <c r="BJ17" s="136"/>
      <c r="BK17" s="136"/>
      <c r="BL17" s="136"/>
      <c r="BM17" s="137"/>
      <c r="BN17" s="136"/>
      <c r="BO17" s="137"/>
      <c r="BR17" s="134" t="str">
        <f>IF(COUNTIF(BR$7:BR16,K17)&gt;0,"",K17)&amp;""</f>
        <v/>
      </c>
      <c r="BS17" s="138">
        <f t="shared" si="11"/>
        <v>0</v>
      </c>
      <c r="BT17" s="132">
        <f t="shared" si="12"/>
        <v>1</v>
      </c>
      <c r="BU17" s="138">
        <f t="shared" si="13"/>
        <v>0</v>
      </c>
      <c r="BV17" s="132">
        <f t="shared" si="14"/>
        <v>1</v>
      </c>
      <c r="BW17" s="133"/>
      <c r="BX17" s="148"/>
    </row>
    <row r="18" ht="15" customHeight="1" spans="1:77">
      <c r="A18" s="123" t="str">
        <f>IF(F18="","",COUNT(A$7:A17)+1)</f>
        <v/>
      </c>
      <c r="B18" s="141"/>
      <c r="C18" s="141"/>
      <c r="D18" s="141"/>
      <c r="E18" s="141"/>
      <c r="F18" s="139"/>
      <c r="G18" s="139"/>
      <c r="H18" s="139"/>
      <c r="I18" s="140"/>
      <c r="J18" s="141"/>
      <c r="K18" s="141"/>
      <c r="L18" s="140"/>
      <c r="M18" s="141"/>
      <c r="N18" s="501"/>
      <c r="O18" s="501"/>
      <c r="P18" s="501"/>
      <c r="Q18" s="501"/>
      <c r="R18" s="501"/>
      <c r="S18" s="501"/>
      <c r="T18" s="501"/>
      <c r="U18" s="501"/>
      <c r="V18" s="501"/>
      <c r="W18" s="501"/>
      <c r="X18" s="501"/>
      <c r="Y18" s="501"/>
      <c r="Z18" s="501"/>
      <c r="AA18" s="501"/>
      <c r="AB18" s="142"/>
      <c r="AC18" s="127" t="str">
        <f>IFERROR(VLOOKUP(AB18,参数表!$H$2:$I$50,2,FALSE),"")</f>
        <v/>
      </c>
      <c r="AD18" s="128" t="str">
        <f t="shared" si="2"/>
        <v/>
      </c>
      <c r="AE18" s="128" t="str">
        <f t="shared" si="3"/>
        <v/>
      </c>
      <c r="AF18" s="128" t="str">
        <f t="shared" si="4"/>
        <v/>
      </c>
      <c r="AG18" s="143"/>
      <c r="AH18" s="143"/>
      <c r="AI18" s="143"/>
      <c r="AJ18" s="144"/>
      <c r="AK18" s="144"/>
      <c r="AL18" s="129" t="str">
        <f t="shared" si="5"/>
        <v/>
      </c>
      <c r="AM18" s="129" t="str">
        <f t="shared" si="6"/>
        <v/>
      </c>
      <c r="AN18" s="129" t="str">
        <f t="shared" si="7"/>
        <v/>
      </c>
      <c r="AO18" s="129" t="str">
        <f t="shared" si="8"/>
        <v/>
      </c>
      <c r="AP18" s="129" t="str">
        <f t="shared" si="9"/>
        <v/>
      </c>
      <c r="AQ18" s="145"/>
      <c r="BA18" s="78"/>
      <c r="BB18" s="132" t="s">
        <v>3805</v>
      </c>
      <c r="BC18" s="133"/>
      <c r="BD18" s="132" t="str">
        <f>IF(OR(F18="",BC18=""),"",COUNTIF(BC$9:BC18,"√"))</f>
        <v/>
      </c>
      <c r="BE18" s="134" t="str">
        <f t="shared" si="0"/>
        <v/>
      </c>
      <c r="BF18" s="135" t="str">
        <f t="shared" si="10"/>
        <v/>
      </c>
      <c r="BG18" s="135" t="str">
        <f t="shared" si="10"/>
        <v/>
      </c>
      <c r="BH18" s="136"/>
      <c r="BI18" s="136"/>
      <c r="BJ18" s="136"/>
      <c r="BK18" s="136"/>
      <c r="BL18" s="136"/>
      <c r="BM18" s="137"/>
      <c r="BN18" s="136"/>
      <c r="BO18" s="137"/>
      <c r="BR18" s="134" t="str">
        <f>IF(COUNTIF(BR$7:BR17,K18)&gt;0,"",K18)&amp;""</f>
        <v/>
      </c>
      <c r="BS18" s="138">
        <f t="shared" si="11"/>
        <v>0</v>
      </c>
      <c r="BT18" s="132">
        <f t="shared" si="12"/>
        <v>1</v>
      </c>
      <c r="BU18" s="138">
        <f t="shared" si="13"/>
        <v>0</v>
      </c>
      <c r="BV18" s="132">
        <f t="shared" si="14"/>
        <v>1</v>
      </c>
      <c r="BW18" s="133"/>
      <c r="BX18" s="133"/>
    </row>
    <row r="19" ht="15" customHeight="1" spans="1:77">
      <c r="A19" s="123" t="str">
        <f>IF(F19="","",COUNT(A$7:A18)+1)</f>
        <v/>
      </c>
      <c r="B19" s="141"/>
      <c r="C19" s="141"/>
      <c r="D19" s="141"/>
      <c r="E19" s="141"/>
      <c r="F19" s="139"/>
      <c r="G19" s="139"/>
      <c r="H19" s="139"/>
      <c r="I19" s="140"/>
      <c r="J19" s="141"/>
      <c r="K19" s="141"/>
      <c r="L19" s="140"/>
      <c r="M19" s="141"/>
      <c r="N19" s="501"/>
      <c r="O19" s="501"/>
      <c r="P19" s="501"/>
      <c r="Q19" s="501"/>
      <c r="R19" s="501"/>
      <c r="S19" s="501"/>
      <c r="T19" s="501"/>
      <c r="U19" s="501"/>
      <c r="V19" s="501"/>
      <c r="W19" s="501"/>
      <c r="X19" s="501"/>
      <c r="Y19" s="501"/>
      <c r="Z19" s="501"/>
      <c r="AA19" s="501"/>
      <c r="AB19" s="142"/>
      <c r="AC19" s="127" t="str">
        <f>IFERROR(VLOOKUP(AB19,参数表!$H$2:$I$50,2,FALSE),"")</f>
        <v/>
      </c>
      <c r="AD19" s="128" t="str">
        <f t="shared" si="2"/>
        <v/>
      </c>
      <c r="AE19" s="128" t="str">
        <f t="shared" si="3"/>
        <v/>
      </c>
      <c r="AF19" s="128" t="str">
        <f t="shared" si="4"/>
        <v/>
      </c>
      <c r="AG19" s="143"/>
      <c r="AH19" s="143"/>
      <c r="AI19" s="143"/>
      <c r="AJ19" s="144"/>
      <c r="AK19" s="144"/>
      <c r="AL19" s="129" t="str">
        <f t="shared" si="5"/>
        <v/>
      </c>
      <c r="AM19" s="129" t="str">
        <f t="shared" si="6"/>
        <v/>
      </c>
      <c r="AN19" s="129" t="str">
        <f t="shared" si="7"/>
        <v/>
      </c>
      <c r="AO19" s="129" t="str">
        <f t="shared" si="8"/>
        <v/>
      </c>
      <c r="AP19" s="129" t="str">
        <f t="shared" si="9"/>
        <v/>
      </c>
      <c r="AQ19" s="145"/>
      <c r="BA19" s="78"/>
      <c r="BB19" s="132" t="s">
        <v>3806</v>
      </c>
      <c r="BC19" s="133"/>
      <c r="BD19" s="132" t="str">
        <f>IF(OR(F19="",BC19=""),"",COUNTIF(BC$9:BC19,"√"))</f>
        <v/>
      </c>
      <c r="BE19" s="134" t="str">
        <f t="shared" si="0"/>
        <v/>
      </c>
      <c r="BF19" s="135" t="str">
        <f t="shared" si="10"/>
        <v/>
      </c>
      <c r="BG19" s="135" t="str">
        <f t="shared" si="10"/>
        <v/>
      </c>
      <c r="BH19" s="136"/>
      <c r="BI19" s="136"/>
      <c r="BJ19" s="136"/>
      <c r="BK19" s="136"/>
      <c r="BL19" s="136"/>
      <c r="BM19" s="137"/>
      <c r="BN19" s="136"/>
      <c r="BO19" s="137"/>
      <c r="BR19" s="134" t="str">
        <f>IF(COUNTIF(BR$7:BR18,K19)&gt;0,"",K19)&amp;""</f>
        <v/>
      </c>
      <c r="BS19" s="138">
        <f t="shared" si="11"/>
        <v>0</v>
      </c>
      <c r="BT19" s="132">
        <f t="shared" si="12"/>
        <v>1</v>
      </c>
      <c r="BU19" s="138">
        <f t="shared" si="13"/>
        <v>0</v>
      </c>
      <c r="BV19" s="132">
        <f t="shared" si="14"/>
        <v>1</v>
      </c>
      <c r="BW19" s="133"/>
      <c r="BX19" s="133"/>
    </row>
    <row r="20" ht="15" customHeight="1" spans="1:77">
      <c r="A20" s="123" t="str">
        <f>IF(F20="","",COUNT(A$7:A19)+1)</f>
        <v/>
      </c>
      <c r="B20" s="141"/>
      <c r="C20" s="141"/>
      <c r="D20" s="141"/>
      <c r="E20" s="141"/>
      <c r="F20" s="139"/>
      <c r="G20" s="139"/>
      <c r="H20" s="139"/>
      <c r="I20" s="140"/>
      <c r="J20" s="141"/>
      <c r="K20" s="141"/>
      <c r="L20" s="140"/>
      <c r="M20" s="141"/>
      <c r="N20" s="501"/>
      <c r="O20" s="501"/>
      <c r="P20" s="501"/>
      <c r="Q20" s="501"/>
      <c r="R20" s="501"/>
      <c r="S20" s="501"/>
      <c r="T20" s="501"/>
      <c r="U20" s="501"/>
      <c r="V20" s="501"/>
      <c r="W20" s="501"/>
      <c r="X20" s="501"/>
      <c r="Y20" s="501"/>
      <c r="Z20" s="501"/>
      <c r="AA20" s="501"/>
      <c r="AB20" s="142"/>
      <c r="AC20" s="127" t="str">
        <f>IFERROR(VLOOKUP(AB20,参数表!$H$2:$I$50,2,FALSE),"")</f>
        <v/>
      </c>
      <c r="AD20" s="128" t="str">
        <f t="shared" si="2"/>
        <v/>
      </c>
      <c r="AE20" s="128" t="str">
        <f t="shared" si="3"/>
        <v/>
      </c>
      <c r="AF20" s="128" t="str">
        <f t="shared" si="4"/>
        <v/>
      </c>
      <c r="AG20" s="143"/>
      <c r="AH20" s="143"/>
      <c r="AI20" s="143"/>
      <c r="AJ20" s="144"/>
      <c r="AK20" s="144"/>
      <c r="AL20" s="129" t="str">
        <f t="shared" si="5"/>
        <v/>
      </c>
      <c r="AM20" s="129" t="str">
        <f t="shared" si="6"/>
        <v/>
      </c>
      <c r="AN20" s="129" t="str">
        <f t="shared" si="7"/>
        <v/>
      </c>
      <c r="AO20" s="129" t="str">
        <f t="shared" si="8"/>
        <v/>
      </c>
      <c r="AP20" s="129" t="str">
        <f t="shared" si="9"/>
        <v/>
      </c>
      <c r="AQ20" s="145"/>
      <c r="BA20" s="78"/>
      <c r="BB20" s="132" t="s">
        <v>3807</v>
      </c>
      <c r="BC20" s="133"/>
      <c r="BD20" s="132" t="str">
        <f>IF(OR(F20="",BC20=""),"",COUNTIF(BC$9:BC20,"√"))</f>
        <v/>
      </c>
      <c r="BE20" s="134" t="str">
        <f t="shared" si="0"/>
        <v/>
      </c>
      <c r="BF20" s="135" t="str">
        <f t="shared" si="10"/>
        <v/>
      </c>
      <c r="BG20" s="135" t="str">
        <f t="shared" si="10"/>
        <v/>
      </c>
      <c r="BH20" s="136"/>
      <c r="BI20" s="136"/>
      <c r="BJ20" s="136"/>
      <c r="BK20" s="136"/>
      <c r="BL20" s="136"/>
      <c r="BM20" s="137"/>
      <c r="BN20" s="136"/>
      <c r="BO20" s="137"/>
      <c r="BR20" s="134" t="str">
        <f>IF(COUNTIF(BR$7:BR19,K20)&gt;0,"",K20)&amp;""</f>
        <v/>
      </c>
      <c r="BS20" s="138">
        <f t="shared" si="11"/>
        <v>0</v>
      </c>
      <c r="BT20" s="132">
        <f t="shared" si="12"/>
        <v>1</v>
      </c>
      <c r="BU20" s="138">
        <f t="shared" si="13"/>
        <v>0</v>
      </c>
      <c r="BV20" s="132">
        <f t="shared" si="14"/>
        <v>1</v>
      </c>
      <c r="BW20" s="133"/>
      <c r="BX20" s="133"/>
    </row>
    <row r="21" ht="15" customHeight="1" spans="1:77">
      <c r="A21" s="123" t="str">
        <f>IF(F21="","",COUNT(A$7:A20)+1)</f>
        <v/>
      </c>
      <c r="B21" s="141"/>
      <c r="C21" s="141"/>
      <c r="D21" s="141"/>
      <c r="E21" s="141"/>
      <c r="F21" s="139"/>
      <c r="G21" s="139"/>
      <c r="H21" s="139"/>
      <c r="I21" s="140"/>
      <c r="J21" s="141"/>
      <c r="K21" s="141"/>
      <c r="L21" s="140"/>
      <c r="M21" s="141"/>
      <c r="N21" s="501"/>
      <c r="O21" s="501"/>
      <c r="P21" s="501"/>
      <c r="Q21" s="501"/>
      <c r="R21" s="501"/>
      <c r="S21" s="501"/>
      <c r="T21" s="501"/>
      <c r="U21" s="501"/>
      <c r="V21" s="501"/>
      <c r="W21" s="501"/>
      <c r="X21" s="501"/>
      <c r="Y21" s="501"/>
      <c r="Z21" s="501"/>
      <c r="AA21" s="501"/>
      <c r="AB21" s="142"/>
      <c r="AC21" s="127" t="str">
        <f>IFERROR(VLOOKUP(AB21,参数表!$H$2:$I$50,2,FALSE),"")</f>
        <v/>
      </c>
      <c r="AD21" s="128" t="str">
        <f t="shared" si="2"/>
        <v/>
      </c>
      <c r="AE21" s="128" t="str">
        <f t="shared" si="3"/>
        <v/>
      </c>
      <c r="AF21" s="128" t="str">
        <f t="shared" si="4"/>
        <v/>
      </c>
      <c r="AG21" s="143"/>
      <c r="AH21" s="143"/>
      <c r="AI21" s="143"/>
      <c r="AJ21" s="144"/>
      <c r="AK21" s="144"/>
      <c r="AL21" s="129" t="str">
        <f t="shared" si="5"/>
        <v/>
      </c>
      <c r="AM21" s="129" t="str">
        <f t="shared" si="6"/>
        <v/>
      </c>
      <c r="AN21" s="129" t="str">
        <f t="shared" si="7"/>
        <v/>
      </c>
      <c r="AO21" s="129" t="str">
        <f t="shared" si="8"/>
        <v/>
      </c>
      <c r="AP21" s="129" t="str">
        <f t="shared" si="9"/>
        <v/>
      </c>
      <c r="AQ21" s="145"/>
      <c r="BA21" s="78"/>
      <c r="BB21" s="132" t="s">
        <v>3808</v>
      </c>
      <c r="BC21" s="133"/>
      <c r="BD21" s="132" t="str">
        <f>IF(OR(F21="",BC21=""),"",COUNTIF(BC$9:BC21,"√"))</f>
        <v/>
      </c>
      <c r="BE21" s="134" t="str">
        <f t="shared" si="0"/>
        <v/>
      </c>
      <c r="BF21" s="135" t="str">
        <f t="shared" si="10"/>
        <v/>
      </c>
      <c r="BG21" s="135" t="str">
        <f t="shared" si="10"/>
        <v/>
      </c>
      <c r="BH21" s="136"/>
      <c r="BI21" s="136"/>
      <c r="BJ21" s="136"/>
      <c r="BK21" s="136"/>
      <c r="BL21" s="136"/>
      <c r="BM21" s="137"/>
      <c r="BN21" s="136"/>
      <c r="BO21" s="137"/>
      <c r="BR21" s="134" t="str">
        <f>IF(COUNTIF(BR$7:BR20,K21)&gt;0,"",K21)&amp;""</f>
        <v/>
      </c>
      <c r="BS21" s="138">
        <f t="shared" si="11"/>
        <v>0</v>
      </c>
      <c r="BT21" s="132">
        <f t="shared" si="12"/>
        <v>1</v>
      </c>
      <c r="BU21" s="138">
        <f t="shared" si="13"/>
        <v>0</v>
      </c>
      <c r="BV21" s="132">
        <f t="shared" si="14"/>
        <v>1</v>
      </c>
      <c r="BW21" s="133"/>
      <c r="BX21" s="133"/>
    </row>
    <row r="22" ht="15" customHeight="1" spans="1:77">
      <c r="A22" s="123" t="str">
        <f>IF(F22="","",COUNT(A$7:A21)+1)</f>
        <v/>
      </c>
      <c r="B22" s="141"/>
      <c r="C22" s="141"/>
      <c r="D22" s="141"/>
      <c r="E22" s="141"/>
      <c r="F22" s="139"/>
      <c r="G22" s="139"/>
      <c r="H22" s="139"/>
      <c r="I22" s="140"/>
      <c r="J22" s="141"/>
      <c r="K22" s="141"/>
      <c r="L22" s="140"/>
      <c r="M22" s="141"/>
      <c r="N22" s="501"/>
      <c r="O22" s="501"/>
      <c r="P22" s="501"/>
      <c r="Q22" s="501"/>
      <c r="R22" s="501"/>
      <c r="S22" s="501"/>
      <c r="T22" s="501"/>
      <c r="U22" s="501"/>
      <c r="V22" s="501"/>
      <c r="W22" s="501"/>
      <c r="X22" s="501"/>
      <c r="Y22" s="501"/>
      <c r="Z22" s="501"/>
      <c r="AA22" s="501"/>
      <c r="AB22" s="142"/>
      <c r="AC22" s="127" t="str">
        <f>IFERROR(VLOOKUP(AB22,参数表!$H$2:$I$50,2,FALSE),"")</f>
        <v/>
      </c>
      <c r="AD22" s="128" t="str">
        <f t="shared" si="2"/>
        <v/>
      </c>
      <c r="AE22" s="128" t="str">
        <f t="shared" si="3"/>
        <v/>
      </c>
      <c r="AF22" s="128" t="str">
        <f t="shared" si="4"/>
        <v/>
      </c>
      <c r="AG22" s="143"/>
      <c r="AH22" s="143"/>
      <c r="AI22" s="143"/>
      <c r="AJ22" s="144"/>
      <c r="AK22" s="144"/>
      <c r="AL22" s="129" t="str">
        <f t="shared" si="5"/>
        <v/>
      </c>
      <c r="AM22" s="129" t="str">
        <f t="shared" si="6"/>
        <v/>
      </c>
      <c r="AN22" s="129" t="str">
        <f t="shared" si="7"/>
        <v/>
      </c>
      <c r="AO22" s="129" t="str">
        <f t="shared" si="8"/>
        <v/>
      </c>
      <c r="AP22" s="129" t="str">
        <f t="shared" si="9"/>
        <v/>
      </c>
      <c r="AQ22" s="145"/>
      <c r="BA22" s="78"/>
      <c r="BB22" s="132" t="s">
        <v>3809</v>
      </c>
      <c r="BC22" s="133"/>
      <c r="BD22" s="132" t="str">
        <f>IF(OR(F22="",BC22=""),"",COUNTIF(BC$9:BC22,"√"))</f>
        <v/>
      </c>
      <c r="BE22" s="134" t="str">
        <f t="shared" si="0"/>
        <v/>
      </c>
      <c r="BF22" s="135" t="str">
        <f t="shared" si="10"/>
        <v/>
      </c>
      <c r="BG22" s="135" t="str">
        <f t="shared" si="10"/>
        <v/>
      </c>
      <c r="BH22" s="136"/>
      <c r="BI22" s="136"/>
      <c r="BJ22" s="136"/>
      <c r="BK22" s="136"/>
      <c r="BL22" s="136"/>
      <c r="BM22" s="137"/>
      <c r="BN22" s="136"/>
      <c r="BO22" s="137"/>
      <c r="BR22" s="134" t="str">
        <f>IF(COUNTIF(BR$7:BR21,K22)&gt;0,"",K22)&amp;""</f>
        <v/>
      </c>
      <c r="BS22" s="138">
        <f t="shared" si="11"/>
        <v>0</v>
      </c>
      <c r="BT22" s="132">
        <f t="shared" si="12"/>
        <v>1</v>
      </c>
      <c r="BU22" s="138">
        <f t="shared" si="13"/>
        <v>0</v>
      </c>
      <c r="BV22" s="132">
        <f t="shared" si="14"/>
        <v>1</v>
      </c>
      <c r="BW22" s="133"/>
      <c r="BX22" s="133"/>
    </row>
    <row r="23" ht="15" customHeight="1" spans="1:77">
      <c r="A23" s="123" t="str">
        <f>IF(F23="","",COUNT(A$7:A22)+1)</f>
        <v/>
      </c>
      <c r="B23" s="141"/>
      <c r="C23" s="141"/>
      <c r="D23" s="141"/>
      <c r="E23" s="141"/>
      <c r="F23" s="139"/>
      <c r="G23" s="139"/>
      <c r="H23" s="139"/>
      <c r="I23" s="140"/>
      <c r="J23" s="141"/>
      <c r="K23" s="141"/>
      <c r="L23" s="140"/>
      <c r="M23" s="141"/>
      <c r="N23" s="501"/>
      <c r="O23" s="501"/>
      <c r="P23" s="501"/>
      <c r="Q23" s="501"/>
      <c r="R23" s="501"/>
      <c r="S23" s="501"/>
      <c r="T23" s="501"/>
      <c r="U23" s="501"/>
      <c r="V23" s="501"/>
      <c r="W23" s="501"/>
      <c r="X23" s="501"/>
      <c r="Y23" s="501"/>
      <c r="Z23" s="501"/>
      <c r="AA23" s="501"/>
      <c r="AB23" s="142"/>
      <c r="AC23" s="127" t="str">
        <f>IFERROR(VLOOKUP(AB23,参数表!$H$2:$I$50,2,FALSE),"")</f>
        <v/>
      </c>
      <c r="AD23" s="128" t="str">
        <f t="shared" si="2"/>
        <v/>
      </c>
      <c r="AE23" s="128" t="str">
        <f t="shared" si="3"/>
        <v/>
      </c>
      <c r="AF23" s="128" t="str">
        <f t="shared" si="4"/>
        <v/>
      </c>
      <c r="AG23" s="143"/>
      <c r="AH23" s="143"/>
      <c r="AI23" s="143"/>
      <c r="AJ23" s="144"/>
      <c r="AK23" s="144"/>
      <c r="AL23" s="129" t="str">
        <f t="shared" si="5"/>
        <v/>
      </c>
      <c r="AM23" s="129" t="str">
        <f t="shared" si="6"/>
        <v/>
      </c>
      <c r="AN23" s="129" t="str">
        <f t="shared" si="7"/>
        <v/>
      </c>
      <c r="AO23" s="129" t="str">
        <f t="shared" si="8"/>
        <v/>
      </c>
      <c r="AP23" s="129" t="str">
        <f t="shared" si="9"/>
        <v/>
      </c>
      <c r="AQ23" s="145"/>
      <c r="BA23" s="78"/>
      <c r="BB23" s="132" t="s">
        <v>3810</v>
      </c>
      <c r="BC23" s="133"/>
      <c r="BD23" s="132" t="str">
        <f>IF(OR(F23="",BC23=""),"",COUNTIF(BC$9:BC23,"√"))</f>
        <v/>
      </c>
      <c r="BE23" s="134" t="str">
        <f t="shared" si="0"/>
        <v/>
      </c>
      <c r="BF23" s="135" t="str">
        <f t="shared" si="10"/>
        <v/>
      </c>
      <c r="BG23" s="135" t="str">
        <f t="shared" si="10"/>
        <v/>
      </c>
      <c r="BH23" s="136"/>
      <c r="BI23" s="136"/>
      <c r="BJ23" s="136"/>
      <c r="BK23" s="136"/>
      <c r="BL23" s="136"/>
      <c r="BM23" s="137"/>
      <c r="BN23" s="136"/>
      <c r="BO23" s="137"/>
      <c r="BR23" s="134" t="str">
        <f>IF(COUNTIF(BR$7:BR22,K23)&gt;0,"",K23)&amp;""</f>
        <v/>
      </c>
      <c r="BS23" s="138">
        <f t="shared" si="11"/>
        <v>0</v>
      </c>
      <c r="BT23" s="132">
        <f t="shared" si="12"/>
        <v>1</v>
      </c>
      <c r="BU23" s="138">
        <f t="shared" si="13"/>
        <v>0</v>
      </c>
      <c r="BV23" s="132">
        <f t="shared" si="14"/>
        <v>1</v>
      </c>
      <c r="BW23" s="133"/>
      <c r="BX23" s="133"/>
    </row>
    <row r="24" ht="15" customHeight="1" spans="1:77">
      <c r="A24" s="123" t="str">
        <f>IF(F24="","",COUNT(A$7:A23)+1)</f>
        <v/>
      </c>
      <c r="B24" s="141"/>
      <c r="C24" s="141"/>
      <c r="D24" s="141"/>
      <c r="E24" s="141"/>
      <c r="F24" s="139"/>
      <c r="G24" s="139"/>
      <c r="H24" s="139"/>
      <c r="I24" s="140"/>
      <c r="J24" s="141"/>
      <c r="K24" s="141"/>
      <c r="L24" s="140"/>
      <c r="M24" s="141"/>
      <c r="N24" s="501"/>
      <c r="O24" s="501"/>
      <c r="P24" s="501"/>
      <c r="Q24" s="501"/>
      <c r="R24" s="501"/>
      <c r="S24" s="501"/>
      <c r="T24" s="501"/>
      <c r="U24" s="501"/>
      <c r="V24" s="501"/>
      <c r="W24" s="501"/>
      <c r="X24" s="501"/>
      <c r="Y24" s="501"/>
      <c r="Z24" s="501"/>
      <c r="AA24" s="501"/>
      <c r="AB24" s="142"/>
      <c r="AC24" s="127" t="str">
        <f>IFERROR(VLOOKUP(AB24,参数表!$H$2:$I$50,2,FALSE),"")</f>
        <v/>
      </c>
      <c r="AD24" s="128" t="str">
        <f t="shared" si="2"/>
        <v/>
      </c>
      <c r="AE24" s="128" t="str">
        <f t="shared" si="3"/>
        <v/>
      </c>
      <c r="AF24" s="128" t="str">
        <f t="shared" si="4"/>
        <v/>
      </c>
      <c r="AG24" s="143"/>
      <c r="AH24" s="143"/>
      <c r="AI24" s="143"/>
      <c r="AJ24" s="144"/>
      <c r="AK24" s="144"/>
      <c r="AL24" s="129" t="str">
        <f t="shared" si="5"/>
        <v/>
      </c>
      <c r="AM24" s="129" t="str">
        <f t="shared" si="6"/>
        <v/>
      </c>
      <c r="AN24" s="129" t="str">
        <f t="shared" si="7"/>
        <v/>
      </c>
      <c r="AO24" s="129" t="str">
        <f t="shared" si="8"/>
        <v/>
      </c>
      <c r="AP24" s="129" t="str">
        <f t="shared" si="9"/>
        <v/>
      </c>
      <c r="AQ24" s="145"/>
      <c r="BA24" s="78"/>
      <c r="BB24" s="132" t="s">
        <v>3811</v>
      </c>
      <c r="BC24" s="133"/>
      <c r="BD24" s="132" t="str">
        <f>IF(OR(F24="",BC24=""),"",COUNTIF(BC$9:BC24,"√"))</f>
        <v/>
      </c>
      <c r="BE24" s="134" t="str">
        <f t="shared" si="0"/>
        <v/>
      </c>
      <c r="BF24" s="135" t="str">
        <f t="shared" si="10"/>
        <v/>
      </c>
      <c r="BG24" s="135" t="str">
        <f t="shared" si="10"/>
        <v/>
      </c>
      <c r="BH24" s="136"/>
      <c r="BI24" s="136"/>
      <c r="BJ24" s="136"/>
      <c r="BK24" s="136"/>
      <c r="BL24" s="136"/>
      <c r="BM24" s="137"/>
      <c r="BN24" s="136"/>
      <c r="BO24" s="137"/>
      <c r="BR24" s="134" t="str">
        <f>IF(COUNTIF(BR$7:BR23,K24)&gt;0,"",K24)&amp;""</f>
        <v/>
      </c>
      <c r="BS24" s="138">
        <f t="shared" si="11"/>
        <v>0</v>
      </c>
      <c r="BT24" s="132">
        <f t="shared" si="12"/>
        <v>1</v>
      </c>
      <c r="BU24" s="138">
        <f t="shared" si="13"/>
        <v>0</v>
      </c>
      <c r="BV24" s="132">
        <f t="shared" si="14"/>
        <v>1</v>
      </c>
      <c r="BW24" s="133"/>
      <c r="BX24" s="133"/>
    </row>
    <row r="25" ht="15" customHeight="1" spans="1:77">
      <c r="A25" s="123" t="str">
        <f>IF(F25="","",COUNT(A$7:A24)+1)</f>
        <v/>
      </c>
      <c r="B25" s="141"/>
      <c r="C25" s="141"/>
      <c r="D25" s="141"/>
      <c r="E25" s="141"/>
      <c r="F25" s="139"/>
      <c r="G25" s="139"/>
      <c r="H25" s="139"/>
      <c r="I25" s="140"/>
      <c r="J25" s="141"/>
      <c r="K25" s="141"/>
      <c r="L25" s="140"/>
      <c r="M25" s="141"/>
      <c r="N25" s="501"/>
      <c r="O25" s="501"/>
      <c r="P25" s="501"/>
      <c r="Q25" s="501"/>
      <c r="R25" s="501"/>
      <c r="S25" s="501"/>
      <c r="T25" s="501"/>
      <c r="U25" s="501"/>
      <c r="V25" s="501"/>
      <c r="W25" s="501"/>
      <c r="X25" s="501"/>
      <c r="Y25" s="501"/>
      <c r="Z25" s="501"/>
      <c r="AA25" s="501"/>
      <c r="AB25" s="142"/>
      <c r="AC25" s="127" t="str">
        <f>IFERROR(VLOOKUP(AB25,参数表!$H$2:$I$50,2,FALSE),"")</f>
        <v/>
      </c>
      <c r="AD25" s="128" t="str">
        <f t="shared" si="2"/>
        <v/>
      </c>
      <c r="AE25" s="128" t="str">
        <f t="shared" si="3"/>
        <v/>
      </c>
      <c r="AF25" s="128" t="str">
        <f t="shared" si="4"/>
        <v/>
      </c>
      <c r="AG25" s="143"/>
      <c r="AH25" s="143"/>
      <c r="AI25" s="143"/>
      <c r="AJ25" s="144"/>
      <c r="AK25" s="144"/>
      <c r="AL25" s="129" t="str">
        <f t="shared" si="5"/>
        <v/>
      </c>
      <c r="AM25" s="129" t="str">
        <f t="shared" si="6"/>
        <v/>
      </c>
      <c r="AN25" s="129" t="str">
        <f t="shared" si="7"/>
        <v/>
      </c>
      <c r="AO25" s="129" t="str">
        <f t="shared" si="8"/>
        <v/>
      </c>
      <c r="AP25" s="129" t="str">
        <f t="shared" si="9"/>
        <v/>
      </c>
      <c r="AQ25" s="145"/>
      <c r="BA25" s="78"/>
      <c r="BB25" s="132" t="s">
        <v>3812</v>
      </c>
      <c r="BC25" s="133"/>
      <c r="BD25" s="132" t="str">
        <f>IF(OR(F25="",BC25=""),"",COUNTIF(BC$9:BC25,"√"))</f>
        <v/>
      </c>
      <c r="BE25" s="134" t="str">
        <f t="shared" si="0"/>
        <v/>
      </c>
      <c r="BF25" s="135" t="str">
        <f t="shared" si="10"/>
        <v/>
      </c>
      <c r="BG25" s="135" t="str">
        <f t="shared" si="10"/>
        <v/>
      </c>
      <c r="BH25" s="136"/>
      <c r="BI25" s="136"/>
      <c r="BJ25" s="136"/>
      <c r="BK25" s="136"/>
      <c r="BL25" s="136"/>
      <c r="BM25" s="137"/>
      <c r="BN25" s="136"/>
      <c r="BO25" s="137"/>
      <c r="BR25" s="134" t="str">
        <f>IF(COUNTIF(BR$7:BR24,K25)&gt;0,"",K25)&amp;""</f>
        <v/>
      </c>
      <c r="BS25" s="138">
        <f t="shared" si="11"/>
        <v>0</v>
      </c>
      <c r="BT25" s="132">
        <f t="shared" si="12"/>
        <v>1</v>
      </c>
      <c r="BU25" s="138">
        <f t="shared" si="13"/>
        <v>0</v>
      </c>
      <c r="BV25" s="132">
        <f t="shared" si="14"/>
        <v>1</v>
      </c>
      <c r="BW25" s="133"/>
      <c r="BX25" s="133"/>
    </row>
    <row r="26" ht="15" customHeight="1" spans="1:77">
      <c r="A26" s="123" t="str">
        <f>IF(F26="","",COUNT(A$7:A25)+1)</f>
        <v/>
      </c>
      <c r="B26" s="141"/>
      <c r="C26" s="141"/>
      <c r="D26" s="141"/>
      <c r="E26" s="141"/>
      <c r="F26" s="139"/>
      <c r="G26" s="139"/>
      <c r="H26" s="139"/>
      <c r="I26" s="140"/>
      <c r="J26" s="141"/>
      <c r="K26" s="141"/>
      <c r="L26" s="140"/>
      <c r="M26" s="141"/>
      <c r="N26" s="501"/>
      <c r="O26" s="501"/>
      <c r="P26" s="501"/>
      <c r="Q26" s="501"/>
      <c r="R26" s="501"/>
      <c r="S26" s="501"/>
      <c r="T26" s="501"/>
      <c r="U26" s="501"/>
      <c r="V26" s="501"/>
      <c r="W26" s="501"/>
      <c r="X26" s="501"/>
      <c r="Y26" s="501"/>
      <c r="Z26" s="501"/>
      <c r="AA26" s="501"/>
      <c r="AB26" s="142"/>
      <c r="AC26" s="127" t="str">
        <f>IFERROR(VLOOKUP(AB26,参数表!$H$2:$I$50,2,FALSE),"")</f>
        <v/>
      </c>
      <c r="AD26" s="128" t="str">
        <f t="shared" si="2"/>
        <v/>
      </c>
      <c r="AE26" s="128" t="str">
        <f t="shared" si="3"/>
        <v/>
      </c>
      <c r="AF26" s="128" t="str">
        <f t="shared" si="4"/>
        <v/>
      </c>
      <c r="AG26" s="143"/>
      <c r="AH26" s="143"/>
      <c r="AI26" s="143"/>
      <c r="AJ26" s="144"/>
      <c r="AK26" s="144"/>
      <c r="AL26" s="129" t="str">
        <f t="shared" si="5"/>
        <v/>
      </c>
      <c r="AM26" s="129" t="str">
        <f t="shared" si="6"/>
        <v/>
      </c>
      <c r="AN26" s="129" t="str">
        <f t="shared" si="7"/>
        <v/>
      </c>
      <c r="AO26" s="129" t="str">
        <f t="shared" si="8"/>
        <v/>
      </c>
      <c r="AP26" s="129" t="str">
        <f t="shared" si="9"/>
        <v/>
      </c>
      <c r="AQ26" s="145"/>
      <c r="BA26" s="78"/>
      <c r="BB26" s="132" t="s">
        <v>3813</v>
      </c>
      <c r="BC26" s="133"/>
      <c r="BD26" s="132" t="str">
        <f>IF(OR(F26="",BC26=""),"",COUNTIF(BC$9:BC26,"√"))</f>
        <v/>
      </c>
      <c r="BE26" s="134" t="str">
        <f t="shared" si="0"/>
        <v/>
      </c>
      <c r="BF26" s="135" t="str">
        <f t="shared" si="10"/>
        <v/>
      </c>
      <c r="BG26" s="135" t="str">
        <f t="shared" si="10"/>
        <v/>
      </c>
      <c r="BH26" s="136"/>
      <c r="BI26" s="136"/>
      <c r="BJ26" s="136"/>
      <c r="BK26" s="136"/>
      <c r="BL26" s="136"/>
      <c r="BM26" s="137"/>
      <c r="BN26" s="136"/>
      <c r="BO26" s="137"/>
      <c r="BR26" s="134" t="str">
        <f>IF(COUNTIF(BR$7:BR25,K26)&gt;0,"",K26)&amp;""</f>
        <v/>
      </c>
      <c r="BS26" s="138">
        <f t="shared" si="11"/>
        <v>0</v>
      </c>
      <c r="BT26" s="132">
        <f t="shared" si="12"/>
        <v>1</v>
      </c>
      <c r="BU26" s="138">
        <f t="shared" si="13"/>
        <v>0</v>
      </c>
      <c r="BV26" s="132">
        <f t="shared" si="14"/>
        <v>1</v>
      </c>
      <c r="BW26" s="133"/>
      <c r="BX26" s="133"/>
    </row>
    <row r="27" ht="15" customHeight="1" spans="1:77">
      <c r="A27" s="123" t="str">
        <f>IF(F27="","",COUNT(A$7:A26)+1)</f>
        <v/>
      </c>
      <c r="B27" s="123"/>
      <c r="C27" s="126"/>
      <c r="D27" s="126"/>
      <c r="E27" s="126"/>
      <c r="F27" s="124"/>
      <c r="G27" s="124"/>
      <c r="H27" s="124"/>
      <c r="I27" s="125"/>
      <c r="J27" s="126"/>
      <c r="K27" s="126"/>
      <c r="L27" s="125"/>
      <c r="M27" s="126"/>
      <c r="N27" s="491"/>
      <c r="O27" s="491"/>
      <c r="P27" s="491"/>
      <c r="Q27" s="491"/>
      <c r="R27" s="491"/>
      <c r="S27" s="491"/>
      <c r="T27" s="491"/>
      <c r="U27" s="491"/>
      <c r="V27" s="491"/>
      <c r="W27" s="491"/>
      <c r="X27" s="491"/>
      <c r="Y27" s="491"/>
      <c r="Z27" s="491"/>
      <c r="AA27" s="491"/>
      <c r="AB27" s="127"/>
      <c r="AC27" s="127" t="str">
        <f>IFERROR(VLOOKUP(AB27,参数表!$H$2:$I$50,2,FALSE),"")</f>
        <v/>
      </c>
      <c r="AD27" s="128" t="str">
        <f t="shared" si="2"/>
        <v/>
      </c>
      <c r="AE27" s="128" t="str">
        <f t="shared" si="3"/>
        <v/>
      </c>
      <c r="AF27" s="128" t="str">
        <f t="shared" si="4"/>
        <v/>
      </c>
      <c r="AG27" s="129"/>
      <c r="AH27" s="129"/>
      <c r="AI27" s="129"/>
      <c r="AJ27" s="130"/>
      <c r="AK27" s="130"/>
      <c r="AL27" s="129" t="str">
        <f t="shared" si="5"/>
        <v/>
      </c>
      <c r="AM27" s="129" t="str">
        <f t="shared" si="6"/>
        <v/>
      </c>
      <c r="AN27" s="129" t="str">
        <f t="shared" si="7"/>
        <v/>
      </c>
      <c r="AO27" s="129" t="str">
        <f t="shared" si="8"/>
        <v/>
      </c>
      <c r="AP27" s="129" t="str">
        <f t="shared" si="9"/>
        <v/>
      </c>
      <c r="AQ27" s="131"/>
      <c r="BA27" s="78"/>
      <c r="BB27" s="132" t="s">
        <v>3814</v>
      </c>
      <c r="BC27" s="133"/>
      <c r="BD27" s="132" t="str">
        <f>IF(OR(F27="",BC27=""),"",COUNTIF(BC$9:BC27,"√"))</f>
        <v/>
      </c>
      <c r="BE27" s="134" t="str">
        <f t="shared" si="0"/>
        <v/>
      </c>
      <c r="BF27" s="135" t="str">
        <f t="shared" si="10"/>
        <v/>
      </c>
      <c r="BG27" s="135" t="str">
        <f t="shared" si="10"/>
        <v/>
      </c>
      <c r="BH27" s="136"/>
      <c r="BI27" s="136"/>
      <c r="BJ27" s="136"/>
      <c r="BK27" s="136"/>
      <c r="BL27" s="136"/>
      <c r="BM27" s="137"/>
      <c r="BN27" s="136"/>
      <c r="BO27" s="137"/>
      <c r="BR27" s="134" t="str">
        <f>IF(COUNTIF(BR$7:BR26,K27)&gt;0,"",K27)&amp;""</f>
        <v/>
      </c>
      <c r="BS27" s="138">
        <f t="shared" si="11"/>
        <v>0</v>
      </c>
      <c r="BT27" s="132">
        <f t="shared" si="12"/>
        <v>1</v>
      </c>
      <c r="BU27" s="138">
        <f t="shared" si="13"/>
        <v>0</v>
      </c>
      <c r="BV27" s="132">
        <f t="shared" si="14"/>
        <v>1</v>
      </c>
      <c r="BW27" s="133"/>
      <c r="BX27" s="133"/>
    </row>
    <row r="28" s="73" customFormat="1" ht="15" customHeight="1" spans="1:77">
      <c r="A28" s="221" t="s">
        <v>1954</v>
      </c>
      <c r="B28" s="221"/>
      <c r="C28" s="493"/>
      <c r="D28" s="493"/>
      <c r="E28" s="493"/>
      <c r="F28" s="493"/>
      <c r="G28" s="221"/>
      <c r="H28" s="221"/>
      <c r="I28" s="150"/>
      <c r="J28" s="149"/>
      <c r="K28" s="149"/>
      <c r="L28" s="149"/>
      <c r="M28" s="149"/>
      <c r="N28" s="354">
        <f>SUM(N8:N27)</f>
        <v>0</v>
      </c>
      <c r="O28" s="354"/>
      <c r="P28" s="354"/>
      <c r="Q28" s="354"/>
      <c r="R28" s="354"/>
      <c r="S28" s="354"/>
      <c r="T28" s="354"/>
      <c r="U28" s="354"/>
      <c r="V28" s="354"/>
      <c r="W28" s="354"/>
      <c r="X28" s="354"/>
      <c r="Y28" s="354"/>
      <c r="Z28" s="354"/>
      <c r="AA28" s="354"/>
      <c r="AB28" s="354"/>
      <c r="AC28" s="354"/>
      <c r="AD28" s="354"/>
      <c r="AE28" s="354"/>
      <c r="AF28" s="354"/>
      <c r="AG28" s="152">
        <f>SUM(AG8:AG27)</f>
        <v>0</v>
      </c>
      <c r="AH28" s="152">
        <f>SUM(AH8:AH27)</f>
        <v>0</v>
      </c>
      <c r="AI28" s="152">
        <f>SUM(AI8:AI27)</f>
        <v>0</v>
      </c>
      <c r="AJ28" s="153"/>
      <c r="AK28" s="153"/>
      <c r="AL28" s="152">
        <f>SUM(AL8:AL27)</f>
        <v>0</v>
      </c>
      <c r="AM28" s="152">
        <f>SUM(AM8:AM27)</f>
        <v>0</v>
      </c>
      <c r="AN28" s="152">
        <f>SUM(AN8:AN27)</f>
        <v>0</v>
      </c>
      <c r="AO28" s="152" t="str">
        <f>IF(AN28-AL28=0,"",(AN28-AL28))</f>
        <v/>
      </c>
      <c r="AP28" s="152" t="str">
        <f>IF(AL28=0,"",(AN28-AL28)/AL28*100)</f>
        <v/>
      </c>
      <c r="AQ28" s="151"/>
      <c r="BH28" s="72"/>
      <c r="BI28" s="72"/>
      <c r="BJ28" s="72"/>
      <c r="BK28" s="72"/>
      <c r="BL28" s="72"/>
      <c r="BN28" s="72"/>
      <c r="BQ28" s="111"/>
      <c r="BR28" s="119"/>
      <c r="BS28" s="77"/>
      <c r="BT28" s="77"/>
      <c r="BU28" s="77"/>
      <c r="BV28" s="119"/>
      <c r="BW28" s="119"/>
      <c r="BX28" s="119"/>
      <c r="BY28" s="111"/>
    </row>
    <row r="29" s="73" customFormat="1" ht="15" customHeight="1" spans="1:77">
      <c r="A29" s="124" t="s">
        <v>3434</v>
      </c>
      <c r="B29" s="124"/>
      <c r="C29" s="124"/>
      <c r="D29" s="124"/>
      <c r="E29" s="124"/>
      <c r="F29" s="124"/>
      <c r="G29" s="221"/>
      <c r="H29" s="221"/>
      <c r="I29" s="150"/>
      <c r="J29" s="149"/>
      <c r="K29" s="149"/>
      <c r="L29" s="149"/>
      <c r="M29" s="149"/>
      <c r="N29" s="354"/>
      <c r="O29" s="354"/>
      <c r="P29" s="354"/>
      <c r="Q29" s="354"/>
      <c r="R29" s="354"/>
      <c r="S29" s="354"/>
      <c r="T29" s="354"/>
      <c r="U29" s="354"/>
      <c r="V29" s="354"/>
      <c r="W29" s="354"/>
      <c r="X29" s="354"/>
      <c r="Y29" s="354"/>
      <c r="Z29" s="354"/>
      <c r="AA29" s="354"/>
      <c r="AB29" s="354"/>
      <c r="AC29" s="354"/>
      <c r="AD29" s="354"/>
      <c r="AE29" s="354"/>
      <c r="AF29" s="354"/>
      <c r="AG29" s="129"/>
      <c r="AH29" s="129">
        <f>AI28</f>
        <v>0</v>
      </c>
      <c r="AI29" s="129"/>
      <c r="AJ29" s="130"/>
      <c r="AK29" s="130"/>
      <c r="AL29" s="129">
        <f>AM28</f>
        <v>0</v>
      </c>
      <c r="AM29" s="129"/>
      <c r="AN29" s="129">
        <f>0</f>
        <v>0</v>
      </c>
      <c r="AO29" s="129" t="str">
        <f>IF(AN29-AL29=0,"",(AN29-AL29))</f>
        <v/>
      </c>
      <c r="AP29" s="129" t="str">
        <f>IF(AL29=0,"",(AN29-AL29)/AL29*100)</f>
        <v/>
      </c>
      <c r="AQ29" s="151"/>
      <c r="BH29" s="72"/>
      <c r="BI29" s="72"/>
      <c r="BJ29" s="72"/>
      <c r="BK29" s="72"/>
      <c r="BL29" s="72"/>
      <c r="BN29" s="72"/>
      <c r="BQ29" s="77"/>
      <c r="BR29" s="78"/>
      <c r="BS29" s="77"/>
      <c r="BT29" s="78"/>
      <c r="BU29" s="78"/>
      <c r="BV29" s="78"/>
      <c r="BW29" s="78"/>
      <c r="BX29" s="78"/>
      <c r="BY29" s="77"/>
    </row>
    <row r="30" s="73" customFormat="1" ht="15" customHeight="1" spans="1:77">
      <c r="A30" s="221" t="s">
        <v>1957</v>
      </c>
      <c r="B30" s="221"/>
      <c r="C30" s="221"/>
      <c r="D30" s="221"/>
      <c r="E30" s="221"/>
      <c r="F30" s="221"/>
      <c r="G30" s="151"/>
      <c r="H30" s="151"/>
      <c r="I30" s="356"/>
      <c r="J30" s="149"/>
      <c r="K30" s="149"/>
      <c r="L30" s="149"/>
      <c r="M30" s="149"/>
      <c r="N30" s="354"/>
      <c r="O30" s="354"/>
      <c r="P30" s="354"/>
      <c r="Q30" s="354"/>
      <c r="R30" s="354"/>
      <c r="S30" s="354"/>
      <c r="T30" s="354"/>
      <c r="U30" s="354"/>
      <c r="V30" s="354"/>
      <c r="W30" s="354"/>
      <c r="X30" s="354"/>
      <c r="Y30" s="354"/>
      <c r="Z30" s="354"/>
      <c r="AA30" s="354"/>
      <c r="AB30" s="354"/>
      <c r="AC30" s="354"/>
      <c r="AD30" s="354"/>
      <c r="AE30" s="354"/>
      <c r="AF30" s="354"/>
      <c r="AG30" s="152">
        <f>AG28-AG29</f>
        <v>0</v>
      </c>
      <c r="AH30" s="152">
        <f>AH28-AH29</f>
        <v>0</v>
      </c>
      <c r="AI30" s="152"/>
      <c r="AJ30" s="153"/>
      <c r="AK30" s="153"/>
      <c r="AL30" s="152">
        <f>AL28-AL29</f>
        <v>0</v>
      </c>
      <c r="AM30" s="152"/>
      <c r="AN30" s="152">
        <f>AN28-AN29</f>
        <v>0</v>
      </c>
      <c r="AO30" s="152" t="str">
        <f>IF(AN30-AL30=0,"",(AN30-AL30))</f>
        <v/>
      </c>
      <c r="AP30" s="129" t="str">
        <f>IF(AL30=0,"",(AN30-AL30)/AL30*100)</f>
        <v/>
      </c>
      <c r="AQ30" s="151"/>
      <c r="BH30" s="72"/>
      <c r="BI30" s="72"/>
      <c r="BJ30" s="72"/>
      <c r="BK30" s="72"/>
      <c r="BL30" s="72"/>
      <c r="BN30" s="72"/>
      <c r="BQ30" s="77"/>
      <c r="BR30" s="78"/>
      <c r="BS30" s="77"/>
      <c r="BT30" s="78"/>
      <c r="BU30" s="78"/>
      <c r="BV30" s="78"/>
      <c r="BW30" s="78"/>
      <c r="BX30" s="78"/>
      <c r="BY30" s="77"/>
    </row>
    <row r="31" customHeight="1" spans="1:77">
      <c r="A31" s="102" t="str">
        <f>参数表!F$6</f>
        <v>产权持有单位填表人：贾广东</v>
      </c>
      <c r="B31" s="96"/>
      <c r="C31" s="154"/>
      <c r="D31" s="154"/>
      <c r="E31" s="286"/>
      <c r="F31" s="154"/>
      <c r="G31" s="154"/>
      <c r="H31" s="154"/>
      <c r="I31" s="154"/>
      <c r="J31" s="103"/>
      <c r="K31" s="103"/>
      <c r="L31" s="95"/>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4"/>
      <c r="AK31" s="104"/>
      <c r="AL31" s="103"/>
      <c r="AM31" s="103"/>
      <c r="AN31" s="156" t="str">
        <f>"评估人员："&amp;封面!$G$28</f>
        <v>评估人员：</v>
      </c>
      <c r="AO31" s="103"/>
      <c r="AP31" s="103"/>
      <c r="AQ31" s="103"/>
    </row>
    <row r="32" customHeight="1" spans="1:77">
      <c r="A32" s="102" t="str">
        <f>参数表!F$7</f>
        <v>填表日期：2025年9月20日</v>
      </c>
      <c r="B32" s="96"/>
      <c r="C32" s="154"/>
      <c r="D32" s="154"/>
      <c r="E32" s="286"/>
      <c r="F32" s="154"/>
      <c r="G32" s="154"/>
      <c r="H32" s="154"/>
      <c r="I32" s="154"/>
      <c r="J32" s="103"/>
      <c r="K32" s="103"/>
      <c r="L32" s="95"/>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4"/>
      <c r="AK32" s="104"/>
      <c r="AL32" s="103"/>
      <c r="AM32" s="103"/>
      <c r="AN32" s="103"/>
      <c r="AO32" s="103"/>
      <c r="AP32" s="103"/>
      <c r="AQ32" s="103"/>
    </row>
    <row r="33" hidden="1" customHeight="1" outlineLevel="1" spans="1:66">
      <c r="A33" s="157"/>
      <c r="B33" s="696"/>
      <c r="C33" s="154" t="s">
        <v>1673</v>
      </c>
      <c r="D33" s="158"/>
      <c r="E33" s="286" t="s">
        <v>1674</v>
      </c>
      <c r="F33" s="158"/>
      <c r="G33" s="158"/>
      <c r="H33" s="158"/>
      <c r="I33" s="158"/>
      <c r="N33" s="156">
        <f>SUMIF($BA8:$BA27,$BA33,N8:N27)</f>
        <v>0</v>
      </c>
      <c r="AG33" s="159">
        <f>SUMIF($BA8:$BA27,$BA33,AG8:AG27)</f>
        <v>0</v>
      </c>
      <c r="AH33" s="159">
        <f>SUMIF($BA8:$BA27,$BA33,AH8:AH27)</f>
        <v>0</v>
      </c>
      <c r="AI33" s="159">
        <f>SUMIF($BA8:$BA27,$BA33,AI8:AI27)</f>
        <v>0</v>
      </c>
      <c r="AJ33" s="202"/>
      <c r="AK33" s="202"/>
      <c r="AL33" s="159">
        <f>SUMIF($BA8:$BA27,$BA33,AL8:AL27)</f>
        <v>0</v>
      </c>
      <c r="AM33" s="159">
        <f>SUMIF($BA8:$BA27,$BA33,AM8:AM27)</f>
        <v>0</v>
      </c>
      <c r="AN33" s="159">
        <f>SUMIF($BA8:$BA27,$BA33,AN8:AN27)</f>
        <v>0</v>
      </c>
      <c r="BA33" s="161" t="s">
        <v>1674</v>
      </c>
      <c r="BH33" s="95" t="s">
        <v>1675</v>
      </c>
      <c r="BI33" s="95" t="s">
        <v>1675</v>
      </c>
      <c r="BJ33" s="95" t="s">
        <v>1675</v>
      </c>
      <c r="BK33" s="95" t="s">
        <v>1675</v>
      </c>
      <c r="BL33" s="95" t="s">
        <v>1675</v>
      </c>
      <c r="BN33" s="95" t="s">
        <v>1675</v>
      </c>
    </row>
    <row r="34" hidden="1" customHeight="1" outlineLevel="1" spans="1:66">
      <c r="A34" s="157"/>
      <c r="B34" s="696"/>
      <c r="C34" s="154" t="s">
        <v>1676</v>
      </c>
      <c r="D34" s="158"/>
      <c r="E34" s="286" t="s">
        <v>1677</v>
      </c>
      <c r="F34" s="158"/>
      <c r="G34" s="158"/>
      <c r="H34" s="158"/>
      <c r="I34" s="158"/>
      <c r="N34" s="156">
        <f>N28-N33</f>
        <v>0</v>
      </c>
      <c r="AG34" s="159">
        <f>AG28-AG33</f>
        <v>0</v>
      </c>
      <c r="AH34" s="159">
        <f>AH28-AH33</f>
        <v>0</v>
      </c>
      <c r="AI34" s="159">
        <f>AI28-AI33</f>
        <v>0</v>
      </c>
      <c r="AJ34" s="202"/>
      <c r="AK34" s="202"/>
      <c r="AL34" s="159">
        <f>AL28-AL33</f>
        <v>0</v>
      </c>
      <c r="AM34" s="159">
        <f>AM28-AM33</f>
        <v>0</v>
      </c>
      <c r="AN34" s="159">
        <f>AN28-AN33</f>
        <v>0</v>
      </c>
      <c r="BA34" s="161" t="s">
        <v>1677</v>
      </c>
      <c r="BH34" s="95" t="s">
        <v>1678</v>
      </c>
      <c r="BI34" s="95" t="s">
        <v>1678</v>
      </c>
      <c r="BJ34" s="95" t="s">
        <v>1678</v>
      </c>
      <c r="BK34" s="95" t="s">
        <v>1678</v>
      </c>
      <c r="BL34" s="95" t="s">
        <v>1678</v>
      </c>
      <c r="BN34" s="95" t="s">
        <v>1678</v>
      </c>
    </row>
    <row r="35" customHeight="1" collapsed="1" spans="1:66">
      <c r="A35" s="157"/>
      <c r="B35" s="696"/>
      <c r="C35" s="158"/>
      <c r="D35" s="158"/>
      <c r="E35" s="228"/>
      <c r="F35" s="158"/>
      <c r="G35" s="158"/>
      <c r="H35" s="158"/>
      <c r="I35" s="158"/>
    </row>
    <row r="36" customHeight="1" spans="1:66">
      <c r="A36" s="157"/>
      <c r="B36" s="696"/>
      <c r="C36" s="158"/>
      <c r="D36" s="158"/>
      <c r="E36" s="228"/>
      <c r="F36" s="158"/>
      <c r="G36" s="158"/>
      <c r="H36" s="158"/>
      <c r="I36" s="158"/>
    </row>
    <row r="37" customHeight="1" spans="1:66">
      <c r="A37" s="157"/>
      <c r="B37" s="696"/>
      <c r="C37" s="158"/>
      <c r="D37" s="158"/>
      <c r="E37" s="228"/>
      <c r="F37" s="158"/>
      <c r="G37" s="158"/>
      <c r="H37" s="158"/>
      <c r="I37" s="158"/>
    </row>
    <row r="38" customHeight="1" spans="1:66">
      <c r="A38" s="157"/>
      <c r="B38" s="696"/>
      <c r="C38" s="158"/>
      <c r="D38" s="158"/>
      <c r="E38" s="228"/>
      <c r="F38" s="158"/>
      <c r="G38" s="158"/>
      <c r="H38" s="158"/>
      <c r="I38" s="158"/>
    </row>
    <row r="39" customHeight="1" spans="1:66">
      <c r="A39" s="157"/>
      <c r="B39" s="696"/>
      <c r="C39" s="158"/>
      <c r="D39" s="158"/>
      <c r="E39" s="228"/>
      <c r="F39" s="158"/>
      <c r="G39" s="158"/>
      <c r="H39" s="158"/>
      <c r="I39" s="158"/>
    </row>
    <row r="40" customHeight="1" spans="1:66">
      <c r="A40" s="157"/>
      <c r="B40" s="696"/>
      <c r="C40" s="158"/>
      <c r="D40" s="158"/>
      <c r="E40" s="228"/>
      <c r="F40" s="158"/>
      <c r="G40" s="158"/>
      <c r="H40" s="158"/>
      <c r="I40" s="158"/>
    </row>
  </sheetData>
  <sheetProtection autoFilter="0"/>
  <mergeCells count="9">
    <mergeCell ref="A2:AQ2"/>
    <mergeCell ref="A3:AQ3"/>
    <mergeCell ref="A4:AQ4"/>
    <mergeCell ref="BW8:BY8"/>
    <mergeCell ref="BW9:BY9"/>
    <mergeCell ref="BX15:BY15"/>
    <mergeCell ref="A28:F28"/>
    <mergeCell ref="A29:F29"/>
    <mergeCell ref="A30:F30"/>
  </mergeCells>
  <conditionalFormatting sqref="BI9:BL9">
    <cfRule type="expression" dxfId="5" priority="9" stopIfTrue="1">
      <formula>AND($C9&lt;&gt;"",BI9="")</formula>
    </cfRule>
  </conditionalFormatting>
  <conditionalFormatting sqref="BM8:BM27">
    <cfRule type="expression" dxfId="5" priority="10" stopIfTrue="1">
      <formula>AND(BL8="无",BM8="")</formula>
    </cfRule>
  </conditionalFormatting>
  <conditionalFormatting sqref="BF8:BG27">
    <cfRule type="containsText" dxfId="6" priority="1" stopIfTrue="1" operator="between" text="出错">
      <formula>NOT(ISERROR(SEARCH("出错",BF8)))</formula>
    </cfRule>
  </conditionalFormatting>
  <conditionalFormatting sqref="BH8:BL27 BN8:BN27">
    <cfRule type="expression" dxfId="5" priority="11" stopIfTrue="1">
      <formula>AND($C8&lt;&gt;"",BH8="")</formula>
    </cfRule>
  </conditionalFormatting>
  <dataValidations count="4">
    <dataValidation type="list" allowBlank="1" showInputMessage="1" showErrorMessage="1" sqref="E8:E27 BN8:BN27 BH8:BL27">
      <formula1>E$33:E$34</formula1>
    </dataValidation>
    <dataValidation type="list" allowBlank="1" showInputMessage="1" showErrorMessage="1" sqref="AB8:AB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s>
  <hyperlinks>
    <hyperlink ref="C1" location="投资性房地产汇总表!B13" display="返回"/>
    <hyperlink ref="A1" location="索引目录!D34" display="返回索引页"/>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5"/>
  <dimension ref="A1:BY38"/>
  <sheetViews>
    <sheetView workbookViewId="0">
      <pane xSplit="6" ySplit="8" topLeftCell="G9" activePane="bottomRight" state="frozen"/>
      <selection/>
      <selection pane="topRight"/>
      <selection pane="bottomLeft"/>
      <selection pane="bottomRight" activeCell="E45" sqref="E45"/>
    </sheetView>
  </sheetViews>
  <sheetFormatPr defaultColWidth="9" defaultRowHeight="15.75" customHeight="1"/>
  <cols>
    <col min="1" max="1" width="4.6" style="74" customWidth="1"/>
    <col min="2" max="2" width="4.6" style="688" customWidth="1"/>
    <col min="3" max="3" width="6.6" style="75" customWidth="1"/>
    <col min="4" max="4" width="10.3" style="75" customWidth="1" outlineLevel="1"/>
    <col min="5" max="5" width="5.6" style="165" customWidth="1" outlineLevel="1"/>
    <col min="6" max="6" width="9.6" style="75" customWidth="1"/>
    <col min="7" max="7" width="4.6" style="75" customWidth="1" outlineLevel="1"/>
    <col min="8" max="8" width="9.6" style="75" customWidth="1"/>
    <col min="9" max="9" width="8.6" style="165" customWidth="1"/>
    <col min="10" max="11" width="4.6" style="165" customWidth="1"/>
    <col min="12" max="12" width="8.6" style="165" customWidth="1"/>
    <col min="13" max="13" width="4.6" style="165" customWidth="1"/>
    <col min="14" max="14" width="8" style="75" customWidth="1"/>
    <col min="15" max="15" width="11.6" style="75" customWidth="1" outlineLevel="1"/>
    <col min="16" max="26" width="8" style="75" customWidth="1" outlineLevel="1"/>
    <col min="27" max="28" width="4.6" style="75" customWidth="1" outlineLevel="1"/>
    <col min="29" max="30" width="6.1" style="75" customWidth="1" outlineLevel="1"/>
    <col min="31" max="31" width="12.6" style="75" customWidth="1"/>
    <col min="32" max="32" width="12.6" style="75" customWidth="1" outlineLevel="1"/>
    <col min="33" max="33" width="12.6" style="76" customWidth="1" outlineLevel="1"/>
    <col min="34" max="35" width="12.6" style="75" customWidth="1"/>
    <col min="36" max="38" width="6.6" style="75" customWidth="1"/>
    <col min="39" max="52" width="9" style="75" hidden="1" customWidth="1" outlineLevel="1"/>
    <col min="53" max="53" width="14.7" style="75" customWidth="1" collapsed="1"/>
    <col min="54" max="54" width="6.7" style="75" customWidth="1"/>
    <col min="55" max="56" width="5.1" style="75" customWidth="1"/>
    <col min="57" max="57" width="8.7" style="75" customWidth="1"/>
    <col min="58" max="59" width="9.8" style="75" customWidth="1"/>
    <col min="60" max="64" width="4.7" style="165" customWidth="1"/>
    <col min="65" max="65" width="10.3" style="75" customWidth="1"/>
    <col min="66" max="66" width="4.7" style="165" customWidth="1"/>
    <col min="67" max="67" width="8.7" style="75" customWidth="1"/>
    <col min="68" max="68" width="9" style="75"/>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86" customFormat="1" ht="13.8" spans="1:77">
      <c r="A1" s="203" t="s">
        <v>1591</v>
      </c>
      <c r="B1" s="689"/>
      <c r="C1" s="204" t="s">
        <v>1592</v>
      </c>
      <c r="D1" s="204"/>
      <c r="E1" s="495"/>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205"/>
      <c r="AH1" s="82"/>
      <c r="AI1" s="82"/>
      <c r="AJ1" s="82"/>
      <c r="AK1" s="82"/>
      <c r="AL1" s="82"/>
      <c r="BA1" s="84" t="str">
        <f>参数表!BA1</f>
        <v>注意：补充特殊事项、作价等均从BA列开始填写</v>
      </c>
      <c r="BB1" s="85"/>
      <c r="BH1" s="82"/>
      <c r="BI1" s="82"/>
      <c r="BJ1" s="82"/>
      <c r="BK1" s="82"/>
      <c r="BL1" s="82"/>
      <c r="BN1" s="82"/>
      <c r="BQ1" s="87"/>
      <c r="BR1" s="88"/>
      <c r="BS1" s="87"/>
      <c r="BT1" s="88"/>
      <c r="BU1" s="88"/>
      <c r="BV1" s="88"/>
      <c r="BW1" s="88"/>
      <c r="BX1" s="88"/>
      <c r="BY1" s="87"/>
    </row>
    <row r="2" s="71" customFormat="1" ht="30" customHeight="1" spans="1:77">
      <c r="A2" s="89" t="s">
        <v>3769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BA2" s="90" t="str">
        <f>参数表!BA2</f>
        <v>评估基准日：</v>
      </c>
      <c r="BB2" s="91" t="str">
        <f>参数表!BB2</f>
        <v>2025年7月31日</v>
      </c>
      <c r="BH2" s="171"/>
      <c r="BI2" s="171"/>
      <c r="BJ2" s="171"/>
      <c r="BK2" s="171"/>
      <c r="BL2" s="171"/>
      <c r="BN2" s="171"/>
      <c r="BQ2" s="92"/>
      <c r="BR2" s="93"/>
      <c r="BS2" s="92"/>
      <c r="BT2" s="93"/>
      <c r="BU2" s="93"/>
      <c r="BV2" s="93"/>
      <c r="BW2" s="93"/>
      <c r="BX2" s="93"/>
      <c r="BY2" s="92"/>
    </row>
    <row r="3" s="71" customFormat="1" ht="15" customHeight="1" spans="1:77">
      <c r="A3" s="932" t="s">
        <v>3741</v>
      </c>
      <c r="B3" s="932"/>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c r="AC3" s="932"/>
      <c r="AD3" s="932"/>
      <c r="AE3" s="932"/>
      <c r="AF3" s="932"/>
      <c r="AG3" s="932"/>
      <c r="AH3" s="932"/>
      <c r="AI3" s="932"/>
      <c r="AJ3" s="932"/>
      <c r="AK3" s="932"/>
      <c r="AL3" s="932"/>
      <c r="BA3" s="90" t="str">
        <f>参数表!BA3</f>
        <v>是否显示评估值：</v>
      </c>
      <c r="BB3" s="90" t="str">
        <f>参数表!BB3</f>
        <v>是</v>
      </c>
      <c r="BH3" s="171"/>
      <c r="BI3" s="171"/>
      <c r="BJ3" s="171"/>
      <c r="BK3" s="171"/>
      <c r="BL3" s="171"/>
      <c r="BN3" s="171"/>
      <c r="BQ3" s="92"/>
      <c r="BR3" s="93"/>
      <c r="BS3" s="92"/>
      <c r="BT3" s="93"/>
      <c r="BU3" s="93"/>
      <c r="BV3" s="93"/>
      <c r="BW3" s="93"/>
      <c r="BX3" s="93"/>
      <c r="BY3" s="92"/>
    </row>
    <row r="4" ht="15" customHeight="1" spans="1:77">
      <c r="A4" s="94" t="str">
        <f>参数表!F5</f>
        <v>评估基准日：2025年7月31日</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W4" s="165"/>
      <c r="BA4" s="103"/>
      <c r="BB4" s="100">
        <f>MAX(COUNTA(A8:A27),COUNTA(C8:C27),COUNTA(AF8:AF27),COUNTA(AH8:AH27))</f>
        <v>20</v>
      </c>
      <c r="BC4" s="101">
        <f>ROW(A7)+1</f>
        <v>8</v>
      </c>
      <c r="BD4" s="77"/>
      <c r="BE4" s="77"/>
      <c r="BS4" s="78"/>
    </row>
    <row r="5" ht="15" customHeight="1" spans="1:77">
      <c r="A5" s="96"/>
      <c r="B5" s="96"/>
      <c r="C5" s="94"/>
      <c r="D5" s="94"/>
      <c r="E5" s="94"/>
      <c r="F5" s="94"/>
      <c r="G5" s="94"/>
      <c r="H5" s="94"/>
      <c r="I5" s="94"/>
      <c r="J5" s="94"/>
      <c r="K5" s="94"/>
      <c r="L5" s="94"/>
      <c r="M5" s="94"/>
      <c r="N5" s="95"/>
      <c r="O5" s="95"/>
      <c r="P5" s="95"/>
      <c r="Q5" s="95"/>
      <c r="R5" s="95"/>
      <c r="S5" s="95"/>
      <c r="T5" s="95"/>
      <c r="U5" s="95"/>
      <c r="V5" s="95"/>
      <c r="W5" s="95"/>
      <c r="X5" s="95"/>
      <c r="Y5" s="95"/>
      <c r="Z5" s="95"/>
      <c r="AA5" s="95"/>
      <c r="AB5" s="95"/>
      <c r="AC5" s="95"/>
      <c r="AD5" s="95"/>
      <c r="AE5" s="95"/>
      <c r="AF5" s="95"/>
      <c r="AG5" s="206"/>
      <c r="AH5" s="95"/>
      <c r="AI5" s="95"/>
      <c r="AJ5" s="95"/>
      <c r="AK5" s="95"/>
      <c r="AL5" s="98" t="str">
        <f>"表"&amp;$BA5</f>
        <v>表4-9-4</v>
      </c>
      <c r="BA5" s="347" t="str">
        <f>投资性房产总!A10</f>
        <v>4-9-4</v>
      </c>
      <c r="BB5" s="105" t="str">
        <f ca="1">判断表!C64</f>
        <v>中煤第五建设有限公司第三工程处拟处置实物资产项目\[0000-3基础法明细表.xlsx]投资-土地公允</v>
      </c>
      <c r="BC5" s="106">
        <f>IFERROR(SUMIF(BC8:BC27,"√",AH8:AH27)/AH28,0)</f>
        <v>0</v>
      </c>
      <c r="BD5" s="107"/>
      <c r="BE5" s="107"/>
      <c r="BS5" s="78"/>
    </row>
    <row r="6" ht="15" customHeight="1" spans="1:77">
      <c r="A6" s="102" t="str">
        <f>参数表!F3</f>
        <v>产权持有单位:中煤第五建设有限公司</v>
      </c>
      <c r="B6" s="96"/>
      <c r="C6" s="103"/>
      <c r="D6" s="103"/>
      <c r="E6" s="95"/>
      <c r="F6" s="103"/>
      <c r="G6" s="103"/>
      <c r="H6" s="103"/>
      <c r="I6" s="95"/>
      <c r="J6" s="95"/>
      <c r="K6" s="95"/>
      <c r="L6" s="95"/>
      <c r="M6" s="95"/>
      <c r="N6" s="103"/>
      <c r="O6" s="103"/>
      <c r="P6" s="103"/>
      <c r="Q6" s="103"/>
      <c r="R6" s="103"/>
      <c r="S6" s="103"/>
      <c r="T6" s="103"/>
      <c r="U6" s="103"/>
      <c r="V6" s="103"/>
      <c r="W6" s="103"/>
      <c r="X6" s="103"/>
      <c r="Y6" s="103"/>
      <c r="Z6" s="103"/>
      <c r="AA6" s="103"/>
      <c r="AB6" s="103"/>
      <c r="AC6" s="103"/>
      <c r="AD6" s="103"/>
      <c r="AE6" s="103"/>
      <c r="AF6" s="103"/>
      <c r="AG6" s="104"/>
      <c r="AH6" s="103"/>
      <c r="AI6" s="103"/>
      <c r="AJ6" s="103"/>
      <c r="AK6" s="103"/>
      <c r="AL6" s="98" t="s">
        <v>236</v>
      </c>
      <c r="BA6" s="103"/>
      <c r="BB6" s="100"/>
      <c r="BC6" s="100"/>
      <c r="BD6" s="100"/>
      <c r="BE6" s="100"/>
      <c r="BF6" s="108">
        <f>'投资-土地成本'!BF6</f>
        <v>0</v>
      </c>
      <c r="BG6" s="108">
        <f>'投资-土地成本'!BG6</f>
        <v>0</v>
      </c>
      <c r="BH6" s="109"/>
      <c r="BI6" s="109"/>
      <c r="BJ6" s="109"/>
      <c r="BK6" s="109"/>
      <c r="BL6" s="109"/>
      <c r="BM6" s="110"/>
      <c r="BN6" s="109"/>
      <c r="BO6" s="110"/>
      <c r="BP6" s="693" t="s">
        <v>3815</v>
      </c>
      <c r="BQ6" s="111"/>
      <c r="BS6" s="78"/>
      <c r="BX6" s="194"/>
      <c r="BY6" s="111"/>
    </row>
    <row r="7" s="349" customFormat="1" ht="36" spans="1:77">
      <c r="A7" s="195" t="s">
        <v>305</v>
      </c>
      <c r="B7" s="207" t="s">
        <v>3669</v>
      </c>
      <c r="C7" s="208" t="s">
        <v>3771</v>
      </c>
      <c r="D7" s="208" t="s">
        <v>3671</v>
      </c>
      <c r="E7" s="208" t="s">
        <v>3672</v>
      </c>
      <c r="F7" s="149" t="s">
        <v>3772</v>
      </c>
      <c r="G7" s="149" t="s">
        <v>3674</v>
      </c>
      <c r="H7" s="149" t="s">
        <v>3773</v>
      </c>
      <c r="I7" s="208" t="s">
        <v>3774</v>
      </c>
      <c r="J7" s="118" t="s">
        <v>3775</v>
      </c>
      <c r="K7" s="118" t="s">
        <v>3776</v>
      </c>
      <c r="L7" s="118" t="s">
        <v>3777</v>
      </c>
      <c r="M7" s="118" t="s">
        <v>3778</v>
      </c>
      <c r="N7" s="118" t="s">
        <v>3779</v>
      </c>
      <c r="O7" s="118" t="s">
        <v>3780</v>
      </c>
      <c r="P7" s="118" t="s">
        <v>3781</v>
      </c>
      <c r="Q7" s="118" t="s">
        <v>3782</v>
      </c>
      <c r="R7" s="118" t="s">
        <v>3783</v>
      </c>
      <c r="S7" s="118" t="s">
        <v>3784</v>
      </c>
      <c r="T7" s="118" t="s">
        <v>3785</v>
      </c>
      <c r="U7" s="118" t="s">
        <v>3786</v>
      </c>
      <c r="V7" s="118" t="s">
        <v>3787</v>
      </c>
      <c r="W7" s="118" t="s">
        <v>3788</v>
      </c>
      <c r="X7" s="118" t="s">
        <v>3789</v>
      </c>
      <c r="Y7" s="118" t="s">
        <v>3790</v>
      </c>
      <c r="Z7" s="118" t="s">
        <v>3791</v>
      </c>
      <c r="AA7" s="114" t="s">
        <v>1631</v>
      </c>
      <c r="AB7" s="115" t="s">
        <v>1632</v>
      </c>
      <c r="AC7" s="116" t="s">
        <v>3638</v>
      </c>
      <c r="AD7" s="116" t="s">
        <v>3793</v>
      </c>
      <c r="AE7" s="118" t="s">
        <v>2751</v>
      </c>
      <c r="AF7" s="118" t="s">
        <v>1549</v>
      </c>
      <c r="AG7" s="352" t="s">
        <v>1634</v>
      </c>
      <c r="AH7" s="118" t="s">
        <v>1523</v>
      </c>
      <c r="AI7" s="118" t="s">
        <v>1550</v>
      </c>
      <c r="AJ7" s="118" t="s">
        <v>1525</v>
      </c>
      <c r="AK7" s="118" t="s">
        <v>1551</v>
      </c>
      <c r="AL7" s="118" t="s">
        <v>308</v>
      </c>
      <c r="BA7" s="100" t="s">
        <v>1545</v>
      </c>
      <c r="BB7" s="100" t="s">
        <v>1635</v>
      </c>
      <c r="BC7" s="100" t="s">
        <v>1636</v>
      </c>
      <c r="BD7" s="100" t="s">
        <v>1637</v>
      </c>
      <c r="BE7" s="100" t="s">
        <v>1638</v>
      </c>
      <c r="BF7" s="115" t="s">
        <v>1639</v>
      </c>
      <c r="BG7" s="115" t="s">
        <v>1640</v>
      </c>
      <c r="BH7" s="118" t="s">
        <v>1748</v>
      </c>
      <c r="BI7" s="118" t="s">
        <v>3744</v>
      </c>
      <c r="BJ7" s="118" t="s">
        <v>1750</v>
      </c>
      <c r="BK7" s="118" t="s">
        <v>3745</v>
      </c>
      <c r="BL7" s="118" t="s">
        <v>1641</v>
      </c>
      <c r="BM7" s="118" t="s">
        <v>2209</v>
      </c>
      <c r="BN7" s="118" t="s">
        <v>3697</v>
      </c>
      <c r="BO7" s="118" t="s">
        <v>1644</v>
      </c>
      <c r="BP7" s="224" t="s">
        <v>2184</v>
      </c>
      <c r="BQ7" s="119"/>
      <c r="BR7" s="120" t="s">
        <v>1645</v>
      </c>
      <c r="BS7" s="121" t="s">
        <v>1646</v>
      </c>
      <c r="BT7" s="121" t="s">
        <v>1647</v>
      </c>
      <c r="BU7" s="121" t="s">
        <v>1648</v>
      </c>
      <c r="BV7" s="121" t="s">
        <v>1647</v>
      </c>
      <c r="BW7" s="121" t="s">
        <v>1647</v>
      </c>
      <c r="BX7" s="121" t="s">
        <v>1649</v>
      </c>
      <c r="BY7" s="122" t="s">
        <v>1650</v>
      </c>
    </row>
    <row r="8" s="73" customFormat="1" ht="15" customHeight="1" spans="1:77">
      <c r="A8" s="123" t="str">
        <f>IF(F8="","",COUNT(A$7:A7)+1)</f>
        <v/>
      </c>
      <c r="B8" s="123"/>
      <c r="C8" s="126"/>
      <c r="D8" s="126"/>
      <c r="E8" s="126"/>
      <c r="F8" s="124"/>
      <c r="G8" s="124"/>
      <c r="H8" s="124"/>
      <c r="I8" s="125"/>
      <c r="J8" s="126"/>
      <c r="K8" s="126"/>
      <c r="L8" s="125"/>
      <c r="M8" s="126"/>
      <c r="N8" s="491"/>
      <c r="O8" s="491"/>
      <c r="P8" s="491"/>
      <c r="Q8" s="491"/>
      <c r="R8" s="491"/>
      <c r="S8" s="491"/>
      <c r="T8" s="491"/>
      <c r="U8" s="491"/>
      <c r="V8" s="491"/>
      <c r="W8" s="491"/>
      <c r="X8" s="491"/>
      <c r="Y8" s="491"/>
      <c r="Z8" s="491"/>
      <c r="AA8" s="127"/>
      <c r="AB8" s="127" t="str">
        <f>IFERROR(VLOOKUP(AA8,参数表!$H$2:$I$50,2,FALSE),"")</f>
        <v/>
      </c>
      <c r="AC8" s="128" t="str">
        <f>IFERROR(IF(OR(AA8="人民币",AA8=""),"",AE8/AB8),"")</f>
        <v/>
      </c>
      <c r="AD8" s="128" t="str">
        <f>IFERROR(IF(OR(AA8="人民币",AA8=""),"",AH8/AB8),"")</f>
        <v/>
      </c>
      <c r="AE8" s="129"/>
      <c r="AF8" s="129"/>
      <c r="AG8" s="130"/>
      <c r="AH8" s="129" t="str">
        <f>IF(F8="","",AF8+AG8)</f>
        <v/>
      </c>
      <c r="AI8" s="129" t="str">
        <f t="shared" ref="AI8:AI27" si="0">IF(F8="","",IF($BB$3="是",N8*BP8,""))</f>
        <v/>
      </c>
      <c r="AJ8" s="129" t="str">
        <f>IFERROR(AI8-AH8,"")</f>
        <v/>
      </c>
      <c r="AK8" s="129" t="str">
        <f>IFERROR(AJ8/AH8*100,"")</f>
        <v/>
      </c>
      <c r="AL8" s="131"/>
      <c r="BA8" s="78"/>
      <c r="BB8" s="132" t="s">
        <v>3816</v>
      </c>
      <c r="BC8" s="133"/>
      <c r="BD8" s="132" t="str">
        <f>IF(OR(F8="",BC8=""),"",COUNTIF(BC$8:BC8,"√"))</f>
        <v/>
      </c>
      <c r="BE8" s="134" t="str">
        <f t="shared" ref="BE8:BE27" si="1">IF(FC8="","",BB8&amp;"︱"&amp;F8&amp;"︱"&amp;TEXT(AF8,"#,##0.00"))</f>
        <v/>
      </c>
      <c r="BF8" s="135" t="str">
        <f>IF($C8="","",IF(BF$5=0,"OK","出错"))</f>
        <v/>
      </c>
      <c r="BG8" s="135" t="str">
        <f>IF($C8="","",IF(BG$5=0,"OK","出错"))</f>
        <v/>
      </c>
      <c r="BH8" s="136"/>
      <c r="BI8" s="136"/>
      <c r="BJ8" s="136"/>
      <c r="BK8" s="136"/>
      <c r="BL8" s="136"/>
      <c r="BM8" s="137"/>
      <c r="BN8" s="136"/>
      <c r="BO8" s="137"/>
      <c r="BQ8" s="77"/>
      <c r="BR8" s="134" t="str">
        <f>IF(COUNTIF(BR$7:BR7,K8)&gt;0,"",K8)&amp;""</f>
        <v/>
      </c>
      <c r="BS8" s="138">
        <f>SUMIF(K$8:K$27,BR8,AE$8:AE$27)</f>
        <v>0</v>
      </c>
      <c r="BT8" s="132">
        <f t="shared" ref="BT8" si="2">RANK(BS8,BS$8:BS$27)</f>
        <v>1</v>
      </c>
      <c r="BU8" s="138">
        <f>SUMIF(K$8:K$27,BR8,AI$8:AI$27)</f>
        <v>0</v>
      </c>
      <c r="BV8" s="132">
        <f>RANK(BU8,BU$8:BU$27)</f>
        <v>1</v>
      </c>
      <c r="BW8" s="138">
        <f>SUM(BS8:BS27)</f>
        <v>0</v>
      </c>
      <c r="BX8" s="138"/>
      <c r="BY8" s="138"/>
    </row>
    <row r="9" ht="15" customHeight="1" spans="1:77">
      <c r="A9" s="123" t="str">
        <f>IF(F9="","",COUNT(A$7:A8)+1)</f>
        <v/>
      </c>
      <c r="B9" s="141"/>
      <c r="C9" s="141"/>
      <c r="D9" s="141"/>
      <c r="E9" s="141"/>
      <c r="F9" s="139"/>
      <c r="G9" s="139"/>
      <c r="H9" s="139"/>
      <c r="I9" s="140"/>
      <c r="J9" s="141"/>
      <c r="K9" s="141"/>
      <c r="L9" s="140"/>
      <c r="M9" s="141"/>
      <c r="N9" s="501"/>
      <c r="O9" s="501"/>
      <c r="P9" s="501"/>
      <c r="Q9" s="501"/>
      <c r="R9" s="501"/>
      <c r="S9" s="501"/>
      <c r="T9" s="501"/>
      <c r="U9" s="501"/>
      <c r="V9" s="501"/>
      <c r="W9" s="501"/>
      <c r="X9" s="501"/>
      <c r="Y9" s="501"/>
      <c r="Z9" s="501"/>
      <c r="AA9" s="142"/>
      <c r="AB9" s="127" t="str">
        <f>IFERROR(VLOOKUP(AA9,参数表!$H$2:$I$50,2,FALSE),"")</f>
        <v/>
      </c>
      <c r="AC9" s="128" t="str">
        <f t="shared" ref="AC9:AC27" si="3">IFERROR(IF(OR(AA9="人民币",AA9=""),"",AE9/AB9),"")</f>
        <v/>
      </c>
      <c r="AD9" s="128" t="str">
        <f t="shared" ref="AD9:AD27" si="4">IFERROR(IF(OR(AA9="人民币",AA9=""),"",AH9/AB9),"")</f>
        <v/>
      </c>
      <c r="AE9" s="143"/>
      <c r="AF9" s="143"/>
      <c r="AG9" s="144"/>
      <c r="AH9" s="129" t="str">
        <f t="shared" ref="AH9:AH27" si="5">IF(F9="","",AF9+AG9)</f>
        <v/>
      </c>
      <c r="AI9" s="129" t="str">
        <f t="shared" si="0"/>
        <v/>
      </c>
      <c r="AJ9" s="129" t="str">
        <f t="shared" ref="AJ9:AJ27" si="6">IFERROR(AI9-AH9,"")</f>
        <v/>
      </c>
      <c r="AK9" s="129" t="str">
        <f t="shared" ref="AK9:AK27" si="7">IFERROR(AJ9/AH9*100,"")</f>
        <v/>
      </c>
      <c r="AL9" s="145"/>
      <c r="BA9" s="78"/>
      <c r="BB9" s="132" t="s">
        <v>3817</v>
      </c>
      <c r="BC9" s="133"/>
      <c r="BD9" s="132" t="str">
        <f>IF(OR(F9="",BC9=""),"",COUNTIF(BC$8:BC9,"√"))</f>
        <v/>
      </c>
      <c r="BE9" s="134" t="str">
        <f t="shared" si="1"/>
        <v/>
      </c>
      <c r="BF9" s="135" t="str">
        <f t="shared" ref="BF9:BG27" si="8">IF($C9="","",IF(BF$5=0,"OK","出错"))</f>
        <v/>
      </c>
      <c r="BG9" s="135" t="str">
        <f t="shared" si="8"/>
        <v/>
      </c>
      <c r="BH9" s="136"/>
      <c r="BI9" s="136"/>
      <c r="BJ9" s="136"/>
      <c r="BK9" s="136"/>
      <c r="BL9" s="136"/>
      <c r="BM9" s="137"/>
      <c r="BN9" s="136"/>
      <c r="BO9" s="137"/>
      <c r="BR9" s="134" t="str">
        <f>IF(COUNTIF(BR$7:BR8,K9)&gt;0,"",K9)&amp;""</f>
        <v/>
      </c>
      <c r="BS9" s="138">
        <f t="shared" ref="BS9:BS27" si="9">SUMIF(K$8:K$27,BR9,AE$8:AE$27)</f>
        <v>0</v>
      </c>
      <c r="BT9" s="132">
        <f t="shared" ref="BT9:BT27" si="10">RANK(BS9,BS$8:BS$27)</f>
        <v>1</v>
      </c>
      <c r="BU9" s="138">
        <f t="shared" ref="BU9:BU27" si="11">SUMIF(K$8:K$27,BR9,AI$8:AI$27)</f>
        <v>0</v>
      </c>
      <c r="BV9" s="132">
        <f t="shared" ref="BV9:BV27" si="12">RANK(BU9,BU$8:BU$27)</f>
        <v>1</v>
      </c>
      <c r="BW9" s="138">
        <f>SUM(BU8:BU27)</f>
        <v>0</v>
      </c>
      <c r="BX9" s="138"/>
      <c r="BY9" s="138"/>
    </row>
    <row r="10" ht="15" customHeight="1" spans="1:77">
      <c r="A10" s="123" t="str">
        <f>IF(F10="","",COUNT(A$7:A9)+1)</f>
        <v/>
      </c>
      <c r="B10" s="141"/>
      <c r="C10" s="141"/>
      <c r="D10" s="141"/>
      <c r="E10" s="141"/>
      <c r="F10" s="139"/>
      <c r="G10" s="139"/>
      <c r="H10" s="139"/>
      <c r="I10" s="140"/>
      <c r="J10" s="141"/>
      <c r="K10" s="141"/>
      <c r="L10" s="140"/>
      <c r="M10" s="141"/>
      <c r="N10" s="501"/>
      <c r="O10" s="501"/>
      <c r="P10" s="501"/>
      <c r="Q10" s="501"/>
      <c r="R10" s="501"/>
      <c r="S10" s="501"/>
      <c r="T10" s="501"/>
      <c r="U10" s="501"/>
      <c r="V10" s="501"/>
      <c r="W10" s="501"/>
      <c r="X10" s="501"/>
      <c r="Y10" s="501"/>
      <c r="Z10" s="501"/>
      <c r="AA10" s="142"/>
      <c r="AB10" s="127" t="str">
        <f>IFERROR(VLOOKUP(AA10,参数表!$H$2:$I$50,2,FALSE),"")</f>
        <v/>
      </c>
      <c r="AC10" s="128" t="str">
        <f t="shared" si="3"/>
        <v/>
      </c>
      <c r="AD10" s="128" t="str">
        <f t="shared" si="4"/>
        <v/>
      </c>
      <c r="AE10" s="143"/>
      <c r="AF10" s="143"/>
      <c r="AG10" s="144"/>
      <c r="AH10" s="129" t="str">
        <f t="shared" si="5"/>
        <v/>
      </c>
      <c r="AI10" s="129" t="str">
        <f t="shared" si="0"/>
        <v/>
      </c>
      <c r="AJ10" s="129" t="str">
        <f t="shared" si="6"/>
        <v/>
      </c>
      <c r="AK10" s="129" t="str">
        <f t="shared" si="7"/>
        <v/>
      </c>
      <c r="AL10" s="145"/>
      <c r="BA10" s="78"/>
      <c r="BB10" s="132" t="s">
        <v>3818</v>
      </c>
      <c r="BC10" s="133"/>
      <c r="BD10" s="132" t="str">
        <f>IF(OR(F10="",BC10=""),"",COUNTIF(BC$8:BC10,"√"))</f>
        <v/>
      </c>
      <c r="BE10" s="134" t="str">
        <f t="shared" si="1"/>
        <v/>
      </c>
      <c r="BF10" s="135" t="str">
        <f t="shared" si="8"/>
        <v/>
      </c>
      <c r="BG10" s="135" t="str">
        <f t="shared" si="8"/>
        <v/>
      </c>
      <c r="BH10" s="136"/>
      <c r="BI10" s="136"/>
      <c r="BJ10" s="136"/>
      <c r="BK10" s="136"/>
      <c r="BL10" s="136"/>
      <c r="BM10" s="137"/>
      <c r="BN10" s="136"/>
      <c r="BO10" s="137"/>
      <c r="BR10" s="134" t="str">
        <f>IF(COUNTIF(BR$7:BR9,K10)&gt;0,"",K10)&amp;""</f>
        <v/>
      </c>
      <c r="BS10" s="138">
        <f t="shared" si="9"/>
        <v>0</v>
      </c>
      <c r="BT10" s="132">
        <f t="shared" si="10"/>
        <v>1</v>
      </c>
      <c r="BU10" s="138">
        <f t="shared" si="11"/>
        <v>0</v>
      </c>
      <c r="BV10" s="132">
        <f t="shared" si="12"/>
        <v>1</v>
      </c>
      <c r="BW10" s="132">
        <v>1</v>
      </c>
      <c r="BX10" s="134" t="str">
        <f>IFERROR(INDEX(BR$8:BR$27,MATCH(BW10,IF(BW$8=0,BV$8:BV$27,BT$8:BT$27),0))&amp;"","")</f>
        <v/>
      </c>
      <c r="BY10" s="146" t="str">
        <f>IF(BX11="","",IF(BX12="","和","、"))</f>
        <v/>
      </c>
    </row>
    <row r="11" ht="15" customHeight="1" spans="1:77">
      <c r="A11" s="123" t="str">
        <f>IF(F11="","",COUNT(A$7:A10)+1)</f>
        <v/>
      </c>
      <c r="B11" s="141"/>
      <c r="C11" s="141"/>
      <c r="D11" s="141"/>
      <c r="E11" s="141"/>
      <c r="F11" s="139"/>
      <c r="G11" s="139"/>
      <c r="H11" s="139"/>
      <c r="I11" s="140"/>
      <c r="J11" s="141"/>
      <c r="K11" s="141"/>
      <c r="L11" s="140"/>
      <c r="M11" s="141"/>
      <c r="N11" s="501"/>
      <c r="O11" s="501"/>
      <c r="P11" s="501"/>
      <c r="Q11" s="501"/>
      <c r="R11" s="501"/>
      <c r="S11" s="501"/>
      <c r="T11" s="501"/>
      <c r="U11" s="501"/>
      <c r="V11" s="501"/>
      <c r="W11" s="501"/>
      <c r="X11" s="501"/>
      <c r="Y11" s="501"/>
      <c r="Z11" s="501"/>
      <c r="AA11" s="142"/>
      <c r="AB11" s="127" t="str">
        <f>IFERROR(VLOOKUP(AA11,参数表!$H$2:$I$50,2,FALSE),"")</f>
        <v/>
      </c>
      <c r="AC11" s="128" t="str">
        <f t="shared" si="3"/>
        <v/>
      </c>
      <c r="AD11" s="128" t="str">
        <f t="shared" si="4"/>
        <v/>
      </c>
      <c r="AE11" s="143"/>
      <c r="AF11" s="143"/>
      <c r="AG11" s="144"/>
      <c r="AH11" s="129" t="str">
        <f t="shared" si="5"/>
        <v/>
      </c>
      <c r="AI11" s="129" t="str">
        <f t="shared" si="0"/>
        <v/>
      </c>
      <c r="AJ11" s="129" t="str">
        <f t="shared" si="6"/>
        <v/>
      </c>
      <c r="AK11" s="129" t="str">
        <f t="shared" si="7"/>
        <v/>
      </c>
      <c r="AL11" s="145"/>
      <c r="BA11" s="78"/>
      <c r="BB11" s="132" t="s">
        <v>3819</v>
      </c>
      <c r="BC11" s="133"/>
      <c r="BD11" s="132" t="str">
        <f>IF(OR(F11="",BC11=""),"",COUNTIF(BC$8:BC11,"√"))</f>
        <v/>
      </c>
      <c r="BE11" s="134" t="str">
        <f t="shared" si="1"/>
        <v/>
      </c>
      <c r="BF11" s="135" t="str">
        <f t="shared" si="8"/>
        <v/>
      </c>
      <c r="BG11" s="135" t="str">
        <f t="shared" si="8"/>
        <v/>
      </c>
      <c r="BH11" s="136"/>
      <c r="BI11" s="136"/>
      <c r="BJ11" s="136"/>
      <c r="BK11" s="136"/>
      <c r="BL11" s="136"/>
      <c r="BM11" s="137"/>
      <c r="BN11" s="136"/>
      <c r="BO11" s="137"/>
      <c r="BR11" s="134" t="str">
        <f>IF(COUNTIF(BR$7:BR10,K11)&gt;0,"",K11)&amp;""</f>
        <v/>
      </c>
      <c r="BS11" s="138">
        <f t="shared" si="9"/>
        <v>0</v>
      </c>
      <c r="BT11" s="132">
        <f t="shared" si="10"/>
        <v>1</v>
      </c>
      <c r="BU11" s="138">
        <f t="shared" si="11"/>
        <v>0</v>
      </c>
      <c r="BV11" s="132">
        <f t="shared" si="12"/>
        <v>1</v>
      </c>
      <c r="BW11" s="132">
        <v>2</v>
      </c>
      <c r="BX11" s="134" t="str">
        <f t="shared" ref="BX11:BX14" si="13">IFERROR(INDEX(BR$8:BR$27,MATCH(BW11,IF(BW$8=0,BV$8:BV$27,BT$8:BT$27),0))&amp;"","")</f>
        <v/>
      </c>
      <c r="BY11" s="146" t="str">
        <f t="shared" ref="BY11:BY12" si="14">IF(BX12="","",IF(BX13="","和","、"))</f>
        <v/>
      </c>
    </row>
    <row r="12" ht="15" customHeight="1" spans="1:77">
      <c r="A12" s="123" t="str">
        <f>IF(F12="","",COUNT(A$7:A11)+1)</f>
        <v/>
      </c>
      <c r="B12" s="141"/>
      <c r="C12" s="141"/>
      <c r="D12" s="141"/>
      <c r="E12" s="141"/>
      <c r="F12" s="139"/>
      <c r="G12" s="139"/>
      <c r="H12" s="139"/>
      <c r="I12" s="140"/>
      <c r="J12" s="141"/>
      <c r="K12" s="141"/>
      <c r="L12" s="140"/>
      <c r="M12" s="141"/>
      <c r="N12" s="501"/>
      <c r="O12" s="501"/>
      <c r="P12" s="501"/>
      <c r="Q12" s="501"/>
      <c r="R12" s="501"/>
      <c r="S12" s="501"/>
      <c r="T12" s="501"/>
      <c r="U12" s="501"/>
      <c r="V12" s="501"/>
      <c r="W12" s="501"/>
      <c r="X12" s="501"/>
      <c r="Y12" s="501"/>
      <c r="Z12" s="501"/>
      <c r="AA12" s="142"/>
      <c r="AB12" s="127" t="str">
        <f>IFERROR(VLOOKUP(AA12,参数表!$H$2:$I$50,2,FALSE),"")</f>
        <v/>
      </c>
      <c r="AC12" s="128" t="str">
        <f t="shared" si="3"/>
        <v/>
      </c>
      <c r="AD12" s="128" t="str">
        <f t="shared" si="4"/>
        <v/>
      </c>
      <c r="AE12" s="143"/>
      <c r="AF12" s="143"/>
      <c r="AG12" s="144"/>
      <c r="AH12" s="129" t="str">
        <f t="shared" si="5"/>
        <v/>
      </c>
      <c r="AI12" s="129" t="str">
        <f t="shared" si="0"/>
        <v/>
      </c>
      <c r="AJ12" s="129" t="str">
        <f t="shared" si="6"/>
        <v/>
      </c>
      <c r="AK12" s="129" t="str">
        <f t="shared" si="7"/>
        <v/>
      </c>
      <c r="AL12" s="145"/>
      <c r="BA12" s="78"/>
      <c r="BB12" s="132" t="s">
        <v>3820</v>
      </c>
      <c r="BC12" s="133"/>
      <c r="BD12" s="132" t="str">
        <f>IF(OR(F12="",BC12=""),"",COUNTIF(BC$8:BC12,"√"))</f>
        <v/>
      </c>
      <c r="BE12" s="134" t="str">
        <f t="shared" si="1"/>
        <v/>
      </c>
      <c r="BF12" s="135" t="str">
        <f t="shared" si="8"/>
        <v/>
      </c>
      <c r="BG12" s="135" t="str">
        <f t="shared" si="8"/>
        <v/>
      </c>
      <c r="BH12" s="136"/>
      <c r="BI12" s="136"/>
      <c r="BJ12" s="136"/>
      <c r="BK12" s="136"/>
      <c r="BL12" s="136"/>
      <c r="BM12" s="137"/>
      <c r="BN12" s="136"/>
      <c r="BO12" s="137"/>
      <c r="BR12" s="134" t="str">
        <f>IF(COUNTIF(BR$7:BR11,K12)&gt;0,"",K12)&amp;""</f>
        <v/>
      </c>
      <c r="BS12" s="138">
        <f t="shared" si="9"/>
        <v>0</v>
      </c>
      <c r="BT12" s="132">
        <f t="shared" si="10"/>
        <v>1</v>
      </c>
      <c r="BU12" s="138">
        <f t="shared" si="11"/>
        <v>0</v>
      </c>
      <c r="BV12" s="132">
        <f t="shared" si="12"/>
        <v>1</v>
      </c>
      <c r="BW12" s="132">
        <v>3</v>
      </c>
      <c r="BX12" s="134" t="str">
        <f t="shared" si="13"/>
        <v/>
      </c>
      <c r="BY12" s="146" t="str">
        <f t="shared" si="14"/>
        <v/>
      </c>
    </row>
    <row r="13" ht="15" customHeight="1" spans="1:77">
      <c r="A13" s="123" t="str">
        <f>IF(F13="","",COUNT(A$7:A12)+1)</f>
        <v/>
      </c>
      <c r="B13" s="141"/>
      <c r="C13" s="141"/>
      <c r="D13" s="141"/>
      <c r="E13" s="141"/>
      <c r="F13" s="139"/>
      <c r="G13" s="139"/>
      <c r="H13" s="139"/>
      <c r="I13" s="140"/>
      <c r="J13" s="141"/>
      <c r="K13" s="141"/>
      <c r="L13" s="140"/>
      <c r="M13" s="141"/>
      <c r="N13" s="501"/>
      <c r="O13" s="501"/>
      <c r="P13" s="501"/>
      <c r="Q13" s="501"/>
      <c r="R13" s="501"/>
      <c r="S13" s="501"/>
      <c r="T13" s="501"/>
      <c r="U13" s="501"/>
      <c r="V13" s="501"/>
      <c r="W13" s="501"/>
      <c r="X13" s="501"/>
      <c r="Y13" s="501"/>
      <c r="Z13" s="501"/>
      <c r="AA13" s="142"/>
      <c r="AB13" s="127" t="str">
        <f>IFERROR(VLOOKUP(AA13,参数表!$H$2:$I$50,2,FALSE),"")</f>
        <v/>
      </c>
      <c r="AC13" s="128" t="str">
        <f t="shared" si="3"/>
        <v/>
      </c>
      <c r="AD13" s="128" t="str">
        <f t="shared" si="4"/>
        <v/>
      </c>
      <c r="AE13" s="143"/>
      <c r="AF13" s="143"/>
      <c r="AG13" s="144"/>
      <c r="AH13" s="129" t="str">
        <f t="shared" si="5"/>
        <v/>
      </c>
      <c r="AI13" s="129" t="str">
        <f t="shared" si="0"/>
        <v/>
      </c>
      <c r="AJ13" s="129" t="str">
        <f t="shared" si="6"/>
        <v/>
      </c>
      <c r="AK13" s="129" t="str">
        <f t="shared" si="7"/>
        <v/>
      </c>
      <c r="AL13" s="145"/>
      <c r="BA13" s="78"/>
      <c r="BB13" s="132" t="s">
        <v>3821</v>
      </c>
      <c r="BC13" s="133"/>
      <c r="BD13" s="132" t="str">
        <f>IF(OR(F13="",BC13=""),"",COUNTIF(BC$8:BC13,"√"))</f>
        <v/>
      </c>
      <c r="BE13" s="134" t="str">
        <f t="shared" si="1"/>
        <v/>
      </c>
      <c r="BF13" s="135" t="str">
        <f t="shared" si="8"/>
        <v/>
      </c>
      <c r="BG13" s="135" t="str">
        <f t="shared" si="8"/>
        <v/>
      </c>
      <c r="BH13" s="136"/>
      <c r="BI13" s="136"/>
      <c r="BJ13" s="136"/>
      <c r="BK13" s="136"/>
      <c r="BL13" s="136"/>
      <c r="BM13" s="137"/>
      <c r="BN13" s="136"/>
      <c r="BO13" s="137"/>
      <c r="BR13" s="134" t="str">
        <f>IF(COUNTIF(BR$7:BR12,K13)&gt;0,"",K13)&amp;""</f>
        <v/>
      </c>
      <c r="BS13" s="138">
        <f t="shared" si="9"/>
        <v>0</v>
      </c>
      <c r="BT13" s="132">
        <f t="shared" si="10"/>
        <v>1</v>
      </c>
      <c r="BU13" s="138">
        <f t="shared" si="11"/>
        <v>0</v>
      </c>
      <c r="BV13" s="132">
        <f t="shared" si="12"/>
        <v>1</v>
      </c>
      <c r="BW13" s="132">
        <v>4</v>
      </c>
      <c r="BX13" s="134" t="str">
        <f t="shared" si="13"/>
        <v/>
      </c>
      <c r="BY13" s="146" t="str">
        <f>IF(BX14="","","和")</f>
        <v/>
      </c>
    </row>
    <row r="14" ht="15" customHeight="1" spans="1:77">
      <c r="A14" s="123" t="str">
        <f>IF(F14="","",COUNT(A$7:A13)+1)</f>
        <v/>
      </c>
      <c r="B14" s="141"/>
      <c r="C14" s="141"/>
      <c r="D14" s="141"/>
      <c r="E14" s="141"/>
      <c r="F14" s="139"/>
      <c r="G14" s="139"/>
      <c r="H14" s="139"/>
      <c r="I14" s="140"/>
      <c r="J14" s="141"/>
      <c r="K14" s="141"/>
      <c r="L14" s="140"/>
      <c r="M14" s="141"/>
      <c r="N14" s="501"/>
      <c r="O14" s="501"/>
      <c r="P14" s="501"/>
      <c r="Q14" s="501"/>
      <c r="R14" s="501"/>
      <c r="S14" s="501"/>
      <c r="T14" s="501"/>
      <c r="U14" s="501"/>
      <c r="V14" s="501"/>
      <c r="W14" s="501"/>
      <c r="X14" s="501"/>
      <c r="Y14" s="501"/>
      <c r="Z14" s="501"/>
      <c r="AA14" s="142"/>
      <c r="AB14" s="127" t="str">
        <f>IFERROR(VLOOKUP(AA14,参数表!$H$2:$I$50,2,FALSE),"")</f>
        <v/>
      </c>
      <c r="AC14" s="128" t="str">
        <f t="shared" si="3"/>
        <v/>
      </c>
      <c r="AD14" s="128" t="str">
        <f t="shared" si="4"/>
        <v/>
      </c>
      <c r="AE14" s="143"/>
      <c r="AF14" s="143"/>
      <c r="AG14" s="144"/>
      <c r="AH14" s="129" t="str">
        <f t="shared" si="5"/>
        <v/>
      </c>
      <c r="AI14" s="129" t="str">
        <f t="shared" si="0"/>
        <v/>
      </c>
      <c r="AJ14" s="129" t="str">
        <f t="shared" si="6"/>
        <v/>
      </c>
      <c r="AK14" s="129" t="str">
        <f t="shared" si="7"/>
        <v/>
      </c>
      <c r="AL14" s="145"/>
      <c r="BA14" s="78"/>
      <c r="BB14" s="132" t="s">
        <v>3822</v>
      </c>
      <c r="BC14" s="133"/>
      <c r="BD14" s="132" t="str">
        <f>IF(OR(F14="",BC14=""),"",COUNTIF(BC$8:BC14,"√"))</f>
        <v/>
      </c>
      <c r="BE14" s="134" t="str">
        <f t="shared" si="1"/>
        <v/>
      </c>
      <c r="BF14" s="135" t="str">
        <f t="shared" si="8"/>
        <v/>
      </c>
      <c r="BG14" s="135" t="str">
        <f t="shared" si="8"/>
        <v/>
      </c>
      <c r="BH14" s="136"/>
      <c r="BI14" s="136"/>
      <c r="BJ14" s="136"/>
      <c r="BK14" s="136"/>
      <c r="BL14" s="136"/>
      <c r="BM14" s="137"/>
      <c r="BN14" s="136"/>
      <c r="BO14" s="137"/>
      <c r="BR14" s="134" t="str">
        <f>IF(COUNTIF(BR$7:BR13,K14)&gt;0,"",K14)&amp;""</f>
        <v/>
      </c>
      <c r="BS14" s="138">
        <f t="shared" si="9"/>
        <v>0</v>
      </c>
      <c r="BT14" s="132">
        <f t="shared" si="10"/>
        <v>1</v>
      </c>
      <c r="BU14" s="138">
        <f t="shared" si="11"/>
        <v>0</v>
      </c>
      <c r="BV14" s="132">
        <f t="shared" si="12"/>
        <v>1</v>
      </c>
      <c r="BW14" s="132">
        <v>5</v>
      </c>
      <c r="BX14" s="134" t="str">
        <f t="shared" si="13"/>
        <v/>
      </c>
      <c r="BY14" s="146"/>
    </row>
    <row r="15" ht="15" customHeight="1" spans="1:77">
      <c r="A15" s="123" t="str">
        <f>IF(F15="","",COUNT(A$7:A14)+1)</f>
        <v/>
      </c>
      <c r="B15" s="141"/>
      <c r="C15" s="141"/>
      <c r="D15" s="141"/>
      <c r="E15" s="141"/>
      <c r="F15" s="139"/>
      <c r="G15" s="139"/>
      <c r="H15" s="139"/>
      <c r="I15" s="140"/>
      <c r="J15" s="141"/>
      <c r="K15" s="141"/>
      <c r="L15" s="140"/>
      <c r="M15" s="141"/>
      <c r="N15" s="501"/>
      <c r="O15" s="501"/>
      <c r="P15" s="501"/>
      <c r="Q15" s="501"/>
      <c r="R15" s="501"/>
      <c r="S15" s="501"/>
      <c r="T15" s="501"/>
      <c r="U15" s="501"/>
      <c r="V15" s="501"/>
      <c r="W15" s="501"/>
      <c r="X15" s="501"/>
      <c r="Y15" s="501"/>
      <c r="Z15" s="501"/>
      <c r="AA15" s="142"/>
      <c r="AB15" s="127" t="str">
        <f>IFERROR(VLOOKUP(AA15,参数表!$H$2:$I$50,2,FALSE),"")</f>
        <v/>
      </c>
      <c r="AC15" s="128" t="str">
        <f t="shared" si="3"/>
        <v/>
      </c>
      <c r="AD15" s="128" t="str">
        <f t="shared" si="4"/>
        <v/>
      </c>
      <c r="AE15" s="143"/>
      <c r="AF15" s="143"/>
      <c r="AG15" s="144"/>
      <c r="AH15" s="129" t="str">
        <f t="shared" si="5"/>
        <v/>
      </c>
      <c r="AI15" s="129" t="str">
        <f t="shared" si="0"/>
        <v/>
      </c>
      <c r="AJ15" s="129" t="str">
        <f t="shared" si="6"/>
        <v/>
      </c>
      <c r="AK15" s="129" t="str">
        <f t="shared" si="7"/>
        <v/>
      </c>
      <c r="AL15" s="145"/>
      <c r="BA15" s="78"/>
      <c r="BB15" s="132" t="s">
        <v>3823</v>
      </c>
      <c r="BC15" s="133"/>
      <c r="BD15" s="132" t="str">
        <f>IF(OR(F15="",BC15=""),"",COUNTIF(BC$8:BC15,"√"))</f>
        <v/>
      </c>
      <c r="BE15" s="134" t="str">
        <f t="shared" si="1"/>
        <v/>
      </c>
      <c r="BF15" s="135" t="str">
        <f t="shared" si="8"/>
        <v/>
      </c>
      <c r="BG15" s="135" t="str">
        <f t="shared" si="8"/>
        <v/>
      </c>
      <c r="BH15" s="136"/>
      <c r="BI15" s="136"/>
      <c r="BJ15" s="136"/>
      <c r="BK15" s="136"/>
      <c r="BL15" s="136"/>
      <c r="BM15" s="137"/>
      <c r="BN15" s="136"/>
      <c r="BO15" s="137"/>
      <c r="BR15" s="134" t="str">
        <f>IF(COUNTIF(BR$7:BR14,K15)&gt;0,"",K15)&amp;""</f>
        <v/>
      </c>
      <c r="BS15" s="138">
        <f t="shared" si="9"/>
        <v>0</v>
      </c>
      <c r="BT15" s="132">
        <f t="shared" si="10"/>
        <v>1</v>
      </c>
      <c r="BU15" s="138">
        <f t="shared" si="11"/>
        <v>0</v>
      </c>
      <c r="BV15" s="132">
        <f t="shared" si="12"/>
        <v>1</v>
      </c>
      <c r="BW15" s="147" t="s">
        <v>1659</v>
      </c>
      <c r="BX15" s="132" t="str">
        <f>CONCATENATE(BX10,BY10,BX11,BY11,BX12,BY12,BX13,BY13,BX14)</f>
        <v/>
      </c>
      <c r="BY15" s="132"/>
    </row>
    <row r="16" ht="15" customHeight="1" spans="1:77">
      <c r="A16" s="123" t="str">
        <f>IF(F16="","",COUNT(A$7:A15)+1)</f>
        <v/>
      </c>
      <c r="B16" s="141"/>
      <c r="C16" s="141"/>
      <c r="D16" s="141"/>
      <c r="E16" s="141"/>
      <c r="F16" s="139"/>
      <c r="G16" s="139"/>
      <c r="H16" s="139"/>
      <c r="I16" s="140"/>
      <c r="J16" s="141"/>
      <c r="K16" s="141"/>
      <c r="L16" s="140"/>
      <c r="M16" s="141"/>
      <c r="N16" s="501"/>
      <c r="O16" s="501"/>
      <c r="P16" s="501"/>
      <c r="Q16" s="501"/>
      <c r="R16" s="501"/>
      <c r="S16" s="501"/>
      <c r="T16" s="501"/>
      <c r="U16" s="501"/>
      <c r="V16" s="501"/>
      <c r="W16" s="501"/>
      <c r="X16" s="501"/>
      <c r="Y16" s="501"/>
      <c r="Z16" s="501"/>
      <c r="AA16" s="142"/>
      <c r="AB16" s="127" t="str">
        <f>IFERROR(VLOOKUP(AA16,参数表!$H$2:$I$50,2,FALSE),"")</f>
        <v/>
      </c>
      <c r="AC16" s="128" t="str">
        <f t="shared" si="3"/>
        <v/>
      </c>
      <c r="AD16" s="128" t="str">
        <f t="shared" si="4"/>
        <v/>
      </c>
      <c r="AE16" s="143"/>
      <c r="AF16" s="143"/>
      <c r="AG16" s="144"/>
      <c r="AH16" s="129" t="str">
        <f t="shared" si="5"/>
        <v/>
      </c>
      <c r="AI16" s="129" t="str">
        <f t="shared" si="0"/>
        <v/>
      </c>
      <c r="AJ16" s="129" t="str">
        <f t="shared" si="6"/>
        <v/>
      </c>
      <c r="AK16" s="129" t="str">
        <f t="shared" si="7"/>
        <v/>
      </c>
      <c r="AL16" s="145"/>
      <c r="BA16" s="78"/>
      <c r="BB16" s="132" t="s">
        <v>3824</v>
      </c>
      <c r="BC16" s="133"/>
      <c r="BD16" s="132" t="str">
        <f>IF(OR(F16="",BC16=""),"",COUNTIF(BC$8:BC16,"√"))</f>
        <v/>
      </c>
      <c r="BE16" s="134" t="str">
        <f t="shared" si="1"/>
        <v/>
      </c>
      <c r="BF16" s="135" t="str">
        <f t="shared" si="8"/>
        <v/>
      </c>
      <c r="BG16" s="135" t="str">
        <f t="shared" si="8"/>
        <v/>
      </c>
      <c r="BH16" s="136"/>
      <c r="BI16" s="136"/>
      <c r="BJ16" s="136"/>
      <c r="BK16" s="136"/>
      <c r="BL16" s="136"/>
      <c r="BM16" s="137"/>
      <c r="BN16" s="136"/>
      <c r="BO16" s="137"/>
      <c r="BR16" s="134" t="str">
        <f>IF(COUNTIF(BR$7:BR15,K16)&gt;0,"",K16)&amp;""</f>
        <v/>
      </c>
      <c r="BS16" s="138">
        <f t="shared" si="9"/>
        <v>0</v>
      </c>
      <c r="BT16" s="132">
        <f t="shared" si="10"/>
        <v>1</v>
      </c>
      <c r="BU16" s="138">
        <f t="shared" si="11"/>
        <v>0</v>
      </c>
      <c r="BV16" s="132">
        <f t="shared" si="12"/>
        <v>1</v>
      </c>
      <c r="BW16" s="133"/>
      <c r="BX16" s="133"/>
    </row>
    <row r="17" ht="15" customHeight="1" spans="1:77">
      <c r="A17" s="123" t="str">
        <f>IF(F17="","",COUNT(A$7:A16)+1)</f>
        <v/>
      </c>
      <c r="B17" s="141"/>
      <c r="C17" s="141"/>
      <c r="D17" s="141"/>
      <c r="E17" s="141"/>
      <c r="F17" s="139"/>
      <c r="G17" s="139"/>
      <c r="H17" s="139"/>
      <c r="I17" s="140"/>
      <c r="J17" s="141"/>
      <c r="K17" s="141"/>
      <c r="L17" s="140"/>
      <c r="M17" s="141"/>
      <c r="N17" s="501"/>
      <c r="O17" s="501"/>
      <c r="P17" s="501"/>
      <c r="Q17" s="501"/>
      <c r="R17" s="501"/>
      <c r="S17" s="501"/>
      <c r="T17" s="501"/>
      <c r="U17" s="501"/>
      <c r="V17" s="501"/>
      <c r="W17" s="501"/>
      <c r="X17" s="501"/>
      <c r="Y17" s="501"/>
      <c r="Z17" s="501"/>
      <c r="AA17" s="142"/>
      <c r="AB17" s="127" t="str">
        <f>IFERROR(VLOOKUP(AA17,参数表!$H$2:$I$50,2,FALSE),"")</f>
        <v/>
      </c>
      <c r="AC17" s="128" t="str">
        <f t="shared" si="3"/>
        <v/>
      </c>
      <c r="AD17" s="128" t="str">
        <f t="shared" si="4"/>
        <v/>
      </c>
      <c r="AE17" s="143"/>
      <c r="AF17" s="143"/>
      <c r="AG17" s="144"/>
      <c r="AH17" s="129" t="str">
        <f t="shared" si="5"/>
        <v/>
      </c>
      <c r="AI17" s="129" t="str">
        <f t="shared" si="0"/>
        <v/>
      </c>
      <c r="AJ17" s="129" t="str">
        <f t="shared" si="6"/>
        <v/>
      </c>
      <c r="AK17" s="129" t="str">
        <f t="shared" si="7"/>
        <v/>
      </c>
      <c r="AL17" s="145"/>
      <c r="BA17" s="78"/>
      <c r="BB17" s="132" t="s">
        <v>3825</v>
      </c>
      <c r="BC17" s="133"/>
      <c r="BD17" s="132" t="str">
        <f>IF(OR(F17="",BC17=""),"",COUNTIF(BC$8:BC17,"√"))</f>
        <v/>
      </c>
      <c r="BE17" s="134" t="str">
        <f t="shared" si="1"/>
        <v/>
      </c>
      <c r="BF17" s="135" t="str">
        <f t="shared" si="8"/>
        <v/>
      </c>
      <c r="BG17" s="135" t="str">
        <f t="shared" si="8"/>
        <v/>
      </c>
      <c r="BH17" s="136"/>
      <c r="BI17" s="136"/>
      <c r="BJ17" s="136"/>
      <c r="BK17" s="136"/>
      <c r="BL17" s="136"/>
      <c r="BM17" s="137"/>
      <c r="BN17" s="136"/>
      <c r="BO17" s="137"/>
      <c r="BR17" s="134" t="str">
        <f>IF(COUNTIF(BR$7:BR16,K17)&gt;0,"",K17)&amp;""</f>
        <v/>
      </c>
      <c r="BS17" s="138">
        <f t="shared" si="9"/>
        <v>0</v>
      </c>
      <c r="BT17" s="132">
        <f t="shared" si="10"/>
        <v>1</v>
      </c>
      <c r="BU17" s="138">
        <f t="shared" si="11"/>
        <v>0</v>
      </c>
      <c r="BV17" s="132">
        <f t="shared" si="12"/>
        <v>1</v>
      </c>
      <c r="BW17" s="133"/>
      <c r="BX17" s="148"/>
    </row>
    <row r="18" ht="15" customHeight="1" spans="1:77">
      <c r="A18" s="123" t="str">
        <f>IF(F18="","",COUNT(A$7:A17)+1)</f>
        <v/>
      </c>
      <c r="B18" s="141"/>
      <c r="C18" s="141"/>
      <c r="D18" s="141"/>
      <c r="E18" s="141"/>
      <c r="F18" s="139"/>
      <c r="G18" s="139"/>
      <c r="H18" s="139"/>
      <c r="I18" s="140"/>
      <c r="J18" s="141"/>
      <c r="K18" s="141"/>
      <c r="L18" s="140"/>
      <c r="M18" s="141"/>
      <c r="N18" s="501"/>
      <c r="O18" s="501"/>
      <c r="P18" s="501"/>
      <c r="Q18" s="501"/>
      <c r="R18" s="501"/>
      <c r="S18" s="501"/>
      <c r="T18" s="501"/>
      <c r="U18" s="501"/>
      <c r="V18" s="501"/>
      <c r="W18" s="501"/>
      <c r="X18" s="501"/>
      <c r="Y18" s="501"/>
      <c r="Z18" s="501"/>
      <c r="AA18" s="142"/>
      <c r="AB18" s="127" t="str">
        <f>IFERROR(VLOOKUP(AA18,参数表!$H$2:$I$50,2,FALSE),"")</f>
        <v/>
      </c>
      <c r="AC18" s="128" t="str">
        <f t="shared" si="3"/>
        <v/>
      </c>
      <c r="AD18" s="128" t="str">
        <f t="shared" si="4"/>
        <v/>
      </c>
      <c r="AE18" s="143"/>
      <c r="AF18" s="143"/>
      <c r="AG18" s="144"/>
      <c r="AH18" s="129" t="str">
        <f t="shared" si="5"/>
        <v/>
      </c>
      <c r="AI18" s="129" t="str">
        <f t="shared" si="0"/>
        <v/>
      </c>
      <c r="AJ18" s="129" t="str">
        <f t="shared" si="6"/>
        <v/>
      </c>
      <c r="AK18" s="129" t="str">
        <f t="shared" si="7"/>
        <v/>
      </c>
      <c r="AL18" s="145"/>
      <c r="BA18" s="78"/>
      <c r="BB18" s="132" t="s">
        <v>3826</v>
      </c>
      <c r="BC18" s="133"/>
      <c r="BD18" s="132" t="str">
        <f>IF(OR(F18="",BC18=""),"",COUNTIF(BC$8:BC18,"√"))</f>
        <v/>
      </c>
      <c r="BE18" s="134" t="str">
        <f t="shared" si="1"/>
        <v/>
      </c>
      <c r="BF18" s="135" t="str">
        <f t="shared" si="8"/>
        <v/>
      </c>
      <c r="BG18" s="135" t="str">
        <f t="shared" si="8"/>
        <v/>
      </c>
      <c r="BH18" s="136"/>
      <c r="BI18" s="136"/>
      <c r="BJ18" s="136"/>
      <c r="BK18" s="136"/>
      <c r="BL18" s="136"/>
      <c r="BM18" s="137"/>
      <c r="BN18" s="136"/>
      <c r="BO18" s="137"/>
      <c r="BR18" s="134" t="str">
        <f>IF(COUNTIF(BR$7:BR17,K18)&gt;0,"",K18)&amp;""</f>
        <v/>
      </c>
      <c r="BS18" s="138">
        <f t="shared" si="9"/>
        <v>0</v>
      </c>
      <c r="BT18" s="132">
        <f t="shared" si="10"/>
        <v>1</v>
      </c>
      <c r="BU18" s="138">
        <f t="shared" si="11"/>
        <v>0</v>
      </c>
      <c r="BV18" s="132">
        <f t="shared" si="12"/>
        <v>1</v>
      </c>
      <c r="BW18" s="133"/>
      <c r="BX18" s="133"/>
    </row>
    <row r="19" ht="15" customHeight="1" spans="1:77">
      <c r="A19" s="123" t="str">
        <f>IF(F19="","",COUNT(A$7:A18)+1)</f>
        <v/>
      </c>
      <c r="B19" s="141"/>
      <c r="C19" s="141"/>
      <c r="D19" s="141"/>
      <c r="E19" s="141"/>
      <c r="F19" s="139"/>
      <c r="G19" s="139"/>
      <c r="H19" s="139"/>
      <c r="I19" s="140"/>
      <c r="J19" s="141"/>
      <c r="K19" s="141"/>
      <c r="L19" s="140"/>
      <c r="M19" s="141"/>
      <c r="N19" s="501"/>
      <c r="O19" s="501"/>
      <c r="P19" s="501"/>
      <c r="Q19" s="501"/>
      <c r="R19" s="501"/>
      <c r="S19" s="501"/>
      <c r="T19" s="501"/>
      <c r="U19" s="501"/>
      <c r="V19" s="501"/>
      <c r="W19" s="501"/>
      <c r="X19" s="501"/>
      <c r="Y19" s="501"/>
      <c r="Z19" s="501"/>
      <c r="AA19" s="142"/>
      <c r="AB19" s="127" t="str">
        <f>IFERROR(VLOOKUP(AA19,参数表!$H$2:$I$50,2,FALSE),"")</f>
        <v/>
      </c>
      <c r="AC19" s="128" t="str">
        <f t="shared" si="3"/>
        <v/>
      </c>
      <c r="AD19" s="128" t="str">
        <f t="shared" si="4"/>
        <v/>
      </c>
      <c r="AE19" s="143"/>
      <c r="AF19" s="143"/>
      <c r="AG19" s="144"/>
      <c r="AH19" s="129" t="str">
        <f t="shared" si="5"/>
        <v/>
      </c>
      <c r="AI19" s="129" t="str">
        <f t="shared" si="0"/>
        <v/>
      </c>
      <c r="AJ19" s="129" t="str">
        <f t="shared" si="6"/>
        <v/>
      </c>
      <c r="AK19" s="129" t="str">
        <f t="shared" si="7"/>
        <v/>
      </c>
      <c r="AL19" s="145"/>
      <c r="BA19" s="78"/>
      <c r="BB19" s="132" t="s">
        <v>3827</v>
      </c>
      <c r="BC19" s="133"/>
      <c r="BD19" s="132" t="str">
        <f>IF(OR(F19="",BC19=""),"",COUNTIF(BC$8:BC19,"√"))</f>
        <v/>
      </c>
      <c r="BE19" s="134" t="str">
        <f t="shared" si="1"/>
        <v/>
      </c>
      <c r="BF19" s="135" t="str">
        <f t="shared" si="8"/>
        <v/>
      </c>
      <c r="BG19" s="135" t="str">
        <f t="shared" si="8"/>
        <v/>
      </c>
      <c r="BH19" s="136"/>
      <c r="BI19" s="136"/>
      <c r="BJ19" s="136"/>
      <c r="BK19" s="136"/>
      <c r="BL19" s="136"/>
      <c r="BM19" s="137"/>
      <c r="BN19" s="136"/>
      <c r="BO19" s="137"/>
      <c r="BR19" s="134" t="str">
        <f>IF(COUNTIF(BR$7:BR18,K19)&gt;0,"",K19)&amp;""</f>
        <v/>
      </c>
      <c r="BS19" s="138">
        <f t="shared" si="9"/>
        <v>0</v>
      </c>
      <c r="BT19" s="132">
        <f t="shared" si="10"/>
        <v>1</v>
      </c>
      <c r="BU19" s="138">
        <f t="shared" si="11"/>
        <v>0</v>
      </c>
      <c r="BV19" s="132">
        <f t="shared" si="12"/>
        <v>1</v>
      </c>
      <c r="BW19" s="133"/>
      <c r="BX19" s="133"/>
    </row>
    <row r="20" ht="15" customHeight="1" spans="1:77">
      <c r="A20" s="123" t="str">
        <f>IF(F20="","",COUNT(A$7:A19)+1)</f>
        <v/>
      </c>
      <c r="B20" s="141"/>
      <c r="C20" s="141"/>
      <c r="D20" s="141"/>
      <c r="E20" s="141"/>
      <c r="F20" s="139"/>
      <c r="G20" s="139"/>
      <c r="H20" s="139"/>
      <c r="I20" s="140"/>
      <c r="J20" s="141"/>
      <c r="K20" s="141"/>
      <c r="L20" s="140"/>
      <c r="M20" s="141"/>
      <c r="N20" s="501"/>
      <c r="O20" s="501"/>
      <c r="P20" s="501"/>
      <c r="Q20" s="501"/>
      <c r="R20" s="501"/>
      <c r="S20" s="501"/>
      <c r="T20" s="501"/>
      <c r="U20" s="501"/>
      <c r="V20" s="501"/>
      <c r="W20" s="501"/>
      <c r="X20" s="501"/>
      <c r="Y20" s="501"/>
      <c r="Z20" s="501"/>
      <c r="AA20" s="142"/>
      <c r="AB20" s="127" t="str">
        <f>IFERROR(VLOOKUP(AA20,参数表!$H$2:$I$50,2,FALSE),"")</f>
        <v/>
      </c>
      <c r="AC20" s="128" t="str">
        <f t="shared" si="3"/>
        <v/>
      </c>
      <c r="AD20" s="128" t="str">
        <f t="shared" si="4"/>
        <v/>
      </c>
      <c r="AE20" s="143"/>
      <c r="AF20" s="143"/>
      <c r="AG20" s="144"/>
      <c r="AH20" s="129" t="str">
        <f t="shared" si="5"/>
        <v/>
      </c>
      <c r="AI20" s="129" t="str">
        <f t="shared" si="0"/>
        <v/>
      </c>
      <c r="AJ20" s="129" t="str">
        <f t="shared" si="6"/>
        <v/>
      </c>
      <c r="AK20" s="129" t="str">
        <f t="shared" si="7"/>
        <v/>
      </c>
      <c r="AL20" s="145"/>
      <c r="BA20" s="78"/>
      <c r="BB20" s="132" t="s">
        <v>3828</v>
      </c>
      <c r="BC20" s="133"/>
      <c r="BD20" s="132" t="str">
        <f>IF(OR(F20="",BC20=""),"",COUNTIF(BC$8:BC20,"√"))</f>
        <v/>
      </c>
      <c r="BE20" s="134" t="str">
        <f t="shared" si="1"/>
        <v/>
      </c>
      <c r="BF20" s="135" t="str">
        <f t="shared" si="8"/>
        <v/>
      </c>
      <c r="BG20" s="135" t="str">
        <f t="shared" si="8"/>
        <v/>
      </c>
      <c r="BH20" s="136"/>
      <c r="BI20" s="136"/>
      <c r="BJ20" s="136"/>
      <c r="BK20" s="136"/>
      <c r="BL20" s="136"/>
      <c r="BM20" s="137"/>
      <c r="BN20" s="136"/>
      <c r="BO20" s="137"/>
      <c r="BR20" s="134" t="str">
        <f>IF(COUNTIF(BR$7:BR19,K20)&gt;0,"",K20)&amp;""</f>
        <v/>
      </c>
      <c r="BS20" s="138">
        <f t="shared" si="9"/>
        <v>0</v>
      </c>
      <c r="BT20" s="132">
        <f t="shared" si="10"/>
        <v>1</v>
      </c>
      <c r="BU20" s="138">
        <f t="shared" si="11"/>
        <v>0</v>
      </c>
      <c r="BV20" s="132">
        <f t="shared" si="12"/>
        <v>1</v>
      </c>
      <c r="BW20" s="133"/>
      <c r="BX20" s="133"/>
    </row>
    <row r="21" ht="15" customHeight="1" spans="1:77">
      <c r="A21" s="123" t="str">
        <f>IF(F21="","",COUNT(A$7:A20)+1)</f>
        <v/>
      </c>
      <c r="B21" s="141"/>
      <c r="C21" s="141"/>
      <c r="D21" s="141"/>
      <c r="E21" s="141"/>
      <c r="F21" s="139"/>
      <c r="G21" s="139"/>
      <c r="H21" s="139"/>
      <c r="I21" s="140"/>
      <c r="J21" s="141"/>
      <c r="K21" s="141"/>
      <c r="L21" s="140"/>
      <c r="M21" s="141"/>
      <c r="N21" s="501"/>
      <c r="O21" s="501"/>
      <c r="P21" s="501"/>
      <c r="Q21" s="501"/>
      <c r="R21" s="501"/>
      <c r="S21" s="501"/>
      <c r="T21" s="501"/>
      <c r="U21" s="501"/>
      <c r="V21" s="501"/>
      <c r="W21" s="501"/>
      <c r="X21" s="501"/>
      <c r="Y21" s="501"/>
      <c r="Z21" s="501"/>
      <c r="AA21" s="142"/>
      <c r="AB21" s="127" t="str">
        <f>IFERROR(VLOOKUP(AA21,参数表!$H$2:$I$50,2,FALSE),"")</f>
        <v/>
      </c>
      <c r="AC21" s="128" t="str">
        <f t="shared" si="3"/>
        <v/>
      </c>
      <c r="AD21" s="128" t="str">
        <f t="shared" si="4"/>
        <v/>
      </c>
      <c r="AE21" s="143"/>
      <c r="AF21" s="143"/>
      <c r="AG21" s="144"/>
      <c r="AH21" s="129" t="str">
        <f t="shared" si="5"/>
        <v/>
      </c>
      <c r="AI21" s="129" t="str">
        <f t="shared" si="0"/>
        <v/>
      </c>
      <c r="AJ21" s="129" t="str">
        <f t="shared" si="6"/>
        <v/>
      </c>
      <c r="AK21" s="129" t="str">
        <f t="shared" si="7"/>
        <v/>
      </c>
      <c r="AL21" s="145"/>
      <c r="BA21" s="78"/>
      <c r="BB21" s="132" t="s">
        <v>3829</v>
      </c>
      <c r="BC21" s="133"/>
      <c r="BD21" s="132" t="str">
        <f>IF(OR(F21="",BC21=""),"",COUNTIF(BC$8:BC21,"√"))</f>
        <v/>
      </c>
      <c r="BE21" s="134" t="str">
        <f t="shared" si="1"/>
        <v/>
      </c>
      <c r="BF21" s="135" t="str">
        <f t="shared" si="8"/>
        <v/>
      </c>
      <c r="BG21" s="135" t="str">
        <f t="shared" si="8"/>
        <v/>
      </c>
      <c r="BH21" s="136"/>
      <c r="BI21" s="136"/>
      <c r="BJ21" s="136"/>
      <c r="BK21" s="136"/>
      <c r="BL21" s="136"/>
      <c r="BM21" s="137"/>
      <c r="BN21" s="136"/>
      <c r="BO21" s="137"/>
      <c r="BR21" s="134" t="str">
        <f>IF(COUNTIF(BR$7:BR20,K21)&gt;0,"",K21)&amp;""</f>
        <v/>
      </c>
      <c r="BS21" s="138">
        <f t="shared" si="9"/>
        <v>0</v>
      </c>
      <c r="BT21" s="132">
        <f t="shared" si="10"/>
        <v>1</v>
      </c>
      <c r="BU21" s="138">
        <f t="shared" si="11"/>
        <v>0</v>
      </c>
      <c r="BV21" s="132">
        <f t="shared" si="12"/>
        <v>1</v>
      </c>
      <c r="BW21" s="133"/>
      <c r="BX21" s="133"/>
    </row>
    <row r="22" ht="15" customHeight="1" spans="1:77">
      <c r="A22" s="123" t="str">
        <f>IF(F22="","",COUNT(A$7:A21)+1)</f>
        <v/>
      </c>
      <c r="B22" s="141"/>
      <c r="C22" s="141"/>
      <c r="D22" s="141"/>
      <c r="E22" s="141"/>
      <c r="F22" s="139"/>
      <c r="G22" s="139"/>
      <c r="H22" s="139"/>
      <c r="I22" s="140"/>
      <c r="J22" s="141"/>
      <c r="K22" s="141"/>
      <c r="L22" s="140"/>
      <c r="M22" s="141"/>
      <c r="N22" s="501"/>
      <c r="O22" s="501"/>
      <c r="P22" s="501"/>
      <c r="Q22" s="501"/>
      <c r="R22" s="501"/>
      <c r="S22" s="501"/>
      <c r="T22" s="501"/>
      <c r="U22" s="501"/>
      <c r="V22" s="501"/>
      <c r="W22" s="501"/>
      <c r="X22" s="501"/>
      <c r="Y22" s="501"/>
      <c r="Z22" s="501"/>
      <c r="AA22" s="142"/>
      <c r="AB22" s="127" t="str">
        <f>IFERROR(VLOOKUP(AA22,参数表!$H$2:$I$50,2,FALSE),"")</f>
        <v/>
      </c>
      <c r="AC22" s="128" t="str">
        <f t="shared" si="3"/>
        <v/>
      </c>
      <c r="AD22" s="128" t="str">
        <f t="shared" si="4"/>
        <v/>
      </c>
      <c r="AE22" s="143"/>
      <c r="AF22" s="143"/>
      <c r="AG22" s="144"/>
      <c r="AH22" s="129" t="str">
        <f t="shared" si="5"/>
        <v/>
      </c>
      <c r="AI22" s="129" t="str">
        <f t="shared" si="0"/>
        <v/>
      </c>
      <c r="AJ22" s="129" t="str">
        <f t="shared" si="6"/>
        <v/>
      </c>
      <c r="AK22" s="129" t="str">
        <f t="shared" si="7"/>
        <v/>
      </c>
      <c r="AL22" s="145"/>
      <c r="BA22" s="78"/>
      <c r="BB22" s="132" t="s">
        <v>3830</v>
      </c>
      <c r="BC22" s="133"/>
      <c r="BD22" s="132" t="str">
        <f>IF(OR(F22="",BC22=""),"",COUNTIF(BC$8:BC22,"√"))</f>
        <v/>
      </c>
      <c r="BE22" s="134" t="str">
        <f t="shared" si="1"/>
        <v/>
      </c>
      <c r="BF22" s="135" t="str">
        <f t="shared" si="8"/>
        <v/>
      </c>
      <c r="BG22" s="135" t="str">
        <f t="shared" si="8"/>
        <v/>
      </c>
      <c r="BH22" s="136"/>
      <c r="BI22" s="136"/>
      <c r="BJ22" s="136"/>
      <c r="BK22" s="136"/>
      <c r="BL22" s="136"/>
      <c r="BM22" s="137"/>
      <c r="BN22" s="136"/>
      <c r="BO22" s="137"/>
      <c r="BR22" s="134" t="str">
        <f>IF(COUNTIF(BR$7:BR21,K22)&gt;0,"",K22)&amp;""</f>
        <v/>
      </c>
      <c r="BS22" s="138">
        <f t="shared" si="9"/>
        <v>0</v>
      </c>
      <c r="BT22" s="132">
        <f t="shared" si="10"/>
        <v>1</v>
      </c>
      <c r="BU22" s="138">
        <f t="shared" si="11"/>
        <v>0</v>
      </c>
      <c r="BV22" s="132">
        <f t="shared" si="12"/>
        <v>1</v>
      </c>
      <c r="BW22" s="133"/>
      <c r="BX22" s="133"/>
    </row>
    <row r="23" ht="15" customHeight="1" spans="1:77">
      <c r="A23" s="123" t="str">
        <f>IF(F23="","",COUNT(A$7:A22)+1)</f>
        <v/>
      </c>
      <c r="B23" s="141"/>
      <c r="C23" s="141"/>
      <c r="D23" s="141"/>
      <c r="E23" s="141"/>
      <c r="F23" s="139"/>
      <c r="G23" s="139"/>
      <c r="H23" s="139"/>
      <c r="I23" s="140"/>
      <c r="J23" s="141"/>
      <c r="K23" s="141"/>
      <c r="L23" s="140"/>
      <c r="M23" s="141"/>
      <c r="N23" s="501"/>
      <c r="O23" s="501"/>
      <c r="P23" s="501"/>
      <c r="Q23" s="501"/>
      <c r="R23" s="501"/>
      <c r="S23" s="501"/>
      <c r="T23" s="501"/>
      <c r="U23" s="501"/>
      <c r="V23" s="501"/>
      <c r="W23" s="501"/>
      <c r="X23" s="501"/>
      <c r="Y23" s="501"/>
      <c r="Z23" s="501"/>
      <c r="AA23" s="142"/>
      <c r="AB23" s="127" t="str">
        <f>IFERROR(VLOOKUP(AA23,参数表!$H$2:$I$50,2,FALSE),"")</f>
        <v/>
      </c>
      <c r="AC23" s="128" t="str">
        <f t="shared" si="3"/>
        <v/>
      </c>
      <c r="AD23" s="128" t="str">
        <f t="shared" si="4"/>
        <v/>
      </c>
      <c r="AE23" s="143"/>
      <c r="AF23" s="143"/>
      <c r="AG23" s="144"/>
      <c r="AH23" s="129" t="str">
        <f t="shared" si="5"/>
        <v/>
      </c>
      <c r="AI23" s="129" t="str">
        <f t="shared" si="0"/>
        <v/>
      </c>
      <c r="AJ23" s="129" t="str">
        <f t="shared" si="6"/>
        <v/>
      </c>
      <c r="AK23" s="129" t="str">
        <f t="shared" si="7"/>
        <v/>
      </c>
      <c r="AL23" s="145"/>
      <c r="BA23" s="78"/>
      <c r="BB23" s="132" t="s">
        <v>3831</v>
      </c>
      <c r="BC23" s="133"/>
      <c r="BD23" s="132" t="str">
        <f>IF(OR(F23="",BC23=""),"",COUNTIF(BC$8:BC23,"√"))</f>
        <v/>
      </c>
      <c r="BE23" s="134" t="str">
        <f t="shared" si="1"/>
        <v/>
      </c>
      <c r="BF23" s="135" t="str">
        <f t="shared" si="8"/>
        <v/>
      </c>
      <c r="BG23" s="135" t="str">
        <f t="shared" si="8"/>
        <v/>
      </c>
      <c r="BH23" s="136"/>
      <c r="BI23" s="136"/>
      <c r="BJ23" s="136"/>
      <c r="BK23" s="136"/>
      <c r="BL23" s="136"/>
      <c r="BM23" s="137"/>
      <c r="BN23" s="136"/>
      <c r="BO23" s="137"/>
      <c r="BR23" s="134" t="str">
        <f>IF(COUNTIF(BR$7:BR22,K23)&gt;0,"",K23)&amp;""</f>
        <v/>
      </c>
      <c r="BS23" s="138">
        <f t="shared" si="9"/>
        <v>0</v>
      </c>
      <c r="BT23" s="132">
        <f t="shared" si="10"/>
        <v>1</v>
      </c>
      <c r="BU23" s="138">
        <f t="shared" si="11"/>
        <v>0</v>
      </c>
      <c r="BV23" s="132">
        <f t="shared" si="12"/>
        <v>1</v>
      </c>
      <c r="BW23" s="133"/>
      <c r="BX23" s="133"/>
    </row>
    <row r="24" ht="15" customHeight="1" spans="1:77">
      <c r="A24" s="123" t="str">
        <f>IF(F24="","",COUNT(A$7:A23)+1)</f>
        <v/>
      </c>
      <c r="B24" s="141"/>
      <c r="C24" s="141"/>
      <c r="D24" s="141"/>
      <c r="E24" s="141"/>
      <c r="F24" s="139"/>
      <c r="G24" s="139"/>
      <c r="H24" s="139"/>
      <c r="I24" s="140"/>
      <c r="J24" s="141"/>
      <c r="K24" s="141"/>
      <c r="L24" s="140"/>
      <c r="M24" s="141"/>
      <c r="N24" s="501"/>
      <c r="O24" s="501"/>
      <c r="P24" s="501"/>
      <c r="Q24" s="501"/>
      <c r="R24" s="501"/>
      <c r="S24" s="501"/>
      <c r="T24" s="501"/>
      <c r="U24" s="501"/>
      <c r="V24" s="501"/>
      <c r="W24" s="501"/>
      <c r="X24" s="501"/>
      <c r="Y24" s="501"/>
      <c r="Z24" s="501"/>
      <c r="AA24" s="142"/>
      <c r="AB24" s="127" t="str">
        <f>IFERROR(VLOOKUP(AA24,参数表!$H$2:$I$50,2,FALSE),"")</f>
        <v/>
      </c>
      <c r="AC24" s="128" t="str">
        <f t="shared" si="3"/>
        <v/>
      </c>
      <c r="AD24" s="128" t="str">
        <f t="shared" si="4"/>
        <v/>
      </c>
      <c r="AE24" s="143"/>
      <c r="AF24" s="143"/>
      <c r="AG24" s="144"/>
      <c r="AH24" s="129" t="str">
        <f t="shared" si="5"/>
        <v/>
      </c>
      <c r="AI24" s="129" t="str">
        <f t="shared" si="0"/>
        <v/>
      </c>
      <c r="AJ24" s="129" t="str">
        <f t="shared" si="6"/>
        <v/>
      </c>
      <c r="AK24" s="129" t="str">
        <f t="shared" si="7"/>
        <v/>
      </c>
      <c r="AL24" s="145"/>
      <c r="BA24" s="78"/>
      <c r="BB24" s="132" t="s">
        <v>3832</v>
      </c>
      <c r="BC24" s="133"/>
      <c r="BD24" s="132" t="str">
        <f>IF(OR(F24="",BC24=""),"",COUNTIF(BC$8:BC24,"√"))</f>
        <v/>
      </c>
      <c r="BE24" s="134" t="str">
        <f t="shared" si="1"/>
        <v/>
      </c>
      <c r="BF24" s="135" t="str">
        <f t="shared" si="8"/>
        <v/>
      </c>
      <c r="BG24" s="135" t="str">
        <f t="shared" si="8"/>
        <v/>
      </c>
      <c r="BH24" s="136"/>
      <c r="BI24" s="136"/>
      <c r="BJ24" s="136"/>
      <c r="BK24" s="136"/>
      <c r="BL24" s="136"/>
      <c r="BM24" s="137"/>
      <c r="BN24" s="136"/>
      <c r="BO24" s="137"/>
      <c r="BR24" s="134" t="str">
        <f>IF(COUNTIF(BR$7:BR23,K24)&gt;0,"",K24)&amp;""</f>
        <v/>
      </c>
      <c r="BS24" s="138">
        <f t="shared" si="9"/>
        <v>0</v>
      </c>
      <c r="BT24" s="132">
        <f t="shared" si="10"/>
        <v>1</v>
      </c>
      <c r="BU24" s="138">
        <f t="shared" si="11"/>
        <v>0</v>
      </c>
      <c r="BV24" s="132">
        <f t="shared" si="12"/>
        <v>1</v>
      </c>
      <c r="BW24" s="133"/>
      <c r="BX24" s="133"/>
    </row>
    <row r="25" ht="15" customHeight="1" spans="1:77">
      <c r="A25" s="123" t="str">
        <f>IF(F25="","",COUNT(A$7:A24)+1)</f>
        <v/>
      </c>
      <c r="B25" s="141"/>
      <c r="C25" s="141"/>
      <c r="D25" s="141"/>
      <c r="E25" s="141"/>
      <c r="F25" s="139"/>
      <c r="G25" s="139"/>
      <c r="H25" s="139"/>
      <c r="I25" s="140"/>
      <c r="J25" s="141"/>
      <c r="K25" s="141"/>
      <c r="L25" s="140"/>
      <c r="M25" s="141"/>
      <c r="N25" s="501"/>
      <c r="O25" s="501"/>
      <c r="P25" s="501"/>
      <c r="Q25" s="501"/>
      <c r="R25" s="501"/>
      <c r="S25" s="501"/>
      <c r="T25" s="501"/>
      <c r="U25" s="501"/>
      <c r="V25" s="501"/>
      <c r="W25" s="501"/>
      <c r="X25" s="501"/>
      <c r="Y25" s="501"/>
      <c r="Z25" s="501"/>
      <c r="AA25" s="142"/>
      <c r="AB25" s="127" t="str">
        <f>IFERROR(VLOOKUP(AA25,参数表!$H$2:$I$50,2,FALSE),"")</f>
        <v/>
      </c>
      <c r="AC25" s="128" t="str">
        <f t="shared" si="3"/>
        <v/>
      </c>
      <c r="AD25" s="128" t="str">
        <f t="shared" si="4"/>
        <v/>
      </c>
      <c r="AE25" s="143"/>
      <c r="AF25" s="143"/>
      <c r="AG25" s="144"/>
      <c r="AH25" s="129" t="str">
        <f t="shared" si="5"/>
        <v/>
      </c>
      <c r="AI25" s="129" t="str">
        <f t="shared" si="0"/>
        <v/>
      </c>
      <c r="AJ25" s="129" t="str">
        <f t="shared" si="6"/>
        <v/>
      </c>
      <c r="AK25" s="129" t="str">
        <f t="shared" si="7"/>
        <v/>
      </c>
      <c r="AL25" s="145"/>
      <c r="BA25" s="78"/>
      <c r="BB25" s="132" t="s">
        <v>3833</v>
      </c>
      <c r="BC25" s="133"/>
      <c r="BD25" s="132" t="str">
        <f>IF(OR(F25="",BC25=""),"",COUNTIF(BC$8:BC25,"√"))</f>
        <v/>
      </c>
      <c r="BE25" s="134" t="str">
        <f t="shared" si="1"/>
        <v/>
      </c>
      <c r="BF25" s="135" t="str">
        <f t="shared" si="8"/>
        <v/>
      </c>
      <c r="BG25" s="135" t="str">
        <f t="shared" si="8"/>
        <v/>
      </c>
      <c r="BH25" s="136"/>
      <c r="BI25" s="136"/>
      <c r="BJ25" s="136"/>
      <c r="BK25" s="136"/>
      <c r="BL25" s="136"/>
      <c r="BM25" s="137"/>
      <c r="BN25" s="136"/>
      <c r="BO25" s="137"/>
      <c r="BR25" s="134" t="str">
        <f>IF(COUNTIF(BR$7:BR24,K25)&gt;0,"",K25)&amp;""</f>
        <v/>
      </c>
      <c r="BS25" s="138">
        <f t="shared" si="9"/>
        <v>0</v>
      </c>
      <c r="BT25" s="132">
        <f t="shared" si="10"/>
        <v>1</v>
      </c>
      <c r="BU25" s="138">
        <f t="shared" si="11"/>
        <v>0</v>
      </c>
      <c r="BV25" s="132">
        <f t="shared" si="12"/>
        <v>1</v>
      </c>
      <c r="BW25" s="133"/>
      <c r="BX25" s="133"/>
    </row>
    <row r="26" ht="15" customHeight="1" spans="1:77">
      <c r="A26" s="123" t="str">
        <f>IF(F26="","",COUNT(A$7:A25)+1)</f>
        <v/>
      </c>
      <c r="B26" s="141"/>
      <c r="C26" s="141"/>
      <c r="D26" s="141"/>
      <c r="E26" s="141"/>
      <c r="F26" s="139"/>
      <c r="G26" s="139"/>
      <c r="H26" s="139"/>
      <c r="I26" s="140"/>
      <c r="J26" s="141"/>
      <c r="K26" s="141"/>
      <c r="L26" s="140"/>
      <c r="M26" s="141"/>
      <c r="N26" s="501"/>
      <c r="O26" s="501"/>
      <c r="P26" s="501"/>
      <c r="Q26" s="501"/>
      <c r="R26" s="501"/>
      <c r="S26" s="501"/>
      <c r="T26" s="501"/>
      <c r="U26" s="501"/>
      <c r="V26" s="501"/>
      <c r="W26" s="501"/>
      <c r="X26" s="501"/>
      <c r="Y26" s="501"/>
      <c r="Z26" s="501"/>
      <c r="AA26" s="142"/>
      <c r="AB26" s="127" t="str">
        <f>IFERROR(VLOOKUP(AA26,参数表!$H$2:$I$50,2,FALSE),"")</f>
        <v/>
      </c>
      <c r="AC26" s="128" t="str">
        <f t="shared" si="3"/>
        <v/>
      </c>
      <c r="AD26" s="128" t="str">
        <f t="shared" si="4"/>
        <v/>
      </c>
      <c r="AE26" s="143"/>
      <c r="AF26" s="143"/>
      <c r="AG26" s="144"/>
      <c r="AH26" s="129" t="str">
        <f t="shared" si="5"/>
        <v/>
      </c>
      <c r="AI26" s="129" t="str">
        <f t="shared" si="0"/>
        <v/>
      </c>
      <c r="AJ26" s="129" t="str">
        <f t="shared" si="6"/>
        <v/>
      </c>
      <c r="AK26" s="129" t="str">
        <f t="shared" si="7"/>
        <v/>
      </c>
      <c r="AL26" s="145"/>
      <c r="BA26" s="78"/>
      <c r="BB26" s="132" t="s">
        <v>3834</v>
      </c>
      <c r="BC26" s="133"/>
      <c r="BD26" s="132" t="str">
        <f>IF(OR(F26="",BC26=""),"",COUNTIF(BC$8:BC26,"√"))</f>
        <v/>
      </c>
      <c r="BE26" s="134" t="str">
        <f t="shared" si="1"/>
        <v/>
      </c>
      <c r="BF26" s="135" t="str">
        <f t="shared" si="8"/>
        <v/>
      </c>
      <c r="BG26" s="135" t="str">
        <f t="shared" si="8"/>
        <v/>
      </c>
      <c r="BH26" s="136"/>
      <c r="BI26" s="136"/>
      <c r="BJ26" s="136"/>
      <c r="BK26" s="136"/>
      <c r="BL26" s="136"/>
      <c r="BM26" s="137"/>
      <c r="BN26" s="136"/>
      <c r="BO26" s="137"/>
      <c r="BR26" s="134" t="str">
        <f>IF(COUNTIF(BR$7:BR25,K26)&gt;0,"",K26)&amp;""</f>
        <v/>
      </c>
      <c r="BS26" s="138">
        <f t="shared" si="9"/>
        <v>0</v>
      </c>
      <c r="BT26" s="132">
        <f t="shared" si="10"/>
        <v>1</v>
      </c>
      <c r="BU26" s="138">
        <f t="shared" si="11"/>
        <v>0</v>
      </c>
      <c r="BV26" s="132">
        <f t="shared" si="12"/>
        <v>1</v>
      </c>
      <c r="BW26" s="133"/>
      <c r="BX26" s="133"/>
    </row>
    <row r="27" ht="15" customHeight="1" spans="1:77">
      <c r="A27" s="123" t="str">
        <f>IF(F27="","",COUNT(A$7:A26)+1)</f>
        <v/>
      </c>
      <c r="B27" s="123"/>
      <c r="C27" s="126"/>
      <c r="D27" s="126"/>
      <c r="E27" s="126"/>
      <c r="F27" s="124"/>
      <c r="G27" s="124"/>
      <c r="H27" s="124"/>
      <c r="I27" s="125"/>
      <c r="J27" s="126"/>
      <c r="K27" s="126"/>
      <c r="L27" s="125"/>
      <c r="M27" s="126"/>
      <c r="N27" s="491"/>
      <c r="O27" s="491"/>
      <c r="P27" s="491"/>
      <c r="Q27" s="491"/>
      <c r="R27" s="491"/>
      <c r="S27" s="491"/>
      <c r="T27" s="491"/>
      <c r="U27" s="491"/>
      <c r="V27" s="491"/>
      <c r="W27" s="491"/>
      <c r="X27" s="491"/>
      <c r="Y27" s="491"/>
      <c r="Z27" s="491"/>
      <c r="AA27" s="127"/>
      <c r="AB27" s="127" t="str">
        <f>IFERROR(VLOOKUP(AA27,参数表!$H$2:$I$50,2,FALSE),"")</f>
        <v/>
      </c>
      <c r="AC27" s="128" t="str">
        <f t="shared" si="3"/>
        <v/>
      </c>
      <c r="AD27" s="128" t="str">
        <f t="shared" si="4"/>
        <v/>
      </c>
      <c r="AE27" s="129"/>
      <c r="AF27" s="129"/>
      <c r="AG27" s="130"/>
      <c r="AH27" s="129" t="str">
        <f t="shared" si="5"/>
        <v/>
      </c>
      <c r="AI27" s="129" t="str">
        <f t="shared" si="0"/>
        <v/>
      </c>
      <c r="AJ27" s="129" t="str">
        <f t="shared" si="6"/>
        <v/>
      </c>
      <c r="AK27" s="129" t="str">
        <f t="shared" si="7"/>
        <v/>
      </c>
      <c r="AL27" s="131"/>
      <c r="BA27" s="78"/>
      <c r="BB27" s="132" t="s">
        <v>3835</v>
      </c>
      <c r="BC27" s="133"/>
      <c r="BD27" s="132" t="str">
        <f>IF(OR(F27="",BC27=""),"",COUNTIF(BC$8:BC27,"√"))</f>
        <v/>
      </c>
      <c r="BE27" s="134" t="str">
        <f t="shared" si="1"/>
        <v/>
      </c>
      <c r="BF27" s="135" t="str">
        <f t="shared" si="8"/>
        <v/>
      </c>
      <c r="BG27" s="135" t="str">
        <f t="shared" si="8"/>
        <v/>
      </c>
      <c r="BH27" s="136"/>
      <c r="BI27" s="136"/>
      <c r="BJ27" s="136"/>
      <c r="BK27" s="136"/>
      <c r="BL27" s="136"/>
      <c r="BM27" s="137"/>
      <c r="BN27" s="136"/>
      <c r="BO27" s="137"/>
      <c r="BR27" s="134" t="str">
        <f>IF(COUNTIF(BR$7:BR26,K27)&gt;0,"",K27)&amp;""</f>
        <v/>
      </c>
      <c r="BS27" s="138">
        <f t="shared" si="9"/>
        <v>0</v>
      </c>
      <c r="BT27" s="132">
        <f t="shared" si="10"/>
        <v>1</v>
      </c>
      <c r="BU27" s="138">
        <f t="shared" si="11"/>
        <v>0</v>
      </c>
      <c r="BV27" s="132">
        <f t="shared" si="12"/>
        <v>1</v>
      </c>
      <c r="BW27" s="133"/>
      <c r="BX27" s="133"/>
    </row>
    <row r="28" s="73" customFormat="1" ht="15" customHeight="1" spans="1:77">
      <c r="A28" s="149" t="s">
        <v>3768</v>
      </c>
      <c r="B28" s="149"/>
      <c r="C28" s="149"/>
      <c r="D28" s="149"/>
      <c r="E28" s="149"/>
      <c r="F28" s="149"/>
      <c r="G28" s="151"/>
      <c r="H28" s="151"/>
      <c r="I28" s="356"/>
      <c r="J28" s="149"/>
      <c r="K28" s="149"/>
      <c r="L28" s="149"/>
      <c r="M28" s="149"/>
      <c r="N28" s="354">
        <f>SUM(N8:N27)</f>
        <v>0</v>
      </c>
      <c r="O28" s="354"/>
      <c r="P28" s="354"/>
      <c r="Q28" s="354"/>
      <c r="R28" s="354"/>
      <c r="S28" s="354"/>
      <c r="T28" s="354"/>
      <c r="U28" s="354"/>
      <c r="V28" s="354"/>
      <c r="W28" s="354"/>
      <c r="X28" s="354"/>
      <c r="Y28" s="354"/>
      <c r="Z28" s="354"/>
      <c r="AA28" s="354"/>
      <c r="AB28" s="354"/>
      <c r="AC28" s="354"/>
      <c r="AD28" s="354"/>
      <c r="AE28" s="152">
        <f>SUM(AE8:AE27)</f>
        <v>0</v>
      </c>
      <c r="AF28" s="152">
        <f>SUM(AF8:AF27)</f>
        <v>0</v>
      </c>
      <c r="AG28" s="153"/>
      <c r="AH28" s="152">
        <f>SUM(AH8:AH27)</f>
        <v>0</v>
      </c>
      <c r="AI28" s="152">
        <f>SUM(AI8:AI27)</f>
        <v>0</v>
      </c>
      <c r="AJ28" s="152" t="str">
        <f>IF(AI28-AH28=0,"",(AI28-AH28))</f>
        <v/>
      </c>
      <c r="AK28" s="152" t="str">
        <f>IF(AH28=0,"",(AI28-AH28)/AH28*100)</f>
        <v/>
      </c>
      <c r="AL28" s="151"/>
      <c r="BH28" s="72"/>
      <c r="BI28" s="72"/>
      <c r="BJ28" s="72"/>
      <c r="BK28" s="72"/>
      <c r="BL28" s="72"/>
      <c r="BN28" s="72"/>
      <c r="BQ28" s="111"/>
      <c r="BR28" s="119"/>
      <c r="BS28" s="77"/>
      <c r="BT28" s="77"/>
      <c r="BU28" s="77"/>
      <c r="BV28" s="119"/>
      <c r="BW28" s="119"/>
      <c r="BX28" s="119"/>
      <c r="BY28" s="111"/>
    </row>
    <row r="29" customHeight="1" spans="1:77">
      <c r="A29" s="102" t="str">
        <f>参数表!F$6</f>
        <v>产权持有单位填表人：贾广东</v>
      </c>
      <c r="B29" s="96"/>
      <c r="C29" s="154"/>
      <c r="D29" s="154"/>
      <c r="E29" s="286"/>
      <c r="F29" s="154"/>
      <c r="G29" s="154"/>
      <c r="H29" s="154"/>
      <c r="I29" s="286"/>
      <c r="J29" s="95"/>
      <c r="K29" s="95"/>
      <c r="L29" s="95"/>
      <c r="M29" s="95"/>
      <c r="N29" s="103"/>
      <c r="O29" s="103"/>
      <c r="P29" s="103"/>
      <c r="Q29" s="103"/>
      <c r="R29" s="103"/>
      <c r="S29" s="103"/>
      <c r="T29" s="103"/>
      <c r="U29" s="103"/>
      <c r="V29" s="103"/>
      <c r="W29" s="103"/>
      <c r="X29" s="103"/>
      <c r="Y29" s="103"/>
      <c r="Z29" s="103"/>
      <c r="AA29" s="103"/>
      <c r="AB29" s="103"/>
      <c r="AC29" s="103"/>
      <c r="AD29" s="103"/>
      <c r="AE29" s="103"/>
      <c r="AF29" s="103"/>
      <c r="AG29" s="104"/>
      <c r="AH29" s="103"/>
      <c r="AI29" s="156" t="str">
        <f>"评估人员："&amp;封面!$G$28</f>
        <v>评估人员：</v>
      </c>
      <c r="AJ29" s="103"/>
      <c r="AK29" s="103"/>
      <c r="AL29" s="103"/>
    </row>
    <row r="30" customHeight="1" spans="1:77">
      <c r="A30" s="102" t="str">
        <f>参数表!F$7</f>
        <v>填表日期：2025年9月20日</v>
      </c>
      <c r="B30" s="96"/>
      <c r="C30" s="154"/>
      <c r="D30" s="154"/>
      <c r="E30" s="286"/>
      <c r="F30" s="154"/>
      <c r="G30" s="154"/>
      <c r="H30" s="154"/>
      <c r="I30" s="286"/>
      <c r="J30" s="95"/>
      <c r="K30" s="95"/>
      <c r="L30" s="95"/>
      <c r="M30" s="95"/>
      <c r="N30" s="103"/>
      <c r="O30" s="103"/>
      <c r="P30" s="103"/>
      <c r="Q30" s="103"/>
      <c r="R30" s="103"/>
      <c r="S30" s="103"/>
      <c r="T30" s="103"/>
      <c r="U30" s="103"/>
      <c r="V30" s="103"/>
      <c r="W30" s="103"/>
      <c r="X30" s="103"/>
      <c r="Y30" s="103"/>
      <c r="Z30" s="103"/>
      <c r="AA30" s="103"/>
      <c r="AB30" s="103"/>
      <c r="AC30" s="103"/>
      <c r="AD30" s="103"/>
      <c r="AE30" s="103"/>
      <c r="AF30" s="103"/>
      <c r="AG30" s="104"/>
      <c r="AH30" s="103"/>
      <c r="AI30" s="103"/>
      <c r="AJ30" s="103"/>
      <c r="AK30" s="103"/>
      <c r="AL30" s="103"/>
    </row>
    <row r="31" hidden="1" customHeight="1" outlineLevel="1" spans="1:77">
      <c r="A31" s="157"/>
      <c r="B31" s="696"/>
      <c r="C31" s="154" t="s">
        <v>1673</v>
      </c>
      <c r="D31" s="158"/>
      <c r="E31" s="286" t="s">
        <v>1674</v>
      </c>
      <c r="F31" s="158"/>
      <c r="G31" s="158"/>
      <c r="H31" s="158"/>
      <c r="I31" s="228"/>
      <c r="N31" s="159">
        <f>SUMIF($BA8:$BA27,$BA31,N8:N27)</f>
        <v>0</v>
      </c>
      <c r="O31" s="697"/>
      <c r="P31" s="697"/>
      <c r="Q31" s="697"/>
      <c r="R31" s="697"/>
      <c r="S31" s="697"/>
      <c r="T31" s="697"/>
      <c r="U31" s="697"/>
      <c r="V31" s="697"/>
      <c r="W31" s="697"/>
      <c r="X31" s="697"/>
      <c r="Y31" s="697"/>
      <c r="Z31" s="697"/>
      <c r="AA31" s="103"/>
      <c r="AB31" s="103"/>
      <c r="AC31" s="103"/>
      <c r="AD31" s="103"/>
      <c r="AE31" s="159">
        <f>SUMIF($BA8:$BA27,$BA31,AE8:AE27)</f>
        <v>0</v>
      </c>
      <c r="AF31" s="159">
        <f>SUMIF($BA8:$BA27,$BA31,AF8:AF27)</f>
        <v>0</v>
      </c>
      <c r="AG31" s="202"/>
      <c r="AH31" s="159">
        <f>SUMIF($BA8:$BA27,$BA31,AH8:AH27)</f>
        <v>0</v>
      </c>
      <c r="AI31" s="159">
        <f>SUMIF($BA8:$BA27,$BA31,AI8:AI27)</f>
        <v>0</v>
      </c>
      <c r="BA31" s="161" t="s">
        <v>1674</v>
      </c>
      <c r="BH31" s="95" t="s">
        <v>1675</v>
      </c>
      <c r="BI31" s="95" t="s">
        <v>1675</v>
      </c>
      <c r="BJ31" s="95" t="s">
        <v>1675</v>
      </c>
      <c r="BK31" s="95" t="s">
        <v>1675</v>
      </c>
      <c r="BL31" s="95" t="s">
        <v>1675</v>
      </c>
      <c r="BN31" s="95" t="s">
        <v>1675</v>
      </c>
    </row>
    <row r="32" hidden="1" customHeight="1" outlineLevel="1" spans="1:77">
      <c r="A32" s="157"/>
      <c r="B32" s="696"/>
      <c r="C32" s="154" t="s">
        <v>1676</v>
      </c>
      <c r="D32" s="158"/>
      <c r="E32" s="286" t="s">
        <v>1677</v>
      </c>
      <c r="F32" s="158"/>
      <c r="G32" s="158"/>
      <c r="H32" s="158"/>
      <c r="I32" s="228"/>
      <c r="N32" s="159">
        <f>N28-N31</f>
        <v>0</v>
      </c>
      <c r="O32" s="697"/>
      <c r="P32" s="697"/>
      <c r="Q32" s="697"/>
      <c r="R32" s="697"/>
      <c r="S32" s="697"/>
      <c r="T32" s="697"/>
      <c r="U32" s="697"/>
      <c r="V32" s="697"/>
      <c r="W32" s="697"/>
      <c r="X32" s="697"/>
      <c r="Y32" s="697"/>
      <c r="Z32" s="697"/>
      <c r="AA32" s="103"/>
      <c r="AB32" s="103"/>
      <c r="AC32" s="103"/>
      <c r="AD32" s="103"/>
      <c r="AE32" s="159">
        <f>AE28-AE31</f>
        <v>0</v>
      </c>
      <c r="AF32" s="159">
        <f>AF28-AF31</f>
        <v>0</v>
      </c>
      <c r="AG32" s="202"/>
      <c r="AH32" s="159">
        <f>AH28-AH31</f>
        <v>0</v>
      </c>
      <c r="AI32" s="159">
        <f>AI28-AI31</f>
        <v>0</v>
      </c>
      <c r="BA32" s="161" t="s">
        <v>1677</v>
      </c>
      <c r="BH32" s="95" t="s">
        <v>1678</v>
      </c>
      <c r="BI32" s="95" t="s">
        <v>1678</v>
      </c>
      <c r="BJ32" s="95" t="s">
        <v>1678</v>
      </c>
      <c r="BK32" s="95" t="s">
        <v>1678</v>
      </c>
      <c r="BL32" s="95" t="s">
        <v>1678</v>
      </c>
      <c r="BN32" s="95" t="s">
        <v>1678</v>
      </c>
    </row>
    <row r="33" customHeight="1" collapsed="1" spans="1:9">
      <c r="A33" s="157"/>
      <c r="B33" s="696"/>
      <c r="C33" s="158"/>
      <c r="D33" s="158"/>
      <c r="E33" s="228"/>
      <c r="F33" s="158"/>
      <c r="G33" s="158"/>
      <c r="H33" s="158"/>
      <c r="I33" s="228"/>
    </row>
    <row r="34" customHeight="1" spans="1:9">
      <c r="A34" s="157"/>
      <c r="B34" s="696"/>
      <c r="C34" s="158"/>
      <c r="D34" s="158"/>
      <c r="E34" s="228"/>
      <c r="F34" s="158"/>
      <c r="G34" s="158"/>
      <c r="H34" s="158"/>
      <c r="I34" s="228"/>
    </row>
    <row r="35" customHeight="1" spans="1:9">
      <c r="A35" s="157"/>
      <c r="B35" s="696"/>
      <c r="C35" s="158"/>
      <c r="D35" s="158"/>
      <c r="E35" s="228"/>
      <c r="F35" s="158"/>
      <c r="G35" s="158"/>
      <c r="H35" s="158"/>
      <c r="I35" s="228"/>
    </row>
    <row r="36" customHeight="1" spans="1:9">
      <c r="A36" s="157"/>
      <c r="B36" s="696"/>
      <c r="C36" s="158"/>
      <c r="D36" s="158"/>
      <c r="E36" s="228"/>
      <c r="F36" s="158"/>
      <c r="G36" s="158"/>
      <c r="H36" s="158"/>
      <c r="I36" s="228"/>
    </row>
    <row r="37" customHeight="1" spans="1:9">
      <c r="A37" s="157"/>
      <c r="B37" s="696"/>
      <c r="C37" s="158"/>
      <c r="D37" s="158"/>
      <c r="E37" s="228"/>
      <c r="F37" s="158"/>
      <c r="G37" s="158"/>
      <c r="H37" s="158"/>
      <c r="I37" s="228"/>
    </row>
    <row r="38" customHeight="1" spans="1:9">
      <c r="A38" s="157"/>
      <c r="B38" s="696"/>
      <c r="C38" s="158"/>
      <c r="D38" s="158"/>
      <c r="E38" s="228"/>
      <c r="F38" s="158"/>
      <c r="G38" s="158"/>
      <c r="H38" s="158"/>
      <c r="I38" s="228"/>
    </row>
  </sheetData>
  <sheetProtection autoFilter="0"/>
  <mergeCells count="7">
    <mergeCell ref="A2:AL2"/>
    <mergeCell ref="A3:AL3"/>
    <mergeCell ref="A4:AL4"/>
    <mergeCell ref="BW8:BY8"/>
    <mergeCell ref="BW9:BY9"/>
    <mergeCell ref="BX15:BY15"/>
    <mergeCell ref="A28:F28"/>
  </mergeCells>
  <conditionalFormatting sqref="BM8:BM27">
    <cfRule type="expression" dxfId="5" priority="5" stopIfTrue="1">
      <formula>AND(BL8="无",BM8="")</formula>
    </cfRule>
  </conditionalFormatting>
  <conditionalFormatting sqref="BF8:BG27">
    <cfRule type="containsText" dxfId="6" priority="1" stopIfTrue="1" operator="between" text="出错">
      <formula>NOT(ISERROR(SEARCH("出错",BF8)))</formula>
    </cfRule>
  </conditionalFormatting>
  <conditionalFormatting sqref="BH8:BL27 BN8:BN27">
    <cfRule type="expression" dxfId="5" priority="6" stopIfTrue="1">
      <formula>AND($C8&lt;&gt;"",BH8="")</formula>
    </cfRule>
  </conditionalFormatting>
  <dataValidations count="4">
    <dataValidation type="list" allowBlank="1" showInputMessage="1" showErrorMessage="1" sqref="E8:E27 BN8:BN27 BH8:BL27">
      <formula1>E$31:E$32</formula1>
    </dataValidation>
    <dataValidation type="list" allowBlank="1" showInputMessage="1" showErrorMessage="1" sqref="AA8:AA27">
      <formula1>OFFSET(参数表!$H$2:$H$50,,,COUNTA(参数表!$H$2:$H$50))</formula1>
    </dataValidation>
    <dataValidation type="list" allowBlank="1" showInputMessage="1" showErrorMessage="1" sqref="BA8:BA27 BA31:BA32">
      <formula1>"是,否"</formula1>
    </dataValidation>
    <dataValidation type="list" allowBlank="1" showInputMessage="1" showErrorMessage="1" sqref="BC8:BC27">
      <formula1>"  ,√"</formula1>
    </dataValidation>
  </dataValidations>
  <hyperlinks>
    <hyperlink ref="C1" location="投资性房地产汇总表!B14" display="返回"/>
    <hyperlink ref="A1" location="索引目录!D34" display="返回索引页"/>
  </hyperlinks>
  <printOptions horizontalCentered="1"/>
  <pageMargins left="0.393700787401575" right="0.393700787401575" top="0.984251968503937" bottom="0.393700787401575" header="0.984251968503937" footer="0.393700787401575"/>
  <pageSetup paperSize="9" scale="98" fitToHeight="0" orientation="landscape" blackAndWhite="1"/>
  <headerFooter alignWithMargins="0">
    <oddHeader>&amp;R&amp;"宋体,常规"&amp;11共&amp;N页，第&amp;P页&amp;"Times New Roman,常规"</oddHeader>
  </headerFooter>
  <colBreaks count="1" manualBreakCount="1">
    <brk id="38" max="29" man="1"/>
  </colBreaks>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6">
    <tabColor rgb="FFFF0000"/>
  </sheetPr>
  <dimension ref="A1:CH34"/>
  <sheetViews>
    <sheetView zoomScale="90" zoomScaleNormal="90" workbookViewId="0">
      <pane xSplit="2" ySplit="8" topLeftCell="C9" activePane="bottomRight" state="frozen"/>
      <selection/>
      <selection pane="topRight"/>
      <selection pane="bottomLeft"/>
      <selection pane="bottomRight" activeCell="H15" sqref="H15"/>
    </sheetView>
  </sheetViews>
  <sheetFormatPr defaultColWidth="9" defaultRowHeight="15.75" customHeight="1"/>
  <cols>
    <col min="1" max="1" width="7.6" style="75" customWidth="1"/>
    <col min="2" max="2" width="26.8" style="75" customWidth="1"/>
    <col min="3" max="4" width="13.2" style="75" hidden="1" customWidth="1" outlineLevel="1"/>
    <col min="5" max="5" width="13.2" style="75" customWidth="1" collapsed="1"/>
    <col min="6" max="8" width="13.2" style="75" customWidth="1"/>
    <col min="9" max="10" width="10.7" style="75" customWidth="1"/>
    <col min="11" max="12" width="7.7" style="75" customWidth="1"/>
    <col min="13" max="14" width="5" style="165" hidden="1" customWidth="1" outlineLevel="1"/>
    <col min="15" max="52" width="9" style="75" hidden="1" customWidth="1" outlineLevel="1"/>
    <col min="53" max="53" width="9.6" style="227" customWidth="1" collapsed="1"/>
    <col min="54" max="60" width="9.6" style="227" customWidth="1"/>
    <col min="61" max="61" width="1.6" style="227" customWidth="1"/>
    <col min="62" max="64" width="9.6" style="227" customWidth="1"/>
    <col min="65" max="69" width="9" style="227"/>
    <col min="70" max="70" width="1.6" style="75" customWidth="1"/>
    <col min="71" max="79" width="8.6" style="158" customWidth="1"/>
    <col min="80" max="80" width="8.6" style="228" customWidth="1"/>
    <col min="81" max="81" width="8.6" style="158" customWidth="1"/>
    <col min="82" max="84" width="8.6" style="75" customWidth="1"/>
    <col min="85" max="86" width="9" style="229"/>
    <col min="87" max="16384" width="9" style="75"/>
  </cols>
  <sheetData>
    <row r="1" s="70" customFormat="1" ht="13.8" spans="1:86">
      <c r="A1" s="80" t="s">
        <v>1591</v>
      </c>
      <c r="B1" s="80" t="s">
        <v>1592</v>
      </c>
      <c r="C1" s="81"/>
      <c r="D1" s="81"/>
      <c r="E1" s="81"/>
      <c r="F1" s="81"/>
      <c r="G1" s="81"/>
      <c r="H1" s="81"/>
      <c r="I1" s="81"/>
      <c r="J1" s="81"/>
      <c r="K1" s="81"/>
      <c r="L1" s="81"/>
      <c r="M1" s="168"/>
      <c r="N1" s="168"/>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6"/>
      <c r="BZ1" s="86"/>
      <c r="CA1" s="86"/>
      <c r="CB1" s="82"/>
      <c r="CC1" s="86"/>
      <c r="CG1" s="232"/>
      <c r="CH1" s="232"/>
    </row>
    <row r="2" s="71" customFormat="1" ht="30" customHeight="1" spans="1:86">
      <c r="A2" s="233" t="s">
        <v>3836</v>
      </c>
      <c r="B2" s="233"/>
      <c r="C2" s="233"/>
      <c r="D2" s="233"/>
      <c r="E2" s="233"/>
      <c r="F2" s="233"/>
      <c r="G2" s="233"/>
      <c r="H2" s="233"/>
      <c r="I2" s="233"/>
      <c r="J2" s="233"/>
      <c r="K2" s="233"/>
      <c r="L2" s="233"/>
      <c r="M2" s="171"/>
      <c r="N2" s="171"/>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5"/>
      <c r="BZ2" s="235"/>
      <c r="CA2" s="235"/>
      <c r="CB2" s="236"/>
      <c r="CC2" s="235"/>
      <c r="CG2" s="237"/>
      <c r="CH2" s="237"/>
    </row>
    <row r="3" ht="14.1" customHeight="1" spans="1:86">
      <c r="A3" s="238" t="str">
        <f>参数表!F5</f>
        <v>评估基准日：2025年7月31日</v>
      </c>
      <c r="B3" s="238"/>
      <c r="C3" s="238"/>
      <c r="D3" s="238"/>
      <c r="E3" s="238"/>
      <c r="F3" s="238"/>
      <c r="G3" s="165"/>
      <c r="H3" s="165"/>
      <c r="I3" s="165"/>
      <c r="J3" s="165"/>
      <c r="K3" s="165"/>
      <c r="L3" s="165"/>
      <c r="BA3" s="230" t="str">
        <f>参数表!BA3</f>
        <v>是否显示评估值：</v>
      </c>
      <c r="BB3" s="230" t="str">
        <f>参数表!BB3</f>
        <v>是</v>
      </c>
    </row>
    <row r="4" ht="14.1" customHeight="1" spans="1:86">
      <c r="A4" s="238"/>
      <c r="B4" s="238"/>
      <c r="C4" s="238"/>
      <c r="D4" s="238"/>
      <c r="E4" s="238"/>
      <c r="F4" s="238"/>
      <c r="G4" s="165"/>
      <c r="H4" s="165"/>
      <c r="I4" s="165"/>
      <c r="J4" s="165"/>
      <c r="K4" s="277"/>
      <c r="L4" s="277" t="str">
        <f>"表"&amp;A29</f>
        <v>表4-10</v>
      </c>
      <c r="BA4" s="920"/>
    </row>
    <row r="5" customHeight="1" spans="1:86">
      <c r="A5" s="243" t="str">
        <f>参数表!F3</f>
        <v>产权持有单位:中煤第五建设有限公司</v>
      </c>
      <c r="L5" s="277" t="s">
        <v>236</v>
      </c>
      <c r="BA5" s="240" t="s">
        <v>1595</v>
      </c>
      <c r="BB5" s="241"/>
      <c r="BC5" s="241"/>
      <c r="BD5" s="241"/>
      <c r="BE5" s="241"/>
      <c r="BF5" s="241"/>
      <c r="BG5" s="241"/>
      <c r="BH5" s="241"/>
      <c r="BI5" s="242"/>
      <c r="BJ5" s="241" t="s">
        <v>1545</v>
      </c>
      <c r="BK5" s="241"/>
      <c r="BL5" s="241"/>
      <c r="BM5" s="241"/>
      <c r="BN5" s="241"/>
      <c r="BO5" s="241"/>
      <c r="BP5" s="241"/>
      <c r="BQ5" s="241"/>
    </row>
    <row r="6" s="72" customFormat="1" customHeight="1" spans="1:86">
      <c r="A6" s="921" t="s">
        <v>1734</v>
      </c>
      <c r="B6" s="921" t="s">
        <v>1735</v>
      </c>
      <c r="C6" s="921" t="s">
        <v>1549</v>
      </c>
      <c r="D6" s="921"/>
      <c r="E6" s="921" t="s">
        <v>1523</v>
      </c>
      <c r="F6" s="921"/>
      <c r="G6" s="921" t="s">
        <v>1550</v>
      </c>
      <c r="H6" s="921"/>
      <c r="I6" s="921" t="s">
        <v>3837</v>
      </c>
      <c r="J6" s="921"/>
      <c r="K6" s="921" t="s">
        <v>1551</v>
      </c>
      <c r="L6" s="921"/>
      <c r="BA6" s="245" t="s">
        <v>1523</v>
      </c>
      <c r="BB6" s="245"/>
      <c r="BC6" s="245"/>
      <c r="BD6" s="245"/>
      <c r="BE6" s="246" t="s">
        <v>1524</v>
      </c>
      <c r="BF6" s="246"/>
      <c r="BG6" s="246"/>
      <c r="BH6" s="246"/>
      <c r="BI6" s="242"/>
      <c r="BJ6" s="245" t="s">
        <v>1523</v>
      </c>
      <c r="BK6" s="245"/>
      <c r="BL6" s="245"/>
      <c r="BM6" s="245"/>
      <c r="BN6" s="246" t="s">
        <v>1524</v>
      </c>
      <c r="BO6" s="246"/>
      <c r="BP6" s="246"/>
      <c r="BQ6" s="246"/>
      <c r="BR6" s="75"/>
      <c r="BS6" s="922" t="s">
        <v>3838</v>
      </c>
      <c r="BT6" s="268"/>
      <c r="BU6" s="922" t="s">
        <v>3839</v>
      </c>
      <c r="BV6" s="268"/>
      <c r="BW6" s="922" t="s">
        <v>3840</v>
      </c>
      <c r="BX6" s="268"/>
      <c r="BY6" s="158"/>
      <c r="BZ6" s="158"/>
      <c r="CA6" s="158"/>
      <c r="CB6" s="228"/>
      <c r="CC6" s="158"/>
      <c r="CD6" s="254"/>
      <c r="CE6" s="254"/>
      <c r="CF6" s="254"/>
      <c r="CG6" s="254"/>
      <c r="CH6" s="254"/>
    </row>
    <row r="7" s="72" customFormat="1" customHeight="1" spans="1:86">
      <c r="A7" s="263"/>
      <c r="B7" s="263"/>
      <c r="C7" s="263" t="s">
        <v>1556</v>
      </c>
      <c r="D7" s="263" t="s">
        <v>1557</v>
      </c>
      <c r="E7" s="263" t="s">
        <v>1556</v>
      </c>
      <c r="F7" s="263" t="s">
        <v>1557</v>
      </c>
      <c r="G7" s="921" t="s">
        <v>1556</v>
      </c>
      <c r="H7" s="921" t="s">
        <v>1557</v>
      </c>
      <c r="I7" s="921" t="s">
        <v>1556</v>
      </c>
      <c r="J7" s="921" t="s">
        <v>1557</v>
      </c>
      <c r="K7" s="921" t="s">
        <v>1556</v>
      </c>
      <c r="L7" s="921" t="s">
        <v>1557</v>
      </c>
      <c r="BA7" s="246" t="s">
        <v>1556</v>
      </c>
      <c r="BB7" s="246" t="s">
        <v>1557</v>
      </c>
      <c r="BC7" s="246" t="s">
        <v>1558</v>
      </c>
      <c r="BD7" s="246" t="s">
        <v>271</v>
      </c>
      <c r="BE7" s="246" t="s">
        <v>1556</v>
      </c>
      <c r="BF7" s="246" t="s">
        <v>1557</v>
      </c>
      <c r="BG7" s="246" t="s">
        <v>1558</v>
      </c>
      <c r="BH7" s="246" t="s">
        <v>271</v>
      </c>
      <c r="BI7" s="252"/>
      <c r="BJ7" s="246" t="s">
        <v>1556</v>
      </c>
      <c r="BK7" s="246" t="s">
        <v>1557</v>
      </c>
      <c r="BL7" s="246" t="s">
        <v>1558</v>
      </c>
      <c r="BM7" s="246" t="s">
        <v>271</v>
      </c>
      <c r="BN7" s="246" t="s">
        <v>1556</v>
      </c>
      <c r="BO7" s="246" t="s">
        <v>1557</v>
      </c>
      <c r="BP7" s="246" t="s">
        <v>1558</v>
      </c>
      <c r="BQ7" s="246" t="s">
        <v>271</v>
      </c>
      <c r="BS7" s="922" t="s">
        <v>3699</v>
      </c>
      <c r="BT7" s="922" t="s">
        <v>3700</v>
      </c>
      <c r="BU7" s="922" t="s">
        <v>3699</v>
      </c>
      <c r="BV7" s="922" t="s">
        <v>3700</v>
      </c>
      <c r="BW7" s="922" t="s">
        <v>3699</v>
      </c>
      <c r="BX7" s="922" t="s">
        <v>3700</v>
      </c>
      <c r="BY7" s="253" t="s">
        <v>1604</v>
      </c>
      <c r="BZ7" s="228" t="s">
        <v>1605</v>
      </c>
      <c r="CA7" s="228" t="s">
        <v>1606</v>
      </c>
      <c r="CB7" s="228" t="s">
        <v>1607</v>
      </c>
      <c r="CC7" s="228" t="s">
        <v>1608</v>
      </c>
      <c r="CD7" s="75"/>
      <c r="CE7" s="75"/>
      <c r="CF7" s="75"/>
      <c r="CG7" s="229"/>
      <c r="CH7" s="229"/>
    </row>
    <row r="8" s="73" customFormat="1" customHeight="1" spans="1:86">
      <c r="A8" s="923" t="s">
        <v>3841</v>
      </c>
      <c r="B8" s="923"/>
      <c r="C8" s="264">
        <f>SUM(C9:C13)</f>
        <v>0</v>
      </c>
      <c r="D8" s="264">
        <f t="shared" ref="D8:H8" si="0">SUM(D9:D13)</f>
        <v>0</v>
      </c>
      <c r="E8" s="264">
        <f t="shared" si="0"/>
        <v>0</v>
      </c>
      <c r="F8" s="264">
        <f t="shared" si="0"/>
        <v>0</v>
      </c>
      <c r="G8" s="264">
        <f t="shared" si="0"/>
        <v>0</v>
      </c>
      <c r="H8" s="264">
        <f t="shared" si="0"/>
        <v>0</v>
      </c>
      <c r="I8" s="264">
        <f t="shared" ref="I8:J8" si="1">G8-E8</f>
        <v>0</v>
      </c>
      <c r="J8" s="264">
        <f t="shared" si="1"/>
        <v>0</v>
      </c>
      <c r="K8" s="264" t="str">
        <f t="shared" ref="K8:L8" si="2">IF(E8=0,"",I8/E8*100)</f>
        <v/>
      </c>
      <c r="L8" s="264" t="str">
        <f t="shared" si="2"/>
        <v/>
      </c>
      <c r="M8" s="72"/>
      <c r="N8" s="72"/>
      <c r="BA8" s="266">
        <f t="shared" ref="BA8:BH8" si="3">SUM(BA9:BA13)</f>
        <v>0</v>
      </c>
      <c r="BB8" s="266">
        <f t="shared" si="3"/>
        <v>0</v>
      </c>
      <c r="BC8" s="266">
        <f t="shared" si="3"/>
        <v>0</v>
      </c>
      <c r="BD8" s="266">
        <f t="shared" si="3"/>
        <v>0</v>
      </c>
      <c r="BE8" s="266">
        <f t="shared" si="3"/>
        <v>0</v>
      </c>
      <c r="BF8" s="266">
        <f t="shared" si="3"/>
        <v>0</v>
      </c>
      <c r="BG8" s="266">
        <f t="shared" si="3"/>
        <v>0</v>
      </c>
      <c r="BH8" s="266">
        <f t="shared" si="3"/>
        <v>0</v>
      </c>
      <c r="BI8" s="267"/>
      <c r="BJ8" s="264">
        <f t="shared" ref="BJ8" si="4">SUM(BJ9:BJ13)</f>
        <v>0</v>
      </c>
      <c r="BK8" s="266">
        <f t="shared" ref="BK8" si="5">SUM(BK9:BK13)</f>
        <v>0</v>
      </c>
      <c r="BL8" s="266">
        <f t="shared" ref="BL8" si="6">SUM(BL9:BL13)</f>
        <v>0</v>
      </c>
      <c r="BM8" s="266">
        <f t="shared" ref="BM8" si="7">SUM(BM9:BM13)</f>
        <v>0</v>
      </c>
      <c r="BN8" s="264">
        <f t="shared" ref="BN8" si="8">SUM(BN9:BN13)</f>
        <v>0</v>
      </c>
      <c r="BO8" s="266">
        <f t="shared" ref="BO8" si="9">SUM(BO9:BO13)</f>
        <v>0</v>
      </c>
      <c r="BP8" s="266">
        <f t="shared" ref="BP8" si="10">SUM(BP9:BP13)</f>
        <v>0</v>
      </c>
      <c r="BQ8" s="266">
        <f t="shared" ref="BQ8" si="11">SUM(BQ9:BQ13)</f>
        <v>0</v>
      </c>
      <c r="BS8" s="268" t="str">
        <f>IF(I8&gt;0,"增值",IF(I8=0,"无增减值","减值"))</f>
        <v>无增减值</v>
      </c>
      <c r="BT8" s="268" t="str">
        <f>IF(J8&gt;0,"增值",IF(J8=0,"无增减值","减值"))</f>
        <v>无增减值</v>
      </c>
      <c r="BU8" s="924">
        <f>ABS(I8)</f>
        <v>0</v>
      </c>
      <c r="BV8" s="924">
        <f>ABS(J8)</f>
        <v>0</v>
      </c>
      <c r="BW8" s="924">
        <f>IFERROR(ABS(G8),0)</f>
        <v>0</v>
      </c>
      <c r="BX8" s="924">
        <f>IFERROR(ABS(H8),0)</f>
        <v>0</v>
      </c>
      <c r="BY8" s="258"/>
      <c r="BZ8" s="259"/>
      <c r="CA8" s="158"/>
      <c r="CB8" s="228"/>
      <c r="CC8" s="228"/>
      <c r="CD8" s="75"/>
      <c r="CE8" s="75"/>
      <c r="CF8" s="75"/>
      <c r="CG8" s="229"/>
      <c r="CH8" s="229"/>
    </row>
    <row r="9" customHeight="1" spans="1:86">
      <c r="A9" s="925" t="str">
        <f>A$29&amp;"-"&amp;SUBTOTAL(103,B$9:B9)</f>
        <v>4-10-1</v>
      </c>
      <c r="B9" s="926" t="s">
        <v>3842</v>
      </c>
      <c r="C9" s="143">
        <f>房屋!AE30</f>
        <v>0</v>
      </c>
      <c r="D9" s="143">
        <f>房屋!AF30</f>
        <v>0</v>
      </c>
      <c r="E9" s="143">
        <f>房屋!AK30</f>
        <v>0</v>
      </c>
      <c r="F9" s="143">
        <f>房屋!AL30</f>
        <v>0</v>
      </c>
      <c r="G9" s="143">
        <f>房屋!AN30</f>
        <v>0</v>
      </c>
      <c r="H9" s="143">
        <f>房屋!AP30</f>
        <v>0</v>
      </c>
      <c r="I9" s="143">
        <f t="shared" ref="I9" si="12">G9-E9</f>
        <v>0</v>
      </c>
      <c r="J9" s="143">
        <f t="shared" ref="J9" si="13">H9-F9</f>
        <v>0</v>
      </c>
      <c r="K9" s="143" t="str">
        <f t="shared" ref="K9" si="14">IF(E9=0,"",I9/E9*100)</f>
        <v/>
      </c>
      <c r="L9" s="143" t="str">
        <f t="shared" ref="L9" si="15">IF(F9=0,"",J9/F9*100)</f>
        <v/>
      </c>
      <c r="BA9" s="256">
        <f>E9</f>
        <v>0</v>
      </c>
      <c r="BB9" s="256">
        <f>房屋!AL28</f>
        <v>0</v>
      </c>
      <c r="BC9" s="256">
        <f>BB9-BD9</f>
        <v>0</v>
      </c>
      <c r="BD9" s="256">
        <f>F9</f>
        <v>0</v>
      </c>
      <c r="BE9" s="256">
        <f>G9</f>
        <v>0</v>
      </c>
      <c r="BF9" s="256">
        <f>房屋!AP28</f>
        <v>0</v>
      </c>
      <c r="BG9" s="256">
        <f>BF9-BH9</f>
        <v>0</v>
      </c>
      <c r="BH9" s="256">
        <f>H9</f>
        <v>0</v>
      </c>
      <c r="BI9" s="242"/>
      <c r="BJ9" s="143">
        <f>房屋!AK33</f>
        <v>0</v>
      </c>
      <c r="BK9" s="143">
        <f>房屋!AL33</f>
        <v>0</v>
      </c>
      <c r="BL9" s="143">
        <f>房屋!AM33</f>
        <v>0</v>
      </c>
      <c r="BM9" s="256">
        <f>BK9-BL9</f>
        <v>0</v>
      </c>
      <c r="BN9" s="143">
        <f>房屋!AN33</f>
        <v>0</v>
      </c>
      <c r="BO9" s="256">
        <f>房屋!AP33</f>
        <v>0</v>
      </c>
      <c r="BP9" s="256">
        <f>0</f>
        <v>0</v>
      </c>
      <c r="BQ9" s="256">
        <f>BO9-BP9</f>
        <v>0</v>
      </c>
      <c r="BS9" s="228" t="str">
        <f t="shared" ref="BS9:BS13" si="16">IF(I9&gt;0,"增值",IF(I9=0,"无增减值","减值"))</f>
        <v>无增减值</v>
      </c>
      <c r="BT9" s="228" t="str">
        <f t="shared" ref="BT9:BT13" si="17">IF(J9&gt;0,"增值",IF(J9=0,"无增减值","减值"))</f>
        <v>无增减值</v>
      </c>
      <c r="BU9" s="257">
        <f t="shared" ref="BU9:BU13" si="18">ABS(I9)</f>
        <v>0</v>
      </c>
      <c r="BV9" s="257">
        <f t="shared" ref="BV9:BV13" si="19">ABS(J9)</f>
        <v>0</v>
      </c>
      <c r="BW9" s="257">
        <f t="shared" ref="BW9:BW13" si="20">IFERROR(ABS(G9),0)</f>
        <v>0</v>
      </c>
      <c r="BX9" s="257">
        <f t="shared" ref="BX9:BX13" si="21">IFERROR(ABS(H9),0)</f>
        <v>0</v>
      </c>
      <c r="BY9" s="258">
        <f>IFERROR(FIND("-",B9),0)</f>
        <v>5</v>
      </c>
      <c r="BZ9" s="259" t="str">
        <f>IF(SUM(BA9:BH9)=0,"",RIGHT(B9,LEN(B9)-BY9))</f>
        <v/>
      </c>
      <c r="CA9" s="158" t="str">
        <f>IF(CB9="","",IF(CC9&gt;1,"、",IF(CC9=1,"和","")))</f>
        <v/>
      </c>
      <c r="CB9" s="228" t="str">
        <f t="shared" ref="CB9:CB18" si="22">IF(BZ9="","",1)</f>
        <v/>
      </c>
      <c r="CC9" s="228">
        <f>COUNT(CB10:CB$12)</f>
        <v>0</v>
      </c>
    </row>
    <row r="10" customHeight="1" spans="1:86">
      <c r="A10" s="925" t="str">
        <f>A$29&amp;"-"&amp;SUBTOTAL(103,B$9:B10)</f>
        <v>4-10-2</v>
      </c>
      <c r="B10" s="926" t="s">
        <v>3843</v>
      </c>
      <c r="C10" s="143">
        <f>构筑物!V30</f>
        <v>0</v>
      </c>
      <c r="D10" s="143">
        <f>构筑物!W30</f>
        <v>0</v>
      </c>
      <c r="E10" s="143">
        <f>构筑物!AB30</f>
        <v>0</v>
      </c>
      <c r="F10" s="143">
        <f>构筑物!AC30</f>
        <v>0</v>
      </c>
      <c r="G10" s="143">
        <f>构筑物!AE30</f>
        <v>0</v>
      </c>
      <c r="H10" s="143">
        <f>构筑物!AG30</f>
        <v>0</v>
      </c>
      <c r="I10" s="143">
        <f t="shared" ref="I10:I13" si="23">G10-E10</f>
        <v>0</v>
      </c>
      <c r="J10" s="143">
        <f t="shared" ref="J10:J13" si="24">H10-F10</f>
        <v>0</v>
      </c>
      <c r="K10" s="143" t="str">
        <f t="shared" ref="K10:K13" si="25">IF(E10=0,"",I10/E10*100)</f>
        <v/>
      </c>
      <c r="L10" s="143" t="str">
        <f t="shared" ref="L10:L13" si="26">IF(F10=0,"",J10/F10*100)</f>
        <v/>
      </c>
      <c r="BA10" s="256">
        <f t="shared" ref="BA10:BA13" si="27">E10</f>
        <v>0</v>
      </c>
      <c r="BB10" s="256">
        <f>构筑物!AC28</f>
        <v>0</v>
      </c>
      <c r="BC10" s="256">
        <f t="shared" ref="BC10:BC13" si="28">BB10-BD10</f>
        <v>0</v>
      </c>
      <c r="BD10" s="256">
        <f t="shared" ref="BD10:BD13" si="29">F10</f>
        <v>0</v>
      </c>
      <c r="BE10" s="256">
        <f t="shared" ref="BE10:BE13" si="30">G10</f>
        <v>0</v>
      </c>
      <c r="BF10" s="256">
        <f>构筑物!AG28</f>
        <v>0</v>
      </c>
      <c r="BG10" s="256">
        <f t="shared" ref="BG10:BG13" si="31">BF10-BH10</f>
        <v>0</v>
      </c>
      <c r="BH10" s="256">
        <f t="shared" ref="BH10:BH13" si="32">H10</f>
        <v>0</v>
      </c>
      <c r="BI10" s="242"/>
      <c r="BJ10" s="143">
        <f>构筑物!AB33</f>
        <v>0</v>
      </c>
      <c r="BK10" s="143">
        <f>构筑物!AC33</f>
        <v>0</v>
      </c>
      <c r="BL10" s="143">
        <f>构筑物!AD33</f>
        <v>0</v>
      </c>
      <c r="BM10" s="256">
        <f t="shared" ref="BM10:BM13" si="33">BK10-BL10</f>
        <v>0</v>
      </c>
      <c r="BN10" s="143">
        <f>构筑物!AE33</f>
        <v>0</v>
      </c>
      <c r="BO10" s="256">
        <f>构筑物!AG33</f>
        <v>0</v>
      </c>
      <c r="BP10" s="256">
        <f>0</f>
        <v>0</v>
      </c>
      <c r="BQ10" s="256">
        <f t="shared" ref="BQ10:BQ13" si="34">BO10-BP10</f>
        <v>0</v>
      </c>
      <c r="BS10" s="228" t="str">
        <f t="shared" si="16"/>
        <v>无增减值</v>
      </c>
      <c r="BT10" s="228" t="str">
        <f t="shared" si="17"/>
        <v>无增减值</v>
      </c>
      <c r="BU10" s="257">
        <f t="shared" si="18"/>
        <v>0</v>
      </c>
      <c r="BV10" s="257">
        <f t="shared" si="19"/>
        <v>0</v>
      </c>
      <c r="BW10" s="257">
        <f t="shared" si="20"/>
        <v>0</v>
      </c>
      <c r="BX10" s="257">
        <f t="shared" si="21"/>
        <v>0</v>
      </c>
      <c r="BY10" s="258">
        <f t="shared" ref="BY10:BY13" si="35">IFERROR(FIND("-",B10),0)</f>
        <v>5</v>
      </c>
      <c r="BZ10" s="259" t="str">
        <f t="shared" ref="BZ10:BZ13" si="36">IF(SUM(BA10:BH10)=0,"",RIGHT(B10,LEN(B10)-BY10))</f>
        <v/>
      </c>
      <c r="CA10" s="158" t="str">
        <f>IF(CB10="","",IF(CC10&gt;1,"、",IF(CC10=1,"和","")))</f>
        <v/>
      </c>
      <c r="CB10" s="228" t="str">
        <f t="shared" si="22"/>
        <v/>
      </c>
      <c r="CC10" s="228">
        <f>COUNT(CB11:CB$12)</f>
        <v>0</v>
      </c>
    </row>
    <row r="11" customHeight="1" spans="1:86">
      <c r="A11" s="925" t="str">
        <f>A$29&amp;"-"&amp;SUBTOTAL(103,B$9:B11)</f>
        <v>4-10-3</v>
      </c>
      <c r="B11" s="926" t="s">
        <v>3844</v>
      </c>
      <c r="C11" s="143">
        <f>沟槽!U30</f>
        <v>0</v>
      </c>
      <c r="D11" s="143">
        <f>沟槽!V30</f>
        <v>0</v>
      </c>
      <c r="E11" s="143">
        <f>沟槽!AA30</f>
        <v>0</v>
      </c>
      <c r="F11" s="143">
        <f>沟槽!AB30</f>
        <v>0</v>
      </c>
      <c r="G11" s="143">
        <f>沟槽!AD30</f>
        <v>0</v>
      </c>
      <c r="H11" s="143">
        <f>沟槽!AF30</f>
        <v>0</v>
      </c>
      <c r="I11" s="143">
        <f t="shared" si="23"/>
        <v>0</v>
      </c>
      <c r="J11" s="143">
        <f t="shared" si="24"/>
        <v>0</v>
      </c>
      <c r="K11" s="143" t="str">
        <f t="shared" si="25"/>
        <v/>
      </c>
      <c r="L11" s="143" t="str">
        <f t="shared" si="26"/>
        <v/>
      </c>
      <c r="BA11" s="256">
        <f t="shared" si="27"/>
        <v>0</v>
      </c>
      <c r="BB11" s="256">
        <f>沟槽!AB28</f>
        <v>0</v>
      </c>
      <c r="BC11" s="256">
        <f t="shared" si="28"/>
        <v>0</v>
      </c>
      <c r="BD11" s="256">
        <f t="shared" si="29"/>
        <v>0</v>
      </c>
      <c r="BE11" s="256">
        <f t="shared" si="30"/>
        <v>0</v>
      </c>
      <c r="BF11" s="256">
        <f>沟槽!AF28</f>
        <v>0</v>
      </c>
      <c r="BG11" s="256">
        <f t="shared" si="31"/>
        <v>0</v>
      </c>
      <c r="BH11" s="256">
        <f t="shared" si="32"/>
        <v>0</v>
      </c>
      <c r="BI11" s="242"/>
      <c r="BJ11" s="143">
        <f>沟槽!AA33</f>
        <v>0</v>
      </c>
      <c r="BK11" s="143">
        <f>沟槽!AB33</f>
        <v>0</v>
      </c>
      <c r="BL11" s="143">
        <f>沟槽!AC33</f>
        <v>0</v>
      </c>
      <c r="BM11" s="256">
        <f t="shared" si="33"/>
        <v>0</v>
      </c>
      <c r="BN11" s="143">
        <f>沟槽!AD33</f>
        <v>0</v>
      </c>
      <c r="BO11" s="256">
        <f>沟槽!AF33</f>
        <v>0</v>
      </c>
      <c r="BP11" s="256">
        <f>0</f>
        <v>0</v>
      </c>
      <c r="BQ11" s="256">
        <f t="shared" si="34"/>
        <v>0</v>
      </c>
      <c r="BS11" s="228" t="str">
        <f t="shared" si="16"/>
        <v>无增减值</v>
      </c>
      <c r="BT11" s="228" t="str">
        <f t="shared" si="17"/>
        <v>无增减值</v>
      </c>
      <c r="BU11" s="257">
        <f t="shared" si="18"/>
        <v>0</v>
      </c>
      <c r="BV11" s="257">
        <f t="shared" si="19"/>
        <v>0</v>
      </c>
      <c r="BW11" s="257">
        <f t="shared" si="20"/>
        <v>0</v>
      </c>
      <c r="BX11" s="257">
        <f t="shared" si="21"/>
        <v>0</v>
      </c>
      <c r="BY11" s="258">
        <f t="shared" si="35"/>
        <v>5</v>
      </c>
      <c r="BZ11" s="259" t="str">
        <f t="shared" si="36"/>
        <v/>
      </c>
      <c r="CA11" s="158" t="str">
        <f t="shared" ref="CA11:CA17" si="37">IF(CB11="","",IF(CC11&gt;1,"、",IF(CC11=1,"和","")))</f>
        <v/>
      </c>
      <c r="CB11" s="228" t="str">
        <f t="shared" si="22"/>
        <v/>
      </c>
      <c r="CC11" s="228">
        <f>COUNT(CB12:CB$12)</f>
        <v>0</v>
      </c>
    </row>
    <row r="12" customHeight="1" spans="1:86">
      <c r="A12" s="925" t="str">
        <f>A$29&amp;"-"&amp;SUBTOTAL(103,B$9:B12)</f>
        <v>4-10-4</v>
      </c>
      <c r="B12" s="926" t="s">
        <v>3845</v>
      </c>
      <c r="C12" s="143">
        <f>井巷!W30</f>
        <v>0</v>
      </c>
      <c r="D12" s="143">
        <f>井巷!X30</f>
        <v>0</v>
      </c>
      <c r="E12" s="143">
        <f>井巷!AC30</f>
        <v>0</v>
      </c>
      <c r="F12" s="143">
        <f>井巷!AD30</f>
        <v>0</v>
      </c>
      <c r="G12" s="143">
        <f>井巷!AF30</f>
        <v>0</v>
      </c>
      <c r="H12" s="143">
        <f>井巷!AH30</f>
        <v>0</v>
      </c>
      <c r="I12" s="143">
        <f t="shared" si="23"/>
        <v>0</v>
      </c>
      <c r="J12" s="143">
        <f t="shared" si="24"/>
        <v>0</v>
      </c>
      <c r="K12" s="143" t="str">
        <f t="shared" si="25"/>
        <v/>
      </c>
      <c r="L12" s="143" t="str">
        <f t="shared" si="26"/>
        <v/>
      </c>
      <c r="BA12" s="256">
        <f t="shared" si="27"/>
        <v>0</v>
      </c>
      <c r="BB12" s="256">
        <f>井巷!AD28</f>
        <v>0</v>
      </c>
      <c r="BC12" s="256">
        <f t="shared" si="28"/>
        <v>0</v>
      </c>
      <c r="BD12" s="256">
        <f t="shared" si="29"/>
        <v>0</v>
      </c>
      <c r="BE12" s="256">
        <f t="shared" si="30"/>
        <v>0</v>
      </c>
      <c r="BF12" s="256">
        <f>井巷!AH28</f>
        <v>0</v>
      </c>
      <c r="BG12" s="256">
        <f t="shared" si="31"/>
        <v>0</v>
      </c>
      <c r="BH12" s="256">
        <f t="shared" si="32"/>
        <v>0</v>
      </c>
      <c r="BI12" s="242"/>
      <c r="BJ12" s="143">
        <f>井巷!AC33</f>
        <v>0</v>
      </c>
      <c r="BK12" s="143">
        <f>井巷!AD33</f>
        <v>0</v>
      </c>
      <c r="BL12" s="143">
        <f>井巷!AE33</f>
        <v>0</v>
      </c>
      <c r="BM12" s="256">
        <f t="shared" si="33"/>
        <v>0</v>
      </c>
      <c r="BN12" s="143">
        <f>井巷!AF33</f>
        <v>0</v>
      </c>
      <c r="BO12" s="256">
        <f>井巷!AH33</f>
        <v>0</v>
      </c>
      <c r="BP12" s="256">
        <f>0</f>
        <v>0</v>
      </c>
      <c r="BQ12" s="256">
        <f t="shared" si="34"/>
        <v>0</v>
      </c>
      <c r="BS12" s="228" t="str">
        <f t="shared" si="16"/>
        <v>无增减值</v>
      </c>
      <c r="BT12" s="228" t="str">
        <f t="shared" si="17"/>
        <v>无增减值</v>
      </c>
      <c r="BU12" s="257">
        <f t="shared" si="18"/>
        <v>0</v>
      </c>
      <c r="BV12" s="257">
        <f t="shared" si="19"/>
        <v>0</v>
      </c>
      <c r="BW12" s="257">
        <f t="shared" si="20"/>
        <v>0</v>
      </c>
      <c r="BX12" s="257">
        <f t="shared" si="21"/>
        <v>0</v>
      </c>
      <c r="BY12" s="258">
        <f t="shared" si="35"/>
        <v>5</v>
      </c>
      <c r="BZ12" s="259" t="str">
        <f t="shared" si="36"/>
        <v/>
      </c>
      <c r="CA12" s="158" t="str">
        <f t="shared" si="37"/>
        <v/>
      </c>
      <c r="CB12" s="228" t="str">
        <f t="shared" si="22"/>
        <v/>
      </c>
      <c r="CC12" s="228">
        <f>COUNT(CB$12:CB13)</f>
        <v>0</v>
      </c>
    </row>
    <row r="13" customHeight="1" spans="1:86">
      <c r="A13" s="925" t="str">
        <f>A$29&amp;"-"&amp;SUBTOTAL(103,B$9:B13)</f>
        <v>4-10-5</v>
      </c>
      <c r="B13" s="926" t="s">
        <v>3846</v>
      </c>
      <c r="C13" s="143">
        <f>铺轨!S30</f>
        <v>0</v>
      </c>
      <c r="D13" s="143">
        <f>铺轨!T30</f>
        <v>0</v>
      </c>
      <c r="E13" s="143">
        <f>铺轨!Y30</f>
        <v>0</v>
      </c>
      <c r="F13" s="143">
        <f>铺轨!Z30</f>
        <v>0</v>
      </c>
      <c r="G13" s="143">
        <f>铺轨!AB30</f>
        <v>0</v>
      </c>
      <c r="H13" s="143">
        <f>铺轨!AD30</f>
        <v>0</v>
      </c>
      <c r="I13" s="143">
        <f t="shared" si="23"/>
        <v>0</v>
      </c>
      <c r="J13" s="143">
        <f t="shared" si="24"/>
        <v>0</v>
      </c>
      <c r="K13" s="143" t="str">
        <f t="shared" si="25"/>
        <v/>
      </c>
      <c r="L13" s="143" t="str">
        <f t="shared" si="26"/>
        <v/>
      </c>
      <c r="BA13" s="256">
        <f t="shared" si="27"/>
        <v>0</v>
      </c>
      <c r="BB13" s="256">
        <f>铺轨!Z28</f>
        <v>0</v>
      </c>
      <c r="BC13" s="256">
        <f t="shared" si="28"/>
        <v>0</v>
      </c>
      <c r="BD13" s="256">
        <f t="shared" si="29"/>
        <v>0</v>
      </c>
      <c r="BE13" s="256">
        <f t="shared" si="30"/>
        <v>0</v>
      </c>
      <c r="BF13" s="256">
        <f>铺轨!AD28</f>
        <v>0</v>
      </c>
      <c r="BG13" s="256">
        <f t="shared" si="31"/>
        <v>0</v>
      </c>
      <c r="BH13" s="256">
        <f t="shared" si="32"/>
        <v>0</v>
      </c>
      <c r="BI13" s="242"/>
      <c r="BJ13" s="143">
        <f>铺轨!Y33</f>
        <v>0</v>
      </c>
      <c r="BK13" s="143">
        <f>铺轨!Z33</f>
        <v>0</v>
      </c>
      <c r="BL13" s="143">
        <f>铺轨!AA33</f>
        <v>0</v>
      </c>
      <c r="BM13" s="256">
        <f t="shared" si="33"/>
        <v>0</v>
      </c>
      <c r="BN13" s="143">
        <f>铺轨!AB33</f>
        <v>0</v>
      </c>
      <c r="BO13" s="256">
        <f>铺轨!AD33</f>
        <v>0</v>
      </c>
      <c r="BP13" s="256">
        <f>0</f>
        <v>0</v>
      </c>
      <c r="BQ13" s="256">
        <f t="shared" si="34"/>
        <v>0</v>
      </c>
      <c r="BS13" s="228" t="str">
        <f t="shared" si="16"/>
        <v>无增减值</v>
      </c>
      <c r="BT13" s="228" t="str">
        <f t="shared" si="17"/>
        <v>无增减值</v>
      </c>
      <c r="BU13" s="257">
        <f t="shared" si="18"/>
        <v>0</v>
      </c>
      <c r="BV13" s="257">
        <f t="shared" si="19"/>
        <v>0</v>
      </c>
      <c r="BW13" s="257">
        <f t="shared" si="20"/>
        <v>0</v>
      </c>
      <c r="BX13" s="257">
        <f t="shared" si="21"/>
        <v>0</v>
      </c>
      <c r="BY13" s="258">
        <f t="shared" si="35"/>
        <v>5</v>
      </c>
      <c r="BZ13" s="259" t="str">
        <f t="shared" si="36"/>
        <v/>
      </c>
      <c r="CB13" s="228" t="str">
        <f t="shared" si="22"/>
        <v/>
      </c>
      <c r="CC13" s="228"/>
    </row>
    <row r="14" customHeight="1" spans="1:86">
      <c r="A14" s="507"/>
      <c r="B14" s="926"/>
      <c r="C14" s="143"/>
      <c r="D14" s="143"/>
      <c r="E14" s="143"/>
      <c r="F14" s="143"/>
      <c r="G14" s="143"/>
      <c r="H14" s="143"/>
      <c r="I14" s="143"/>
      <c r="J14" s="143"/>
      <c r="K14" s="143"/>
      <c r="L14" s="143"/>
      <c r="BA14" s="256"/>
      <c r="BB14" s="256"/>
      <c r="BC14" s="256"/>
      <c r="BD14" s="256"/>
      <c r="BE14" s="256"/>
      <c r="BF14" s="256"/>
      <c r="BG14" s="256"/>
      <c r="BH14" s="256"/>
      <c r="BI14" s="242"/>
      <c r="BJ14" s="256"/>
      <c r="BK14" s="256"/>
      <c r="BL14" s="256"/>
      <c r="BM14" s="256"/>
      <c r="BN14" s="256"/>
      <c r="BO14" s="256"/>
      <c r="BP14" s="256"/>
      <c r="BQ14" s="256"/>
      <c r="BS14" s="259" t="str">
        <f>"房屋建筑物"&amp;IF(CB14&lt;2,"为：","包括：")</f>
        <v>房屋建筑物为：</v>
      </c>
      <c r="BT14" s="139" t="str">
        <f>CONCATENATE(BZ9,CA9,BZ10,CA10,BZ11,CA11,BZ12,CA12,BZ13)</f>
        <v/>
      </c>
      <c r="BU14" s="257"/>
      <c r="BV14" s="257"/>
      <c r="BW14" s="257"/>
      <c r="BX14" s="257"/>
      <c r="BY14" s="258"/>
      <c r="BZ14" s="259"/>
      <c r="CB14" s="268">
        <f>SUM(CB9:CB13)</f>
        <v>0</v>
      </c>
      <c r="CC14" s="228"/>
    </row>
    <row r="15" s="73" customFormat="1" customHeight="1" spans="1:86">
      <c r="A15" s="927" t="s">
        <v>3847</v>
      </c>
      <c r="B15" s="927"/>
      <c r="C15" s="264">
        <f>SUM(C16:C18)</f>
        <v>0</v>
      </c>
      <c r="D15" s="264">
        <f t="shared" ref="D15:H15" si="38">SUM(D16:D18)</f>
        <v>0</v>
      </c>
      <c r="E15" s="264">
        <f t="shared" si="38"/>
        <v>0</v>
      </c>
      <c r="F15" s="264">
        <f t="shared" si="38"/>
        <v>0</v>
      </c>
      <c r="G15" s="264">
        <f t="shared" si="38"/>
        <v>0</v>
      </c>
      <c r="H15" s="264">
        <f t="shared" si="38"/>
        <v>0</v>
      </c>
      <c r="I15" s="264">
        <f t="shared" ref="I15:J15" si="39">G15-E15</f>
        <v>0</v>
      </c>
      <c r="J15" s="264">
        <f t="shared" si="39"/>
        <v>0</v>
      </c>
      <c r="K15" s="264" t="str">
        <f>IF(E15=0,"",I15/E15*100)</f>
        <v/>
      </c>
      <c r="L15" s="264" t="str">
        <f>IF(F15=0,"",J15/F15*100)</f>
        <v/>
      </c>
      <c r="M15" s="72"/>
      <c r="N15" s="72"/>
      <c r="BA15" s="266">
        <f t="shared" ref="BA15:BH15" si="40">SUM(BA16:BA18)</f>
        <v>0</v>
      </c>
      <c r="BB15" s="266">
        <f t="shared" si="40"/>
        <v>0</v>
      </c>
      <c r="BC15" s="266">
        <f t="shared" si="40"/>
        <v>0</v>
      </c>
      <c r="BD15" s="266">
        <f t="shared" si="40"/>
        <v>0</v>
      </c>
      <c r="BE15" s="266">
        <f t="shared" si="40"/>
        <v>0</v>
      </c>
      <c r="BF15" s="266">
        <f t="shared" si="40"/>
        <v>0</v>
      </c>
      <c r="BG15" s="266">
        <f t="shared" si="40"/>
        <v>0</v>
      </c>
      <c r="BH15" s="266">
        <f t="shared" si="40"/>
        <v>0</v>
      </c>
      <c r="BI15" s="267"/>
      <c r="BJ15" s="266">
        <f t="shared" ref="BJ15:BQ15" si="41">SUM(BJ16:BJ18)</f>
        <v>0</v>
      </c>
      <c r="BK15" s="266">
        <f t="shared" si="41"/>
        <v>0</v>
      </c>
      <c r="BL15" s="266">
        <f t="shared" si="41"/>
        <v>0</v>
      </c>
      <c r="BM15" s="266">
        <f t="shared" si="41"/>
        <v>0</v>
      </c>
      <c r="BN15" s="266">
        <f t="shared" si="41"/>
        <v>0</v>
      </c>
      <c r="BO15" s="266">
        <f t="shared" si="41"/>
        <v>0</v>
      </c>
      <c r="BP15" s="266">
        <f t="shared" si="41"/>
        <v>0</v>
      </c>
      <c r="BQ15" s="266">
        <f t="shared" si="41"/>
        <v>0</v>
      </c>
      <c r="BS15" s="268" t="str">
        <f t="shared" ref="BS15:BS18" si="42">IF(I15&gt;0,"增值",IF(I15=0,"无增减值","减值"))</f>
        <v>无增减值</v>
      </c>
      <c r="BT15" s="268" t="str">
        <f t="shared" ref="BT15:BT18" si="43">IF(J15&gt;0,"增值",IF(J15=0,"无增减值","减值"))</f>
        <v>无增减值</v>
      </c>
      <c r="BU15" s="924">
        <f t="shared" ref="BU15:BU18" si="44">ABS(I15)</f>
        <v>0</v>
      </c>
      <c r="BV15" s="924">
        <f t="shared" ref="BV15:BV18" si="45">ABS(J15)</f>
        <v>0</v>
      </c>
      <c r="BW15" s="924">
        <f t="shared" ref="BW15:BW18" si="46">IFERROR(ABS(G15),0)</f>
        <v>0</v>
      </c>
      <c r="BX15" s="924">
        <f t="shared" ref="BX15:BX18" si="47">IFERROR(ABS(H15),0)</f>
        <v>0</v>
      </c>
      <c r="BY15" s="258"/>
      <c r="BZ15" s="259"/>
      <c r="CA15" s="158"/>
      <c r="CB15" s="228"/>
      <c r="CC15" s="228"/>
      <c r="CD15" s="75"/>
      <c r="CE15" s="75"/>
      <c r="CF15" s="75"/>
      <c r="CG15" s="229"/>
      <c r="CH15" s="229"/>
    </row>
    <row r="16" customHeight="1" spans="1:86">
      <c r="A16" s="925" t="str">
        <f>A$29&amp;"-"&amp;SUBTOTAL(103,B$9:B$13,B$16:B16)</f>
        <v>4-10-6</v>
      </c>
      <c r="B16" s="926" t="s">
        <v>3848</v>
      </c>
      <c r="C16" s="143">
        <f>机器!S137</f>
        <v>0</v>
      </c>
      <c r="D16" s="143">
        <f>机器!T137</f>
        <v>0</v>
      </c>
      <c r="E16" s="143">
        <f>机器!Y137</f>
        <v>0</v>
      </c>
      <c r="F16" s="143">
        <f>机器!Z137</f>
        <v>0</v>
      </c>
      <c r="G16" s="143">
        <f>机器!AB137</f>
        <v>0</v>
      </c>
      <c r="H16" s="143">
        <f>机器!AF135</f>
        <v>0</v>
      </c>
      <c r="I16" s="143">
        <f t="shared" ref="I16:I18" si="48">G16-E16</f>
        <v>0</v>
      </c>
      <c r="J16" s="143">
        <f t="shared" ref="J16:J18" si="49">H16-F16</f>
        <v>0</v>
      </c>
      <c r="K16" s="143" t="str">
        <f t="shared" ref="K16:K18" si="50">IF(E16=0,"",I16/E16*100)</f>
        <v/>
      </c>
      <c r="L16" s="143" t="str">
        <f t="shared" ref="L16:L18" si="51">IF(F16=0,"",J16/F16*100)</f>
        <v/>
      </c>
      <c r="BA16" s="256">
        <f t="shared" ref="BA16:BA18" si="52">E16</f>
        <v>0</v>
      </c>
      <c r="BB16" s="256">
        <f>机器!Z135</f>
        <v>0</v>
      </c>
      <c r="BC16" s="256">
        <f t="shared" ref="BC16:BC18" si="53">BB16-BD16</f>
        <v>0</v>
      </c>
      <c r="BD16" s="256">
        <f t="shared" ref="BD16:BD18" si="54">F16</f>
        <v>0</v>
      </c>
      <c r="BE16" s="256">
        <f t="shared" ref="BE16:BE18" si="55">G16</f>
        <v>0</v>
      </c>
      <c r="BF16" s="256">
        <f>机器!AD135</f>
        <v>0</v>
      </c>
      <c r="BG16" s="256">
        <f t="shared" ref="BG16:BG18" si="56">BF16-BH16</f>
        <v>0</v>
      </c>
      <c r="BH16" s="256">
        <f t="shared" ref="BH16:BH18" si="57">H16</f>
        <v>0</v>
      </c>
      <c r="BI16" s="242"/>
      <c r="BJ16" s="143">
        <f>机器!Y140</f>
        <v>0</v>
      </c>
      <c r="BK16" s="143">
        <f>机器!Z140</f>
        <v>0</v>
      </c>
      <c r="BL16" s="143">
        <f>机器!AA140</f>
        <v>0</v>
      </c>
      <c r="BM16" s="256">
        <f t="shared" ref="BM16:BM18" si="58">BK16-BL16</f>
        <v>0</v>
      </c>
      <c r="BN16" s="143">
        <f>机器!AB140</f>
        <v>0</v>
      </c>
      <c r="BO16" s="256">
        <f>机器!AD140</f>
        <v>0</v>
      </c>
      <c r="BP16" s="256">
        <f>0</f>
        <v>0</v>
      </c>
      <c r="BQ16" s="256">
        <f t="shared" ref="BQ16:BQ18" si="59">BO16-BP16</f>
        <v>0</v>
      </c>
      <c r="BS16" s="228" t="str">
        <f t="shared" si="42"/>
        <v>无增减值</v>
      </c>
      <c r="BT16" s="228" t="str">
        <f t="shared" si="43"/>
        <v>无增减值</v>
      </c>
      <c r="BU16" s="257">
        <f t="shared" si="44"/>
        <v>0</v>
      </c>
      <c r="BV16" s="257">
        <f t="shared" si="45"/>
        <v>0</v>
      </c>
      <c r="BW16" s="257">
        <f t="shared" si="46"/>
        <v>0</v>
      </c>
      <c r="BX16" s="257">
        <f t="shared" si="47"/>
        <v>0</v>
      </c>
      <c r="BY16" s="258">
        <f t="shared" ref="BY16:BY18" si="60">IFERROR(FIND("-",B16),0)</f>
        <v>5</v>
      </c>
      <c r="BZ16" s="259" t="str">
        <f t="shared" ref="BZ16:BZ18" si="61">IF(SUM(BA16:BH16)=0,"",RIGHT(B16,LEN(B16)-BY16))</f>
        <v/>
      </c>
      <c r="CA16" s="158" t="str">
        <f t="shared" si="37"/>
        <v/>
      </c>
      <c r="CB16" s="228" t="str">
        <f t="shared" si="22"/>
        <v/>
      </c>
      <c r="CC16" s="228">
        <f>COUNT(CB17:CB$18)</f>
        <v>0</v>
      </c>
    </row>
    <row r="17" customHeight="1" spans="1:86">
      <c r="A17" s="925" t="str">
        <f>A$29&amp;"-"&amp;SUBTOTAL(103,B$9:B$13,B$16:B17)</f>
        <v>4-10-7</v>
      </c>
      <c r="B17" s="926" t="s">
        <v>3849</v>
      </c>
      <c r="C17" s="143">
        <f>车辆!U16</f>
        <v>0</v>
      </c>
      <c r="D17" s="143">
        <f>车辆!V16</f>
        <v>0</v>
      </c>
      <c r="E17" s="143">
        <f>车辆!AA16</f>
        <v>0</v>
      </c>
      <c r="F17" s="143">
        <f>车辆!AB16</f>
        <v>0</v>
      </c>
      <c r="G17" s="143">
        <f>车辆!AD16</f>
        <v>0</v>
      </c>
      <c r="H17" s="143">
        <f>车辆!AF16</f>
        <v>0</v>
      </c>
      <c r="I17" s="143">
        <f t="shared" si="48"/>
        <v>0</v>
      </c>
      <c r="J17" s="143">
        <f t="shared" si="49"/>
        <v>0</v>
      </c>
      <c r="K17" s="143" t="str">
        <f t="shared" si="50"/>
        <v/>
      </c>
      <c r="L17" s="143" t="str">
        <f t="shared" si="51"/>
        <v/>
      </c>
      <c r="BA17" s="256">
        <f t="shared" si="52"/>
        <v>0</v>
      </c>
      <c r="BB17" s="256">
        <f>车辆!AB14</f>
        <v>0</v>
      </c>
      <c r="BC17" s="256">
        <f t="shared" si="53"/>
        <v>0</v>
      </c>
      <c r="BD17" s="256">
        <f t="shared" si="54"/>
        <v>0</v>
      </c>
      <c r="BE17" s="256">
        <f t="shared" si="55"/>
        <v>0</v>
      </c>
      <c r="BF17" s="256">
        <f>车辆!AF14</f>
        <v>0</v>
      </c>
      <c r="BG17" s="256">
        <f t="shared" si="56"/>
        <v>0</v>
      </c>
      <c r="BH17" s="256">
        <f t="shared" si="57"/>
        <v>0</v>
      </c>
      <c r="BI17" s="242"/>
      <c r="BJ17" s="143">
        <f>车辆!AA19</f>
        <v>0</v>
      </c>
      <c r="BK17" s="143">
        <f>车辆!AB19</f>
        <v>0</v>
      </c>
      <c r="BL17" s="143">
        <f>车辆!AC19</f>
        <v>0</v>
      </c>
      <c r="BM17" s="256">
        <f t="shared" si="58"/>
        <v>0</v>
      </c>
      <c r="BN17" s="143">
        <f>车辆!AD19</f>
        <v>0</v>
      </c>
      <c r="BO17" s="256">
        <f>车辆!AF19</f>
        <v>0</v>
      </c>
      <c r="BP17" s="256">
        <f>0</f>
        <v>0</v>
      </c>
      <c r="BQ17" s="256">
        <f t="shared" si="59"/>
        <v>0</v>
      </c>
      <c r="BS17" s="228" t="str">
        <f t="shared" si="42"/>
        <v>无增减值</v>
      </c>
      <c r="BT17" s="228" t="str">
        <f t="shared" si="43"/>
        <v>无增减值</v>
      </c>
      <c r="BU17" s="257">
        <f t="shared" si="44"/>
        <v>0</v>
      </c>
      <c r="BV17" s="257">
        <f t="shared" si="45"/>
        <v>0</v>
      </c>
      <c r="BW17" s="257">
        <f t="shared" si="46"/>
        <v>0</v>
      </c>
      <c r="BX17" s="257">
        <f t="shared" si="47"/>
        <v>0</v>
      </c>
      <c r="BY17" s="258">
        <f t="shared" si="60"/>
        <v>5</v>
      </c>
      <c r="BZ17" s="259" t="str">
        <f t="shared" si="61"/>
        <v/>
      </c>
      <c r="CA17" s="158" t="str">
        <f t="shared" si="37"/>
        <v/>
      </c>
      <c r="CB17" s="228" t="str">
        <f t="shared" si="22"/>
        <v/>
      </c>
      <c r="CC17" s="228">
        <f>COUNT(CB18:CB$18)</f>
        <v>0</v>
      </c>
    </row>
    <row r="18" customHeight="1" spans="1:86">
      <c r="A18" s="925" t="str">
        <f>A$29&amp;"-"&amp;SUBTOTAL(103,B$9:B$13,B$16:B18)</f>
        <v>4-10-8</v>
      </c>
      <c r="B18" s="926" t="s">
        <v>3850</v>
      </c>
      <c r="C18" s="143">
        <f>电子!R30</f>
        <v>0</v>
      </c>
      <c r="D18" s="143">
        <f>电子!S30</f>
        <v>0</v>
      </c>
      <c r="E18" s="143">
        <f>电子!X30</f>
        <v>0</v>
      </c>
      <c r="F18" s="143">
        <f>电子!Y30</f>
        <v>0</v>
      </c>
      <c r="G18" s="143">
        <f>电子!AA30</f>
        <v>0</v>
      </c>
      <c r="H18" s="143">
        <f>电子!AC30</f>
        <v>0</v>
      </c>
      <c r="I18" s="143">
        <f t="shared" si="48"/>
        <v>0</v>
      </c>
      <c r="J18" s="143">
        <f t="shared" si="49"/>
        <v>0</v>
      </c>
      <c r="K18" s="143" t="str">
        <f t="shared" si="50"/>
        <v/>
      </c>
      <c r="L18" s="143" t="str">
        <f t="shared" si="51"/>
        <v/>
      </c>
      <c r="BA18" s="256">
        <f t="shared" si="52"/>
        <v>0</v>
      </c>
      <c r="BB18" s="256">
        <f>电子!Y28</f>
        <v>0</v>
      </c>
      <c r="BC18" s="256">
        <f t="shared" si="53"/>
        <v>0</v>
      </c>
      <c r="BD18" s="256">
        <f t="shared" si="54"/>
        <v>0</v>
      </c>
      <c r="BE18" s="256">
        <f t="shared" si="55"/>
        <v>0</v>
      </c>
      <c r="BF18" s="256">
        <f>电子!AC28</f>
        <v>0</v>
      </c>
      <c r="BG18" s="256">
        <f t="shared" si="56"/>
        <v>0</v>
      </c>
      <c r="BH18" s="256">
        <f t="shared" si="57"/>
        <v>0</v>
      </c>
      <c r="BI18" s="242"/>
      <c r="BJ18" s="143">
        <f>电子!X33</f>
        <v>0</v>
      </c>
      <c r="BK18" s="143">
        <f>电子!Y33</f>
        <v>0</v>
      </c>
      <c r="BL18" s="143">
        <f>电子!Z33</f>
        <v>0</v>
      </c>
      <c r="BM18" s="256">
        <f t="shared" si="58"/>
        <v>0</v>
      </c>
      <c r="BN18" s="143">
        <f>电子!AA33</f>
        <v>0</v>
      </c>
      <c r="BO18" s="256">
        <f>电子!AC33</f>
        <v>0</v>
      </c>
      <c r="BP18" s="256">
        <f>0</f>
        <v>0</v>
      </c>
      <c r="BQ18" s="256">
        <f t="shared" si="59"/>
        <v>0</v>
      </c>
      <c r="BS18" s="228" t="str">
        <f t="shared" si="42"/>
        <v>无增减值</v>
      </c>
      <c r="BT18" s="228" t="str">
        <f t="shared" si="43"/>
        <v>无增减值</v>
      </c>
      <c r="BU18" s="257">
        <f t="shared" si="44"/>
        <v>0</v>
      </c>
      <c r="BV18" s="257">
        <f t="shared" si="45"/>
        <v>0</v>
      </c>
      <c r="BW18" s="257">
        <f t="shared" si="46"/>
        <v>0</v>
      </c>
      <c r="BX18" s="257">
        <f t="shared" si="47"/>
        <v>0</v>
      </c>
      <c r="BY18" s="258">
        <f t="shared" si="60"/>
        <v>5</v>
      </c>
      <c r="BZ18" s="259" t="str">
        <f t="shared" si="61"/>
        <v/>
      </c>
      <c r="CB18" s="228" t="str">
        <f t="shared" si="22"/>
        <v/>
      </c>
      <c r="CC18" s="228"/>
    </row>
    <row r="19" customHeight="1" spans="1:86">
      <c r="A19" s="260"/>
      <c r="B19" s="926"/>
      <c r="C19" s="143"/>
      <c r="D19" s="143"/>
      <c r="E19" s="143"/>
      <c r="F19" s="143"/>
      <c r="G19" s="143"/>
      <c r="H19" s="143"/>
      <c r="I19" s="143"/>
      <c r="J19" s="143"/>
      <c r="K19" s="143"/>
      <c r="L19" s="143"/>
      <c r="BA19" s="256"/>
      <c r="BB19" s="256"/>
      <c r="BC19" s="256"/>
      <c r="BD19" s="256"/>
      <c r="BE19" s="256"/>
      <c r="BF19" s="256"/>
      <c r="BG19" s="256"/>
      <c r="BH19" s="256"/>
      <c r="BI19" s="242"/>
      <c r="BJ19" s="256"/>
      <c r="BK19" s="256"/>
      <c r="BL19" s="256"/>
      <c r="BM19" s="256"/>
      <c r="BN19" s="256"/>
      <c r="BO19" s="256"/>
      <c r="BP19" s="256"/>
      <c r="BQ19" s="256"/>
      <c r="BS19" s="259" t="str">
        <f>"设备类资产"&amp;IF(CB19&lt;2,"为：","包括：")</f>
        <v>设备类资产为：</v>
      </c>
      <c r="BT19" s="139" t="str">
        <f>CONCATENATE(BZ16,CA16,BZ17,CA17,BZ18)</f>
        <v/>
      </c>
      <c r="BU19" s="257"/>
      <c r="BV19" s="257"/>
      <c r="BW19" s="257"/>
      <c r="BX19" s="257"/>
      <c r="BY19" s="258"/>
      <c r="BZ19" s="259"/>
      <c r="CB19" s="268">
        <f>SUM(CB16:CB18)</f>
        <v>0</v>
      </c>
      <c r="CC19" s="228"/>
    </row>
    <row r="20" customHeight="1" spans="1:86">
      <c r="A20" s="925" t="str">
        <f>A$29&amp;"-"&amp;SUBTOTAL(103,B$9:B$13,B$16:B20)</f>
        <v>4-10-9</v>
      </c>
      <c r="B20" s="928" t="s">
        <v>102</v>
      </c>
      <c r="C20" s="143">
        <f>清理!R30</f>
        <v>0</v>
      </c>
      <c r="D20" s="143">
        <f>清理!S30</f>
        <v>0</v>
      </c>
      <c r="E20" s="143">
        <f>清理!X30</f>
        <v>0</v>
      </c>
      <c r="F20" s="143">
        <f>清理!Y30</f>
        <v>0</v>
      </c>
      <c r="G20" s="143">
        <f>清理!AA30</f>
        <v>0</v>
      </c>
      <c r="H20" s="143">
        <f>清理!AB30</f>
        <v>0</v>
      </c>
      <c r="I20" s="143">
        <f t="shared" ref="I20" si="62">G20-E20</f>
        <v>0</v>
      </c>
      <c r="J20" s="143">
        <f t="shared" ref="J20" si="63">H20-F20</f>
        <v>0</v>
      </c>
      <c r="K20" s="143" t="str">
        <f t="shared" ref="K20" si="64">IF(E20=0,"",I20/E20*100)</f>
        <v/>
      </c>
      <c r="L20" s="143" t="str">
        <f t="shared" ref="L20" si="65">IF(F20=0,"",J20/F20*100)</f>
        <v/>
      </c>
      <c r="BA20" s="256">
        <f>E20</f>
        <v>0</v>
      </c>
      <c r="BB20" s="256">
        <f>清理!Y28</f>
        <v>0</v>
      </c>
      <c r="BC20" s="256">
        <f>BB20-BD20</f>
        <v>0</v>
      </c>
      <c r="BD20" s="256">
        <f>F20</f>
        <v>0</v>
      </c>
      <c r="BE20" s="256">
        <f>G20</f>
        <v>0</v>
      </c>
      <c r="BF20" s="256">
        <f>清理!AB28</f>
        <v>0</v>
      </c>
      <c r="BG20" s="256">
        <f>BF20-BH20</f>
        <v>0</v>
      </c>
      <c r="BH20" s="256">
        <f>H20</f>
        <v>0</v>
      </c>
      <c r="BI20" s="242"/>
      <c r="BJ20" s="143">
        <f>清理!X33</f>
        <v>0</v>
      </c>
      <c r="BK20" s="143">
        <f>清理!Y33</f>
        <v>0</v>
      </c>
      <c r="BL20" s="143">
        <f>清理!Z33</f>
        <v>0</v>
      </c>
      <c r="BM20" s="256">
        <f>BK20-BL20</f>
        <v>0</v>
      </c>
      <c r="BN20" s="143">
        <f>清理!AA33</f>
        <v>0</v>
      </c>
      <c r="BO20" s="143">
        <f>清理!AB33</f>
        <v>0</v>
      </c>
      <c r="BP20" s="256">
        <f>0</f>
        <v>0</v>
      </c>
      <c r="BQ20" s="256">
        <f>BO20-BP20</f>
        <v>0</v>
      </c>
      <c r="BS20" s="228" t="str">
        <f>IF(I20&gt;0,"增值",IF(I20=0,"无增减值","减值"))</f>
        <v>无增减值</v>
      </c>
      <c r="BT20" s="228" t="str">
        <f>IF(J20&gt;0,"增值",IF(J20=0,"无增减值","减值"))</f>
        <v>无增减值</v>
      </c>
      <c r="BU20" s="257">
        <f>ABS(I20)</f>
        <v>0</v>
      </c>
      <c r="BV20" s="257">
        <f>ABS(J20)</f>
        <v>0</v>
      </c>
      <c r="BW20" s="257">
        <f>IFERROR(ABS(G20),0)</f>
        <v>0</v>
      </c>
      <c r="BX20" s="257">
        <f>IFERROR(ABS(H20),0)</f>
        <v>0</v>
      </c>
      <c r="BY20" s="258"/>
      <c r="BZ20" s="259" t="str">
        <f>IF(SUM(BA20:BH20)=0,"",RIGHT(B20,LEN(B20)-BY20))</f>
        <v/>
      </c>
      <c r="CC20" s="228"/>
    </row>
    <row r="21" customHeight="1" spans="1:86">
      <c r="A21" s="260"/>
      <c r="B21" s="926"/>
      <c r="C21" s="143"/>
      <c r="D21" s="143"/>
      <c r="E21" s="143"/>
      <c r="F21" s="143"/>
      <c r="G21" s="143"/>
      <c r="H21" s="143"/>
      <c r="I21" s="143"/>
      <c r="J21" s="143"/>
      <c r="K21" s="143"/>
      <c r="L21" s="143"/>
      <c r="BA21" s="256"/>
      <c r="BB21" s="256"/>
      <c r="BC21" s="256"/>
      <c r="BD21" s="256"/>
      <c r="BE21" s="256"/>
      <c r="BF21" s="256"/>
      <c r="BG21" s="256"/>
      <c r="BH21" s="256"/>
      <c r="BI21" s="242"/>
      <c r="BJ21" s="256"/>
      <c r="BK21" s="256"/>
      <c r="BL21" s="256"/>
      <c r="BM21" s="256"/>
      <c r="BN21" s="256"/>
      <c r="BO21" s="256"/>
      <c r="BP21" s="256"/>
      <c r="BQ21" s="256"/>
      <c r="BS21" s="228"/>
      <c r="BT21" s="139" t="str">
        <f>BZ20</f>
        <v/>
      </c>
      <c r="BU21" s="257"/>
      <c r="BV21" s="257"/>
      <c r="BW21" s="257"/>
      <c r="BX21" s="257"/>
      <c r="BY21" s="258"/>
      <c r="BZ21" s="259"/>
      <c r="CC21" s="228"/>
    </row>
    <row r="22" customHeight="1" spans="1:86">
      <c r="A22" s="925" t="str">
        <f>A$29&amp;"-"&amp;SUBTOTAL(103,B$9:B$13,B$16:B22)</f>
        <v>4-10-10</v>
      </c>
      <c r="B22" s="926" t="s">
        <v>3851</v>
      </c>
      <c r="C22" s="143">
        <f>土地!AE28</f>
        <v>0</v>
      </c>
      <c r="D22" s="143">
        <f>土地!AF28</f>
        <v>0</v>
      </c>
      <c r="E22" s="143">
        <f>土地!AI28</f>
        <v>0</v>
      </c>
      <c r="F22" s="143">
        <f>土地!AJ28</f>
        <v>0</v>
      </c>
      <c r="G22" s="143">
        <f>土地!AK28</f>
        <v>0</v>
      </c>
      <c r="H22" s="143">
        <f>土地!AL28</f>
        <v>0</v>
      </c>
      <c r="I22" s="143">
        <f t="shared" ref="I22" si="66">G22-E22</f>
        <v>0</v>
      </c>
      <c r="J22" s="143">
        <f t="shared" ref="J22" si="67">H22-F22</f>
        <v>0</v>
      </c>
      <c r="K22" s="143" t="str">
        <f t="shared" ref="K22" si="68">IF(E22=0,"",I22/E22*100)</f>
        <v/>
      </c>
      <c r="L22" s="143" t="str">
        <f t="shared" ref="L22" si="69">IF(F22=0,"",J22/F22*100)</f>
        <v/>
      </c>
      <c r="BA22" s="256">
        <f>E22</f>
        <v>0</v>
      </c>
      <c r="BB22" s="256">
        <f>土地!AJ28</f>
        <v>0</v>
      </c>
      <c r="BC22" s="256">
        <f>BB22-BD22</f>
        <v>0</v>
      </c>
      <c r="BD22" s="256">
        <f>F22</f>
        <v>0</v>
      </c>
      <c r="BE22" s="256">
        <f>G22</f>
        <v>0</v>
      </c>
      <c r="BF22" s="256">
        <f>土地!AL28</f>
        <v>0</v>
      </c>
      <c r="BG22" s="256">
        <f>BF22-BH22</f>
        <v>0</v>
      </c>
      <c r="BH22" s="256">
        <f>H22</f>
        <v>0</v>
      </c>
      <c r="BI22" s="242"/>
      <c r="BJ22" s="143">
        <f>土地!AI31</f>
        <v>0</v>
      </c>
      <c r="BK22" s="143">
        <f>土地!AJ31</f>
        <v>0</v>
      </c>
      <c r="BL22" s="256">
        <f>0</f>
        <v>0</v>
      </c>
      <c r="BM22" s="256">
        <f>BK22-BL22</f>
        <v>0</v>
      </c>
      <c r="BN22" s="143">
        <f>土地!AK31</f>
        <v>0</v>
      </c>
      <c r="BO22" s="143">
        <f>土地!AL31</f>
        <v>0</v>
      </c>
      <c r="BP22" s="256">
        <f>0</f>
        <v>0</v>
      </c>
      <c r="BQ22" s="256">
        <f>BO22-BP22</f>
        <v>0</v>
      </c>
      <c r="BS22" s="228" t="str">
        <f>IF(I22&gt;0,"增值",IF(I22=0,"无增减值","减值"))</f>
        <v>无增减值</v>
      </c>
      <c r="BT22" s="228" t="str">
        <f>IF(J22&gt;0,"增值",IF(J22=0,"无增减值","减值"))</f>
        <v>无增减值</v>
      </c>
      <c r="BU22" s="257">
        <f>ABS(I22)</f>
        <v>0</v>
      </c>
      <c r="BV22" s="257">
        <f>ABS(J22)</f>
        <v>0</v>
      </c>
      <c r="BW22" s="257">
        <f>IFERROR(ABS(G22),0)</f>
        <v>0</v>
      </c>
      <c r="BX22" s="257">
        <f>IFERROR(ABS(H22),0)</f>
        <v>0</v>
      </c>
      <c r="BY22" s="258"/>
      <c r="BZ22" s="259" t="str">
        <f>IF(SUM(BA22:BH22)=0,"",RIGHT(B22,LEN(B22)-BY22))</f>
        <v/>
      </c>
      <c r="CC22" s="228"/>
    </row>
    <row r="23" customHeight="1" spans="1:86">
      <c r="A23" s="507"/>
      <c r="B23" s="685"/>
      <c r="C23" s="143"/>
      <c r="D23" s="143"/>
      <c r="E23" s="143"/>
      <c r="F23" s="143"/>
      <c r="G23" s="143"/>
      <c r="H23" s="143"/>
      <c r="I23" s="143"/>
      <c r="J23" s="143"/>
      <c r="K23" s="143"/>
      <c r="L23" s="143"/>
      <c r="BA23" s="256"/>
      <c r="BB23" s="256"/>
      <c r="BC23" s="256"/>
      <c r="BD23" s="256"/>
      <c r="BE23" s="256"/>
      <c r="BF23" s="256"/>
      <c r="BG23" s="256"/>
      <c r="BH23" s="256"/>
      <c r="BI23" s="242"/>
      <c r="BJ23" s="256"/>
      <c r="BK23" s="256"/>
      <c r="BL23" s="256"/>
      <c r="BM23" s="256"/>
      <c r="BN23" s="256"/>
      <c r="BO23" s="256"/>
      <c r="BP23" s="256"/>
      <c r="BQ23" s="256"/>
      <c r="BS23" s="228"/>
      <c r="BT23" s="139" t="str">
        <f>BZ22</f>
        <v/>
      </c>
      <c r="BU23" s="257"/>
      <c r="BV23" s="257"/>
      <c r="BW23" s="257"/>
      <c r="BX23" s="257"/>
      <c r="BY23" s="258"/>
      <c r="BZ23" s="259"/>
      <c r="CC23" s="228"/>
    </row>
    <row r="24" customHeight="1" spans="1:86">
      <c r="A24" s="507"/>
      <c r="B24" s="685"/>
      <c r="C24" s="143"/>
      <c r="D24" s="143"/>
      <c r="E24" s="143"/>
      <c r="F24" s="143"/>
      <c r="G24" s="143"/>
      <c r="H24" s="143"/>
      <c r="I24" s="143"/>
      <c r="J24" s="143"/>
      <c r="K24" s="143"/>
      <c r="L24" s="143"/>
      <c r="BA24" s="256"/>
      <c r="BB24" s="256"/>
      <c r="BC24" s="256"/>
      <c r="BD24" s="256"/>
      <c r="BE24" s="256"/>
      <c r="BF24" s="256"/>
      <c r="BG24" s="256"/>
      <c r="BH24" s="256"/>
      <c r="BI24" s="242"/>
      <c r="BJ24" s="256"/>
      <c r="BK24" s="256"/>
      <c r="BL24" s="256"/>
      <c r="BM24" s="256"/>
      <c r="BN24" s="256"/>
      <c r="BO24" s="256"/>
      <c r="BP24" s="256"/>
      <c r="BQ24" s="256"/>
      <c r="BS24" s="228"/>
      <c r="BT24" s="228"/>
      <c r="BU24" s="257"/>
      <c r="BV24" s="257"/>
      <c r="BW24" s="257"/>
      <c r="BX24" s="257"/>
      <c r="BY24" s="258"/>
      <c r="BZ24" s="259"/>
      <c r="CC24" s="228"/>
    </row>
    <row r="25" customHeight="1" spans="1:86">
      <c r="A25" s="507"/>
      <c r="B25" s="685"/>
      <c r="C25" s="143"/>
      <c r="D25" s="143"/>
      <c r="E25" s="143"/>
      <c r="F25" s="143"/>
      <c r="G25" s="143"/>
      <c r="H25" s="143"/>
      <c r="I25" s="143"/>
      <c r="J25" s="143"/>
      <c r="K25" s="143"/>
      <c r="L25" s="143"/>
      <c r="BA25" s="256"/>
      <c r="BB25" s="256"/>
      <c r="BC25" s="256"/>
      <c r="BD25" s="256"/>
      <c r="BE25" s="256"/>
      <c r="BF25" s="256"/>
      <c r="BG25" s="256"/>
      <c r="BH25" s="256"/>
      <c r="BI25" s="242"/>
      <c r="BJ25" s="256"/>
      <c r="BK25" s="256"/>
      <c r="BL25" s="256"/>
      <c r="BM25" s="256"/>
      <c r="BN25" s="256"/>
      <c r="BO25" s="256"/>
      <c r="BP25" s="256"/>
      <c r="BQ25" s="256"/>
      <c r="BS25" s="228"/>
      <c r="BT25" s="228"/>
      <c r="BU25" s="257"/>
      <c r="BV25" s="257"/>
      <c r="BW25" s="257"/>
      <c r="BX25" s="257"/>
      <c r="BY25" s="258"/>
      <c r="BZ25" s="259"/>
      <c r="CC25" s="228"/>
    </row>
    <row r="26" customHeight="1" spans="1:86">
      <c r="A26" s="143"/>
      <c r="B26" s="143"/>
      <c r="C26" s="143"/>
      <c r="D26" s="143"/>
      <c r="E26" s="143"/>
      <c r="F26" s="143"/>
      <c r="G26" s="143"/>
      <c r="H26" s="143"/>
      <c r="I26" s="143"/>
      <c r="J26" s="143"/>
      <c r="K26" s="143"/>
      <c r="L26" s="143"/>
      <c r="BA26" s="256"/>
      <c r="BB26" s="256"/>
      <c r="BC26" s="256"/>
      <c r="BD26" s="256"/>
      <c r="BE26" s="256"/>
      <c r="BF26" s="256"/>
      <c r="BG26" s="256"/>
      <c r="BH26" s="256"/>
      <c r="BI26" s="242"/>
      <c r="BJ26" s="256"/>
      <c r="BK26" s="256"/>
      <c r="BL26" s="256"/>
      <c r="BM26" s="256"/>
      <c r="BN26" s="256"/>
      <c r="BO26" s="256"/>
      <c r="BP26" s="256"/>
      <c r="BQ26" s="256"/>
      <c r="BS26" s="228"/>
      <c r="BT26" s="228"/>
      <c r="BU26" s="257"/>
      <c r="BV26" s="257"/>
      <c r="BW26" s="257"/>
      <c r="BX26" s="257"/>
      <c r="BY26" s="258"/>
      <c r="BZ26" s="259"/>
      <c r="CC26" s="228"/>
    </row>
    <row r="27" s="73" customFormat="1" customHeight="1" spans="1:86">
      <c r="A27" s="143"/>
      <c r="B27" s="143"/>
      <c r="C27" s="143"/>
      <c r="D27" s="143"/>
      <c r="E27" s="143"/>
      <c r="F27" s="143"/>
      <c r="G27" s="143"/>
      <c r="H27" s="143"/>
      <c r="I27" s="143"/>
      <c r="J27" s="143"/>
      <c r="K27" s="143"/>
      <c r="L27" s="143"/>
      <c r="M27" s="165"/>
      <c r="N27" s="165"/>
      <c r="BA27" s="256"/>
      <c r="BB27" s="256"/>
      <c r="BC27" s="256"/>
      <c r="BD27" s="256"/>
      <c r="BE27" s="256"/>
      <c r="BF27" s="256"/>
      <c r="BG27" s="256"/>
      <c r="BH27" s="256"/>
      <c r="BI27" s="242"/>
      <c r="BJ27" s="256"/>
      <c r="BK27" s="256"/>
      <c r="BL27" s="256"/>
      <c r="BM27" s="256"/>
      <c r="BN27" s="256"/>
      <c r="BO27" s="256"/>
      <c r="BP27" s="256"/>
      <c r="BQ27" s="256"/>
      <c r="BR27" s="75"/>
      <c r="BS27" s="228"/>
      <c r="BT27" s="228"/>
      <c r="BU27" s="257"/>
      <c r="BV27" s="257"/>
      <c r="BW27" s="257"/>
      <c r="BX27" s="257"/>
      <c r="BY27" s="258"/>
      <c r="BZ27" s="259"/>
      <c r="CA27" s="158"/>
      <c r="CB27" s="228"/>
      <c r="CC27" s="228"/>
      <c r="CD27" s="75"/>
      <c r="CE27" s="75"/>
      <c r="CF27" s="75"/>
      <c r="CG27" s="229"/>
      <c r="CH27" s="229"/>
    </row>
    <row r="28" customHeight="1" spans="1:86">
      <c r="A28" s="143"/>
      <c r="B28" s="143"/>
      <c r="C28" s="143"/>
      <c r="D28" s="143"/>
      <c r="E28" s="143"/>
      <c r="F28" s="143"/>
      <c r="G28" s="143"/>
      <c r="H28" s="143"/>
      <c r="I28" s="143"/>
      <c r="J28" s="143"/>
      <c r="K28" s="143"/>
      <c r="L28" s="143"/>
      <c r="BA28" s="256"/>
      <c r="BB28" s="256"/>
      <c r="BC28" s="256"/>
      <c r="BD28" s="256"/>
      <c r="BE28" s="256"/>
      <c r="BF28" s="256"/>
      <c r="BG28" s="256"/>
      <c r="BH28" s="256"/>
      <c r="BI28" s="242"/>
      <c r="BJ28" s="256"/>
      <c r="BK28" s="256"/>
      <c r="BL28" s="256"/>
      <c r="BM28" s="256"/>
      <c r="BN28" s="256"/>
      <c r="BO28" s="256"/>
      <c r="BP28" s="256"/>
      <c r="BQ28" s="256"/>
      <c r="BS28" s="228"/>
      <c r="BT28" s="228"/>
      <c r="BU28" s="257"/>
      <c r="BV28" s="257"/>
      <c r="BW28" s="257"/>
      <c r="BX28" s="257"/>
      <c r="BY28" s="258"/>
      <c r="BZ28" s="259"/>
      <c r="CC28" s="228"/>
      <c r="CD28" s="271"/>
      <c r="CE28" s="271"/>
      <c r="CF28" s="271"/>
      <c r="CG28" s="271"/>
      <c r="CH28" s="271"/>
    </row>
    <row r="29" s="73" customFormat="1" customHeight="1" spans="1:86">
      <c r="A29" s="929" t="str">
        <f>非流动资总!A16</f>
        <v>4-10</v>
      </c>
      <c r="B29" s="930" t="s">
        <v>3852</v>
      </c>
      <c r="C29" s="265">
        <f>SUM(C8,C15,C20,C22)</f>
        <v>0</v>
      </c>
      <c r="D29" s="265">
        <f t="shared" ref="D29:H29" si="70">SUM(D8,D15,D20,D22)</f>
        <v>0</v>
      </c>
      <c r="E29" s="265">
        <f t="shared" si="70"/>
        <v>0</v>
      </c>
      <c r="F29" s="265">
        <f t="shared" si="70"/>
        <v>0</v>
      </c>
      <c r="G29" s="265">
        <f t="shared" si="70"/>
        <v>0</v>
      </c>
      <c r="H29" s="265">
        <f t="shared" si="70"/>
        <v>0</v>
      </c>
      <c r="I29" s="265">
        <f>G29-E29</f>
        <v>0</v>
      </c>
      <c r="J29" s="265">
        <f t="shared" ref="J29" si="71">H29-F29</f>
        <v>0</v>
      </c>
      <c r="K29" s="265" t="str">
        <f t="shared" ref="K29:L29" si="72">IF(E29=0,"",I29/E29*100)</f>
        <v/>
      </c>
      <c r="L29" s="265" t="str">
        <f t="shared" si="72"/>
        <v/>
      </c>
      <c r="M29" s="72"/>
      <c r="N29" s="72"/>
      <c r="BA29" s="266">
        <f>SUM(BA8,BA15,BA20,BA22)</f>
        <v>0</v>
      </c>
      <c r="BB29" s="266">
        <f t="shared" ref="BB29:BQ29" si="73">SUM(BB8,BB15,BB20,BB22)</f>
        <v>0</v>
      </c>
      <c r="BC29" s="266">
        <f t="shared" si="73"/>
        <v>0</v>
      </c>
      <c r="BD29" s="266">
        <f t="shared" si="73"/>
        <v>0</v>
      </c>
      <c r="BE29" s="266">
        <f t="shared" si="73"/>
        <v>0</v>
      </c>
      <c r="BF29" s="266">
        <f t="shared" si="73"/>
        <v>0</v>
      </c>
      <c r="BG29" s="266">
        <f t="shared" si="73"/>
        <v>0</v>
      </c>
      <c r="BH29" s="266">
        <f t="shared" si="73"/>
        <v>0</v>
      </c>
      <c r="BI29" s="267"/>
      <c r="BJ29" s="266">
        <f t="shared" si="73"/>
        <v>0</v>
      </c>
      <c r="BK29" s="266">
        <f t="shared" si="73"/>
        <v>0</v>
      </c>
      <c r="BL29" s="266">
        <f t="shared" si="73"/>
        <v>0</v>
      </c>
      <c r="BM29" s="266">
        <f t="shared" si="73"/>
        <v>0</v>
      </c>
      <c r="BN29" s="266">
        <f t="shared" si="73"/>
        <v>0</v>
      </c>
      <c r="BO29" s="266">
        <f t="shared" si="73"/>
        <v>0</v>
      </c>
      <c r="BP29" s="266">
        <f t="shared" si="73"/>
        <v>0</v>
      </c>
      <c r="BQ29" s="266">
        <f t="shared" si="73"/>
        <v>0</v>
      </c>
      <c r="BS29" s="268" t="str">
        <f>IF(I29&gt;0,"增值",IF(I29=0,"无增减值","减值"))</f>
        <v>无增减值</v>
      </c>
      <c r="BT29" s="268" t="str">
        <f>IF(J29&gt;0,"增值",IF(J29=0,"无增减值","减值"))</f>
        <v>无增减值</v>
      </c>
      <c r="BU29" s="269">
        <f>ABS(I29)</f>
        <v>0</v>
      </c>
      <c r="BV29" s="269">
        <f>ABS(J29)</f>
        <v>0</v>
      </c>
      <c r="BW29" s="269">
        <f>IFERROR(ABS(G29),0)</f>
        <v>0</v>
      </c>
      <c r="BX29" s="269">
        <f>IFERROR(ABS(H29),0)</f>
        <v>0</v>
      </c>
      <c r="BY29" s="270"/>
      <c r="BZ29" s="247"/>
      <c r="CA29" s="247"/>
      <c r="CB29" s="268"/>
      <c r="CC29" s="247"/>
      <c r="CD29" s="75"/>
      <c r="CE29" s="75"/>
      <c r="CF29" s="75"/>
      <c r="CG29" s="229"/>
      <c r="CH29" s="229"/>
    </row>
    <row r="30" customHeight="1" spans="1:86">
      <c r="A30" s="75" t="str">
        <f>参数表!F$6</f>
        <v>产权持有单位填表人：贾广东</v>
      </c>
      <c r="G30" s="75" t="str">
        <f>"评估人员："&amp;封面!$G$24&amp;""&amp;封面!$G$26&amp;""&amp;封面!$G$28</f>
        <v>评估人员：栗祥宁</v>
      </c>
      <c r="I30" s="244"/>
      <c r="L30" s="244"/>
    </row>
    <row r="31" customHeight="1" spans="1:86">
      <c r="A31" s="75" t="str">
        <f>参数表!F$7</f>
        <v>填表日期：2025年9月20日</v>
      </c>
    </row>
    <row r="34" customHeight="1" spans="8:8">
      <c r="H34" s="931"/>
    </row>
  </sheetData>
  <sheetProtection autoFilter="0"/>
  <mergeCells count="20">
    <mergeCell ref="A2:L2"/>
    <mergeCell ref="A3:L3"/>
    <mergeCell ref="BA5:BH5"/>
    <mergeCell ref="BJ5:BQ5"/>
    <mergeCell ref="C6:D6"/>
    <mergeCell ref="E6:F6"/>
    <mergeCell ref="G6:H6"/>
    <mergeCell ref="I6:J6"/>
    <mergeCell ref="K6:L6"/>
    <mergeCell ref="BA6:BD6"/>
    <mergeCell ref="BE6:BH6"/>
    <mergeCell ref="BJ6:BM6"/>
    <mergeCell ref="BN6:BQ6"/>
    <mergeCell ref="BS6:BT6"/>
    <mergeCell ref="BU6:BV6"/>
    <mergeCell ref="BW6:BX6"/>
    <mergeCell ref="A8:B8"/>
    <mergeCell ref="A15:B15"/>
    <mergeCell ref="A6:A7"/>
    <mergeCell ref="B6:B7"/>
  </mergeCells>
  <conditionalFormatting sqref="C8:L25">
    <cfRule type="expression" dxfId="3" priority="3">
      <formula>SUM($E8:$H8)=0</formula>
    </cfRule>
  </conditionalFormatting>
  <conditionalFormatting sqref="A26:L28">
    <cfRule type="expression" dxfId="3" priority="1">
      <formula>SUM($E26:$H26)=0</formula>
    </cfRule>
  </conditionalFormatting>
  <hyperlinks>
    <hyperlink ref="A1" location="索引目录!C35" display="返回索引页"/>
    <hyperlink ref="B1" location="非流动资产评估汇总!B22" display="返回"/>
    <hyperlink ref="B9" location="房屋建筑物!B1" display="固定资产-房屋建筑物"/>
    <hyperlink ref="B10" location="构筑物!B1" display="固定资产-构筑物及其他辅助设施"/>
    <hyperlink ref="B11" location="管道沟槽!B1" display="固定资产-管道及沟槽"/>
    <hyperlink ref="B16" location="机器设备!B1" display="固定资产-机器设备"/>
    <hyperlink ref="B17" location="车辆!B1" display="固定资产-车辆"/>
    <hyperlink ref="B18" location="电子设备!B1" display="固定资产-电子设备"/>
    <hyperlink ref="B22" location="土地!B1" display="固定资产-土地"/>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7"/>
  <dimension ref="A1:CQ39"/>
  <sheetViews>
    <sheetView workbookViewId="0">
      <pane xSplit="6" ySplit="8" topLeftCell="G9" activePane="bottomRight" state="frozen"/>
      <selection/>
      <selection pane="topRight"/>
      <selection pane="bottomLeft"/>
      <selection pane="bottomRight" activeCell="E45" sqref="E45"/>
    </sheetView>
  </sheetViews>
  <sheetFormatPr defaultColWidth="9" defaultRowHeight="15.75" customHeight="1"/>
  <cols>
    <col min="1" max="1" width="4.2" style="74" customWidth="1"/>
    <col min="2" max="2" width="4.6" style="688" customWidth="1"/>
    <col min="3" max="3" width="6.6" style="75" customWidth="1"/>
    <col min="4" max="4" width="10.7" style="75" customWidth="1" outlineLevel="1"/>
    <col min="5" max="5" width="4.7" style="165" customWidth="1" outlineLevel="1"/>
    <col min="6" max="6" width="8.2" style="75" customWidth="1"/>
    <col min="7" max="7" width="9" style="75" customWidth="1" outlineLevel="1"/>
    <col min="8" max="8" width="11.2" style="75" customWidth="1" outlineLevel="1"/>
    <col min="9" max="9" width="4.7" style="165" customWidth="1"/>
    <col min="10" max="19" width="4.7" style="75" customWidth="1" outlineLevel="1"/>
    <col min="20" max="21" width="4.7" style="165" customWidth="1" outlineLevel="1"/>
    <col min="22" max="23" width="4.7" style="165" customWidth="1"/>
    <col min="24" max="24" width="9.8" style="75" customWidth="1"/>
    <col min="25" max="25" width="7.7" style="75" customWidth="1"/>
    <col min="26" max="27" width="4.6" style="75" customWidth="1" outlineLevel="1"/>
    <col min="28" max="30" width="6.1" style="75" customWidth="1" outlineLevel="1"/>
    <col min="31" max="32" width="10.7" style="75" customWidth="1" outlineLevel="1"/>
    <col min="33" max="33" width="7.7" style="75" customWidth="1" outlineLevel="1"/>
    <col min="34" max="36" width="10.7" style="76" customWidth="1" outlineLevel="1"/>
    <col min="37" max="38" width="9.7" style="75" customWidth="1"/>
    <col min="39" max="39" width="7.7" style="75" customWidth="1"/>
    <col min="40" max="40" width="9.7" style="75" customWidth="1"/>
    <col min="41" max="41" width="5.7" style="75" customWidth="1"/>
    <col min="42" max="42" width="9.7" style="75" customWidth="1"/>
    <col min="43" max="43" width="6.7" style="75" customWidth="1"/>
    <col min="44" max="44" width="7.7" style="75" customWidth="1"/>
    <col min="45" max="45" width="6.7" style="75" customWidth="1"/>
    <col min="46" max="46" width="15.2" style="75" customWidth="1"/>
    <col min="47" max="52" width="9" style="75" hidden="1" customWidth="1" outlineLevel="1"/>
    <col min="53" max="53" width="14.7" style="75" customWidth="1" collapsed="1"/>
    <col min="54" max="54" width="6.7" style="75" customWidth="1"/>
    <col min="55" max="55" width="5.1" style="75" customWidth="1"/>
    <col min="56" max="56" width="5.1" style="903" customWidth="1"/>
    <col min="57" max="57" width="8.7" style="903" customWidth="1"/>
    <col min="58" max="59" width="10.5" style="75" customWidth="1"/>
    <col min="60" max="64" width="4.7" style="165" customWidth="1"/>
    <col min="65" max="65" width="10.3" style="75" customWidth="1"/>
    <col min="66" max="66" width="4.7" style="165" customWidth="1"/>
    <col min="67" max="67" width="8.7" style="75" customWidth="1"/>
    <col min="68" max="68" width="8.7" style="165" customWidth="1"/>
    <col min="69" max="69" width="10.2" style="75" customWidth="1"/>
    <col min="70" max="70" width="11" style="75" customWidth="1"/>
    <col min="71" max="71" width="10.3" style="75" customWidth="1"/>
    <col min="72" max="72" width="14.1" style="75" customWidth="1"/>
    <col min="73" max="74" width="13.3" style="75" customWidth="1"/>
    <col min="75" max="75" width="11.7" style="75" customWidth="1"/>
    <col min="76" max="77" width="11.6" style="75" customWidth="1"/>
    <col min="78" max="80" width="9" style="75"/>
    <col min="81" max="81" width="10.7" style="75" customWidth="1"/>
    <col min="82" max="86" width="9" style="75"/>
    <col min="87" max="87" width="1.6" style="77" customWidth="1"/>
    <col min="88" max="88" width="10.6" style="78" customWidth="1"/>
    <col min="89" max="89" width="10.6" style="77" customWidth="1"/>
    <col min="90" max="90" width="4.6" style="78" customWidth="1"/>
    <col min="91" max="91" width="10.6" style="78" customWidth="1"/>
    <col min="92" max="93" width="4.6" style="78" customWidth="1"/>
    <col min="94" max="94" width="10.6" style="78" customWidth="1"/>
    <col min="95" max="95" width="5" style="77" customWidth="1"/>
    <col min="96" max="16384" width="9" style="75"/>
  </cols>
  <sheetData>
    <row r="1" s="86" customFormat="1" ht="13.8" spans="1:95">
      <c r="A1" s="900" t="s">
        <v>1591</v>
      </c>
      <c r="B1" s="689"/>
      <c r="C1" s="204" t="s">
        <v>1592</v>
      </c>
      <c r="D1" s="204"/>
      <c r="E1" s="495"/>
      <c r="F1" s="204"/>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205"/>
      <c r="AI1" s="205"/>
      <c r="AJ1" s="205"/>
      <c r="AK1" s="82"/>
      <c r="AL1" s="82"/>
      <c r="AM1" s="82"/>
      <c r="AN1" s="82"/>
      <c r="AO1" s="82"/>
      <c r="AP1" s="82"/>
      <c r="AQ1" s="82"/>
      <c r="AR1" s="82"/>
      <c r="AS1" s="82"/>
      <c r="AT1" s="82"/>
      <c r="BA1" s="84" t="str">
        <f>参数表!BA1</f>
        <v>注意：补充特殊事项、作价等均从BA列开始填写</v>
      </c>
      <c r="BB1" s="85"/>
      <c r="BD1" s="904"/>
      <c r="BE1" s="904"/>
      <c r="BH1" s="82"/>
      <c r="BI1" s="82"/>
      <c r="BJ1" s="82"/>
      <c r="BK1" s="82"/>
      <c r="BL1" s="82"/>
      <c r="BN1" s="82"/>
      <c r="BP1" s="82"/>
      <c r="CI1" s="87"/>
      <c r="CJ1" s="88"/>
      <c r="CK1" s="87"/>
      <c r="CL1" s="88"/>
      <c r="CM1" s="88"/>
      <c r="CN1" s="88"/>
      <c r="CO1" s="88"/>
      <c r="CP1" s="88"/>
      <c r="CQ1" s="87"/>
    </row>
    <row r="2" s="71" customFormat="1" ht="30" customHeight="1" spans="1:95">
      <c r="A2" s="89" t="s">
        <v>3853</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905"/>
      <c r="AT2" s="906"/>
      <c r="BA2" s="90" t="str">
        <f>参数表!BA2</f>
        <v>评估基准日：</v>
      </c>
      <c r="BB2" s="91" t="str">
        <f>参数表!BB2</f>
        <v>2025年7月31日</v>
      </c>
      <c r="BD2" s="907"/>
      <c r="BE2" s="907"/>
      <c r="BH2" s="171"/>
      <c r="BI2" s="171"/>
      <c r="BJ2" s="171"/>
      <c r="BK2" s="171"/>
      <c r="BL2" s="171"/>
      <c r="BN2" s="171"/>
      <c r="BP2" s="171"/>
      <c r="CI2" s="92"/>
      <c r="CJ2" s="93"/>
      <c r="CK2" s="92"/>
      <c r="CL2" s="93"/>
      <c r="CM2" s="93"/>
      <c r="CN2" s="93"/>
      <c r="CO2" s="93"/>
      <c r="CP2" s="93"/>
      <c r="CQ2" s="92"/>
    </row>
    <row r="3" ht="15" customHeight="1" spans="1:95">
      <c r="A3" s="94" t="str">
        <f>参数表!F5</f>
        <v>评估基准日：2025年7月31日</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BA3" s="90" t="str">
        <f>参数表!BA3</f>
        <v>是否显示评估值：</v>
      </c>
      <c r="BB3" s="90" t="str">
        <f>参数表!BB3</f>
        <v>是</v>
      </c>
      <c r="CI3" s="92"/>
      <c r="CJ3" s="93"/>
      <c r="CK3" s="92"/>
      <c r="CL3" s="93"/>
      <c r="CM3" s="93"/>
      <c r="CN3" s="93"/>
      <c r="CO3" s="93"/>
      <c r="CP3" s="93"/>
      <c r="CQ3" s="92"/>
    </row>
    <row r="4" ht="15" customHeight="1" spans="1:95">
      <c r="A4" s="96"/>
      <c r="B4" s="96"/>
      <c r="C4" s="94"/>
      <c r="D4" s="94"/>
      <c r="E4" s="94"/>
      <c r="F4" s="94"/>
      <c r="G4" s="94"/>
      <c r="H4" s="94"/>
      <c r="I4" s="94"/>
      <c r="J4" s="94"/>
      <c r="K4" s="94"/>
      <c r="L4" s="94"/>
      <c r="M4" s="94"/>
      <c r="N4" s="680"/>
      <c r="O4" s="94"/>
      <c r="P4" s="94"/>
      <c r="Q4" s="94"/>
      <c r="R4" s="94"/>
      <c r="S4" s="94"/>
      <c r="T4" s="94"/>
      <c r="U4" s="94"/>
      <c r="V4" s="94"/>
      <c r="W4" s="94"/>
      <c r="X4" s="94"/>
      <c r="Y4" s="94"/>
      <c r="Z4" s="94"/>
      <c r="AA4" s="94"/>
      <c r="AB4" s="94"/>
      <c r="AC4" s="94"/>
      <c r="AD4" s="94"/>
      <c r="AE4" s="94"/>
      <c r="AF4" s="94"/>
      <c r="AG4" s="94"/>
      <c r="AH4" s="97"/>
      <c r="AI4" s="97"/>
      <c r="AJ4" s="97"/>
      <c r="AK4" s="94"/>
      <c r="AL4" s="94"/>
      <c r="AM4" s="94"/>
      <c r="AN4" s="94"/>
      <c r="AO4" s="94"/>
      <c r="AP4" s="94"/>
      <c r="AQ4" s="94"/>
      <c r="AR4" s="94"/>
      <c r="AS4" s="98" t="str">
        <f>"表"&amp;$BA4</f>
        <v>表4-10-1</v>
      </c>
      <c r="BA4" s="274" t="str">
        <f>固定资产总!A9</f>
        <v>4-10-1</v>
      </c>
      <c r="BB4" s="100">
        <f>MAX(COUNTA(A8:A27),COUNTA(C8:C27),COUNTA(AE8:AE27),COUNTA(AF8:AF27))</f>
        <v>20</v>
      </c>
      <c r="BC4" s="101">
        <f>ROW(A7)+1</f>
        <v>8</v>
      </c>
      <c r="BD4" s="77"/>
      <c r="BE4" s="77"/>
      <c r="CK4" s="78"/>
    </row>
    <row r="5" ht="15" customHeight="1" spans="1:95">
      <c r="A5" s="102" t="str">
        <f>参数表!F3</f>
        <v>产权持有单位:中煤第五建设有限公司</v>
      </c>
      <c r="B5" s="96"/>
      <c r="C5" s="103"/>
      <c r="D5" s="103"/>
      <c r="E5" s="95"/>
      <c r="F5" s="103"/>
      <c r="G5" s="103"/>
      <c r="H5" s="103"/>
      <c r="I5" s="95"/>
      <c r="J5" s="103"/>
      <c r="K5" s="103"/>
      <c r="L5" s="103"/>
      <c r="M5" s="103"/>
      <c r="N5" s="103"/>
      <c r="O5" s="103"/>
      <c r="P5" s="103"/>
      <c r="Q5" s="103"/>
      <c r="R5" s="103"/>
      <c r="S5" s="103"/>
      <c r="T5" s="95"/>
      <c r="U5" s="95"/>
      <c r="V5" s="95"/>
      <c r="W5" s="95"/>
      <c r="X5" s="103"/>
      <c r="Y5" s="103"/>
      <c r="Z5" s="103"/>
      <c r="AA5" s="103"/>
      <c r="AB5" s="103"/>
      <c r="AC5" s="103"/>
      <c r="AD5" s="103"/>
      <c r="AE5" s="103"/>
      <c r="AF5" s="103"/>
      <c r="AG5" s="103"/>
      <c r="AH5" s="104"/>
      <c r="AI5" s="104"/>
      <c r="AJ5" s="104"/>
      <c r="AK5" s="103"/>
      <c r="AL5" s="103"/>
      <c r="AM5" s="103"/>
      <c r="AN5" s="103"/>
      <c r="AO5" s="103"/>
      <c r="AP5" s="103"/>
      <c r="AQ5" s="103"/>
      <c r="AR5" s="103"/>
      <c r="AS5" s="98" t="s">
        <v>236</v>
      </c>
      <c r="BA5" s="103"/>
      <c r="BB5" s="105" t="str">
        <f ca="1">判断表!C66</f>
        <v>中煤第五建设有限公司第三工程处拟处置实物资产项目\[0000-3基础法明细表.xlsx]房屋</v>
      </c>
      <c r="BC5" s="106">
        <f>IFERROR(SUMIF(BC8:BC27,"√",AK8:AK27)/AK28,0)</f>
        <v>0</v>
      </c>
      <c r="BD5" s="107"/>
      <c r="BE5" s="107"/>
      <c r="BF5" s="108">
        <f>分类汇总!I32</f>
        <v>0</v>
      </c>
      <c r="BG5" s="108">
        <f>分类汇总!K32</f>
        <v>0</v>
      </c>
      <c r="BH5" s="109"/>
      <c r="BI5" s="109"/>
      <c r="BJ5" s="109"/>
      <c r="BK5" s="109"/>
      <c r="BL5" s="109"/>
      <c r="BM5" s="110"/>
      <c r="BN5" s="109"/>
      <c r="BO5" s="110"/>
      <c r="BP5" s="109"/>
      <c r="BT5" s="903"/>
      <c r="BU5" s="272"/>
      <c r="BV5" s="272"/>
      <c r="BW5" s="272"/>
      <c r="BX5" s="657"/>
      <c r="BZ5" s="272"/>
      <c r="CA5" s="903"/>
      <c r="CE5" s="272"/>
      <c r="CK5" s="78"/>
    </row>
    <row r="6" s="72" customFormat="1" ht="15" customHeight="1" spans="1:95">
      <c r="A6" s="112" t="s">
        <v>305</v>
      </c>
      <c r="B6" s="690" t="s">
        <v>3669</v>
      </c>
      <c r="C6" s="118" t="s">
        <v>3670</v>
      </c>
      <c r="D6" s="908" t="s">
        <v>3671</v>
      </c>
      <c r="E6" s="193" t="s">
        <v>3672</v>
      </c>
      <c r="F6" s="193" t="s">
        <v>3854</v>
      </c>
      <c r="G6" s="118" t="s">
        <v>3675</v>
      </c>
      <c r="H6" s="118" t="s">
        <v>3676</v>
      </c>
      <c r="I6" s="118" t="s">
        <v>3677</v>
      </c>
      <c r="J6" s="118" t="s">
        <v>3678</v>
      </c>
      <c r="K6" s="118" t="s">
        <v>3679</v>
      </c>
      <c r="L6" s="118" t="s">
        <v>3680</v>
      </c>
      <c r="M6" s="118" t="s">
        <v>3855</v>
      </c>
      <c r="N6" s="118" t="s">
        <v>3682</v>
      </c>
      <c r="O6" s="118" t="s">
        <v>3683</v>
      </c>
      <c r="P6" s="118" t="s">
        <v>3684</v>
      </c>
      <c r="Q6" s="118" t="s">
        <v>3685</v>
      </c>
      <c r="R6" s="118" t="s">
        <v>3686</v>
      </c>
      <c r="S6" s="118" t="s">
        <v>3687</v>
      </c>
      <c r="T6" s="193" t="s">
        <v>3688</v>
      </c>
      <c r="U6" s="529" t="s">
        <v>3689</v>
      </c>
      <c r="V6" s="118" t="s">
        <v>3690</v>
      </c>
      <c r="W6" s="684" t="s">
        <v>2176</v>
      </c>
      <c r="X6" s="118" t="s">
        <v>3856</v>
      </c>
      <c r="Y6" s="118" t="s">
        <v>3692</v>
      </c>
      <c r="Z6" s="511" t="s">
        <v>1964</v>
      </c>
      <c r="AA6" s="512"/>
      <c r="AB6" s="512"/>
      <c r="AC6" s="512"/>
      <c r="AD6" s="513"/>
      <c r="AE6" s="514" t="s">
        <v>1549</v>
      </c>
      <c r="AF6" s="189"/>
      <c r="AG6" s="190"/>
      <c r="AH6" s="515" t="s">
        <v>1634</v>
      </c>
      <c r="AI6" s="516"/>
      <c r="AJ6" s="517"/>
      <c r="AK6" s="514" t="s">
        <v>1523</v>
      </c>
      <c r="AL6" s="189"/>
      <c r="AM6" s="190"/>
      <c r="AN6" s="113" t="s">
        <v>1550</v>
      </c>
      <c r="AO6" s="113"/>
      <c r="AP6" s="113"/>
      <c r="AQ6" s="118" t="s">
        <v>1551</v>
      </c>
      <c r="AR6" s="118" t="s">
        <v>3693</v>
      </c>
      <c r="AS6" s="118" t="s">
        <v>308</v>
      </c>
      <c r="AT6" s="909" t="s">
        <v>3857</v>
      </c>
      <c r="BA6" s="191"/>
      <c r="BB6" s="100"/>
      <c r="BC6" s="100"/>
      <c r="BD6" s="100"/>
      <c r="BE6" s="100"/>
      <c r="BF6" s="192" t="s">
        <v>1639</v>
      </c>
      <c r="BG6" s="192" t="s">
        <v>1640</v>
      </c>
      <c r="BH6" s="118" t="s">
        <v>1748</v>
      </c>
      <c r="BI6" s="118" t="s">
        <v>3695</v>
      </c>
      <c r="BJ6" s="118" t="s">
        <v>1712</v>
      </c>
      <c r="BK6" s="118" t="s">
        <v>3696</v>
      </c>
      <c r="BL6" s="118" t="s">
        <v>1641</v>
      </c>
      <c r="BM6" s="118" t="s">
        <v>2209</v>
      </c>
      <c r="BN6" s="118" t="s">
        <v>3697</v>
      </c>
      <c r="BO6" s="118" t="s">
        <v>1644</v>
      </c>
      <c r="BP6" s="191"/>
      <c r="BQ6" s="191" t="s">
        <v>3698</v>
      </c>
      <c r="BR6" s="191"/>
      <c r="BS6" s="743">
        <f>参数表!$E$15</f>
        <v>0</v>
      </c>
      <c r="BT6" s="780"/>
      <c r="BU6" s="780"/>
      <c r="BV6" s="780"/>
      <c r="BW6" s="780"/>
      <c r="BX6" s="191"/>
      <c r="BY6" s="191"/>
      <c r="BZ6" s="910">
        <v>1</v>
      </c>
      <c r="CA6" s="780"/>
      <c r="CB6" s="191"/>
      <c r="CC6" s="191"/>
      <c r="CD6" s="642" t="str">
        <f>$BB$2</f>
        <v>2025年7月31日</v>
      </c>
      <c r="CE6" s="781"/>
      <c r="CF6" s="191">
        <v>0.4</v>
      </c>
      <c r="CG6" s="191">
        <v>0.6</v>
      </c>
      <c r="CH6" s="191"/>
      <c r="CI6" s="111"/>
      <c r="CJ6" s="78"/>
      <c r="CK6" s="78"/>
      <c r="CL6" s="78"/>
      <c r="CM6" s="78"/>
      <c r="CN6" s="78"/>
      <c r="CO6" s="78"/>
      <c r="CP6" s="194"/>
      <c r="CQ6" s="111"/>
    </row>
    <row r="7" s="72" customFormat="1" ht="15" customHeight="1" spans="1:95">
      <c r="A7" s="195"/>
      <c r="B7" s="694"/>
      <c r="C7" s="208"/>
      <c r="D7" s="911"/>
      <c r="E7" s="198"/>
      <c r="F7" s="695"/>
      <c r="G7" s="149"/>
      <c r="H7" s="149"/>
      <c r="I7" s="149"/>
      <c r="J7" s="118"/>
      <c r="K7" s="118"/>
      <c r="L7" s="118"/>
      <c r="M7" s="118"/>
      <c r="N7" s="118"/>
      <c r="O7" s="113"/>
      <c r="P7" s="113"/>
      <c r="Q7" s="113"/>
      <c r="R7" s="113"/>
      <c r="S7" s="113"/>
      <c r="T7" s="198"/>
      <c r="U7" s="532"/>
      <c r="V7" s="113"/>
      <c r="W7" s="684"/>
      <c r="X7" s="113"/>
      <c r="Y7" s="113"/>
      <c r="Z7" s="519" t="s">
        <v>1968</v>
      </c>
      <c r="AA7" s="519" t="s">
        <v>1969</v>
      </c>
      <c r="AB7" s="519" t="s">
        <v>3699</v>
      </c>
      <c r="AC7" s="519" t="s">
        <v>3700</v>
      </c>
      <c r="AD7" s="149" t="s">
        <v>3701</v>
      </c>
      <c r="AE7" s="113" t="s">
        <v>1556</v>
      </c>
      <c r="AF7" s="113" t="s">
        <v>1557</v>
      </c>
      <c r="AG7" s="113" t="s">
        <v>3702</v>
      </c>
      <c r="AH7" s="117" t="s">
        <v>3703</v>
      </c>
      <c r="AI7" s="117" t="s">
        <v>3704</v>
      </c>
      <c r="AJ7" s="117" t="s">
        <v>3705</v>
      </c>
      <c r="AK7" s="113" t="s">
        <v>1556</v>
      </c>
      <c r="AL7" s="113" t="s">
        <v>1557</v>
      </c>
      <c r="AM7" s="113" t="s">
        <v>3702</v>
      </c>
      <c r="AN7" s="113" t="s">
        <v>1556</v>
      </c>
      <c r="AO7" s="149" t="s">
        <v>2753</v>
      </c>
      <c r="AP7" s="113" t="s">
        <v>1557</v>
      </c>
      <c r="AQ7" s="113"/>
      <c r="AR7" s="118"/>
      <c r="AS7" s="113"/>
      <c r="AT7" s="912"/>
      <c r="BA7" s="100" t="s">
        <v>1545</v>
      </c>
      <c r="BB7" s="100" t="s">
        <v>1635</v>
      </c>
      <c r="BC7" s="100" t="s">
        <v>1636</v>
      </c>
      <c r="BD7" s="100" t="s">
        <v>1637</v>
      </c>
      <c r="BE7" s="100" t="s">
        <v>1638</v>
      </c>
      <c r="BF7" s="197"/>
      <c r="BG7" s="197"/>
      <c r="BH7" s="118"/>
      <c r="BI7" s="118"/>
      <c r="BJ7" s="118"/>
      <c r="BK7" s="118"/>
      <c r="BL7" s="118"/>
      <c r="BM7" s="118"/>
      <c r="BN7" s="118"/>
      <c r="BO7" s="118"/>
      <c r="BP7" s="520" t="s">
        <v>2667</v>
      </c>
      <c r="BQ7" s="184" t="s">
        <v>3706</v>
      </c>
      <c r="BR7" s="184" t="s">
        <v>3707</v>
      </c>
      <c r="BS7" s="184" t="s">
        <v>2757</v>
      </c>
      <c r="BT7" s="783" t="s">
        <v>3708</v>
      </c>
      <c r="BU7" s="841" t="s">
        <v>3709</v>
      </c>
      <c r="BV7" s="841" t="s">
        <v>3710</v>
      </c>
      <c r="BW7" s="783" t="s">
        <v>3711</v>
      </c>
      <c r="BX7" s="184" t="s">
        <v>3712</v>
      </c>
      <c r="BY7" s="184" t="s">
        <v>3713</v>
      </c>
      <c r="BZ7" s="784" t="s">
        <v>3714</v>
      </c>
      <c r="CA7" s="783" t="s">
        <v>3715</v>
      </c>
      <c r="CB7" s="184" t="s">
        <v>3716</v>
      </c>
      <c r="CC7" s="184" t="s">
        <v>3717</v>
      </c>
      <c r="CD7" s="184" t="s">
        <v>2761</v>
      </c>
      <c r="CE7" s="784" t="s">
        <v>2763</v>
      </c>
      <c r="CF7" s="184" t="s">
        <v>3718</v>
      </c>
      <c r="CG7" s="184" t="s">
        <v>3719</v>
      </c>
      <c r="CH7" s="184" t="s">
        <v>3720</v>
      </c>
      <c r="CI7" s="119"/>
      <c r="CJ7" s="120" t="s">
        <v>1645</v>
      </c>
      <c r="CK7" s="121" t="s">
        <v>1646</v>
      </c>
      <c r="CL7" s="121" t="s">
        <v>1647</v>
      </c>
      <c r="CM7" s="121" t="s">
        <v>1648</v>
      </c>
      <c r="CN7" s="121" t="s">
        <v>1647</v>
      </c>
      <c r="CO7" s="121" t="s">
        <v>1647</v>
      </c>
      <c r="CP7" s="121" t="s">
        <v>1649</v>
      </c>
      <c r="CQ7" s="122" t="s">
        <v>1650</v>
      </c>
    </row>
    <row r="8" ht="15" customHeight="1" spans="1:95">
      <c r="A8" s="123" t="str">
        <f>IF(F8="","",COUNT(A$7:A7)+1)</f>
        <v/>
      </c>
      <c r="B8" s="123"/>
      <c r="C8" s="124"/>
      <c r="D8" s="124"/>
      <c r="E8" s="126"/>
      <c r="F8" s="124"/>
      <c r="G8" s="124"/>
      <c r="H8" s="124"/>
      <c r="I8" s="126"/>
      <c r="J8" s="126"/>
      <c r="K8" s="126"/>
      <c r="L8" s="126"/>
      <c r="M8" s="126"/>
      <c r="N8" s="126"/>
      <c r="O8" s="126"/>
      <c r="P8" s="126"/>
      <c r="Q8" s="126"/>
      <c r="R8" s="124"/>
      <c r="S8" s="125"/>
      <c r="T8" s="126"/>
      <c r="U8" s="533"/>
      <c r="V8" s="125"/>
      <c r="W8" s="125"/>
      <c r="X8" s="129"/>
      <c r="Y8" s="129" t="str">
        <f>IFERROR(AK8/X8,"")</f>
        <v/>
      </c>
      <c r="Z8" s="127"/>
      <c r="AA8" s="127" t="str">
        <f>IFERROR(VLOOKUP(Z8,参数表!$H$2:$I$50,2,FALSE),"")</f>
        <v/>
      </c>
      <c r="AB8" s="128" t="str">
        <f>IFERROR(IF(OR(Z8="人民币",Z8=""),"",AK8/AA8),"")</f>
        <v/>
      </c>
      <c r="AC8" s="128" t="str">
        <f>IFERROR(IF(OR(Z8="人民币",Z8=""),"",AL8/AA8),"")</f>
        <v/>
      </c>
      <c r="AD8" s="129" t="str">
        <f>IFERROR(IF(OR(Z8="人民币",Z8=""),"",AM8/AA8),"")</f>
        <v/>
      </c>
      <c r="AE8" s="129"/>
      <c r="AF8" s="129"/>
      <c r="AG8" s="129"/>
      <c r="AH8" s="130"/>
      <c r="AI8" s="130"/>
      <c r="AJ8" s="130"/>
      <c r="AK8" s="129" t="str">
        <f>IF(F8="","",AE8+AH8)</f>
        <v/>
      </c>
      <c r="AL8" s="129" t="str">
        <f>IF(F8="","",AF8+AI8)</f>
        <v/>
      </c>
      <c r="AM8" s="129" t="str">
        <f>IF(F8="","",AG8+AJ8)</f>
        <v/>
      </c>
      <c r="AN8" s="129" t="str">
        <f t="shared" ref="AN8:AN27" si="0">IF(F8="","",IF($BB$3="是",IF(BP8="成本法",CC8,BQ8*X8),""))</f>
        <v/>
      </c>
      <c r="AO8" s="521" t="str">
        <f t="shared" ref="AO8:AO27" si="1">IF(F8="","",IF($BB$3="是",IF(BP8="成本法",MAX(30,CH8*100),""),""))</f>
        <v/>
      </c>
      <c r="AP8" s="129" t="str">
        <f>IFERROR(IF(AO8="",AN8,ROUND(AN8*AO8/100,0)),"")</f>
        <v/>
      </c>
      <c r="AQ8" s="129" t="str">
        <f>IFERROR((AP8-(AL8-AM8))/(AL8-AM8)*100,"")</f>
        <v/>
      </c>
      <c r="AR8" s="129" t="str">
        <f>IFERROR(AN8/X8,"")</f>
        <v/>
      </c>
      <c r="AS8" s="124"/>
      <c r="AT8" s="913"/>
      <c r="BA8" s="78"/>
      <c r="BB8" s="132" t="s">
        <v>3858</v>
      </c>
      <c r="BC8" s="133"/>
      <c r="BD8" s="132" t="str">
        <f>IF(OR(F8="",BC8=""),"",COUNTIF(BC$8:BC8,"√"))</f>
        <v/>
      </c>
      <c r="BE8" s="134" t="str">
        <f t="shared" ref="BE8:BE27" si="2">IF(BC8="","",BB8&amp;"︱"&amp;F8&amp;"︱"&amp;TEXT(AK8,"#,##0.00"))</f>
        <v/>
      </c>
      <c r="BF8" s="135" t="str">
        <f>IF($C8="","",IF(BF$5=0,"OK","出错"))</f>
        <v/>
      </c>
      <c r="BG8" s="135" t="str">
        <f>IF($C8="","",IF(BG$5=0,"OK","出错"))</f>
        <v/>
      </c>
      <c r="BH8" s="136"/>
      <c r="BI8" s="136"/>
      <c r="BJ8" s="136"/>
      <c r="BK8" s="136"/>
      <c r="BL8" s="136"/>
      <c r="BM8" s="137"/>
      <c r="BN8" s="136"/>
      <c r="BO8" s="137"/>
      <c r="BP8" s="165" t="s">
        <v>2706</v>
      </c>
      <c r="BQ8" s="223"/>
      <c r="BR8" s="156">
        <f t="shared" ref="BR8:BR27" si="3">X8*BQ8</f>
        <v>0</v>
      </c>
      <c r="BS8" s="156">
        <f t="shared" ref="BS8:BS27" si="4">BR8/(1+BS$6)*BS$6</f>
        <v>0</v>
      </c>
      <c r="BT8" s="776"/>
      <c r="BU8" s="776"/>
      <c r="BV8" s="776"/>
      <c r="BW8" s="851">
        <f t="shared" ref="BW8:BW27" si="5">BR8*BT8+X8*BV8</f>
        <v>0</v>
      </c>
      <c r="BX8" s="156">
        <f>BS8+BR8*(BT8-BU8)/1.06*6%</f>
        <v>0</v>
      </c>
      <c r="BY8" s="156">
        <f>BR8+BW8</f>
        <v>0</v>
      </c>
      <c r="BZ8" s="156">
        <f t="shared" ref="BZ8:BZ27" si="6">BZ$6</f>
        <v>1</v>
      </c>
      <c r="CA8" s="658">
        <f>LOOKUP(BZ8,参数表!$A$13:$B$19)</f>
        <v>0</v>
      </c>
      <c r="CB8" s="156">
        <f>BY8*BZ8*CA8/2</f>
        <v>0</v>
      </c>
      <c r="CC8" s="156">
        <f>ROUND(BY8+CB8-BX8,-2)</f>
        <v>0</v>
      </c>
      <c r="CD8" s="156">
        <f t="shared" ref="CD8:CD27" si="7">(CD$6-V8)/365.25</f>
        <v>125.582477754962</v>
      </c>
      <c r="CE8" s="223"/>
      <c r="CF8" s="746">
        <f>IFERROR(ROUND(1-CD8/CE8,2),0)</f>
        <v>0</v>
      </c>
      <c r="CG8" s="746">
        <f>CF8</f>
        <v>0</v>
      </c>
      <c r="CH8" s="746">
        <f t="shared" ref="CH8:CH27" si="8">ROUND(IF(ABS(CG8-CF8)&gt;5%,CG8,CF8*CF$6+CG8*CG$6),2)</f>
        <v>0</v>
      </c>
      <c r="CJ8" s="134" t="str">
        <f>IF(COUNTIF(CJ$7:CJ7,F8)&gt;0,"",F8)&amp;""</f>
        <v/>
      </c>
      <c r="CK8" s="138">
        <f>SUMIF(F$8:F$27,CJ8,AK$8:AK$27)</f>
        <v>0</v>
      </c>
      <c r="CL8" s="132">
        <f t="shared" ref="CL8" si="9">RANK(CK8,CK$8:CK$27)</f>
        <v>1</v>
      </c>
      <c r="CM8" s="138">
        <f>SUMIF(F$8:F$27,CJ8,AN$8:AN$27)</f>
        <v>0</v>
      </c>
      <c r="CN8" s="132">
        <f>RANK(CM8,CM$8:CM$27)</f>
        <v>1</v>
      </c>
      <c r="CO8" s="138">
        <f>SUM(CK8:CK27)</f>
        <v>0</v>
      </c>
      <c r="CP8" s="138"/>
      <c r="CQ8" s="138"/>
    </row>
    <row r="9" ht="15" customHeight="1" spans="1:95">
      <c r="A9" s="123" t="str">
        <f>IF(F9="","",COUNT(A$7:A8)+1)</f>
        <v/>
      </c>
      <c r="B9" s="141"/>
      <c r="C9" s="139"/>
      <c r="D9" s="139"/>
      <c r="E9" s="141"/>
      <c r="F9" s="139"/>
      <c r="G9" s="535"/>
      <c r="H9" s="535"/>
      <c r="I9" s="141"/>
      <c r="J9" s="914"/>
      <c r="K9" s="914"/>
      <c r="L9" s="914"/>
      <c r="M9" s="914"/>
      <c r="N9" s="914"/>
      <c r="O9" s="914"/>
      <c r="P9" s="914"/>
      <c r="Q9" s="914"/>
      <c r="R9" s="535"/>
      <c r="S9" s="915"/>
      <c r="T9" s="141"/>
      <c r="U9" s="536"/>
      <c r="V9" s="140"/>
      <c r="W9" s="140"/>
      <c r="X9" s="143"/>
      <c r="Y9" s="129" t="str">
        <f t="shared" ref="Y9:Y27" si="10">IFERROR(AK9/X9,"")</f>
        <v/>
      </c>
      <c r="Z9" s="142"/>
      <c r="AA9" s="127" t="str">
        <f>IFERROR(VLOOKUP(Z9,参数表!$H$2:$I$50,2,FALSE),"")</f>
        <v/>
      </c>
      <c r="AB9" s="128" t="str">
        <f t="shared" ref="AB9:AB27" si="11">IFERROR(IF(OR(Z9="人民币",Z9=""),"",AK9/AA9),"")</f>
        <v/>
      </c>
      <c r="AC9" s="128" t="str">
        <f t="shared" ref="AC9:AC27" si="12">IFERROR(IF(OR(Z9="人民币",Z9=""),"",AL9/AA9),"")</f>
        <v/>
      </c>
      <c r="AD9" s="129" t="str">
        <f t="shared" ref="AD9:AD27" si="13">IFERROR(IF(OR(Z9="人民币",Z9=""),"",AM9/AA9),"")</f>
        <v/>
      </c>
      <c r="AE9" s="143"/>
      <c r="AF9" s="143"/>
      <c r="AG9" s="143"/>
      <c r="AH9" s="144"/>
      <c r="AI9" s="144"/>
      <c r="AJ9" s="144"/>
      <c r="AK9" s="129" t="str">
        <f t="shared" ref="AK9:AK27" si="14">IF(F9="","",AE9+AH9)</f>
        <v/>
      </c>
      <c r="AL9" s="129" t="str">
        <f t="shared" ref="AL9:AL27" si="15">IF(F9="","",AF9+AI9)</f>
        <v/>
      </c>
      <c r="AM9" s="129" t="str">
        <f t="shared" ref="AM9:AM27" si="16">IF(F9="","",AG9+AJ9)</f>
        <v/>
      </c>
      <c r="AN9" s="129" t="str">
        <f t="shared" si="0"/>
        <v/>
      </c>
      <c r="AO9" s="521" t="str">
        <f t="shared" si="1"/>
        <v/>
      </c>
      <c r="AP9" s="129" t="str">
        <f t="shared" ref="AP9:AP27" si="17">IFERROR(IF(AO9="",AN9,ROUND(AN9*AO9/100,0)),"")</f>
        <v/>
      </c>
      <c r="AQ9" s="129" t="str">
        <f t="shared" ref="AQ9:AQ30" si="18">IFERROR((AP9-(AL9-AM9))/(AL9-AM9)*100,"")</f>
        <v/>
      </c>
      <c r="AR9" s="129" t="str">
        <f t="shared" ref="AR9:AR27" si="19">IFERROR(AN9/X9,"")</f>
        <v/>
      </c>
      <c r="AS9" s="139"/>
      <c r="AT9" s="913"/>
      <c r="BA9" s="78"/>
      <c r="BB9" s="132" t="s">
        <v>3859</v>
      </c>
      <c r="BC9" s="133"/>
      <c r="BD9" s="132" t="str">
        <f>IF(OR(F9="",BC9=""),"",COUNTIF(BC$8:BC9,"√"))</f>
        <v/>
      </c>
      <c r="BE9" s="134" t="str">
        <f t="shared" si="2"/>
        <v/>
      </c>
      <c r="BF9" s="135" t="str">
        <f t="shared" ref="BF9:BG27" si="20">IF($C9="","",IF(BF$5=0,"OK","出错"))</f>
        <v/>
      </c>
      <c r="BG9" s="135" t="str">
        <f t="shared" si="20"/>
        <v/>
      </c>
      <c r="BH9" s="136"/>
      <c r="BI9" s="136"/>
      <c r="BJ9" s="136"/>
      <c r="BK9" s="136"/>
      <c r="BL9" s="136"/>
      <c r="BM9" s="137"/>
      <c r="BN9" s="136"/>
      <c r="BO9" s="137"/>
      <c r="BP9" s="165" t="s">
        <v>2706</v>
      </c>
      <c r="BQ9" s="223"/>
      <c r="BR9" s="156">
        <f t="shared" si="3"/>
        <v>0</v>
      </c>
      <c r="BS9" s="156">
        <f t="shared" si="4"/>
        <v>0</v>
      </c>
      <c r="BT9" s="776"/>
      <c r="BU9" s="776"/>
      <c r="BV9" s="776"/>
      <c r="BW9" s="851">
        <f t="shared" si="5"/>
        <v>0</v>
      </c>
      <c r="BX9" s="156">
        <f t="shared" ref="BX9:BX27" si="21">BS9+BR9*(BT9-BU9)/1.06*6%</f>
        <v>0</v>
      </c>
      <c r="BY9" s="156">
        <f t="shared" ref="BY9:BY27" si="22">BR9+BW9</f>
        <v>0</v>
      </c>
      <c r="BZ9" s="156">
        <f t="shared" si="6"/>
        <v>1</v>
      </c>
      <c r="CA9" s="658">
        <f>LOOKUP(BZ9,参数表!$A$13:$B$19)</f>
        <v>0</v>
      </c>
      <c r="CB9" s="156">
        <f t="shared" ref="CB9:CB27" si="23">BY9*BZ9*CA9/2</f>
        <v>0</v>
      </c>
      <c r="CC9" s="156">
        <f t="shared" ref="CC9:CC27" si="24">ROUND(BY9+CB9-BX9,-2)</f>
        <v>0</v>
      </c>
      <c r="CD9" s="156">
        <f t="shared" si="7"/>
        <v>125.582477754962</v>
      </c>
      <c r="CE9" s="223"/>
      <c r="CF9" s="746">
        <f t="shared" ref="CF9:CF27" si="25">IFERROR(ROUND(1-CD9/CE9,2),0)</f>
        <v>0</v>
      </c>
      <c r="CG9" s="746">
        <f t="shared" ref="CG9:CG27" si="26">CF9</f>
        <v>0</v>
      </c>
      <c r="CH9" s="746">
        <f t="shared" si="8"/>
        <v>0</v>
      </c>
      <c r="CJ9" s="134" t="str">
        <f>IF(COUNTIF(CJ$7:CJ8,F9)&gt;0,"",F9)&amp;""</f>
        <v/>
      </c>
      <c r="CK9" s="138">
        <f t="shared" ref="CK9:CK27" si="27">SUMIF(F$8:F$27,CJ9,AK$8:AK$27)</f>
        <v>0</v>
      </c>
      <c r="CL9" s="132">
        <f t="shared" ref="CL9:CL27" si="28">RANK(CK9,CK$8:CK$27)</f>
        <v>1</v>
      </c>
      <c r="CM9" s="138">
        <f t="shared" ref="CM9:CM27" si="29">SUMIF(F$8:F$27,CJ9,AN$8:AN$27)</f>
        <v>0</v>
      </c>
      <c r="CN9" s="132">
        <f t="shared" ref="CN9:CN27" si="30">RANK(CM9,CM$8:CM$27)</f>
        <v>1</v>
      </c>
      <c r="CO9" s="138">
        <f>SUM(CM8:CM27)</f>
        <v>0</v>
      </c>
      <c r="CP9" s="138"/>
      <c r="CQ9" s="138"/>
    </row>
    <row r="10" ht="15" customHeight="1" spans="1:95">
      <c r="A10" s="123" t="str">
        <f>IF(F10="","",COUNT(A$7:A9)+1)</f>
        <v/>
      </c>
      <c r="B10" s="141"/>
      <c r="C10" s="139"/>
      <c r="D10" s="139"/>
      <c r="E10" s="141"/>
      <c r="F10" s="139"/>
      <c r="G10" s="535"/>
      <c r="H10" s="535"/>
      <c r="I10" s="141"/>
      <c r="J10" s="914"/>
      <c r="K10" s="914"/>
      <c r="L10" s="914"/>
      <c r="M10" s="914"/>
      <c r="N10" s="914"/>
      <c r="O10" s="914"/>
      <c r="P10" s="914"/>
      <c r="Q10" s="914"/>
      <c r="R10" s="535"/>
      <c r="S10" s="915"/>
      <c r="T10" s="141"/>
      <c r="U10" s="536"/>
      <c r="V10" s="140"/>
      <c r="W10" s="140"/>
      <c r="X10" s="143"/>
      <c r="Y10" s="129" t="str">
        <f t="shared" si="10"/>
        <v/>
      </c>
      <c r="Z10" s="142"/>
      <c r="AA10" s="127" t="str">
        <f>IFERROR(VLOOKUP(Z10,参数表!$H$2:$I$50,2,FALSE),"")</f>
        <v/>
      </c>
      <c r="AB10" s="128" t="str">
        <f t="shared" si="11"/>
        <v/>
      </c>
      <c r="AC10" s="128" t="str">
        <f t="shared" si="12"/>
        <v/>
      </c>
      <c r="AD10" s="129" t="str">
        <f t="shared" si="13"/>
        <v/>
      </c>
      <c r="AE10" s="143"/>
      <c r="AF10" s="143"/>
      <c r="AG10" s="143"/>
      <c r="AH10" s="144"/>
      <c r="AI10" s="144"/>
      <c r="AJ10" s="144"/>
      <c r="AK10" s="129" t="str">
        <f t="shared" si="14"/>
        <v/>
      </c>
      <c r="AL10" s="129" t="str">
        <f t="shared" si="15"/>
        <v/>
      </c>
      <c r="AM10" s="129" t="str">
        <f t="shared" si="16"/>
        <v/>
      </c>
      <c r="AN10" s="129" t="str">
        <f t="shared" si="0"/>
        <v/>
      </c>
      <c r="AO10" s="521" t="str">
        <f t="shared" si="1"/>
        <v/>
      </c>
      <c r="AP10" s="129" t="str">
        <f t="shared" si="17"/>
        <v/>
      </c>
      <c r="AQ10" s="129" t="str">
        <f t="shared" si="18"/>
        <v/>
      </c>
      <c r="AR10" s="129" t="str">
        <f t="shared" si="19"/>
        <v/>
      </c>
      <c r="AS10" s="139"/>
      <c r="AT10" s="913"/>
      <c r="BA10" s="78"/>
      <c r="BB10" s="132" t="s">
        <v>3860</v>
      </c>
      <c r="BC10" s="133"/>
      <c r="BD10" s="132" t="str">
        <f>IF(OR(F10="",BC10=""),"",COUNTIF(BC$8:BC10,"√"))</f>
        <v/>
      </c>
      <c r="BE10" s="134" t="str">
        <f t="shared" si="2"/>
        <v/>
      </c>
      <c r="BF10" s="135" t="str">
        <f t="shared" si="20"/>
        <v/>
      </c>
      <c r="BG10" s="135" t="str">
        <f t="shared" si="20"/>
        <v/>
      </c>
      <c r="BH10" s="136"/>
      <c r="BI10" s="136"/>
      <c r="BJ10" s="136"/>
      <c r="BK10" s="136"/>
      <c r="BL10" s="136"/>
      <c r="BM10" s="137"/>
      <c r="BN10" s="136"/>
      <c r="BO10" s="137"/>
      <c r="BP10" s="165" t="s">
        <v>2706</v>
      </c>
      <c r="BQ10" s="223"/>
      <c r="BR10" s="156">
        <f t="shared" si="3"/>
        <v>0</v>
      </c>
      <c r="BS10" s="156">
        <f t="shared" si="4"/>
        <v>0</v>
      </c>
      <c r="BT10" s="776"/>
      <c r="BU10" s="776"/>
      <c r="BV10" s="776"/>
      <c r="BW10" s="851">
        <f t="shared" si="5"/>
        <v>0</v>
      </c>
      <c r="BX10" s="156">
        <f t="shared" si="21"/>
        <v>0</v>
      </c>
      <c r="BY10" s="156">
        <f t="shared" si="22"/>
        <v>0</v>
      </c>
      <c r="BZ10" s="156">
        <f t="shared" si="6"/>
        <v>1</v>
      </c>
      <c r="CA10" s="658">
        <f>LOOKUP(BZ10,参数表!$A$13:$B$19)</f>
        <v>0</v>
      </c>
      <c r="CB10" s="156">
        <f t="shared" si="23"/>
        <v>0</v>
      </c>
      <c r="CC10" s="156">
        <f t="shared" si="24"/>
        <v>0</v>
      </c>
      <c r="CD10" s="156">
        <f t="shared" si="7"/>
        <v>125.582477754962</v>
      </c>
      <c r="CE10" s="223"/>
      <c r="CF10" s="746">
        <f t="shared" si="25"/>
        <v>0</v>
      </c>
      <c r="CG10" s="746">
        <f t="shared" si="26"/>
        <v>0</v>
      </c>
      <c r="CH10" s="746">
        <f t="shared" si="8"/>
        <v>0</v>
      </c>
      <c r="CJ10" s="134" t="str">
        <f>IF(COUNTIF(CJ$7:CJ9,F10)&gt;0,"",F10)&amp;""</f>
        <v/>
      </c>
      <c r="CK10" s="138">
        <f t="shared" si="27"/>
        <v>0</v>
      </c>
      <c r="CL10" s="132">
        <f t="shared" si="28"/>
        <v>1</v>
      </c>
      <c r="CM10" s="138">
        <f t="shared" si="29"/>
        <v>0</v>
      </c>
      <c r="CN10" s="132">
        <f t="shared" si="30"/>
        <v>1</v>
      </c>
      <c r="CO10" s="132">
        <v>1</v>
      </c>
      <c r="CP10" s="134" t="str">
        <f>IFERROR(INDEX(CJ$8:CJ$27,MATCH(CO10,IF(CO$8=0,CN$8:CN$27,CL$8:CL$27),0))&amp;"","")</f>
        <v/>
      </c>
      <c r="CQ10" s="146" t="str">
        <f>IF(CP11="","",IF(CP12="","和","、"))</f>
        <v/>
      </c>
    </row>
    <row r="11" ht="15" customHeight="1" spans="1:95">
      <c r="A11" s="123" t="str">
        <f>IF(F11="","",COUNT(A$7:A10)+1)</f>
        <v/>
      </c>
      <c r="B11" s="141"/>
      <c r="C11" s="139"/>
      <c r="D11" s="139"/>
      <c r="E11" s="141"/>
      <c r="F11" s="139"/>
      <c r="G11" s="535"/>
      <c r="H11" s="535"/>
      <c r="I11" s="141"/>
      <c r="J11" s="914"/>
      <c r="K11" s="914"/>
      <c r="L11" s="914"/>
      <c r="M11" s="914"/>
      <c r="N11" s="914"/>
      <c r="O11" s="914"/>
      <c r="P11" s="914"/>
      <c r="Q11" s="914"/>
      <c r="R11" s="535"/>
      <c r="S11" s="915"/>
      <c r="T11" s="141"/>
      <c r="U11" s="536"/>
      <c r="V11" s="140"/>
      <c r="W11" s="140"/>
      <c r="X11" s="143"/>
      <c r="Y11" s="129" t="str">
        <f t="shared" si="10"/>
        <v/>
      </c>
      <c r="Z11" s="142"/>
      <c r="AA11" s="127" t="str">
        <f>IFERROR(VLOOKUP(Z11,参数表!$H$2:$I$50,2,FALSE),"")</f>
        <v/>
      </c>
      <c r="AB11" s="128" t="str">
        <f t="shared" si="11"/>
        <v/>
      </c>
      <c r="AC11" s="128" t="str">
        <f t="shared" si="12"/>
        <v/>
      </c>
      <c r="AD11" s="129" t="str">
        <f t="shared" si="13"/>
        <v/>
      </c>
      <c r="AE11" s="143"/>
      <c r="AF11" s="143"/>
      <c r="AG11" s="143"/>
      <c r="AH11" s="144"/>
      <c r="AI11" s="144"/>
      <c r="AJ11" s="144"/>
      <c r="AK11" s="129" t="str">
        <f t="shared" si="14"/>
        <v/>
      </c>
      <c r="AL11" s="129" t="str">
        <f t="shared" si="15"/>
        <v/>
      </c>
      <c r="AM11" s="129" t="str">
        <f t="shared" si="16"/>
        <v/>
      </c>
      <c r="AN11" s="129" t="str">
        <f t="shared" si="0"/>
        <v/>
      </c>
      <c r="AO11" s="521" t="str">
        <f t="shared" si="1"/>
        <v/>
      </c>
      <c r="AP11" s="129" t="str">
        <f t="shared" si="17"/>
        <v/>
      </c>
      <c r="AQ11" s="129" t="str">
        <f t="shared" si="18"/>
        <v/>
      </c>
      <c r="AR11" s="129" t="str">
        <f t="shared" si="19"/>
        <v/>
      </c>
      <c r="AS11" s="139"/>
      <c r="AT11" s="913"/>
      <c r="BA11" s="78"/>
      <c r="BB11" s="132" t="s">
        <v>3861</v>
      </c>
      <c r="BC11" s="133"/>
      <c r="BD11" s="132" t="str">
        <f>IF(OR(F11="",BC11=""),"",COUNTIF(BC$8:BC11,"√"))</f>
        <v/>
      </c>
      <c r="BE11" s="134" t="str">
        <f t="shared" si="2"/>
        <v/>
      </c>
      <c r="BF11" s="135" t="str">
        <f t="shared" si="20"/>
        <v/>
      </c>
      <c r="BG11" s="135" t="str">
        <f t="shared" si="20"/>
        <v/>
      </c>
      <c r="BH11" s="136"/>
      <c r="BI11" s="136"/>
      <c r="BJ11" s="136"/>
      <c r="BK11" s="136"/>
      <c r="BL11" s="136"/>
      <c r="BM11" s="137"/>
      <c r="BN11" s="136"/>
      <c r="BO11" s="137"/>
      <c r="BP11" s="165" t="s">
        <v>2706</v>
      </c>
      <c r="BQ11" s="223"/>
      <c r="BR11" s="156">
        <f t="shared" si="3"/>
        <v>0</v>
      </c>
      <c r="BS11" s="156">
        <f t="shared" si="4"/>
        <v>0</v>
      </c>
      <c r="BT11" s="776"/>
      <c r="BU11" s="776"/>
      <c r="BV11" s="776"/>
      <c r="BW11" s="851">
        <f t="shared" si="5"/>
        <v>0</v>
      </c>
      <c r="BX11" s="156">
        <f t="shared" si="21"/>
        <v>0</v>
      </c>
      <c r="BY11" s="156">
        <f t="shared" si="22"/>
        <v>0</v>
      </c>
      <c r="BZ11" s="156">
        <f t="shared" si="6"/>
        <v>1</v>
      </c>
      <c r="CA11" s="658">
        <f>LOOKUP(BZ11,参数表!$A$13:$B$19)</f>
        <v>0</v>
      </c>
      <c r="CB11" s="156">
        <f t="shared" si="23"/>
        <v>0</v>
      </c>
      <c r="CC11" s="156">
        <f t="shared" si="24"/>
        <v>0</v>
      </c>
      <c r="CD11" s="156">
        <f t="shared" si="7"/>
        <v>125.582477754962</v>
      </c>
      <c r="CE11" s="223"/>
      <c r="CF11" s="746">
        <f t="shared" si="25"/>
        <v>0</v>
      </c>
      <c r="CG11" s="746">
        <f t="shared" si="26"/>
        <v>0</v>
      </c>
      <c r="CH11" s="746">
        <f t="shared" si="8"/>
        <v>0</v>
      </c>
      <c r="CJ11" s="134" t="str">
        <f>IF(COUNTIF(CJ$7:CJ10,F11)&gt;0,"",F11)&amp;""</f>
        <v/>
      </c>
      <c r="CK11" s="138">
        <f t="shared" si="27"/>
        <v>0</v>
      </c>
      <c r="CL11" s="132">
        <f t="shared" si="28"/>
        <v>1</v>
      </c>
      <c r="CM11" s="138">
        <f t="shared" si="29"/>
        <v>0</v>
      </c>
      <c r="CN11" s="132">
        <f t="shared" si="30"/>
        <v>1</v>
      </c>
      <c r="CO11" s="132">
        <v>2</v>
      </c>
      <c r="CP11" s="134" t="str">
        <f t="shared" ref="CP11:CP14" si="31">IFERROR(INDEX(CJ$8:CJ$27,MATCH(CO11,IF(CO$8=0,CN$8:CN$27,CL$8:CL$27),0))&amp;"","")</f>
        <v/>
      </c>
      <c r="CQ11" s="146" t="str">
        <f t="shared" ref="CQ11:CQ12" si="32">IF(CP12="","",IF(CP13="","和","、"))</f>
        <v/>
      </c>
    </row>
    <row r="12" ht="15" customHeight="1" spans="1:95">
      <c r="A12" s="123" t="str">
        <f>IF(F12="","",COUNT(A$7:A11)+1)</f>
        <v/>
      </c>
      <c r="B12" s="141"/>
      <c r="C12" s="139"/>
      <c r="D12" s="139"/>
      <c r="E12" s="141"/>
      <c r="F12" s="139"/>
      <c r="G12" s="535"/>
      <c r="H12" s="535"/>
      <c r="I12" s="141"/>
      <c r="J12" s="914"/>
      <c r="K12" s="914"/>
      <c r="L12" s="914"/>
      <c r="M12" s="914"/>
      <c r="N12" s="914"/>
      <c r="O12" s="914"/>
      <c r="P12" s="914"/>
      <c r="Q12" s="914"/>
      <c r="R12" s="535"/>
      <c r="S12" s="915"/>
      <c r="T12" s="141"/>
      <c r="U12" s="536"/>
      <c r="V12" s="140"/>
      <c r="W12" s="140"/>
      <c r="X12" s="143"/>
      <c r="Y12" s="129" t="str">
        <f t="shared" si="10"/>
        <v/>
      </c>
      <c r="Z12" s="142"/>
      <c r="AA12" s="127" t="str">
        <f>IFERROR(VLOOKUP(Z12,参数表!$H$2:$I$50,2,FALSE),"")</f>
        <v/>
      </c>
      <c r="AB12" s="128" t="str">
        <f t="shared" si="11"/>
        <v/>
      </c>
      <c r="AC12" s="128" t="str">
        <f t="shared" si="12"/>
        <v/>
      </c>
      <c r="AD12" s="129" t="str">
        <f t="shared" si="13"/>
        <v/>
      </c>
      <c r="AE12" s="143"/>
      <c r="AF12" s="143"/>
      <c r="AG12" s="143"/>
      <c r="AH12" s="144"/>
      <c r="AI12" s="144"/>
      <c r="AJ12" s="144"/>
      <c r="AK12" s="129" t="str">
        <f t="shared" si="14"/>
        <v/>
      </c>
      <c r="AL12" s="129" t="str">
        <f t="shared" si="15"/>
        <v/>
      </c>
      <c r="AM12" s="129" t="str">
        <f t="shared" si="16"/>
        <v/>
      </c>
      <c r="AN12" s="129" t="str">
        <f t="shared" si="0"/>
        <v/>
      </c>
      <c r="AO12" s="521" t="str">
        <f t="shared" si="1"/>
        <v/>
      </c>
      <c r="AP12" s="129" t="str">
        <f t="shared" si="17"/>
        <v/>
      </c>
      <c r="AQ12" s="129" t="str">
        <f t="shared" si="18"/>
        <v/>
      </c>
      <c r="AR12" s="129" t="str">
        <f t="shared" si="19"/>
        <v/>
      </c>
      <c r="AS12" s="139"/>
      <c r="AT12" s="913"/>
      <c r="BA12" s="78"/>
      <c r="BB12" s="132" t="s">
        <v>3862</v>
      </c>
      <c r="BC12" s="133"/>
      <c r="BD12" s="132" t="str">
        <f>IF(OR(F12="",BC12=""),"",COUNTIF(BC$8:BC12,"√"))</f>
        <v/>
      </c>
      <c r="BE12" s="134" t="str">
        <f t="shared" si="2"/>
        <v/>
      </c>
      <c r="BF12" s="135" t="str">
        <f t="shared" si="20"/>
        <v/>
      </c>
      <c r="BG12" s="135" t="str">
        <f t="shared" si="20"/>
        <v/>
      </c>
      <c r="BH12" s="136"/>
      <c r="BI12" s="136"/>
      <c r="BJ12" s="136"/>
      <c r="BK12" s="136"/>
      <c r="BL12" s="136"/>
      <c r="BM12" s="137"/>
      <c r="BN12" s="136"/>
      <c r="BO12" s="137"/>
      <c r="BP12" s="165" t="s">
        <v>2706</v>
      </c>
      <c r="BQ12" s="223"/>
      <c r="BR12" s="156">
        <f t="shared" si="3"/>
        <v>0</v>
      </c>
      <c r="BS12" s="156">
        <f t="shared" si="4"/>
        <v>0</v>
      </c>
      <c r="BT12" s="776"/>
      <c r="BU12" s="776"/>
      <c r="BV12" s="776"/>
      <c r="BW12" s="851">
        <f t="shared" si="5"/>
        <v>0</v>
      </c>
      <c r="BX12" s="156">
        <f t="shared" si="21"/>
        <v>0</v>
      </c>
      <c r="BY12" s="156">
        <f t="shared" si="22"/>
        <v>0</v>
      </c>
      <c r="BZ12" s="156">
        <f t="shared" si="6"/>
        <v>1</v>
      </c>
      <c r="CA12" s="658">
        <f>LOOKUP(BZ12,参数表!$A$13:$B$19)</f>
        <v>0</v>
      </c>
      <c r="CB12" s="156">
        <f t="shared" si="23"/>
        <v>0</v>
      </c>
      <c r="CC12" s="156">
        <f t="shared" si="24"/>
        <v>0</v>
      </c>
      <c r="CD12" s="156">
        <f t="shared" si="7"/>
        <v>125.582477754962</v>
      </c>
      <c r="CE12" s="223"/>
      <c r="CF12" s="746">
        <f t="shared" si="25"/>
        <v>0</v>
      </c>
      <c r="CG12" s="746">
        <f t="shared" si="26"/>
        <v>0</v>
      </c>
      <c r="CH12" s="746">
        <f t="shared" si="8"/>
        <v>0</v>
      </c>
      <c r="CJ12" s="134" t="str">
        <f>IF(COUNTIF(CJ$7:CJ11,F12)&gt;0,"",F12)&amp;""</f>
        <v/>
      </c>
      <c r="CK12" s="138">
        <f t="shared" si="27"/>
        <v>0</v>
      </c>
      <c r="CL12" s="132">
        <f t="shared" si="28"/>
        <v>1</v>
      </c>
      <c r="CM12" s="138">
        <f t="shared" si="29"/>
        <v>0</v>
      </c>
      <c r="CN12" s="132">
        <f t="shared" si="30"/>
        <v>1</v>
      </c>
      <c r="CO12" s="132">
        <v>3</v>
      </c>
      <c r="CP12" s="134" t="str">
        <f t="shared" si="31"/>
        <v/>
      </c>
      <c r="CQ12" s="146" t="str">
        <f t="shared" si="32"/>
        <v/>
      </c>
    </row>
    <row r="13" ht="15" customHeight="1" spans="1:95">
      <c r="A13" s="123" t="str">
        <f>IF(F13="","",COUNT(A$7:A12)+1)</f>
        <v/>
      </c>
      <c r="B13" s="141"/>
      <c r="C13" s="139"/>
      <c r="D13" s="139"/>
      <c r="E13" s="141"/>
      <c r="F13" s="139"/>
      <c r="G13" s="535"/>
      <c r="H13" s="535"/>
      <c r="I13" s="141"/>
      <c r="J13" s="914"/>
      <c r="K13" s="914"/>
      <c r="L13" s="914"/>
      <c r="M13" s="914"/>
      <c r="N13" s="914"/>
      <c r="O13" s="914"/>
      <c r="P13" s="914"/>
      <c r="Q13" s="914"/>
      <c r="R13" s="535"/>
      <c r="S13" s="915"/>
      <c r="T13" s="141"/>
      <c r="U13" s="536"/>
      <c r="V13" s="140"/>
      <c r="W13" s="140"/>
      <c r="X13" s="143"/>
      <c r="Y13" s="129" t="str">
        <f t="shared" si="10"/>
        <v/>
      </c>
      <c r="Z13" s="142"/>
      <c r="AA13" s="127" t="str">
        <f>IFERROR(VLOOKUP(Z13,参数表!$H$2:$I$50,2,FALSE),"")</f>
        <v/>
      </c>
      <c r="AB13" s="128" t="str">
        <f t="shared" si="11"/>
        <v/>
      </c>
      <c r="AC13" s="128" t="str">
        <f t="shared" si="12"/>
        <v/>
      </c>
      <c r="AD13" s="129" t="str">
        <f t="shared" si="13"/>
        <v/>
      </c>
      <c r="AE13" s="143"/>
      <c r="AF13" s="143"/>
      <c r="AG13" s="143"/>
      <c r="AH13" s="144"/>
      <c r="AI13" s="144"/>
      <c r="AJ13" s="144"/>
      <c r="AK13" s="129" t="str">
        <f t="shared" si="14"/>
        <v/>
      </c>
      <c r="AL13" s="129" t="str">
        <f t="shared" si="15"/>
        <v/>
      </c>
      <c r="AM13" s="129" t="str">
        <f t="shared" si="16"/>
        <v/>
      </c>
      <c r="AN13" s="129" t="str">
        <f t="shared" si="0"/>
        <v/>
      </c>
      <c r="AO13" s="521" t="str">
        <f t="shared" si="1"/>
        <v/>
      </c>
      <c r="AP13" s="129" t="str">
        <f t="shared" si="17"/>
        <v/>
      </c>
      <c r="AQ13" s="129" t="str">
        <f t="shared" si="18"/>
        <v/>
      </c>
      <c r="AR13" s="129" t="str">
        <f t="shared" si="19"/>
        <v/>
      </c>
      <c r="AS13" s="139"/>
      <c r="AT13" s="913"/>
      <c r="BA13" s="78"/>
      <c r="BB13" s="132" t="s">
        <v>3863</v>
      </c>
      <c r="BC13" s="133"/>
      <c r="BD13" s="132" t="str">
        <f>IF(OR(F13="",BC13=""),"",COUNTIF(BC$8:BC13,"√"))</f>
        <v/>
      </c>
      <c r="BE13" s="134" t="str">
        <f t="shared" si="2"/>
        <v/>
      </c>
      <c r="BF13" s="135" t="str">
        <f t="shared" si="20"/>
        <v/>
      </c>
      <c r="BG13" s="135" t="str">
        <f t="shared" si="20"/>
        <v/>
      </c>
      <c r="BH13" s="136"/>
      <c r="BI13" s="136"/>
      <c r="BJ13" s="136"/>
      <c r="BK13" s="136"/>
      <c r="BL13" s="136"/>
      <c r="BM13" s="137"/>
      <c r="BN13" s="136"/>
      <c r="BO13" s="137"/>
      <c r="BP13" s="165" t="s">
        <v>2706</v>
      </c>
      <c r="BQ13" s="223"/>
      <c r="BR13" s="156">
        <f t="shared" si="3"/>
        <v>0</v>
      </c>
      <c r="BS13" s="156">
        <f t="shared" si="4"/>
        <v>0</v>
      </c>
      <c r="BT13" s="776"/>
      <c r="BU13" s="776"/>
      <c r="BV13" s="776"/>
      <c r="BW13" s="851">
        <f t="shared" si="5"/>
        <v>0</v>
      </c>
      <c r="BX13" s="156">
        <f t="shared" si="21"/>
        <v>0</v>
      </c>
      <c r="BY13" s="156">
        <f t="shared" si="22"/>
        <v>0</v>
      </c>
      <c r="BZ13" s="156">
        <f t="shared" si="6"/>
        <v>1</v>
      </c>
      <c r="CA13" s="658">
        <f>LOOKUP(BZ13,参数表!$A$13:$B$19)</f>
        <v>0</v>
      </c>
      <c r="CB13" s="156">
        <f t="shared" si="23"/>
        <v>0</v>
      </c>
      <c r="CC13" s="156">
        <f t="shared" si="24"/>
        <v>0</v>
      </c>
      <c r="CD13" s="156">
        <f t="shared" si="7"/>
        <v>125.582477754962</v>
      </c>
      <c r="CE13" s="223"/>
      <c r="CF13" s="746">
        <f t="shared" si="25"/>
        <v>0</v>
      </c>
      <c r="CG13" s="746">
        <f t="shared" si="26"/>
        <v>0</v>
      </c>
      <c r="CH13" s="746">
        <f t="shared" si="8"/>
        <v>0</v>
      </c>
      <c r="CJ13" s="134" t="str">
        <f>IF(COUNTIF(CJ$7:CJ12,F13)&gt;0,"",F13)&amp;""</f>
        <v/>
      </c>
      <c r="CK13" s="138">
        <f t="shared" si="27"/>
        <v>0</v>
      </c>
      <c r="CL13" s="132">
        <f t="shared" si="28"/>
        <v>1</v>
      </c>
      <c r="CM13" s="138">
        <f t="shared" si="29"/>
        <v>0</v>
      </c>
      <c r="CN13" s="132">
        <f t="shared" si="30"/>
        <v>1</v>
      </c>
      <c r="CO13" s="132">
        <v>4</v>
      </c>
      <c r="CP13" s="134" t="str">
        <f t="shared" si="31"/>
        <v/>
      </c>
      <c r="CQ13" s="146" t="str">
        <f>IF(CP14="","","和")</f>
        <v/>
      </c>
    </row>
    <row r="14" ht="15" customHeight="1" spans="1:95">
      <c r="A14" s="123" t="str">
        <f>IF(F14="","",COUNT(A$7:A13)+1)</f>
        <v/>
      </c>
      <c r="B14" s="141"/>
      <c r="C14" s="139"/>
      <c r="D14" s="139"/>
      <c r="E14" s="141"/>
      <c r="F14" s="139"/>
      <c r="G14" s="535"/>
      <c r="H14" s="535"/>
      <c r="I14" s="141"/>
      <c r="J14" s="914"/>
      <c r="K14" s="914"/>
      <c r="L14" s="914"/>
      <c r="M14" s="914"/>
      <c r="N14" s="914"/>
      <c r="O14" s="914"/>
      <c r="P14" s="914"/>
      <c r="Q14" s="914"/>
      <c r="R14" s="535"/>
      <c r="S14" s="915"/>
      <c r="T14" s="141"/>
      <c r="U14" s="536"/>
      <c r="V14" s="140"/>
      <c r="W14" s="140"/>
      <c r="X14" s="143"/>
      <c r="Y14" s="129" t="str">
        <f t="shared" si="10"/>
        <v/>
      </c>
      <c r="Z14" s="142"/>
      <c r="AA14" s="127" t="str">
        <f>IFERROR(VLOOKUP(Z14,参数表!$H$2:$I$50,2,FALSE),"")</f>
        <v/>
      </c>
      <c r="AB14" s="128" t="str">
        <f t="shared" si="11"/>
        <v/>
      </c>
      <c r="AC14" s="128" t="str">
        <f t="shared" si="12"/>
        <v/>
      </c>
      <c r="AD14" s="129" t="str">
        <f t="shared" si="13"/>
        <v/>
      </c>
      <c r="AE14" s="143"/>
      <c r="AF14" s="143"/>
      <c r="AG14" s="143"/>
      <c r="AH14" s="144"/>
      <c r="AI14" s="144"/>
      <c r="AJ14" s="144"/>
      <c r="AK14" s="129" t="str">
        <f t="shared" si="14"/>
        <v/>
      </c>
      <c r="AL14" s="129" t="str">
        <f t="shared" si="15"/>
        <v/>
      </c>
      <c r="AM14" s="129" t="str">
        <f t="shared" si="16"/>
        <v/>
      </c>
      <c r="AN14" s="129" t="str">
        <f t="shared" si="0"/>
        <v/>
      </c>
      <c r="AO14" s="521" t="str">
        <f t="shared" si="1"/>
        <v/>
      </c>
      <c r="AP14" s="129" t="str">
        <f t="shared" si="17"/>
        <v/>
      </c>
      <c r="AQ14" s="129" t="str">
        <f t="shared" si="18"/>
        <v/>
      </c>
      <c r="AR14" s="129" t="str">
        <f t="shared" si="19"/>
        <v/>
      </c>
      <c r="AS14" s="139"/>
      <c r="AT14" s="913"/>
      <c r="BA14" s="78"/>
      <c r="BB14" s="132" t="s">
        <v>3864</v>
      </c>
      <c r="BC14" s="133"/>
      <c r="BD14" s="132" t="str">
        <f>IF(OR(F14="",BC14=""),"",COUNTIF(BC$8:BC14,"√"))</f>
        <v/>
      </c>
      <c r="BE14" s="134" t="str">
        <f t="shared" si="2"/>
        <v/>
      </c>
      <c r="BF14" s="135" t="str">
        <f t="shared" si="20"/>
        <v/>
      </c>
      <c r="BG14" s="135" t="str">
        <f t="shared" si="20"/>
        <v/>
      </c>
      <c r="BH14" s="136"/>
      <c r="BI14" s="136"/>
      <c r="BJ14" s="136"/>
      <c r="BK14" s="136"/>
      <c r="BL14" s="136"/>
      <c r="BM14" s="137"/>
      <c r="BN14" s="136"/>
      <c r="BO14" s="137"/>
      <c r="BP14" s="165" t="s">
        <v>2706</v>
      </c>
      <c r="BQ14" s="223"/>
      <c r="BR14" s="156">
        <f t="shared" si="3"/>
        <v>0</v>
      </c>
      <c r="BS14" s="156">
        <f t="shared" si="4"/>
        <v>0</v>
      </c>
      <c r="BT14" s="776"/>
      <c r="BU14" s="776"/>
      <c r="BV14" s="776"/>
      <c r="BW14" s="851">
        <f t="shared" si="5"/>
        <v>0</v>
      </c>
      <c r="BX14" s="156">
        <f t="shared" si="21"/>
        <v>0</v>
      </c>
      <c r="BY14" s="156">
        <f t="shared" si="22"/>
        <v>0</v>
      </c>
      <c r="BZ14" s="156">
        <f t="shared" si="6"/>
        <v>1</v>
      </c>
      <c r="CA14" s="658">
        <f>LOOKUP(BZ14,参数表!$A$13:$B$19)</f>
        <v>0</v>
      </c>
      <c r="CB14" s="156">
        <f t="shared" si="23"/>
        <v>0</v>
      </c>
      <c r="CC14" s="156">
        <f t="shared" si="24"/>
        <v>0</v>
      </c>
      <c r="CD14" s="156">
        <f t="shared" si="7"/>
        <v>125.582477754962</v>
      </c>
      <c r="CE14" s="223"/>
      <c r="CF14" s="746">
        <f t="shared" si="25"/>
        <v>0</v>
      </c>
      <c r="CG14" s="746">
        <f t="shared" si="26"/>
        <v>0</v>
      </c>
      <c r="CH14" s="746">
        <f t="shared" si="8"/>
        <v>0</v>
      </c>
      <c r="CJ14" s="134" t="str">
        <f>IF(COUNTIF(CJ$7:CJ13,F14)&gt;0,"",F14)&amp;""</f>
        <v/>
      </c>
      <c r="CK14" s="138">
        <f t="shared" si="27"/>
        <v>0</v>
      </c>
      <c r="CL14" s="132">
        <f t="shared" si="28"/>
        <v>1</v>
      </c>
      <c r="CM14" s="138">
        <f t="shared" si="29"/>
        <v>0</v>
      </c>
      <c r="CN14" s="132">
        <f t="shared" si="30"/>
        <v>1</v>
      </c>
      <c r="CO14" s="132">
        <v>5</v>
      </c>
      <c r="CP14" s="134" t="str">
        <f t="shared" si="31"/>
        <v/>
      </c>
      <c r="CQ14" s="146"/>
    </row>
    <row r="15" ht="15" customHeight="1" spans="1:95">
      <c r="A15" s="123" t="str">
        <f>IF(F15="","",COUNT(A$7:A14)+1)</f>
        <v/>
      </c>
      <c r="B15" s="141"/>
      <c r="C15" s="139"/>
      <c r="D15" s="139"/>
      <c r="E15" s="141"/>
      <c r="F15" s="139"/>
      <c r="G15" s="535"/>
      <c r="H15" s="535"/>
      <c r="I15" s="141"/>
      <c r="J15" s="914"/>
      <c r="K15" s="914"/>
      <c r="L15" s="914"/>
      <c r="M15" s="914"/>
      <c r="N15" s="914"/>
      <c r="O15" s="914"/>
      <c r="P15" s="914"/>
      <c r="Q15" s="914"/>
      <c r="R15" s="535"/>
      <c r="S15" s="915"/>
      <c r="T15" s="141"/>
      <c r="U15" s="536"/>
      <c r="V15" s="140"/>
      <c r="W15" s="140"/>
      <c r="X15" s="143"/>
      <c r="Y15" s="129" t="str">
        <f t="shared" si="10"/>
        <v/>
      </c>
      <c r="Z15" s="142"/>
      <c r="AA15" s="127" t="str">
        <f>IFERROR(VLOOKUP(Z15,参数表!$H$2:$I$50,2,FALSE),"")</f>
        <v/>
      </c>
      <c r="AB15" s="128" t="str">
        <f t="shared" si="11"/>
        <v/>
      </c>
      <c r="AC15" s="128" t="str">
        <f t="shared" si="12"/>
        <v/>
      </c>
      <c r="AD15" s="129" t="str">
        <f t="shared" si="13"/>
        <v/>
      </c>
      <c r="AE15" s="143"/>
      <c r="AF15" s="143"/>
      <c r="AG15" s="143"/>
      <c r="AH15" s="144"/>
      <c r="AI15" s="144"/>
      <c r="AJ15" s="144"/>
      <c r="AK15" s="129" t="str">
        <f t="shared" si="14"/>
        <v/>
      </c>
      <c r="AL15" s="129" t="str">
        <f t="shared" si="15"/>
        <v/>
      </c>
      <c r="AM15" s="129" t="str">
        <f t="shared" si="16"/>
        <v/>
      </c>
      <c r="AN15" s="129" t="str">
        <f t="shared" si="0"/>
        <v/>
      </c>
      <c r="AO15" s="521" t="str">
        <f t="shared" si="1"/>
        <v/>
      </c>
      <c r="AP15" s="129" t="str">
        <f t="shared" si="17"/>
        <v/>
      </c>
      <c r="AQ15" s="129" t="str">
        <f t="shared" si="18"/>
        <v/>
      </c>
      <c r="AR15" s="129" t="str">
        <f t="shared" si="19"/>
        <v/>
      </c>
      <c r="AS15" s="139"/>
      <c r="AT15" s="913"/>
      <c r="BA15" s="78"/>
      <c r="BB15" s="132" t="s">
        <v>3865</v>
      </c>
      <c r="BC15" s="133"/>
      <c r="BD15" s="132" t="str">
        <f>IF(OR(F15="",BC15=""),"",COUNTIF(BC$8:BC15,"√"))</f>
        <v/>
      </c>
      <c r="BE15" s="134" t="str">
        <f t="shared" si="2"/>
        <v/>
      </c>
      <c r="BF15" s="135" t="str">
        <f t="shared" si="20"/>
        <v/>
      </c>
      <c r="BG15" s="135" t="str">
        <f t="shared" si="20"/>
        <v/>
      </c>
      <c r="BH15" s="136"/>
      <c r="BI15" s="136"/>
      <c r="BJ15" s="136"/>
      <c r="BK15" s="136"/>
      <c r="BL15" s="136"/>
      <c r="BM15" s="137"/>
      <c r="BN15" s="136"/>
      <c r="BO15" s="137"/>
      <c r="BP15" s="165" t="s">
        <v>2706</v>
      </c>
      <c r="BQ15" s="223"/>
      <c r="BR15" s="156">
        <f t="shared" si="3"/>
        <v>0</v>
      </c>
      <c r="BS15" s="156">
        <f t="shared" si="4"/>
        <v>0</v>
      </c>
      <c r="BT15" s="776"/>
      <c r="BU15" s="776"/>
      <c r="BV15" s="776"/>
      <c r="BW15" s="851">
        <f t="shared" si="5"/>
        <v>0</v>
      </c>
      <c r="BX15" s="156">
        <f t="shared" si="21"/>
        <v>0</v>
      </c>
      <c r="BY15" s="156">
        <f t="shared" si="22"/>
        <v>0</v>
      </c>
      <c r="BZ15" s="156">
        <f t="shared" si="6"/>
        <v>1</v>
      </c>
      <c r="CA15" s="658">
        <f>LOOKUP(BZ15,参数表!$A$13:$B$19)</f>
        <v>0</v>
      </c>
      <c r="CB15" s="156">
        <f t="shared" si="23"/>
        <v>0</v>
      </c>
      <c r="CC15" s="156">
        <f t="shared" si="24"/>
        <v>0</v>
      </c>
      <c r="CD15" s="156">
        <f t="shared" si="7"/>
        <v>125.582477754962</v>
      </c>
      <c r="CE15" s="223"/>
      <c r="CF15" s="746">
        <f t="shared" si="25"/>
        <v>0</v>
      </c>
      <c r="CG15" s="746">
        <f t="shared" si="26"/>
        <v>0</v>
      </c>
      <c r="CH15" s="746">
        <f t="shared" si="8"/>
        <v>0</v>
      </c>
      <c r="CJ15" s="134" t="str">
        <f>IF(COUNTIF(CJ$7:CJ14,F15)&gt;0,"",F15)&amp;""</f>
        <v/>
      </c>
      <c r="CK15" s="138">
        <f t="shared" si="27"/>
        <v>0</v>
      </c>
      <c r="CL15" s="132">
        <f t="shared" si="28"/>
        <v>1</v>
      </c>
      <c r="CM15" s="138">
        <f t="shared" si="29"/>
        <v>0</v>
      </c>
      <c r="CN15" s="132">
        <f t="shared" si="30"/>
        <v>1</v>
      </c>
      <c r="CO15" s="147" t="s">
        <v>1659</v>
      </c>
      <c r="CP15" s="132" t="str">
        <f>CONCATENATE(CP10,CQ10,CP11,CQ11,CP12,CQ12,CP13,CQ13,CP14)</f>
        <v/>
      </c>
      <c r="CQ15" s="132"/>
    </row>
    <row r="16" ht="15" customHeight="1" spans="1:95">
      <c r="A16" s="123" t="str">
        <f>IF(F16="","",COUNT(A$7:A15)+1)</f>
        <v/>
      </c>
      <c r="B16" s="141"/>
      <c r="C16" s="139"/>
      <c r="D16" s="139"/>
      <c r="E16" s="141"/>
      <c r="F16" s="139"/>
      <c r="G16" s="535"/>
      <c r="H16" s="535"/>
      <c r="I16" s="141"/>
      <c r="J16" s="914"/>
      <c r="K16" s="914"/>
      <c r="L16" s="914"/>
      <c r="M16" s="914"/>
      <c r="N16" s="914"/>
      <c r="O16" s="914"/>
      <c r="P16" s="914"/>
      <c r="Q16" s="914"/>
      <c r="R16" s="535"/>
      <c r="S16" s="915"/>
      <c r="T16" s="141"/>
      <c r="U16" s="536"/>
      <c r="V16" s="140"/>
      <c r="W16" s="140"/>
      <c r="X16" s="143"/>
      <c r="Y16" s="129" t="str">
        <f t="shared" si="10"/>
        <v/>
      </c>
      <c r="Z16" s="142"/>
      <c r="AA16" s="127" t="str">
        <f>IFERROR(VLOOKUP(Z16,参数表!$H$2:$I$50,2,FALSE),"")</f>
        <v/>
      </c>
      <c r="AB16" s="128" t="str">
        <f t="shared" si="11"/>
        <v/>
      </c>
      <c r="AC16" s="128" t="str">
        <f t="shared" si="12"/>
        <v/>
      </c>
      <c r="AD16" s="129" t="str">
        <f t="shared" si="13"/>
        <v/>
      </c>
      <c r="AE16" s="143"/>
      <c r="AF16" s="143"/>
      <c r="AG16" s="143"/>
      <c r="AH16" s="144"/>
      <c r="AI16" s="144"/>
      <c r="AJ16" s="144"/>
      <c r="AK16" s="129" t="str">
        <f t="shared" si="14"/>
        <v/>
      </c>
      <c r="AL16" s="129" t="str">
        <f t="shared" si="15"/>
        <v/>
      </c>
      <c r="AM16" s="129" t="str">
        <f t="shared" si="16"/>
        <v/>
      </c>
      <c r="AN16" s="129" t="str">
        <f t="shared" si="0"/>
        <v/>
      </c>
      <c r="AO16" s="521" t="str">
        <f t="shared" si="1"/>
        <v/>
      </c>
      <c r="AP16" s="129" t="str">
        <f t="shared" si="17"/>
        <v/>
      </c>
      <c r="AQ16" s="129" t="str">
        <f t="shared" si="18"/>
        <v/>
      </c>
      <c r="AR16" s="129" t="str">
        <f t="shared" si="19"/>
        <v/>
      </c>
      <c r="AS16" s="139"/>
      <c r="AT16" s="913"/>
      <c r="BA16" s="78"/>
      <c r="BB16" s="132" t="s">
        <v>3866</v>
      </c>
      <c r="BC16" s="133"/>
      <c r="BD16" s="132" t="str">
        <f>IF(OR(F16="",BC16=""),"",COUNTIF(BC$8:BC16,"√"))</f>
        <v/>
      </c>
      <c r="BE16" s="134" t="str">
        <f t="shared" si="2"/>
        <v/>
      </c>
      <c r="BF16" s="135" t="str">
        <f t="shared" si="20"/>
        <v/>
      </c>
      <c r="BG16" s="135" t="str">
        <f t="shared" si="20"/>
        <v/>
      </c>
      <c r="BH16" s="136"/>
      <c r="BI16" s="136"/>
      <c r="BJ16" s="136"/>
      <c r="BK16" s="136"/>
      <c r="BL16" s="136"/>
      <c r="BM16" s="137"/>
      <c r="BN16" s="136"/>
      <c r="BO16" s="137"/>
      <c r="BP16" s="165" t="s">
        <v>2706</v>
      </c>
      <c r="BQ16" s="223"/>
      <c r="BR16" s="156">
        <f t="shared" si="3"/>
        <v>0</v>
      </c>
      <c r="BS16" s="156">
        <f t="shared" si="4"/>
        <v>0</v>
      </c>
      <c r="BT16" s="776"/>
      <c r="BU16" s="776"/>
      <c r="BV16" s="776"/>
      <c r="BW16" s="851">
        <f t="shared" si="5"/>
        <v>0</v>
      </c>
      <c r="BX16" s="156">
        <f t="shared" si="21"/>
        <v>0</v>
      </c>
      <c r="BY16" s="156">
        <f t="shared" si="22"/>
        <v>0</v>
      </c>
      <c r="BZ16" s="156">
        <f t="shared" si="6"/>
        <v>1</v>
      </c>
      <c r="CA16" s="658">
        <f>LOOKUP(BZ16,参数表!$A$13:$B$19)</f>
        <v>0</v>
      </c>
      <c r="CB16" s="156">
        <f t="shared" si="23"/>
        <v>0</v>
      </c>
      <c r="CC16" s="156">
        <f t="shared" si="24"/>
        <v>0</v>
      </c>
      <c r="CD16" s="156">
        <f t="shared" si="7"/>
        <v>125.582477754962</v>
      </c>
      <c r="CE16" s="223"/>
      <c r="CF16" s="746">
        <f t="shared" si="25"/>
        <v>0</v>
      </c>
      <c r="CG16" s="746">
        <f t="shared" si="26"/>
        <v>0</v>
      </c>
      <c r="CH16" s="746">
        <f t="shared" si="8"/>
        <v>0</v>
      </c>
      <c r="CJ16" s="134" t="str">
        <f>IF(COUNTIF(CJ$7:CJ15,F16)&gt;0,"",F16)&amp;""</f>
        <v/>
      </c>
      <c r="CK16" s="138">
        <f t="shared" si="27"/>
        <v>0</v>
      </c>
      <c r="CL16" s="132">
        <f t="shared" si="28"/>
        <v>1</v>
      </c>
      <c r="CM16" s="138">
        <f t="shared" si="29"/>
        <v>0</v>
      </c>
      <c r="CN16" s="132">
        <f t="shared" si="30"/>
        <v>1</v>
      </c>
      <c r="CO16" s="133"/>
      <c r="CP16" s="133"/>
    </row>
    <row r="17" ht="15" customHeight="1" spans="1:95">
      <c r="A17" s="123" t="str">
        <f>IF(F17="","",COUNT(A$7:A16)+1)</f>
        <v/>
      </c>
      <c r="B17" s="141"/>
      <c r="C17" s="139"/>
      <c r="D17" s="139"/>
      <c r="E17" s="141"/>
      <c r="F17" s="139"/>
      <c r="G17" s="535"/>
      <c r="H17" s="535"/>
      <c r="I17" s="141"/>
      <c r="J17" s="914"/>
      <c r="K17" s="914"/>
      <c r="L17" s="914"/>
      <c r="M17" s="914"/>
      <c r="N17" s="914"/>
      <c r="O17" s="914"/>
      <c r="P17" s="914"/>
      <c r="Q17" s="914"/>
      <c r="R17" s="535"/>
      <c r="S17" s="915"/>
      <c r="T17" s="141"/>
      <c r="U17" s="536"/>
      <c r="V17" s="140"/>
      <c r="W17" s="140"/>
      <c r="X17" s="143"/>
      <c r="Y17" s="129" t="str">
        <f t="shared" si="10"/>
        <v/>
      </c>
      <c r="Z17" s="142"/>
      <c r="AA17" s="127" t="str">
        <f>IFERROR(VLOOKUP(Z17,参数表!$H$2:$I$50,2,FALSE),"")</f>
        <v/>
      </c>
      <c r="AB17" s="128" t="str">
        <f t="shared" si="11"/>
        <v/>
      </c>
      <c r="AC17" s="128" t="str">
        <f t="shared" si="12"/>
        <v/>
      </c>
      <c r="AD17" s="129" t="str">
        <f t="shared" si="13"/>
        <v/>
      </c>
      <c r="AE17" s="143"/>
      <c r="AF17" s="143"/>
      <c r="AG17" s="143"/>
      <c r="AH17" s="144"/>
      <c r="AI17" s="144"/>
      <c r="AJ17" s="144"/>
      <c r="AK17" s="129" t="str">
        <f t="shared" si="14"/>
        <v/>
      </c>
      <c r="AL17" s="129" t="str">
        <f t="shared" si="15"/>
        <v/>
      </c>
      <c r="AM17" s="129" t="str">
        <f t="shared" si="16"/>
        <v/>
      </c>
      <c r="AN17" s="129" t="str">
        <f t="shared" si="0"/>
        <v/>
      </c>
      <c r="AO17" s="521" t="str">
        <f t="shared" si="1"/>
        <v/>
      </c>
      <c r="AP17" s="129" t="str">
        <f t="shared" si="17"/>
        <v/>
      </c>
      <c r="AQ17" s="129" t="str">
        <f t="shared" si="18"/>
        <v/>
      </c>
      <c r="AR17" s="129" t="str">
        <f t="shared" si="19"/>
        <v/>
      </c>
      <c r="AS17" s="139"/>
      <c r="AT17" s="913"/>
      <c r="BA17" s="78"/>
      <c r="BB17" s="132" t="s">
        <v>3867</v>
      </c>
      <c r="BC17" s="133"/>
      <c r="BD17" s="132" t="str">
        <f>IF(OR(F17="",BC17=""),"",COUNTIF(BC$8:BC17,"√"))</f>
        <v/>
      </c>
      <c r="BE17" s="134" t="str">
        <f t="shared" si="2"/>
        <v/>
      </c>
      <c r="BF17" s="135" t="str">
        <f t="shared" si="20"/>
        <v/>
      </c>
      <c r="BG17" s="135" t="str">
        <f t="shared" si="20"/>
        <v/>
      </c>
      <c r="BH17" s="136"/>
      <c r="BI17" s="136"/>
      <c r="BJ17" s="136"/>
      <c r="BK17" s="136"/>
      <c r="BL17" s="136"/>
      <c r="BM17" s="137"/>
      <c r="BN17" s="136"/>
      <c r="BO17" s="137"/>
      <c r="BP17" s="165" t="s">
        <v>2706</v>
      </c>
      <c r="BQ17" s="223"/>
      <c r="BR17" s="156">
        <f t="shared" si="3"/>
        <v>0</v>
      </c>
      <c r="BS17" s="156">
        <f t="shared" si="4"/>
        <v>0</v>
      </c>
      <c r="BT17" s="776"/>
      <c r="BU17" s="776"/>
      <c r="BV17" s="776"/>
      <c r="BW17" s="851">
        <f t="shared" si="5"/>
        <v>0</v>
      </c>
      <c r="BX17" s="156">
        <f t="shared" si="21"/>
        <v>0</v>
      </c>
      <c r="BY17" s="156">
        <f t="shared" si="22"/>
        <v>0</v>
      </c>
      <c r="BZ17" s="156">
        <f t="shared" si="6"/>
        <v>1</v>
      </c>
      <c r="CA17" s="658">
        <f>LOOKUP(BZ17,参数表!$A$13:$B$19)</f>
        <v>0</v>
      </c>
      <c r="CB17" s="156">
        <f t="shared" si="23"/>
        <v>0</v>
      </c>
      <c r="CC17" s="156">
        <f t="shared" si="24"/>
        <v>0</v>
      </c>
      <c r="CD17" s="156">
        <f t="shared" si="7"/>
        <v>125.582477754962</v>
      </c>
      <c r="CE17" s="223"/>
      <c r="CF17" s="746">
        <f t="shared" si="25"/>
        <v>0</v>
      </c>
      <c r="CG17" s="746">
        <f t="shared" si="26"/>
        <v>0</v>
      </c>
      <c r="CH17" s="746">
        <f t="shared" si="8"/>
        <v>0</v>
      </c>
      <c r="CJ17" s="134" t="str">
        <f>IF(COUNTIF(CJ$7:CJ16,F17)&gt;0,"",F17)&amp;""</f>
        <v/>
      </c>
      <c r="CK17" s="138">
        <f t="shared" si="27"/>
        <v>0</v>
      </c>
      <c r="CL17" s="132">
        <f t="shared" si="28"/>
        <v>1</v>
      </c>
      <c r="CM17" s="138">
        <f t="shared" si="29"/>
        <v>0</v>
      </c>
      <c r="CN17" s="132">
        <f t="shared" si="30"/>
        <v>1</v>
      </c>
      <c r="CO17" s="133"/>
      <c r="CP17" s="148"/>
    </row>
    <row r="18" ht="15" customHeight="1" spans="1:95">
      <c r="A18" s="123" t="str">
        <f>IF(F18="","",COUNT(A$7:A17)+1)</f>
        <v/>
      </c>
      <c r="B18" s="141"/>
      <c r="C18" s="139"/>
      <c r="D18" s="139"/>
      <c r="E18" s="141"/>
      <c r="F18" s="139"/>
      <c r="G18" s="535"/>
      <c r="H18" s="535"/>
      <c r="I18" s="141"/>
      <c r="J18" s="914"/>
      <c r="K18" s="914"/>
      <c r="L18" s="914"/>
      <c r="M18" s="914"/>
      <c r="N18" s="914"/>
      <c r="O18" s="914"/>
      <c r="P18" s="914"/>
      <c r="Q18" s="914"/>
      <c r="R18" s="535"/>
      <c r="S18" s="915"/>
      <c r="T18" s="141"/>
      <c r="U18" s="536"/>
      <c r="V18" s="140"/>
      <c r="W18" s="140"/>
      <c r="X18" s="143"/>
      <c r="Y18" s="129" t="str">
        <f t="shared" si="10"/>
        <v/>
      </c>
      <c r="Z18" s="142"/>
      <c r="AA18" s="127" t="str">
        <f>IFERROR(VLOOKUP(Z18,参数表!$H$2:$I$50,2,FALSE),"")</f>
        <v/>
      </c>
      <c r="AB18" s="128" t="str">
        <f t="shared" si="11"/>
        <v/>
      </c>
      <c r="AC18" s="128" t="str">
        <f t="shared" si="12"/>
        <v/>
      </c>
      <c r="AD18" s="129" t="str">
        <f t="shared" si="13"/>
        <v/>
      </c>
      <c r="AE18" s="143"/>
      <c r="AF18" s="143"/>
      <c r="AG18" s="143"/>
      <c r="AH18" s="144"/>
      <c r="AI18" s="144"/>
      <c r="AJ18" s="144"/>
      <c r="AK18" s="129" t="str">
        <f t="shared" si="14"/>
        <v/>
      </c>
      <c r="AL18" s="129" t="str">
        <f t="shared" si="15"/>
        <v/>
      </c>
      <c r="AM18" s="129" t="str">
        <f t="shared" si="16"/>
        <v/>
      </c>
      <c r="AN18" s="129" t="str">
        <f t="shared" si="0"/>
        <v/>
      </c>
      <c r="AO18" s="521" t="str">
        <f t="shared" si="1"/>
        <v/>
      </c>
      <c r="AP18" s="129" t="str">
        <f t="shared" si="17"/>
        <v/>
      </c>
      <c r="AQ18" s="129" t="str">
        <f t="shared" si="18"/>
        <v/>
      </c>
      <c r="AR18" s="129" t="str">
        <f t="shared" si="19"/>
        <v/>
      </c>
      <c r="AS18" s="139"/>
      <c r="AT18" s="913"/>
      <c r="BA18" s="78"/>
      <c r="BB18" s="132" t="s">
        <v>3868</v>
      </c>
      <c r="BC18" s="133"/>
      <c r="BD18" s="132" t="str">
        <f>IF(OR(F18="",BC18=""),"",COUNTIF(BC$8:BC18,"√"))</f>
        <v/>
      </c>
      <c r="BE18" s="134" t="str">
        <f t="shared" si="2"/>
        <v/>
      </c>
      <c r="BF18" s="135" t="str">
        <f t="shared" si="20"/>
        <v/>
      </c>
      <c r="BG18" s="135" t="str">
        <f t="shared" si="20"/>
        <v/>
      </c>
      <c r="BH18" s="136"/>
      <c r="BI18" s="136"/>
      <c r="BJ18" s="136"/>
      <c r="BK18" s="136"/>
      <c r="BL18" s="136"/>
      <c r="BM18" s="137"/>
      <c r="BN18" s="136"/>
      <c r="BO18" s="137"/>
      <c r="BP18" s="165" t="s">
        <v>2706</v>
      </c>
      <c r="BQ18" s="223"/>
      <c r="BR18" s="156">
        <f t="shared" si="3"/>
        <v>0</v>
      </c>
      <c r="BS18" s="156">
        <f t="shared" si="4"/>
        <v>0</v>
      </c>
      <c r="BT18" s="776"/>
      <c r="BU18" s="776"/>
      <c r="BV18" s="776"/>
      <c r="BW18" s="851">
        <f t="shared" si="5"/>
        <v>0</v>
      </c>
      <c r="BX18" s="156">
        <f t="shared" si="21"/>
        <v>0</v>
      </c>
      <c r="BY18" s="156">
        <f t="shared" si="22"/>
        <v>0</v>
      </c>
      <c r="BZ18" s="156">
        <f t="shared" si="6"/>
        <v>1</v>
      </c>
      <c r="CA18" s="658">
        <f>LOOKUP(BZ18,参数表!$A$13:$B$19)</f>
        <v>0</v>
      </c>
      <c r="CB18" s="156">
        <f t="shared" si="23"/>
        <v>0</v>
      </c>
      <c r="CC18" s="156">
        <f t="shared" si="24"/>
        <v>0</v>
      </c>
      <c r="CD18" s="156">
        <f t="shared" si="7"/>
        <v>125.582477754962</v>
      </c>
      <c r="CE18" s="223"/>
      <c r="CF18" s="746">
        <f t="shared" si="25"/>
        <v>0</v>
      </c>
      <c r="CG18" s="746">
        <f t="shared" si="26"/>
        <v>0</v>
      </c>
      <c r="CH18" s="746">
        <f t="shared" si="8"/>
        <v>0</v>
      </c>
      <c r="CJ18" s="134" t="str">
        <f>IF(COUNTIF(CJ$7:CJ17,F18)&gt;0,"",F18)&amp;""</f>
        <v/>
      </c>
      <c r="CK18" s="138">
        <f t="shared" si="27"/>
        <v>0</v>
      </c>
      <c r="CL18" s="132">
        <f t="shared" si="28"/>
        <v>1</v>
      </c>
      <c r="CM18" s="138">
        <f t="shared" si="29"/>
        <v>0</v>
      </c>
      <c r="CN18" s="132">
        <f t="shared" si="30"/>
        <v>1</v>
      </c>
      <c r="CO18" s="133"/>
      <c r="CP18" s="133"/>
    </row>
    <row r="19" ht="15" customHeight="1" spans="1:95">
      <c r="A19" s="123" t="str">
        <f>IF(F19="","",COUNT(A$7:A18)+1)</f>
        <v/>
      </c>
      <c r="B19" s="141"/>
      <c r="C19" s="139"/>
      <c r="D19" s="139"/>
      <c r="E19" s="141"/>
      <c r="F19" s="139"/>
      <c r="G19" s="535"/>
      <c r="H19" s="535"/>
      <c r="I19" s="141"/>
      <c r="J19" s="914"/>
      <c r="K19" s="914"/>
      <c r="L19" s="914"/>
      <c r="M19" s="914"/>
      <c r="N19" s="914"/>
      <c r="O19" s="914"/>
      <c r="P19" s="914"/>
      <c r="Q19" s="914"/>
      <c r="R19" s="535"/>
      <c r="S19" s="915"/>
      <c r="T19" s="141"/>
      <c r="U19" s="536"/>
      <c r="V19" s="140"/>
      <c r="W19" s="140"/>
      <c r="X19" s="143"/>
      <c r="Y19" s="129" t="str">
        <f t="shared" si="10"/>
        <v/>
      </c>
      <c r="Z19" s="142"/>
      <c r="AA19" s="127" t="str">
        <f>IFERROR(VLOOKUP(Z19,参数表!$H$2:$I$50,2,FALSE),"")</f>
        <v/>
      </c>
      <c r="AB19" s="128" t="str">
        <f t="shared" si="11"/>
        <v/>
      </c>
      <c r="AC19" s="128" t="str">
        <f t="shared" si="12"/>
        <v/>
      </c>
      <c r="AD19" s="129" t="str">
        <f t="shared" si="13"/>
        <v/>
      </c>
      <c r="AE19" s="143"/>
      <c r="AF19" s="143"/>
      <c r="AG19" s="143"/>
      <c r="AH19" s="144"/>
      <c r="AI19" s="144"/>
      <c r="AJ19" s="144"/>
      <c r="AK19" s="129" t="str">
        <f t="shared" si="14"/>
        <v/>
      </c>
      <c r="AL19" s="129" t="str">
        <f t="shared" si="15"/>
        <v/>
      </c>
      <c r="AM19" s="129" t="str">
        <f t="shared" si="16"/>
        <v/>
      </c>
      <c r="AN19" s="129" t="str">
        <f t="shared" si="0"/>
        <v/>
      </c>
      <c r="AO19" s="521" t="str">
        <f t="shared" si="1"/>
        <v/>
      </c>
      <c r="AP19" s="129" t="str">
        <f t="shared" si="17"/>
        <v/>
      </c>
      <c r="AQ19" s="129" t="str">
        <f t="shared" si="18"/>
        <v/>
      </c>
      <c r="AR19" s="129" t="str">
        <f t="shared" si="19"/>
        <v/>
      </c>
      <c r="AS19" s="139"/>
      <c r="AT19" s="913"/>
      <c r="BA19" s="78"/>
      <c r="BB19" s="132" t="s">
        <v>3869</v>
      </c>
      <c r="BC19" s="133"/>
      <c r="BD19" s="132" t="str">
        <f>IF(OR(F19="",BC19=""),"",COUNTIF(BC$8:BC19,"√"))</f>
        <v/>
      </c>
      <c r="BE19" s="134" t="str">
        <f t="shared" si="2"/>
        <v/>
      </c>
      <c r="BF19" s="135" t="str">
        <f t="shared" si="20"/>
        <v/>
      </c>
      <c r="BG19" s="135" t="str">
        <f t="shared" si="20"/>
        <v/>
      </c>
      <c r="BH19" s="136"/>
      <c r="BI19" s="136"/>
      <c r="BJ19" s="136"/>
      <c r="BK19" s="136"/>
      <c r="BL19" s="136"/>
      <c r="BM19" s="137"/>
      <c r="BN19" s="136"/>
      <c r="BO19" s="137"/>
      <c r="BP19" s="165" t="s">
        <v>2706</v>
      </c>
      <c r="BQ19" s="223"/>
      <c r="BR19" s="156">
        <f t="shared" si="3"/>
        <v>0</v>
      </c>
      <c r="BS19" s="156">
        <f t="shared" si="4"/>
        <v>0</v>
      </c>
      <c r="BT19" s="776"/>
      <c r="BU19" s="776"/>
      <c r="BV19" s="776"/>
      <c r="BW19" s="851">
        <f t="shared" si="5"/>
        <v>0</v>
      </c>
      <c r="BX19" s="156">
        <f t="shared" si="21"/>
        <v>0</v>
      </c>
      <c r="BY19" s="156">
        <f t="shared" si="22"/>
        <v>0</v>
      </c>
      <c r="BZ19" s="156">
        <f t="shared" si="6"/>
        <v>1</v>
      </c>
      <c r="CA19" s="658">
        <f>LOOKUP(BZ19,参数表!$A$13:$B$19)</f>
        <v>0</v>
      </c>
      <c r="CB19" s="156">
        <f t="shared" si="23"/>
        <v>0</v>
      </c>
      <c r="CC19" s="156">
        <f t="shared" si="24"/>
        <v>0</v>
      </c>
      <c r="CD19" s="156">
        <f t="shared" si="7"/>
        <v>125.582477754962</v>
      </c>
      <c r="CE19" s="223"/>
      <c r="CF19" s="746">
        <f t="shared" si="25"/>
        <v>0</v>
      </c>
      <c r="CG19" s="746">
        <f t="shared" si="26"/>
        <v>0</v>
      </c>
      <c r="CH19" s="746">
        <f t="shared" si="8"/>
        <v>0</v>
      </c>
      <c r="CJ19" s="134" t="str">
        <f>IF(COUNTIF(CJ$7:CJ18,F19)&gt;0,"",F19)&amp;""</f>
        <v/>
      </c>
      <c r="CK19" s="138">
        <f t="shared" si="27"/>
        <v>0</v>
      </c>
      <c r="CL19" s="132">
        <f t="shared" si="28"/>
        <v>1</v>
      </c>
      <c r="CM19" s="138">
        <f t="shared" si="29"/>
        <v>0</v>
      </c>
      <c r="CN19" s="132">
        <f t="shared" si="30"/>
        <v>1</v>
      </c>
      <c r="CO19" s="133"/>
      <c r="CP19" s="133"/>
    </row>
    <row r="20" ht="15" customHeight="1" spans="1:95">
      <c r="A20" s="123" t="str">
        <f>IF(F20="","",COUNT(A$7:A19)+1)</f>
        <v/>
      </c>
      <c r="B20" s="141"/>
      <c r="C20" s="139"/>
      <c r="D20" s="139"/>
      <c r="E20" s="141"/>
      <c r="F20" s="139"/>
      <c r="G20" s="535"/>
      <c r="H20" s="535"/>
      <c r="I20" s="141"/>
      <c r="J20" s="914"/>
      <c r="K20" s="914"/>
      <c r="L20" s="914"/>
      <c r="M20" s="914"/>
      <c r="N20" s="914"/>
      <c r="O20" s="914"/>
      <c r="P20" s="914"/>
      <c r="Q20" s="914"/>
      <c r="R20" s="535"/>
      <c r="S20" s="915"/>
      <c r="T20" s="141"/>
      <c r="U20" s="536"/>
      <c r="V20" s="140"/>
      <c r="W20" s="140"/>
      <c r="X20" s="143"/>
      <c r="Y20" s="129" t="str">
        <f t="shared" si="10"/>
        <v/>
      </c>
      <c r="Z20" s="142"/>
      <c r="AA20" s="127" t="str">
        <f>IFERROR(VLOOKUP(Z20,参数表!$H$2:$I$50,2,FALSE),"")</f>
        <v/>
      </c>
      <c r="AB20" s="128" t="str">
        <f t="shared" si="11"/>
        <v/>
      </c>
      <c r="AC20" s="128" t="str">
        <f t="shared" si="12"/>
        <v/>
      </c>
      <c r="AD20" s="129" t="str">
        <f t="shared" si="13"/>
        <v/>
      </c>
      <c r="AE20" s="143"/>
      <c r="AF20" s="143"/>
      <c r="AG20" s="143"/>
      <c r="AH20" s="144"/>
      <c r="AI20" s="144"/>
      <c r="AJ20" s="144"/>
      <c r="AK20" s="129" t="str">
        <f t="shared" si="14"/>
        <v/>
      </c>
      <c r="AL20" s="129" t="str">
        <f t="shared" si="15"/>
        <v/>
      </c>
      <c r="AM20" s="129" t="str">
        <f t="shared" si="16"/>
        <v/>
      </c>
      <c r="AN20" s="129" t="str">
        <f t="shared" si="0"/>
        <v/>
      </c>
      <c r="AO20" s="521" t="str">
        <f t="shared" si="1"/>
        <v/>
      </c>
      <c r="AP20" s="129" t="str">
        <f t="shared" si="17"/>
        <v/>
      </c>
      <c r="AQ20" s="129" t="str">
        <f t="shared" si="18"/>
        <v/>
      </c>
      <c r="AR20" s="129" t="str">
        <f t="shared" si="19"/>
        <v/>
      </c>
      <c r="AS20" s="139"/>
      <c r="AT20" s="913"/>
      <c r="BA20" s="78"/>
      <c r="BB20" s="132" t="s">
        <v>3870</v>
      </c>
      <c r="BC20" s="133"/>
      <c r="BD20" s="132" t="str">
        <f>IF(OR(F20="",BC20=""),"",COUNTIF(BC$8:BC20,"√"))</f>
        <v/>
      </c>
      <c r="BE20" s="134" t="str">
        <f t="shared" si="2"/>
        <v/>
      </c>
      <c r="BF20" s="135" t="str">
        <f t="shared" si="20"/>
        <v/>
      </c>
      <c r="BG20" s="135" t="str">
        <f t="shared" si="20"/>
        <v/>
      </c>
      <c r="BH20" s="136"/>
      <c r="BI20" s="136"/>
      <c r="BJ20" s="136"/>
      <c r="BK20" s="136"/>
      <c r="BL20" s="136"/>
      <c r="BM20" s="137"/>
      <c r="BN20" s="136"/>
      <c r="BO20" s="137"/>
      <c r="BP20" s="165" t="s">
        <v>2706</v>
      </c>
      <c r="BQ20" s="223"/>
      <c r="BR20" s="156">
        <f t="shared" si="3"/>
        <v>0</v>
      </c>
      <c r="BS20" s="156">
        <f t="shared" si="4"/>
        <v>0</v>
      </c>
      <c r="BT20" s="776"/>
      <c r="BU20" s="776"/>
      <c r="BV20" s="776"/>
      <c r="BW20" s="851">
        <f t="shared" si="5"/>
        <v>0</v>
      </c>
      <c r="BX20" s="156">
        <f t="shared" si="21"/>
        <v>0</v>
      </c>
      <c r="BY20" s="156">
        <f t="shared" si="22"/>
        <v>0</v>
      </c>
      <c r="BZ20" s="156">
        <f t="shared" si="6"/>
        <v>1</v>
      </c>
      <c r="CA20" s="658">
        <f>LOOKUP(BZ20,参数表!$A$13:$B$19)</f>
        <v>0</v>
      </c>
      <c r="CB20" s="156">
        <f t="shared" si="23"/>
        <v>0</v>
      </c>
      <c r="CC20" s="156">
        <f t="shared" si="24"/>
        <v>0</v>
      </c>
      <c r="CD20" s="156">
        <f t="shared" si="7"/>
        <v>125.582477754962</v>
      </c>
      <c r="CE20" s="223"/>
      <c r="CF20" s="746">
        <f t="shared" si="25"/>
        <v>0</v>
      </c>
      <c r="CG20" s="746">
        <f t="shared" si="26"/>
        <v>0</v>
      </c>
      <c r="CH20" s="746">
        <f t="shared" si="8"/>
        <v>0</v>
      </c>
      <c r="CJ20" s="134" t="str">
        <f>IF(COUNTIF(CJ$7:CJ19,F20)&gt;0,"",F20)&amp;""</f>
        <v/>
      </c>
      <c r="CK20" s="138">
        <f t="shared" si="27"/>
        <v>0</v>
      </c>
      <c r="CL20" s="132">
        <f t="shared" si="28"/>
        <v>1</v>
      </c>
      <c r="CM20" s="138">
        <f t="shared" si="29"/>
        <v>0</v>
      </c>
      <c r="CN20" s="132">
        <f t="shared" si="30"/>
        <v>1</v>
      </c>
      <c r="CO20" s="133"/>
      <c r="CP20" s="133"/>
    </row>
    <row r="21" ht="15" customHeight="1" spans="1:95">
      <c r="A21" s="123" t="str">
        <f>IF(F21="","",COUNT(A$7:A20)+1)</f>
        <v/>
      </c>
      <c r="B21" s="141"/>
      <c r="C21" s="139"/>
      <c r="D21" s="139"/>
      <c r="E21" s="141"/>
      <c r="F21" s="139"/>
      <c r="G21" s="535"/>
      <c r="H21" s="535"/>
      <c r="I21" s="141"/>
      <c r="J21" s="914"/>
      <c r="K21" s="914"/>
      <c r="L21" s="914"/>
      <c r="M21" s="914"/>
      <c r="N21" s="914"/>
      <c r="O21" s="914"/>
      <c r="P21" s="914"/>
      <c r="Q21" s="914"/>
      <c r="R21" s="535"/>
      <c r="S21" s="915"/>
      <c r="T21" s="141"/>
      <c r="U21" s="536"/>
      <c r="V21" s="140"/>
      <c r="W21" s="140"/>
      <c r="X21" s="143"/>
      <c r="Y21" s="129" t="str">
        <f t="shared" si="10"/>
        <v/>
      </c>
      <c r="Z21" s="142"/>
      <c r="AA21" s="127" t="str">
        <f>IFERROR(VLOOKUP(Z21,参数表!$H$2:$I$50,2,FALSE),"")</f>
        <v/>
      </c>
      <c r="AB21" s="128" t="str">
        <f t="shared" si="11"/>
        <v/>
      </c>
      <c r="AC21" s="128" t="str">
        <f t="shared" si="12"/>
        <v/>
      </c>
      <c r="AD21" s="129" t="str">
        <f t="shared" si="13"/>
        <v/>
      </c>
      <c r="AE21" s="143"/>
      <c r="AF21" s="143"/>
      <c r="AG21" s="143"/>
      <c r="AH21" s="144"/>
      <c r="AI21" s="144"/>
      <c r="AJ21" s="144"/>
      <c r="AK21" s="129" t="str">
        <f t="shared" si="14"/>
        <v/>
      </c>
      <c r="AL21" s="129" t="str">
        <f t="shared" si="15"/>
        <v/>
      </c>
      <c r="AM21" s="129" t="str">
        <f t="shared" si="16"/>
        <v/>
      </c>
      <c r="AN21" s="129" t="str">
        <f t="shared" si="0"/>
        <v/>
      </c>
      <c r="AO21" s="521" t="str">
        <f t="shared" si="1"/>
        <v/>
      </c>
      <c r="AP21" s="129" t="str">
        <f t="shared" si="17"/>
        <v/>
      </c>
      <c r="AQ21" s="129" t="str">
        <f t="shared" si="18"/>
        <v/>
      </c>
      <c r="AR21" s="129" t="str">
        <f t="shared" si="19"/>
        <v/>
      </c>
      <c r="AS21" s="139"/>
      <c r="AT21" s="913"/>
      <c r="BA21" s="78"/>
      <c r="BB21" s="132" t="s">
        <v>3871</v>
      </c>
      <c r="BC21" s="133"/>
      <c r="BD21" s="132" t="str">
        <f>IF(OR(F21="",BC21=""),"",COUNTIF(BC$8:BC21,"√"))</f>
        <v/>
      </c>
      <c r="BE21" s="134" t="str">
        <f t="shared" si="2"/>
        <v/>
      </c>
      <c r="BF21" s="135" t="str">
        <f t="shared" si="20"/>
        <v/>
      </c>
      <c r="BG21" s="135" t="str">
        <f t="shared" si="20"/>
        <v/>
      </c>
      <c r="BH21" s="136"/>
      <c r="BI21" s="136"/>
      <c r="BJ21" s="136"/>
      <c r="BK21" s="136"/>
      <c r="BL21" s="136"/>
      <c r="BM21" s="137"/>
      <c r="BN21" s="136"/>
      <c r="BO21" s="137"/>
      <c r="BP21" s="165" t="s">
        <v>2706</v>
      </c>
      <c r="BQ21" s="223"/>
      <c r="BR21" s="156">
        <f t="shared" si="3"/>
        <v>0</v>
      </c>
      <c r="BS21" s="156">
        <f t="shared" si="4"/>
        <v>0</v>
      </c>
      <c r="BT21" s="776"/>
      <c r="BU21" s="776"/>
      <c r="BV21" s="776"/>
      <c r="BW21" s="851">
        <f t="shared" si="5"/>
        <v>0</v>
      </c>
      <c r="BX21" s="156">
        <f t="shared" si="21"/>
        <v>0</v>
      </c>
      <c r="BY21" s="156">
        <f t="shared" si="22"/>
        <v>0</v>
      </c>
      <c r="BZ21" s="156">
        <f t="shared" si="6"/>
        <v>1</v>
      </c>
      <c r="CA21" s="658">
        <f>LOOKUP(BZ21,参数表!$A$13:$B$19)</f>
        <v>0</v>
      </c>
      <c r="CB21" s="156">
        <f t="shared" si="23"/>
        <v>0</v>
      </c>
      <c r="CC21" s="156">
        <f t="shared" si="24"/>
        <v>0</v>
      </c>
      <c r="CD21" s="156">
        <f t="shared" si="7"/>
        <v>125.582477754962</v>
      </c>
      <c r="CE21" s="223"/>
      <c r="CF21" s="746">
        <f t="shared" si="25"/>
        <v>0</v>
      </c>
      <c r="CG21" s="746">
        <f t="shared" si="26"/>
        <v>0</v>
      </c>
      <c r="CH21" s="746">
        <f t="shared" si="8"/>
        <v>0</v>
      </c>
      <c r="CJ21" s="134" t="str">
        <f>IF(COUNTIF(CJ$7:CJ20,F21)&gt;0,"",F21)&amp;""</f>
        <v/>
      </c>
      <c r="CK21" s="138">
        <f t="shared" si="27"/>
        <v>0</v>
      </c>
      <c r="CL21" s="132">
        <f t="shared" si="28"/>
        <v>1</v>
      </c>
      <c r="CM21" s="138">
        <f t="shared" si="29"/>
        <v>0</v>
      </c>
      <c r="CN21" s="132">
        <f t="shared" si="30"/>
        <v>1</v>
      </c>
      <c r="CO21" s="133"/>
      <c r="CP21" s="133"/>
    </row>
    <row r="22" ht="15" customHeight="1" spans="1:95">
      <c r="A22" s="123" t="str">
        <f>IF(F22="","",COUNT(A$7:A21)+1)</f>
        <v/>
      </c>
      <c r="B22" s="141"/>
      <c r="C22" s="139"/>
      <c r="D22" s="139"/>
      <c r="E22" s="141"/>
      <c r="F22" s="139"/>
      <c r="G22" s="535"/>
      <c r="H22" s="535"/>
      <c r="I22" s="141"/>
      <c r="J22" s="914"/>
      <c r="K22" s="914"/>
      <c r="L22" s="914"/>
      <c r="M22" s="914"/>
      <c r="N22" s="914"/>
      <c r="O22" s="914"/>
      <c r="P22" s="914"/>
      <c r="Q22" s="914"/>
      <c r="R22" s="535"/>
      <c r="S22" s="915"/>
      <c r="T22" s="141"/>
      <c r="U22" s="536"/>
      <c r="V22" s="140"/>
      <c r="W22" s="140"/>
      <c r="X22" s="143"/>
      <c r="Y22" s="129" t="str">
        <f t="shared" si="10"/>
        <v/>
      </c>
      <c r="Z22" s="142"/>
      <c r="AA22" s="127" t="str">
        <f>IFERROR(VLOOKUP(Z22,参数表!$H$2:$I$50,2,FALSE),"")</f>
        <v/>
      </c>
      <c r="AB22" s="128" t="str">
        <f t="shared" si="11"/>
        <v/>
      </c>
      <c r="AC22" s="128" t="str">
        <f t="shared" si="12"/>
        <v/>
      </c>
      <c r="AD22" s="129" t="str">
        <f t="shared" si="13"/>
        <v/>
      </c>
      <c r="AE22" s="143"/>
      <c r="AF22" s="143"/>
      <c r="AG22" s="143"/>
      <c r="AH22" s="144"/>
      <c r="AI22" s="144"/>
      <c r="AJ22" s="144"/>
      <c r="AK22" s="129" t="str">
        <f t="shared" si="14"/>
        <v/>
      </c>
      <c r="AL22" s="129" t="str">
        <f t="shared" si="15"/>
        <v/>
      </c>
      <c r="AM22" s="129" t="str">
        <f t="shared" si="16"/>
        <v/>
      </c>
      <c r="AN22" s="129" t="str">
        <f t="shared" si="0"/>
        <v/>
      </c>
      <c r="AO22" s="521" t="str">
        <f t="shared" si="1"/>
        <v/>
      </c>
      <c r="AP22" s="129" t="str">
        <f t="shared" si="17"/>
        <v/>
      </c>
      <c r="AQ22" s="129" t="str">
        <f t="shared" si="18"/>
        <v/>
      </c>
      <c r="AR22" s="129" t="str">
        <f t="shared" si="19"/>
        <v/>
      </c>
      <c r="AS22" s="139"/>
      <c r="AT22" s="913"/>
      <c r="BA22" s="78"/>
      <c r="BB22" s="132" t="s">
        <v>3872</v>
      </c>
      <c r="BC22" s="133"/>
      <c r="BD22" s="132" t="str">
        <f>IF(OR(F22="",BC22=""),"",COUNTIF(BC$8:BC22,"√"))</f>
        <v/>
      </c>
      <c r="BE22" s="134" t="str">
        <f t="shared" si="2"/>
        <v/>
      </c>
      <c r="BF22" s="135" t="str">
        <f t="shared" si="20"/>
        <v/>
      </c>
      <c r="BG22" s="135" t="str">
        <f t="shared" si="20"/>
        <v/>
      </c>
      <c r="BH22" s="136"/>
      <c r="BI22" s="136"/>
      <c r="BJ22" s="136"/>
      <c r="BK22" s="136"/>
      <c r="BL22" s="136"/>
      <c r="BM22" s="137"/>
      <c r="BN22" s="136"/>
      <c r="BO22" s="137"/>
      <c r="BP22" s="165" t="s">
        <v>2706</v>
      </c>
      <c r="BQ22" s="223"/>
      <c r="BR22" s="156">
        <f t="shared" si="3"/>
        <v>0</v>
      </c>
      <c r="BS22" s="156">
        <f t="shared" si="4"/>
        <v>0</v>
      </c>
      <c r="BT22" s="776"/>
      <c r="BU22" s="776"/>
      <c r="BV22" s="776"/>
      <c r="BW22" s="851">
        <f t="shared" si="5"/>
        <v>0</v>
      </c>
      <c r="BX22" s="156">
        <f t="shared" si="21"/>
        <v>0</v>
      </c>
      <c r="BY22" s="156">
        <f t="shared" si="22"/>
        <v>0</v>
      </c>
      <c r="BZ22" s="156">
        <f t="shared" si="6"/>
        <v>1</v>
      </c>
      <c r="CA22" s="658">
        <f>LOOKUP(BZ22,参数表!$A$13:$B$19)</f>
        <v>0</v>
      </c>
      <c r="CB22" s="156">
        <f t="shared" si="23"/>
        <v>0</v>
      </c>
      <c r="CC22" s="156">
        <f t="shared" si="24"/>
        <v>0</v>
      </c>
      <c r="CD22" s="156">
        <f t="shared" si="7"/>
        <v>125.582477754962</v>
      </c>
      <c r="CE22" s="223"/>
      <c r="CF22" s="746">
        <f t="shared" si="25"/>
        <v>0</v>
      </c>
      <c r="CG22" s="746">
        <f t="shared" si="26"/>
        <v>0</v>
      </c>
      <c r="CH22" s="746">
        <f t="shared" si="8"/>
        <v>0</v>
      </c>
      <c r="CJ22" s="134" t="str">
        <f>IF(COUNTIF(CJ$7:CJ21,F22)&gt;0,"",F22)&amp;""</f>
        <v/>
      </c>
      <c r="CK22" s="138">
        <f t="shared" si="27"/>
        <v>0</v>
      </c>
      <c r="CL22" s="132">
        <f t="shared" si="28"/>
        <v>1</v>
      </c>
      <c r="CM22" s="138">
        <f t="shared" si="29"/>
        <v>0</v>
      </c>
      <c r="CN22" s="132">
        <f t="shared" si="30"/>
        <v>1</v>
      </c>
      <c r="CO22" s="133"/>
      <c r="CP22" s="133"/>
    </row>
    <row r="23" ht="15" customHeight="1" spans="1:95">
      <c r="A23" s="123" t="str">
        <f>IF(F23="","",COUNT(A$7:A22)+1)</f>
        <v/>
      </c>
      <c r="B23" s="141"/>
      <c r="C23" s="139"/>
      <c r="D23" s="139"/>
      <c r="E23" s="141"/>
      <c r="F23" s="139"/>
      <c r="G23" s="535"/>
      <c r="H23" s="535"/>
      <c r="I23" s="141"/>
      <c r="J23" s="914"/>
      <c r="K23" s="914"/>
      <c r="L23" s="914"/>
      <c r="M23" s="914"/>
      <c r="N23" s="914"/>
      <c r="O23" s="914"/>
      <c r="P23" s="914"/>
      <c r="Q23" s="914"/>
      <c r="R23" s="535"/>
      <c r="S23" s="915"/>
      <c r="T23" s="141"/>
      <c r="U23" s="536"/>
      <c r="V23" s="140"/>
      <c r="W23" s="140"/>
      <c r="X23" s="143"/>
      <c r="Y23" s="129" t="str">
        <f t="shared" si="10"/>
        <v/>
      </c>
      <c r="Z23" s="142"/>
      <c r="AA23" s="127" t="str">
        <f>IFERROR(VLOOKUP(Z23,参数表!$H$2:$I$50,2,FALSE),"")</f>
        <v/>
      </c>
      <c r="AB23" s="128" t="str">
        <f t="shared" si="11"/>
        <v/>
      </c>
      <c r="AC23" s="128" t="str">
        <f t="shared" si="12"/>
        <v/>
      </c>
      <c r="AD23" s="129" t="str">
        <f t="shared" si="13"/>
        <v/>
      </c>
      <c r="AE23" s="143"/>
      <c r="AF23" s="143"/>
      <c r="AG23" s="143"/>
      <c r="AH23" s="144"/>
      <c r="AI23" s="144"/>
      <c r="AJ23" s="144"/>
      <c r="AK23" s="129" t="str">
        <f t="shared" si="14"/>
        <v/>
      </c>
      <c r="AL23" s="129" t="str">
        <f t="shared" si="15"/>
        <v/>
      </c>
      <c r="AM23" s="129" t="str">
        <f t="shared" si="16"/>
        <v/>
      </c>
      <c r="AN23" s="129" t="str">
        <f t="shared" si="0"/>
        <v/>
      </c>
      <c r="AO23" s="521" t="str">
        <f t="shared" si="1"/>
        <v/>
      </c>
      <c r="AP23" s="129" t="str">
        <f t="shared" si="17"/>
        <v/>
      </c>
      <c r="AQ23" s="129" t="str">
        <f t="shared" si="18"/>
        <v/>
      </c>
      <c r="AR23" s="129" t="str">
        <f t="shared" si="19"/>
        <v/>
      </c>
      <c r="AS23" s="139"/>
      <c r="AT23" s="913"/>
      <c r="BA23" s="78"/>
      <c r="BB23" s="132" t="s">
        <v>3873</v>
      </c>
      <c r="BC23" s="133"/>
      <c r="BD23" s="132" t="str">
        <f>IF(OR(F23="",BC23=""),"",COUNTIF(BC$8:BC23,"√"))</f>
        <v/>
      </c>
      <c r="BE23" s="134" t="str">
        <f t="shared" si="2"/>
        <v/>
      </c>
      <c r="BF23" s="135" t="str">
        <f t="shared" si="20"/>
        <v/>
      </c>
      <c r="BG23" s="135" t="str">
        <f t="shared" si="20"/>
        <v/>
      </c>
      <c r="BH23" s="136"/>
      <c r="BI23" s="136"/>
      <c r="BJ23" s="136"/>
      <c r="BK23" s="136"/>
      <c r="BL23" s="136"/>
      <c r="BM23" s="137"/>
      <c r="BN23" s="136"/>
      <c r="BO23" s="137"/>
      <c r="BP23" s="165" t="s">
        <v>2706</v>
      </c>
      <c r="BQ23" s="223"/>
      <c r="BR23" s="156">
        <f t="shared" si="3"/>
        <v>0</v>
      </c>
      <c r="BS23" s="156">
        <f t="shared" si="4"/>
        <v>0</v>
      </c>
      <c r="BT23" s="776"/>
      <c r="BU23" s="776"/>
      <c r="BV23" s="776"/>
      <c r="BW23" s="851">
        <f t="shared" si="5"/>
        <v>0</v>
      </c>
      <c r="BX23" s="156">
        <f t="shared" si="21"/>
        <v>0</v>
      </c>
      <c r="BY23" s="156">
        <f t="shared" si="22"/>
        <v>0</v>
      </c>
      <c r="BZ23" s="156">
        <f t="shared" si="6"/>
        <v>1</v>
      </c>
      <c r="CA23" s="658">
        <f>LOOKUP(BZ23,参数表!$A$13:$B$19)</f>
        <v>0</v>
      </c>
      <c r="CB23" s="156">
        <f t="shared" si="23"/>
        <v>0</v>
      </c>
      <c r="CC23" s="156">
        <f t="shared" si="24"/>
        <v>0</v>
      </c>
      <c r="CD23" s="156">
        <f t="shared" si="7"/>
        <v>125.582477754962</v>
      </c>
      <c r="CE23" s="223"/>
      <c r="CF23" s="746">
        <f t="shared" si="25"/>
        <v>0</v>
      </c>
      <c r="CG23" s="746">
        <f t="shared" si="26"/>
        <v>0</v>
      </c>
      <c r="CH23" s="746">
        <f t="shared" si="8"/>
        <v>0</v>
      </c>
      <c r="CJ23" s="134" t="str">
        <f>IF(COUNTIF(CJ$7:CJ22,F23)&gt;0,"",F23)&amp;""</f>
        <v/>
      </c>
      <c r="CK23" s="138">
        <f t="shared" si="27"/>
        <v>0</v>
      </c>
      <c r="CL23" s="132">
        <f t="shared" si="28"/>
        <v>1</v>
      </c>
      <c r="CM23" s="138">
        <f t="shared" si="29"/>
        <v>0</v>
      </c>
      <c r="CN23" s="132">
        <f t="shared" si="30"/>
        <v>1</v>
      </c>
      <c r="CO23" s="133"/>
      <c r="CP23" s="133"/>
    </row>
    <row r="24" ht="15" customHeight="1" spans="1:95">
      <c r="A24" s="123" t="str">
        <f>IF(F24="","",COUNT(A$7:A23)+1)</f>
        <v/>
      </c>
      <c r="B24" s="141"/>
      <c r="C24" s="139"/>
      <c r="D24" s="139"/>
      <c r="E24" s="141"/>
      <c r="F24" s="139"/>
      <c r="G24" s="535"/>
      <c r="H24" s="535"/>
      <c r="I24" s="141"/>
      <c r="J24" s="914"/>
      <c r="K24" s="914"/>
      <c r="L24" s="914"/>
      <c r="M24" s="914"/>
      <c r="N24" s="914"/>
      <c r="O24" s="914"/>
      <c r="P24" s="914"/>
      <c r="Q24" s="914"/>
      <c r="R24" s="535"/>
      <c r="S24" s="915"/>
      <c r="T24" s="141"/>
      <c r="U24" s="536"/>
      <c r="V24" s="140"/>
      <c r="W24" s="140"/>
      <c r="X24" s="143"/>
      <c r="Y24" s="129" t="str">
        <f t="shared" si="10"/>
        <v/>
      </c>
      <c r="Z24" s="142"/>
      <c r="AA24" s="127" t="str">
        <f>IFERROR(VLOOKUP(Z24,参数表!$H$2:$I$50,2,FALSE),"")</f>
        <v/>
      </c>
      <c r="AB24" s="128" t="str">
        <f t="shared" si="11"/>
        <v/>
      </c>
      <c r="AC24" s="128" t="str">
        <f t="shared" si="12"/>
        <v/>
      </c>
      <c r="AD24" s="129" t="str">
        <f t="shared" si="13"/>
        <v/>
      </c>
      <c r="AE24" s="143"/>
      <c r="AF24" s="143"/>
      <c r="AG24" s="143"/>
      <c r="AH24" s="144"/>
      <c r="AI24" s="144"/>
      <c r="AJ24" s="144"/>
      <c r="AK24" s="129" t="str">
        <f t="shared" si="14"/>
        <v/>
      </c>
      <c r="AL24" s="129" t="str">
        <f t="shared" si="15"/>
        <v/>
      </c>
      <c r="AM24" s="129" t="str">
        <f t="shared" si="16"/>
        <v/>
      </c>
      <c r="AN24" s="129" t="str">
        <f t="shared" si="0"/>
        <v/>
      </c>
      <c r="AO24" s="521" t="str">
        <f t="shared" si="1"/>
        <v/>
      </c>
      <c r="AP24" s="129" t="str">
        <f t="shared" si="17"/>
        <v/>
      </c>
      <c r="AQ24" s="129" t="str">
        <f t="shared" si="18"/>
        <v/>
      </c>
      <c r="AR24" s="129" t="str">
        <f t="shared" si="19"/>
        <v/>
      </c>
      <c r="AS24" s="139"/>
      <c r="AT24" s="913"/>
      <c r="BA24" s="78"/>
      <c r="BB24" s="132" t="s">
        <v>3874</v>
      </c>
      <c r="BC24" s="133"/>
      <c r="BD24" s="132" t="str">
        <f>IF(OR(F24="",BC24=""),"",COUNTIF(BC$8:BC24,"√"))</f>
        <v/>
      </c>
      <c r="BE24" s="134" t="str">
        <f t="shared" si="2"/>
        <v/>
      </c>
      <c r="BF24" s="135" t="str">
        <f t="shared" si="20"/>
        <v/>
      </c>
      <c r="BG24" s="135" t="str">
        <f t="shared" si="20"/>
        <v/>
      </c>
      <c r="BH24" s="136"/>
      <c r="BI24" s="136"/>
      <c r="BJ24" s="136"/>
      <c r="BK24" s="136"/>
      <c r="BL24" s="136"/>
      <c r="BM24" s="137"/>
      <c r="BN24" s="136"/>
      <c r="BO24" s="137"/>
      <c r="BP24" s="165" t="s">
        <v>2706</v>
      </c>
      <c r="BQ24" s="223"/>
      <c r="BR24" s="156">
        <f t="shared" si="3"/>
        <v>0</v>
      </c>
      <c r="BS24" s="156">
        <f t="shared" si="4"/>
        <v>0</v>
      </c>
      <c r="BT24" s="776"/>
      <c r="BU24" s="776"/>
      <c r="BV24" s="776"/>
      <c r="BW24" s="851">
        <f t="shared" si="5"/>
        <v>0</v>
      </c>
      <c r="BX24" s="156">
        <f t="shared" si="21"/>
        <v>0</v>
      </c>
      <c r="BY24" s="156">
        <f t="shared" si="22"/>
        <v>0</v>
      </c>
      <c r="BZ24" s="156">
        <f t="shared" si="6"/>
        <v>1</v>
      </c>
      <c r="CA24" s="658">
        <f>LOOKUP(BZ24,参数表!$A$13:$B$19)</f>
        <v>0</v>
      </c>
      <c r="CB24" s="156">
        <f t="shared" si="23"/>
        <v>0</v>
      </c>
      <c r="CC24" s="156">
        <f t="shared" si="24"/>
        <v>0</v>
      </c>
      <c r="CD24" s="156">
        <f t="shared" si="7"/>
        <v>125.582477754962</v>
      </c>
      <c r="CE24" s="223"/>
      <c r="CF24" s="746">
        <f t="shared" si="25"/>
        <v>0</v>
      </c>
      <c r="CG24" s="746">
        <f t="shared" si="26"/>
        <v>0</v>
      </c>
      <c r="CH24" s="746">
        <f t="shared" si="8"/>
        <v>0</v>
      </c>
      <c r="CJ24" s="134" t="str">
        <f>IF(COUNTIF(CJ$7:CJ23,F24)&gt;0,"",F24)&amp;""</f>
        <v/>
      </c>
      <c r="CK24" s="138">
        <f t="shared" si="27"/>
        <v>0</v>
      </c>
      <c r="CL24" s="132">
        <f t="shared" si="28"/>
        <v>1</v>
      </c>
      <c r="CM24" s="138">
        <f t="shared" si="29"/>
        <v>0</v>
      </c>
      <c r="CN24" s="132">
        <f t="shared" si="30"/>
        <v>1</v>
      </c>
      <c r="CO24" s="133"/>
      <c r="CP24" s="133"/>
    </row>
    <row r="25" ht="15" customHeight="1" spans="1:95">
      <c r="A25" s="123" t="str">
        <f>IF(F25="","",COUNT(A$7:A24)+1)</f>
        <v/>
      </c>
      <c r="B25" s="141"/>
      <c r="C25" s="139"/>
      <c r="D25" s="139"/>
      <c r="E25" s="141"/>
      <c r="F25" s="139"/>
      <c r="G25" s="535"/>
      <c r="H25" s="535"/>
      <c r="I25" s="141"/>
      <c r="J25" s="914"/>
      <c r="K25" s="914"/>
      <c r="L25" s="914"/>
      <c r="M25" s="914"/>
      <c r="N25" s="914"/>
      <c r="O25" s="914"/>
      <c r="P25" s="914"/>
      <c r="Q25" s="914"/>
      <c r="R25" s="535"/>
      <c r="S25" s="915"/>
      <c r="T25" s="141"/>
      <c r="U25" s="536"/>
      <c r="V25" s="140"/>
      <c r="W25" s="140"/>
      <c r="X25" s="143"/>
      <c r="Y25" s="129" t="str">
        <f t="shared" si="10"/>
        <v/>
      </c>
      <c r="Z25" s="142"/>
      <c r="AA25" s="127" t="str">
        <f>IFERROR(VLOOKUP(Z25,参数表!$H$2:$I$50,2,FALSE),"")</f>
        <v/>
      </c>
      <c r="AB25" s="128" t="str">
        <f t="shared" si="11"/>
        <v/>
      </c>
      <c r="AC25" s="128" t="str">
        <f t="shared" si="12"/>
        <v/>
      </c>
      <c r="AD25" s="129" t="str">
        <f t="shared" si="13"/>
        <v/>
      </c>
      <c r="AE25" s="143"/>
      <c r="AF25" s="143"/>
      <c r="AG25" s="143"/>
      <c r="AH25" s="144"/>
      <c r="AI25" s="144"/>
      <c r="AJ25" s="144"/>
      <c r="AK25" s="129" t="str">
        <f t="shared" si="14"/>
        <v/>
      </c>
      <c r="AL25" s="129" t="str">
        <f t="shared" si="15"/>
        <v/>
      </c>
      <c r="AM25" s="129" t="str">
        <f t="shared" si="16"/>
        <v/>
      </c>
      <c r="AN25" s="129" t="str">
        <f t="shared" si="0"/>
        <v/>
      </c>
      <c r="AO25" s="521" t="str">
        <f t="shared" si="1"/>
        <v/>
      </c>
      <c r="AP25" s="129" t="str">
        <f t="shared" si="17"/>
        <v/>
      </c>
      <c r="AQ25" s="129" t="str">
        <f t="shared" si="18"/>
        <v/>
      </c>
      <c r="AR25" s="129" t="str">
        <f t="shared" si="19"/>
        <v/>
      </c>
      <c r="AS25" s="139"/>
      <c r="AT25" s="913"/>
      <c r="BA25" s="78"/>
      <c r="BB25" s="132" t="s">
        <v>3875</v>
      </c>
      <c r="BC25" s="133"/>
      <c r="BD25" s="132" t="str">
        <f>IF(OR(F25="",BC25=""),"",COUNTIF(BC$8:BC25,"√"))</f>
        <v/>
      </c>
      <c r="BE25" s="134" t="str">
        <f t="shared" si="2"/>
        <v/>
      </c>
      <c r="BF25" s="135" t="str">
        <f t="shared" si="20"/>
        <v/>
      </c>
      <c r="BG25" s="135" t="str">
        <f t="shared" si="20"/>
        <v/>
      </c>
      <c r="BH25" s="136"/>
      <c r="BI25" s="136"/>
      <c r="BJ25" s="136"/>
      <c r="BK25" s="136"/>
      <c r="BL25" s="136"/>
      <c r="BM25" s="137"/>
      <c r="BN25" s="136"/>
      <c r="BO25" s="137"/>
      <c r="BP25" s="165" t="s">
        <v>2706</v>
      </c>
      <c r="BQ25" s="223"/>
      <c r="BR25" s="156">
        <f t="shared" si="3"/>
        <v>0</v>
      </c>
      <c r="BS25" s="156">
        <f t="shared" si="4"/>
        <v>0</v>
      </c>
      <c r="BT25" s="776"/>
      <c r="BU25" s="776"/>
      <c r="BV25" s="776"/>
      <c r="BW25" s="851">
        <f t="shared" si="5"/>
        <v>0</v>
      </c>
      <c r="BX25" s="156">
        <f t="shared" si="21"/>
        <v>0</v>
      </c>
      <c r="BY25" s="156">
        <f t="shared" si="22"/>
        <v>0</v>
      </c>
      <c r="BZ25" s="156">
        <f t="shared" si="6"/>
        <v>1</v>
      </c>
      <c r="CA25" s="658">
        <f>LOOKUP(BZ25,参数表!$A$13:$B$19)</f>
        <v>0</v>
      </c>
      <c r="CB25" s="156">
        <f t="shared" si="23"/>
        <v>0</v>
      </c>
      <c r="CC25" s="156">
        <f t="shared" si="24"/>
        <v>0</v>
      </c>
      <c r="CD25" s="156">
        <f t="shared" si="7"/>
        <v>125.582477754962</v>
      </c>
      <c r="CE25" s="223"/>
      <c r="CF25" s="746">
        <f t="shared" si="25"/>
        <v>0</v>
      </c>
      <c r="CG25" s="746">
        <f t="shared" si="26"/>
        <v>0</v>
      </c>
      <c r="CH25" s="746">
        <f t="shared" si="8"/>
        <v>0</v>
      </c>
      <c r="CJ25" s="134" t="str">
        <f>IF(COUNTIF(CJ$7:CJ24,F25)&gt;0,"",F25)&amp;""</f>
        <v/>
      </c>
      <c r="CK25" s="138">
        <f t="shared" si="27"/>
        <v>0</v>
      </c>
      <c r="CL25" s="132">
        <f t="shared" si="28"/>
        <v>1</v>
      </c>
      <c r="CM25" s="138">
        <f t="shared" si="29"/>
        <v>0</v>
      </c>
      <c r="CN25" s="132">
        <f t="shared" si="30"/>
        <v>1</v>
      </c>
      <c r="CO25" s="133"/>
      <c r="CP25" s="133"/>
    </row>
    <row r="26" ht="15" customHeight="1" spans="1:95">
      <c r="A26" s="123" t="str">
        <f>IF(F26="","",COUNT(A$7:A25)+1)</f>
        <v/>
      </c>
      <c r="B26" s="141"/>
      <c r="C26" s="139"/>
      <c r="D26" s="139"/>
      <c r="E26" s="141"/>
      <c r="F26" s="139"/>
      <c r="G26" s="535"/>
      <c r="H26" s="535"/>
      <c r="I26" s="141"/>
      <c r="J26" s="914"/>
      <c r="K26" s="914"/>
      <c r="L26" s="914"/>
      <c r="M26" s="914"/>
      <c r="N26" s="914"/>
      <c r="O26" s="914"/>
      <c r="P26" s="914"/>
      <c r="Q26" s="914"/>
      <c r="R26" s="535"/>
      <c r="S26" s="915"/>
      <c r="T26" s="141"/>
      <c r="U26" s="536"/>
      <c r="V26" s="140"/>
      <c r="W26" s="140"/>
      <c r="X26" s="143"/>
      <c r="Y26" s="129" t="str">
        <f t="shared" si="10"/>
        <v/>
      </c>
      <c r="Z26" s="142"/>
      <c r="AA26" s="127" t="str">
        <f>IFERROR(VLOOKUP(Z26,参数表!$H$2:$I$50,2,FALSE),"")</f>
        <v/>
      </c>
      <c r="AB26" s="128" t="str">
        <f t="shared" si="11"/>
        <v/>
      </c>
      <c r="AC26" s="128" t="str">
        <f t="shared" si="12"/>
        <v/>
      </c>
      <c r="AD26" s="129" t="str">
        <f t="shared" si="13"/>
        <v/>
      </c>
      <c r="AE26" s="143"/>
      <c r="AF26" s="143"/>
      <c r="AG26" s="143"/>
      <c r="AH26" s="144"/>
      <c r="AI26" s="144"/>
      <c r="AJ26" s="144"/>
      <c r="AK26" s="129" t="str">
        <f t="shared" si="14"/>
        <v/>
      </c>
      <c r="AL26" s="129" t="str">
        <f t="shared" si="15"/>
        <v/>
      </c>
      <c r="AM26" s="129" t="str">
        <f t="shared" si="16"/>
        <v/>
      </c>
      <c r="AN26" s="129" t="str">
        <f t="shared" si="0"/>
        <v/>
      </c>
      <c r="AO26" s="521" t="str">
        <f t="shared" si="1"/>
        <v/>
      </c>
      <c r="AP26" s="129" t="str">
        <f t="shared" si="17"/>
        <v/>
      </c>
      <c r="AQ26" s="129" t="str">
        <f t="shared" si="18"/>
        <v/>
      </c>
      <c r="AR26" s="129" t="str">
        <f t="shared" si="19"/>
        <v/>
      </c>
      <c r="AS26" s="139"/>
      <c r="AT26" s="913"/>
      <c r="BA26" s="78"/>
      <c r="BB26" s="132" t="s">
        <v>3876</v>
      </c>
      <c r="BC26" s="133"/>
      <c r="BD26" s="132" t="str">
        <f>IF(OR(F26="",BC26=""),"",COUNTIF(BC$8:BC26,"√"))</f>
        <v/>
      </c>
      <c r="BE26" s="134" t="str">
        <f t="shared" si="2"/>
        <v/>
      </c>
      <c r="BF26" s="135" t="str">
        <f t="shared" si="20"/>
        <v/>
      </c>
      <c r="BG26" s="135" t="str">
        <f t="shared" si="20"/>
        <v/>
      </c>
      <c r="BH26" s="136"/>
      <c r="BI26" s="136"/>
      <c r="BJ26" s="136"/>
      <c r="BK26" s="136"/>
      <c r="BL26" s="136"/>
      <c r="BM26" s="137"/>
      <c r="BN26" s="136"/>
      <c r="BO26" s="137"/>
      <c r="BP26" s="165" t="s">
        <v>2706</v>
      </c>
      <c r="BQ26" s="223"/>
      <c r="BR26" s="156">
        <f t="shared" si="3"/>
        <v>0</v>
      </c>
      <c r="BS26" s="156">
        <f t="shared" si="4"/>
        <v>0</v>
      </c>
      <c r="BT26" s="776"/>
      <c r="BU26" s="776"/>
      <c r="BV26" s="776"/>
      <c r="BW26" s="851">
        <f t="shared" si="5"/>
        <v>0</v>
      </c>
      <c r="BX26" s="156">
        <f t="shared" si="21"/>
        <v>0</v>
      </c>
      <c r="BY26" s="156">
        <f t="shared" si="22"/>
        <v>0</v>
      </c>
      <c r="BZ26" s="156">
        <f t="shared" si="6"/>
        <v>1</v>
      </c>
      <c r="CA26" s="658">
        <f>LOOKUP(BZ26,参数表!$A$13:$B$19)</f>
        <v>0</v>
      </c>
      <c r="CB26" s="156">
        <f t="shared" si="23"/>
        <v>0</v>
      </c>
      <c r="CC26" s="156">
        <f t="shared" si="24"/>
        <v>0</v>
      </c>
      <c r="CD26" s="156">
        <f t="shared" si="7"/>
        <v>125.582477754962</v>
      </c>
      <c r="CE26" s="223"/>
      <c r="CF26" s="746">
        <f t="shared" si="25"/>
        <v>0</v>
      </c>
      <c r="CG26" s="746">
        <f t="shared" si="26"/>
        <v>0</v>
      </c>
      <c r="CH26" s="746">
        <f t="shared" si="8"/>
        <v>0</v>
      </c>
      <c r="CJ26" s="134" t="str">
        <f>IF(COUNTIF(CJ$7:CJ25,F26)&gt;0,"",F26)&amp;""</f>
        <v/>
      </c>
      <c r="CK26" s="138">
        <f t="shared" si="27"/>
        <v>0</v>
      </c>
      <c r="CL26" s="132">
        <f t="shared" si="28"/>
        <v>1</v>
      </c>
      <c r="CM26" s="138">
        <f t="shared" si="29"/>
        <v>0</v>
      </c>
      <c r="CN26" s="132">
        <f t="shared" si="30"/>
        <v>1</v>
      </c>
      <c r="CO26" s="133"/>
      <c r="CP26" s="133"/>
    </row>
    <row r="27" ht="15" customHeight="1" spans="1:95">
      <c r="A27" s="123" t="str">
        <f>IF(F27="","",COUNT(A$7:A26)+1)</f>
        <v/>
      </c>
      <c r="B27" s="123"/>
      <c r="C27" s="124"/>
      <c r="D27" s="124"/>
      <c r="E27" s="126"/>
      <c r="F27" s="124"/>
      <c r="G27" s="124"/>
      <c r="H27" s="124"/>
      <c r="I27" s="126"/>
      <c r="J27" s="126"/>
      <c r="K27" s="126"/>
      <c r="L27" s="126"/>
      <c r="M27" s="126"/>
      <c r="N27" s="126"/>
      <c r="O27" s="126"/>
      <c r="P27" s="126"/>
      <c r="Q27" s="126"/>
      <c r="R27" s="124"/>
      <c r="S27" s="125"/>
      <c r="T27" s="126"/>
      <c r="U27" s="533"/>
      <c r="V27" s="125"/>
      <c r="W27" s="125"/>
      <c r="X27" s="129"/>
      <c r="Y27" s="129" t="str">
        <f t="shared" si="10"/>
        <v/>
      </c>
      <c r="Z27" s="127"/>
      <c r="AA27" s="127" t="str">
        <f>IFERROR(VLOOKUP(Z27,参数表!$H$2:$I$50,2,FALSE),"")</f>
        <v/>
      </c>
      <c r="AB27" s="128" t="str">
        <f t="shared" si="11"/>
        <v/>
      </c>
      <c r="AC27" s="128" t="str">
        <f t="shared" si="12"/>
        <v/>
      </c>
      <c r="AD27" s="129" t="str">
        <f t="shared" si="13"/>
        <v/>
      </c>
      <c r="AE27" s="129"/>
      <c r="AF27" s="129"/>
      <c r="AG27" s="129"/>
      <c r="AH27" s="130"/>
      <c r="AI27" s="130"/>
      <c r="AJ27" s="130"/>
      <c r="AK27" s="129" t="str">
        <f t="shared" si="14"/>
        <v/>
      </c>
      <c r="AL27" s="129" t="str">
        <f t="shared" si="15"/>
        <v/>
      </c>
      <c r="AM27" s="129" t="str">
        <f t="shared" si="16"/>
        <v/>
      </c>
      <c r="AN27" s="129" t="str">
        <f t="shared" si="0"/>
        <v/>
      </c>
      <c r="AO27" s="521" t="str">
        <f t="shared" si="1"/>
        <v/>
      </c>
      <c r="AP27" s="129" t="str">
        <f t="shared" si="17"/>
        <v/>
      </c>
      <c r="AQ27" s="129" t="str">
        <f t="shared" si="18"/>
        <v/>
      </c>
      <c r="AR27" s="129" t="str">
        <f t="shared" si="19"/>
        <v/>
      </c>
      <c r="AS27" s="124"/>
      <c r="AT27" s="913"/>
      <c r="BA27" s="78"/>
      <c r="BB27" s="132" t="s">
        <v>3877</v>
      </c>
      <c r="BC27" s="133"/>
      <c r="BD27" s="132" t="str">
        <f>IF(OR(F27="",BC27=""),"",COUNTIF(BC$8:BC27,"√"))</f>
        <v/>
      </c>
      <c r="BE27" s="134" t="str">
        <f t="shared" si="2"/>
        <v/>
      </c>
      <c r="BF27" s="135" t="str">
        <f t="shared" si="20"/>
        <v/>
      </c>
      <c r="BG27" s="135" t="str">
        <f t="shared" si="20"/>
        <v/>
      </c>
      <c r="BH27" s="136"/>
      <c r="BI27" s="136"/>
      <c r="BJ27" s="136"/>
      <c r="BK27" s="136"/>
      <c r="BL27" s="136"/>
      <c r="BM27" s="137"/>
      <c r="BN27" s="136"/>
      <c r="BO27" s="137"/>
      <c r="BP27" s="165" t="s">
        <v>2706</v>
      </c>
      <c r="BQ27" s="223"/>
      <c r="BR27" s="156">
        <f t="shared" si="3"/>
        <v>0</v>
      </c>
      <c r="BS27" s="156">
        <f t="shared" si="4"/>
        <v>0</v>
      </c>
      <c r="BT27" s="776"/>
      <c r="BU27" s="776"/>
      <c r="BV27" s="776"/>
      <c r="BW27" s="851">
        <f t="shared" si="5"/>
        <v>0</v>
      </c>
      <c r="BX27" s="156">
        <f t="shared" si="21"/>
        <v>0</v>
      </c>
      <c r="BY27" s="156">
        <f t="shared" si="22"/>
        <v>0</v>
      </c>
      <c r="BZ27" s="156">
        <f t="shared" si="6"/>
        <v>1</v>
      </c>
      <c r="CA27" s="658">
        <f>LOOKUP(BZ27,参数表!$A$13:$B$19)</f>
        <v>0</v>
      </c>
      <c r="CB27" s="156">
        <f t="shared" si="23"/>
        <v>0</v>
      </c>
      <c r="CC27" s="156">
        <f t="shared" si="24"/>
        <v>0</v>
      </c>
      <c r="CD27" s="156">
        <f t="shared" si="7"/>
        <v>125.582477754962</v>
      </c>
      <c r="CE27" s="223"/>
      <c r="CF27" s="746">
        <f t="shared" si="25"/>
        <v>0</v>
      </c>
      <c r="CG27" s="746">
        <f t="shared" si="26"/>
        <v>0</v>
      </c>
      <c r="CH27" s="746">
        <f t="shared" si="8"/>
        <v>0</v>
      </c>
      <c r="CJ27" s="134" t="str">
        <f>IF(COUNTIF(CJ$7:CJ26,F27)&gt;0,"",F27)&amp;""</f>
        <v/>
      </c>
      <c r="CK27" s="138">
        <f t="shared" si="27"/>
        <v>0</v>
      </c>
      <c r="CL27" s="132">
        <f t="shared" si="28"/>
        <v>1</v>
      </c>
      <c r="CM27" s="138">
        <f t="shared" si="29"/>
        <v>0</v>
      </c>
      <c r="CN27" s="132">
        <f t="shared" si="30"/>
        <v>1</v>
      </c>
      <c r="CO27" s="133"/>
      <c r="CP27" s="133"/>
    </row>
    <row r="28" s="73" customFormat="1" ht="15" customHeight="1" spans="1:95">
      <c r="A28" s="221" t="s">
        <v>1954</v>
      </c>
      <c r="B28" s="221"/>
      <c r="C28" s="493"/>
      <c r="D28" s="493"/>
      <c r="E28" s="493"/>
      <c r="F28" s="493"/>
      <c r="G28" s="221"/>
      <c r="H28" s="221"/>
      <c r="I28" s="149"/>
      <c r="J28" s="149"/>
      <c r="K28" s="149"/>
      <c r="L28" s="149"/>
      <c r="M28" s="149"/>
      <c r="N28" s="149"/>
      <c r="O28" s="149"/>
      <c r="P28" s="149"/>
      <c r="Q28" s="149"/>
      <c r="R28" s="221"/>
      <c r="S28" s="149"/>
      <c r="T28" s="149"/>
      <c r="U28" s="149"/>
      <c r="V28" s="356"/>
      <c r="W28" s="356"/>
      <c r="X28" s="916">
        <f>SUM(X8:X27)</f>
        <v>0</v>
      </c>
      <c r="Y28" s="152" t="str">
        <f>IF(X28=0,"",AK28/X28)</f>
        <v/>
      </c>
      <c r="Z28" s="152"/>
      <c r="AA28" s="152"/>
      <c r="AB28" s="152"/>
      <c r="AC28" s="152"/>
      <c r="AD28" s="152"/>
      <c r="AE28" s="152">
        <f>SUM(AE8:AE27)</f>
        <v>0</v>
      </c>
      <c r="AF28" s="152">
        <f>SUM(AF8:AF27)</f>
        <v>0</v>
      </c>
      <c r="AG28" s="152">
        <f>SUM(AG8:AG27)</f>
        <v>0</v>
      </c>
      <c r="AH28" s="153"/>
      <c r="AI28" s="153"/>
      <c r="AJ28" s="153"/>
      <c r="AK28" s="152">
        <f>SUM(AK8:AK27)</f>
        <v>0</v>
      </c>
      <c r="AL28" s="152">
        <f>SUM(AL8:AL27)</f>
        <v>0</v>
      </c>
      <c r="AM28" s="152">
        <f>SUM(AM8:AM27)</f>
        <v>0</v>
      </c>
      <c r="AN28" s="152">
        <f>SUM(AN8:AN27)</f>
        <v>0</v>
      </c>
      <c r="AO28" s="525"/>
      <c r="AP28" s="152">
        <f>SUM(AP8:AP27)</f>
        <v>0</v>
      </c>
      <c r="AQ28" s="152" t="str">
        <f t="shared" si="18"/>
        <v/>
      </c>
      <c r="AR28" s="152"/>
      <c r="AS28" s="221"/>
      <c r="AT28" s="917"/>
      <c r="BH28" s="72"/>
      <c r="BI28" s="72"/>
      <c r="BJ28" s="72"/>
      <c r="BK28" s="72"/>
      <c r="BL28" s="72"/>
      <c r="BN28" s="72"/>
      <c r="BP28" s="72"/>
      <c r="BT28" s="918"/>
      <c r="BU28" s="918"/>
      <c r="BV28" s="918"/>
      <c r="BW28" s="918"/>
      <c r="BZ28" s="919"/>
      <c r="CA28" s="918"/>
      <c r="CE28" s="919"/>
      <c r="CI28" s="111"/>
      <c r="CJ28" s="119"/>
      <c r="CK28" s="77"/>
      <c r="CL28" s="77"/>
      <c r="CM28" s="77"/>
      <c r="CN28" s="119"/>
      <c r="CO28" s="119"/>
      <c r="CP28" s="119"/>
      <c r="CQ28" s="111"/>
    </row>
    <row r="29" ht="15" customHeight="1" spans="1:95">
      <c r="A29" s="124" t="s">
        <v>3434</v>
      </c>
      <c r="B29" s="124"/>
      <c r="C29" s="124"/>
      <c r="D29" s="124"/>
      <c r="E29" s="124"/>
      <c r="F29" s="124"/>
      <c r="G29" s="124"/>
      <c r="H29" s="124"/>
      <c r="I29" s="126"/>
      <c r="J29" s="126"/>
      <c r="K29" s="126"/>
      <c r="L29" s="126"/>
      <c r="M29" s="126"/>
      <c r="N29" s="126"/>
      <c r="O29" s="126"/>
      <c r="P29" s="126"/>
      <c r="Q29" s="126"/>
      <c r="R29" s="124"/>
      <c r="S29" s="126"/>
      <c r="T29" s="126"/>
      <c r="U29" s="126"/>
      <c r="V29" s="125"/>
      <c r="W29" s="125"/>
      <c r="X29" s="129"/>
      <c r="Y29" s="129"/>
      <c r="Z29" s="129"/>
      <c r="AA29" s="129"/>
      <c r="AB29" s="129"/>
      <c r="AC29" s="129"/>
      <c r="AD29" s="129"/>
      <c r="AE29" s="129"/>
      <c r="AF29" s="129">
        <f>AG28</f>
        <v>0</v>
      </c>
      <c r="AG29" s="129"/>
      <c r="AH29" s="130"/>
      <c r="AI29" s="130"/>
      <c r="AJ29" s="130"/>
      <c r="AK29" s="129"/>
      <c r="AL29" s="129">
        <f>AM28</f>
        <v>0</v>
      </c>
      <c r="AM29" s="129"/>
      <c r="AN29" s="129"/>
      <c r="AO29" s="521"/>
      <c r="AP29" s="129"/>
      <c r="AQ29" s="129" t="str">
        <f t="shared" si="18"/>
        <v/>
      </c>
      <c r="AR29" s="129"/>
      <c r="AS29" s="124"/>
      <c r="AT29" s="913"/>
      <c r="BT29" s="903"/>
      <c r="BU29" s="903"/>
      <c r="BV29" s="903"/>
      <c r="BW29" s="903"/>
      <c r="BZ29" s="272"/>
      <c r="CA29" s="903"/>
      <c r="CE29" s="272"/>
    </row>
    <row r="30" s="73" customFormat="1" ht="15" customHeight="1" spans="1:95">
      <c r="A30" s="221" t="s">
        <v>1957</v>
      </c>
      <c r="B30" s="221"/>
      <c r="C30" s="221"/>
      <c r="D30" s="221"/>
      <c r="E30" s="221"/>
      <c r="F30" s="221"/>
      <c r="G30" s="151"/>
      <c r="H30" s="151"/>
      <c r="I30" s="149"/>
      <c r="J30" s="149"/>
      <c r="K30" s="149"/>
      <c r="L30" s="149"/>
      <c r="M30" s="149"/>
      <c r="N30" s="149"/>
      <c r="O30" s="149"/>
      <c r="P30" s="149"/>
      <c r="Q30" s="149"/>
      <c r="R30" s="149"/>
      <c r="S30" s="149"/>
      <c r="T30" s="149"/>
      <c r="U30" s="149"/>
      <c r="V30" s="356"/>
      <c r="W30" s="356"/>
      <c r="X30" s="152"/>
      <c r="Y30" s="152"/>
      <c r="Z30" s="152"/>
      <c r="AA30" s="152"/>
      <c r="AB30" s="152"/>
      <c r="AC30" s="152"/>
      <c r="AD30" s="152"/>
      <c r="AE30" s="152">
        <f>AE28-AE29</f>
        <v>0</v>
      </c>
      <c r="AF30" s="152">
        <f>AF28-AF29</f>
        <v>0</v>
      </c>
      <c r="AG30" s="152"/>
      <c r="AH30" s="153"/>
      <c r="AI30" s="153"/>
      <c r="AJ30" s="153"/>
      <c r="AK30" s="152">
        <f>AK28-AK29</f>
        <v>0</v>
      </c>
      <c r="AL30" s="152">
        <f>AL28-AL29</f>
        <v>0</v>
      </c>
      <c r="AM30" s="152"/>
      <c r="AN30" s="152">
        <f>AN28-AN29</f>
        <v>0</v>
      </c>
      <c r="AO30" s="525"/>
      <c r="AP30" s="152">
        <f>AP28-AP29</f>
        <v>0</v>
      </c>
      <c r="AQ30" s="152" t="str">
        <f t="shared" si="18"/>
        <v/>
      </c>
      <c r="AR30" s="152"/>
      <c r="AS30" s="221"/>
      <c r="AT30" s="917"/>
      <c r="BH30" s="72"/>
      <c r="BI30" s="72"/>
      <c r="BJ30" s="72"/>
      <c r="BK30" s="72"/>
      <c r="BL30" s="72"/>
      <c r="BN30" s="72"/>
      <c r="BP30" s="72"/>
      <c r="BT30" s="918"/>
      <c r="BU30" s="918"/>
      <c r="BV30" s="918"/>
      <c r="BW30" s="918"/>
      <c r="BZ30" s="919"/>
      <c r="CA30" s="918"/>
      <c r="CE30" s="919"/>
      <c r="CI30" s="77"/>
      <c r="CJ30" s="78"/>
      <c r="CK30" s="77"/>
      <c r="CL30" s="78"/>
      <c r="CM30" s="78"/>
      <c r="CN30" s="78"/>
      <c r="CO30" s="78"/>
      <c r="CP30" s="78"/>
      <c r="CQ30" s="77"/>
    </row>
    <row r="31" customHeight="1" spans="1:95">
      <c r="A31" s="102" t="str">
        <f>参数表!F$6</f>
        <v>产权持有单位填表人：贾广东</v>
      </c>
      <c r="B31" s="96"/>
      <c r="C31" s="154"/>
      <c r="D31" s="154"/>
      <c r="E31" s="286"/>
      <c r="F31" s="154"/>
      <c r="G31" s="154"/>
      <c r="H31" s="154"/>
      <c r="I31" s="286"/>
      <c r="J31" s="103"/>
      <c r="K31" s="103"/>
      <c r="L31" s="103"/>
      <c r="M31" s="103"/>
      <c r="N31" s="103"/>
      <c r="O31" s="103"/>
      <c r="P31" s="103"/>
      <c r="Q31" s="103"/>
      <c r="R31" s="103"/>
      <c r="S31" s="103"/>
      <c r="T31" s="95"/>
      <c r="U31" s="95"/>
      <c r="V31" s="95"/>
      <c r="W31" s="95"/>
      <c r="X31" s="103"/>
      <c r="Y31" s="103"/>
      <c r="Z31" s="103"/>
      <c r="AA31" s="103"/>
      <c r="AB31" s="103"/>
      <c r="AC31" s="103"/>
      <c r="AD31" s="103"/>
      <c r="AE31" s="103"/>
      <c r="AF31" s="103"/>
      <c r="AG31" s="103"/>
      <c r="AH31" s="104"/>
      <c r="AI31" s="104"/>
      <c r="AJ31" s="104"/>
      <c r="AK31" s="103"/>
      <c r="AL31" s="103"/>
      <c r="AM31" s="103"/>
      <c r="AN31" s="156" t="str">
        <f>"评估人员："&amp;封面!$G$24</f>
        <v>评估人员：</v>
      </c>
      <c r="AO31" s="103"/>
      <c r="AP31" s="156"/>
      <c r="AQ31" s="103"/>
      <c r="AR31" s="103"/>
      <c r="AS31" s="103"/>
    </row>
    <row r="32" customHeight="1" spans="1:95">
      <c r="A32" s="102" t="str">
        <f>参数表!F$7</f>
        <v>填表日期：2025年9月20日</v>
      </c>
      <c r="B32" s="96"/>
      <c r="C32" s="154"/>
      <c r="D32" s="154"/>
      <c r="E32" s="286"/>
      <c r="F32" s="154"/>
      <c r="G32" s="154"/>
      <c r="H32" s="154"/>
      <c r="I32" s="286"/>
      <c r="J32" s="103"/>
      <c r="K32" s="103"/>
      <c r="L32" s="103"/>
      <c r="M32" s="103"/>
      <c r="N32" s="103"/>
      <c r="O32" s="103"/>
      <c r="P32" s="103"/>
      <c r="Q32" s="103"/>
      <c r="R32" s="103"/>
      <c r="S32" s="103"/>
      <c r="T32" s="95"/>
      <c r="U32" s="95"/>
      <c r="V32" s="95"/>
      <c r="W32" s="95"/>
      <c r="X32" s="103"/>
      <c r="Y32" s="103"/>
      <c r="Z32" s="103"/>
      <c r="AA32" s="103"/>
      <c r="AB32" s="103"/>
      <c r="AC32" s="103"/>
      <c r="AD32" s="103"/>
      <c r="AE32" s="103"/>
      <c r="AF32" s="103"/>
      <c r="AG32" s="103"/>
      <c r="AH32" s="104"/>
      <c r="AI32" s="104"/>
      <c r="AJ32" s="104"/>
      <c r="AK32" s="103"/>
      <c r="AL32" s="103"/>
      <c r="AM32" s="103"/>
      <c r="AN32" s="103"/>
      <c r="AO32" s="103"/>
      <c r="AP32" s="103"/>
      <c r="AQ32" s="103"/>
      <c r="AR32" s="103"/>
      <c r="AS32" s="103"/>
    </row>
    <row r="33" hidden="1" customHeight="1" outlineLevel="1" spans="1:66">
      <c r="A33" s="157"/>
      <c r="B33" s="696"/>
      <c r="C33" s="154" t="s">
        <v>1673</v>
      </c>
      <c r="D33" s="158"/>
      <c r="E33" s="286" t="s">
        <v>1674</v>
      </c>
      <c r="F33" s="158"/>
      <c r="G33" s="158"/>
      <c r="H33" s="158"/>
      <c r="I33" s="228"/>
      <c r="X33" s="159">
        <f>SUMIF($BA8:$BA27,$BA33,X8:X27)</f>
        <v>0</v>
      </c>
      <c r="Y33" s="176"/>
      <c r="Z33" s="176"/>
      <c r="AA33" s="176"/>
      <c r="AB33" s="176"/>
      <c r="AC33" s="176"/>
      <c r="AD33" s="176"/>
      <c r="AE33" s="159">
        <f>SUMIF($BA8:$BA27,$BA33,AE8:AE27)</f>
        <v>0</v>
      </c>
      <c r="AF33" s="159">
        <f>SUMIF($BA8:$BA27,$BA33,AF8:AF27)</f>
        <v>0</v>
      </c>
      <c r="AG33" s="159">
        <f>SUMIF($BA8:$BA27,$BA33,AG8:AG27)</f>
        <v>0</v>
      </c>
      <c r="AH33" s="202"/>
      <c r="AI33" s="202"/>
      <c r="AJ33" s="202"/>
      <c r="AK33" s="159">
        <f>SUMIF($BA8:$BA27,$BA33,AK8:AK27)</f>
        <v>0</v>
      </c>
      <c r="AL33" s="159">
        <f>SUMIF($BA8:$BA27,$BA33,AL8:AL27)</f>
        <v>0</v>
      </c>
      <c r="AM33" s="159">
        <f>SUMIF($BA8:$BA27,$BA33,AM8:AM27)</f>
        <v>0</v>
      </c>
      <c r="AN33" s="159">
        <f>SUMIF($BA8:$BA27,$BA33,AN8:AN27)</f>
        <v>0</v>
      </c>
      <c r="AO33" s="176"/>
      <c r="AP33" s="159">
        <f>SUMIF($BA8:$BA27,$BA33,AP8:AP27)</f>
        <v>0</v>
      </c>
      <c r="BA33" s="161" t="s">
        <v>1674</v>
      </c>
      <c r="BH33" s="95" t="s">
        <v>1675</v>
      </c>
      <c r="BI33" s="95" t="s">
        <v>1675</v>
      </c>
      <c r="BJ33" s="95" t="s">
        <v>1675</v>
      </c>
      <c r="BK33" s="95" t="s">
        <v>1675</v>
      </c>
      <c r="BL33" s="95" t="s">
        <v>1675</v>
      </c>
      <c r="BN33" s="95" t="s">
        <v>1675</v>
      </c>
    </row>
    <row r="34" hidden="1" customHeight="1" outlineLevel="1" spans="1:66">
      <c r="A34" s="157"/>
      <c r="B34" s="696"/>
      <c r="C34" s="154" t="s">
        <v>1676</v>
      </c>
      <c r="D34" s="158"/>
      <c r="E34" s="286" t="s">
        <v>1677</v>
      </c>
      <c r="F34" s="158"/>
      <c r="G34" s="158"/>
      <c r="H34" s="158"/>
      <c r="I34" s="228"/>
      <c r="X34" s="159">
        <f>X28-X33</f>
        <v>0</v>
      </c>
      <c r="Y34" s="176"/>
      <c r="Z34" s="176"/>
      <c r="AA34" s="176"/>
      <c r="AB34" s="176"/>
      <c r="AC34" s="176"/>
      <c r="AD34" s="176"/>
      <c r="AE34" s="159">
        <f>AE28-AE33</f>
        <v>0</v>
      </c>
      <c r="AF34" s="159">
        <f>AF28-AF33</f>
        <v>0</v>
      </c>
      <c r="AG34" s="159">
        <f>AG28-AG33</f>
        <v>0</v>
      </c>
      <c r="AH34" s="202"/>
      <c r="AI34" s="202"/>
      <c r="AJ34" s="202"/>
      <c r="AK34" s="159">
        <f>AK28-AK33</f>
        <v>0</v>
      </c>
      <c r="AL34" s="159">
        <f>AL28-AL33</f>
        <v>0</v>
      </c>
      <c r="AM34" s="159">
        <f>AM28-AM33</f>
        <v>0</v>
      </c>
      <c r="AN34" s="159">
        <f>AN28-AN33</f>
        <v>0</v>
      </c>
      <c r="AO34" s="176"/>
      <c r="AP34" s="159">
        <f>AP28-AP33</f>
        <v>0</v>
      </c>
      <c r="BA34" s="161" t="s">
        <v>1677</v>
      </c>
      <c r="BH34" s="95" t="s">
        <v>1678</v>
      </c>
      <c r="BI34" s="95" t="s">
        <v>1678</v>
      </c>
      <c r="BJ34" s="95" t="s">
        <v>1678</v>
      </c>
      <c r="BK34" s="95" t="s">
        <v>1678</v>
      </c>
      <c r="BL34" s="95" t="s">
        <v>1678</v>
      </c>
      <c r="BN34" s="95" t="s">
        <v>1678</v>
      </c>
    </row>
    <row r="35" customHeight="1" collapsed="1" spans="1:66">
      <c r="A35" s="157"/>
      <c r="B35" s="696"/>
      <c r="C35" s="158"/>
      <c r="D35" s="158"/>
      <c r="E35" s="228"/>
      <c r="F35" s="158"/>
      <c r="G35" s="158"/>
      <c r="H35" s="158"/>
      <c r="I35" s="228"/>
    </row>
    <row r="36" customHeight="1" spans="1:66">
      <c r="A36" s="157"/>
      <c r="B36" s="696"/>
      <c r="C36" s="158"/>
      <c r="D36" s="158"/>
      <c r="E36" s="228"/>
      <c r="F36" s="158"/>
      <c r="G36" s="158"/>
      <c r="H36" s="158"/>
      <c r="I36" s="228"/>
    </row>
    <row r="37" customHeight="1" spans="1:66">
      <c r="A37" s="157"/>
      <c r="B37" s="696"/>
      <c r="C37" s="158"/>
      <c r="D37" s="158"/>
      <c r="E37" s="228"/>
      <c r="F37" s="158"/>
      <c r="G37" s="158"/>
      <c r="H37" s="158"/>
      <c r="I37" s="228"/>
    </row>
    <row r="38" customHeight="1" spans="1:66">
      <c r="A38" s="157"/>
      <c r="B38" s="696"/>
      <c r="C38" s="158"/>
      <c r="D38" s="158"/>
      <c r="E38" s="228"/>
      <c r="F38" s="158"/>
      <c r="G38" s="158"/>
      <c r="H38" s="158"/>
      <c r="I38" s="228"/>
    </row>
    <row r="39" customHeight="1" spans="1:66">
      <c r="A39" s="157"/>
      <c r="B39" s="696"/>
      <c r="C39" s="158"/>
      <c r="D39" s="158"/>
      <c r="E39" s="228"/>
      <c r="F39" s="158"/>
      <c r="G39" s="158"/>
      <c r="H39" s="158"/>
      <c r="I39" s="228"/>
    </row>
  </sheetData>
  <sheetProtection autoFilter="0"/>
  <mergeCells count="52">
    <mergeCell ref="A2:AR2"/>
    <mergeCell ref="A3:AS3"/>
    <mergeCell ref="Z6:AD6"/>
    <mergeCell ref="AE6:AG6"/>
    <mergeCell ref="AH6:AJ6"/>
    <mergeCell ref="AK6:AM6"/>
    <mergeCell ref="AN6:AP6"/>
    <mergeCell ref="CO8:CQ8"/>
    <mergeCell ref="CO9:CQ9"/>
    <mergeCell ref="CP15:CQ15"/>
    <mergeCell ref="A28:F28"/>
    <mergeCell ref="A29:F29"/>
    <mergeCell ref="A30:F30"/>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R6:R7"/>
    <mergeCell ref="S6:S7"/>
    <mergeCell ref="T6:T7"/>
    <mergeCell ref="U6:U7"/>
    <mergeCell ref="V6:V7"/>
    <mergeCell ref="W6:W7"/>
    <mergeCell ref="X6:X7"/>
    <mergeCell ref="Y6:Y7"/>
    <mergeCell ref="AQ6:AQ7"/>
    <mergeCell ref="AR6:AR7"/>
    <mergeCell ref="AS6:AS7"/>
    <mergeCell ref="AT6:AT7"/>
    <mergeCell ref="BF6:BF7"/>
    <mergeCell ref="BG6:BG7"/>
    <mergeCell ref="BH6:BH7"/>
    <mergeCell ref="BI6:BI7"/>
    <mergeCell ref="BJ6:BJ7"/>
    <mergeCell ref="BK6:BK7"/>
    <mergeCell ref="BL6:BL7"/>
    <mergeCell ref="BM6:BM7"/>
    <mergeCell ref="BN6:BN7"/>
    <mergeCell ref="BO6:BO7"/>
  </mergeCells>
  <conditionalFormatting sqref="BM8:BM27">
    <cfRule type="expression" dxfId="5" priority="5" stopIfTrue="1">
      <formula>AND(BL8="无",BM8="")</formula>
    </cfRule>
  </conditionalFormatting>
  <conditionalFormatting sqref="BF8:BG27">
    <cfRule type="containsText" dxfId="6" priority="1" stopIfTrue="1" operator="between" text="出错">
      <formula>NOT(ISERROR(SEARCH("出错",BF8)))</formula>
    </cfRule>
  </conditionalFormatting>
  <conditionalFormatting sqref="BH8:BL27 BN8:BN27">
    <cfRule type="expression" dxfId="5" priority="6" stopIfTrue="1">
      <formula>AND($C8&lt;&gt;"",BH8="")</formula>
    </cfRule>
  </conditionalFormatting>
  <dataValidations count="5">
    <dataValidation type="list" allowBlank="1" showInputMessage="1" showErrorMessage="1" sqref="E8:E27 BN8:BN27 BH8:BL27">
      <formula1>E$33:E$34</formula1>
    </dataValidation>
    <dataValidation type="list" allowBlank="1" showInputMessage="1" showErrorMessage="1" sqref="Z8:Z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P8:BP27">
      <formula1>"成本法,收益法,市场法"</formula1>
    </dataValidation>
  </dataValidations>
  <hyperlinks>
    <hyperlink ref="A1" location="索引目录!E35" display="返回索引页"/>
    <hyperlink ref="C1" location="固定资产汇总!B11"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8"/>
  <dimension ref="A1:CP39"/>
  <sheetViews>
    <sheetView workbookViewId="0">
      <pane xSplit="3" ySplit="8" topLeftCell="D9" activePane="bottomRight" state="frozen"/>
      <selection/>
      <selection pane="topRight"/>
      <selection pane="bottomLeft"/>
      <selection pane="bottomRight" activeCell="E45" sqref="E45"/>
    </sheetView>
  </sheetViews>
  <sheetFormatPr defaultColWidth="9" defaultRowHeight="15.75" customHeight="1"/>
  <cols>
    <col min="1" max="1" width="4.2" style="74" customWidth="1"/>
    <col min="2" max="2" width="4.6" style="688" customWidth="1"/>
    <col min="3" max="3" width="9.6" style="75" customWidth="1"/>
    <col min="4" max="5" width="11.7" style="75" customWidth="1" outlineLevel="1"/>
    <col min="6" max="6" width="5.7" style="75" customWidth="1" outlineLevel="1"/>
    <col min="7" max="7" width="4.7" style="165" customWidth="1"/>
    <col min="8" max="8" width="8" style="75" customWidth="1" outlineLevel="1"/>
    <col min="9" max="9" width="4.7" style="165" customWidth="1"/>
    <col min="10" max="12" width="4.7" style="75" customWidth="1"/>
    <col min="13" max="14" width="4.7" style="165" customWidth="1" outlineLevel="1"/>
    <col min="15" max="15" width="4.7" style="75" customWidth="1"/>
    <col min="16" max="16" width="8.2" style="75" customWidth="1"/>
    <col min="17" max="18" width="4.6" style="75" customWidth="1" outlineLevel="1"/>
    <col min="19" max="21" width="6.1" style="75" customWidth="1" outlineLevel="1"/>
    <col min="22" max="23" width="10.7" style="75" customWidth="1" outlineLevel="1"/>
    <col min="24" max="24" width="7.7" style="75" customWidth="1" outlineLevel="1"/>
    <col min="25" max="27" width="10.7" style="76" customWidth="1" outlineLevel="1"/>
    <col min="28" max="29" width="10.7" style="75" customWidth="1"/>
    <col min="30" max="30" width="7.6" style="75" customWidth="1"/>
    <col min="31" max="31" width="10.7" style="75" customWidth="1"/>
    <col min="32" max="32" width="5.7" style="75" customWidth="1"/>
    <col min="33" max="33" width="10.7" style="75" customWidth="1"/>
    <col min="34" max="34" width="6.7" style="75" customWidth="1"/>
    <col min="35" max="35" width="7.7" style="75" customWidth="1"/>
    <col min="36" max="36" width="6.7" style="75" customWidth="1"/>
    <col min="37" max="52" width="9" style="75" hidden="1" customWidth="1" outlineLevel="1"/>
    <col min="53" max="53" width="14.7" style="75" customWidth="1" collapsed="1"/>
    <col min="54" max="54" width="6.7" style="75" customWidth="1"/>
    <col min="55" max="56" width="5.1" style="75" customWidth="1"/>
    <col min="57" max="57" width="8.7" style="75" customWidth="1"/>
    <col min="58" max="59" width="10.5" style="75" customWidth="1"/>
    <col min="60" max="64" width="4.7" style="165" customWidth="1"/>
    <col min="65" max="65" width="10.3" style="75" customWidth="1"/>
    <col min="66" max="66" width="4.7" style="165" customWidth="1"/>
    <col min="67" max="68" width="8.7" style="75" customWidth="1"/>
    <col min="69" max="74" width="8.7" style="158" customWidth="1"/>
    <col min="75" max="75" width="11.2" style="158" customWidth="1"/>
    <col min="76" max="85" width="8.7" style="158" customWidth="1"/>
    <col min="86" max="86" width="1.6" style="77" customWidth="1"/>
    <col min="87" max="87" width="10.6" style="78" customWidth="1"/>
    <col min="88" max="88" width="10.6" style="77" customWidth="1"/>
    <col min="89" max="89" width="4.6" style="78" customWidth="1"/>
    <col min="90" max="90" width="10.6" style="78" customWidth="1"/>
    <col min="91" max="92" width="4.6" style="78" customWidth="1"/>
    <col min="93" max="93" width="10.6" style="78" customWidth="1"/>
    <col min="94" max="94" width="5" style="77" customWidth="1"/>
    <col min="95" max="16384" width="9" style="75"/>
  </cols>
  <sheetData>
    <row r="1" s="86" customFormat="1" ht="13.8" spans="1:94">
      <c r="A1" s="900" t="s">
        <v>1591</v>
      </c>
      <c r="B1" s="689"/>
      <c r="C1" s="204" t="s">
        <v>1592</v>
      </c>
      <c r="D1" s="204"/>
      <c r="E1" s="204"/>
      <c r="F1" s="204"/>
      <c r="G1" s="495"/>
      <c r="H1" s="82"/>
      <c r="I1" s="82"/>
      <c r="J1" s="82"/>
      <c r="K1" s="82"/>
      <c r="L1" s="82"/>
      <c r="M1" s="82"/>
      <c r="N1" s="82"/>
      <c r="O1" s="82"/>
      <c r="P1" s="82"/>
      <c r="Q1" s="82"/>
      <c r="R1" s="82"/>
      <c r="S1" s="82"/>
      <c r="T1" s="82"/>
      <c r="U1" s="82"/>
      <c r="V1" s="82"/>
      <c r="W1" s="82"/>
      <c r="X1" s="82"/>
      <c r="Y1" s="205"/>
      <c r="Z1" s="205"/>
      <c r="AA1" s="205"/>
      <c r="AB1" s="82"/>
      <c r="AC1" s="82"/>
      <c r="AD1" s="82"/>
      <c r="AE1" s="82"/>
      <c r="AF1" s="82"/>
      <c r="AG1" s="82"/>
      <c r="AH1" s="82"/>
      <c r="AI1" s="82"/>
      <c r="AJ1" s="82"/>
      <c r="AK1" s="82"/>
      <c r="AL1" s="82"/>
      <c r="AM1" s="82"/>
      <c r="BA1" s="84" t="str">
        <f>参数表!BA1</f>
        <v>注意：补充特殊事项、作价等均从BA列开始填写</v>
      </c>
      <c r="BB1" s="85"/>
      <c r="BH1" s="82"/>
      <c r="BI1" s="82"/>
      <c r="BJ1" s="82"/>
      <c r="BK1" s="82"/>
      <c r="BL1" s="82"/>
      <c r="BN1" s="82"/>
      <c r="CH1" s="87"/>
      <c r="CI1" s="88"/>
      <c r="CJ1" s="87"/>
      <c r="CK1" s="88"/>
      <c r="CL1" s="88"/>
      <c r="CM1" s="88"/>
      <c r="CN1" s="88"/>
      <c r="CO1" s="88"/>
      <c r="CP1" s="87"/>
    </row>
    <row r="2" s="71" customFormat="1" ht="30" customHeight="1" spans="1:94">
      <c r="A2" s="89" t="s">
        <v>3878</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233"/>
      <c r="AL2" s="233"/>
      <c r="AM2" s="233"/>
      <c r="BA2" s="90" t="str">
        <f>参数表!BA2</f>
        <v>评估基准日：</v>
      </c>
      <c r="BB2" s="91" t="str">
        <f>参数表!BB2</f>
        <v>2025年7月31日</v>
      </c>
      <c r="BH2" s="171"/>
      <c r="BI2" s="171"/>
      <c r="BJ2" s="171"/>
      <c r="BK2" s="171"/>
      <c r="BL2" s="171"/>
      <c r="BN2" s="171"/>
      <c r="BQ2" s="235"/>
      <c r="BR2" s="235"/>
      <c r="BS2" s="235"/>
      <c r="BT2" s="235"/>
      <c r="BU2" s="235"/>
      <c r="BV2" s="235"/>
      <c r="BW2" s="235"/>
      <c r="BX2" s="235"/>
      <c r="BY2" s="235"/>
      <c r="BZ2" s="235"/>
      <c r="CA2" s="235"/>
      <c r="CB2" s="235"/>
      <c r="CC2" s="235"/>
      <c r="CD2" s="235"/>
      <c r="CE2" s="235"/>
      <c r="CF2" s="235"/>
      <c r="CG2" s="235"/>
      <c r="CH2" s="92"/>
      <c r="CI2" s="93"/>
      <c r="CJ2" s="92"/>
      <c r="CK2" s="93"/>
      <c r="CL2" s="93"/>
      <c r="CM2" s="93"/>
      <c r="CN2" s="93"/>
      <c r="CO2" s="93"/>
      <c r="CP2" s="92"/>
    </row>
    <row r="3" ht="15" customHeight="1" spans="1:94">
      <c r="A3" s="94" t="str">
        <f>参数表!F5</f>
        <v>评估基准日：2025年7月31日</v>
      </c>
      <c r="B3" s="94"/>
      <c r="C3" s="94"/>
      <c r="D3" s="94"/>
      <c r="E3" s="94"/>
      <c r="F3" s="94"/>
      <c r="G3" s="94"/>
      <c r="H3" s="94"/>
      <c r="I3" s="94"/>
      <c r="J3" s="94"/>
      <c r="K3" s="94"/>
      <c r="L3" s="94"/>
      <c r="M3" s="94"/>
      <c r="N3" s="94"/>
      <c r="O3" s="94"/>
      <c r="P3" s="95"/>
      <c r="Q3" s="95"/>
      <c r="R3" s="95"/>
      <c r="S3" s="95"/>
      <c r="T3" s="95"/>
      <c r="U3" s="95"/>
      <c r="V3" s="95"/>
      <c r="W3" s="95"/>
      <c r="X3" s="95"/>
      <c r="Y3" s="95"/>
      <c r="Z3" s="95"/>
      <c r="AA3" s="95"/>
      <c r="AB3" s="95"/>
      <c r="AC3" s="95"/>
      <c r="AD3" s="95"/>
      <c r="AE3" s="95"/>
      <c r="AF3" s="95"/>
      <c r="AG3" s="95"/>
      <c r="AH3" s="95"/>
      <c r="AI3" s="95"/>
      <c r="AJ3" s="95"/>
      <c r="AK3" s="901"/>
      <c r="AL3" s="901"/>
      <c r="AM3" s="901"/>
      <c r="BA3" s="90" t="str">
        <f>参数表!BA3</f>
        <v>是否显示评估值：</v>
      </c>
      <c r="BB3" s="90" t="str">
        <f>参数表!BB3</f>
        <v>是</v>
      </c>
      <c r="CH3" s="92"/>
      <c r="CI3" s="93"/>
      <c r="CJ3" s="92"/>
      <c r="CK3" s="93"/>
      <c r="CL3" s="93"/>
      <c r="CM3" s="93"/>
      <c r="CN3" s="93"/>
      <c r="CO3" s="93"/>
      <c r="CP3" s="92"/>
    </row>
    <row r="4" ht="15" customHeight="1" spans="1:94">
      <c r="A4" s="96"/>
      <c r="B4" s="96"/>
      <c r="C4" s="94"/>
      <c r="D4" s="94"/>
      <c r="E4" s="94"/>
      <c r="F4" s="94"/>
      <c r="G4" s="94"/>
      <c r="H4" s="94"/>
      <c r="I4" s="94"/>
      <c r="J4" s="94"/>
      <c r="K4" s="94"/>
      <c r="L4" s="94"/>
      <c r="M4" s="94"/>
      <c r="N4" s="94"/>
      <c r="O4" s="94"/>
      <c r="P4" s="95"/>
      <c r="Q4" s="94"/>
      <c r="R4" s="94"/>
      <c r="S4" s="94"/>
      <c r="T4" s="94"/>
      <c r="U4" s="94"/>
      <c r="V4" s="98"/>
      <c r="W4" s="95"/>
      <c r="X4" s="95"/>
      <c r="Y4" s="206"/>
      <c r="Z4" s="206"/>
      <c r="AA4" s="206"/>
      <c r="AB4" s="95"/>
      <c r="AC4" s="95"/>
      <c r="AD4" s="95"/>
      <c r="AE4" s="95"/>
      <c r="AF4" s="95"/>
      <c r="AG4" s="95"/>
      <c r="AH4" s="95"/>
      <c r="AI4" s="95"/>
      <c r="AJ4" s="98" t="str">
        <f>"表"&amp;$BA4</f>
        <v>表4-10-2</v>
      </c>
      <c r="AK4" s="901"/>
      <c r="AL4" s="901"/>
      <c r="AM4" s="901"/>
      <c r="BA4" s="274" t="str">
        <f>固定资产总!A10</f>
        <v>4-10-2</v>
      </c>
      <c r="BB4" s="100">
        <f>MAX(COUNTA(A8:A27),COUNTA(C8:C27),COUNTA(V8:V27),COUNTA(W8:W27))</f>
        <v>20</v>
      </c>
      <c r="BC4" s="101">
        <f>ROW(A7)+1</f>
        <v>8</v>
      </c>
      <c r="BD4" s="77"/>
      <c r="BE4" s="77"/>
      <c r="CJ4" s="78"/>
    </row>
    <row r="5" ht="15" customHeight="1" spans="1:94">
      <c r="A5" s="102" t="str">
        <f>参数表!F3</f>
        <v>产权持有单位:中煤第五建设有限公司</v>
      </c>
      <c r="B5" s="96"/>
      <c r="C5" s="103"/>
      <c r="D5" s="103"/>
      <c r="E5" s="103"/>
      <c r="F5" s="103"/>
      <c r="G5" s="95"/>
      <c r="H5" s="103"/>
      <c r="I5" s="95"/>
      <c r="J5" s="103"/>
      <c r="K5" s="103"/>
      <c r="L5" s="103"/>
      <c r="M5" s="95"/>
      <c r="N5" s="95"/>
      <c r="O5" s="103"/>
      <c r="P5" s="103"/>
      <c r="Q5" s="103"/>
      <c r="R5" s="103"/>
      <c r="S5" s="103"/>
      <c r="T5" s="103"/>
      <c r="U5" s="103"/>
      <c r="V5" s="103"/>
      <c r="W5" s="103"/>
      <c r="X5" s="103"/>
      <c r="Y5" s="104"/>
      <c r="Z5" s="104"/>
      <c r="AA5" s="104"/>
      <c r="AB5" s="103"/>
      <c r="AC5" s="103"/>
      <c r="AD5" s="103"/>
      <c r="AE5" s="103"/>
      <c r="AF5" s="103"/>
      <c r="AG5" s="103"/>
      <c r="AH5" s="103"/>
      <c r="AI5" s="103"/>
      <c r="AJ5" s="98" t="s">
        <v>236</v>
      </c>
      <c r="BA5" s="103"/>
      <c r="BB5" s="105" t="str">
        <f ca="1">判断表!C67</f>
        <v>中煤第五建设有限公司第三工程处拟处置实物资产项目\[0000-3基础法明细表.xlsx]构筑物</v>
      </c>
      <c r="BC5" s="106">
        <f>IFERROR(SUMIF(BC8:BC27,"√",AB8:AB27)/AB28,0)</f>
        <v>0</v>
      </c>
      <c r="BD5" s="107"/>
      <c r="BE5" s="107"/>
      <c r="BF5" s="108">
        <f>房屋!BF5</f>
        <v>0</v>
      </c>
      <c r="BG5" s="108">
        <f>房屋!BG5</f>
        <v>0</v>
      </c>
      <c r="BH5" s="109"/>
      <c r="BI5" s="109"/>
      <c r="BJ5" s="109"/>
      <c r="BK5" s="109"/>
      <c r="BL5" s="109"/>
      <c r="BM5" s="110"/>
      <c r="BN5" s="109"/>
      <c r="BO5" s="110"/>
      <c r="BP5" s="110"/>
      <c r="CJ5" s="78"/>
    </row>
    <row r="6" s="72" customFormat="1" ht="15" customHeight="1" spans="1:94">
      <c r="A6" s="112" t="s">
        <v>305</v>
      </c>
      <c r="B6" s="690" t="s">
        <v>3669</v>
      </c>
      <c r="C6" s="113" t="s">
        <v>3879</v>
      </c>
      <c r="D6" s="149" t="s">
        <v>3675</v>
      </c>
      <c r="E6" s="149" t="s">
        <v>3676</v>
      </c>
      <c r="F6" s="209" t="s">
        <v>3672</v>
      </c>
      <c r="G6" s="113" t="s">
        <v>3677</v>
      </c>
      <c r="H6" s="528" t="s">
        <v>3686</v>
      </c>
      <c r="I6" s="118" t="s">
        <v>3690</v>
      </c>
      <c r="J6" s="118" t="s">
        <v>3880</v>
      </c>
      <c r="K6" s="118" t="s">
        <v>3881</v>
      </c>
      <c r="L6" s="118" t="s">
        <v>3882</v>
      </c>
      <c r="M6" s="193" t="s">
        <v>3688</v>
      </c>
      <c r="N6" s="529" t="s">
        <v>3689</v>
      </c>
      <c r="O6" s="118" t="s">
        <v>2176</v>
      </c>
      <c r="P6" s="118" t="s">
        <v>3883</v>
      </c>
      <c r="Q6" s="511" t="s">
        <v>1964</v>
      </c>
      <c r="R6" s="512"/>
      <c r="S6" s="512"/>
      <c r="T6" s="512"/>
      <c r="U6" s="513"/>
      <c r="V6" s="514" t="s">
        <v>1549</v>
      </c>
      <c r="W6" s="189"/>
      <c r="X6" s="190"/>
      <c r="Y6" s="515" t="s">
        <v>1634</v>
      </c>
      <c r="Z6" s="516"/>
      <c r="AA6" s="517"/>
      <c r="AB6" s="514" t="s">
        <v>1523</v>
      </c>
      <c r="AC6" s="189"/>
      <c r="AD6" s="190"/>
      <c r="AE6" s="113" t="s">
        <v>1550</v>
      </c>
      <c r="AF6" s="113"/>
      <c r="AG6" s="113"/>
      <c r="AH6" s="118" t="s">
        <v>1551</v>
      </c>
      <c r="AI6" s="118" t="s">
        <v>3693</v>
      </c>
      <c r="AJ6" s="118" t="s">
        <v>308</v>
      </c>
      <c r="BA6" s="191"/>
      <c r="BB6" s="100"/>
      <c r="BC6" s="100"/>
      <c r="BD6" s="100"/>
      <c r="BE6" s="100"/>
      <c r="BF6" s="192" t="s">
        <v>1639</v>
      </c>
      <c r="BG6" s="192" t="s">
        <v>1640</v>
      </c>
      <c r="BH6" s="118" t="s">
        <v>1748</v>
      </c>
      <c r="BI6" s="118" t="s">
        <v>3695</v>
      </c>
      <c r="BJ6" s="118" t="s">
        <v>1712</v>
      </c>
      <c r="BK6" s="118" t="s">
        <v>3696</v>
      </c>
      <c r="BL6" s="118" t="s">
        <v>1641</v>
      </c>
      <c r="BM6" s="118" t="s">
        <v>2209</v>
      </c>
      <c r="BN6" s="118" t="s">
        <v>3697</v>
      </c>
      <c r="BO6" s="118" t="s">
        <v>1644</v>
      </c>
      <c r="BP6" s="191"/>
      <c r="BQ6" s="191" t="s">
        <v>3698</v>
      </c>
      <c r="BR6" s="185"/>
      <c r="BS6" s="766">
        <f>参数表!$E$15</f>
        <v>0</v>
      </c>
      <c r="BT6" s="898"/>
      <c r="BU6" s="898"/>
      <c r="BV6" s="898"/>
      <c r="BW6" s="185"/>
      <c r="BX6" s="185"/>
      <c r="BY6" s="899">
        <f>房屋!BZ6</f>
        <v>1</v>
      </c>
      <c r="BZ6" s="898"/>
      <c r="CA6" s="185"/>
      <c r="CB6" s="185"/>
      <c r="CC6" s="530" t="str">
        <f>$BB$2</f>
        <v>2025年7月31日</v>
      </c>
      <c r="CD6" s="899"/>
      <c r="CE6" s="185">
        <v>0.4</v>
      </c>
      <c r="CF6" s="185">
        <v>0.6</v>
      </c>
      <c r="CG6" s="185"/>
      <c r="CH6" s="111"/>
      <c r="CI6" s="78"/>
      <c r="CJ6" s="78"/>
      <c r="CK6" s="78"/>
      <c r="CL6" s="78"/>
      <c r="CM6" s="78"/>
      <c r="CN6" s="78"/>
      <c r="CO6" s="194"/>
      <c r="CP6" s="111"/>
    </row>
    <row r="7" s="72" customFormat="1" ht="15" customHeight="1" spans="1:94">
      <c r="A7" s="195"/>
      <c r="B7" s="694"/>
      <c r="C7" s="149"/>
      <c r="D7" s="149"/>
      <c r="E7" s="149"/>
      <c r="F7" s="695"/>
      <c r="G7" s="149"/>
      <c r="H7" s="531"/>
      <c r="I7" s="149"/>
      <c r="J7" s="149"/>
      <c r="K7" s="113"/>
      <c r="L7" s="113"/>
      <c r="M7" s="198"/>
      <c r="N7" s="532"/>
      <c r="O7" s="118"/>
      <c r="P7" s="113"/>
      <c r="Q7" s="519" t="s">
        <v>1968</v>
      </c>
      <c r="R7" s="519" t="s">
        <v>1969</v>
      </c>
      <c r="S7" s="519" t="s">
        <v>3699</v>
      </c>
      <c r="T7" s="519" t="s">
        <v>3700</v>
      </c>
      <c r="U7" s="149" t="s">
        <v>3701</v>
      </c>
      <c r="V7" s="113" t="s">
        <v>1556</v>
      </c>
      <c r="W7" s="113" t="s">
        <v>1557</v>
      </c>
      <c r="X7" s="113" t="s">
        <v>3702</v>
      </c>
      <c r="Y7" s="117" t="s">
        <v>3703</v>
      </c>
      <c r="Z7" s="117" t="s">
        <v>3704</v>
      </c>
      <c r="AA7" s="117" t="s">
        <v>3705</v>
      </c>
      <c r="AB7" s="113" t="s">
        <v>1556</v>
      </c>
      <c r="AC7" s="113" t="s">
        <v>1557</v>
      </c>
      <c r="AD7" s="113" t="s">
        <v>3702</v>
      </c>
      <c r="AE7" s="113" t="s">
        <v>1556</v>
      </c>
      <c r="AF7" s="149" t="s">
        <v>2753</v>
      </c>
      <c r="AG7" s="113" t="s">
        <v>1557</v>
      </c>
      <c r="AH7" s="113"/>
      <c r="AI7" s="113"/>
      <c r="AJ7" s="113"/>
      <c r="BA7" s="100" t="s">
        <v>1545</v>
      </c>
      <c r="BB7" s="100" t="s">
        <v>1635</v>
      </c>
      <c r="BC7" s="100" t="s">
        <v>1636</v>
      </c>
      <c r="BD7" s="100" t="s">
        <v>1637</v>
      </c>
      <c r="BE7" s="100" t="s">
        <v>1638</v>
      </c>
      <c r="BF7" s="197"/>
      <c r="BG7" s="197"/>
      <c r="BH7" s="118"/>
      <c r="BI7" s="118"/>
      <c r="BJ7" s="118"/>
      <c r="BK7" s="118"/>
      <c r="BL7" s="118"/>
      <c r="BM7" s="118"/>
      <c r="BN7" s="118"/>
      <c r="BO7" s="118"/>
      <c r="BP7" s="520" t="s">
        <v>2667</v>
      </c>
      <c r="BQ7" s="184" t="s">
        <v>3706</v>
      </c>
      <c r="BR7" s="184" t="s">
        <v>3707</v>
      </c>
      <c r="BS7" s="184" t="s">
        <v>2757</v>
      </c>
      <c r="BT7" s="783" t="s">
        <v>3708</v>
      </c>
      <c r="BU7" s="841" t="s">
        <v>3709</v>
      </c>
      <c r="BV7" s="783" t="s">
        <v>3711</v>
      </c>
      <c r="BW7" s="184" t="s">
        <v>3712</v>
      </c>
      <c r="BX7" s="184" t="s">
        <v>3713</v>
      </c>
      <c r="BY7" s="784" t="s">
        <v>3714</v>
      </c>
      <c r="BZ7" s="783" t="s">
        <v>3715</v>
      </c>
      <c r="CA7" s="184" t="s">
        <v>3716</v>
      </c>
      <c r="CB7" s="184" t="s">
        <v>3717</v>
      </c>
      <c r="CC7" s="184" t="s">
        <v>2761</v>
      </c>
      <c r="CD7" s="784" t="s">
        <v>2763</v>
      </c>
      <c r="CE7" s="184" t="s">
        <v>3718</v>
      </c>
      <c r="CF7" s="184" t="s">
        <v>3719</v>
      </c>
      <c r="CG7" s="184" t="s">
        <v>3720</v>
      </c>
      <c r="CH7" s="119"/>
      <c r="CI7" s="120" t="s">
        <v>1645</v>
      </c>
      <c r="CJ7" s="121" t="s">
        <v>1646</v>
      </c>
      <c r="CK7" s="121" t="s">
        <v>1647</v>
      </c>
      <c r="CL7" s="121" t="s">
        <v>1648</v>
      </c>
      <c r="CM7" s="121" t="s">
        <v>1647</v>
      </c>
      <c r="CN7" s="121" t="s">
        <v>1647</v>
      </c>
      <c r="CO7" s="121" t="s">
        <v>1649</v>
      </c>
      <c r="CP7" s="122" t="s">
        <v>1650</v>
      </c>
    </row>
    <row r="8" ht="15" customHeight="1" spans="1:94">
      <c r="A8" s="123" t="str">
        <f>IF(C8="","",COUNT(A$7:A7)+1)</f>
        <v/>
      </c>
      <c r="B8" s="123"/>
      <c r="C8" s="124"/>
      <c r="D8" s="124"/>
      <c r="E8" s="124"/>
      <c r="F8" s="124"/>
      <c r="G8" s="126"/>
      <c r="H8" s="124"/>
      <c r="I8" s="125"/>
      <c r="J8" s="123"/>
      <c r="K8" s="123"/>
      <c r="L8" s="123"/>
      <c r="M8" s="123"/>
      <c r="N8" s="533"/>
      <c r="O8" s="125"/>
      <c r="P8" s="129"/>
      <c r="Q8" s="127"/>
      <c r="R8" s="127" t="str">
        <f>IFERROR(VLOOKUP(Q8,参数表!$H$2:$I$50,2,FALSE),"")</f>
        <v/>
      </c>
      <c r="S8" s="128" t="str">
        <f>IFERROR(IF(OR(Q8="人民币",Q8=""),"",AB8/R8),"")</f>
        <v/>
      </c>
      <c r="T8" s="128" t="str">
        <f>IFERROR(IF(OR(Q8="人民币",Q8=""),"",AC8/R8),"")</f>
        <v/>
      </c>
      <c r="U8" s="129" t="str">
        <f>IFERROR(IF(OR(Q8="人民币",Q8=""),"",AD8/R8),"")</f>
        <v/>
      </c>
      <c r="V8" s="129"/>
      <c r="W8" s="129"/>
      <c r="X8" s="129"/>
      <c r="Y8" s="130"/>
      <c r="Z8" s="130"/>
      <c r="AA8" s="130"/>
      <c r="AB8" s="129" t="str">
        <f>IF(C8="","",V8+Y8)</f>
        <v/>
      </c>
      <c r="AC8" s="129" t="str">
        <f>IF(C8="","",W8+Z8)</f>
        <v/>
      </c>
      <c r="AD8" s="129" t="str">
        <f>IF(C8="","",X8+AA8)</f>
        <v/>
      </c>
      <c r="AE8" s="129" t="str">
        <f t="shared" ref="AE8:AE27" si="0">IF(C8="","",IF($BB$3="是",IF(BP8="成本法",CB8,BQ8*P8),""))</f>
        <v/>
      </c>
      <c r="AF8" s="521" t="str">
        <f t="shared" ref="AF8:AF27" si="1">IF(C8="","",IF($BB$3="是",IF(BP8="成本法",MAX(30,CG8*100),""),""))</f>
        <v/>
      </c>
      <c r="AG8" s="129" t="str">
        <f>IFERROR(IF(AF8="",AE8,ROUND(AE8*AF8/100,0)),"")</f>
        <v/>
      </c>
      <c r="AH8" s="129" t="str">
        <f>IFERROR((AG8-(AC8-AD8))/(AC8-AD8)*100,"")</f>
        <v/>
      </c>
      <c r="AI8" s="129" t="str">
        <f>IFERROR(AE8/P8,"")</f>
        <v/>
      </c>
      <c r="AJ8" s="124"/>
      <c r="BA8" s="78"/>
      <c r="BB8" s="132" t="s">
        <v>3884</v>
      </c>
      <c r="BC8" s="133"/>
      <c r="BD8" s="132" t="str">
        <f>IF(OR(C8="",BC8=""),"",COUNTIF(BC$8:BC8,"√"))</f>
        <v/>
      </c>
      <c r="BE8" s="134" t="str">
        <f t="shared" ref="BE8:BE27" si="2">IF(BC8="","",BB8&amp;"︱"&amp;C8&amp;"︱"&amp;TEXT(AE8,"#,##0.00"))</f>
        <v/>
      </c>
      <c r="BF8" s="135" t="str">
        <f>IF($C8="","",IF(BF$5=0,"OK","出错"))</f>
        <v/>
      </c>
      <c r="BG8" s="135" t="str">
        <f>IF($C8="","",IF(BG$5=0,"OK","出错"))</f>
        <v/>
      </c>
      <c r="BH8" s="136"/>
      <c r="BI8" s="136"/>
      <c r="BJ8" s="136"/>
      <c r="BK8" s="136"/>
      <c r="BL8" s="136"/>
      <c r="BM8" s="137"/>
      <c r="BN8" s="136"/>
      <c r="BO8" s="137"/>
      <c r="BP8" s="165" t="s">
        <v>2706</v>
      </c>
      <c r="BQ8" s="223"/>
      <c r="BR8" s="522">
        <f t="shared" ref="BR8:BR27" si="3">P8*BQ8</f>
        <v>0</v>
      </c>
      <c r="BS8" s="156">
        <f>BR8/(1+BS$6)*BS$6</f>
        <v>0</v>
      </c>
      <c r="BT8" s="776"/>
      <c r="BU8" s="776"/>
      <c r="BV8" s="851">
        <f>BR8*BT8</f>
        <v>0</v>
      </c>
      <c r="BW8" s="156">
        <f>BS8+BR8*(BT8-BU8)/1.06*6%</f>
        <v>0</v>
      </c>
      <c r="BX8" s="156">
        <f>BR8+BV8</f>
        <v>0</v>
      </c>
      <c r="BY8" s="522">
        <f t="shared" ref="BY8:BY27" si="4">BY$6</f>
        <v>1</v>
      </c>
      <c r="BZ8" s="852">
        <f>LOOKUP(BY8,参数表!$A$13:$B$19)</f>
        <v>0</v>
      </c>
      <c r="CA8" s="156">
        <f>BX8*BY8*BZ8/2</f>
        <v>0</v>
      </c>
      <c r="CB8" s="156">
        <f>ROUND(BX8+CA8-BW8,-2)</f>
        <v>0</v>
      </c>
      <c r="CC8" s="522">
        <f t="shared" ref="CC8:CC27" si="5">(CC$6-I8)/365.25</f>
        <v>125.582477754962</v>
      </c>
      <c r="CD8" s="676"/>
      <c r="CE8" s="853">
        <f>IFERROR(ROUND(1-CC8/CD8,2),0)</f>
        <v>0</v>
      </c>
      <c r="CF8" s="853">
        <f>CE8</f>
        <v>0</v>
      </c>
      <c r="CG8" s="853">
        <f t="shared" ref="CG8:CG27" si="6">ROUND(IF(ABS(CF8-CE8)&gt;5%,CF8,CE8*CE$6+CF8*CF$6),2)</f>
        <v>0</v>
      </c>
      <c r="CI8" s="134" t="str">
        <f>IF(COUNTIF(CI$7:CI7,C8)&gt;0,"",C8)&amp;""</f>
        <v/>
      </c>
      <c r="CJ8" s="138">
        <f>SUMIF(C$8:C$27,CI8,AB$8:AB$27)</f>
        <v>0</v>
      </c>
      <c r="CK8" s="132">
        <f t="shared" ref="CK8" si="7">RANK(CJ8,CJ$8:CJ$27)</f>
        <v>1</v>
      </c>
      <c r="CL8" s="138">
        <f>SUMIF(C$8:C$27,CI8,AE$8:AE$27)</f>
        <v>0</v>
      </c>
      <c r="CM8" s="132">
        <f>RANK(CL8,CL$8:CL$27)</f>
        <v>1</v>
      </c>
      <c r="CN8" s="138">
        <f>SUM(CJ8:CJ27)</f>
        <v>0</v>
      </c>
      <c r="CO8" s="138"/>
      <c r="CP8" s="138"/>
    </row>
    <row r="9" ht="15" customHeight="1" spans="1:94">
      <c r="A9" s="123" t="str">
        <f>IF(C9="","",COUNT(A$7:A8)+1)</f>
        <v/>
      </c>
      <c r="B9" s="141"/>
      <c r="C9" s="139"/>
      <c r="D9" s="139"/>
      <c r="E9" s="139"/>
      <c r="F9" s="139"/>
      <c r="G9" s="141"/>
      <c r="H9" s="535"/>
      <c r="I9" s="140"/>
      <c r="J9" s="902"/>
      <c r="K9" s="902"/>
      <c r="L9" s="902"/>
      <c r="M9" s="902"/>
      <c r="N9" s="536"/>
      <c r="O9" s="141"/>
      <c r="P9" s="143"/>
      <c r="Q9" s="142"/>
      <c r="R9" s="127" t="str">
        <f>IFERROR(VLOOKUP(Q9,参数表!$H$2:$I$50,2,FALSE),"")</f>
        <v/>
      </c>
      <c r="S9" s="128" t="str">
        <f t="shared" ref="S9:S27" si="8">IFERROR(IF(OR(Q9="人民币",Q9=""),"",AB9/R9),"")</f>
        <v/>
      </c>
      <c r="T9" s="128" t="str">
        <f t="shared" ref="T9:T27" si="9">IFERROR(IF(OR(Q9="人民币",Q9=""),"",AC9/R9),"")</f>
        <v/>
      </c>
      <c r="U9" s="129" t="str">
        <f t="shared" ref="U9:U27" si="10">IFERROR(IF(OR(Q9="人民币",Q9=""),"",AD9/R9),"")</f>
        <v/>
      </c>
      <c r="V9" s="143"/>
      <c r="W9" s="143"/>
      <c r="X9" s="143"/>
      <c r="Y9" s="144"/>
      <c r="Z9" s="144"/>
      <c r="AA9" s="144"/>
      <c r="AB9" s="129" t="str">
        <f t="shared" ref="AB9:AB27" si="11">IF(C9="","",V9+Y9)</f>
        <v/>
      </c>
      <c r="AC9" s="129" t="str">
        <f t="shared" ref="AC9:AC27" si="12">IF(C9="","",W9+Z9)</f>
        <v/>
      </c>
      <c r="AD9" s="129" t="str">
        <f t="shared" ref="AD9:AD27" si="13">IF(C9="","",X9+AA9)</f>
        <v/>
      </c>
      <c r="AE9" s="129" t="str">
        <f t="shared" si="0"/>
        <v/>
      </c>
      <c r="AF9" s="521" t="str">
        <f t="shared" si="1"/>
        <v/>
      </c>
      <c r="AG9" s="129" t="str">
        <f t="shared" ref="AG9:AG27" si="14">IFERROR(IF(AF9="",AE9,ROUND(AE9*AF9/100,0)),"")</f>
        <v/>
      </c>
      <c r="AH9" s="129" t="str">
        <f t="shared" ref="AH9:AH30" si="15">IFERROR((AG9-(AC9-AD9))/(AC9-AD9)*100,"")</f>
        <v/>
      </c>
      <c r="AI9" s="129" t="str">
        <f t="shared" ref="AI9:AI27" si="16">IFERROR(AE9/P9,"")</f>
        <v/>
      </c>
      <c r="AJ9" s="139"/>
      <c r="BA9" s="78"/>
      <c r="BB9" s="132" t="s">
        <v>3885</v>
      </c>
      <c r="BC9" s="133"/>
      <c r="BD9" s="132" t="str">
        <f>IF(OR(C9="",BC9=""),"",COUNTIF(BC$8:BC9,"√"))</f>
        <v/>
      </c>
      <c r="BE9" s="134" t="str">
        <f t="shared" si="2"/>
        <v/>
      </c>
      <c r="BF9" s="135" t="str">
        <f t="shared" ref="BF9:BG27" si="17">IF($C9="","",IF(BF$5=0,"OK","出错"))</f>
        <v/>
      </c>
      <c r="BG9" s="135" t="str">
        <f t="shared" si="17"/>
        <v/>
      </c>
      <c r="BH9" s="136"/>
      <c r="BI9" s="136"/>
      <c r="BJ9" s="136"/>
      <c r="BK9" s="136"/>
      <c r="BL9" s="136"/>
      <c r="BM9" s="137"/>
      <c r="BN9" s="136"/>
      <c r="BO9" s="137"/>
      <c r="BP9" s="165" t="s">
        <v>2706</v>
      </c>
      <c r="BQ9" s="223"/>
      <c r="BR9" s="522">
        <f t="shared" si="3"/>
        <v>0</v>
      </c>
      <c r="BS9" s="156">
        <f>BR9/(1+BS$6)*BS$6</f>
        <v>0</v>
      </c>
      <c r="BT9" s="776"/>
      <c r="BU9" s="776"/>
      <c r="BV9" s="851">
        <f>BR9*BT9</f>
        <v>0</v>
      </c>
      <c r="BW9" s="156">
        <f>BS9+BR9*(BT9-BU9)/1.06*6%</f>
        <v>0</v>
      </c>
      <c r="BX9" s="156">
        <f>BR9+BV9</f>
        <v>0</v>
      </c>
      <c r="BY9" s="522">
        <f t="shared" si="4"/>
        <v>1</v>
      </c>
      <c r="BZ9" s="852">
        <f>LOOKUP(BY9,参数表!$A$13:$B$19)</f>
        <v>0</v>
      </c>
      <c r="CA9" s="156">
        <f t="shared" ref="CA9:CA27" si="18">BX9*BY9*BZ9/2</f>
        <v>0</v>
      </c>
      <c r="CB9" s="156">
        <f t="shared" ref="CB9:CB27" si="19">ROUND(BX9+CA9-BW9,-2)</f>
        <v>0</v>
      </c>
      <c r="CC9" s="522">
        <f t="shared" si="5"/>
        <v>125.582477754962</v>
      </c>
      <c r="CD9" s="676"/>
      <c r="CE9" s="853">
        <f t="shared" ref="CE9:CE27" si="20">IFERROR(ROUND(1-CC9/CD9,2),0)</f>
        <v>0</v>
      </c>
      <c r="CF9" s="853">
        <f t="shared" ref="CF9:CF27" si="21">CE9</f>
        <v>0</v>
      </c>
      <c r="CG9" s="853">
        <f t="shared" si="6"/>
        <v>0</v>
      </c>
      <c r="CI9" s="134" t="str">
        <f>IF(COUNTIF(CI$7:CI8,C9)&gt;0,"",C9)&amp;""</f>
        <v/>
      </c>
      <c r="CJ9" s="138">
        <f t="shared" ref="CJ9:CJ27" si="22">SUMIF(C$8:C$27,CI9,AB$8:AB$27)</f>
        <v>0</v>
      </c>
      <c r="CK9" s="132">
        <f t="shared" ref="CK9:CK27" si="23">RANK(CJ9,CJ$8:CJ$27)</f>
        <v>1</v>
      </c>
      <c r="CL9" s="138">
        <f t="shared" ref="CL9:CL27" si="24">SUMIF(C$8:C$27,CI9,AE$8:AE$27)</f>
        <v>0</v>
      </c>
      <c r="CM9" s="132">
        <f t="shared" ref="CM9:CM27" si="25">RANK(CL9,CL$8:CL$27)</f>
        <v>1</v>
      </c>
      <c r="CN9" s="138">
        <f>SUM(CL8:CL27)</f>
        <v>0</v>
      </c>
      <c r="CO9" s="138"/>
      <c r="CP9" s="138"/>
    </row>
    <row r="10" ht="15" customHeight="1" spans="1:94">
      <c r="A10" s="123" t="str">
        <f>IF(C10="","",COUNT(A$7:A9)+1)</f>
        <v/>
      </c>
      <c r="B10" s="141"/>
      <c r="C10" s="139"/>
      <c r="D10" s="139"/>
      <c r="E10" s="139"/>
      <c r="F10" s="139"/>
      <c r="G10" s="141"/>
      <c r="H10" s="535"/>
      <c r="I10" s="140"/>
      <c r="J10" s="902"/>
      <c r="K10" s="902"/>
      <c r="L10" s="902"/>
      <c r="M10" s="902"/>
      <c r="N10" s="536"/>
      <c r="O10" s="141"/>
      <c r="P10" s="143"/>
      <c r="Q10" s="142"/>
      <c r="R10" s="127" t="str">
        <f>IFERROR(VLOOKUP(Q10,参数表!$H$2:$I$50,2,FALSE),"")</f>
        <v/>
      </c>
      <c r="S10" s="128" t="str">
        <f t="shared" si="8"/>
        <v/>
      </c>
      <c r="T10" s="128" t="str">
        <f t="shared" si="9"/>
        <v/>
      </c>
      <c r="U10" s="129" t="str">
        <f t="shared" si="10"/>
        <v/>
      </c>
      <c r="V10" s="143"/>
      <c r="W10" s="143"/>
      <c r="X10" s="143"/>
      <c r="Y10" s="144"/>
      <c r="Z10" s="144"/>
      <c r="AA10" s="144"/>
      <c r="AB10" s="129" t="str">
        <f t="shared" si="11"/>
        <v/>
      </c>
      <c r="AC10" s="129" t="str">
        <f t="shared" si="12"/>
        <v/>
      </c>
      <c r="AD10" s="129" t="str">
        <f t="shared" si="13"/>
        <v/>
      </c>
      <c r="AE10" s="129" t="str">
        <f t="shared" si="0"/>
        <v/>
      </c>
      <c r="AF10" s="521" t="str">
        <f t="shared" si="1"/>
        <v/>
      </c>
      <c r="AG10" s="129" t="str">
        <f t="shared" si="14"/>
        <v/>
      </c>
      <c r="AH10" s="129" t="str">
        <f t="shared" si="15"/>
        <v/>
      </c>
      <c r="AI10" s="129" t="str">
        <f t="shared" si="16"/>
        <v/>
      </c>
      <c r="AJ10" s="139"/>
      <c r="BA10" s="78"/>
      <c r="BB10" s="132" t="s">
        <v>3886</v>
      </c>
      <c r="BC10" s="133"/>
      <c r="BD10" s="132" t="str">
        <f>IF(OR(C10="",BC10=""),"",COUNTIF(BC$8:BC10,"√"))</f>
        <v/>
      </c>
      <c r="BE10" s="134" t="str">
        <f t="shared" si="2"/>
        <v/>
      </c>
      <c r="BF10" s="135" t="str">
        <f t="shared" si="17"/>
        <v/>
      </c>
      <c r="BG10" s="135" t="str">
        <f t="shared" si="17"/>
        <v/>
      </c>
      <c r="BH10" s="136"/>
      <c r="BI10" s="136"/>
      <c r="BJ10" s="136"/>
      <c r="BK10" s="136"/>
      <c r="BL10" s="136"/>
      <c r="BM10" s="137"/>
      <c r="BN10" s="136"/>
      <c r="BO10" s="137"/>
      <c r="BP10" s="165" t="s">
        <v>2706</v>
      </c>
      <c r="BQ10" s="676"/>
      <c r="BR10" s="522">
        <f t="shared" si="3"/>
        <v>0</v>
      </c>
      <c r="BS10" s="156">
        <f t="shared" ref="BS10:BS27" si="26">BR10/(1+BS$6)*BS$6</f>
        <v>0</v>
      </c>
      <c r="BT10" s="776"/>
      <c r="BU10" s="776"/>
      <c r="BV10" s="851">
        <f>BR10*BT10</f>
        <v>0</v>
      </c>
      <c r="BW10" s="156">
        <f>BS10+BR10*(BT10-BU10)/1.06*6%</f>
        <v>0</v>
      </c>
      <c r="BX10" s="156">
        <f>BR10+BV10</f>
        <v>0</v>
      </c>
      <c r="BY10" s="522">
        <f t="shared" si="4"/>
        <v>1</v>
      </c>
      <c r="BZ10" s="852">
        <f>LOOKUP(BY10,参数表!$A$13:$B$19)</f>
        <v>0</v>
      </c>
      <c r="CA10" s="156">
        <f t="shared" si="18"/>
        <v>0</v>
      </c>
      <c r="CB10" s="156">
        <f t="shared" si="19"/>
        <v>0</v>
      </c>
      <c r="CC10" s="522">
        <f t="shared" si="5"/>
        <v>125.582477754962</v>
      </c>
      <c r="CD10" s="676"/>
      <c r="CE10" s="853">
        <f t="shared" si="20"/>
        <v>0</v>
      </c>
      <c r="CF10" s="853">
        <f t="shared" si="21"/>
        <v>0</v>
      </c>
      <c r="CG10" s="853">
        <f t="shared" si="6"/>
        <v>0</v>
      </c>
      <c r="CI10" s="134" t="str">
        <f>IF(COUNTIF(CI$7:CI9,C10)&gt;0,"",C10)&amp;""</f>
        <v/>
      </c>
      <c r="CJ10" s="138">
        <f t="shared" si="22"/>
        <v>0</v>
      </c>
      <c r="CK10" s="132">
        <f t="shared" si="23"/>
        <v>1</v>
      </c>
      <c r="CL10" s="138">
        <f t="shared" si="24"/>
        <v>0</v>
      </c>
      <c r="CM10" s="132">
        <f t="shared" si="25"/>
        <v>1</v>
      </c>
      <c r="CN10" s="132">
        <v>1</v>
      </c>
      <c r="CO10" s="134" t="str">
        <f>IFERROR(INDEX(CI$8:CI$27,MATCH(CN10,IF(CN$8=0,CM$8:CM$27,CK$8:CK$27),0))&amp;"","")</f>
        <v/>
      </c>
      <c r="CP10" s="146" t="str">
        <f>IF(CO11="","",IF(CO12="","和","、"))</f>
        <v/>
      </c>
    </row>
    <row r="11" ht="15" customHeight="1" spans="1:94">
      <c r="A11" s="123" t="str">
        <f>IF(C11="","",COUNT(A$7:A10)+1)</f>
        <v/>
      </c>
      <c r="B11" s="141"/>
      <c r="C11" s="139"/>
      <c r="D11" s="139"/>
      <c r="E11" s="139"/>
      <c r="F11" s="139"/>
      <c r="G11" s="141"/>
      <c r="H11" s="535"/>
      <c r="I11" s="140"/>
      <c r="J11" s="902"/>
      <c r="K11" s="902"/>
      <c r="L11" s="902"/>
      <c r="M11" s="902"/>
      <c r="N11" s="536"/>
      <c r="O11" s="141"/>
      <c r="P11" s="143"/>
      <c r="Q11" s="142"/>
      <c r="R11" s="127" t="str">
        <f>IFERROR(VLOOKUP(Q11,参数表!$H$2:$I$50,2,FALSE),"")</f>
        <v/>
      </c>
      <c r="S11" s="128" t="str">
        <f t="shared" si="8"/>
        <v/>
      </c>
      <c r="T11" s="128" t="str">
        <f t="shared" si="9"/>
        <v/>
      </c>
      <c r="U11" s="129" t="str">
        <f t="shared" si="10"/>
        <v/>
      </c>
      <c r="V11" s="143"/>
      <c r="W11" s="143"/>
      <c r="X11" s="143"/>
      <c r="Y11" s="144"/>
      <c r="Z11" s="144"/>
      <c r="AA11" s="144"/>
      <c r="AB11" s="129" t="str">
        <f t="shared" si="11"/>
        <v/>
      </c>
      <c r="AC11" s="129" t="str">
        <f t="shared" si="12"/>
        <v/>
      </c>
      <c r="AD11" s="129" t="str">
        <f t="shared" si="13"/>
        <v/>
      </c>
      <c r="AE11" s="129" t="str">
        <f t="shared" si="0"/>
        <v/>
      </c>
      <c r="AF11" s="521" t="str">
        <f t="shared" si="1"/>
        <v/>
      </c>
      <c r="AG11" s="129" t="str">
        <f t="shared" si="14"/>
        <v/>
      </c>
      <c r="AH11" s="129" t="str">
        <f t="shared" si="15"/>
        <v/>
      </c>
      <c r="AI11" s="129" t="str">
        <f t="shared" si="16"/>
        <v/>
      </c>
      <c r="AJ11" s="139"/>
      <c r="BA11" s="78"/>
      <c r="BB11" s="132" t="s">
        <v>3887</v>
      </c>
      <c r="BC11" s="133"/>
      <c r="BD11" s="132" t="str">
        <f>IF(OR(C11="",BC11=""),"",COUNTIF(BC$8:BC11,"√"))</f>
        <v/>
      </c>
      <c r="BE11" s="134" t="str">
        <f t="shared" si="2"/>
        <v/>
      </c>
      <c r="BF11" s="135" t="str">
        <f t="shared" si="17"/>
        <v/>
      </c>
      <c r="BG11" s="135" t="str">
        <f t="shared" si="17"/>
        <v/>
      </c>
      <c r="BH11" s="136"/>
      <c r="BI11" s="136"/>
      <c r="BJ11" s="136"/>
      <c r="BK11" s="136"/>
      <c r="BL11" s="136"/>
      <c r="BM11" s="137"/>
      <c r="BN11" s="136"/>
      <c r="BO11" s="137"/>
      <c r="BP11" s="165" t="s">
        <v>2706</v>
      </c>
      <c r="BQ11" s="676"/>
      <c r="BR11" s="522">
        <f t="shared" si="3"/>
        <v>0</v>
      </c>
      <c r="BS11" s="156">
        <f t="shared" si="26"/>
        <v>0</v>
      </c>
      <c r="BT11" s="776"/>
      <c r="BU11" s="776"/>
      <c r="BV11" s="851">
        <f t="shared" ref="BV11:BV27" si="27">BR11*BT11</f>
        <v>0</v>
      </c>
      <c r="BW11" s="156">
        <f t="shared" ref="BW11:BW27" si="28">BS11+BR11*(BT11-BU11)/1.06*6%</f>
        <v>0</v>
      </c>
      <c r="BX11" s="156">
        <f t="shared" ref="BX11:BX27" si="29">BR11+BV11</f>
        <v>0</v>
      </c>
      <c r="BY11" s="522">
        <f t="shared" si="4"/>
        <v>1</v>
      </c>
      <c r="BZ11" s="852">
        <f>LOOKUP(BY11,参数表!$A$13:$B$19)</f>
        <v>0</v>
      </c>
      <c r="CA11" s="156">
        <f t="shared" si="18"/>
        <v>0</v>
      </c>
      <c r="CB11" s="156">
        <f t="shared" si="19"/>
        <v>0</v>
      </c>
      <c r="CC11" s="522">
        <f t="shared" si="5"/>
        <v>125.582477754962</v>
      </c>
      <c r="CD11" s="676"/>
      <c r="CE11" s="853">
        <f t="shared" si="20"/>
        <v>0</v>
      </c>
      <c r="CF11" s="853">
        <f t="shared" si="21"/>
        <v>0</v>
      </c>
      <c r="CG11" s="853">
        <f t="shared" si="6"/>
        <v>0</v>
      </c>
      <c r="CI11" s="134" t="str">
        <f>IF(COUNTIF(CI$7:CI10,C11)&gt;0,"",C11)&amp;""</f>
        <v/>
      </c>
      <c r="CJ11" s="138">
        <f t="shared" si="22"/>
        <v>0</v>
      </c>
      <c r="CK11" s="132">
        <f t="shared" si="23"/>
        <v>1</v>
      </c>
      <c r="CL11" s="138">
        <f t="shared" si="24"/>
        <v>0</v>
      </c>
      <c r="CM11" s="132">
        <f t="shared" si="25"/>
        <v>1</v>
      </c>
      <c r="CN11" s="132">
        <v>2</v>
      </c>
      <c r="CO11" s="134" t="str">
        <f t="shared" ref="CO11:CO14" si="30">IFERROR(INDEX(CI$8:CI$27,MATCH(CN11,IF(CN$8=0,CM$8:CM$27,CK$8:CK$27),0))&amp;"","")</f>
        <v/>
      </c>
      <c r="CP11" s="146" t="str">
        <f t="shared" ref="CP11:CP12" si="31">IF(CO12="","",IF(CO13="","和","、"))</f>
        <v/>
      </c>
    </row>
    <row r="12" ht="15" customHeight="1" spans="1:94">
      <c r="A12" s="123" t="str">
        <f>IF(C12="","",COUNT(A$7:A11)+1)</f>
        <v/>
      </c>
      <c r="B12" s="141"/>
      <c r="C12" s="139"/>
      <c r="D12" s="139"/>
      <c r="E12" s="139"/>
      <c r="F12" s="139"/>
      <c r="G12" s="141"/>
      <c r="H12" s="535"/>
      <c r="I12" s="140"/>
      <c r="J12" s="902"/>
      <c r="K12" s="902"/>
      <c r="L12" s="902"/>
      <c r="M12" s="902"/>
      <c r="N12" s="536"/>
      <c r="O12" s="141"/>
      <c r="P12" s="143"/>
      <c r="Q12" s="142"/>
      <c r="R12" s="127" t="str">
        <f>IFERROR(VLOOKUP(Q12,参数表!$H$2:$I$50,2,FALSE),"")</f>
        <v/>
      </c>
      <c r="S12" s="128" t="str">
        <f t="shared" si="8"/>
        <v/>
      </c>
      <c r="T12" s="128" t="str">
        <f t="shared" si="9"/>
        <v/>
      </c>
      <c r="U12" s="129" t="str">
        <f t="shared" si="10"/>
        <v/>
      </c>
      <c r="V12" s="143"/>
      <c r="W12" s="143"/>
      <c r="X12" s="143"/>
      <c r="Y12" s="144"/>
      <c r="Z12" s="144"/>
      <c r="AA12" s="144"/>
      <c r="AB12" s="129" t="str">
        <f t="shared" si="11"/>
        <v/>
      </c>
      <c r="AC12" s="129" t="str">
        <f t="shared" si="12"/>
        <v/>
      </c>
      <c r="AD12" s="129" t="str">
        <f t="shared" si="13"/>
        <v/>
      </c>
      <c r="AE12" s="129" t="str">
        <f t="shared" si="0"/>
        <v/>
      </c>
      <c r="AF12" s="521" t="str">
        <f t="shared" si="1"/>
        <v/>
      </c>
      <c r="AG12" s="129" t="str">
        <f t="shared" si="14"/>
        <v/>
      </c>
      <c r="AH12" s="129" t="str">
        <f t="shared" si="15"/>
        <v/>
      </c>
      <c r="AI12" s="129" t="str">
        <f t="shared" si="16"/>
        <v/>
      </c>
      <c r="AJ12" s="139"/>
      <c r="BA12" s="78"/>
      <c r="BB12" s="132" t="s">
        <v>3888</v>
      </c>
      <c r="BC12" s="133"/>
      <c r="BD12" s="132" t="str">
        <f>IF(OR(C12="",BC12=""),"",COUNTIF(BC$8:BC12,"√"))</f>
        <v/>
      </c>
      <c r="BE12" s="134" t="str">
        <f t="shared" si="2"/>
        <v/>
      </c>
      <c r="BF12" s="135" t="str">
        <f t="shared" si="17"/>
        <v/>
      </c>
      <c r="BG12" s="135" t="str">
        <f t="shared" si="17"/>
        <v/>
      </c>
      <c r="BH12" s="136"/>
      <c r="BI12" s="136"/>
      <c r="BJ12" s="136"/>
      <c r="BK12" s="136"/>
      <c r="BL12" s="136"/>
      <c r="BM12" s="137"/>
      <c r="BN12" s="136"/>
      <c r="BO12" s="137"/>
      <c r="BP12" s="165" t="s">
        <v>2706</v>
      </c>
      <c r="BQ12" s="676"/>
      <c r="BR12" s="522">
        <f t="shared" si="3"/>
        <v>0</v>
      </c>
      <c r="BS12" s="156">
        <f t="shared" si="26"/>
        <v>0</v>
      </c>
      <c r="BT12" s="776"/>
      <c r="BU12" s="776"/>
      <c r="BV12" s="851">
        <f t="shared" si="27"/>
        <v>0</v>
      </c>
      <c r="BW12" s="156">
        <f t="shared" si="28"/>
        <v>0</v>
      </c>
      <c r="BX12" s="156">
        <f t="shared" si="29"/>
        <v>0</v>
      </c>
      <c r="BY12" s="522">
        <f t="shared" si="4"/>
        <v>1</v>
      </c>
      <c r="BZ12" s="852">
        <f>LOOKUP(BY12,参数表!$A$13:$B$19)</f>
        <v>0</v>
      </c>
      <c r="CA12" s="156">
        <f t="shared" si="18"/>
        <v>0</v>
      </c>
      <c r="CB12" s="156">
        <f t="shared" si="19"/>
        <v>0</v>
      </c>
      <c r="CC12" s="522">
        <f t="shared" si="5"/>
        <v>125.582477754962</v>
      </c>
      <c r="CD12" s="676"/>
      <c r="CE12" s="853">
        <f t="shared" si="20"/>
        <v>0</v>
      </c>
      <c r="CF12" s="853">
        <f t="shared" si="21"/>
        <v>0</v>
      </c>
      <c r="CG12" s="853">
        <f t="shared" si="6"/>
        <v>0</v>
      </c>
      <c r="CI12" s="134" t="str">
        <f>IF(COUNTIF(CI$7:CI11,C12)&gt;0,"",C12)&amp;""</f>
        <v/>
      </c>
      <c r="CJ12" s="138">
        <f t="shared" si="22"/>
        <v>0</v>
      </c>
      <c r="CK12" s="132">
        <f t="shared" si="23"/>
        <v>1</v>
      </c>
      <c r="CL12" s="138">
        <f t="shared" si="24"/>
        <v>0</v>
      </c>
      <c r="CM12" s="132">
        <f t="shared" si="25"/>
        <v>1</v>
      </c>
      <c r="CN12" s="132">
        <v>3</v>
      </c>
      <c r="CO12" s="134" t="str">
        <f t="shared" si="30"/>
        <v/>
      </c>
      <c r="CP12" s="146" t="str">
        <f t="shared" si="31"/>
        <v/>
      </c>
    </row>
    <row r="13" ht="15" customHeight="1" spans="1:94">
      <c r="A13" s="123" t="str">
        <f>IF(C13="","",COUNT(A$7:A12)+1)</f>
        <v/>
      </c>
      <c r="B13" s="141"/>
      <c r="C13" s="139"/>
      <c r="D13" s="139"/>
      <c r="E13" s="139"/>
      <c r="F13" s="139"/>
      <c r="G13" s="141"/>
      <c r="H13" s="535"/>
      <c r="I13" s="140"/>
      <c r="J13" s="902"/>
      <c r="K13" s="902"/>
      <c r="L13" s="902"/>
      <c r="M13" s="902"/>
      <c r="N13" s="536"/>
      <c r="O13" s="141"/>
      <c r="P13" s="143"/>
      <c r="Q13" s="142"/>
      <c r="R13" s="127" t="str">
        <f>IFERROR(VLOOKUP(Q13,参数表!$H$2:$I$50,2,FALSE),"")</f>
        <v/>
      </c>
      <c r="S13" s="128" t="str">
        <f t="shared" si="8"/>
        <v/>
      </c>
      <c r="T13" s="128" t="str">
        <f t="shared" si="9"/>
        <v/>
      </c>
      <c r="U13" s="129" t="str">
        <f t="shared" si="10"/>
        <v/>
      </c>
      <c r="V13" s="143"/>
      <c r="W13" s="143"/>
      <c r="X13" s="143"/>
      <c r="Y13" s="144"/>
      <c r="Z13" s="144"/>
      <c r="AA13" s="144"/>
      <c r="AB13" s="129" t="str">
        <f t="shared" si="11"/>
        <v/>
      </c>
      <c r="AC13" s="129" t="str">
        <f t="shared" si="12"/>
        <v/>
      </c>
      <c r="AD13" s="129" t="str">
        <f t="shared" si="13"/>
        <v/>
      </c>
      <c r="AE13" s="129" t="str">
        <f t="shared" si="0"/>
        <v/>
      </c>
      <c r="AF13" s="521" t="str">
        <f t="shared" si="1"/>
        <v/>
      </c>
      <c r="AG13" s="129" t="str">
        <f t="shared" si="14"/>
        <v/>
      </c>
      <c r="AH13" s="129" t="str">
        <f t="shared" si="15"/>
        <v/>
      </c>
      <c r="AI13" s="129" t="str">
        <f t="shared" si="16"/>
        <v/>
      </c>
      <c r="AJ13" s="139"/>
      <c r="BA13" s="78"/>
      <c r="BB13" s="132" t="s">
        <v>3889</v>
      </c>
      <c r="BC13" s="133"/>
      <c r="BD13" s="132" t="str">
        <f>IF(OR(C13="",BC13=""),"",COUNTIF(BC$8:BC13,"√"))</f>
        <v/>
      </c>
      <c r="BE13" s="134" t="str">
        <f t="shared" si="2"/>
        <v/>
      </c>
      <c r="BF13" s="135" t="str">
        <f t="shared" si="17"/>
        <v/>
      </c>
      <c r="BG13" s="135" t="str">
        <f t="shared" si="17"/>
        <v/>
      </c>
      <c r="BH13" s="136"/>
      <c r="BI13" s="136"/>
      <c r="BJ13" s="136"/>
      <c r="BK13" s="136"/>
      <c r="BL13" s="136"/>
      <c r="BM13" s="137"/>
      <c r="BN13" s="136"/>
      <c r="BO13" s="137"/>
      <c r="BP13" s="165" t="s">
        <v>2706</v>
      </c>
      <c r="BQ13" s="676"/>
      <c r="BR13" s="522">
        <f t="shared" si="3"/>
        <v>0</v>
      </c>
      <c r="BS13" s="156">
        <f t="shared" si="26"/>
        <v>0</v>
      </c>
      <c r="BT13" s="776"/>
      <c r="BU13" s="776"/>
      <c r="BV13" s="851">
        <f t="shared" si="27"/>
        <v>0</v>
      </c>
      <c r="BW13" s="156">
        <f t="shared" si="28"/>
        <v>0</v>
      </c>
      <c r="BX13" s="156">
        <f t="shared" si="29"/>
        <v>0</v>
      </c>
      <c r="BY13" s="522">
        <f t="shared" si="4"/>
        <v>1</v>
      </c>
      <c r="BZ13" s="852">
        <f>LOOKUP(BY13,参数表!$A$13:$B$19)</f>
        <v>0</v>
      </c>
      <c r="CA13" s="156">
        <f t="shared" si="18"/>
        <v>0</v>
      </c>
      <c r="CB13" s="156">
        <f t="shared" si="19"/>
        <v>0</v>
      </c>
      <c r="CC13" s="522">
        <f t="shared" si="5"/>
        <v>125.582477754962</v>
      </c>
      <c r="CD13" s="676"/>
      <c r="CE13" s="853">
        <f t="shared" si="20"/>
        <v>0</v>
      </c>
      <c r="CF13" s="853">
        <f t="shared" si="21"/>
        <v>0</v>
      </c>
      <c r="CG13" s="853">
        <f t="shared" si="6"/>
        <v>0</v>
      </c>
      <c r="CI13" s="134" t="str">
        <f>IF(COUNTIF(CI$7:CI12,C13)&gt;0,"",C13)&amp;""</f>
        <v/>
      </c>
      <c r="CJ13" s="138">
        <f t="shared" si="22"/>
        <v>0</v>
      </c>
      <c r="CK13" s="132">
        <f t="shared" si="23"/>
        <v>1</v>
      </c>
      <c r="CL13" s="138">
        <f t="shared" si="24"/>
        <v>0</v>
      </c>
      <c r="CM13" s="132">
        <f t="shared" si="25"/>
        <v>1</v>
      </c>
      <c r="CN13" s="132">
        <v>4</v>
      </c>
      <c r="CO13" s="134" t="str">
        <f t="shared" si="30"/>
        <v/>
      </c>
      <c r="CP13" s="146" t="str">
        <f>IF(CO14="","","和")</f>
        <v/>
      </c>
    </row>
    <row r="14" ht="15" customHeight="1" spans="1:94">
      <c r="A14" s="123" t="str">
        <f>IF(C14="","",COUNT(A$7:A13)+1)</f>
        <v/>
      </c>
      <c r="B14" s="141"/>
      <c r="C14" s="139"/>
      <c r="D14" s="139"/>
      <c r="E14" s="139"/>
      <c r="F14" s="139"/>
      <c r="G14" s="141"/>
      <c r="H14" s="535"/>
      <c r="I14" s="140"/>
      <c r="J14" s="902"/>
      <c r="K14" s="902"/>
      <c r="L14" s="902"/>
      <c r="M14" s="902"/>
      <c r="N14" s="536"/>
      <c r="O14" s="141"/>
      <c r="P14" s="143"/>
      <c r="Q14" s="142"/>
      <c r="R14" s="127" t="str">
        <f>IFERROR(VLOOKUP(Q14,参数表!$H$2:$I$50,2,FALSE),"")</f>
        <v/>
      </c>
      <c r="S14" s="128" t="str">
        <f t="shared" si="8"/>
        <v/>
      </c>
      <c r="T14" s="128" t="str">
        <f t="shared" si="9"/>
        <v/>
      </c>
      <c r="U14" s="129" t="str">
        <f t="shared" si="10"/>
        <v/>
      </c>
      <c r="V14" s="143"/>
      <c r="W14" s="143"/>
      <c r="X14" s="143"/>
      <c r="Y14" s="144"/>
      <c r="Z14" s="144"/>
      <c r="AA14" s="144"/>
      <c r="AB14" s="129" t="str">
        <f t="shared" si="11"/>
        <v/>
      </c>
      <c r="AC14" s="129" t="str">
        <f t="shared" si="12"/>
        <v/>
      </c>
      <c r="AD14" s="129" t="str">
        <f t="shared" si="13"/>
        <v/>
      </c>
      <c r="AE14" s="129" t="str">
        <f t="shared" si="0"/>
        <v/>
      </c>
      <c r="AF14" s="521" t="str">
        <f t="shared" si="1"/>
        <v/>
      </c>
      <c r="AG14" s="129" t="str">
        <f t="shared" si="14"/>
        <v/>
      </c>
      <c r="AH14" s="129" t="str">
        <f t="shared" si="15"/>
        <v/>
      </c>
      <c r="AI14" s="129" t="str">
        <f t="shared" si="16"/>
        <v/>
      </c>
      <c r="AJ14" s="139"/>
      <c r="BA14" s="78"/>
      <c r="BB14" s="132" t="s">
        <v>3890</v>
      </c>
      <c r="BC14" s="133"/>
      <c r="BD14" s="132" t="str">
        <f>IF(OR(C14="",BC14=""),"",COUNTIF(BC$8:BC14,"√"))</f>
        <v/>
      </c>
      <c r="BE14" s="134" t="str">
        <f t="shared" si="2"/>
        <v/>
      </c>
      <c r="BF14" s="135" t="str">
        <f t="shared" si="17"/>
        <v/>
      </c>
      <c r="BG14" s="135" t="str">
        <f t="shared" si="17"/>
        <v/>
      </c>
      <c r="BH14" s="136"/>
      <c r="BI14" s="136"/>
      <c r="BJ14" s="136"/>
      <c r="BK14" s="136"/>
      <c r="BL14" s="136"/>
      <c r="BM14" s="137"/>
      <c r="BN14" s="136"/>
      <c r="BO14" s="137"/>
      <c r="BP14" s="165" t="s">
        <v>2706</v>
      </c>
      <c r="BQ14" s="676"/>
      <c r="BR14" s="522">
        <f t="shared" si="3"/>
        <v>0</v>
      </c>
      <c r="BS14" s="156">
        <f t="shared" si="26"/>
        <v>0</v>
      </c>
      <c r="BT14" s="776"/>
      <c r="BU14" s="776"/>
      <c r="BV14" s="851">
        <f t="shared" si="27"/>
        <v>0</v>
      </c>
      <c r="BW14" s="156">
        <f t="shared" si="28"/>
        <v>0</v>
      </c>
      <c r="BX14" s="156">
        <f t="shared" si="29"/>
        <v>0</v>
      </c>
      <c r="BY14" s="522">
        <f t="shared" si="4"/>
        <v>1</v>
      </c>
      <c r="BZ14" s="852">
        <f>LOOKUP(BY14,参数表!$A$13:$B$19)</f>
        <v>0</v>
      </c>
      <c r="CA14" s="156">
        <f t="shared" si="18"/>
        <v>0</v>
      </c>
      <c r="CB14" s="156">
        <f t="shared" si="19"/>
        <v>0</v>
      </c>
      <c r="CC14" s="522">
        <f t="shared" si="5"/>
        <v>125.582477754962</v>
      </c>
      <c r="CD14" s="676"/>
      <c r="CE14" s="853">
        <f t="shared" si="20"/>
        <v>0</v>
      </c>
      <c r="CF14" s="853">
        <f t="shared" si="21"/>
        <v>0</v>
      </c>
      <c r="CG14" s="853">
        <f t="shared" si="6"/>
        <v>0</v>
      </c>
      <c r="CI14" s="134" t="str">
        <f>IF(COUNTIF(CI$7:CI13,C14)&gt;0,"",C14)&amp;""</f>
        <v/>
      </c>
      <c r="CJ14" s="138">
        <f t="shared" si="22"/>
        <v>0</v>
      </c>
      <c r="CK14" s="132">
        <f t="shared" si="23"/>
        <v>1</v>
      </c>
      <c r="CL14" s="138">
        <f t="shared" si="24"/>
        <v>0</v>
      </c>
      <c r="CM14" s="132">
        <f t="shared" si="25"/>
        <v>1</v>
      </c>
      <c r="CN14" s="132">
        <v>5</v>
      </c>
      <c r="CO14" s="134" t="str">
        <f t="shared" si="30"/>
        <v/>
      </c>
      <c r="CP14" s="146"/>
    </row>
    <row r="15" ht="15" customHeight="1" spans="1:94">
      <c r="A15" s="123" t="str">
        <f>IF(C15="","",COUNT(A$7:A14)+1)</f>
        <v/>
      </c>
      <c r="B15" s="141"/>
      <c r="C15" s="139"/>
      <c r="D15" s="139"/>
      <c r="E15" s="139"/>
      <c r="F15" s="139"/>
      <c r="G15" s="141"/>
      <c r="H15" s="535"/>
      <c r="I15" s="140"/>
      <c r="J15" s="902"/>
      <c r="K15" s="902"/>
      <c r="L15" s="902"/>
      <c r="M15" s="902"/>
      <c r="N15" s="536"/>
      <c r="O15" s="141"/>
      <c r="P15" s="143"/>
      <c r="Q15" s="142"/>
      <c r="R15" s="127" t="str">
        <f>IFERROR(VLOOKUP(Q15,参数表!$H$2:$I$50,2,FALSE),"")</f>
        <v/>
      </c>
      <c r="S15" s="128" t="str">
        <f t="shared" si="8"/>
        <v/>
      </c>
      <c r="T15" s="128" t="str">
        <f t="shared" si="9"/>
        <v/>
      </c>
      <c r="U15" s="129" t="str">
        <f t="shared" si="10"/>
        <v/>
      </c>
      <c r="V15" s="143"/>
      <c r="W15" s="143"/>
      <c r="X15" s="143"/>
      <c r="Y15" s="144"/>
      <c r="Z15" s="144"/>
      <c r="AA15" s="144"/>
      <c r="AB15" s="129" t="str">
        <f t="shared" si="11"/>
        <v/>
      </c>
      <c r="AC15" s="129" t="str">
        <f t="shared" si="12"/>
        <v/>
      </c>
      <c r="AD15" s="129" t="str">
        <f t="shared" si="13"/>
        <v/>
      </c>
      <c r="AE15" s="129" t="str">
        <f t="shared" si="0"/>
        <v/>
      </c>
      <c r="AF15" s="521" t="str">
        <f t="shared" si="1"/>
        <v/>
      </c>
      <c r="AG15" s="129" t="str">
        <f t="shared" si="14"/>
        <v/>
      </c>
      <c r="AH15" s="129" t="str">
        <f t="shared" si="15"/>
        <v/>
      </c>
      <c r="AI15" s="129" t="str">
        <f t="shared" si="16"/>
        <v/>
      </c>
      <c r="AJ15" s="139"/>
      <c r="BA15" s="78"/>
      <c r="BB15" s="132" t="s">
        <v>3891</v>
      </c>
      <c r="BC15" s="133"/>
      <c r="BD15" s="132" t="str">
        <f>IF(OR(C15="",BC15=""),"",COUNTIF(BC$8:BC15,"√"))</f>
        <v/>
      </c>
      <c r="BE15" s="134" t="str">
        <f t="shared" si="2"/>
        <v/>
      </c>
      <c r="BF15" s="135" t="str">
        <f t="shared" si="17"/>
        <v/>
      </c>
      <c r="BG15" s="135" t="str">
        <f t="shared" si="17"/>
        <v/>
      </c>
      <c r="BH15" s="136"/>
      <c r="BI15" s="136"/>
      <c r="BJ15" s="136"/>
      <c r="BK15" s="136"/>
      <c r="BL15" s="136"/>
      <c r="BM15" s="137"/>
      <c r="BN15" s="136"/>
      <c r="BO15" s="137"/>
      <c r="BP15" s="165" t="s">
        <v>2706</v>
      </c>
      <c r="BQ15" s="676"/>
      <c r="BR15" s="522">
        <f t="shared" si="3"/>
        <v>0</v>
      </c>
      <c r="BS15" s="156">
        <f t="shared" si="26"/>
        <v>0</v>
      </c>
      <c r="BT15" s="776"/>
      <c r="BU15" s="776"/>
      <c r="BV15" s="851">
        <f t="shared" si="27"/>
        <v>0</v>
      </c>
      <c r="BW15" s="156">
        <f t="shared" si="28"/>
        <v>0</v>
      </c>
      <c r="BX15" s="156">
        <f t="shared" si="29"/>
        <v>0</v>
      </c>
      <c r="BY15" s="522">
        <f t="shared" si="4"/>
        <v>1</v>
      </c>
      <c r="BZ15" s="852">
        <f>LOOKUP(BY15,参数表!$A$13:$B$19)</f>
        <v>0</v>
      </c>
      <c r="CA15" s="156">
        <f t="shared" si="18"/>
        <v>0</v>
      </c>
      <c r="CB15" s="156">
        <f t="shared" si="19"/>
        <v>0</v>
      </c>
      <c r="CC15" s="522">
        <f t="shared" si="5"/>
        <v>125.582477754962</v>
      </c>
      <c r="CD15" s="676"/>
      <c r="CE15" s="853">
        <f t="shared" si="20"/>
        <v>0</v>
      </c>
      <c r="CF15" s="853">
        <f t="shared" si="21"/>
        <v>0</v>
      </c>
      <c r="CG15" s="853">
        <f t="shared" si="6"/>
        <v>0</v>
      </c>
      <c r="CI15" s="134" t="str">
        <f>IF(COUNTIF(CI$7:CI14,C15)&gt;0,"",C15)&amp;""</f>
        <v/>
      </c>
      <c r="CJ15" s="138">
        <f t="shared" si="22"/>
        <v>0</v>
      </c>
      <c r="CK15" s="132">
        <f t="shared" si="23"/>
        <v>1</v>
      </c>
      <c r="CL15" s="138">
        <f t="shared" si="24"/>
        <v>0</v>
      </c>
      <c r="CM15" s="132">
        <f t="shared" si="25"/>
        <v>1</v>
      </c>
      <c r="CN15" s="147" t="s">
        <v>1659</v>
      </c>
      <c r="CO15" s="132" t="str">
        <f>CONCATENATE(CO10,CP10,CO11,CP11,CO12,CP12,CO13,CP13,CO14)</f>
        <v/>
      </c>
      <c r="CP15" s="132"/>
    </row>
    <row r="16" ht="15" customHeight="1" spans="1:94">
      <c r="A16" s="123" t="str">
        <f>IF(C16="","",COUNT(A$7:A15)+1)</f>
        <v/>
      </c>
      <c r="B16" s="141"/>
      <c r="C16" s="139"/>
      <c r="D16" s="139"/>
      <c r="E16" s="139"/>
      <c r="F16" s="139"/>
      <c r="G16" s="141"/>
      <c r="H16" s="535"/>
      <c r="I16" s="140"/>
      <c r="J16" s="902"/>
      <c r="K16" s="902"/>
      <c r="L16" s="902"/>
      <c r="M16" s="902"/>
      <c r="N16" s="536"/>
      <c r="O16" s="141"/>
      <c r="P16" s="143"/>
      <c r="Q16" s="142"/>
      <c r="R16" s="127" t="str">
        <f>IFERROR(VLOOKUP(Q16,参数表!$H$2:$I$50,2,FALSE),"")</f>
        <v/>
      </c>
      <c r="S16" s="128" t="str">
        <f t="shared" si="8"/>
        <v/>
      </c>
      <c r="T16" s="128" t="str">
        <f t="shared" si="9"/>
        <v/>
      </c>
      <c r="U16" s="129" t="str">
        <f t="shared" si="10"/>
        <v/>
      </c>
      <c r="V16" s="143"/>
      <c r="W16" s="143"/>
      <c r="X16" s="143"/>
      <c r="Y16" s="144"/>
      <c r="Z16" s="144"/>
      <c r="AA16" s="144"/>
      <c r="AB16" s="129" t="str">
        <f t="shared" si="11"/>
        <v/>
      </c>
      <c r="AC16" s="129" t="str">
        <f t="shared" si="12"/>
        <v/>
      </c>
      <c r="AD16" s="129" t="str">
        <f t="shared" si="13"/>
        <v/>
      </c>
      <c r="AE16" s="129" t="str">
        <f t="shared" si="0"/>
        <v/>
      </c>
      <c r="AF16" s="521" t="str">
        <f t="shared" si="1"/>
        <v/>
      </c>
      <c r="AG16" s="129" t="str">
        <f t="shared" si="14"/>
        <v/>
      </c>
      <c r="AH16" s="129" t="str">
        <f t="shared" si="15"/>
        <v/>
      </c>
      <c r="AI16" s="129" t="str">
        <f t="shared" si="16"/>
        <v/>
      </c>
      <c r="AJ16" s="139"/>
      <c r="BA16" s="78"/>
      <c r="BB16" s="132" t="s">
        <v>3892</v>
      </c>
      <c r="BC16" s="133"/>
      <c r="BD16" s="132" t="str">
        <f>IF(OR(C16="",BC16=""),"",COUNTIF(BC$8:BC16,"√"))</f>
        <v/>
      </c>
      <c r="BE16" s="134" t="str">
        <f t="shared" si="2"/>
        <v/>
      </c>
      <c r="BF16" s="135" t="str">
        <f t="shared" si="17"/>
        <v/>
      </c>
      <c r="BG16" s="135" t="str">
        <f t="shared" si="17"/>
        <v/>
      </c>
      <c r="BH16" s="136"/>
      <c r="BI16" s="136"/>
      <c r="BJ16" s="136"/>
      <c r="BK16" s="136"/>
      <c r="BL16" s="136"/>
      <c r="BM16" s="137"/>
      <c r="BN16" s="136"/>
      <c r="BO16" s="137"/>
      <c r="BP16" s="165" t="s">
        <v>2706</v>
      </c>
      <c r="BQ16" s="676"/>
      <c r="BR16" s="522">
        <f t="shared" si="3"/>
        <v>0</v>
      </c>
      <c r="BS16" s="156">
        <f t="shared" si="26"/>
        <v>0</v>
      </c>
      <c r="BT16" s="776"/>
      <c r="BU16" s="776"/>
      <c r="BV16" s="851">
        <f t="shared" si="27"/>
        <v>0</v>
      </c>
      <c r="BW16" s="156">
        <f t="shared" si="28"/>
        <v>0</v>
      </c>
      <c r="BX16" s="156">
        <f t="shared" si="29"/>
        <v>0</v>
      </c>
      <c r="BY16" s="522">
        <f t="shared" si="4"/>
        <v>1</v>
      </c>
      <c r="BZ16" s="852">
        <f>LOOKUP(BY16,参数表!$A$13:$B$19)</f>
        <v>0</v>
      </c>
      <c r="CA16" s="156">
        <f t="shared" si="18"/>
        <v>0</v>
      </c>
      <c r="CB16" s="156">
        <f t="shared" si="19"/>
        <v>0</v>
      </c>
      <c r="CC16" s="522">
        <f t="shared" si="5"/>
        <v>125.582477754962</v>
      </c>
      <c r="CD16" s="676"/>
      <c r="CE16" s="853">
        <f t="shared" si="20"/>
        <v>0</v>
      </c>
      <c r="CF16" s="853">
        <f t="shared" si="21"/>
        <v>0</v>
      </c>
      <c r="CG16" s="853">
        <f t="shared" si="6"/>
        <v>0</v>
      </c>
      <c r="CI16" s="134" t="str">
        <f>IF(COUNTIF(CI$7:CI15,C16)&gt;0,"",C16)&amp;""</f>
        <v/>
      </c>
      <c r="CJ16" s="138">
        <f t="shared" si="22"/>
        <v>0</v>
      </c>
      <c r="CK16" s="132">
        <f t="shared" si="23"/>
        <v>1</v>
      </c>
      <c r="CL16" s="138">
        <f t="shared" si="24"/>
        <v>0</v>
      </c>
      <c r="CM16" s="132">
        <f t="shared" si="25"/>
        <v>1</v>
      </c>
      <c r="CN16" s="133"/>
      <c r="CO16" s="133"/>
    </row>
    <row r="17" ht="15" customHeight="1" spans="1:94">
      <c r="A17" s="123" t="str">
        <f>IF(C17="","",COUNT(A$7:A16)+1)</f>
        <v/>
      </c>
      <c r="B17" s="141"/>
      <c r="C17" s="139"/>
      <c r="D17" s="139"/>
      <c r="E17" s="139"/>
      <c r="F17" s="139"/>
      <c r="G17" s="141"/>
      <c r="H17" s="535"/>
      <c r="I17" s="140"/>
      <c r="J17" s="902"/>
      <c r="K17" s="902"/>
      <c r="L17" s="902"/>
      <c r="M17" s="902"/>
      <c r="N17" s="536"/>
      <c r="O17" s="141"/>
      <c r="P17" s="143"/>
      <c r="Q17" s="142"/>
      <c r="R17" s="127" t="str">
        <f>IFERROR(VLOOKUP(Q17,参数表!$H$2:$I$50,2,FALSE),"")</f>
        <v/>
      </c>
      <c r="S17" s="128" t="str">
        <f t="shared" si="8"/>
        <v/>
      </c>
      <c r="T17" s="128" t="str">
        <f t="shared" si="9"/>
        <v/>
      </c>
      <c r="U17" s="129" t="str">
        <f t="shared" si="10"/>
        <v/>
      </c>
      <c r="V17" s="143"/>
      <c r="W17" s="143"/>
      <c r="X17" s="143"/>
      <c r="Y17" s="144"/>
      <c r="Z17" s="144"/>
      <c r="AA17" s="144"/>
      <c r="AB17" s="129" t="str">
        <f t="shared" si="11"/>
        <v/>
      </c>
      <c r="AC17" s="129" t="str">
        <f t="shared" si="12"/>
        <v/>
      </c>
      <c r="AD17" s="129" t="str">
        <f t="shared" si="13"/>
        <v/>
      </c>
      <c r="AE17" s="129" t="str">
        <f t="shared" si="0"/>
        <v/>
      </c>
      <c r="AF17" s="521" t="str">
        <f t="shared" si="1"/>
        <v/>
      </c>
      <c r="AG17" s="129" t="str">
        <f t="shared" si="14"/>
        <v/>
      </c>
      <c r="AH17" s="129" t="str">
        <f t="shared" si="15"/>
        <v/>
      </c>
      <c r="AI17" s="129" t="str">
        <f t="shared" si="16"/>
        <v/>
      </c>
      <c r="AJ17" s="139"/>
      <c r="BA17" s="78"/>
      <c r="BB17" s="132" t="s">
        <v>3893</v>
      </c>
      <c r="BC17" s="133"/>
      <c r="BD17" s="132" t="str">
        <f>IF(OR(C17="",BC17=""),"",COUNTIF(BC$8:BC17,"√"))</f>
        <v/>
      </c>
      <c r="BE17" s="134" t="str">
        <f t="shared" si="2"/>
        <v/>
      </c>
      <c r="BF17" s="135" t="str">
        <f t="shared" si="17"/>
        <v/>
      </c>
      <c r="BG17" s="135" t="str">
        <f t="shared" si="17"/>
        <v/>
      </c>
      <c r="BH17" s="136"/>
      <c r="BI17" s="136"/>
      <c r="BJ17" s="136"/>
      <c r="BK17" s="136"/>
      <c r="BL17" s="136"/>
      <c r="BM17" s="137"/>
      <c r="BN17" s="136"/>
      <c r="BO17" s="137"/>
      <c r="BP17" s="165" t="s">
        <v>2706</v>
      </c>
      <c r="BQ17" s="676"/>
      <c r="BR17" s="522">
        <f t="shared" si="3"/>
        <v>0</v>
      </c>
      <c r="BS17" s="156">
        <f t="shared" si="26"/>
        <v>0</v>
      </c>
      <c r="BT17" s="776"/>
      <c r="BU17" s="776"/>
      <c r="BV17" s="851">
        <f t="shared" si="27"/>
        <v>0</v>
      </c>
      <c r="BW17" s="156">
        <f t="shared" si="28"/>
        <v>0</v>
      </c>
      <c r="BX17" s="156">
        <f t="shared" si="29"/>
        <v>0</v>
      </c>
      <c r="BY17" s="522">
        <f t="shared" si="4"/>
        <v>1</v>
      </c>
      <c r="BZ17" s="852">
        <f>LOOKUP(BY17,参数表!$A$13:$B$19)</f>
        <v>0</v>
      </c>
      <c r="CA17" s="156">
        <f t="shared" si="18"/>
        <v>0</v>
      </c>
      <c r="CB17" s="156">
        <f t="shared" si="19"/>
        <v>0</v>
      </c>
      <c r="CC17" s="522">
        <f t="shared" si="5"/>
        <v>125.582477754962</v>
      </c>
      <c r="CD17" s="676"/>
      <c r="CE17" s="853">
        <f t="shared" si="20"/>
        <v>0</v>
      </c>
      <c r="CF17" s="853">
        <f t="shared" si="21"/>
        <v>0</v>
      </c>
      <c r="CG17" s="853">
        <f t="shared" si="6"/>
        <v>0</v>
      </c>
      <c r="CI17" s="134" t="str">
        <f>IF(COUNTIF(CI$7:CI16,C17)&gt;0,"",C17)&amp;""</f>
        <v/>
      </c>
      <c r="CJ17" s="138">
        <f t="shared" si="22"/>
        <v>0</v>
      </c>
      <c r="CK17" s="132">
        <f t="shared" si="23"/>
        <v>1</v>
      </c>
      <c r="CL17" s="138">
        <f t="shared" si="24"/>
        <v>0</v>
      </c>
      <c r="CM17" s="132">
        <f t="shared" si="25"/>
        <v>1</v>
      </c>
      <c r="CN17" s="133"/>
      <c r="CO17" s="148"/>
    </row>
    <row r="18" ht="15" customHeight="1" spans="1:94">
      <c r="A18" s="123" t="str">
        <f>IF(C18="","",COUNT(A$7:A17)+1)</f>
        <v/>
      </c>
      <c r="B18" s="141"/>
      <c r="C18" s="139"/>
      <c r="D18" s="139"/>
      <c r="E18" s="139"/>
      <c r="F18" s="139"/>
      <c r="G18" s="141"/>
      <c r="H18" s="535"/>
      <c r="I18" s="140"/>
      <c r="J18" s="902"/>
      <c r="K18" s="902"/>
      <c r="L18" s="902"/>
      <c r="M18" s="902"/>
      <c r="N18" s="536"/>
      <c r="O18" s="141"/>
      <c r="P18" s="143"/>
      <c r="Q18" s="142"/>
      <c r="R18" s="127" t="str">
        <f>IFERROR(VLOOKUP(Q18,参数表!$H$2:$I$50,2,FALSE),"")</f>
        <v/>
      </c>
      <c r="S18" s="128" t="str">
        <f t="shared" si="8"/>
        <v/>
      </c>
      <c r="T18" s="128" t="str">
        <f t="shared" si="9"/>
        <v/>
      </c>
      <c r="U18" s="129" t="str">
        <f t="shared" si="10"/>
        <v/>
      </c>
      <c r="V18" s="143"/>
      <c r="W18" s="143"/>
      <c r="X18" s="143"/>
      <c r="Y18" s="144"/>
      <c r="Z18" s="144"/>
      <c r="AA18" s="144"/>
      <c r="AB18" s="129" t="str">
        <f t="shared" si="11"/>
        <v/>
      </c>
      <c r="AC18" s="129" t="str">
        <f t="shared" si="12"/>
        <v/>
      </c>
      <c r="AD18" s="129" t="str">
        <f t="shared" si="13"/>
        <v/>
      </c>
      <c r="AE18" s="129" t="str">
        <f t="shared" si="0"/>
        <v/>
      </c>
      <c r="AF18" s="521" t="str">
        <f t="shared" si="1"/>
        <v/>
      </c>
      <c r="AG18" s="129" t="str">
        <f t="shared" si="14"/>
        <v/>
      </c>
      <c r="AH18" s="129" t="str">
        <f t="shared" si="15"/>
        <v/>
      </c>
      <c r="AI18" s="129" t="str">
        <f t="shared" si="16"/>
        <v/>
      </c>
      <c r="AJ18" s="139"/>
      <c r="BA18" s="78"/>
      <c r="BB18" s="132" t="s">
        <v>3894</v>
      </c>
      <c r="BC18" s="133"/>
      <c r="BD18" s="132" t="str">
        <f>IF(OR(C18="",BC18=""),"",COUNTIF(BC$8:BC18,"√"))</f>
        <v/>
      </c>
      <c r="BE18" s="134" t="str">
        <f t="shared" si="2"/>
        <v/>
      </c>
      <c r="BF18" s="135" t="str">
        <f t="shared" si="17"/>
        <v/>
      </c>
      <c r="BG18" s="135" t="str">
        <f t="shared" si="17"/>
        <v/>
      </c>
      <c r="BH18" s="136"/>
      <c r="BI18" s="136"/>
      <c r="BJ18" s="136"/>
      <c r="BK18" s="136"/>
      <c r="BL18" s="136"/>
      <c r="BM18" s="137"/>
      <c r="BN18" s="136"/>
      <c r="BO18" s="137"/>
      <c r="BP18" s="165" t="s">
        <v>2706</v>
      </c>
      <c r="BQ18" s="676"/>
      <c r="BR18" s="522">
        <f t="shared" si="3"/>
        <v>0</v>
      </c>
      <c r="BS18" s="156">
        <f t="shared" si="26"/>
        <v>0</v>
      </c>
      <c r="BT18" s="776"/>
      <c r="BU18" s="776"/>
      <c r="BV18" s="851">
        <f t="shared" si="27"/>
        <v>0</v>
      </c>
      <c r="BW18" s="156">
        <f t="shared" si="28"/>
        <v>0</v>
      </c>
      <c r="BX18" s="156">
        <f t="shared" si="29"/>
        <v>0</v>
      </c>
      <c r="BY18" s="522">
        <f t="shared" si="4"/>
        <v>1</v>
      </c>
      <c r="BZ18" s="852">
        <f>LOOKUP(BY18,参数表!$A$13:$B$19)</f>
        <v>0</v>
      </c>
      <c r="CA18" s="156">
        <f t="shared" si="18"/>
        <v>0</v>
      </c>
      <c r="CB18" s="156">
        <f t="shared" si="19"/>
        <v>0</v>
      </c>
      <c r="CC18" s="522">
        <f t="shared" si="5"/>
        <v>125.582477754962</v>
      </c>
      <c r="CD18" s="676"/>
      <c r="CE18" s="853">
        <f t="shared" si="20"/>
        <v>0</v>
      </c>
      <c r="CF18" s="853">
        <f t="shared" si="21"/>
        <v>0</v>
      </c>
      <c r="CG18" s="853">
        <f t="shared" si="6"/>
        <v>0</v>
      </c>
      <c r="CI18" s="134" t="str">
        <f>IF(COUNTIF(CI$7:CI17,C18)&gt;0,"",C18)&amp;""</f>
        <v/>
      </c>
      <c r="CJ18" s="138">
        <f t="shared" si="22"/>
        <v>0</v>
      </c>
      <c r="CK18" s="132">
        <f t="shared" si="23"/>
        <v>1</v>
      </c>
      <c r="CL18" s="138">
        <f t="shared" si="24"/>
        <v>0</v>
      </c>
      <c r="CM18" s="132">
        <f t="shared" si="25"/>
        <v>1</v>
      </c>
      <c r="CN18" s="133"/>
      <c r="CO18" s="133"/>
    </row>
    <row r="19" ht="15" customHeight="1" spans="1:94">
      <c r="A19" s="123" t="str">
        <f>IF(C19="","",COUNT(A$7:A18)+1)</f>
        <v/>
      </c>
      <c r="B19" s="141"/>
      <c r="C19" s="139"/>
      <c r="D19" s="139"/>
      <c r="E19" s="139"/>
      <c r="F19" s="139"/>
      <c r="G19" s="141"/>
      <c r="H19" s="535"/>
      <c r="I19" s="140"/>
      <c r="J19" s="902"/>
      <c r="K19" s="902"/>
      <c r="L19" s="902"/>
      <c r="M19" s="902"/>
      <c r="N19" s="536"/>
      <c r="O19" s="141"/>
      <c r="P19" s="143"/>
      <c r="Q19" s="142"/>
      <c r="R19" s="127" t="str">
        <f>IFERROR(VLOOKUP(Q19,参数表!$H$2:$I$50,2,FALSE),"")</f>
        <v/>
      </c>
      <c r="S19" s="128" t="str">
        <f t="shared" si="8"/>
        <v/>
      </c>
      <c r="T19" s="128" t="str">
        <f t="shared" si="9"/>
        <v/>
      </c>
      <c r="U19" s="129" t="str">
        <f t="shared" si="10"/>
        <v/>
      </c>
      <c r="V19" s="143"/>
      <c r="W19" s="143"/>
      <c r="X19" s="143"/>
      <c r="Y19" s="144"/>
      <c r="Z19" s="144"/>
      <c r="AA19" s="144"/>
      <c r="AB19" s="129" t="str">
        <f t="shared" si="11"/>
        <v/>
      </c>
      <c r="AC19" s="129" t="str">
        <f t="shared" si="12"/>
        <v/>
      </c>
      <c r="AD19" s="129" t="str">
        <f t="shared" si="13"/>
        <v/>
      </c>
      <c r="AE19" s="129" t="str">
        <f t="shared" si="0"/>
        <v/>
      </c>
      <c r="AF19" s="521" t="str">
        <f t="shared" si="1"/>
        <v/>
      </c>
      <c r="AG19" s="129" t="str">
        <f t="shared" si="14"/>
        <v/>
      </c>
      <c r="AH19" s="129" t="str">
        <f t="shared" si="15"/>
        <v/>
      </c>
      <c r="AI19" s="129" t="str">
        <f t="shared" si="16"/>
        <v/>
      </c>
      <c r="AJ19" s="139"/>
      <c r="BA19" s="78"/>
      <c r="BB19" s="132" t="s">
        <v>3895</v>
      </c>
      <c r="BC19" s="133"/>
      <c r="BD19" s="132" t="str">
        <f>IF(OR(C19="",BC19=""),"",COUNTIF(BC$8:BC19,"√"))</f>
        <v/>
      </c>
      <c r="BE19" s="134" t="str">
        <f t="shared" si="2"/>
        <v/>
      </c>
      <c r="BF19" s="135" t="str">
        <f t="shared" si="17"/>
        <v/>
      </c>
      <c r="BG19" s="135" t="str">
        <f t="shared" si="17"/>
        <v/>
      </c>
      <c r="BH19" s="136"/>
      <c r="BI19" s="136"/>
      <c r="BJ19" s="136"/>
      <c r="BK19" s="136"/>
      <c r="BL19" s="136"/>
      <c r="BM19" s="137"/>
      <c r="BN19" s="136"/>
      <c r="BO19" s="137"/>
      <c r="BP19" s="165" t="s">
        <v>2706</v>
      </c>
      <c r="BQ19" s="676"/>
      <c r="BR19" s="522">
        <f t="shared" si="3"/>
        <v>0</v>
      </c>
      <c r="BS19" s="156">
        <f t="shared" si="26"/>
        <v>0</v>
      </c>
      <c r="BT19" s="776"/>
      <c r="BU19" s="776"/>
      <c r="BV19" s="851">
        <f t="shared" si="27"/>
        <v>0</v>
      </c>
      <c r="BW19" s="156">
        <f t="shared" si="28"/>
        <v>0</v>
      </c>
      <c r="BX19" s="156">
        <f t="shared" si="29"/>
        <v>0</v>
      </c>
      <c r="BY19" s="522">
        <f t="shared" si="4"/>
        <v>1</v>
      </c>
      <c r="BZ19" s="852">
        <f>LOOKUP(BY19,参数表!$A$13:$B$19)</f>
        <v>0</v>
      </c>
      <c r="CA19" s="156">
        <f t="shared" si="18"/>
        <v>0</v>
      </c>
      <c r="CB19" s="156">
        <f t="shared" si="19"/>
        <v>0</v>
      </c>
      <c r="CC19" s="522">
        <f t="shared" si="5"/>
        <v>125.582477754962</v>
      </c>
      <c r="CD19" s="676"/>
      <c r="CE19" s="853">
        <f t="shared" si="20"/>
        <v>0</v>
      </c>
      <c r="CF19" s="853">
        <f t="shared" si="21"/>
        <v>0</v>
      </c>
      <c r="CG19" s="853">
        <f t="shared" si="6"/>
        <v>0</v>
      </c>
      <c r="CI19" s="134" t="str">
        <f>IF(COUNTIF(CI$7:CI18,C19)&gt;0,"",C19)&amp;""</f>
        <v/>
      </c>
      <c r="CJ19" s="138">
        <f t="shared" si="22"/>
        <v>0</v>
      </c>
      <c r="CK19" s="132">
        <f t="shared" si="23"/>
        <v>1</v>
      </c>
      <c r="CL19" s="138">
        <f t="shared" si="24"/>
        <v>0</v>
      </c>
      <c r="CM19" s="132">
        <f t="shared" si="25"/>
        <v>1</v>
      </c>
      <c r="CN19" s="133"/>
      <c r="CO19" s="133"/>
    </row>
    <row r="20" ht="15" customHeight="1" spans="1:94">
      <c r="A20" s="123" t="str">
        <f>IF(C20="","",COUNT(A$7:A19)+1)</f>
        <v/>
      </c>
      <c r="B20" s="141"/>
      <c r="C20" s="139"/>
      <c r="D20" s="139"/>
      <c r="E20" s="139"/>
      <c r="F20" s="139"/>
      <c r="G20" s="141"/>
      <c r="H20" s="535"/>
      <c r="I20" s="140"/>
      <c r="J20" s="902"/>
      <c r="K20" s="902"/>
      <c r="L20" s="902"/>
      <c r="M20" s="902"/>
      <c r="N20" s="536"/>
      <c r="O20" s="141"/>
      <c r="P20" s="143"/>
      <c r="Q20" s="142"/>
      <c r="R20" s="127" t="str">
        <f>IFERROR(VLOOKUP(Q20,参数表!$H$2:$I$50,2,FALSE),"")</f>
        <v/>
      </c>
      <c r="S20" s="128" t="str">
        <f t="shared" si="8"/>
        <v/>
      </c>
      <c r="T20" s="128" t="str">
        <f t="shared" si="9"/>
        <v/>
      </c>
      <c r="U20" s="129" t="str">
        <f t="shared" si="10"/>
        <v/>
      </c>
      <c r="V20" s="143"/>
      <c r="W20" s="143"/>
      <c r="X20" s="143"/>
      <c r="Y20" s="144"/>
      <c r="Z20" s="144"/>
      <c r="AA20" s="144"/>
      <c r="AB20" s="129" t="str">
        <f t="shared" si="11"/>
        <v/>
      </c>
      <c r="AC20" s="129" t="str">
        <f t="shared" si="12"/>
        <v/>
      </c>
      <c r="AD20" s="129" t="str">
        <f t="shared" si="13"/>
        <v/>
      </c>
      <c r="AE20" s="129" t="str">
        <f t="shared" si="0"/>
        <v/>
      </c>
      <c r="AF20" s="521" t="str">
        <f t="shared" si="1"/>
        <v/>
      </c>
      <c r="AG20" s="129" t="str">
        <f t="shared" si="14"/>
        <v/>
      </c>
      <c r="AH20" s="129" t="str">
        <f t="shared" si="15"/>
        <v/>
      </c>
      <c r="AI20" s="129" t="str">
        <f t="shared" si="16"/>
        <v/>
      </c>
      <c r="AJ20" s="139"/>
      <c r="BA20" s="78"/>
      <c r="BB20" s="132" t="s">
        <v>3896</v>
      </c>
      <c r="BC20" s="133"/>
      <c r="BD20" s="132" t="str">
        <f>IF(OR(C20="",BC20=""),"",COUNTIF(BC$8:BC20,"√"))</f>
        <v/>
      </c>
      <c r="BE20" s="134" t="str">
        <f t="shared" si="2"/>
        <v/>
      </c>
      <c r="BF20" s="135" t="str">
        <f t="shared" si="17"/>
        <v/>
      </c>
      <c r="BG20" s="135" t="str">
        <f t="shared" si="17"/>
        <v/>
      </c>
      <c r="BH20" s="136"/>
      <c r="BI20" s="136"/>
      <c r="BJ20" s="136"/>
      <c r="BK20" s="136"/>
      <c r="BL20" s="136"/>
      <c r="BM20" s="137"/>
      <c r="BN20" s="136"/>
      <c r="BO20" s="137"/>
      <c r="BP20" s="165" t="s">
        <v>2706</v>
      </c>
      <c r="BQ20" s="676"/>
      <c r="BR20" s="522">
        <f t="shared" si="3"/>
        <v>0</v>
      </c>
      <c r="BS20" s="156">
        <f t="shared" si="26"/>
        <v>0</v>
      </c>
      <c r="BT20" s="776"/>
      <c r="BU20" s="776"/>
      <c r="BV20" s="851">
        <f t="shared" si="27"/>
        <v>0</v>
      </c>
      <c r="BW20" s="156">
        <f t="shared" si="28"/>
        <v>0</v>
      </c>
      <c r="BX20" s="156">
        <f t="shared" si="29"/>
        <v>0</v>
      </c>
      <c r="BY20" s="522">
        <f t="shared" si="4"/>
        <v>1</v>
      </c>
      <c r="BZ20" s="852">
        <f>LOOKUP(BY20,参数表!$A$13:$B$19)</f>
        <v>0</v>
      </c>
      <c r="CA20" s="156">
        <f t="shared" si="18"/>
        <v>0</v>
      </c>
      <c r="CB20" s="156">
        <f t="shared" si="19"/>
        <v>0</v>
      </c>
      <c r="CC20" s="522">
        <f t="shared" si="5"/>
        <v>125.582477754962</v>
      </c>
      <c r="CD20" s="676"/>
      <c r="CE20" s="853">
        <f t="shared" si="20"/>
        <v>0</v>
      </c>
      <c r="CF20" s="853">
        <f t="shared" si="21"/>
        <v>0</v>
      </c>
      <c r="CG20" s="853">
        <f t="shared" si="6"/>
        <v>0</v>
      </c>
      <c r="CI20" s="134" t="str">
        <f>IF(COUNTIF(CI$7:CI19,C20)&gt;0,"",C20)&amp;""</f>
        <v/>
      </c>
      <c r="CJ20" s="138">
        <f t="shared" si="22"/>
        <v>0</v>
      </c>
      <c r="CK20" s="132">
        <f t="shared" si="23"/>
        <v>1</v>
      </c>
      <c r="CL20" s="138">
        <f t="shared" si="24"/>
        <v>0</v>
      </c>
      <c r="CM20" s="132">
        <f t="shared" si="25"/>
        <v>1</v>
      </c>
      <c r="CN20" s="133"/>
      <c r="CO20" s="133"/>
    </row>
    <row r="21" ht="15" customHeight="1" spans="1:94">
      <c r="A21" s="123" t="str">
        <f>IF(C21="","",COUNT(A$7:A20)+1)</f>
        <v/>
      </c>
      <c r="B21" s="141"/>
      <c r="C21" s="139"/>
      <c r="D21" s="139"/>
      <c r="E21" s="139"/>
      <c r="F21" s="139"/>
      <c r="G21" s="141"/>
      <c r="H21" s="535"/>
      <c r="I21" s="140"/>
      <c r="J21" s="902"/>
      <c r="K21" s="902"/>
      <c r="L21" s="902"/>
      <c r="M21" s="902"/>
      <c r="N21" s="536"/>
      <c r="O21" s="141"/>
      <c r="P21" s="143"/>
      <c r="Q21" s="142"/>
      <c r="R21" s="127" t="str">
        <f>IFERROR(VLOOKUP(Q21,参数表!$H$2:$I$50,2,FALSE),"")</f>
        <v/>
      </c>
      <c r="S21" s="128" t="str">
        <f t="shared" si="8"/>
        <v/>
      </c>
      <c r="T21" s="128" t="str">
        <f t="shared" si="9"/>
        <v/>
      </c>
      <c r="U21" s="129" t="str">
        <f t="shared" si="10"/>
        <v/>
      </c>
      <c r="V21" s="143"/>
      <c r="W21" s="143"/>
      <c r="X21" s="143"/>
      <c r="Y21" s="144"/>
      <c r="Z21" s="144"/>
      <c r="AA21" s="144"/>
      <c r="AB21" s="129" t="str">
        <f t="shared" si="11"/>
        <v/>
      </c>
      <c r="AC21" s="129" t="str">
        <f t="shared" si="12"/>
        <v/>
      </c>
      <c r="AD21" s="129" t="str">
        <f t="shared" si="13"/>
        <v/>
      </c>
      <c r="AE21" s="129" t="str">
        <f t="shared" si="0"/>
        <v/>
      </c>
      <c r="AF21" s="521" t="str">
        <f t="shared" si="1"/>
        <v/>
      </c>
      <c r="AG21" s="129" t="str">
        <f t="shared" si="14"/>
        <v/>
      </c>
      <c r="AH21" s="129" t="str">
        <f t="shared" si="15"/>
        <v/>
      </c>
      <c r="AI21" s="129" t="str">
        <f t="shared" si="16"/>
        <v/>
      </c>
      <c r="AJ21" s="139"/>
      <c r="BA21" s="78"/>
      <c r="BB21" s="132" t="s">
        <v>3897</v>
      </c>
      <c r="BC21" s="133"/>
      <c r="BD21" s="132" t="str">
        <f>IF(OR(C21="",BC21=""),"",COUNTIF(BC$8:BC21,"√"))</f>
        <v/>
      </c>
      <c r="BE21" s="134" t="str">
        <f t="shared" si="2"/>
        <v/>
      </c>
      <c r="BF21" s="135" t="str">
        <f t="shared" si="17"/>
        <v/>
      </c>
      <c r="BG21" s="135" t="str">
        <f t="shared" si="17"/>
        <v/>
      </c>
      <c r="BH21" s="136"/>
      <c r="BI21" s="136"/>
      <c r="BJ21" s="136"/>
      <c r="BK21" s="136"/>
      <c r="BL21" s="136"/>
      <c r="BM21" s="137"/>
      <c r="BN21" s="136"/>
      <c r="BO21" s="137"/>
      <c r="BP21" s="165" t="s">
        <v>2706</v>
      </c>
      <c r="BQ21" s="676"/>
      <c r="BR21" s="522">
        <f t="shared" si="3"/>
        <v>0</v>
      </c>
      <c r="BS21" s="156">
        <f t="shared" si="26"/>
        <v>0</v>
      </c>
      <c r="BT21" s="776"/>
      <c r="BU21" s="776"/>
      <c r="BV21" s="851">
        <f t="shared" si="27"/>
        <v>0</v>
      </c>
      <c r="BW21" s="156">
        <f t="shared" si="28"/>
        <v>0</v>
      </c>
      <c r="BX21" s="156">
        <f t="shared" si="29"/>
        <v>0</v>
      </c>
      <c r="BY21" s="522">
        <f t="shared" si="4"/>
        <v>1</v>
      </c>
      <c r="BZ21" s="852">
        <f>LOOKUP(BY21,参数表!$A$13:$B$19)</f>
        <v>0</v>
      </c>
      <c r="CA21" s="156">
        <f t="shared" si="18"/>
        <v>0</v>
      </c>
      <c r="CB21" s="156">
        <f t="shared" si="19"/>
        <v>0</v>
      </c>
      <c r="CC21" s="522">
        <f t="shared" si="5"/>
        <v>125.582477754962</v>
      </c>
      <c r="CD21" s="676"/>
      <c r="CE21" s="853">
        <f t="shared" si="20"/>
        <v>0</v>
      </c>
      <c r="CF21" s="853">
        <f t="shared" si="21"/>
        <v>0</v>
      </c>
      <c r="CG21" s="853">
        <f t="shared" si="6"/>
        <v>0</v>
      </c>
      <c r="CI21" s="134" t="str">
        <f>IF(COUNTIF(CI$7:CI20,C21)&gt;0,"",C21)&amp;""</f>
        <v/>
      </c>
      <c r="CJ21" s="138">
        <f t="shared" si="22"/>
        <v>0</v>
      </c>
      <c r="CK21" s="132">
        <f t="shared" si="23"/>
        <v>1</v>
      </c>
      <c r="CL21" s="138">
        <f t="shared" si="24"/>
        <v>0</v>
      </c>
      <c r="CM21" s="132">
        <f t="shared" si="25"/>
        <v>1</v>
      </c>
      <c r="CN21" s="133"/>
      <c r="CO21" s="133"/>
    </row>
    <row r="22" ht="15" customHeight="1" spans="1:94">
      <c r="A22" s="123" t="str">
        <f>IF(C22="","",COUNT(A$7:A21)+1)</f>
        <v/>
      </c>
      <c r="B22" s="141"/>
      <c r="C22" s="139"/>
      <c r="D22" s="139"/>
      <c r="E22" s="139"/>
      <c r="F22" s="139"/>
      <c r="G22" s="141"/>
      <c r="H22" s="535"/>
      <c r="I22" s="140"/>
      <c r="J22" s="902"/>
      <c r="K22" s="902"/>
      <c r="L22" s="902"/>
      <c r="M22" s="902"/>
      <c r="N22" s="536"/>
      <c r="O22" s="141"/>
      <c r="P22" s="143"/>
      <c r="Q22" s="142"/>
      <c r="R22" s="127" t="str">
        <f>IFERROR(VLOOKUP(Q22,参数表!$H$2:$I$50,2,FALSE),"")</f>
        <v/>
      </c>
      <c r="S22" s="128" t="str">
        <f t="shared" si="8"/>
        <v/>
      </c>
      <c r="T22" s="128" t="str">
        <f t="shared" si="9"/>
        <v/>
      </c>
      <c r="U22" s="129" t="str">
        <f t="shared" si="10"/>
        <v/>
      </c>
      <c r="V22" s="143"/>
      <c r="W22" s="143"/>
      <c r="X22" s="143"/>
      <c r="Y22" s="144"/>
      <c r="Z22" s="144"/>
      <c r="AA22" s="144"/>
      <c r="AB22" s="129" t="str">
        <f t="shared" si="11"/>
        <v/>
      </c>
      <c r="AC22" s="129" t="str">
        <f t="shared" si="12"/>
        <v/>
      </c>
      <c r="AD22" s="129" t="str">
        <f t="shared" si="13"/>
        <v/>
      </c>
      <c r="AE22" s="129" t="str">
        <f t="shared" si="0"/>
        <v/>
      </c>
      <c r="AF22" s="521" t="str">
        <f t="shared" si="1"/>
        <v/>
      </c>
      <c r="AG22" s="129" t="str">
        <f t="shared" si="14"/>
        <v/>
      </c>
      <c r="AH22" s="129" t="str">
        <f t="shared" si="15"/>
        <v/>
      </c>
      <c r="AI22" s="129" t="str">
        <f t="shared" si="16"/>
        <v/>
      </c>
      <c r="AJ22" s="139"/>
      <c r="BA22" s="78"/>
      <c r="BB22" s="132" t="s">
        <v>3898</v>
      </c>
      <c r="BC22" s="133"/>
      <c r="BD22" s="132" t="str">
        <f>IF(OR(C22="",BC22=""),"",COUNTIF(BC$8:BC22,"√"))</f>
        <v/>
      </c>
      <c r="BE22" s="134" t="str">
        <f t="shared" si="2"/>
        <v/>
      </c>
      <c r="BF22" s="135" t="str">
        <f t="shared" si="17"/>
        <v/>
      </c>
      <c r="BG22" s="135" t="str">
        <f t="shared" si="17"/>
        <v/>
      </c>
      <c r="BH22" s="136"/>
      <c r="BI22" s="136"/>
      <c r="BJ22" s="136"/>
      <c r="BK22" s="136"/>
      <c r="BL22" s="136"/>
      <c r="BM22" s="137"/>
      <c r="BN22" s="136"/>
      <c r="BO22" s="137"/>
      <c r="BP22" s="165" t="s">
        <v>2706</v>
      </c>
      <c r="BQ22" s="676"/>
      <c r="BR22" s="522">
        <f t="shared" si="3"/>
        <v>0</v>
      </c>
      <c r="BS22" s="156">
        <f t="shared" si="26"/>
        <v>0</v>
      </c>
      <c r="BT22" s="776"/>
      <c r="BU22" s="776"/>
      <c r="BV22" s="851">
        <f t="shared" si="27"/>
        <v>0</v>
      </c>
      <c r="BW22" s="156">
        <f t="shared" si="28"/>
        <v>0</v>
      </c>
      <c r="BX22" s="156">
        <f t="shared" si="29"/>
        <v>0</v>
      </c>
      <c r="BY22" s="522">
        <f t="shared" si="4"/>
        <v>1</v>
      </c>
      <c r="BZ22" s="852">
        <f>LOOKUP(BY22,参数表!$A$13:$B$19)</f>
        <v>0</v>
      </c>
      <c r="CA22" s="156">
        <f t="shared" si="18"/>
        <v>0</v>
      </c>
      <c r="CB22" s="156">
        <f t="shared" si="19"/>
        <v>0</v>
      </c>
      <c r="CC22" s="522">
        <f t="shared" si="5"/>
        <v>125.582477754962</v>
      </c>
      <c r="CD22" s="676"/>
      <c r="CE22" s="853">
        <f t="shared" si="20"/>
        <v>0</v>
      </c>
      <c r="CF22" s="853">
        <f t="shared" si="21"/>
        <v>0</v>
      </c>
      <c r="CG22" s="853">
        <f t="shared" si="6"/>
        <v>0</v>
      </c>
      <c r="CI22" s="134" t="str">
        <f>IF(COUNTIF(CI$7:CI21,C22)&gt;0,"",C22)&amp;""</f>
        <v/>
      </c>
      <c r="CJ22" s="138">
        <f t="shared" si="22"/>
        <v>0</v>
      </c>
      <c r="CK22" s="132">
        <f t="shared" si="23"/>
        <v>1</v>
      </c>
      <c r="CL22" s="138">
        <f t="shared" si="24"/>
        <v>0</v>
      </c>
      <c r="CM22" s="132">
        <f t="shared" si="25"/>
        <v>1</v>
      </c>
      <c r="CN22" s="133"/>
      <c r="CO22" s="133"/>
    </row>
    <row r="23" ht="15" customHeight="1" spans="1:94">
      <c r="A23" s="123" t="str">
        <f>IF(C23="","",COUNT(A$7:A22)+1)</f>
        <v/>
      </c>
      <c r="B23" s="141"/>
      <c r="C23" s="139"/>
      <c r="D23" s="139"/>
      <c r="E23" s="139"/>
      <c r="F23" s="139"/>
      <c r="G23" s="141"/>
      <c r="H23" s="535"/>
      <c r="I23" s="140"/>
      <c r="J23" s="902"/>
      <c r="K23" s="902"/>
      <c r="L23" s="902"/>
      <c r="M23" s="902"/>
      <c r="N23" s="536"/>
      <c r="O23" s="141"/>
      <c r="P23" s="143"/>
      <c r="Q23" s="142"/>
      <c r="R23" s="127" t="str">
        <f>IFERROR(VLOOKUP(Q23,参数表!$H$2:$I$50,2,FALSE),"")</f>
        <v/>
      </c>
      <c r="S23" s="128" t="str">
        <f t="shared" si="8"/>
        <v/>
      </c>
      <c r="T23" s="128" t="str">
        <f t="shared" si="9"/>
        <v/>
      </c>
      <c r="U23" s="129" t="str">
        <f t="shared" si="10"/>
        <v/>
      </c>
      <c r="V23" s="143"/>
      <c r="W23" s="143"/>
      <c r="X23" s="143"/>
      <c r="Y23" s="144"/>
      <c r="Z23" s="144"/>
      <c r="AA23" s="144"/>
      <c r="AB23" s="129" t="str">
        <f t="shared" si="11"/>
        <v/>
      </c>
      <c r="AC23" s="129" t="str">
        <f t="shared" si="12"/>
        <v/>
      </c>
      <c r="AD23" s="129" t="str">
        <f t="shared" si="13"/>
        <v/>
      </c>
      <c r="AE23" s="129" t="str">
        <f t="shared" si="0"/>
        <v/>
      </c>
      <c r="AF23" s="521" t="str">
        <f t="shared" si="1"/>
        <v/>
      </c>
      <c r="AG23" s="129" t="str">
        <f t="shared" si="14"/>
        <v/>
      </c>
      <c r="AH23" s="129" t="str">
        <f t="shared" si="15"/>
        <v/>
      </c>
      <c r="AI23" s="129" t="str">
        <f t="shared" si="16"/>
        <v/>
      </c>
      <c r="AJ23" s="139"/>
      <c r="BA23" s="78"/>
      <c r="BB23" s="132" t="s">
        <v>3899</v>
      </c>
      <c r="BC23" s="133"/>
      <c r="BD23" s="132" t="str">
        <f>IF(OR(C23="",BC23=""),"",COUNTIF(BC$8:BC23,"√"))</f>
        <v/>
      </c>
      <c r="BE23" s="134" t="str">
        <f t="shared" si="2"/>
        <v/>
      </c>
      <c r="BF23" s="135" t="str">
        <f t="shared" si="17"/>
        <v/>
      </c>
      <c r="BG23" s="135" t="str">
        <f t="shared" si="17"/>
        <v/>
      </c>
      <c r="BH23" s="136"/>
      <c r="BI23" s="136"/>
      <c r="BJ23" s="136"/>
      <c r="BK23" s="136"/>
      <c r="BL23" s="136"/>
      <c r="BM23" s="137"/>
      <c r="BN23" s="136"/>
      <c r="BO23" s="137"/>
      <c r="BP23" s="165" t="s">
        <v>2706</v>
      </c>
      <c r="BQ23" s="676"/>
      <c r="BR23" s="522">
        <f t="shared" si="3"/>
        <v>0</v>
      </c>
      <c r="BS23" s="156">
        <f t="shared" si="26"/>
        <v>0</v>
      </c>
      <c r="BT23" s="776"/>
      <c r="BU23" s="776"/>
      <c r="BV23" s="851">
        <f t="shared" si="27"/>
        <v>0</v>
      </c>
      <c r="BW23" s="156">
        <f t="shared" si="28"/>
        <v>0</v>
      </c>
      <c r="BX23" s="156">
        <f t="shared" si="29"/>
        <v>0</v>
      </c>
      <c r="BY23" s="522">
        <f t="shared" si="4"/>
        <v>1</v>
      </c>
      <c r="BZ23" s="852">
        <f>LOOKUP(BY23,参数表!$A$13:$B$19)</f>
        <v>0</v>
      </c>
      <c r="CA23" s="156">
        <f t="shared" si="18"/>
        <v>0</v>
      </c>
      <c r="CB23" s="156">
        <f t="shared" si="19"/>
        <v>0</v>
      </c>
      <c r="CC23" s="522">
        <f t="shared" si="5"/>
        <v>125.582477754962</v>
      </c>
      <c r="CD23" s="676"/>
      <c r="CE23" s="853">
        <f t="shared" si="20"/>
        <v>0</v>
      </c>
      <c r="CF23" s="853">
        <f t="shared" si="21"/>
        <v>0</v>
      </c>
      <c r="CG23" s="853">
        <f t="shared" si="6"/>
        <v>0</v>
      </c>
      <c r="CI23" s="134" t="str">
        <f>IF(COUNTIF(CI$7:CI22,C23)&gt;0,"",C23)&amp;""</f>
        <v/>
      </c>
      <c r="CJ23" s="138">
        <f t="shared" si="22"/>
        <v>0</v>
      </c>
      <c r="CK23" s="132">
        <f t="shared" si="23"/>
        <v>1</v>
      </c>
      <c r="CL23" s="138">
        <f t="shared" si="24"/>
        <v>0</v>
      </c>
      <c r="CM23" s="132">
        <f t="shared" si="25"/>
        <v>1</v>
      </c>
      <c r="CN23" s="133"/>
      <c r="CO23" s="133"/>
    </row>
    <row r="24" ht="15" customHeight="1" spans="1:94">
      <c r="A24" s="123" t="str">
        <f>IF(C24="","",COUNT(A$7:A23)+1)</f>
        <v/>
      </c>
      <c r="B24" s="141"/>
      <c r="C24" s="139"/>
      <c r="D24" s="139"/>
      <c r="E24" s="139"/>
      <c r="F24" s="139"/>
      <c r="G24" s="141"/>
      <c r="H24" s="535"/>
      <c r="I24" s="140"/>
      <c r="J24" s="902"/>
      <c r="K24" s="902"/>
      <c r="L24" s="902"/>
      <c r="M24" s="902"/>
      <c r="N24" s="536"/>
      <c r="O24" s="141"/>
      <c r="P24" s="143"/>
      <c r="Q24" s="142"/>
      <c r="R24" s="127" t="str">
        <f>IFERROR(VLOOKUP(Q24,参数表!$H$2:$I$50,2,FALSE),"")</f>
        <v/>
      </c>
      <c r="S24" s="128" t="str">
        <f t="shared" si="8"/>
        <v/>
      </c>
      <c r="T24" s="128" t="str">
        <f t="shared" si="9"/>
        <v/>
      </c>
      <c r="U24" s="129" t="str">
        <f t="shared" si="10"/>
        <v/>
      </c>
      <c r="V24" s="143"/>
      <c r="W24" s="143"/>
      <c r="X24" s="143"/>
      <c r="Y24" s="144"/>
      <c r="Z24" s="144"/>
      <c r="AA24" s="144"/>
      <c r="AB24" s="129" t="str">
        <f t="shared" si="11"/>
        <v/>
      </c>
      <c r="AC24" s="129" t="str">
        <f t="shared" si="12"/>
        <v/>
      </c>
      <c r="AD24" s="129" t="str">
        <f t="shared" si="13"/>
        <v/>
      </c>
      <c r="AE24" s="129" t="str">
        <f t="shared" si="0"/>
        <v/>
      </c>
      <c r="AF24" s="521" t="str">
        <f t="shared" si="1"/>
        <v/>
      </c>
      <c r="AG24" s="129" t="str">
        <f t="shared" si="14"/>
        <v/>
      </c>
      <c r="AH24" s="129" t="str">
        <f t="shared" si="15"/>
        <v/>
      </c>
      <c r="AI24" s="129" t="str">
        <f t="shared" si="16"/>
        <v/>
      </c>
      <c r="AJ24" s="139"/>
      <c r="BA24" s="78"/>
      <c r="BB24" s="132" t="s">
        <v>3900</v>
      </c>
      <c r="BC24" s="133"/>
      <c r="BD24" s="132" t="str">
        <f>IF(OR(C24="",BC24=""),"",COUNTIF(BC$8:BC24,"√"))</f>
        <v/>
      </c>
      <c r="BE24" s="134" t="str">
        <f t="shared" si="2"/>
        <v/>
      </c>
      <c r="BF24" s="135" t="str">
        <f t="shared" si="17"/>
        <v/>
      </c>
      <c r="BG24" s="135" t="str">
        <f t="shared" si="17"/>
        <v/>
      </c>
      <c r="BH24" s="136"/>
      <c r="BI24" s="136"/>
      <c r="BJ24" s="136"/>
      <c r="BK24" s="136"/>
      <c r="BL24" s="136"/>
      <c r="BM24" s="137"/>
      <c r="BN24" s="136"/>
      <c r="BO24" s="137"/>
      <c r="BP24" s="165" t="s">
        <v>2706</v>
      </c>
      <c r="BQ24" s="676"/>
      <c r="BR24" s="522">
        <f t="shared" si="3"/>
        <v>0</v>
      </c>
      <c r="BS24" s="156">
        <f t="shared" si="26"/>
        <v>0</v>
      </c>
      <c r="BT24" s="776"/>
      <c r="BU24" s="776"/>
      <c r="BV24" s="851">
        <f t="shared" si="27"/>
        <v>0</v>
      </c>
      <c r="BW24" s="156">
        <f t="shared" si="28"/>
        <v>0</v>
      </c>
      <c r="BX24" s="156">
        <f t="shared" si="29"/>
        <v>0</v>
      </c>
      <c r="BY24" s="522">
        <f t="shared" si="4"/>
        <v>1</v>
      </c>
      <c r="BZ24" s="852">
        <f>LOOKUP(BY24,参数表!$A$13:$B$19)</f>
        <v>0</v>
      </c>
      <c r="CA24" s="156">
        <f t="shared" si="18"/>
        <v>0</v>
      </c>
      <c r="CB24" s="156">
        <f t="shared" si="19"/>
        <v>0</v>
      </c>
      <c r="CC24" s="522">
        <f t="shared" si="5"/>
        <v>125.582477754962</v>
      </c>
      <c r="CD24" s="676"/>
      <c r="CE24" s="853">
        <f t="shared" si="20"/>
        <v>0</v>
      </c>
      <c r="CF24" s="853">
        <f t="shared" si="21"/>
        <v>0</v>
      </c>
      <c r="CG24" s="853">
        <f t="shared" si="6"/>
        <v>0</v>
      </c>
      <c r="CI24" s="134" t="str">
        <f>IF(COUNTIF(CI$7:CI23,C24)&gt;0,"",C24)&amp;""</f>
        <v/>
      </c>
      <c r="CJ24" s="138">
        <f t="shared" si="22"/>
        <v>0</v>
      </c>
      <c r="CK24" s="132">
        <f t="shared" si="23"/>
        <v>1</v>
      </c>
      <c r="CL24" s="138">
        <f t="shared" si="24"/>
        <v>0</v>
      </c>
      <c r="CM24" s="132">
        <f t="shared" si="25"/>
        <v>1</v>
      </c>
      <c r="CN24" s="133"/>
      <c r="CO24" s="133"/>
    </row>
    <row r="25" ht="15" customHeight="1" spans="1:94">
      <c r="A25" s="123" t="str">
        <f>IF(C25="","",COUNT(A$7:A24)+1)</f>
        <v/>
      </c>
      <c r="B25" s="141"/>
      <c r="C25" s="139"/>
      <c r="D25" s="139"/>
      <c r="E25" s="139"/>
      <c r="F25" s="139"/>
      <c r="G25" s="141"/>
      <c r="H25" s="535"/>
      <c r="I25" s="140"/>
      <c r="J25" s="902"/>
      <c r="K25" s="902"/>
      <c r="L25" s="902"/>
      <c r="M25" s="902"/>
      <c r="N25" s="536"/>
      <c r="O25" s="141"/>
      <c r="P25" s="143"/>
      <c r="Q25" s="142"/>
      <c r="R25" s="127" t="str">
        <f>IFERROR(VLOOKUP(Q25,参数表!$H$2:$I$50,2,FALSE),"")</f>
        <v/>
      </c>
      <c r="S25" s="128" t="str">
        <f t="shared" si="8"/>
        <v/>
      </c>
      <c r="T25" s="128" t="str">
        <f t="shared" si="9"/>
        <v/>
      </c>
      <c r="U25" s="129" t="str">
        <f t="shared" si="10"/>
        <v/>
      </c>
      <c r="V25" s="143"/>
      <c r="W25" s="143"/>
      <c r="X25" s="143"/>
      <c r="Y25" s="144"/>
      <c r="Z25" s="144"/>
      <c r="AA25" s="144"/>
      <c r="AB25" s="129" t="str">
        <f t="shared" si="11"/>
        <v/>
      </c>
      <c r="AC25" s="129" t="str">
        <f t="shared" si="12"/>
        <v/>
      </c>
      <c r="AD25" s="129" t="str">
        <f t="shared" si="13"/>
        <v/>
      </c>
      <c r="AE25" s="129" t="str">
        <f t="shared" si="0"/>
        <v/>
      </c>
      <c r="AF25" s="521" t="str">
        <f t="shared" si="1"/>
        <v/>
      </c>
      <c r="AG25" s="129" t="str">
        <f t="shared" si="14"/>
        <v/>
      </c>
      <c r="AH25" s="129" t="str">
        <f t="shared" si="15"/>
        <v/>
      </c>
      <c r="AI25" s="129" t="str">
        <f t="shared" si="16"/>
        <v/>
      </c>
      <c r="AJ25" s="139"/>
      <c r="BA25" s="78"/>
      <c r="BB25" s="132" t="s">
        <v>3901</v>
      </c>
      <c r="BC25" s="133"/>
      <c r="BD25" s="132" t="str">
        <f>IF(OR(C25="",BC25=""),"",COUNTIF(BC$8:BC25,"√"))</f>
        <v/>
      </c>
      <c r="BE25" s="134" t="str">
        <f t="shared" si="2"/>
        <v/>
      </c>
      <c r="BF25" s="135" t="str">
        <f t="shared" si="17"/>
        <v/>
      </c>
      <c r="BG25" s="135" t="str">
        <f t="shared" si="17"/>
        <v/>
      </c>
      <c r="BH25" s="136"/>
      <c r="BI25" s="136"/>
      <c r="BJ25" s="136"/>
      <c r="BK25" s="136"/>
      <c r="BL25" s="136"/>
      <c r="BM25" s="137"/>
      <c r="BN25" s="136"/>
      <c r="BO25" s="137"/>
      <c r="BP25" s="165" t="s">
        <v>2706</v>
      </c>
      <c r="BQ25" s="676"/>
      <c r="BR25" s="522">
        <f t="shared" si="3"/>
        <v>0</v>
      </c>
      <c r="BS25" s="156">
        <f t="shared" si="26"/>
        <v>0</v>
      </c>
      <c r="BT25" s="776"/>
      <c r="BU25" s="776"/>
      <c r="BV25" s="851">
        <f t="shared" si="27"/>
        <v>0</v>
      </c>
      <c r="BW25" s="156">
        <f t="shared" si="28"/>
        <v>0</v>
      </c>
      <c r="BX25" s="156">
        <f t="shared" si="29"/>
        <v>0</v>
      </c>
      <c r="BY25" s="522">
        <f t="shared" si="4"/>
        <v>1</v>
      </c>
      <c r="BZ25" s="852">
        <f>LOOKUP(BY25,参数表!$A$13:$B$19)</f>
        <v>0</v>
      </c>
      <c r="CA25" s="156">
        <f t="shared" si="18"/>
        <v>0</v>
      </c>
      <c r="CB25" s="156">
        <f t="shared" si="19"/>
        <v>0</v>
      </c>
      <c r="CC25" s="522">
        <f t="shared" si="5"/>
        <v>125.582477754962</v>
      </c>
      <c r="CD25" s="676"/>
      <c r="CE25" s="853">
        <f t="shared" si="20"/>
        <v>0</v>
      </c>
      <c r="CF25" s="853">
        <f t="shared" si="21"/>
        <v>0</v>
      </c>
      <c r="CG25" s="853">
        <f t="shared" si="6"/>
        <v>0</v>
      </c>
      <c r="CI25" s="134" t="str">
        <f>IF(COUNTIF(CI$7:CI24,C25)&gt;0,"",C25)&amp;""</f>
        <v/>
      </c>
      <c r="CJ25" s="138">
        <f t="shared" si="22"/>
        <v>0</v>
      </c>
      <c r="CK25" s="132">
        <f t="shared" si="23"/>
        <v>1</v>
      </c>
      <c r="CL25" s="138">
        <f t="shared" si="24"/>
        <v>0</v>
      </c>
      <c r="CM25" s="132">
        <f t="shared" si="25"/>
        <v>1</v>
      </c>
      <c r="CN25" s="133"/>
      <c r="CO25" s="133"/>
    </row>
    <row r="26" ht="15" customHeight="1" spans="1:94">
      <c r="A26" s="123" t="str">
        <f>IF(C26="","",COUNT(A$7:A25)+1)</f>
        <v/>
      </c>
      <c r="B26" s="141"/>
      <c r="C26" s="139"/>
      <c r="D26" s="139"/>
      <c r="E26" s="139"/>
      <c r="F26" s="139"/>
      <c r="G26" s="141"/>
      <c r="H26" s="535"/>
      <c r="I26" s="140"/>
      <c r="J26" s="902"/>
      <c r="K26" s="902"/>
      <c r="L26" s="902"/>
      <c r="M26" s="902"/>
      <c r="N26" s="536"/>
      <c r="O26" s="141"/>
      <c r="P26" s="143"/>
      <c r="Q26" s="142"/>
      <c r="R26" s="127" t="str">
        <f>IFERROR(VLOOKUP(Q26,参数表!$H$2:$I$50,2,FALSE),"")</f>
        <v/>
      </c>
      <c r="S26" s="128" t="str">
        <f t="shared" si="8"/>
        <v/>
      </c>
      <c r="T26" s="128" t="str">
        <f t="shared" si="9"/>
        <v/>
      </c>
      <c r="U26" s="129" t="str">
        <f t="shared" si="10"/>
        <v/>
      </c>
      <c r="V26" s="143"/>
      <c r="W26" s="143"/>
      <c r="X26" s="143"/>
      <c r="Y26" s="144"/>
      <c r="Z26" s="144"/>
      <c r="AA26" s="144"/>
      <c r="AB26" s="129" t="str">
        <f t="shared" si="11"/>
        <v/>
      </c>
      <c r="AC26" s="129" t="str">
        <f t="shared" si="12"/>
        <v/>
      </c>
      <c r="AD26" s="129" t="str">
        <f t="shared" si="13"/>
        <v/>
      </c>
      <c r="AE26" s="129" t="str">
        <f t="shared" si="0"/>
        <v/>
      </c>
      <c r="AF26" s="521" t="str">
        <f t="shared" si="1"/>
        <v/>
      </c>
      <c r="AG26" s="129" t="str">
        <f t="shared" si="14"/>
        <v/>
      </c>
      <c r="AH26" s="129" t="str">
        <f t="shared" si="15"/>
        <v/>
      </c>
      <c r="AI26" s="129" t="str">
        <f t="shared" si="16"/>
        <v/>
      </c>
      <c r="AJ26" s="139"/>
      <c r="BA26" s="78"/>
      <c r="BB26" s="132" t="s">
        <v>3902</v>
      </c>
      <c r="BC26" s="133"/>
      <c r="BD26" s="132" t="str">
        <f>IF(OR(C26="",BC26=""),"",COUNTIF(BC$8:BC26,"√"))</f>
        <v/>
      </c>
      <c r="BE26" s="134" t="str">
        <f t="shared" si="2"/>
        <v/>
      </c>
      <c r="BF26" s="135" t="str">
        <f t="shared" si="17"/>
        <v/>
      </c>
      <c r="BG26" s="135" t="str">
        <f t="shared" si="17"/>
        <v/>
      </c>
      <c r="BH26" s="136"/>
      <c r="BI26" s="136"/>
      <c r="BJ26" s="136"/>
      <c r="BK26" s="136"/>
      <c r="BL26" s="136"/>
      <c r="BM26" s="137"/>
      <c r="BN26" s="136"/>
      <c r="BO26" s="137"/>
      <c r="BP26" s="165" t="s">
        <v>2706</v>
      </c>
      <c r="BQ26" s="676"/>
      <c r="BR26" s="522">
        <f t="shared" si="3"/>
        <v>0</v>
      </c>
      <c r="BS26" s="156">
        <f t="shared" si="26"/>
        <v>0</v>
      </c>
      <c r="BT26" s="776"/>
      <c r="BU26" s="776"/>
      <c r="BV26" s="851">
        <f t="shared" si="27"/>
        <v>0</v>
      </c>
      <c r="BW26" s="156">
        <f t="shared" si="28"/>
        <v>0</v>
      </c>
      <c r="BX26" s="156">
        <f t="shared" si="29"/>
        <v>0</v>
      </c>
      <c r="BY26" s="522">
        <f t="shared" si="4"/>
        <v>1</v>
      </c>
      <c r="BZ26" s="852">
        <f>LOOKUP(BY26,参数表!$A$13:$B$19)</f>
        <v>0</v>
      </c>
      <c r="CA26" s="156">
        <f t="shared" si="18"/>
        <v>0</v>
      </c>
      <c r="CB26" s="156">
        <f t="shared" si="19"/>
        <v>0</v>
      </c>
      <c r="CC26" s="522">
        <f t="shared" si="5"/>
        <v>125.582477754962</v>
      </c>
      <c r="CD26" s="676"/>
      <c r="CE26" s="853">
        <f t="shared" si="20"/>
        <v>0</v>
      </c>
      <c r="CF26" s="853">
        <f t="shared" si="21"/>
        <v>0</v>
      </c>
      <c r="CG26" s="853">
        <f t="shared" si="6"/>
        <v>0</v>
      </c>
      <c r="CI26" s="134" t="str">
        <f>IF(COUNTIF(CI$7:CI25,C26)&gt;0,"",C26)&amp;""</f>
        <v/>
      </c>
      <c r="CJ26" s="138">
        <f t="shared" si="22"/>
        <v>0</v>
      </c>
      <c r="CK26" s="132">
        <f t="shared" si="23"/>
        <v>1</v>
      </c>
      <c r="CL26" s="138">
        <f t="shared" si="24"/>
        <v>0</v>
      </c>
      <c r="CM26" s="132">
        <f t="shared" si="25"/>
        <v>1</v>
      </c>
      <c r="CN26" s="133"/>
      <c r="CO26" s="133"/>
    </row>
    <row r="27" ht="15" customHeight="1" spans="1:94">
      <c r="A27" s="123" t="str">
        <f>IF(C27="","",COUNT(A$7:A26)+1)</f>
        <v/>
      </c>
      <c r="B27" s="123"/>
      <c r="C27" s="124"/>
      <c r="D27" s="124"/>
      <c r="E27" s="124"/>
      <c r="F27" s="124"/>
      <c r="G27" s="126"/>
      <c r="H27" s="124"/>
      <c r="I27" s="125"/>
      <c r="J27" s="123"/>
      <c r="K27" s="123"/>
      <c r="L27" s="123"/>
      <c r="M27" s="123"/>
      <c r="N27" s="533"/>
      <c r="O27" s="126"/>
      <c r="P27" s="129"/>
      <c r="Q27" s="127"/>
      <c r="R27" s="127" t="str">
        <f>IFERROR(VLOOKUP(Q27,参数表!$H$2:$I$50,2,FALSE),"")</f>
        <v/>
      </c>
      <c r="S27" s="128" t="str">
        <f t="shared" si="8"/>
        <v/>
      </c>
      <c r="T27" s="128" t="str">
        <f t="shared" si="9"/>
        <v/>
      </c>
      <c r="U27" s="129" t="str">
        <f t="shared" si="10"/>
        <v/>
      </c>
      <c r="V27" s="129"/>
      <c r="W27" s="129"/>
      <c r="X27" s="129"/>
      <c r="Y27" s="130"/>
      <c r="Z27" s="130"/>
      <c r="AA27" s="130"/>
      <c r="AB27" s="129" t="str">
        <f t="shared" si="11"/>
        <v/>
      </c>
      <c r="AC27" s="129" t="str">
        <f t="shared" si="12"/>
        <v/>
      </c>
      <c r="AD27" s="129" t="str">
        <f t="shared" si="13"/>
        <v/>
      </c>
      <c r="AE27" s="129" t="str">
        <f t="shared" si="0"/>
        <v/>
      </c>
      <c r="AF27" s="521" t="str">
        <f t="shared" si="1"/>
        <v/>
      </c>
      <c r="AG27" s="129" t="str">
        <f t="shared" si="14"/>
        <v/>
      </c>
      <c r="AH27" s="129" t="str">
        <f t="shared" si="15"/>
        <v/>
      </c>
      <c r="AI27" s="129" t="str">
        <f t="shared" si="16"/>
        <v/>
      </c>
      <c r="AJ27" s="124"/>
      <c r="BA27" s="78"/>
      <c r="BB27" s="132" t="s">
        <v>3903</v>
      </c>
      <c r="BC27" s="133"/>
      <c r="BD27" s="132" t="str">
        <f>IF(OR(C27="",BC27=""),"",COUNTIF(BC$8:BC27,"√"))</f>
        <v/>
      </c>
      <c r="BE27" s="134" t="str">
        <f t="shared" si="2"/>
        <v/>
      </c>
      <c r="BF27" s="135" t="str">
        <f t="shared" si="17"/>
        <v/>
      </c>
      <c r="BG27" s="135" t="str">
        <f t="shared" si="17"/>
        <v/>
      </c>
      <c r="BH27" s="136"/>
      <c r="BI27" s="136"/>
      <c r="BJ27" s="136"/>
      <c r="BK27" s="136"/>
      <c r="BL27" s="136"/>
      <c r="BM27" s="137"/>
      <c r="BN27" s="136"/>
      <c r="BO27" s="137"/>
      <c r="BP27" s="165" t="s">
        <v>2706</v>
      </c>
      <c r="BQ27" s="676"/>
      <c r="BR27" s="522">
        <f t="shared" si="3"/>
        <v>0</v>
      </c>
      <c r="BS27" s="156">
        <f t="shared" si="26"/>
        <v>0</v>
      </c>
      <c r="BT27" s="776"/>
      <c r="BU27" s="776"/>
      <c r="BV27" s="851">
        <f t="shared" si="27"/>
        <v>0</v>
      </c>
      <c r="BW27" s="156">
        <f t="shared" si="28"/>
        <v>0</v>
      </c>
      <c r="BX27" s="156">
        <f t="shared" si="29"/>
        <v>0</v>
      </c>
      <c r="BY27" s="522">
        <f t="shared" si="4"/>
        <v>1</v>
      </c>
      <c r="BZ27" s="852">
        <f>LOOKUP(BY27,参数表!$A$13:$B$19)</f>
        <v>0</v>
      </c>
      <c r="CA27" s="156">
        <f t="shared" si="18"/>
        <v>0</v>
      </c>
      <c r="CB27" s="156">
        <f t="shared" si="19"/>
        <v>0</v>
      </c>
      <c r="CC27" s="522">
        <f t="shared" si="5"/>
        <v>125.582477754962</v>
      </c>
      <c r="CD27" s="676"/>
      <c r="CE27" s="853">
        <f t="shared" si="20"/>
        <v>0</v>
      </c>
      <c r="CF27" s="853">
        <f t="shared" si="21"/>
        <v>0</v>
      </c>
      <c r="CG27" s="853">
        <f t="shared" si="6"/>
        <v>0</v>
      </c>
      <c r="CI27" s="134" t="str">
        <f>IF(COUNTIF(CI$7:CI26,C27)&gt;0,"",C27)&amp;""</f>
        <v/>
      </c>
      <c r="CJ27" s="138">
        <f t="shared" si="22"/>
        <v>0</v>
      </c>
      <c r="CK27" s="132">
        <f t="shared" si="23"/>
        <v>1</v>
      </c>
      <c r="CL27" s="138">
        <f t="shared" si="24"/>
        <v>0</v>
      </c>
      <c r="CM27" s="132">
        <f t="shared" si="25"/>
        <v>1</v>
      </c>
      <c r="CN27" s="133"/>
      <c r="CO27" s="133"/>
    </row>
    <row r="28" s="73" customFormat="1" ht="15" customHeight="1" spans="1:94">
      <c r="A28" s="221" t="s">
        <v>1954</v>
      </c>
      <c r="B28" s="221"/>
      <c r="C28" s="493"/>
      <c r="D28" s="493"/>
      <c r="E28" s="493"/>
      <c r="F28" s="493"/>
      <c r="G28" s="493"/>
      <c r="H28" s="221"/>
      <c r="I28" s="356"/>
      <c r="J28" s="356"/>
      <c r="K28" s="149"/>
      <c r="L28" s="149"/>
      <c r="M28" s="149"/>
      <c r="N28" s="149"/>
      <c r="O28" s="149"/>
      <c r="P28" s="152"/>
      <c r="Q28" s="152"/>
      <c r="R28" s="152"/>
      <c r="S28" s="152"/>
      <c r="T28" s="152"/>
      <c r="U28" s="152"/>
      <c r="V28" s="152">
        <f>SUM(V8:V27)</f>
        <v>0</v>
      </c>
      <c r="W28" s="152">
        <f>SUM(W8:W27)</f>
        <v>0</v>
      </c>
      <c r="X28" s="152">
        <f>SUM(X8:X27)</f>
        <v>0</v>
      </c>
      <c r="Y28" s="153"/>
      <c r="Z28" s="153"/>
      <c r="AA28" s="153"/>
      <c r="AB28" s="152">
        <f>SUM(AB8:AB27)</f>
        <v>0</v>
      </c>
      <c r="AC28" s="152">
        <f>SUM(AC8:AC27)</f>
        <v>0</v>
      </c>
      <c r="AD28" s="152">
        <f>SUM(AD8:AD27)</f>
        <v>0</v>
      </c>
      <c r="AE28" s="152">
        <f>SUM(AE8:AE27)</f>
        <v>0</v>
      </c>
      <c r="AF28" s="525"/>
      <c r="AG28" s="152">
        <f>SUM(AG8:AG27)</f>
        <v>0</v>
      </c>
      <c r="AH28" s="152" t="str">
        <f t="shared" si="15"/>
        <v/>
      </c>
      <c r="AI28" s="152"/>
      <c r="AJ28" s="221"/>
      <c r="BH28" s="72"/>
      <c r="BI28" s="72"/>
      <c r="BJ28" s="72"/>
      <c r="BK28" s="72"/>
      <c r="BL28" s="72"/>
      <c r="BN28" s="72"/>
      <c r="BQ28" s="247"/>
      <c r="BR28" s="247"/>
      <c r="BS28" s="247"/>
      <c r="BT28" s="247"/>
      <c r="BU28" s="247"/>
      <c r="BV28" s="247"/>
      <c r="BW28" s="247"/>
      <c r="BX28" s="247"/>
      <c r="BY28" s="247"/>
      <c r="BZ28" s="247"/>
      <c r="CA28" s="247"/>
      <c r="CB28" s="247"/>
      <c r="CC28" s="247"/>
      <c r="CD28" s="247"/>
      <c r="CE28" s="247"/>
      <c r="CF28" s="247"/>
      <c r="CG28" s="247"/>
      <c r="CH28" s="111"/>
      <c r="CI28" s="119"/>
      <c r="CJ28" s="77"/>
      <c r="CK28" s="77"/>
      <c r="CL28" s="77"/>
      <c r="CM28" s="119"/>
      <c r="CN28" s="119"/>
      <c r="CO28" s="119"/>
      <c r="CP28" s="111"/>
    </row>
    <row r="29" ht="15" customHeight="1" spans="1:94">
      <c r="A29" s="124" t="s">
        <v>3434</v>
      </c>
      <c r="B29" s="124"/>
      <c r="C29" s="124"/>
      <c r="D29" s="124"/>
      <c r="E29" s="124"/>
      <c r="F29" s="124"/>
      <c r="G29" s="124"/>
      <c r="H29" s="124"/>
      <c r="I29" s="125"/>
      <c r="J29" s="125"/>
      <c r="K29" s="126"/>
      <c r="L29" s="126"/>
      <c r="M29" s="126"/>
      <c r="N29" s="126"/>
      <c r="O29" s="126"/>
      <c r="P29" s="129"/>
      <c r="Q29" s="129"/>
      <c r="R29" s="129"/>
      <c r="S29" s="129"/>
      <c r="T29" s="129"/>
      <c r="U29" s="129"/>
      <c r="V29" s="129"/>
      <c r="W29" s="129">
        <f>X28</f>
        <v>0</v>
      </c>
      <c r="X29" s="129"/>
      <c r="Y29" s="130"/>
      <c r="Z29" s="130"/>
      <c r="AA29" s="130"/>
      <c r="AB29" s="129"/>
      <c r="AC29" s="129">
        <f>AD28</f>
        <v>0</v>
      </c>
      <c r="AD29" s="129"/>
      <c r="AE29" s="129"/>
      <c r="AF29" s="521"/>
      <c r="AG29" s="129"/>
      <c r="AH29" s="129" t="str">
        <f t="shared" si="15"/>
        <v/>
      </c>
      <c r="AI29" s="129"/>
      <c r="AJ29" s="124"/>
    </row>
    <row r="30" s="73" customFormat="1" ht="15" customHeight="1" spans="1:94">
      <c r="A30" s="221" t="s">
        <v>1957</v>
      </c>
      <c r="B30" s="221"/>
      <c r="C30" s="221"/>
      <c r="D30" s="221"/>
      <c r="E30" s="221"/>
      <c r="F30" s="221"/>
      <c r="G30" s="221"/>
      <c r="H30" s="221"/>
      <c r="I30" s="356"/>
      <c r="J30" s="356"/>
      <c r="K30" s="149"/>
      <c r="L30" s="149"/>
      <c r="M30" s="149"/>
      <c r="N30" s="149"/>
      <c r="O30" s="149"/>
      <c r="P30" s="152"/>
      <c r="Q30" s="152"/>
      <c r="R30" s="152"/>
      <c r="S30" s="152"/>
      <c r="T30" s="152"/>
      <c r="U30" s="152"/>
      <c r="V30" s="152">
        <f>V28-V29</f>
        <v>0</v>
      </c>
      <c r="W30" s="152">
        <f>W28-W29</f>
        <v>0</v>
      </c>
      <c r="X30" s="152"/>
      <c r="Y30" s="153"/>
      <c r="Z30" s="153"/>
      <c r="AA30" s="153"/>
      <c r="AB30" s="152">
        <f>AB28-AB29</f>
        <v>0</v>
      </c>
      <c r="AC30" s="152">
        <f>AC28-AC29</f>
        <v>0</v>
      </c>
      <c r="AD30" s="152"/>
      <c r="AE30" s="152">
        <f>AE28-AE29</f>
        <v>0</v>
      </c>
      <c r="AF30" s="525"/>
      <c r="AG30" s="152">
        <f>AG28-AG29</f>
        <v>0</v>
      </c>
      <c r="AH30" s="152" t="str">
        <f t="shared" si="15"/>
        <v/>
      </c>
      <c r="AI30" s="152"/>
      <c r="AJ30" s="221"/>
      <c r="BH30" s="72"/>
      <c r="BI30" s="72"/>
      <c r="BJ30" s="72"/>
      <c r="BK30" s="72"/>
      <c r="BL30" s="72"/>
      <c r="BN30" s="72"/>
      <c r="BQ30" s="247"/>
      <c r="BR30" s="247"/>
      <c r="BS30" s="247"/>
      <c r="BT30" s="247"/>
      <c r="BU30" s="247"/>
      <c r="BV30" s="247"/>
      <c r="BW30" s="247"/>
      <c r="BX30" s="247"/>
      <c r="BY30" s="247"/>
      <c r="BZ30" s="247"/>
      <c r="CA30" s="247"/>
      <c r="CB30" s="247"/>
      <c r="CC30" s="247"/>
      <c r="CD30" s="247"/>
      <c r="CE30" s="247"/>
      <c r="CF30" s="247"/>
      <c r="CG30" s="247"/>
      <c r="CH30" s="77"/>
      <c r="CI30" s="78"/>
      <c r="CJ30" s="77"/>
      <c r="CK30" s="78"/>
      <c r="CL30" s="78"/>
      <c r="CM30" s="78"/>
      <c r="CN30" s="78"/>
      <c r="CO30" s="78"/>
      <c r="CP30" s="77"/>
    </row>
    <row r="31" customHeight="1" spans="1:94">
      <c r="A31" s="102" t="str">
        <f>参数表!F$6</f>
        <v>产权持有单位填表人：贾广东</v>
      </c>
      <c r="B31" s="96"/>
      <c r="C31" s="154"/>
      <c r="D31" s="154"/>
      <c r="E31" s="154"/>
      <c r="F31" s="154"/>
      <c r="G31" s="286"/>
      <c r="H31" s="154"/>
      <c r="I31" s="286"/>
      <c r="J31" s="154"/>
      <c r="K31" s="103"/>
      <c r="L31" s="103"/>
      <c r="M31" s="95"/>
      <c r="N31" s="95"/>
      <c r="O31" s="103"/>
      <c r="P31" s="103"/>
      <c r="Q31" s="103"/>
      <c r="R31" s="103"/>
      <c r="S31" s="103"/>
      <c r="T31" s="103"/>
      <c r="U31" s="103"/>
      <c r="V31" s="103"/>
      <c r="W31" s="103"/>
      <c r="X31" s="103"/>
      <c r="Y31" s="104"/>
      <c r="Z31" s="104"/>
      <c r="AA31" s="104"/>
      <c r="AB31" s="103"/>
      <c r="AC31" s="103"/>
      <c r="AD31" s="103"/>
      <c r="AE31" s="156" t="str">
        <f>"评估人员："&amp;封面!$G$24</f>
        <v>评估人员：</v>
      </c>
      <c r="AF31" s="103"/>
      <c r="AG31" s="156"/>
      <c r="AH31" s="103"/>
      <c r="AI31" s="103"/>
      <c r="AJ31" s="103"/>
    </row>
    <row r="32" customHeight="1" spans="1:94">
      <c r="A32" s="102" t="str">
        <f>参数表!F$7</f>
        <v>填表日期：2025年9月20日</v>
      </c>
      <c r="B32" s="96"/>
      <c r="C32" s="154"/>
      <c r="D32" s="154"/>
      <c r="E32" s="154"/>
      <c r="F32" s="154"/>
      <c r="G32" s="286"/>
      <c r="H32" s="154"/>
      <c r="I32" s="286"/>
      <c r="J32" s="154"/>
      <c r="K32" s="103"/>
      <c r="L32" s="103"/>
      <c r="M32" s="95"/>
      <c r="N32" s="95"/>
      <c r="O32" s="103"/>
      <c r="P32" s="103"/>
      <c r="Q32" s="103"/>
      <c r="R32" s="103"/>
      <c r="S32" s="103"/>
      <c r="T32" s="103"/>
      <c r="U32" s="103"/>
      <c r="V32" s="103"/>
      <c r="W32" s="103"/>
      <c r="X32" s="103"/>
      <c r="Y32" s="104"/>
      <c r="Z32" s="104"/>
      <c r="AA32" s="104"/>
      <c r="AB32" s="103"/>
      <c r="AC32" s="103"/>
      <c r="AD32" s="103"/>
      <c r="AE32" s="103"/>
      <c r="AF32" s="103"/>
      <c r="AG32" s="103"/>
      <c r="AH32" s="103"/>
      <c r="AI32" s="103"/>
      <c r="AJ32" s="103"/>
    </row>
    <row r="33" hidden="1" customHeight="1" outlineLevel="1" spans="1:66">
      <c r="A33" s="157"/>
      <c r="B33" s="696"/>
      <c r="C33" s="154" t="s">
        <v>1673</v>
      </c>
      <c r="D33" s="158"/>
      <c r="E33" s="158"/>
      <c r="F33" s="286" t="s">
        <v>1674</v>
      </c>
      <c r="G33" s="228"/>
      <c r="H33" s="158"/>
      <c r="I33" s="228"/>
      <c r="J33" s="158"/>
      <c r="P33" s="159">
        <f>SUMIF($BA8:$BA27,$BA33,P8:P27)</f>
        <v>0</v>
      </c>
      <c r="Q33" s="176"/>
      <c r="R33" s="176"/>
      <c r="S33" s="176"/>
      <c r="T33" s="176"/>
      <c r="U33" s="176"/>
      <c r="V33" s="159">
        <f>SUMIF($BA8:$BA27,$BA33,V8:V27)</f>
        <v>0</v>
      </c>
      <c r="W33" s="159">
        <f>SUMIF($BA8:$BA27,$BA33,W8:W27)</f>
        <v>0</v>
      </c>
      <c r="X33" s="159">
        <f>SUMIF($BA8:$BA27,$BA33,X8:X27)</f>
        <v>0</v>
      </c>
      <c r="Y33" s="202"/>
      <c r="Z33" s="202"/>
      <c r="AA33" s="202"/>
      <c r="AB33" s="159">
        <f>SUMIF($BA8:$BA27,$BA33,AB8:AB27)</f>
        <v>0</v>
      </c>
      <c r="AC33" s="159">
        <f>SUMIF($BA8:$BA27,$BA33,AC8:AC27)</f>
        <v>0</v>
      </c>
      <c r="AD33" s="159">
        <f>SUMIF($BA8:$BA27,$BA33,AD8:AD27)</f>
        <v>0</v>
      </c>
      <c r="AE33" s="159">
        <f>SUMIF($BA8:$BA27,$BA33,AE8:AE27)</f>
        <v>0</v>
      </c>
      <c r="AF33" s="176"/>
      <c r="AG33" s="159">
        <f>SUMIF($BA8:$BA27,$BA33,AG8:AG27)</f>
        <v>0</v>
      </c>
      <c r="BA33" s="161" t="s">
        <v>1674</v>
      </c>
      <c r="BH33" s="95" t="s">
        <v>1675</v>
      </c>
      <c r="BI33" s="95" t="s">
        <v>1675</v>
      </c>
      <c r="BJ33" s="95" t="s">
        <v>1675</v>
      </c>
      <c r="BK33" s="95" t="s">
        <v>1675</v>
      </c>
      <c r="BL33" s="95" t="s">
        <v>1675</v>
      </c>
      <c r="BN33" s="95" t="s">
        <v>1675</v>
      </c>
    </row>
    <row r="34" hidden="1" customHeight="1" outlineLevel="1" spans="1:66">
      <c r="A34" s="157"/>
      <c r="B34" s="696"/>
      <c r="C34" s="154" t="s">
        <v>1676</v>
      </c>
      <c r="D34" s="158"/>
      <c r="E34" s="158"/>
      <c r="F34" s="286" t="s">
        <v>1677</v>
      </c>
      <c r="G34" s="228"/>
      <c r="H34" s="158"/>
      <c r="I34" s="228"/>
      <c r="J34" s="158"/>
      <c r="P34" s="159">
        <f>P28-P33</f>
        <v>0</v>
      </c>
      <c r="Q34" s="176"/>
      <c r="R34" s="176"/>
      <c r="S34" s="176"/>
      <c r="T34" s="176"/>
      <c r="U34" s="176"/>
      <c r="V34" s="159">
        <f>V28-V33</f>
        <v>0</v>
      </c>
      <c r="W34" s="159">
        <f>W28-W33</f>
        <v>0</v>
      </c>
      <c r="X34" s="159">
        <f>X28-X33</f>
        <v>0</v>
      </c>
      <c r="Y34" s="202"/>
      <c r="Z34" s="202"/>
      <c r="AA34" s="202"/>
      <c r="AB34" s="159">
        <f>AB28-AB33</f>
        <v>0</v>
      </c>
      <c r="AC34" s="159">
        <f>AC28-AC33</f>
        <v>0</v>
      </c>
      <c r="AD34" s="159">
        <f>AD28-AD33</f>
        <v>0</v>
      </c>
      <c r="AE34" s="159">
        <f>AE28-AE33</f>
        <v>0</v>
      </c>
      <c r="AF34" s="176"/>
      <c r="AG34" s="159">
        <f>AG28-AG33</f>
        <v>0</v>
      </c>
      <c r="BA34" s="161" t="s">
        <v>1677</v>
      </c>
      <c r="BH34" s="95" t="s">
        <v>1678</v>
      </c>
      <c r="BI34" s="95" t="s">
        <v>1678</v>
      </c>
      <c r="BJ34" s="95" t="s">
        <v>1678</v>
      </c>
      <c r="BK34" s="95" t="s">
        <v>1678</v>
      </c>
      <c r="BL34" s="95" t="s">
        <v>1678</v>
      </c>
      <c r="BN34" s="95" t="s">
        <v>1678</v>
      </c>
    </row>
    <row r="35" customHeight="1" collapsed="1" spans="1:66">
      <c r="A35" s="157"/>
      <c r="B35" s="696"/>
      <c r="C35" s="158"/>
      <c r="D35" s="158"/>
      <c r="E35" s="158"/>
      <c r="F35" s="158"/>
      <c r="G35" s="228"/>
      <c r="H35" s="158"/>
      <c r="I35" s="228"/>
      <c r="J35" s="158"/>
    </row>
    <row r="36" customHeight="1" spans="1:66">
      <c r="A36" s="157"/>
      <c r="B36" s="696"/>
      <c r="C36" s="158"/>
      <c r="D36" s="158"/>
      <c r="E36" s="158"/>
      <c r="G36" s="228"/>
      <c r="H36" s="158"/>
      <c r="I36" s="228"/>
      <c r="J36" s="158"/>
    </row>
    <row r="37" customHeight="1" spans="1:66">
      <c r="A37" s="157"/>
      <c r="B37" s="696"/>
      <c r="C37" s="158"/>
      <c r="D37" s="158"/>
      <c r="E37" s="158"/>
      <c r="G37" s="228"/>
      <c r="H37" s="158"/>
      <c r="I37" s="228"/>
      <c r="J37" s="158"/>
    </row>
    <row r="38" customHeight="1" spans="1:66">
      <c r="A38" s="157"/>
      <c r="B38" s="696"/>
      <c r="C38" s="158"/>
      <c r="D38" s="158"/>
      <c r="E38" s="158"/>
      <c r="F38" s="158"/>
      <c r="G38" s="228"/>
      <c r="H38" s="158"/>
      <c r="I38" s="228"/>
      <c r="J38" s="158"/>
    </row>
    <row r="39" customHeight="1" spans="1:66">
      <c r="A39" s="157"/>
      <c r="B39" s="696"/>
      <c r="C39" s="158"/>
      <c r="D39" s="158"/>
      <c r="E39" s="158"/>
      <c r="F39" s="158"/>
      <c r="G39" s="228"/>
      <c r="H39" s="158"/>
      <c r="I39" s="228"/>
      <c r="J39" s="158"/>
    </row>
  </sheetData>
  <sheetProtection autoFilter="0"/>
  <mergeCells count="42">
    <mergeCell ref="A2:AJ2"/>
    <mergeCell ref="A3:AJ3"/>
    <mergeCell ref="Q6:U6"/>
    <mergeCell ref="V6:X6"/>
    <mergeCell ref="Y6:AA6"/>
    <mergeCell ref="AB6:AD6"/>
    <mergeCell ref="AE6:AG6"/>
    <mergeCell ref="CN8:CP8"/>
    <mergeCell ref="CN9:CP9"/>
    <mergeCell ref="CO15:CP15"/>
    <mergeCell ref="A28:G28"/>
    <mergeCell ref="A29:G29"/>
    <mergeCell ref="A30:G30"/>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AH6:AH7"/>
    <mergeCell ref="AI6:AI7"/>
    <mergeCell ref="AJ6:AJ7"/>
    <mergeCell ref="BF6:BF7"/>
    <mergeCell ref="BG6:BG7"/>
    <mergeCell ref="BH6:BH7"/>
    <mergeCell ref="BI6:BI7"/>
    <mergeCell ref="BJ6:BJ7"/>
    <mergeCell ref="BK6:BK7"/>
    <mergeCell ref="BL6:BL7"/>
    <mergeCell ref="BM6:BM7"/>
    <mergeCell ref="BN6:BN7"/>
    <mergeCell ref="BO6:BO7"/>
  </mergeCells>
  <conditionalFormatting sqref="BM8:BM27">
    <cfRule type="expression" dxfId="5" priority="5" stopIfTrue="1">
      <formula>AND(BL8="无",BM8="")</formula>
    </cfRule>
  </conditionalFormatting>
  <conditionalFormatting sqref="BF8:BG27">
    <cfRule type="containsText" dxfId="6" priority="1" stopIfTrue="1" operator="between" text="出错">
      <formula>NOT(ISERROR(SEARCH("出错",BF8)))</formula>
    </cfRule>
  </conditionalFormatting>
  <conditionalFormatting sqref="BH8:BL27 BN8:BN27">
    <cfRule type="expression" dxfId="5" priority="6" stopIfTrue="1">
      <formula>AND($C8&lt;&gt;"",BH8="")</formula>
    </cfRule>
  </conditionalFormatting>
  <dataValidations count="6">
    <dataValidation type="list" allowBlank="1" showInputMessage="1" showErrorMessage="1" sqref="F8:F27">
      <formula1>$F$33:$F$34</formula1>
    </dataValidation>
    <dataValidation type="list" allowBlank="1" showInputMessage="1" showErrorMessage="1" sqref="Q8:Q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N8:BN27 BH8:BL27">
      <formula1>BH$33:BH$34</formula1>
    </dataValidation>
    <dataValidation type="list" allowBlank="1" showInputMessage="1" showErrorMessage="1" sqref="BP8:BP27">
      <formula1>"成本法,收益法,市场法"</formula1>
    </dataValidation>
  </dataValidations>
  <hyperlinks>
    <hyperlink ref="A1" location="索引目录!E36" display="返回索引页"/>
    <hyperlink ref="C1" location="固定资产汇总!B14" display="返回"/>
  </hyperlinks>
  <printOptions horizontalCentered="1"/>
  <pageMargins left="0.393700787401575" right="0.393700787401575" top="0.984251968503937" bottom="0.393700787401575" header="0.984251968503937" footer="0.393700787401575"/>
  <pageSetup paperSize="9" scale="98" fitToHeight="0" orientation="landscape" blackAndWhite="1"/>
  <headerFooter alignWithMargins="0">
    <oddHeader>&amp;R&amp;"宋体,常规"&amp;11共&amp;N页，第&amp;P页&amp;"Times New Roman,常规"</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00B0F0"/>
  </sheetPr>
  <dimension ref="A1:BB44"/>
  <sheetViews>
    <sheetView workbookViewId="0">
      <pane xSplit="2" ySplit="6" topLeftCell="C7" activePane="bottomRight" state="frozen"/>
      <selection/>
      <selection pane="topRight"/>
      <selection pane="bottomLeft"/>
      <selection pane="bottomRight" activeCell="E45" sqref="E45"/>
    </sheetView>
  </sheetViews>
  <sheetFormatPr defaultColWidth="7" defaultRowHeight="18" customHeight="1"/>
  <cols>
    <col min="1" max="1" width="19.1" style="1800" customWidth="1"/>
    <col min="2" max="2" width="4.6" style="1801" customWidth="1"/>
    <col min="3" max="4" width="15.6" style="1802" customWidth="1"/>
    <col min="5" max="5" width="5.6" style="1800" customWidth="1"/>
    <col min="6" max="6" width="19.1" style="1800" customWidth="1"/>
    <col min="7" max="7" width="4.6" style="1801" customWidth="1"/>
    <col min="8" max="9" width="15.6" style="1802" customWidth="1"/>
    <col min="10" max="10" width="5.6" style="1800" customWidth="1"/>
    <col min="11" max="11" width="7" style="1800"/>
    <col min="12" max="52" width="7" style="1800" hidden="1" customWidth="1" outlineLevel="1"/>
    <col min="53" max="53" width="14.7" style="1800" customWidth="1" collapsed="1"/>
    <col min="54" max="16384" width="7" style="1800"/>
  </cols>
  <sheetData>
    <row r="1" s="1797" customFormat="1" customHeight="1" spans="1:54">
      <c r="A1" s="1803" t="s">
        <v>233</v>
      </c>
      <c r="B1" s="1804"/>
      <c r="C1" s="1804"/>
      <c r="D1" s="1804"/>
      <c r="E1" s="1804"/>
      <c r="F1" s="1804"/>
      <c r="G1" s="1804"/>
      <c r="H1" s="1804"/>
      <c r="I1" s="1804"/>
      <c r="J1" s="1804"/>
      <c r="BA1" s="1805" t="str">
        <f>参数表!BA1</f>
        <v>注意：补充特殊事项、作价等均从BA列开始填写</v>
      </c>
      <c r="BB1" s="1805"/>
    </row>
    <row r="2" s="1797" customFormat="1" customHeight="1" spans="1:54">
      <c r="A2" s="1806" t="s">
        <v>302</v>
      </c>
      <c r="B2" s="1806"/>
      <c r="C2" s="1806"/>
      <c r="D2" s="1806"/>
      <c r="E2" s="1806"/>
      <c r="F2" s="1806"/>
      <c r="G2" s="1806"/>
      <c r="H2" s="1806"/>
      <c r="I2" s="1806"/>
      <c r="J2" s="1806"/>
      <c r="BA2" s="1805" t="str">
        <f>参数表!BA2</f>
        <v>评估基准日：</v>
      </c>
      <c r="BB2" s="1805" t="str">
        <f>参数表!BB2</f>
        <v>2025年7月31日</v>
      </c>
    </row>
    <row r="3" s="1798" customFormat="1" ht="15" customHeight="1" spans="1:54">
      <c r="A3" s="1807" t="str">
        <f>参数表!F5</f>
        <v>评估基准日：2025年7月31日</v>
      </c>
      <c r="B3" s="1807"/>
      <c r="C3" s="1807"/>
      <c r="D3" s="1807"/>
      <c r="E3" s="1807"/>
      <c r="F3" s="1807"/>
      <c r="G3" s="1807"/>
      <c r="H3" s="1807"/>
      <c r="I3" s="1807"/>
      <c r="J3" s="1807"/>
      <c r="BA3" s="1808" t="str">
        <f>参数表!BA3</f>
        <v>是否显示评估值：</v>
      </c>
      <c r="BB3" s="1808" t="str">
        <f>参数表!BB3</f>
        <v>是</v>
      </c>
    </row>
    <row r="4" customHeight="1" spans="1:54">
      <c r="A4" s="1809" t="str">
        <f>"编制单位:"&amp;封面!F7</f>
        <v>编制单位:中煤第五建设有限公司</v>
      </c>
      <c r="B4" s="1809"/>
      <c r="C4" s="1809"/>
      <c r="D4" s="1810"/>
      <c r="E4" s="1811"/>
      <c r="F4" s="1812"/>
      <c r="G4" s="1813"/>
      <c r="H4" s="1810"/>
      <c r="I4" s="1810"/>
      <c r="J4" s="1814" t="s">
        <v>303</v>
      </c>
      <c r="BA4" s="1799"/>
    </row>
    <row r="5" s="1799" customFormat="1" customHeight="1" spans="1:54">
      <c r="A5" s="1815" t="s">
        <v>304</v>
      </c>
      <c r="B5" s="1815" t="s">
        <v>305</v>
      </c>
      <c r="C5" s="1815" t="s">
        <v>306</v>
      </c>
      <c r="D5" s="1815" t="s">
        <v>307</v>
      </c>
      <c r="E5" s="1815" t="s">
        <v>308</v>
      </c>
      <c r="F5" s="1815" t="s">
        <v>309</v>
      </c>
      <c r="G5" s="1815" t="s">
        <v>305</v>
      </c>
      <c r="H5" s="1815" t="s">
        <v>306</v>
      </c>
      <c r="I5" s="1815" t="s">
        <v>307</v>
      </c>
      <c r="J5" s="1815" t="s">
        <v>308</v>
      </c>
    </row>
    <row r="6" customHeight="1" spans="1:54">
      <c r="A6" s="1816" t="s">
        <v>310</v>
      </c>
      <c r="B6" s="1817">
        <f>IF(A6="","",SUBTOTAL(3,A$6:A6))</f>
        <v>1</v>
      </c>
      <c r="C6" s="1818"/>
      <c r="D6" s="1818"/>
      <c r="E6" s="1819"/>
      <c r="F6" s="1819" t="s">
        <v>311</v>
      </c>
      <c r="G6" s="1817">
        <f>IF(F6="","",SUBTOTAL(3,A$6:A$42,F$6:F6))</f>
        <v>37</v>
      </c>
      <c r="H6" s="1818"/>
      <c r="I6" s="1818"/>
      <c r="J6" s="1819"/>
    </row>
    <row r="7" customHeight="1" spans="1:54">
      <c r="A7" s="1820" t="str">
        <f>分类汇总!B8</f>
        <v>货币资金</v>
      </c>
      <c r="B7" s="1817">
        <f>IF(A7="","",SUBTOTAL(3,A$6:A7))</f>
        <v>2</v>
      </c>
      <c r="C7" s="1821"/>
      <c r="D7" s="1821"/>
      <c r="E7" s="1822"/>
      <c r="F7" s="1820" t="str">
        <f>分类汇总!B45</f>
        <v>短期借款</v>
      </c>
      <c r="G7" s="1817">
        <f>IF(F7="","",SUBTOTAL(3,A$6:A$42,F$6:F7))</f>
        <v>38</v>
      </c>
      <c r="H7" s="1821"/>
      <c r="I7" s="1821"/>
      <c r="J7" s="1822"/>
    </row>
    <row r="8" customHeight="1" spans="1:54">
      <c r="A8" s="1823" t="str">
        <f>分类汇总!B10</f>
        <v>交易性金融资产</v>
      </c>
      <c r="B8" s="1817">
        <f>IF(A8="","",SUBTOTAL(3,A$6:A8))</f>
        <v>3</v>
      </c>
      <c r="C8" s="1821"/>
      <c r="D8" s="1821"/>
      <c r="E8" s="1822"/>
      <c r="F8" s="1823" t="str">
        <f>分类汇总!B47</f>
        <v>交易性金融负债</v>
      </c>
      <c r="G8" s="1817">
        <f>IF(F8="","",SUBTOTAL(3,A$6:A$42,F$6:F8))</f>
        <v>39</v>
      </c>
      <c r="H8" s="1821"/>
      <c r="I8" s="1821"/>
      <c r="J8" s="1822"/>
    </row>
    <row r="9" customHeight="1" spans="1:54">
      <c r="A9" s="1820" t="str">
        <f>分类汇总!B11</f>
        <v>衍生金融资产</v>
      </c>
      <c r="B9" s="1817">
        <f>IF(A9="","",SUBTOTAL(3,A$6:A9))</f>
        <v>4</v>
      </c>
      <c r="C9" s="1821"/>
      <c r="D9" s="1821"/>
      <c r="E9" s="1822"/>
      <c r="F9" s="1820" t="str">
        <f>分类汇总!B48</f>
        <v>衍生金融负债</v>
      </c>
      <c r="G9" s="1817">
        <f>IF(F9="","",SUBTOTAL(3,A$6:A$42,F$6:F9))</f>
        <v>40</v>
      </c>
      <c r="H9" s="1821"/>
      <c r="I9" s="1821"/>
      <c r="J9" s="1822"/>
    </row>
    <row r="10" customHeight="1" spans="1:54">
      <c r="A10" s="1820" t="str">
        <f>分类汇总!B12</f>
        <v>应收票据</v>
      </c>
      <c r="B10" s="1817">
        <f>IF(A10="","",SUBTOTAL(3,A$6:A10))</f>
        <v>5</v>
      </c>
      <c r="C10" s="1821"/>
      <c r="D10" s="1821"/>
      <c r="E10" s="1822"/>
      <c r="F10" s="1820" t="str">
        <f>分类汇总!B49</f>
        <v>应付票据</v>
      </c>
      <c r="G10" s="1817">
        <f>IF(F10="","",SUBTOTAL(3,A$6:A$42,F$6:F10))</f>
        <v>41</v>
      </c>
      <c r="H10" s="1821"/>
      <c r="I10" s="1821"/>
      <c r="J10" s="1822"/>
    </row>
    <row r="11" customHeight="1" spans="1:54">
      <c r="A11" s="1820" t="str">
        <f>分类汇总!B13</f>
        <v>应收账款</v>
      </c>
      <c r="B11" s="1817">
        <f>IF(A11="","",SUBTOTAL(3,A$6:A11))</f>
        <v>6</v>
      </c>
      <c r="C11" s="1821"/>
      <c r="D11" s="1821"/>
      <c r="E11" s="1822"/>
      <c r="F11" s="1820" t="str">
        <f>分类汇总!B50</f>
        <v>应付账款</v>
      </c>
      <c r="G11" s="1817">
        <f>IF(F11="","",SUBTOTAL(3,A$6:A$42,F$6:F11))</f>
        <v>42</v>
      </c>
      <c r="H11" s="1821"/>
      <c r="I11" s="1821"/>
      <c r="J11" s="1822"/>
    </row>
    <row r="12" customHeight="1" spans="1:54">
      <c r="A12" s="1820" t="str">
        <f>分类汇总!B14</f>
        <v>应收款项融资</v>
      </c>
      <c r="B12" s="1817">
        <f>IF(A12="","",SUBTOTAL(3,A$6:A12))</f>
        <v>7</v>
      </c>
      <c r="C12" s="1821"/>
      <c r="D12" s="1821"/>
      <c r="E12" s="1822"/>
      <c r="F12" s="1820" t="str">
        <f>分类汇总!B51</f>
        <v>预收款项</v>
      </c>
      <c r="G12" s="1817">
        <f>IF(F12="","",SUBTOTAL(3,A$6:A$42,F$6:F12))</f>
        <v>43</v>
      </c>
      <c r="H12" s="1821"/>
      <c r="I12" s="1821"/>
      <c r="J12" s="1822"/>
    </row>
    <row r="13" customHeight="1" spans="1:54">
      <c r="A13" s="1820" t="str">
        <f>分类汇总!B15</f>
        <v>预付账款</v>
      </c>
      <c r="B13" s="1817">
        <f>IF(A13="","",SUBTOTAL(3,A$6:A13))</f>
        <v>8</v>
      </c>
      <c r="C13" s="1821"/>
      <c r="D13" s="1821"/>
      <c r="E13" s="1822"/>
      <c r="F13" s="1820" t="str">
        <f>分类汇总!B52</f>
        <v>合同负债</v>
      </c>
      <c r="G13" s="1817">
        <f>IF(F13="","",SUBTOTAL(3,A$6:A$42,F$6:F13))</f>
        <v>44</v>
      </c>
      <c r="H13" s="1821"/>
      <c r="I13" s="1821"/>
      <c r="J13" s="1822"/>
    </row>
    <row r="14" customHeight="1" spans="1:54">
      <c r="A14" s="1820" t="str">
        <f>分类汇总!B16</f>
        <v>其他应收款</v>
      </c>
      <c r="B14" s="1817">
        <f>IF(A14="","",SUBTOTAL(3,A$6:A14))</f>
        <v>9</v>
      </c>
      <c r="C14" s="1824"/>
      <c r="D14" s="1824"/>
      <c r="E14" s="1822"/>
      <c r="F14" s="1820" t="str">
        <f>分类汇总!B53</f>
        <v>应付职工薪酬</v>
      </c>
      <c r="G14" s="1817">
        <f>IF(F14="","",SUBTOTAL(3,A$6:A$42,F$6:F14))</f>
        <v>45</v>
      </c>
      <c r="H14" s="1821"/>
      <c r="I14" s="1821"/>
      <c r="J14" s="1822"/>
    </row>
    <row r="15" customHeight="1" spans="1:54">
      <c r="A15" s="1820" t="str">
        <f>分类汇总!B17</f>
        <v>存货</v>
      </c>
      <c r="B15" s="1817">
        <f>IF(A15="","",SUBTOTAL(3,A$6:A15))</f>
        <v>10</v>
      </c>
      <c r="C15" s="1824"/>
      <c r="D15" s="1824"/>
      <c r="E15" s="1822"/>
      <c r="F15" s="1820" t="str">
        <f>分类汇总!B54</f>
        <v>应交税费</v>
      </c>
      <c r="G15" s="1817">
        <f>IF(F15="","",SUBTOTAL(3,A$6:A$42,F$6:F15))</f>
        <v>46</v>
      </c>
      <c r="H15" s="1821"/>
      <c r="I15" s="1821"/>
      <c r="J15" s="1822"/>
    </row>
    <row r="16" customHeight="1" spans="1:54">
      <c r="A16" s="1820" t="str">
        <f>分类汇总!B18</f>
        <v>合同资产</v>
      </c>
      <c r="B16" s="1817">
        <f>IF(A16="","",SUBTOTAL(3,A$6:A16))</f>
        <v>11</v>
      </c>
      <c r="C16" s="1824"/>
      <c r="D16" s="1824"/>
      <c r="E16" s="1822"/>
      <c r="F16" s="1820" t="str">
        <f>分类汇总!B55</f>
        <v>其他应付款</v>
      </c>
      <c r="G16" s="1817">
        <f>IF(F16="","",SUBTOTAL(3,A$6:A$42,F$6:F16))</f>
        <v>47</v>
      </c>
      <c r="H16" s="1821"/>
      <c r="I16" s="1821"/>
      <c r="J16" s="1822"/>
    </row>
    <row r="17" customHeight="1" spans="1:10">
      <c r="A17" s="1820" t="str">
        <f>分类汇总!B19</f>
        <v>持有待售资产</v>
      </c>
      <c r="B17" s="1817">
        <f>IF(A17="","",SUBTOTAL(3,A$6:A17))</f>
        <v>12</v>
      </c>
      <c r="C17" s="1824"/>
      <c r="D17" s="1824"/>
      <c r="E17" s="1822"/>
      <c r="F17" s="1820" t="str">
        <f>分类汇总!B56</f>
        <v>持有待售负债</v>
      </c>
      <c r="G17" s="1817">
        <f>IF(F17="","",SUBTOTAL(3,A$6:A$42,F$6:F17))</f>
        <v>48</v>
      </c>
      <c r="H17" s="1821"/>
      <c r="I17" s="1821"/>
      <c r="J17" s="1822"/>
    </row>
    <row r="18" customHeight="1" spans="1:10">
      <c r="A18" s="1820" t="str">
        <f>分类汇总!B20</f>
        <v>一年内到期的非流动资产</v>
      </c>
      <c r="B18" s="1817">
        <f>IF(A18="","",SUBTOTAL(3,A$6:A18))</f>
        <v>13</v>
      </c>
      <c r="C18" s="1824"/>
      <c r="D18" s="1824"/>
      <c r="E18" s="1822"/>
      <c r="F18" s="1820" t="str">
        <f>分类汇总!B57</f>
        <v>一年内到期的非流动负债</v>
      </c>
      <c r="G18" s="1817">
        <f>IF(F18="","",SUBTOTAL(3,A$6:A$42,F$6:F18))</f>
        <v>49</v>
      </c>
      <c r="H18" s="1821"/>
      <c r="I18" s="1821"/>
      <c r="J18" s="1822"/>
    </row>
    <row r="19" customHeight="1" spans="1:10">
      <c r="A19" s="1820" t="str">
        <f>分类汇总!B21</f>
        <v>其他流动资产</v>
      </c>
      <c r="B19" s="1817">
        <f>IF(A19="","",SUBTOTAL(3,A$6:A19))</f>
        <v>14</v>
      </c>
      <c r="C19" s="1824"/>
      <c r="D19" s="1824"/>
      <c r="E19" s="1822"/>
      <c r="F19" s="1820" t="str">
        <f>分类汇总!B58</f>
        <v>其他流动负债</v>
      </c>
      <c r="G19" s="1817">
        <f>IF(F19="","",SUBTOTAL(3,A$6:A$42,F$6:F19))</f>
        <v>50</v>
      </c>
      <c r="H19" s="1821"/>
      <c r="I19" s="1821"/>
      <c r="J19" s="1822"/>
    </row>
    <row r="20" customHeight="1" spans="1:10">
      <c r="A20" s="1815" t="s">
        <v>312</v>
      </c>
      <c r="B20" s="1817">
        <f>IF(A20="","",SUBTOTAL(3,A$6:A20))</f>
        <v>15</v>
      </c>
      <c r="C20" s="1818">
        <f>SUM(C7:C19)</f>
        <v>0</v>
      </c>
      <c r="D20" s="1818">
        <f>SUM(D7:D19)</f>
        <v>0</v>
      </c>
      <c r="E20" s="1819"/>
      <c r="F20" s="1825" t="s">
        <v>313</v>
      </c>
      <c r="G20" s="1817">
        <f>IF(F20="","",SUBTOTAL(3,A$6:A$42,F$6:F20))</f>
        <v>51</v>
      </c>
      <c r="H20" s="1826">
        <f>SUM(H7:H19)</f>
        <v>0</v>
      </c>
      <c r="I20" s="1826">
        <f>SUM(I7:I19)</f>
        <v>0</v>
      </c>
      <c r="J20" s="1819"/>
    </row>
    <row r="21" customHeight="1" spans="1:10">
      <c r="A21" s="1820" t="s">
        <v>314</v>
      </c>
      <c r="B21" s="1817">
        <f>IF(A21="","",SUBTOTAL(3,A$6:A21))</f>
        <v>16</v>
      </c>
      <c r="C21" s="1826"/>
      <c r="D21" s="1826"/>
      <c r="E21" s="1819"/>
      <c r="F21" s="1819" t="s">
        <v>315</v>
      </c>
      <c r="G21" s="1817">
        <f>IF(F21="","",SUBTOTAL(3,A$6:A$42,F$6:F21))</f>
        <v>52</v>
      </c>
      <c r="H21" s="1826"/>
      <c r="I21" s="1826"/>
      <c r="J21" s="1819"/>
    </row>
    <row r="22" customHeight="1" spans="1:10">
      <c r="A22" s="1820" t="str">
        <f>分类汇总!B25</f>
        <v>债权投资</v>
      </c>
      <c r="B22" s="1817">
        <f>IF(A22="","",SUBTOTAL(3,A$6:A22))</f>
        <v>17</v>
      </c>
      <c r="C22" s="1824"/>
      <c r="D22" s="1824"/>
      <c r="E22" s="1822"/>
      <c r="F22" s="1820" t="str">
        <f>分类汇总!B60</f>
        <v>长期借款</v>
      </c>
      <c r="G22" s="1817">
        <f>IF(F22="","",SUBTOTAL(3,A$6:A$42,F$6:F22))</f>
        <v>53</v>
      </c>
      <c r="H22" s="1821"/>
      <c r="I22" s="1821"/>
      <c r="J22" s="1822"/>
    </row>
    <row r="23" customHeight="1" spans="1:10">
      <c r="A23" s="1820" t="str">
        <f>分类汇总!B26</f>
        <v>其他债权投资</v>
      </c>
      <c r="B23" s="1817">
        <f>IF(A23="","",SUBTOTAL(3,A$6:A23))</f>
        <v>18</v>
      </c>
      <c r="C23" s="1824"/>
      <c r="D23" s="1824"/>
      <c r="E23" s="1822"/>
      <c r="F23" s="1820" t="str">
        <f>分类汇总!B61</f>
        <v>应付债券</v>
      </c>
      <c r="G23" s="1817">
        <f>IF(F23="","",SUBTOTAL(3,A$6:A$42,F$6:F23))</f>
        <v>54</v>
      </c>
      <c r="H23" s="1821"/>
      <c r="I23" s="1821"/>
      <c r="J23" s="1822"/>
    </row>
    <row r="24" customHeight="1" spans="1:10">
      <c r="A24" s="1820" t="str">
        <f>分类汇总!B27</f>
        <v>长期应收款</v>
      </c>
      <c r="B24" s="1817">
        <f>IF(A24="","",SUBTOTAL(3,A$6:A24))</f>
        <v>19</v>
      </c>
      <c r="C24" s="1824"/>
      <c r="D24" s="1824"/>
      <c r="E24" s="1822"/>
      <c r="F24" s="1820" t="str">
        <f>分类汇总!B62</f>
        <v>租赁负债</v>
      </c>
      <c r="G24" s="1817">
        <f>IF(F24="","",SUBTOTAL(3,A$6:A$42,F$6:F24))</f>
        <v>55</v>
      </c>
      <c r="H24" s="1821"/>
      <c r="I24" s="1821"/>
      <c r="J24" s="1822"/>
    </row>
    <row r="25" customHeight="1" spans="1:10">
      <c r="A25" s="1820" t="str">
        <f>分类汇总!B28</f>
        <v>长期股权投资</v>
      </c>
      <c r="B25" s="1817">
        <f>IF(A25="","",SUBTOTAL(3,A$6:A25))</f>
        <v>20</v>
      </c>
      <c r="C25" s="1824"/>
      <c r="D25" s="1824"/>
      <c r="E25" s="1822"/>
      <c r="F25" s="1820" t="str">
        <f>分类汇总!B63</f>
        <v>长期应付款</v>
      </c>
      <c r="G25" s="1817">
        <f>IF(F25="","",SUBTOTAL(3,A$6:A$42,F$6:F25))</f>
        <v>56</v>
      </c>
      <c r="H25" s="1821"/>
      <c r="I25" s="1821"/>
      <c r="J25" s="1822"/>
    </row>
    <row r="26" customHeight="1" spans="1:10">
      <c r="A26" s="1820" t="str">
        <f>分类汇总!B29</f>
        <v>其他权益工具</v>
      </c>
      <c r="B26" s="1817">
        <f>IF(A26="","",SUBTOTAL(3,A$6:A26))</f>
        <v>21</v>
      </c>
      <c r="C26" s="1824"/>
      <c r="D26" s="1824"/>
      <c r="E26" s="1822"/>
      <c r="F26" s="1820" t="str">
        <f>分类汇总!B64</f>
        <v>预计负债</v>
      </c>
      <c r="G26" s="1817">
        <f>IF(F26="","",SUBTOTAL(3,A$6:A$42,F$6:F26))</f>
        <v>57</v>
      </c>
      <c r="H26" s="1821"/>
      <c r="I26" s="1821"/>
      <c r="J26" s="1822"/>
    </row>
    <row r="27" customHeight="1" spans="1:10">
      <c r="A27" s="1820" t="str">
        <f>分类汇总!B30</f>
        <v>其他非流动金融资产</v>
      </c>
      <c r="B27" s="1817">
        <f>IF(A27="","",SUBTOTAL(3,A$6:A27))</f>
        <v>22</v>
      </c>
      <c r="C27" s="1824"/>
      <c r="D27" s="1824"/>
      <c r="E27" s="1822"/>
      <c r="F27" s="1820" t="str">
        <f>分类汇总!B65</f>
        <v>递延收益</v>
      </c>
      <c r="G27" s="1817">
        <f>IF(F27="","",SUBTOTAL(3,A$6:A$42,F$6:F27))</f>
        <v>58</v>
      </c>
      <c r="H27" s="1821"/>
      <c r="I27" s="1821"/>
      <c r="J27" s="1822"/>
    </row>
    <row r="28" customHeight="1" spans="1:10">
      <c r="A28" s="1820" t="str">
        <f>分类汇总!B31</f>
        <v>投资性房地产</v>
      </c>
      <c r="B28" s="1817">
        <f>IF(A28="","",SUBTOTAL(3,A$6:A28))</f>
        <v>23</v>
      </c>
      <c r="C28" s="1824"/>
      <c r="D28" s="1824"/>
      <c r="E28" s="1822"/>
      <c r="F28" s="1820" t="str">
        <f>分类汇总!B66</f>
        <v>递延所得税负债</v>
      </c>
      <c r="G28" s="1817">
        <f>IF(F28="","",SUBTOTAL(3,A$6:A$42,F$6:F28))</f>
        <v>59</v>
      </c>
      <c r="H28" s="1821"/>
      <c r="I28" s="1821"/>
      <c r="J28" s="1822"/>
    </row>
    <row r="29" customHeight="1" spans="1:10">
      <c r="A29" s="1820" t="str">
        <f>分类汇总!B32</f>
        <v>固定资产</v>
      </c>
      <c r="B29" s="1817">
        <f>IF(A29="","",SUBTOTAL(3,A$6:A29))</f>
        <v>24</v>
      </c>
      <c r="C29" s="1824"/>
      <c r="D29" s="1824"/>
      <c r="E29" s="1822"/>
      <c r="F29" s="1820" t="str">
        <f>分类汇总!B67</f>
        <v>其他非流动负债</v>
      </c>
      <c r="G29" s="1817">
        <f>IF(F29="","",SUBTOTAL(3,A$6:A$42,F$6:F29))</f>
        <v>60</v>
      </c>
      <c r="H29" s="1821"/>
      <c r="I29" s="1821"/>
      <c r="J29" s="1822"/>
    </row>
    <row r="30" customHeight="1" spans="1:10">
      <c r="A30" s="1820" t="str">
        <f>分类汇总!B33</f>
        <v>在建工程</v>
      </c>
      <c r="B30" s="1817">
        <f>IF(A30="","",SUBTOTAL(3,A$6:A30))</f>
        <v>25</v>
      </c>
      <c r="C30" s="1824"/>
      <c r="D30" s="1824"/>
      <c r="E30" s="1822"/>
      <c r="F30" s="1825" t="s">
        <v>316</v>
      </c>
      <c r="G30" s="1817">
        <f>IF(F30="","",SUBTOTAL(3,A$6:A$42,F$6:F30))</f>
        <v>61</v>
      </c>
      <c r="H30" s="1826">
        <f>SUM(H22:H29)</f>
        <v>0</v>
      </c>
      <c r="I30" s="1826">
        <f>SUM(I22:I29)</f>
        <v>0</v>
      </c>
      <c r="J30" s="1819"/>
    </row>
    <row r="31" customHeight="1" spans="1:10">
      <c r="A31" s="1820" t="str">
        <f>分类汇总!B34</f>
        <v>生产性生物资产</v>
      </c>
      <c r="B31" s="1817">
        <f>IF(A31="","",SUBTOTAL(3,A$6:A31))</f>
        <v>26</v>
      </c>
      <c r="C31" s="1824"/>
      <c r="D31" s="1824"/>
      <c r="E31" s="1822"/>
      <c r="F31" s="1825" t="s">
        <v>317</v>
      </c>
      <c r="G31" s="1817">
        <f>IF(F31="","",SUBTOTAL(3,A$6:A$42,F$6:F31))</f>
        <v>62</v>
      </c>
      <c r="H31" s="1827">
        <f>H20+H30</f>
        <v>0</v>
      </c>
      <c r="I31" s="1827">
        <f>I20+I30</f>
        <v>0</v>
      </c>
      <c r="J31" s="1819"/>
    </row>
    <row r="32" customHeight="1" spans="1:10">
      <c r="A32" s="1820" t="str">
        <f>分类汇总!B35</f>
        <v>油气资产</v>
      </c>
      <c r="B32" s="1817">
        <f>IF(A32="","",SUBTOTAL(3,A$6:A32))</f>
        <v>27</v>
      </c>
      <c r="C32" s="1824"/>
      <c r="D32" s="1824"/>
      <c r="E32" s="1822"/>
      <c r="F32" s="1819" t="s">
        <v>318</v>
      </c>
      <c r="G32" s="1817">
        <f>IF(F32="","",SUBTOTAL(3,A$6:A$42,F$6:F32))</f>
        <v>63</v>
      </c>
      <c r="H32" s="1824"/>
      <c r="I32" s="1824"/>
      <c r="J32" s="1828"/>
    </row>
    <row r="33" customHeight="1" spans="1:10">
      <c r="A33" s="1820" t="str">
        <f>分类汇总!B36</f>
        <v>使用权资产</v>
      </c>
      <c r="B33" s="1817">
        <f>IF(A33="","",SUBTOTAL(3,A$6:A33))</f>
        <v>28</v>
      </c>
      <c r="C33" s="1824"/>
      <c r="D33" s="1824"/>
      <c r="E33" s="1822"/>
      <c r="F33" s="1820" t="s">
        <v>319</v>
      </c>
      <c r="G33" s="1817">
        <f>IF(F33="","",SUBTOTAL(3,A$6:A$42,F$6:F33))</f>
        <v>64</v>
      </c>
      <c r="H33" s="1821"/>
      <c r="I33" s="1821"/>
      <c r="J33" s="1822"/>
    </row>
    <row r="34" customHeight="1" spans="1:10">
      <c r="A34" s="1820" t="str">
        <f>分类汇总!B37</f>
        <v>无形资产</v>
      </c>
      <c r="B34" s="1817">
        <f>IF(A34="","",SUBTOTAL(3,A$6:A34))</f>
        <v>29</v>
      </c>
      <c r="C34" s="1824"/>
      <c r="D34" s="1824"/>
      <c r="E34" s="1822"/>
      <c r="F34" s="1820" t="s">
        <v>320</v>
      </c>
      <c r="G34" s="1817">
        <f>IF(F34="","",SUBTOTAL(3,A$6:A$42,F$6:F34))</f>
        <v>65</v>
      </c>
      <c r="H34" s="1821"/>
      <c r="I34" s="1821"/>
      <c r="J34" s="1822"/>
    </row>
    <row r="35" customHeight="1" spans="1:10">
      <c r="A35" s="1820" t="str">
        <f>分类汇总!B38</f>
        <v>开发支出</v>
      </c>
      <c r="B35" s="1817">
        <f>IF(A35="","",SUBTOTAL(3,A$6:A35))</f>
        <v>30</v>
      </c>
      <c r="C35" s="1824"/>
      <c r="D35" s="1824"/>
      <c r="E35" s="1822"/>
      <c r="F35" s="1820" t="s">
        <v>321</v>
      </c>
      <c r="G35" s="1817">
        <f>IF(F35="","",SUBTOTAL(3,A$6:A$42,F$6:F35))</f>
        <v>66</v>
      </c>
      <c r="H35" s="1829"/>
      <c r="I35" s="1829"/>
      <c r="J35" s="1822"/>
    </row>
    <row r="36" customHeight="1" spans="1:10">
      <c r="A36" s="1820" t="str">
        <f>分类汇总!B39</f>
        <v>商誉</v>
      </c>
      <c r="B36" s="1817">
        <f>IF(A36="","",SUBTOTAL(3,A$6:A36))</f>
        <v>31</v>
      </c>
      <c r="C36" s="1824"/>
      <c r="D36" s="1824"/>
      <c r="E36" s="1822"/>
      <c r="F36" s="1820" t="s">
        <v>322</v>
      </c>
      <c r="G36" s="1817">
        <f>IF(F36="","",SUBTOTAL(3,A$6:A$42,F$6:F36))</f>
        <v>67</v>
      </c>
      <c r="H36" s="1824"/>
      <c r="I36" s="1824"/>
      <c r="J36" s="1822"/>
    </row>
    <row r="37" customHeight="1" spans="1:10">
      <c r="A37" s="1820" t="str">
        <f>分类汇总!B40</f>
        <v>长期待摊费用</v>
      </c>
      <c r="B37" s="1817">
        <f>IF(A37="","",SUBTOTAL(3,A$6:A37))</f>
        <v>32</v>
      </c>
      <c r="C37" s="1824"/>
      <c r="D37" s="1824"/>
      <c r="E37" s="1822"/>
      <c r="F37" s="1820" t="s">
        <v>324</v>
      </c>
      <c r="G37" s="1817">
        <f>IF(F37="","",SUBTOTAL(3,A$6:A$42,F$6:F37))</f>
        <v>68</v>
      </c>
      <c r="H37" s="1821"/>
      <c r="I37" s="1821"/>
      <c r="J37" s="1822"/>
    </row>
    <row r="38" customHeight="1" spans="1:10">
      <c r="A38" s="1820" t="str">
        <f>分类汇总!B41</f>
        <v>递延所得税资产</v>
      </c>
      <c r="B38" s="1817">
        <f>IF(A38="","",SUBTOTAL(3,A$6:A38))</f>
        <v>33</v>
      </c>
      <c r="C38" s="1824"/>
      <c r="D38" s="1824"/>
      <c r="E38" s="1822"/>
      <c r="F38" s="1820" t="s">
        <v>323</v>
      </c>
      <c r="G38" s="1817">
        <f>IF(F38="","",SUBTOTAL(3,A$6:A$42,F$6:F38))</f>
        <v>69</v>
      </c>
      <c r="H38" s="1821"/>
      <c r="I38" s="1821"/>
      <c r="J38" s="1822"/>
    </row>
    <row r="39" customHeight="1" spans="1:10">
      <c r="A39" s="1820" t="str">
        <f>分类汇总!B42</f>
        <v>其他非流动资产</v>
      </c>
      <c r="B39" s="1817">
        <f>IF(A39="","",SUBTOTAL(3,A$6:A39))</f>
        <v>34</v>
      </c>
      <c r="C39" s="1824"/>
      <c r="D39" s="1824"/>
      <c r="E39" s="1822"/>
      <c r="F39" s="1820" t="s">
        <v>325</v>
      </c>
      <c r="G39" s="1817">
        <f>IF(F39="","",SUBTOTAL(3,A$6:A$42,F$6:F39))</f>
        <v>70</v>
      </c>
      <c r="H39" s="1821"/>
      <c r="I39" s="1821"/>
      <c r="J39" s="1822"/>
    </row>
    <row r="40" customHeight="1" spans="1:10">
      <c r="A40" s="1820"/>
      <c r="B40" s="1817" t="str">
        <f>IF(A40="","",SUBTOTAL(3,A$6:A40))</f>
        <v/>
      </c>
      <c r="C40" s="1830"/>
      <c r="D40" s="1830"/>
      <c r="E40" s="1831"/>
      <c r="F40" s="1820" t="s">
        <v>326</v>
      </c>
      <c r="G40" s="1817">
        <f>IF(F40="","",SUBTOTAL(3,A$6:A$42,F$6:F40))</f>
        <v>71</v>
      </c>
      <c r="H40" s="1821"/>
      <c r="I40" s="1821"/>
      <c r="J40" s="1822"/>
    </row>
    <row r="41" customHeight="1" spans="1:10">
      <c r="A41" s="1815" t="s">
        <v>327</v>
      </c>
      <c r="B41" s="1817">
        <f>IF(A41="","",SUBTOTAL(3,A$6:A41))</f>
        <v>35</v>
      </c>
      <c r="C41" s="1818">
        <f>SUM(C22:C40)</f>
        <v>0</v>
      </c>
      <c r="D41" s="1818">
        <f>SUM(D22:D40)</f>
        <v>0</v>
      </c>
      <c r="E41" s="1819"/>
      <c r="F41" s="1832" t="s">
        <v>328</v>
      </c>
      <c r="G41" s="1817">
        <f>IF(F41="","",SUBTOTAL(3,A$6:A$42,F$6:F41))</f>
        <v>72</v>
      </c>
      <c r="H41" s="1833">
        <f>SUM(H33:H35,H37:H40)-H36</f>
        <v>0</v>
      </c>
      <c r="I41" s="1833">
        <f>SUM(I33:I35,I37:I40)-I36</f>
        <v>0</v>
      </c>
      <c r="J41" s="1819"/>
    </row>
    <row r="42" customHeight="1" spans="1:10">
      <c r="A42" s="1834" t="s">
        <v>329</v>
      </c>
      <c r="B42" s="1835">
        <f>IF(A42="","",SUBTOTAL(3,A$6:A42))</f>
        <v>36</v>
      </c>
      <c r="C42" s="1827">
        <f>SUM(C41,C20)</f>
        <v>0</v>
      </c>
      <c r="D42" s="1827">
        <f>SUM(D41,D20)</f>
        <v>0</v>
      </c>
      <c r="E42" s="1836"/>
      <c r="F42" s="1832" t="s">
        <v>330</v>
      </c>
      <c r="G42" s="1817">
        <f>IF(F42="","",SUBTOTAL(3,A$6:A$42,F$6:F42))</f>
        <v>73</v>
      </c>
      <c r="H42" s="1833">
        <f>H31+H41</f>
        <v>0</v>
      </c>
      <c r="I42" s="1833">
        <f>I31+I41</f>
        <v>0</v>
      </c>
      <c r="J42" s="1837"/>
    </row>
    <row r="43" customHeight="1" spans="1:10">
      <c r="A43" s="1820"/>
      <c r="B43" s="1817"/>
      <c r="C43" s="1838"/>
      <c r="D43" s="1838"/>
      <c r="E43" s="1839"/>
      <c r="F43" s="1819" t="s">
        <v>331</v>
      </c>
      <c r="G43" s="1817">
        <f>IF(F43="","",SUBTOTAL(3,A$6:A$42,F$6:F43))</f>
        <v>74</v>
      </c>
      <c r="H43" s="1818">
        <f>H42-C42</f>
        <v>0</v>
      </c>
      <c r="I43" s="1818">
        <f>I42-D42</f>
        <v>0</v>
      </c>
      <c r="J43" s="1819"/>
    </row>
    <row r="44" customHeight="1" spans="1:10">
      <c r="A44" s="1840" t="str">
        <f>"填表人："&amp;封面!F11</f>
        <v>填表人：贾广东</v>
      </c>
      <c r="B44" s="1840"/>
      <c r="C44" s="1800"/>
      <c r="D44" s="1841" t="str">
        <f>"财务主管："&amp;基本情况!I8</f>
        <v>财务主管：</v>
      </c>
      <c r="E44" s="1841"/>
      <c r="G44" s="1842" t="str">
        <f>"负责人："&amp;基本情况!I5</f>
        <v>负责人：</v>
      </c>
      <c r="H44" s="1842"/>
      <c r="I44" s="1800"/>
    </row>
  </sheetData>
  <sheetProtection selectLockedCells="1" autoFilter="0"/>
  <mergeCells count="6">
    <mergeCell ref="A2:J2"/>
    <mergeCell ref="A3:J3"/>
    <mergeCell ref="A4:C4"/>
    <mergeCell ref="A44:B44"/>
    <mergeCell ref="D44:E44"/>
    <mergeCell ref="G44:H44"/>
  </mergeCells>
  <conditionalFormatting sqref="H43:I43">
    <cfRule type="cellIs" dxfId="1" priority="1" stopIfTrue="1" operator="notEqual">
      <formula>0</formula>
    </cfRule>
  </conditionalFormatting>
  <hyperlinks>
    <hyperlink ref="A1" location="索引目录!C4" display="返回索引页"/>
  </hyperlinks>
  <printOptions horizontalCentered="1"/>
  <pageMargins left="0.708661417322835" right="0.708661417322835" top="0.748031496062992" bottom="0.748031496062992" header="0.31496062992126" footer="0.31496062992126"/>
  <pageSetup paperSize="9" orientation="landscape" blackAndWhite="1"/>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9"/>
  <dimension ref="A1:CP39"/>
  <sheetViews>
    <sheetView workbookViewId="0">
      <pane xSplit="3" ySplit="8" topLeftCell="D9" activePane="bottomRight" state="frozen"/>
      <selection/>
      <selection pane="topRight"/>
      <selection pane="bottomLeft"/>
      <selection pane="bottomRight" activeCell="E45" sqref="E45"/>
    </sheetView>
  </sheetViews>
  <sheetFormatPr defaultColWidth="9" defaultRowHeight="15.75" customHeight="1"/>
  <cols>
    <col min="1" max="1" width="4.7" style="74" customWidth="1"/>
    <col min="2" max="2" width="4.6" style="688" customWidth="1"/>
    <col min="3" max="3" width="9.6" style="75" customWidth="1"/>
    <col min="4" max="5" width="12.2" style="75" customWidth="1" outlineLevel="1"/>
    <col min="6" max="8" width="4.7" style="75" customWidth="1"/>
    <col min="9" max="9" width="8" style="75" customWidth="1" outlineLevel="1"/>
    <col min="10" max="11" width="4.7" style="165" customWidth="1" outlineLevel="1"/>
    <col min="12" max="12" width="16.2" style="75" customWidth="1"/>
    <col min="13" max="14" width="4.7" style="75" customWidth="1"/>
    <col min="15" max="15" width="4.7" style="165" customWidth="1"/>
    <col min="16" max="17" width="4.6" style="75" customWidth="1" outlineLevel="1"/>
    <col min="18" max="20" width="6.1" style="75" customWidth="1" outlineLevel="1"/>
    <col min="21" max="22" width="10.7" style="75" customWidth="1" outlineLevel="1"/>
    <col min="23" max="23" width="7.7" style="75" customWidth="1" outlineLevel="1"/>
    <col min="24" max="26" width="10.7" style="75" customWidth="1" outlineLevel="1"/>
    <col min="27" max="28" width="9.7" style="75" customWidth="1"/>
    <col min="29" max="29" width="7.6" style="75" customWidth="1"/>
    <col min="30" max="30" width="9.7" style="75" customWidth="1"/>
    <col min="31" max="31" width="5.7" style="75" customWidth="1"/>
    <col min="32" max="32" width="9.7" style="75" customWidth="1"/>
    <col min="33" max="34" width="6.7" style="75" customWidth="1"/>
    <col min="35" max="52" width="9" style="75" hidden="1" customWidth="1" outlineLevel="1"/>
    <col min="53" max="53" width="14.7" style="75" customWidth="1" collapsed="1"/>
    <col min="54" max="54" width="6.7" style="75" customWidth="1"/>
    <col min="55" max="56" width="5.1" style="75" customWidth="1"/>
    <col min="57" max="57" width="8.7" style="75" customWidth="1"/>
    <col min="58" max="59" width="10.5" style="75" customWidth="1"/>
    <col min="60" max="64" width="4.7" style="165" customWidth="1"/>
    <col min="65" max="65" width="10.3" style="75" customWidth="1"/>
    <col min="66" max="66" width="4.7" style="165" customWidth="1"/>
    <col min="67" max="68" width="8.7" style="75" customWidth="1"/>
    <col min="69" max="71" width="8.7" style="158" customWidth="1"/>
    <col min="72" max="72" width="14.1" style="158" customWidth="1"/>
    <col min="73" max="73" width="16" style="158" customWidth="1"/>
    <col min="74" max="74" width="12" style="158" customWidth="1"/>
    <col min="75" max="85" width="8.7" style="158" customWidth="1"/>
    <col min="86" max="86" width="1.6" style="77" customWidth="1"/>
    <col min="87" max="87" width="10.6" style="78" customWidth="1"/>
    <col min="88" max="88" width="10.6" style="77" customWidth="1"/>
    <col min="89" max="89" width="4.6" style="78" customWidth="1"/>
    <col min="90" max="90" width="10.6" style="78" customWidth="1"/>
    <col min="91" max="92" width="4.6" style="78" customWidth="1"/>
    <col min="93" max="93" width="10.6" style="78" customWidth="1"/>
    <col min="94" max="94" width="5" style="77" customWidth="1"/>
    <col min="95" max="16384" width="9" style="75"/>
  </cols>
  <sheetData>
    <row r="1" s="86" customFormat="1" ht="13.8" spans="1:94">
      <c r="A1" s="203" t="s">
        <v>1591</v>
      </c>
      <c r="B1" s="689"/>
      <c r="C1" s="204" t="s">
        <v>1592</v>
      </c>
      <c r="D1" s="204"/>
      <c r="E1" s="204"/>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BA1" s="84" t="str">
        <f>参数表!$BA$1</f>
        <v>注意：补充特殊事项、作价等均从BA列开始填写</v>
      </c>
      <c r="BB1" s="85"/>
      <c r="BH1" s="82"/>
      <c r="BI1" s="82"/>
      <c r="BJ1" s="82"/>
      <c r="BK1" s="82"/>
      <c r="BL1" s="82"/>
      <c r="BN1" s="82"/>
      <c r="CH1" s="87"/>
      <c r="CI1" s="88"/>
      <c r="CJ1" s="87"/>
      <c r="CK1" s="88"/>
      <c r="CL1" s="88"/>
      <c r="CM1" s="88"/>
      <c r="CN1" s="88"/>
      <c r="CO1" s="88"/>
      <c r="CP1" s="87"/>
    </row>
    <row r="2" s="71" customFormat="1" ht="30" customHeight="1" spans="1:94">
      <c r="A2" s="89" t="s">
        <v>3904</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BA2" s="90" t="str">
        <f>参数表!$BA$2</f>
        <v>评估基准日：</v>
      </c>
      <c r="BB2" s="91" t="str">
        <f>参数表!$BB$2</f>
        <v>2025年7月31日</v>
      </c>
      <c r="BH2" s="171"/>
      <c r="BI2" s="171"/>
      <c r="BJ2" s="171"/>
      <c r="BK2" s="171"/>
      <c r="BL2" s="171"/>
      <c r="BN2" s="171"/>
      <c r="BQ2" s="235"/>
      <c r="BR2" s="235"/>
      <c r="BS2" s="235"/>
      <c r="BT2" s="235"/>
      <c r="BU2" s="235"/>
      <c r="BV2" s="235"/>
      <c r="BW2" s="235"/>
      <c r="BX2" s="235"/>
      <c r="BY2" s="235"/>
      <c r="BZ2" s="235"/>
      <c r="CA2" s="235"/>
      <c r="CB2" s="235"/>
      <c r="CC2" s="235"/>
      <c r="CD2" s="235"/>
      <c r="CE2" s="235"/>
      <c r="CF2" s="235"/>
      <c r="CG2" s="235"/>
      <c r="CH2" s="92"/>
      <c r="CI2" s="93"/>
      <c r="CJ2" s="92"/>
      <c r="CK2" s="93"/>
      <c r="CL2" s="93"/>
      <c r="CM2" s="93"/>
      <c r="CN2" s="93"/>
      <c r="CO2" s="93"/>
      <c r="CP2" s="92"/>
    </row>
    <row r="3" ht="15" customHeight="1" spans="1:94">
      <c r="A3" s="94" t="str">
        <f>参数表!F5</f>
        <v>评估基准日：2025年7月31日</v>
      </c>
      <c r="B3" s="94"/>
      <c r="C3" s="94"/>
      <c r="D3" s="94"/>
      <c r="E3" s="94"/>
      <c r="F3" s="94"/>
      <c r="G3" s="94"/>
      <c r="H3" s="94"/>
      <c r="I3" s="94"/>
      <c r="J3" s="94"/>
      <c r="K3" s="94"/>
      <c r="L3" s="94"/>
      <c r="M3" s="94"/>
      <c r="N3" s="94"/>
      <c r="O3" s="95"/>
      <c r="P3" s="95"/>
      <c r="Q3" s="95"/>
      <c r="R3" s="95"/>
      <c r="S3" s="95"/>
      <c r="T3" s="95"/>
      <c r="U3" s="95"/>
      <c r="V3" s="95"/>
      <c r="W3" s="95"/>
      <c r="X3" s="95"/>
      <c r="Y3" s="95"/>
      <c r="Z3" s="95"/>
      <c r="AA3" s="95"/>
      <c r="AB3" s="95"/>
      <c r="AC3" s="95"/>
      <c r="AD3" s="95"/>
      <c r="AE3" s="95"/>
      <c r="AF3" s="95"/>
      <c r="AG3" s="95"/>
      <c r="AH3" s="95"/>
      <c r="BA3" s="90" t="str">
        <f>参数表!$BA$3</f>
        <v>是否显示评估值：</v>
      </c>
      <c r="BB3" s="90" t="str">
        <f>参数表!$BB$3</f>
        <v>是</v>
      </c>
      <c r="CH3" s="92"/>
      <c r="CI3" s="93"/>
      <c r="CJ3" s="92"/>
      <c r="CK3" s="93"/>
      <c r="CL3" s="93"/>
      <c r="CM3" s="93"/>
      <c r="CN3" s="93"/>
      <c r="CO3" s="93"/>
      <c r="CP3" s="92"/>
    </row>
    <row r="4" ht="15" customHeight="1" spans="1:94">
      <c r="A4" s="96"/>
      <c r="B4" s="96"/>
      <c r="C4" s="94"/>
      <c r="D4" s="94"/>
      <c r="E4" s="94"/>
      <c r="F4" s="94"/>
      <c r="G4" s="94"/>
      <c r="H4" s="94"/>
      <c r="I4" s="94"/>
      <c r="J4" s="94"/>
      <c r="K4" s="94"/>
      <c r="L4" s="94"/>
      <c r="M4" s="94"/>
      <c r="N4" s="94"/>
      <c r="O4" s="95"/>
      <c r="P4" s="94"/>
      <c r="Q4" s="94"/>
      <c r="R4" s="94"/>
      <c r="S4" s="94"/>
      <c r="T4" s="94"/>
      <c r="U4" s="98"/>
      <c r="V4" s="95"/>
      <c r="W4" s="95"/>
      <c r="X4" s="95"/>
      <c r="Y4" s="95"/>
      <c r="Z4" s="95"/>
      <c r="AA4" s="95"/>
      <c r="AB4" s="95"/>
      <c r="AC4" s="95"/>
      <c r="AD4" s="95"/>
      <c r="AE4" s="95"/>
      <c r="AF4" s="95"/>
      <c r="AG4" s="95"/>
      <c r="AH4" s="98" t="str">
        <f>"表"&amp;$BA4</f>
        <v>表4-10-3</v>
      </c>
      <c r="BA4" s="274" t="str">
        <f>固定资产总!A11</f>
        <v>4-10-3</v>
      </c>
      <c r="BB4" s="100">
        <f>MAX(COUNTA(A8:A27),COUNTA(C8:C27),COUNTA(U8:U27),COUNTA(V8:V27))</f>
        <v>20</v>
      </c>
      <c r="BC4" s="101">
        <f>ROW(A7)+1</f>
        <v>8</v>
      </c>
      <c r="BD4" s="77"/>
      <c r="BE4" s="77"/>
      <c r="CJ4" s="78"/>
    </row>
    <row r="5" ht="15" customHeight="1" spans="1:94">
      <c r="A5" s="102" t="str">
        <f>参数表!F3</f>
        <v>产权持有单位:中煤第五建设有限公司</v>
      </c>
      <c r="B5" s="96"/>
      <c r="C5" s="103"/>
      <c r="D5" s="103"/>
      <c r="E5" s="103"/>
      <c r="F5" s="103"/>
      <c r="G5" s="103"/>
      <c r="H5" s="103"/>
      <c r="I5" s="103"/>
      <c r="J5" s="95"/>
      <c r="K5" s="95"/>
      <c r="L5" s="103"/>
      <c r="M5" s="98"/>
      <c r="N5" s="98"/>
      <c r="O5" s="95"/>
      <c r="P5" s="103"/>
      <c r="Q5" s="103"/>
      <c r="R5" s="103"/>
      <c r="S5" s="103"/>
      <c r="T5" s="103"/>
      <c r="U5" s="103"/>
      <c r="V5" s="103"/>
      <c r="W5" s="103"/>
      <c r="X5" s="103"/>
      <c r="Y5" s="103"/>
      <c r="Z5" s="103"/>
      <c r="AA5" s="103"/>
      <c r="AB5" s="103"/>
      <c r="AC5" s="103"/>
      <c r="AD5" s="103"/>
      <c r="AE5" s="103"/>
      <c r="AF5" s="103"/>
      <c r="AG5" s="103"/>
      <c r="AH5" s="98" t="s">
        <v>236</v>
      </c>
      <c r="BA5" s="103"/>
      <c r="BB5" s="105" t="str">
        <f ca="1">判断表!C68</f>
        <v>中煤第五建设有限公司第三工程处拟处置实物资产项目\[0000-3基础法明细表.xlsx]沟槽</v>
      </c>
      <c r="BC5" s="106">
        <f>IFERROR(SUMIF(BC8:BC27,"√",AA8:AA27)/AA28,0)</f>
        <v>0</v>
      </c>
      <c r="BD5" s="107"/>
      <c r="BE5" s="107"/>
      <c r="BF5" s="108">
        <f>房屋!BF5</f>
        <v>0</v>
      </c>
      <c r="BG5" s="108">
        <f>房屋!BG5</f>
        <v>0</v>
      </c>
      <c r="BH5" s="109"/>
      <c r="BI5" s="109"/>
      <c r="BJ5" s="109"/>
      <c r="BK5" s="109"/>
      <c r="BL5" s="109"/>
      <c r="BM5" s="110"/>
      <c r="BN5" s="109"/>
      <c r="BO5" s="110"/>
      <c r="BP5" s="110"/>
      <c r="CJ5" s="78"/>
    </row>
    <row r="6" s="72" customFormat="1" ht="15" customHeight="1" spans="1:94">
      <c r="A6" s="112" t="s">
        <v>305</v>
      </c>
      <c r="B6" s="690" t="s">
        <v>3669</v>
      </c>
      <c r="C6" s="113" t="s">
        <v>3879</v>
      </c>
      <c r="D6" s="149" t="s">
        <v>3675</v>
      </c>
      <c r="E6" s="149" t="s">
        <v>3676</v>
      </c>
      <c r="F6" s="118" t="s">
        <v>3880</v>
      </c>
      <c r="G6" s="118" t="s">
        <v>3881</v>
      </c>
      <c r="H6" s="118" t="s">
        <v>3905</v>
      </c>
      <c r="I6" s="528" t="s">
        <v>3686</v>
      </c>
      <c r="J6" s="193" t="s">
        <v>3688</v>
      </c>
      <c r="K6" s="529" t="s">
        <v>3689</v>
      </c>
      <c r="L6" s="118" t="s">
        <v>3906</v>
      </c>
      <c r="M6" s="118" t="s">
        <v>3907</v>
      </c>
      <c r="N6" s="118" t="s">
        <v>3908</v>
      </c>
      <c r="O6" s="118" t="s">
        <v>3690</v>
      </c>
      <c r="P6" s="511" t="s">
        <v>1964</v>
      </c>
      <c r="Q6" s="512"/>
      <c r="R6" s="512"/>
      <c r="S6" s="512"/>
      <c r="T6" s="513"/>
      <c r="U6" s="514" t="s">
        <v>1549</v>
      </c>
      <c r="V6" s="189"/>
      <c r="W6" s="190"/>
      <c r="X6" s="515" t="s">
        <v>1634</v>
      </c>
      <c r="Y6" s="516"/>
      <c r="Z6" s="517"/>
      <c r="AA6" s="514" t="s">
        <v>1523</v>
      </c>
      <c r="AB6" s="189"/>
      <c r="AC6" s="190"/>
      <c r="AD6" s="113" t="s">
        <v>1550</v>
      </c>
      <c r="AE6" s="113"/>
      <c r="AF6" s="113"/>
      <c r="AG6" s="118" t="s">
        <v>1551</v>
      </c>
      <c r="AH6" s="118" t="s">
        <v>308</v>
      </c>
      <c r="BA6" s="191"/>
      <c r="BB6" s="100"/>
      <c r="BC6" s="100"/>
      <c r="BD6" s="100"/>
      <c r="BE6" s="100"/>
      <c r="BF6" s="192" t="s">
        <v>1639</v>
      </c>
      <c r="BG6" s="192" t="s">
        <v>1640</v>
      </c>
      <c r="BH6" s="118" t="s">
        <v>1748</v>
      </c>
      <c r="BI6" s="118" t="s">
        <v>3695</v>
      </c>
      <c r="BJ6" s="118" t="s">
        <v>1712</v>
      </c>
      <c r="BK6" s="118" t="s">
        <v>3696</v>
      </c>
      <c r="BL6" s="118" t="s">
        <v>1641</v>
      </c>
      <c r="BM6" s="118" t="s">
        <v>2209</v>
      </c>
      <c r="BN6" s="118" t="s">
        <v>3697</v>
      </c>
      <c r="BO6" s="118" t="s">
        <v>1644</v>
      </c>
      <c r="BP6" s="191"/>
      <c r="BQ6" s="191" t="s">
        <v>3698</v>
      </c>
      <c r="BR6" s="185"/>
      <c r="BS6" s="766">
        <f>参数表!$E$15</f>
        <v>0</v>
      </c>
      <c r="BT6" s="898"/>
      <c r="BU6" s="898"/>
      <c r="BV6" s="898"/>
      <c r="BW6" s="185"/>
      <c r="BX6" s="185"/>
      <c r="BY6" s="899">
        <f>构筑物!BY6</f>
        <v>1</v>
      </c>
      <c r="BZ6" s="898"/>
      <c r="CA6" s="185"/>
      <c r="CB6" s="185"/>
      <c r="CC6" s="530" t="str">
        <f>$BB$2</f>
        <v>2025年7月31日</v>
      </c>
      <c r="CD6" s="899"/>
      <c r="CE6" s="185">
        <v>0.4</v>
      </c>
      <c r="CF6" s="185">
        <v>0.6</v>
      </c>
      <c r="CG6" s="185"/>
      <c r="CH6" s="111"/>
      <c r="CI6" s="78"/>
      <c r="CJ6" s="78"/>
      <c r="CK6" s="78"/>
      <c r="CL6" s="78"/>
      <c r="CM6" s="78"/>
      <c r="CN6" s="78"/>
      <c r="CO6" s="194"/>
      <c r="CP6" s="111"/>
    </row>
    <row r="7" s="72" customFormat="1" ht="15" customHeight="1" spans="1:94">
      <c r="A7" s="195"/>
      <c r="B7" s="694"/>
      <c r="C7" s="149"/>
      <c r="D7" s="149"/>
      <c r="E7" s="149"/>
      <c r="F7" s="149"/>
      <c r="G7" s="149"/>
      <c r="H7" s="149"/>
      <c r="I7" s="531"/>
      <c r="J7" s="198"/>
      <c r="K7" s="532"/>
      <c r="L7" s="113"/>
      <c r="M7" s="113"/>
      <c r="N7" s="113"/>
      <c r="O7" s="113"/>
      <c r="P7" s="519" t="s">
        <v>1968</v>
      </c>
      <c r="Q7" s="519" t="s">
        <v>1969</v>
      </c>
      <c r="R7" s="519" t="s">
        <v>3699</v>
      </c>
      <c r="S7" s="519" t="s">
        <v>3700</v>
      </c>
      <c r="T7" s="149" t="s">
        <v>3701</v>
      </c>
      <c r="U7" s="113" t="s">
        <v>1556</v>
      </c>
      <c r="V7" s="113" t="s">
        <v>1557</v>
      </c>
      <c r="W7" s="113" t="s">
        <v>3702</v>
      </c>
      <c r="X7" s="117" t="s">
        <v>3703</v>
      </c>
      <c r="Y7" s="117" t="s">
        <v>3704</v>
      </c>
      <c r="Z7" s="117" t="s">
        <v>3705</v>
      </c>
      <c r="AA7" s="113" t="s">
        <v>1556</v>
      </c>
      <c r="AB7" s="113" t="s">
        <v>1557</v>
      </c>
      <c r="AC7" s="113" t="s">
        <v>3702</v>
      </c>
      <c r="AD7" s="113" t="s">
        <v>1556</v>
      </c>
      <c r="AE7" s="149" t="s">
        <v>2753</v>
      </c>
      <c r="AF7" s="113" t="s">
        <v>1557</v>
      </c>
      <c r="AG7" s="113"/>
      <c r="AH7" s="113"/>
      <c r="BA7" s="100" t="s">
        <v>1545</v>
      </c>
      <c r="BB7" s="100" t="s">
        <v>1635</v>
      </c>
      <c r="BC7" s="100" t="s">
        <v>1636</v>
      </c>
      <c r="BD7" s="100" t="s">
        <v>1637</v>
      </c>
      <c r="BE7" s="100" t="s">
        <v>1638</v>
      </c>
      <c r="BF7" s="197"/>
      <c r="BG7" s="197"/>
      <c r="BH7" s="118"/>
      <c r="BI7" s="118"/>
      <c r="BJ7" s="118"/>
      <c r="BK7" s="118"/>
      <c r="BL7" s="118"/>
      <c r="BM7" s="118"/>
      <c r="BN7" s="118"/>
      <c r="BO7" s="118"/>
      <c r="BP7" s="520" t="s">
        <v>2667</v>
      </c>
      <c r="BQ7" s="184" t="s">
        <v>3706</v>
      </c>
      <c r="BR7" s="184" t="s">
        <v>3707</v>
      </c>
      <c r="BS7" s="184" t="s">
        <v>2757</v>
      </c>
      <c r="BT7" s="783" t="s">
        <v>3708</v>
      </c>
      <c r="BU7" s="841" t="s">
        <v>3709</v>
      </c>
      <c r="BV7" s="783" t="s">
        <v>3711</v>
      </c>
      <c r="BW7" s="184" t="s">
        <v>3712</v>
      </c>
      <c r="BX7" s="184" t="s">
        <v>3713</v>
      </c>
      <c r="BY7" s="784" t="s">
        <v>3714</v>
      </c>
      <c r="BZ7" s="783" t="s">
        <v>3715</v>
      </c>
      <c r="CA7" s="184" t="s">
        <v>3716</v>
      </c>
      <c r="CB7" s="184" t="s">
        <v>3717</v>
      </c>
      <c r="CC7" s="184" t="s">
        <v>2761</v>
      </c>
      <c r="CD7" s="784" t="s">
        <v>2763</v>
      </c>
      <c r="CE7" s="184" t="s">
        <v>3718</v>
      </c>
      <c r="CF7" s="184" t="s">
        <v>3719</v>
      </c>
      <c r="CG7" s="184" t="s">
        <v>3720</v>
      </c>
      <c r="CH7" s="119"/>
      <c r="CI7" s="120" t="s">
        <v>1645</v>
      </c>
      <c r="CJ7" s="121" t="s">
        <v>1646</v>
      </c>
      <c r="CK7" s="121" t="s">
        <v>1647</v>
      </c>
      <c r="CL7" s="121" t="s">
        <v>1648</v>
      </c>
      <c r="CM7" s="121" t="s">
        <v>1647</v>
      </c>
      <c r="CN7" s="121" t="s">
        <v>1647</v>
      </c>
      <c r="CO7" s="121" t="s">
        <v>1649</v>
      </c>
      <c r="CP7" s="122" t="s">
        <v>1650</v>
      </c>
    </row>
    <row r="8" ht="15" customHeight="1" spans="1:94">
      <c r="A8" s="123" t="str">
        <f>IF(C8="","",COUNT(A$7:A7)+1)</f>
        <v/>
      </c>
      <c r="B8" s="123"/>
      <c r="C8" s="124"/>
      <c r="D8" s="124"/>
      <c r="E8" s="124"/>
      <c r="F8" s="126"/>
      <c r="G8" s="126"/>
      <c r="H8" s="126"/>
      <c r="I8" s="124"/>
      <c r="J8" s="126"/>
      <c r="K8" s="533"/>
      <c r="L8" s="126"/>
      <c r="M8" s="126"/>
      <c r="N8" s="126"/>
      <c r="O8" s="125"/>
      <c r="P8" s="127"/>
      <c r="Q8" s="127" t="str">
        <f>IFERROR(VLOOKUP(P8,参数表!$H$2:$I$50,2,FALSE),"")</f>
        <v/>
      </c>
      <c r="R8" s="128" t="str">
        <f>IFERROR(IF(OR(P8="人民币",P8=""),"",AA8/Q8),"")</f>
        <v/>
      </c>
      <c r="S8" s="128" t="str">
        <f>IFERROR(IF(OR(P8="人民币",P8=""),"",AB8/Q8),"")</f>
        <v/>
      </c>
      <c r="T8" s="129" t="str">
        <f>IFERROR(IF(OR(P8="人民币",P8=""),"",AC8/Q8),"")</f>
        <v/>
      </c>
      <c r="U8" s="129"/>
      <c r="V8" s="129"/>
      <c r="W8" s="129"/>
      <c r="X8" s="130"/>
      <c r="Y8" s="130"/>
      <c r="Z8" s="130"/>
      <c r="AA8" s="129" t="str">
        <f>IF(C8="","",U8+X8)</f>
        <v/>
      </c>
      <c r="AB8" s="129" t="str">
        <f>IF(C8="","",V8+Y8)</f>
        <v/>
      </c>
      <c r="AC8" s="129" t="str">
        <f>IF(C8="","",W8+Z8)</f>
        <v/>
      </c>
      <c r="AD8" s="129" t="str">
        <f t="shared" ref="AD8:AD27" si="0">IF(C8="","",IF($BB$3="是",IF(BP8="成本法",CB8,BQ8*F8),""))</f>
        <v/>
      </c>
      <c r="AE8" s="521" t="str">
        <f t="shared" ref="AE8:AE27" si="1">IF(C8="","",IF($BB$3="是",IF(BP8="成本法",MAX(30,CG8*100),""),""))</f>
        <v/>
      </c>
      <c r="AF8" s="129" t="str">
        <f>IFERROR(IF(AE8="",AD8,ROUND(AD8*AE8/100,0)),"")</f>
        <v/>
      </c>
      <c r="AG8" s="129" t="str">
        <f>IFERROR((AF8-(AB8-AC8))/(AB8-AC8)*100,"")</f>
        <v/>
      </c>
      <c r="AH8" s="124"/>
      <c r="BA8" s="78"/>
      <c r="BB8" s="132" t="s">
        <v>3909</v>
      </c>
      <c r="BC8" s="133"/>
      <c r="BD8" s="132" t="str">
        <f>IF(OR(C8="",BC8=""),"",COUNTIF(BC$8:BC8,"√"))</f>
        <v/>
      </c>
      <c r="BE8" s="134" t="str">
        <f t="shared" ref="BE8:BE27" si="2">IF(BC8="","",BB8&amp;"︱"&amp;C8&amp;"︱"&amp;TEXT(U8,"#,##0.00"))</f>
        <v/>
      </c>
      <c r="BF8" s="135" t="str">
        <f>IF($C8="","",IF(BF$5=0,"OK","出错"))</f>
        <v/>
      </c>
      <c r="BG8" s="135" t="str">
        <f>IF($C8="","",IF(BG$5=0,"OK","出错"))</f>
        <v/>
      </c>
      <c r="BH8" s="136"/>
      <c r="BI8" s="136"/>
      <c r="BJ8" s="136"/>
      <c r="BK8" s="136"/>
      <c r="BL8" s="136"/>
      <c r="BM8" s="137"/>
      <c r="BN8" s="136"/>
      <c r="BO8" s="137"/>
      <c r="BP8" s="165" t="s">
        <v>2706</v>
      </c>
      <c r="BQ8" s="676"/>
      <c r="BR8" s="522">
        <f t="shared" ref="BR8:BR27" si="3">F8*BQ8</f>
        <v>0</v>
      </c>
      <c r="BS8" s="522">
        <f t="shared" ref="BS8:BS27" si="4">BR8/(1+BS$6)*BS$6</f>
        <v>0</v>
      </c>
      <c r="BT8" s="850"/>
      <c r="BU8" s="776"/>
      <c r="BV8" s="851">
        <f>BR8*BT8</f>
        <v>0</v>
      </c>
      <c r="BW8" s="156">
        <f>BS8+BR8*(BT8-BU8)/1.06*6%</f>
        <v>0</v>
      </c>
      <c r="BX8" s="156">
        <f>BR8+BV8</f>
        <v>0</v>
      </c>
      <c r="BY8" s="522">
        <f t="shared" ref="BY8:BY27" si="5">BY$6</f>
        <v>1</v>
      </c>
      <c r="BZ8" s="852">
        <f>LOOKUP(BY8,参数表!$A$13:$B$19)</f>
        <v>0</v>
      </c>
      <c r="CA8" s="156">
        <f>BX8*BY8*BZ8/2</f>
        <v>0</v>
      </c>
      <c r="CB8" s="156">
        <f>ROUND(BX8+CA8-BW8,-2)</f>
        <v>0</v>
      </c>
      <c r="CC8" s="522">
        <f t="shared" ref="CC8:CC27" si="6">(CC$6-O8)/365.25</f>
        <v>125.582477754962</v>
      </c>
      <c r="CD8" s="676"/>
      <c r="CE8" s="853">
        <f>IFERROR(ROUND(1-CC8/CD8,2),0)</f>
        <v>0</v>
      </c>
      <c r="CF8" s="853">
        <f>CE8</f>
        <v>0</v>
      </c>
      <c r="CG8" s="853">
        <f t="shared" ref="CG8:CG27" si="7">ROUND(IF(ABS(CF8-CE8)&gt;5%,CF8,CE8*CE$6+CF8*CF$6),2)</f>
        <v>0</v>
      </c>
      <c r="CI8" s="134" t="str">
        <f>IF(COUNTIF(CI$7:CI7,C8)&gt;0,"",C8)&amp;""</f>
        <v/>
      </c>
      <c r="CJ8" s="138">
        <f>SUMIF(C$8:C$27,CI8,AA$8:AA$27)</f>
        <v>0</v>
      </c>
      <c r="CK8" s="132">
        <f t="shared" ref="CK8" si="8">RANK(CJ8,CJ$8:CJ$27)</f>
        <v>1</v>
      </c>
      <c r="CL8" s="138">
        <f>SUMIF(C$8:C$27,CI8,AD$8:AD$27)</f>
        <v>0</v>
      </c>
      <c r="CM8" s="132">
        <f>RANK(CL8,CL$8:CL$27)</f>
        <v>1</v>
      </c>
      <c r="CN8" s="138">
        <f>SUM(CJ8:CJ27)</f>
        <v>0</v>
      </c>
      <c r="CO8" s="138"/>
      <c r="CP8" s="138"/>
    </row>
    <row r="9" ht="15" customHeight="1" spans="1:94">
      <c r="A9" s="123" t="str">
        <f>IF(C9="","",COUNT(A$7:A8)+1)</f>
        <v/>
      </c>
      <c r="B9" s="141"/>
      <c r="C9" s="139"/>
      <c r="D9" s="139"/>
      <c r="E9" s="139"/>
      <c r="F9" s="141"/>
      <c r="G9" s="141"/>
      <c r="H9" s="141"/>
      <c r="I9" s="535"/>
      <c r="J9" s="141"/>
      <c r="K9" s="536"/>
      <c r="L9" s="141"/>
      <c r="M9" s="141"/>
      <c r="N9" s="141"/>
      <c r="O9" s="140"/>
      <c r="P9" s="142"/>
      <c r="Q9" s="127" t="str">
        <f>IFERROR(VLOOKUP(P9,参数表!$H$2:$I$50,2,FALSE),"")</f>
        <v/>
      </c>
      <c r="R9" s="128" t="str">
        <f t="shared" ref="R9:R27" si="9">IFERROR(IF(OR(P9="人民币",P9=""),"",AA9/Q9),"")</f>
        <v/>
      </c>
      <c r="S9" s="128" t="str">
        <f t="shared" ref="S9:S27" si="10">IFERROR(IF(OR(P9="人民币",P9=""),"",AB9/Q9),"")</f>
        <v/>
      </c>
      <c r="T9" s="129" t="str">
        <f t="shared" ref="T9:T27" si="11">IFERROR(IF(OR(P9="人民币",P9=""),"",AC9/Q9),"")</f>
        <v/>
      </c>
      <c r="U9" s="143"/>
      <c r="V9" s="143"/>
      <c r="W9" s="143"/>
      <c r="X9" s="144"/>
      <c r="Y9" s="144"/>
      <c r="Z9" s="144"/>
      <c r="AA9" s="129" t="str">
        <f t="shared" ref="AA9:AA27" si="12">IF(C9="","",U9+X9)</f>
        <v/>
      </c>
      <c r="AB9" s="129" t="str">
        <f t="shared" ref="AB9:AB27" si="13">IF(C9="","",V9+Y9)</f>
        <v/>
      </c>
      <c r="AC9" s="129" t="str">
        <f t="shared" ref="AC9:AC27" si="14">IF(C9="","",W9+Z9)</f>
        <v/>
      </c>
      <c r="AD9" s="129" t="str">
        <f t="shared" si="0"/>
        <v/>
      </c>
      <c r="AE9" s="521" t="str">
        <f t="shared" si="1"/>
        <v/>
      </c>
      <c r="AF9" s="129" t="str">
        <f t="shared" ref="AF9:AF27" si="15">IFERROR(IF(AE9="",AD9,ROUND(AD9*AE9/100,0)),"")</f>
        <v/>
      </c>
      <c r="AG9" s="129" t="str">
        <f t="shared" ref="AG9:AG30" si="16">IFERROR((AF9-(AB9-AC9))/(AB9-AC9)*100,"")</f>
        <v/>
      </c>
      <c r="AH9" s="145"/>
      <c r="BA9" s="78"/>
      <c r="BB9" s="132" t="s">
        <v>3910</v>
      </c>
      <c r="BC9" s="133"/>
      <c r="BD9" s="132" t="str">
        <f>IF(OR(C9="",BC9=""),"",COUNTIF(BC$8:BC9,"√"))</f>
        <v/>
      </c>
      <c r="BE9" s="134" t="str">
        <f t="shared" si="2"/>
        <v/>
      </c>
      <c r="BF9" s="135" t="str">
        <f t="shared" ref="BF9:BG27" si="17">IF($C9="","",IF(BF$5=0,"OK","出错"))</f>
        <v/>
      </c>
      <c r="BG9" s="135" t="str">
        <f t="shared" si="17"/>
        <v/>
      </c>
      <c r="BH9" s="136"/>
      <c r="BI9" s="136"/>
      <c r="BJ9" s="136"/>
      <c r="BK9" s="136"/>
      <c r="BL9" s="136"/>
      <c r="BM9" s="137"/>
      <c r="BN9" s="136"/>
      <c r="BO9" s="137"/>
      <c r="BP9" s="165" t="s">
        <v>2706</v>
      </c>
      <c r="BQ9" s="676"/>
      <c r="BR9" s="522">
        <f t="shared" si="3"/>
        <v>0</v>
      </c>
      <c r="BS9" s="522">
        <f t="shared" si="4"/>
        <v>0</v>
      </c>
      <c r="BT9" s="850"/>
      <c r="BU9" s="850"/>
      <c r="BV9" s="851">
        <f t="shared" ref="BV9:BV27" si="18">BR9*BT9</f>
        <v>0</v>
      </c>
      <c r="BW9" s="156">
        <f t="shared" ref="BW9:BW27" si="19">BS9+BR9*(BT9-BU9)/1.06*6%</f>
        <v>0</v>
      </c>
      <c r="BX9" s="156">
        <f t="shared" ref="BX9:BX27" si="20">BR9+BV9</f>
        <v>0</v>
      </c>
      <c r="BY9" s="522">
        <f t="shared" si="5"/>
        <v>1</v>
      </c>
      <c r="BZ9" s="852">
        <f>LOOKUP(BY9,参数表!$A$13:$B$19)</f>
        <v>0</v>
      </c>
      <c r="CA9" s="156">
        <f t="shared" ref="CA9:CA26" si="21">BX9*BY9*BZ9/2</f>
        <v>0</v>
      </c>
      <c r="CB9" s="156">
        <f t="shared" ref="CB9:CB26" si="22">ROUND(BX9+CA9-BW9,-2)</f>
        <v>0</v>
      </c>
      <c r="CC9" s="522">
        <f t="shared" si="6"/>
        <v>125.582477754962</v>
      </c>
      <c r="CD9" s="676"/>
      <c r="CE9" s="853">
        <f t="shared" ref="CE9:CE27" si="23">IFERROR(ROUND(1-CC9/CD9,2),0)</f>
        <v>0</v>
      </c>
      <c r="CF9" s="853">
        <f t="shared" ref="CF9:CF27" si="24">CE9</f>
        <v>0</v>
      </c>
      <c r="CG9" s="853">
        <f t="shared" si="7"/>
        <v>0</v>
      </c>
      <c r="CI9" s="134" t="str">
        <f>IF(COUNTIF(CI$7:CI8,C9)&gt;0,"",C9)&amp;""</f>
        <v/>
      </c>
      <c r="CJ9" s="138">
        <f t="shared" ref="CJ9:CJ27" si="25">SUMIF(C$8:C$27,CI9,AA$8:AA$27)</f>
        <v>0</v>
      </c>
      <c r="CK9" s="132">
        <f t="shared" ref="CK9:CK27" si="26">RANK(CJ9,CJ$8:CJ$27)</f>
        <v>1</v>
      </c>
      <c r="CL9" s="138">
        <f t="shared" ref="CL9:CL27" si="27">SUMIF(C$8:C$27,CI9,AD$8:AD$27)</f>
        <v>0</v>
      </c>
      <c r="CM9" s="132">
        <f t="shared" ref="CM9:CM27" si="28">RANK(CL9,CL$8:CL$27)</f>
        <v>1</v>
      </c>
      <c r="CN9" s="138">
        <f>SUM(CL8:CL27)</f>
        <v>0</v>
      </c>
      <c r="CO9" s="138"/>
      <c r="CP9" s="138"/>
    </row>
    <row r="10" ht="15" customHeight="1" spans="1:94">
      <c r="A10" s="123" t="str">
        <f>IF(C10="","",COUNT(A$7:A9)+1)</f>
        <v/>
      </c>
      <c r="B10" s="141"/>
      <c r="C10" s="139"/>
      <c r="D10" s="139"/>
      <c r="E10" s="139"/>
      <c r="F10" s="141"/>
      <c r="G10" s="141"/>
      <c r="H10" s="141"/>
      <c r="I10" s="535"/>
      <c r="J10" s="141"/>
      <c r="K10" s="536"/>
      <c r="L10" s="141"/>
      <c r="M10" s="141"/>
      <c r="N10" s="141"/>
      <c r="O10" s="140"/>
      <c r="P10" s="142"/>
      <c r="Q10" s="127" t="str">
        <f>IFERROR(VLOOKUP(P10,参数表!$H$2:$I$50,2,FALSE),"")</f>
        <v/>
      </c>
      <c r="R10" s="128" t="str">
        <f t="shared" si="9"/>
        <v/>
      </c>
      <c r="S10" s="128" t="str">
        <f t="shared" si="10"/>
        <v/>
      </c>
      <c r="T10" s="129" t="str">
        <f t="shared" si="11"/>
        <v/>
      </c>
      <c r="U10" s="143"/>
      <c r="V10" s="143"/>
      <c r="W10" s="143"/>
      <c r="X10" s="143"/>
      <c r="Y10" s="143"/>
      <c r="Z10" s="143"/>
      <c r="AA10" s="129" t="str">
        <f t="shared" si="12"/>
        <v/>
      </c>
      <c r="AB10" s="129" t="str">
        <f t="shared" si="13"/>
        <v/>
      </c>
      <c r="AC10" s="129" t="str">
        <f t="shared" si="14"/>
        <v/>
      </c>
      <c r="AD10" s="129" t="str">
        <f t="shared" si="0"/>
        <v/>
      </c>
      <c r="AE10" s="521" t="str">
        <f t="shared" si="1"/>
        <v/>
      </c>
      <c r="AF10" s="129" t="str">
        <f t="shared" si="15"/>
        <v/>
      </c>
      <c r="AG10" s="129" t="str">
        <f t="shared" si="16"/>
        <v/>
      </c>
      <c r="AH10" s="145"/>
      <c r="BA10" s="78"/>
      <c r="BB10" s="132" t="s">
        <v>3911</v>
      </c>
      <c r="BC10" s="133"/>
      <c r="BD10" s="132" t="str">
        <f>IF(OR(C10="",BC10=""),"",COUNTIF(BC$8:BC10,"√"))</f>
        <v/>
      </c>
      <c r="BE10" s="134" t="str">
        <f t="shared" si="2"/>
        <v/>
      </c>
      <c r="BF10" s="135" t="str">
        <f t="shared" si="17"/>
        <v/>
      </c>
      <c r="BG10" s="135" t="str">
        <f t="shared" si="17"/>
        <v/>
      </c>
      <c r="BH10" s="136"/>
      <c r="BI10" s="136"/>
      <c r="BJ10" s="136"/>
      <c r="BK10" s="136"/>
      <c r="BL10" s="136"/>
      <c r="BM10" s="137"/>
      <c r="BN10" s="136"/>
      <c r="BO10" s="137"/>
      <c r="BP10" s="165" t="s">
        <v>2706</v>
      </c>
      <c r="BQ10" s="676"/>
      <c r="BR10" s="522">
        <f t="shared" si="3"/>
        <v>0</v>
      </c>
      <c r="BS10" s="522">
        <f t="shared" si="4"/>
        <v>0</v>
      </c>
      <c r="BT10" s="850"/>
      <c r="BU10" s="850"/>
      <c r="BV10" s="851">
        <f t="shared" si="18"/>
        <v>0</v>
      </c>
      <c r="BW10" s="156">
        <f t="shared" si="19"/>
        <v>0</v>
      </c>
      <c r="BX10" s="156">
        <f t="shared" si="20"/>
        <v>0</v>
      </c>
      <c r="BY10" s="522">
        <f t="shared" si="5"/>
        <v>1</v>
      </c>
      <c r="BZ10" s="852">
        <f>LOOKUP(BY10,参数表!$A$13:$B$19)</f>
        <v>0</v>
      </c>
      <c r="CA10" s="156">
        <f t="shared" si="21"/>
        <v>0</v>
      </c>
      <c r="CB10" s="156">
        <f t="shared" si="22"/>
        <v>0</v>
      </c>
      <c r="CC10" s="522">
        <f t="shared" si="6"/>
        <v>125.582477754962</v>
      </c>
      <c r="CD10" s="676"/>
      <c r="CE10" s="853">
        <f t="shared" si="23"/>
        <v>0</v>
      </c>
      <c r="CF10" s="853">
        <f t="shared" si="24"/>
        <v>0</v>
      </c>
      <c r="CG10" s="853">
        <f t="shared" si="7"/>
        <v>0</v>
      </c>
      <c r="CI10" s="134" t="str">
        <f>IF(COUNTIF(CI$7:CI9,C10)&gt;0,"",C10)&amp;""</f>
        <v/>
      </c>
      <c r="CJ10" s="138">
        <f t="shared" si="25"/>
        <v>0</v>
      </c>
      <c r="CK10" s="132">
        <f t="shared" si="26"/>
        <v>1</v>
      </c>
      <c r="CL10" s="138">
        <f t="shared" si="27"/>
        <v>0</v>
      </c>
      <c r="CM10" s="132">
        <f t="shared" si="28"/>
        <v>1</v>
      </c>
      <c r="CN10" s="132">
        <v>1</v>
      </c>
      <c r="CO10" s="134" t="str">
        <f>IFERROR(INDEX(CI$8:CI$27,MATCH(CN10,IF(CN$8=0,CM$8:CM$27,CK$8:CK$27),0))&amp;"","")</f>
        <v/>
      </c>
      <c r="CP10" s="146" t="str">
        <f>IF(CO11="","",IF(CO12="","和","、"))</f>
        <v/>
      </c>
    </row>
    <row r="11" ht="15" customHeight="1" spans="1:94">
      <c r="A11" s="123" t="str">
        <f>IF(C11="","",COUNT(A$7:A10)+1)</f>
        <v/>
      </c>
      <c r="B11" s="141"/>
      <c r="C11" s="139"/>
      <c r="D11" s="139"/>
      <c r="E11" s="139"/>
      <c r="F11" s="141"/>
      <c r="G11" s="141"/>
      <c r="H11" s="141"/>
      <c r="I11" s="535"/>
      <c r="J11" s="141"/>
      <c r="K11" s="536"/>
      <c r="L11" s="141"/>
      <c r="M11" s="141"/>
      <c r="N11" s="141"/>
      <c r="O11" s="140"/>
      <c r="P11" s="142"/>
      <c r="Q11" s="127" t="str">
        <f>IFERROR(VLOOKUP(P11,参数表!$H$2:$I$50,2,FALSE),"")</f>
        <v/>
      </c>
      <c r="R11" s="128" t="str">
        <f t="shared" si="9"/>
        <v/>
      </c>
      <c r="S11" s="128" t="str">
        <f t="shared" si="10"/>
        <v/>
      </c>
      <c r="T11" s="129" t="str">
        <f t="shared" si="11"/>
        <v/>
      </c>
      <c r="U11" s="143"/>
      <c r="V11" s="143"/>
      <c r="W11" s="143"/>
      <c r="X11" s="143"/>
      <c r="Y11" s="143"/>
      <c r="Z11" s="143"/>
      <c r="AA11" s="129" t="str">
        <f t="shared" si="12"/>
        <v/>
      </c>
      <c r="AB11" s="129" t="str">
        <f t="shared" si="13"/>
        <v/>
      </c>
      <c r="AC11" s="129" t="str">
        <f t="shared" si="14"/>
        <v/>
      </c>
      <c r="AD11" s="129" t="str">
        <f t="shared" si="0"/>
        <v/>
      </c>
      <c r="AE11" s="521" t="str">
        <f t="shared" si="1"/>
        <v/>
      </c>
      <c r="AF11" s="129" t="str">
        <f t="shared" si="15"/>
        <v/>
      </c>
      <c r="AG11" s="129" t="str">
        <f t="shared" si="16"/>
        <v/>
      </c>
      <c r="AH11" s="145"/>
      <c r="BA11" s="78"/>
      <c r="BB11" s="132" t="s">
        <v>3912</v>
      </c>
      <c r="BC11" s="133"/>
      <c r="BD11" s="132" t="str">
        <f>IF(OR(C11="",BC11=""),"",COUNTIF(BC$8:BC11,"√"))</f>
        <v/>
      </c>
      <c r="BE11" s="134" t="str">
        <f t="shared" si="2"/>
        <v/>
      </c>
      <c r="BF11" s="135" t="str">
        <f t="shared" si="17"/>
        <v/>
      </c>
      <c r="BG11" s="135" t="str">
        <f t="shared" si="17"/>
        <v/>
      </c>
      <c r="BH11" s="136"/>
      <c r="BI11" s="136"/>
      <c r="BJ11" s="136"/>
      <c r="BK11" s="136"/>
      <c r="BL11" s="136"/>
      <c r="BM11" s="137"/>
      <c r="BN11" s="136"/>
      <c r="BO11" s="137"/>
      <c r="BP11" s="165" t="s">
        <v>2706</v>
      </c>
      <c r="BQ11" s="676"/>
      <c r="BR11" s="522">
        <f t="shared" si="3"/>
        <v>0</v>
      </c>
      <c r="BS11" s="522">
        <f t="shared" si="4"/>
        <v>0</v>
      </c>
      <c r="BT11" s="850"/>
      <c r="BU11" s="850"/>
      <c r="BV11" s="851">
        <f t="shared" si="18"/>
        <v>0</v>
      </c>
      <c r="BW11" s="156">
        <f t="shared" si="19"/>
        <v>0</v>
      </c>
      <c r="BX11" s="156">
        <f t="shared" si="20"/>
        <v>0</v>
      </c>
      <c r="BY11" s="522">
        <f t="shared" si="5"/>
        <v>1</v>
      </c>
      <c r="BZ11" s="852">
        <f>LOOKUP(BY11,参数表!$A$13:$B$19)</f>
        <v>0</v>
      </c>
      <c r="CA11" s="156">
        <f t="shared" si="21"/>
        <v>0</v>
      </c>
      <c r="CB11" s="156">
        <f t="shared" si="22"/>
        <v>0</v>
      </c>
      <c r="CC11" s="522">
        <f t="shared" si="6"/>
        <v>125.582477754962</v>
      </c>
      <c r="CD11" s="676"/>
      <c r="CE11" s="853">
        <f t="shared" si="23"/>
        <v>0</v>
      </c>
      <c r="CF11" s="853">
        <f t="shared" si="24"/>
        <v>0</v>
      </c>
      <c r="CG11" s="853">
        <f t="shared" si="7"/>
        <v>0</v>
      </c>
      <c r="CI11" s="134" t="str">
        <f>IF(COUNTIF(CI$7:CI10,C11)&gt;0,"",C11)&amp;""</f>
        <v/>
      </c>
      <c r="CJ11" s="138">
        <f t="shared" si="25"/>
        <v>0</v>
      </c>
      <c r="CK11" s="132">
        <f t="shared" si="26"/>
        <v>1</v>
      </c>
      <c r="CL11" s="138">
        <f t="shared" si="27"/>
        <v>0</v>
      </c>
      <c r="CM11" s="132">
        <f t="shared" si="28"/>
        <v>1</v>
      </c>
      <c r="CN11" s="132">
        <v>2</v>
      </c>
      <c r="CO11" s="134" t="str">
        <f t="shared" ref="CO11:CO14" si="29">IFERROR(INDEX(CI$8:CI$27,MATCH(CN11,IF(CN$8=0,CM$8:CM$27,CK$8:CK$27),0))&amp;"","")</f>
        <v/>
      </c>
      <c r="CP11" s="146" t="str">
        <f t="shared" ref="CP11:CP12" si="30">IF(CO12="","",IF(CO13="","和","、"))</f>
        <v/>
      </c>
    </row>
    <row r="12" ht="15" customHeight="1" spans="1:94">
      <c r="A12" s="123" t="str">
        <f>IF(C12="","",COUNT(A$7:A11)+1)</f>
        <v/>
      </c>
      <c r="B12" s="141"/>
      <c r="C12" s="139"/>
      <c r="D12" s="139"/>
      <c r="E12" s="139"/>
      <c r="F12" s="141"/>
      <c r="G12" s="141"/>
      <c r="H12" s="141"/>
      <c r="I12" s="535"/>
      <c r="J12" s="141"/>
      <c r="K12" s="536"/>
      <c r="L12" s="141"/>
      <c r="M12" s="141"/>
      <c r="N12" s="141"/>
      <c r="O12" s="140"/>
      <c r="P12" s="142"/>
      <c r="Q12" s="127" t="str">
        <f>IFERROR(VLOOKUP(P12,参数表!$H$2:$I$50,2,FALSE),"")</f>
        <v/>
      </c>
      <c r="R12" s="128" t="str">
        <f t="shared" si="9"/>
        <v/>
      </c>
      <c r="S12" s="128" t="str">
        <f t="shared" si="10"/>
        <v/>
      </c>
      <c r="T12" s="129" t="str">
        <f t="shared" si="11"/>
        <v/>
      </c>
      <c r="U12" s="143"/>
      <c r="V12" s="143"/>
      <c r="W12" s="143"/>
      <c r="X12" s="143"/>
      <c r="Y12" s="143"/>
      <c r="Z12" s="143"/>
      <c r="AA12" s="129" t="str">
        <f t="shared" si="12"/>
        <v/>
      </c>
      <c r="AB12" s="129" t="str">
        <f t="shared" si="13"/>
        <v/>
      </c>
      <c r="AC12" s="129" t="str">
        <f t="shared" si="14"/>
        <v/>
      </c>
      <c r="AD12" s="129" t="str">
        <f t="shared" si="0"/>
        <v/>
      </c>
      <c r="AE12" s="521" t="str">
        <f t="shared" si="1"/>
        <v/>
      </c>
      <c r="AF12" s="129" t="str">
        <f t="shared" si="15"/>
        <v/>
      </c>
      <c r="AG12" s="129" t="str">
        <f t="shared" si="16"/>
        <v/>
      </c>
      <c r="AH12" s="145"/>
      <c r="BA12" s="78"/>
      <c r="BB12" s="132" t="s">
        <v>3913</v>
      </c>
      <c r="BC12" s="133"/>
      <c r="BD12" s="132" t="str">
        <f>IF(OR(C12="",BC12=""),"",COUNTIF(BC$8:BC12,"√"))</f>
        <v/>
      </c>
      <c r="BE12" s="134" t="str">
        <f t="shared" si="2"/>
        <v/>
      </c>
      <c r="BF12" s="135" t="str">
        <f t="shared" si="17"/>
        <v/>
      </c>
      <c r="BG12" s="135" t="str">
        <f t="shared" si="17"/>
        <v/>
      </c>
      <c r="BH12" s="136"/>
      <c r="BI12" s="136"/>
      <c r="BJ12" s="136"/>
      <c r="BK12" s="136"/>
      <c r="BL12" s="136"/>
      <c r="BM12" s="137"/>
      <c r="BN12" s="136"/>
      <c r="BO12" s="137"/>
      <c r="BP12" s="165" t="s">
        <v>2706</v>
      </c>
      <c r="BQ12" s="676"/>
      <c r="BR12" s="522">
        <f t="shared" si="3"/>
        <v>0</v>
      </c>
      <c r="BS12" s="522">
        <f t="shared" si="4"/>
        <v>0</v>
      </c>
      <c r="BT12" s="850"/>
      <c r="BU12" s="850"/>
      <c r="BV12" s="851">
        <f t="shared" si="18"/>
        <v>0</v>
      </c>
      <c r="BW12" s="156">
        <f t="shared" si="19"/>
        <v>0</v>
      </c>
      <c r="BX12" s="156">
        <f t="shared" si="20"/>
        <v>0</v>
      </c>
      <c r="BY12" s="522">
        <f t="shared" si="5"/>
        <v>1</v>
      </c>
      <c r="BZ12" s="852">
        <f>LOOKUP(BY12,参数表!$A$13:$B$19)</f>
        <v>0</v>
      </c>
      <c r="CA12" s="156">
        <f t="shared" si="21"/>
        <v>0</v>
      </c>
      <c r="CB12" s="156">
        <f t="shared" si="22"/>
        <v>0</v>
      </c>
      <c r="CC12" s="522">
        <f t="shared" si="6"/>
        <v>125.582477754962</v>
      </c>
      <c r="CD12" s="676"/>
      <c r="CE12" s="853">
        <f t="shared" si="23"/>
        <v>0</v>
      </c>
      <c r="CF12" s="853">
        <f t="shared" si="24"/>
        <v>0</v>
      </c>
      <c r="CG12" s="853">
        <f t="shared" si="7"/>
        <v>0</v>
      </c>
      <c r="CI12" s="134" t="str">
        <f>IF(COUNTIF(CI$7:CI11,C12)&gt;0,"",C12)&amp;""</f>
        <v/>
      </c>
      <c r="CJ12" s="138">
        <f t="shared" si="25"/>
        <v>0</v>
      </c>
      <c r="CK12" s="132">
        <f t="shared" si="26"/>
        <v>1</v>
      </c>
      <c r="CL12" s="138">
        <f t="shared" si="27"/>
        <v>0</v>
      </c>
      <c r="CM12" s="132">
        <f t="shared" si="28"/>
        <v>1</v>
      </c>
      <c r="CN12" s="132">
        <v>3</v>
      </c>
      <c r="CO12" s="134" t="str">
        <f t="shared" si="29"/>
        <v/>
      </c>
      <c r="CP12" s="146" t="str">
        <f t="shared" si="30"/>
        <v/>
      </c>
    </row>
    <row r="13" ht="15" customHeight="1" spans="1:94">
      <c r="A13" s="123" t="str">
        <f>IF(C13="","",COUNT(A$7:A12)+1)</f>
        <v/>
      </c>
      <c r="B13" s="141"/>
      <c r="C13" s="139"/>
      <c r="D13" s="139"/>
      <c r="E13" s="139"/>
      <c r="F13" s="141"/>
      <c r="G13" s="141"/>
      <c r="H13" s="141"/>
      <c r="I13" s="535"/>
      <c r="J13" s="141"/>
      <c r="K13" s="536"/>
      <c r="L13" s="141"/>
      <c r="M13" s="141"/>
      <c r="N13" s="141"/>
      <c r="O13" s="140"/>
      <c r="P13" s="142"/>
      <c r="Q13" s="127" t="str">
        <f>IFERROR(VLOOKUP(P13,参数表!$H$2:$I$50,2,FALSE),"")</f>
        <v/>
      </c>
      <c r="R13" s="128" t="str">
        <f t="shared" si="9"/>
        <v/>
      </c>
      <c r="S13" s="128" t="str">
        <f t="shared" si="10"/>
        <v/>
      </c>
      <c r="T13" s="129" t="str">
        <f t="shared" si="11"/>
        <v/>
      </c>
      <c r="U13" s="143"/>
      <c r="V13" s="143"/>
      <c r="W13" s="143"/>
      <c r="X13" s="143"/>
      <c r="Y13" s="143"/>
      <c r="Z13" s="143"/>
      <c r="AA13" s="129" t="str">
        <f t="shared" si="12"/>
        <v/>
      </c>
      <c r="AB13" s="129" t="str">
        <f t="shared" si="13"/>
        <v/>
      </c>
      <c r="AC13" s="129" t="str">
        <f t="shared" si="14"/>
        <v/>
      </c>
      <c r="AD13" s="129" t="str">
        <f t="shared" si="0"/>
        <v/>
      </c>
      <c r="AE13" s="521" t="str">
        <f t="shared" si="1"/>
        <v/>
      </c>
      <c r="AF13" s="129" t="str">
        <f t="shared" si="15"/>
        <v/>
      </c>
      <c r="AG13" s="129" t="str">
        <f t="shared" si="16"/>
        <v/>
      </c>
      <c r="AH13" s="145"/>
      <c r="BA13" s="78"/>
      <c r="BB13" s="132" t="s">
        <v>3914</v>
      </c>
      <c r="BC13" s="133"/>
      <c r="BD13" s="132" t="str">
        <f>IF(OR(C13="",BC13=""),"",COUNTIF(BC$8:BC13,"√"))</f>
        <v/>
      </c>
      <c r="BE13" s="134" t="str">
        <f t="shared" si="2"/>
        <v/>
      </c>
      <c r="BF13" s="135" t="str">
        <f t="shared" si="17"/>
        <v/>
      </c>
      <c r="BG13" s="135" t="str">
        <f t="shared" si="17"/>
        <v/>
      </c>
      <c r="BH13" s="136"/>
      <c r="BI13" s="136"/>
      <c r="BJ13" s="136"/>
      <c r="BK13" s="136"/>
      <c r="BL13" s="136"/>
      <c r="BM13" s="137"/>
      <c r="BN13" s="136"/>
      <c r="BO13" s="137"/>
      <c r="BP13" s="165" t="s">
        <v>2706</v>
      </c>
      <c r="BQ13" s="676"/>
      <c r="BR13" s="522">
        <f t="shared" si="3"/>
        <v>0</v>
      </c>
      <c r="BS13" s="522">
        <f t="shared" si="4"/>
        <v>0</v>
      </c>
      <c r="BT13" s="850"/>
      <c r="BU13" s="850"/>
      <c r="BV13" s="851">
        <f t="shared" si="18"/>
        <v>0</v>
      </c>
      <c r="BW13" s="156">
        <f t="shared" si="19"/>
        <v>0</v>
      </c>
      <c r="BX13" s="156">
        <f t="shared" si="20"/>
        <v>0</v>
      </c>
      <c r="BY13" s="522">
        <f t="shared" si="5"/>
        <v>1</v>
      </c>
      <c r="BZ13" s="852">
        <f>LOOKUP(BY13,参数表!$A$13:$B$19)</f>
        <v>0</v>
      </c>
      <c r="CA13" s="156">
        <f t="shared" si="21"/>
        <v>0</v>
      </c>
      <c r="CB13" s="156">
        <f t="shared" si="22"/>
        <v>0</v>
      </c>
      <c r="CC13" s="522">
        <f t="shared" si="6"/>
        <v>125.582477754962</v>
      </c>
      <c r="CD13" s="676"/>
      <c r="CE13" s="853">
        <f t="shared" si="23"/>
        <v>0</v>
      </c>
      <c r="CF13" s="853">
        <f t="shared" si="24"/>
        <v>0</v>
      </c>
      <c r="CG13" s="853">
        <f t="shared" si="7"/>
        <v>0</v>
      </c>
      <c r="CI13" s="134" t="str">
        <f>IF(COUNTIF(CI$7:CI12,C13)&gt;0,"",C13)&amp;""</f>
        <v/>
      </c>
      <c r="CJ13" s="138">
        <f t="shared" si="25"/>
        <v>0</v>
      </c>
      <c r="CK13" s="132">
        <f t="shared" si="26"/>
        <v>1</v>
      </c>
      <c r="CL13" s="138">
        <f t="shared" si="27"/>
        <v>0</v>
      </c>
      <c r="CM13" s="132">
        <f t="shared" si="28"/>
        <v>1</v>
      </c>
      <c r="CN13" s="132">
        <v>4</v>
      </c>
      <c r="CO13" s="134" t="str">
        <f t="shared" si="29"/>
        <v/>
      </c>
      <c r="CP13" s="146" t="str">
        <f>IF(CO14="","","和")</f>
        <v/>
      </c>
    </row>
    <row r="14" ht="15" customHeight="1" spans="1:94">
      <c r="A14" s="123" t="str">
        <f>IF(C14="","",COUNT(A$7:A13)+1)</f>
        <v/>
      </c>
      <c r="B14" s="141"/>
      <c r="C14" s="139"/>
      <c r="D14" s="139"/>
      <c r="E14" s="139"/>
      <c r="F14" s="141"/>
      <c r="G14" s="141"/>
      <c r="H14" s="141"/>
      <c r="I14" s="535"/>
      <c r="J14" s="141"/>
      <c r="K14" s="536"/>
      <c r="L14" s="141"/>
      <c r="M14" s="141"/>
      <c r="N14" s="141"/>
      <c r="O14" s="140"/>
      <c r="P14" s="142"/>
      <c r="Q14" s="127" t="str">
        <f>IFERROR(VLOOKUP(P14,参数表!$H$2:$I$50,2,FALSE),"")</f>
        <v/>
      </c>
      <c r="R14" s="128" t="str">
        <f t="shared" si="9"/>
        <v/>
      </c>
      <c r="S14" s="128" t="str">
        <f t="shared" si="10"/>
        <v/>
      </c>
      <c r="T14" s="129" t="str">
        <f t="shared" si="11"/>
        <v/>
      </c>
      <c r="U14" s="143"/>
      <c r="V14" s="143"/>
      <c r="W14" s="143"/>
      <c r="X14" s="143"/>
      <c r="Y14" s="143"/>
      <c r="Z14" s="143"/>
      <c r="AA14" s="129" t="str">
        <f t="shared" si="12"/>
        <v/>
      </c>
      <c r="AB14" s="129" t="str">
        <f t="shared" si="13"/>
        <v/>
      </c>
      <c r="AC14" s="129" t="str">
        <f t="shared" si="14"/>
        <v/>
      </c>
      <c r="AD14" s="129" t="str">
        <f t="shared" si="0"/>
        <v/>
      </c>
      <c r="AE14" s="521" t="str">
        <f t="shared" si="1"/>
        <v/>
      </c>
      <c r="AF14" s="129" t="str">
        <f t="shared" si="15"/>
        <v/>
      </c>
      <c r="AG14" s="129" t="str">
        <f t="shared" si="16"/>
        <v/>
      </c>
      <c r="AH14" s="145"/>
      <c r="BA14" s="78"/>
      <c r="BB14" s="132" t="s">
        <v>3915</v>
      </c>
      <c r="BC14" s="133"/>
      <c r="BD14" s="132" t="str">
        <f>IF(OR(C14="",BC14=""),"",COUNTIF(BC$8:BC14,"√"))</f>
        <v/>
      </c>
      <c r="BE14" s="134" t="str">
        <f t="shared" si="2"/>
        <v/>
      </c>
      <c r="BF14" s="135" t="str">
        <f t="shared" si="17"/>
        <v/>
      </c>
      <c r="BG14" s="135" t="str">
        <f t="shared" si="17"/>
        <v/>
      </c>
      <c r="BH14" s="136"/>
      <c r="BI14" s="136"/>
      <c r="BJ14" s="136"/>
      <c r="BK14" s="136"/>
      <c r="BL14" s="136"/>
      <c r="BM14" s="137"/>
      <c r="BN14" s="136"/>
      <c r="BO14" s="137"/>
      <c r="BP14" s="165" t="s">
        <v>2706</v>
      </c>
      <c r="BQ14" s="676"/>
      <c r="BR14" s="522">
        <f t="shared" si="3"/>
        <v>0</v>
      </c>
      <c r="BS14" s="522">
        <f t="shared" si="4"/>
        <v>0</v>
      </c>
      <c r="BT14" s="850"/>
      <c r="BU14" s="850"/>
      <c r="BV14" s="851">
        <f t="shared" si="18"/>
        <v>0</v>
      </c>
      <c r="BW14" s="156">
        <f t="shared" si="19"/>
        <v>0</v>
      </c>
      <c r="BX14" s="156">
        <f t="shared" si="20"/>
        <v>0</v>
      </c>
      <c r="BY14" s="522">
        <f t="shared" si="5"/>
        <v>1</v>
      </c>
      <c r="BZ14" s="852">
        <f>LOOKUP(BY14,参数表!$A$13:$B$19)</f>
        <v>0</v>
      </c>
      <c r="CA14" s="156">
        <f t="shared" si="21"/>
        <v>0</v>
      </c>
      <c r="CB14" s="156">
        <f t="shared" si="22"/>
        <v>0</v>
      </c>
      <c r="CC14" s="522">
        <f t="shared" si="6"/>
        <v>125.582477754962</v>
      </c>
      <c r="CD14" s="676"/>
      <c r="CE14" s="853">
        <f t="shared" si="23"/>
        <v>0</v>
      </c>
      <c r="CF14" s="853">
        <f t="shared" si="24"/>
        <v>0</v>
      </c>
      <c r="CG14" s="853">
        <f t="shared" si="7"/>
        <v>0</v>
      </c>
      <c r="CI14" s="134" t="str">
        <f>IF(COUNTIF(CI$7:CI13,C14)&gt;0,"",C14)&amp;""</f>
        <v/>
      </c>
      <c r="CJ14" s="138">
        <f t="shared" si="25"/>
        <v>0</v>
      </c>
      <c r="CK14" s="132">
        <f t="shared" si="26"/>
        <v>1</v>
      </c>
      <c r="CL14" s="138">
        <f t="shared" si="27"/>
        <v>0</v>
      </c>
      <c r="CM14" s="132">
        <f t="shared" si="28"/>
        <v>1</v>
      </c>
      <c r="CN14" s="132">
        <v>5</v>
      </c>
      <c r="CO14" s="134" t="str">
        <f t="shared" si="29"/>
        <v/>
      </c>
      <c r="CP14" s="146"/>
    </row>
    <row r="15" ht="15" customHeight="1" spans="1:94">
      <c r="A15" s="123" t="str">
        <f>IF(C15="","",COUNT(A$7:A14)+1)</f>
        <v/>
      </c>
      <c r="B15" s="141"/>
      <c r="C15" s="139"/>
      <c r="D15" s="139"/>
      <c r="E15" s="139"/>
      <c r="F15" s="141"/>
      <c r="G15" s="141"/>
      <c r="H15" s="141"/>
      <c r="I15" s="535"/>
      <c r="J15" s="141"/>
      <c r="K15" s="536"/>
      <c r="L15" s="141"/>
      <c r="M15" s="141"/>
      <c r="N15" s="141"/>
      <c r="O15" s="140"/>
      <c r="P15" s="142"/>
      <c r="Q15" s="127" t="str">
        <f>IFERROR(VLOOKUP(P15,参数表!$H$2:$I$50,2,FALSE),"")</f>
        <v/>
      </c>
      <c r="R15" s="128" t="str">
        <f t="shared" si="9"/>
        <v/>
      </c>
      <c r="S15" s="128" t="str">
        <f t="shared" si="10"/>
        <v/>
      </c>
      <c r="T15" s="129" t="str">
        <f t="shared" si="11"/>
        <v/>
      </c>
      <c r="U15" s="143"/>
      <c r="V15" s="143"/>
      <c r="W15" s="143"/>
      <c r="X15" s="143"/>
      <c r="Y15" s="143"/>
      <c r="Z15" s="143"/>
      <c r="AA15" s="129" t="str">
        <f t="shared" si="12"/>
        <v/>
      </c>
      <c r="AB15" s="129" t="str">
        <f t="shared" si="13"/>
        <v/>
      </c>
      <c r="AC15" s="129" t="str">
        <f t="shared" si="14"/>
        <v/>
      </c>
      <c r="AD15" s="129" t="str">
        <f t="shared" si="0"/>
        <v/>
      </c>
      <c r="AE15" s="521" t="str">
        <f t="shared" si="1"/>
        <v/>
      </c>
      <c r="AF15" s="129" t="str">
        <f t="shared" si="15"/>
        <v/>
      </c>
      <c r="AG15" s="129" t="str">
        <f t="shared" si="16"/>
        <v/>
      </c>
      <c r="AH15" s="145"/>
      <c r="BA15" s="78"/>
      <c r="BB15" s="132" t="s">
        <v>3916</v>
      </c>
      <c r="BC15" s="133"/>
      <c r="BD15" s="132" t="str">
        <f>IF(OR(C15="",BC15=""),"",COUNTIF(BC$8:BC15,"√"))</f>
        <v/>
      </c>
      <c r="BE15" s="134" t="str">
        <f t="shared" si="2"/>
        <v/>
      </c>
      <c r="BF15" s="135" t="str">
        <f t="shared" si="17"/>
        <v/>
      </c>
      <c r="BG15" s="135" t="str">
        <f t="shared" si="17"/>
        <v/>
      </c>
      <c r="BH15" s="136"/>
      <c r="BI15" s="136"/>
      <c r="BJ15" s="136"/>
      <c r="BK15" s="136"/>
      <c r="BL15" s="136"/>
      <c r="BM15" s="137"/>
      <c r="BN15" s="136"/>
      <c r="BO15" s="137"/>
      <c r="BP15" s="165" t="s">
        <v>2706</v>
      </c>
      <c r="BQ15" s="676"/>
      <c r="BR15" s="522">
        <f t="shared" si="3"/>
        <v>0</v>
      </c>
      <c r="BS15" s="522">
        <f t="shared" si="4"/>
        <v>0</v>
      </c>
      <c r="BT15" s="850"/>
      <c r="BU15" s="850"/>
      <c r="BV15" s="851">
        <f t="shared" si="18"/>
        <v>0</v>
      </c>
      <c r="BW15" s="156">
        <f t="shared" si="19"/>
        <v>0</v>
      </c>
      <c r="BX15" s="156">
        <f t="shared" si="20"/>
        <v>0</v>
      </c>
      <c r="BY15" s="522">
        <f t="shared" si="5"/>
        <v>1</v>
      </c>
      <c r="BZ15" s="852">
        <f>LOOKUP(BY15,参数表!$A$13:$B$19)</f>
        <v>0</v>
      </c>
      <c r="CA15" s="156">
        <f t="shared" si="21"/>
        <v>0</v>
      </c>
      <c r="CB15" s="156">
        <f t="shared" si="22"/>
        <v>0</v>
      </c>
      <c r="CC15" s="522">
        <f t="shared" si="6"/>
        <v>125.582477754962</v>
      </c>
      <c r="CD15" s="676"/>
      <c r="CE15" s="853">
        <f t="shared" si="23"/>
        <v>0</v>
      </c>
      <c r="CF15" s="853">
        <f t="shared" si="24"/>
        <v>0</v>
      </c>
      <c r="CG15" s="853">
        <f t="shared" si="7"/>
        <v>0</v>
      </c>
      <c r="CI15" s="134" t="str">
        <f>IF(COUNTIF(CI$7:CI14,C15)&gt;0,"",C15)&amp;""</f>
        <v/>
      </c>
      <c r="CJ15" s="138">
        <f t="shared" si="25"/>
        <v>0</v>
      </c>
      <c r="CK15" s="132">
        <f t="shared" si="26"/>
        <v>1</v>
      </c>
      <c r="CL15" s="138">
        <f t="shared" si="27"/>
        <v>0</v>
      </c>
      <c r="CM15" s="132">
        <f t="shared" si="28"/>
        <v>1</v>
      </c>
      <c r="CN15" s="147" t="s">
        <v>1659</v>
      </c>
      <c r="CO15" s="132" t="str">
        <f>CONCATENATE(CO10,CP10,CO11,CP11,CO12,CP12,CO13,CP13,CO14)</f>
        <v/>
      </c>
      <c r="CP15" s="132"/>
    </row>
    <row r="16" ht="15" customHeight="1" spans="1:94">
      <c r="A16" s="123" t="str">
        <f>IF(C16="","",COUNT(A$7:A15)+1)</f>
        <v/>
      </c>
      <c r="B16" s="141"/>
      <c r="C16" s="139"/>
      <c r="D16" s="139"/>
      <c r="E16" s="139"/>
      <c r="F16" s="141"/>
      <c r="G16" s="141"/>
      <c r="H16" s="141"/>
      <c r="I16" s="535"/>
      <c r="J16" s="141"/>
      <c r="K16" s="536"/>
      <c r="L16" s="141"/>
      <c r="M16" s="141"/>
      <c r="N16" s="141"/>
      <c r="O16" s="140"/>
      <c r="P16" s="142"/>
      <c r="Q16" s="127" t="str">
        <f>IFERROR(VLOOKUP(P16,参数表!$H$2:$I$50,2,FALSE),"")</f>
        <v/>
      </c>
      <c r="R16" s="128" t="str">
        <f t="shared" si="9"/>
        <v/>
      </c>
      <c r="S16" s="128" t="str">
        <f t="shared" si="10"/>
        <v/>
      </c>
      <c r="T16" s="129" t="str">
        <f t="shared" si="11"/>
        <v/>
      </c>
      <c r="U16" s="143"/>
      <c r="V16" s="143"/>
      <c r="W16" s="143"/>
      <c r="X16" s="143"/>
      <c r="Y16" s="143"/>
      <c r="Z16" s="143"/>
      <c r="AA16" s="129" t="str">
        <f t="shared" si="12"/>
        <v/>
      </c>
      <c r="AB16" s="129" t="str">
        <f t="shared" si="13"/>
        <v/>
      </c>
      <c r="AC16" s="129" t="str">
        <f t="shared" si="14"/>
        <v/>
      </c>
      <c r="AD16" s="129" t="str">
        <f t="shared" si="0"/>
        <v/>
      </c>
      <c r="AE16" s="521" t="str">
        <f t="shared" si="1"/>
        <v/>
      </c>
      <c r="AF16" s="129" t="str">
        <f t="shared" si="15"/>
        <v/>
      </c>
      <c r="AG16" s="129" t="str">
        <f t="shared" si="16"/>
        <v/>
      </c>
      <c r="AH16" s="145"/>
      <c r="BA16" s="78"/>
      <c r="BB16" s="132" t="s">
        <v>3917</v>
      </c>
      <c r="BC16" s="133"/>
      <c r="BD16" s="132" t="str">
        <f>IF(OR(C16="",BC16=""),"",COUNTIF(BC$8:BC16,"√"))</f>
        <v/>
      </c>
      <c r="BE16" s="134" t="str">
        <f t="shared" si="2"/>
        <v/>
      </c>
      <c r="BF16" s="135" t="str">
        <f t="shared" si="17"/>
        <v/>
      </c>
      <c r="BG16" s="135" t="str">
        <f t="shared" si="17"/>
        <v/>
      </c>
      <c r="BH16" s="136"/>
      <c r="BI16" s="136"/>
      <c r="BJ16" s="136"/>
      <c r="BK16" s="136"/>
      <c r="BL16" s="136"/>
      <c r="BM16" s="137"/>
      <c r="BN16" s="136"/>
      <c r="BO16" s="137"/>
      <c r="BP16" s="165" t="s">
        <v>2706</v>
      </c>
      <c r="BQ16" s="676"/>
      <c r="BR16" s="522">
        <f t="shared" si="3"/>
        <v>0</v>
      </c>
      <c r="BS16" s="522">
        <f t="shared" si="4"/>
        <v>0</v>
      </c>
      <c r="BT16" s="850"/>
      <c r="BU16" s="850"/>
      <c r="BV16" s="851">
        <f t="shared" si="18"/>
        <v>0</v>
      </c>
      <c r="BW16" s="156">
        <f t="shared" si="19"/>
        <v>0</v>
      </c>
      <c r="BX16" s="156">
        <f t="shared" si="20"/>
        <v>0</v>
      </c>
      <c r="BY16" s="522">
        <f t="shared" si="5"/>
        <v>1</v>
      </c>
      <c r="BZ16" s="852">
        <f>LOOKUP(BY16,参数表!$A$13:$B$19)</f>
        <v>0</v>
      </c>
      <c r="CA16" s="156">
        <f t="shared" si="21"/>
        <v>0</v>
      </c>
      <c r="CB16" s="156">
        <f t="shared" si="22"/>
        <v>0</v>
      </c>
      <c r="CC16" s="522">
        <f t="shared" si="6"/>
        <v>125.582477754962</v>
      </c>
      <c r="CD16" s="676"/>
      <c r="CE16" s="853">
        <f t="shared" si="23"/>
        <v>0</v>
      </c>
      <c r="CF16" s="853">
        <f t="shared" si="24"/>
        <v>0</v>
      </c>
      <c r="CG16" s="853">
        <f t="shared" si="7"/>
        <v>0</v>
      </c>
      <c r="CI16" s="134" t="str">
        <f>IF(COUNTIF(CI$7:CI15,C16)&gt;0,"",C16)&amp;""</f>
        <v/>
      </c>
      <c r="CJ16" s="138">
        <f t="shared" si="25"/>
        <v>0</v>
      </c>
      <c r="CK16" s="132">
        <f t="shared" si="26"/>
        <v>1</v>
      </c>
      <c r="CL16" s="138">
        <f t="shared" si="27"/>
        <v>0</v>
      </c>
      <c r="CM16" s="132">
        <f t="shared" si="28"/>
        <v>1</v>
      </c>
      <c r="CN16" s="133"/>
      <c r="CO16" s="133"/>
    </row>
    <row r="17" ht="15" customHeight="1" spans="1:94">
      <c r="A17" s="123" t="str">
        <f>IF(C17="","",COUNT(A$7:A16)+1)</f>
        <v/>
      </c>
      <c r="B17" s="141"/>
      <c r="C17" s="139"/>
      <c r="D17" s="139"/>
      <c r="E17" s="139"/>
      <c r="F17" s="141"/>
      <c r="G17" s="141"/>
      <c r="H17" s="141"/>
      <c r="I17" s="535"/>
      <c r="J17" s="141"/>
      <c r="K17" s="536"/>
      <c r="L17" s="141"/>
      <c r="M17" s="141"/>
      <c r="N17" s="141"/>
      <c r="O17" s="140"/>
      <c r="P17" s="142"/>
      <c r="Q17" s="127" t="str">
        <f>IFERROR(VLOOKUP(P17,参数表!$H$2:$I$50,2,FALSE),"")</f>
        <v/>
      </c>
      <c r="R17" s="128" t="str">
        <f t="shared" si="9"/>
        <v/>
      </c>
      <c r="S17" s="128" t="str">
        <f t="shared" si="10"/>
        <v/>
      </c>
      <c r="T17" s="129" t="str">
        <f t="shared" si="11"/>
        <v/>
      </c>
      <c r="U17" s="143"/>
      <c r="V17" s="143"/>
      <c r="W17" s="143"/>
      <c r="X17" s="143"/>
      <c r="Y17" s="143"/>
      <c r="Z17" s="143"/>
      <c r="AA17" s="129" t="str">
        <f t="shared" si="12"/>
        <v/>
      </c>
      <c r="AB17" s="129" t="str">
        <f t="shared" si="13"/>
        <v/>
      </c>
      <c r="AC17" s="129" t="str">
        <f t="shared" si="14"/>
        <v/>
      </c>
      <c r="AD17" s="129" t="str">
        <f t="shared" si="0"/>
        <v/>
      </c>
      <c r="AE17" s="521" t="str">
        <f t="shared" si="1"/>
        <v/>
      </c>
      <c r="AF17" s="129" t="str">
        <f t="shared" si="15"/>
        <v/>
      </c>
      <c r="AG17" s="129" t="str">
        <f t="shared" si="16"/>
        <v/>
      </c>
      <c r="AH17" s="145"/>
      <c r="BA17" s="78"/>
      <c r="BB17" s="132" t="s">
        <v>3918</v>
      </c>
      <c r="BC17" s="133"/>
      <c r="BD17" s="132" t="str">
        <f>IF(OR(C17="",BC17=""),"",COUNTIF(BC$8:BC17,"√"))</f>
        <v/>
      </c>
      <c r="BE17" s="134" t="str">
        <f t="shared" si="2"/>
        <v/>
      </c>
      <c r="BF17" s="135" t="str">
        <f t="shared" si="17"/>
        <v/>
      </c>
      <c r="BG17" s="135" t="str">
        <f t="shared" si="17"/>
        <v/>
      </c>
      <c r="BH17" s="136"/>
      <c r="BI17" s="136"/>
      <c r="BJ17" s="136"/>
      <c r="BK17" s="136"/>
      <c r="BL17" s="136"/>
      <c r="BM17" s="137"/>
      <c r="BN17" s="136"/>
      <c r="BO17" s="137"/>
      <c r="BP17" s="165" t="s">
        <v>2706</v>
      </c>
      <c r="BQ17" s="676"/>
      <c r="BR17" s="522">
        <f t="shared" si="3"/>
        <v>0</v>
      </c>
      <c r="BS17" s="522">
        <f t="shared" si="4"/>
        <v>0</v>
      </c>
      <c r="BT17" s="850"/>
      <c r="BU17" s="850"/>
      <c r="BV17" s="851">
        <f t="shared" si="18"/>
        <v>0</v>
      </c>
      <c r="BW17" s="156">
        <f t="shared" si="19"/>
        <v>0</v>
      </c>
      <c r="BX17" s="156">
        <f t="shared" si="20"/>
        <v>0</v>
      </c>
      <c r="BY17" s="522">
        <f t="shared" si="5"/>
        <v>1</v>
      </c>
      <c r="BZ17" s="852">
        <f>LOOKUP(BY17,参数表!$A$13:$B$19)</f>
        <v>0</v>
      </c>
      <c r="CA17" s="156">
        <f t="shared" si="21"/>
        <v>0</v>
      </c>
      <c r="CB17" s="156">
        <f t="shared" si="22"/>
        <v>0</v>
      </c>
      <c r="CC17" s="522">
        <f t="shared" si="6"/>
        <v>125.582477754962</v>
      </c>
      <c r="CD17" s="676"/>
      <c r="CE17" s="853">
        <f t="shared" si="23"/>
        <v>0</v>
      </c>
      <c r="CF17" s="853">
        <f t="shared" si="24"/>
        <v>0</v>
      </c>
      <c r="CG17" s="853">
        <f t="shared" si="7"/>
        <v>0</v>
      </c>
      <c r="CI17" s="134" t="str">
        <f>IF(COUNTIF(CI$7:CI16,C17)&gt;0,"",C17)&amp;""</f>
        <v/>
      </c>
      <c r="CJ17" s="138">
        <f t="shared" si="25"/>
        <v>0</v>
      </c>
      <c r="CK17" s="132">
        <f t="shared" si="26"/>
        <v>1</v>
      </c>
      <c r="CL17" s="138">
        <f t="shared" si="27"/>
        <v>0</v>
      </c>
      <c r="CM17" s="132">
        <f t="shared" si="28"/>
        <v>1</v>
      </c>
      <c r="CN17" s="133"/>
      <c r="CO17" s="148"/>
    </row>
    <row r="18" ht="15" customHeight="1" spans="1:94">
      <c r="A18" s="123" t="str">
        <f>IF(C18="","",COUNT(A$7:A17)+1)</f>
        <v/>
      </c>
      <c r="B18" s="141"/>
      <c r="C18" s="139"/>
      <c r="D18" s="139"/>
      <c r="E18" s="139"/>
      <c r="F18" s="141"/>
      <c r="G18" s="141"/>
      <c r="H18" s="141"/>
      <c r="I18" s="535"/>
      <c r="J18" s="141"/>
      <c r="K18" s="536"/>
      <c r="L18" s="141"/>
      <c r="M18" s="141"/>
      <c r="N18" s="141"/>
      <c r="O18" s="140"/>
      <c r="P18" s="142"/>
      <c r="Q18" s="127" t="str">
        <f>IFERROR(VLOOKUP(P18,参数表!$H$2:$I$50,2,FALSE),"")</f>
        <v/>
      </c>
      <c r="R18" s="128" t="str">
        <f t="shared" si="9"/>
        <v/>
      </c>
      <c r="S18" s="128" t="str">
        <f t="shared" si="10"/>
        <v/>
      </c>
      <c r="T18" s="129" t="str">
        <f t="shared" si="11"/>
        <v/>
      </c>
      <c r="U18" s="143"/>
      <c r="V18" s="143"/>
      <c r="W18" s="143"/>
      <c r="X18" s="143"/>
      <c r="Y18" s="143"/>
      <c r="Z18" s="143"/>
      <c r="AA18" s="129" t="str">
        <f t="shared" si="12"/>
        <v/>
      </c>
      <c r="AB18" s="129" t="str">
        <f t="shared" si="13"/>
        <v/>
      </c>
      <c r="AC18" s="129" t="str">
        <f t="shared" si="14"/>
        <v/>
      </c>
      <c r="AD18" s="129" t="str">
        <f t="shared" si="0"/>
        <v/>
      </c>
      <c r="AE18" s="521" t="str">
        <f t="shared" si="1"/>
        <v/>
      </c>
      <c r="AF18" s="129" t="str">
        <f t="shared" si="15"/>
        <v/>
      </c>
      <c r="AG18" s="129" t="str">
        <f t="shared" si="16"/>
        <v/>
      </c>
      <c r="AH18" s="145"/>
      <c r="BA18" s="78"/>
      <c r="BB18" s="132" t="s">
        <v>3919</v>
      </c>
      <c r="BC18" s="133"/>
      <c r="BD18" s="132" t="str">
        <f>IF(OR(C18="",BC18=""),"",COUNTIF(BC$8:BC18,"√"))</f>
        <v/>
      </c>
      <c r="BE18" s="134" t="str">
        <f t="shared" si="2"/>
        <v/>
      </c>
      <c r="BF18" s="135" t="str">
        <f t="shared" si="17"/>
        <v/>
      </c>
      <c r="BG18" s="135" t="str">
        <f t="shared" si="17"/>
        <v/>
      </c>
      <c r="BH18" s="136"/>
      <c r="BI18" s="136"/>
      <c r="BJ18" s="136"/>
      <c r="BK18" s="136"/>
      <c r="BL18" s="136"/>
      <c r="BM18" s="137"/>
      <c r="BN18" s="136"/>
      <c r="BO18" s="137"/>
      <c r="BP18" s="165" t="s">
        <v>2706</v>
      </c>
      <c r="BQ18" s="676"/>
      <c r="BR18" s="522">
        <f t="shared" si="3"/>
        <v>0</v>
      </c>
      <c r="BS18" s="522">
        <f t="shared" si="4"/>
        <v>0</v>
      </c>
      <c r="BT18" s="850"/>
      <c r="BU18" s="850"/>
      <c r="BV18" s="851">
        <f t="shared" si="18"/>
        <v>0</v>
      </c>
      <c r="BW18" s="156">
        <f t="shared" si="19"/>
        <v>0</v>
      </c>
      <c r="BX18" s="156">
        <f t="shared" si="20"/>
        <v>0</v>
      </c>
      <c r="BY18" s="522">
        <f t="shared" si="5"/>
        <v>1</v>
      </c>
      <c r="BZ18" s="852">
        <f>LOOKUP(BY18,参数表!$A$13:$B$19)</f>
        <v>0</v>
      </c>
      <c r="CA18" s="156">
        <f t="shared" si="21"/>
        <v>0</v>
      </c>
      <c r="CB18" s="156">
        <f t="shared" si="22"/>
        <v>0</v>
      </c>
      <c r="CC18" s="522">
        <f t="shared" si="6"/>
        <v>125.582477754962</v>
      </c>
      <c r="CD18" s="676"/>
      <c r="CE18" s="853">
        <f t="shared" si="23"/>
        <v>0</v>
      </c>
      <c r="CF18" s="853">
        <f t="shared" si="24"/>
        <v>0</v>
      </c>
      <c r="CG18" s="853">
        <f t="shared" si="7"/>
        <v>0</v>
      </c>
      <c r="CI18" s="134" t="str">
        <f>IF(COUNTIF(CI$7:CI17,C18)&gt;0,"",C18)&amp;""</f>
        <v/>
      </c>
      <c r="CJ18" s="138">
        <f t="shared" si="25"/>
        <v>0</v>
      </c>
      <c r="CK18" s="132">
        <f t="shared" si="26"/>
        <v>1</v>
      </c>
      <c r="CL18" s="138">
        <f t="shared" si="27"/>
        <v>0</v>
      </c>
      <c r="CM18" s="132">
        <f t="shared" si="28"/>
        <v>1</v>
      </c>
      <c r="CN18" s="133"/>
      <c r="CO18" s="133"/>
    </row>
    <row r="19" ht="15" customHeight="1" spans="1:94">
      <c r="A19" s="123" t="str">
        <f>IF(C19="","",COUNT(A$7:A18)+1)</f>
        <v/>
      </c>
      <c r="B19" s="141"/>
      <c r="C19" s="139"/>
      <c r="D19" s="139"/>
      <c r="E19" s="139"/>
      <c r="F19" s="141"/>
      <c r="G19" s="141"/>
      <c r="H19" s="141"/>
      <c r="I19" s="535"/>
      <c r="J19" s="141"/>
      <c r="K19" s="536"/>
      <c r="L19" s="141"/>
      <c r="M19" s="141"/>
      <c r="N19" s="141"/>
      <c r="O19" s="140"/>
      <c r="P19" s="142"/>
      <c r="Q19" s="127" t="str">
        <f>IFERROR(VLOOKUP(P19,参数表!$H$2:$I$50,2,FALSE),"")</f>
        <v/>
      </c>
      <c r="R19" s="128" t="str">
        <f t="shared" si="9"/>
        <v/>
      </c>
      <c r="S19" s="128" t="str">
        <f t="shared" si="10"/>
        <v/>
      </c>
      <c r="T19" s="129" t="str">
        <f t="shared" si="11"/>
        <v/>
      </c>
      <c r="U19" s="143"/>
      <c r="V19" s="143"/>
      <c r="W19" s="143"/>
      <c r="X19" s="143"/>
      <c r="Y19" s="143"/>
      <c r="Z19" s="143"/>
      <c r="AA19" s="129" t="str">
        <f t="shared" si="12"/>
        <v/>
      </c>
      <c r="AB19" s="129" t="str">
        <f t="shared" si="13"/>
        <v/>
      </c>
      <c r="AC19" s="129" t="str">
        <f t="shared" si="14"/>
        <v/>
      </c>
      <c r="AD19" s="129" t="str">
        <f t="shared" si="0"/>
        <v/>
      </c>
      <c r="AE19" s="521" t="str">
        <f t="shared" si="1"/>
        <v/>
      </c>
      <c r="AF19" s="129" t="str">
        <f t="shared" si="15"/>
        <v/>
      </c>
      <c r="AG19" s="129" t="str">
        <f t="shared" si="16"/>
        <v/>
      </c>
      <c r="AH19" s="145"/>
      <c r="BA19" s="78"/>
      <c r="BB19" s="132" t="s">
        <v>3920</v>
      </c>
      <c r="BC19" s="133"/>
      <c r="BD19" s="132" t="str">
        <f>IF(OR(C19="",BC19=""),"",COUNTIF(BC$8:BC19,"√"))</f>
        <v/>
      </c>
      <c r="BE19" s="134" t="str">
        <f t="shared" si="2"/>
        <v/>
      </c>
      <c r="BF19" s="135" t="str">
        <f t="shared" si="17"/>
        <v/>
      </c>
      <c r="BG19" s="135" t="str">
        <f t="shared" si="17"/>
        <v/>
      </c>
      <c r="BH19" s="136"/>
      <c r="BI19" s="136"/>
      <c r="BJ19" s="136"/>
      <c r="BK19" s="136"/>
      <c r="BL19" s="136"/>
      <c r="BM19" s="137"/>
      <c r="BN19" s="136"/>
      <c r="BO19" s="137"/>
      <c r="BP19" s="165" t="s">
        <v>2706</v>
      </c>
      <c r="BQ19" s="676"/>
      <c r="BR19" s="522">
        <f t="shared" si="3"/>
        <v>0</v>
      </c>
      <c r="BS19" s="522">
        <f t="shared" si="4"/>
        <v>0</v>
      </c>
      <c r="BT19" s="850"/>
      <c r="BU19" s="850"/>
      <c r="BV19" s="851">
        <f t="shared" si="18"/>
        <v>0</v>
      </c>
      <c r="BW19" s="156">
        <f t="shared" si="19"/>
        <v>0</v>
      </c>
      <c r="BX19" s="156">
        <f t="shared" si="20"/>
        <v>0</v>
      </c>
      <c r="BY19" s="522">
        <f t="shared" si="5"/>
        <v>1</v>
      </c>
      <c r="BZ19" s="852">
        <f>LOOKUP(BY19,参数表!$A$13:$B$19)</f>
        <v>0</v>
      </c>
      <c r="CA19" s="156">
        <f t="shared" si="21"/>
        <v>0</v>
      </c>
      <c r="CB19" s="156">
        <f t="shared" si="22"/>
        <v>0</v>
      </c>
      <c r="CC19" s="522">
        <f t="shared" si="6"/>
        <v>125.582477754962</v>
      </c>
      <c r="CD19" s="676"/>
      <c r="CE19" s="853">
        <f t="shared" si="23"/>
        <v>0</v>
      </c>
      <c r="CF19" s="853">
        <f t="shared" si="24"/>
        <v>0</v>
      </c>
      <c r="CG19" s="853">
        <f t="shared" si="7"/>
        <v>0</v>
      </c>
      <c r="CI19" s="134" t="str">
        <f>IF(COUNTIF(CI$7:CI18,C19)&gt;0,"",C19)&amp;""</f>
        <v/>
      </c>
      <c r="CJ19" s="138">
        <f t="shared" si="25"/>
        <v>0</v>
      </c>
      <c r="CK19" s="132">
        <f t="shared" si="26"/>
        <v>1</v>
      </c>
      <c r="CL19" s="138">
        <f t="shared" si="27"/>
        <v>0</v>
      </c>
      <c r="CM19" s="132">
        <f t="shared" si="28"/>
        <v>1</v>
      </c>
      <c r="CN19" s="133"/>
      <c r="CO19" s="133"/>
    </row>
    <row r="20" ht="15" customHeight="1" spans="1:94">
      <c r="A20" s="123" t="str">
        <f>IF(C20="","",COUNT(A$7:A19)+1)</f>
        <v/>
      </c>
      <c r="B20" s="141"/>
      <c r="C20" s="139"/>
      <c r="D20" s="139"/>
      <c r="E20" s="139"/>
      <c r="F20" s="141"/>
      <c r="G20" s="141"/>
      <c r="H20" s="141"/>
      <c r="I20" s="535"/>
      <c r="J20" s="141"/>
      <c r="K20" s="536"/>
      <c r="L20" s="141"/>
      <c r="M20" s="141"/>
      <c r="N20" s="141"/>
      <c r="O20" s="140"/>
      <c r="P20" s="142"/>
      <c r="Q20" s="127" t="str">
        <f>IFERROR(VLOOKUP(P20,参数表!$H$2:$I$50,2,FALSE),"")</f>
        <v/>
      </c>
      <c r="R20" s="128" t="str">
        <f t="shared" si="9"/>
        <v/>
      </c>
      <c r="S20" s="128" t="str">
        <f t="shared" si="10"/>
        <v/>
      </c>
      <c r="T20" s="129" t="str">
        <f t="shared" si="11"/>
        <v/>
      </c>
      <c r="U20" s="143"/>
      <c r="V20" s="143"/>
      <c r="W20" s="143"/>
      <c r="X20" s="143"/>
      <c r="Y20" s="143"/>
      <c r="Z20" s="143"/>
      <c r="AA20" s="129" t="str">
        <f t="shared" si="12"/>
        <v/>
      </c>
      <c r="AB20" s="129" t="str">
        <f t="shared" si="13"/>
        <v/>
      </c>
      <c r="AC20" s="129" t="str">
        <f t="shared" si="14"/>
        <v/>
      </c>
      <c r="AD20" s="129" t="str">
        <f t="shared" si="0"/>
        <v/>
      </c>
      <c r="AE20" s="521" t="str">
        <f t="shared" si="1"/>
        <v/>
      </c>
      <c r="AF20" s="129" t="str">
        <f t="shared" si="15"/>
        <v/>
      </c>
      <c r="AG20" s="129" t="str">
        <f t="shared" si="16"/>
        <v/>
      </c>
      <c r="AH20" s="145"/>
      <c r="BA20" s="78"/>
      <c r="BB20" s="132" t="s">
        <v>3921</v>
      </c>
      <c r="BC20" s="133"/>
      <c r="BD20" s="132" t="str">
        <f>IF(OR(C20="",BC20=""),"",COUNTIF(BC$8:BC20,"√"))</f>
        <v/>
      </c>
      <c r="BE20" s="134" t="str">
        <f t="shared" si="2"/>
        <v/>
      </c>
      <c r="BF20" s="135" t="str">
        <f t="shared" si="17"/>
        <v/>
      </c>
      <c r="BG20" s="135" t="str">
        <f t="shared" si="17"/>
        <v/>
      </c>
      <c r="BH20" s="136"/>
      <c r="BI20" s="136"/>
      <c r="BJ20" s="136"/>
      <c r="BK20" s="136"/>
      <c r="BL20" s="136"/>
      <c r="BM20" s="137"/>
      <c r="BN20" s="136"/>
      <c r="BO20" s="137"/>
      <c r="BP20" s="165" t="s">
        <v>2706</v>
      </c>
      <c r="BQ20" s="676"/>
      <c r="BR20" s="522">
        <f t="shared" si="3"/>
        <v>0</v>
      </c>
      <c r="BS20" s="522">
        <f t="shared" si="4"/>
        <v>0</v>
      </c>
      <c r="BT20" s="850"/>
      <c r="BU20" s="850"/>
      <c r="BV20" s="851">
        <f t="shared" si="18"/>
        <v>0</v>
      </c>
      <c r="BW20" s="156">
        <f t="shared" si="19"/>
        <v>0</v>
      </c>
      <c r="BX20" s="156">
        <f t="shared" si="20"/>
        <v>0</v>
      </c>
      <c r="BY20" s="522">
        <f t="shared" si="5"/>
        <v>1</v>
      </c>
      <c r="BZ20" s="852">
        <f>LOOKUP(BY20,参数表!$A$13:$B$19)</f>
        <v>0</v>
      </c>
      <c r="CA20" s="156">
        <f t="shared" si="21"/>
        <v>0</v>
      </c>
      <c r="CB20" s="156">
        <f t="shared" si="22"/>
        <v>0</v>
      </c>
      <c r="CC20" s="522">
        <f t="shared" si="6"/>
        <v>125.582477754962</v>
      </c>
      <c r="CD20" s="676"/>
      <c r="CE20" s="853">
        <f t="shared" si="23"/>
        <v>0</v>
      </c>
      <c r="CF20" s="853">
        <f t="shared" si="24"/>
        <v>0</v>
      </c>
      <c r="CG20" s="853">
        <f t="shared" si="7"/>
        <v>0</v>
      </c>
      <c r="CI20" s="134" t="str">
        <f>IF(COUNTIF(CI$7:CI19,C20)&gt;0,"",C20)&amp;""</f>
        <v/>
      </c>
      <c r="CJ20" s="138">
        <f t="shared" si="25"/>
        <v>0</v>
      </c>
      <c r="CK20" s="132">
        <f t="shared" si="26"/>
        <v>1</v>
      </c>
      <c r="CL20" s="138">
        <f t="shared" si="27"/>
        <v>0</v>
      </c>
      <c r="CM20" s="132">
        <f t="shared" si="28"/>
        <v>1</v>
      </c>
      <c r="CN20" s="133"/>
      <c r="CO20" s="133"/>
    </row>
    <row r="21" ht="15" customHeight="1" spans="1:94">
      <c r="A21" s="123" t="str">
        <f>IF(C21="","",COUNT(A$7:A20)+1)</f>
        <v/>
      </c>
      <c r="B21" s="141"/>
      <c r="C21" s="139"/>
      <c r="D21" s="139"/>
      <c r="E21" s="139"/>
      <c r="F21" s="141"/>
      <c r="G21" s="141"/>
      <c r="H21" s="141"/>
      <c r="I21" s="535"/>
      <c r="J21" s="141"/>
      <c r="K21" s="536"/>
      <c r="L21" s="141"/>
      <c r="M21" s="141"/>
      <c r="N21" s="141"/>
      <c r="O21" s="140"/>
      <c r="P21" s="142"/>
      <c r="Q21" s="127" t="str">
        <f>IFERROR(VLOOKUP(P21,参数表!$H$2:$I$50,2,FALSE),"")</f>
        <v/>
      </c>
      <c r="R21" s="128" t="str">
        <f t="shared" si="9"/>
        <v/>
      </c>
      <c r="S21" s="128" t="str">
        <f t="shared" si="10"/>
        <v/>
      </c>
      <c r="T21" s="129" t="str">
        <f t="shared" si="11"/>
        <v/>
      </c>
      <c r="U21" s="143"/>
      <c r="V21" s="143"/>
      <c r="W21" s="143"/>
      <c r="X21" s="143"/>
      <c r="Y21" s="143"/>
      <c r="Z21" s="143"/>
      <c r="AA21" s="129" t="str">
        <f t="shared" si="12"/>
        <v/>
      </c>
      <c r="AB21" s="129" t="str">
        <f t="shared" si="13"/>
        <v/>
      </c>
      <c r="AC21" s="129" t="str">
        <f t="shared" si="14"/>
        <v/>
      </c>
      <c r="AD21" s="129" t="str">
        <f t="shared" si="0"/>
        <v/>
      </c>
      <c r="AE21" s="521" t="str">
        <f t="shared" si="1"/>
        <v/>
      </c>
      <c r="AF21" s="129" t="str">
        <f t="shared" si="15"/>
        <v/>
      </c>
      <c r="AG21" s="129" t="str">
        <f t="shared" si="16"/>
        <v/>
      </c>
      <c r="AH21" s="145"/>
      <c r="BA21" s="78"/>
      <c r="BB21" s="132" t="s">
        <v>3922</v>
      </c>
      <c r="BC21" s="133"/>
      <c r="BD21" s="132" t="str">
        <f>IF(OR(C21="",BC21=""),"",COUNTIF(BC$8:BC21,"√"))</f>
        <v/>
      </c>
      <c r="BE21" s="134" t="str">
        <f t="shared" si="2"/>
        <v/>
      </c>
      <c r="BF21" s="135" t="str">
        <f t="shared" si="17"/>
        <v/>
      </c>
      <c r="BG21" s="135" t="str">
        <f t="shared" si="17"/>
        <v/>
      </c>
      <c r="BH21" s="136"/>
      <c r="BI21" s="136"/>
      <c r="BJ21" s="136"/>
      <c r="BK21" s="136"/>
      <c r="BL21" s="136"/>
      <c r="BM21" s="137"/>
      <c r="BN21" s="136"/>
      <c r="BO21" s="137"/>
      <c r="BP21" s="165" t="s">
        <v>2706</v>
      </c>
      <c r="BQ21" s="676"/>
      <c r="BR21" s="522">
        <f t="shared" si="3"/>
        <v>0</v>
      </c>
      <c r="BS21" s="522">
        <f t="shared" si="4"/>
        <v>0</v>
      </c>
      <c r="BT21" s="850"/>
      <c r="BU21" s="850"/>
      <c r="BV21" s="851">
        <f t="shared" si="18"/>
        <v>0</v>
      </c>
      <c r="BW21" s="156">
        <f t="shared" si="19"/>
        <v>0</v>
      </c>
      <c r="BX21" s="156">
        <f t="shared" si="20"/>
        <v>0</v>
      </c>
      <c r="BY21" s="522">
        <f t="shared" si="5"/>
        <v>1</v>
      </c>
      <c r="BZ21" s="852">
        <f>LOOKUP(BY21,参数表!$A$13:$B$19)</f>
        <v>0</v>
      </c>
      <c r="CA21" s="156">
        <f t="shared" si="21"/>
        <v>0</v>
      </c>
      <c r="CB21" s="156">
        <f t="shared" si="22"/>
        <v>0</v>
      </c>
      <c r="CC21" s="522">
        <f t="shared" si="6"/>
        <v>125.582477754962</v>
      </c>
      <c r="CD21" s="676"/>
      <c r="CE21" s="853">
        <f t="shared" si="23"/>
        <v>0</v>
      </c>
      <c r="CF21" s="853">
        <f t="shared" si="24"/>
        <v>0</v>
      </c>
      <c r="CG21" s="853">
        <f t="shared" si="7"/>
        <v>0</v>
      </c>
      <c r="CI21" s="134" t="str">
        <f>IF(COUNTIF(CI$7:CI20,C21)&gt;0,"",C21)&amp;""</f>
        <v/>
      </c>
      <c r="CJ21" s="138">
        <f t="shared" si="25"/>
        <v>0</v>
      </c>
      <c r="CK21" s="132">
        <f t="shared" si="26"/>
        <v>1</v>
      </c>
      <c r="CL21" s="138">
        <f t="shared" si="27"/>
        <v>0</v>
      </c>
      <c r="CM21" s="132">
        <f t="shared" si="28"/>
        <v>1</v>
      </c>
      <c r="CN21" s="133"/>
      <c r="CO21" s="133"/>
    </row>
    <row r="22" ht="15" customHeight="1" spans="1:94">
      <c r="A22" s="123" t="str">
        <f>IF(C22="","",COUNT(A$7:A21)+1)</f>
        <v/>
      </c>
      <c r="B22" s="141"/>
      <c r="C22" s="139"/>
      <c r="D22" s="139"/>
      <c r="E22" s="139"/>
      <c r="F22" s="141"/>
      <c r="G22" s="141"/>
      <c r="H22" s="141"/>
      <c r="I22" s="535"/>
      <c r="J22" s="141"/>
      <c r="K22" s="536"/>
      <c r="L22" s="141"/>
      <c r="M22" s="141"/>
      <c r="N22" s="141"/>
      <c r="O22" s="140"/>
      <c r="P22" s="142"/>
      <c r="Q22" s="127" t="str">
        <f>IFERROR(VLOOKUP(P22,参数表!$H$2:$I$50,2,FALSE),"")</f>
        <v/>
      </c>
      <c r="R22" s="128" t="str">
        <f t="shared" si="9"/>
        <v/>
      </c>
      <c r="S22" s="128" t="str">
        <f t="shared" si="10"/>
        <v/>
      </c>
      <c r="T22" s="129" t="str">
        <f t="shared" si="11"/>
        <v/>
      </c>
      <c r="U22" s="143"/>
      <c r="V22" s="143"/>
      <c r="W22" s="143"/>
      <c r="X22" s="143"/>
      <c r="Y22" s="143"/>
      <c r="Z22" s="143"/>
      <c r="AA22" s="129" t="str">
        <f t="shared" si="12"/>
        <v/>
      </c>
      <c r="AB22" s="129" t="str">
        <f t="shared" si="13"/>
        <v/>
      </c>
      <c r="AC22" s="129" t="str">
        <f t="shared" si="14"/>
        <v/>
      </c>
      <c r="AD22" s="129" t="str">
        <f t="shared" si="0"/>
        <v/>
      </c>
      <c r="AE22" s="521" t="str">
        <f t="shared" si="1"/>
        <v/>
      </c>
      <c r="AF22" s="129" t="str">
        <f t="shared" si="15"/>
        <v/>
      </c>
      <c r="AG22" s="129" t="str">
        <f t="shared" si="16"/>
        <v/>
      </c>
      <c r="AH22" s="145"/>
      <c r="BA22" s="78"/>
      <c r="BB22" s="132" t="s">
        <v>3923</v>
      </c>
      <c r="BC22" s="133"/>
      <c r="BD22" s="132" t="str">
        <f>IF(OR(C22="",BC22=""),"",COUNTIF(BC$8:BC22,"√"))</f>
        <v/>
      </c>
      <c r="BE22" s="134" t="str">
        <f t="shared" si="2"/>
        <v/>
      </c>
      <c r="BF22" s="135" t="str">
        <f t="shared" si="17"/>
        <v/>
      </c>
      <c r="BG22" s="135" t="str">
        <f t="shared" si="17"/>
        <v/>
      </c>
      <c r="BH22" s="136"/>
      <c r="BI22" s="136"/>
      <c r="BJ22" s="136"/>
      <c r="BK22" s="136"/>
      <c r="BL22" s="136"/>
      <c r="BM22" s="137"/>
      <c r="BN22" s="136"/>
      <c r="BO22" s="137"/>
      <c r="BP22" s="165" t="s">
        <v>2706</v>
      </c>
      <c r="BQ22" s="676"/>
      <c r="BR22" s="522">
        <f t="shared" si="3"/>
        <v>0</v>
      </c>
      <c r="BS22" s="522">
        <f t="shared" si="4"/>
        <v>0</v>
      </c>
      <c r="BT22" s="850"/>
      <c r="BU22" s="850"/>
      <c r="BV22" s="851">
        <f t="shared" si="18"/>
        <v>0</v>
      </c>
      <c r="BW22" s="156">
        <f t="shared" si="19"/>
        <v>0</v>
      </c>
      <c r="BX22" s="156">
        <f t="shared" si="20"/>
        <v>0</v>
      </c>
      <c r="BY22" s="522">
        <f t="shared" si="5"/>
        <v>1</v>
      </c>
      <c r="BZ22" s="852">
        <f>LOOKUP(BY22,参数表!$A$13:$B$19)</f>
        <v>0</v>
      </c>
      <c r="CA22" s="156">
        <f t="shared" si="21"/>
        <v>0</v>
      </c>
      <c r="CB22" s="156">
        <f t="shared" si="22"/>
        <v>0</v>
      </c>
      <c r="CC22" s="522">
        <f t="shared" si="6"/>
        <v>125.582477754962</v>
      </c>
      <c r="CD22" s="676"/>
      <c r="CE22" s="853">
        <f t="shared" si="23"/>
        <v>0</v>
      </c>
      <c r="CF22" s="853">
        <f t="shared" si="24"/>
        <v>0</v>
      </c>
      <c r="CG22" s="853">
        <f t="shared" si="7"/>
        <v>0</v>
      </c>
      <c r="CI22" s="134" t="str">
        <f>IF(COUNTIF(CI$7:CI21,C22)&gt;0,"",C22)&amp;""</f>
        <v/>
      </c>
      <c r="CJ22" s="138">
        <f t="shared" si="25"/>
        <v>0</v>
      </c>
      <c r="CK22" s="132">
        <f t="shared" si="26"/>
        <v>1</v>
      </c>
      <c r="CL22" s="138">
        <f t="shared" si="27"/>
        <v>0</v>
      </c>
      <c r="CM22" s="132">
        <f t="shared" si="28"/>
        <v>1</v>
      </c>
      <c r="CN22" s="133"/>
      <c r="CO22" s="133"/>
    </row>
    <row r="23" ht="15" customHeight="1" spans="1:94">
      <c r="A23" s="123" t="str">
        <f>IF(C23="","",COUNT(A$7:A22)+1)</f>
        <v/>
      </c>
      <c r="B23" s="141"/>
      <c r="C23" s="139"/>
      <c r="D23" s="139"/>
      <c r="E23" s="139"/>
      <c r="F23" s="141"/>
      <c r="G23" s="141"/>
      <c r="H23" s="141"/>
      <c r="I23" s="535"/>
      <c r="J23" s="141"/>
      <c r="K23" s="536"/>
      <c r="L23" s="141"/>
      <c r="M23" s="141"/>
      <c r="N23" s="141"/>
      <c r="O23" s="140"/>
      <c r="P23" s="142"/>
      <c r="Q23" s="127" t="str">
        <f>IFERROR(VLOOKUP(P23,参数表!$H$2:$I$50,2,FALSE),"")</f>
        <v/>
      </c>
      <c r="R23" s="128" t="str">
        <f t="shared" si="9"/>
        <v/>
      </c>
      <c r="S23" s="128" t="str">
        <f t="shared" si="10"/>
        <v/>
      </c>
      <c r="T23" s="129" t="str">
        <f t="shared" si="11"/>
        <v/>
      </c>
      <c r="U23" s="143"/>
      <c r="V23" s="143"/>
      <c r="W23" s="143"/>
      <c r="X23" s="143"/>
      <c r="Y23" s="143"/>
      <c r="Z23" s="143"/>
      <c r="AA23" s="129" t="str">
        <f t="shared" si="12"/>
        <v/>
      </c>
      <c r="AB23" s="129" t="str">
        <f t="shared" si="13"/>
        <v/>
      </c>
      <c r="AC23" s="129" t="str">
        <f t="shared" si="14"/>
        <v/>
      </c>
      <c r="AD23" s="129" t="str">
        <f t="shared" si="0"/>
        <v/>
      </c>
      <c r="AE23" s="521" t="str">
        <f t="shared" si="1"/>
        <v/>
      </c>
      <c r="AF23" s="129" t="str">
        <f t="shared" si="15"/>
        <v/>
      </c>
      <c r="AG23" s="129" t="str">
        <f t="shared" si="16"/>
        <v/>
      </c>
      <c r="AH23" s="145"/>
      <c r="BA23" s="78"/>
      <c r="BB23" s="132" t="s">
        <v>3924</v>
      </c>
      <c r="BC23" s="133"/>
      <c r="BD23" s="132" t="str">
        <f>IF(OR(C23="",BC23=""),"",COUNTIF(BC$8:BC23,"√"))</f>
        <v/>
      </c>
      <c r="BE23" s="134" t="str">
        <f t="shared" si="2"/>
        <v/>
      </c>
      <c r="BF23" s="135" t="str">
        <f t="shared" si="17"/>
        <v/>
      </c>
      <c r="BG23" s="135" t="str">
        <f t="shared" si="17"/>
        <v/>
      </c>
      <c r="BH23" s="136"/>
      <c r="BI23" s="136"/>
      <c r="BJ23" s="136"/>
      <c r="BK23" s="136"/>
      <c r="BL23" s="136"/>
      <c r="BM23" s="137"/>
      <c r="BN23" s="136"/>
      <c r="BO23" s="137"/>
      <c r="BP23" s="165" t="s">
        <v>2706</v>
      </c>
      <c r="BQ23" s="676"/>
      <c r="BR23" s="522">
        <f t="shared" si="3"/>
        <v>0</v>
      </c>
      <c r="BS23" s="522">
        <f t="shared" si="4"/>
        <v>0</v>
      </c>
      <c r="BT23" s="850"/>
      <c r="BU23" s="850"/>
      <c r="BV23" s="851">
        <f t="shared" si="18"/>
        <v>0</v>
      </c>
      <c r="BW23" s="156">
        <f t="shared" si="19"/>
        <v>0</v>
      </c>
      <c r="BX23" s="156">
        <f t="shared" si="20"/>
        <v>0</v>
      </c>
      <c r="BY23" s="522">
        <f t="shared" si="5"/>
        <v>1</v>
      </c>
      <c r="BZ23" s="852">
        <f>LOOKUP(BY23,参数表!$A$13:$B$19)</f>
        <v>0</v>
      </c>
      <c r="CA23" s="156">
        <f t="shared" si="21"/>
        <v>0</v>
      </c>
      <c r="CB23" s="156">
        <f t="shared" si="22"/>
        <v>0</v>
      </c>
      <c r="CC23" s="522">
        <f t="shared" si="6"/>
        <v>125.582477754962</v>
      </c>
      <c r="CD23" s="676"/>
      <c r="CE23" s="853">
        <f t="shared" si="23"/>
        <v>0</v>
      </c>
      <c r="CF23" s="853">
        <f t="shared" si="24"/>
        <v>0</v>
      </c>
      <c r="CG23" s="853">
        <f t="shared" si="7"/>
        <v>0</v>
      </c>
      <c r="CI23" s="134" t="str">
        <f>IF(COUNTIF(CI$7:CI22,C23)&gt;0,"",C23)&amp;""</f>
        <v/>
      </c>
      <c r="CJ23" s="138">
        <f t="shared" si="25"/>
        <v>0</v>
      </c>
      <c r="CK23" s="132">
        <f t="shared" si="26"/>
        <v>1</v>
      </c>
      <c r="CL23" s="138">
        <f t="shared" si="27"/>
        <v>0</v>
      </c>
      <c r="CM23" s="132">
        <f t="shared" si="28"/>
        <v>1</v>
      </c>
      <c r="CN23" s="133"/>
      <c r="CO23" s="133"/>
    </row>
    <row r="24" ht="15" customHeight="1" spans="1:94">
      <c r="A24" s="123" t="str">
        <f>IF(C24="","",COUNT(A$7:A23)+1)</f>
        <v/>
      </c>
      <c r="B24" s="141"/>
      <c r="C24" s="139"/>
      <c r="D24" s="139"/>
      <c r="E24" s="139"/>
      <c r="F24" s="141"/>
      <c r="G24" s="141"/>
      <c r="H24" s="141"/>
      <c r="I24" s="535"/>
      <c r="J24" s="141"/>
      <c r="K24" s="536"/>
      <c r="L24" s="141"/>
      <c r="M24" s="141"/>
      <c r="N24" s="141"/>
      <c r="O24" s="140"/>
      <c r="P24" s="142"/>
      <c r="Q24" s="127" t="str">
        <f>IFERROR(VLOOKUP(P24,参数表!$H$2:$I$50,2,FALSE),"")</f>
        <v/>
      </c>
      <c r="R24" s="128" t="str">
        <f t="shared" si="9"/>
        <v/>
      </c>
      <c r="S24" s="128" t="str">
        <f t="shared" si="10"/>
        <v/>
      </c>
      <c r="T24" s="129" t="str">
        <f t="shared" si="11"/>
        <v/>
      </c>
      <c r="U24" s="143"/>
      <c r="V24" s="143"/>
      <c r="W24" s="143"/>
      <c r="X24" s="143"/>
      <c r="Y24" s="143"/>
      <c r="Z24" s="143"/>
      <c r="AA24" s="129" t="str">
        <f t="shared" si="12"/>
        <v/>
      </c>
      <c r="AB24" s="129" t="str">
        <f t="shared" si="13"/>
        <v/>
      </c>
      <c r="AC24" s="129" t="str">
        <f t="shared" si="14"/>
        <v/>
      </c>
      <c r="AD24" s="129" t="str">
        <f t="shared" si="0"/>
        <v/>
      </c>
      <c r="AE24" s="521" t="str">
        <f t="shared" si="1"/>
        <v/>
      </c>
      <c r="AF24" s="129" t="str">
        <f t="shared" si="15"/>
        <v/>
      </c>
      <c r="AG24" s="129" t="str">
        <f t="shared" si="16"/>
        <v/>
      </c>
      <c r="AH24" s="145"/>
      <c r="BA24" s="78"/>
      <c r="BB24" s="132" t="s">
        <v>3925</v>
      </c>
      <c r="BC24" s="133"/>
      <c r="BD24" s="132" t="str">
        <f>IF(OR(C24="",BC24=""),"",COUNTIF(BC$8:BC24,"√"))</f>
        <v/>
      </c>
      <c r="BE24" s="134" t="str">
        <f t="shared" si="2"/>
        <v/>
      </c>
      <c r="BF24" s="135" t="str">
        <f t="shared" si="17"/>
        <v/>
      </c>
      <c r="BG24" s="135" t="str">
        <f t="shared" si="17"/>
        <v/>
      </c>
      <c r="BH24" s="136"/>
      <c r="BI24" s="136"/>
      <c r="BJ24" s="136"/>
      <c r="BK24" s="136"/>
      <c r="BL24" s="136"/>
      <c r="BM24" s="137"/>
      <c r="BN24" s="136"/>
      <c r="BO24" s="137"/>
      <c r="BP24" s="165" t="s">
        <v>2706</v>
      </c>
      <c r="BQ24" s="676"/>
      <c r="BR24" s="522">
        <f t="shared" si="3"/>
        <v>0</v>
      </c>
      <c r="BS24" s="522">
        <f t="shared" si="4"/>
        <v>0</v>
      </c>
      <c r="BT24" s="850"/>
      <c r="BU24" s="850"/>
      <c r="BV24" s="851">
        <f t="shared" si="18"/>
        <v>0</v>
      </c>
      <c r="BW24" s="156">
        <f t="shared" si="19"/>
        <v>0</v>
      </c>
      <c r="BX24" s="156">
        <f t="shared" si="20"/>
        <v>0</v>
      </c>
      <c r="BY24" s="522">
        <f t="shared" si="5"/>
        <v>1</v>
      </c>
      <c r="BZ24" s="852">
        <f>LOOKUP(BY24,参数表!$A$13:$B$19)</f>
        <v>0</v>
      </c>
      <c r="CA24" s="156">
        <f t="shared" si="21"/>
        <v>0</v>
      </c>
      <c r="CB24" s="156">
        <f t="shared" si="22"/>
        <v>0</v>
      </c>
      <c r="CC24" s="522">
        <f t="shared" si="6"/>
        <v>125.582477754962</v>
      </c>
      <c r="CD24" s="676"/>
      <c r="CE24" s="853">
        <f t="shared" si="23"/>
        <v>0</v>
      </c>
      <c r="CF24" s="853">
        <f t="shared" si="24"/>
        <v>0</v>
      </c>
      <c r="CG24" s="853">
        <f t="shared" si="7"/>
        <v>0</v>
      </c>
      <c r="CI24" s="134" t="str">
        <f>IF(COUNTIF(CI$7:CI23,C24)&gt;0,"",C24)&amp;""</f>
        <v/>
      </c>
      <c r="CJ24" s="138">
        <f t="shared" si="25"/>
        <v>0</v>
      </c>
      <c r="CK24" s="132">
        <f t="shared" si="26"/>
        <v>1</v>
      </c>
      <c r="CL24" s="138">
        <f t="shared" si="27"/>
        <v>0</v>
      </c>
      <c r="CM24" s="132">
        <f t="shared" si="28"/>
        <v>1</v>
      </c>
      <c r="CN24" s="133"/>
      <c r="CO24" s="133"/>
    </row>
    <row r="25" ht="15" customHeight="1" spans="1:94">
      <c r="A25" s="123" t="str">
        <f>IF(C25="","",COUNT(A$7:A24)+1)</f>
        <v/>
      </c>
      <c r="B25" s="141"/>
      <c r="C25" s="139"/>
      <c r="D25" s="139"/>
      <c r="E25" s="139"/>
      <c r="F25" s="141"/>
      <c r="G25" s="141"/>
      <c r="H25" s="141"/>
      <c r="I25" s="535"/>
      <c r="J25" s="141"/>
      <c r="K25" s="536"/>
      <c r="L25" s="141"/>
      <c r="M25" s="141"/>
      <c r="N25" s="141"/>
      <c r="O25" s="140"/>
      <c r="P25" s="142"/>
      <c r="Q25" s="127" t="str">
        <f>IFERROR(VLOOKUP(P25,参数表!$H$2:$I$50,2,FALSE),"")</f>
        <v/>
      </c>
      <c r="R25" s="128" t="str">
        <f t="shared" si="9"/>
        <v/>
      </c>
      <c r="S25" s="128" t="str">
        <f t="shared" si="10"/>
        <v/>
      </c>
      <c r="T25" s="129" t="str">
        <f t="shared" si="11"/>
        <v/>
      </c>
      <c r="U25" s="143"/>
      <c r="V25" s="143"/>
      <c r="W25" s="143"/>
      <c r="X25" s="143"/>
      <c r="Y25" s="143"/>
      <c r="Z25" s="143"/>
      <c r="AA25" s="129" t="str">
        <f t="shared" si="12"/>
        <v/>
      </c>
      <c r="AB25" s="129" t="str">
        <f t="shared" si="13"/>
        <v/>
      </c>
      <c r="AC25" s="129" t="str">
        <f t="shared" si="14"/>
        <v/>
      </c>
      <c r="AD25" s="129" t="str">
        <f t="shared" si="0"/>
        <v/>
      </c>
      <c r="AE25" s="521" t="str">
        <f t="shared" si="1"/>
        <v/>
      </c>
      <c r="AF25" s="129" t="str">
        <f t="shared" si="15"/>
        <v/>
      </c>
      <c r="AG25" s="129" t="str">
        <f t="shared" si="16"/>
        <v/>
      </c>
      <c r="AH25" s="145"/>
      <c r="BA25" s="78"/>
      <c r="BB25" s="132" t="s">
        <v>3926</v>
      </c>
      <c r="BC25" s="133"/>
      <c r="BD25" s="132" t="str">
        <f>IF(OR(C25="",BC25=""),"",COUNTIF(BC$8:BC25,"√"))</f>
        <v/>
      </c>
      <c r="BE25" s="134" t="str">
        <f t="shared" si="2"/>
        <v/>
      </c>
      <c r="BF25" s="135" t="str">
        <f t="shared" si="17"/>
        <v/>
      </c>
      <c r="BG25" s="135" t="str">
        <f t="shared" si="17"/>
        <v/>
      </c>
      <c r="BH25" s="136"/>
      <c r="BI25" s="136"/>
      <c r="BJ25" s="136"/>
      <c r="BK25" s="136"/>
      <c r="BL25" s="136"/>
      <c r="BM25" s="137"/>
      <c r="BN25" s="136"/>
      <c r="BO25" s="137"/>
      <c r="BP25" s="165" t="s">
        <v>2706</v>
      </c>
      <c r="BQ25" s="676"/>
      <c r="BR25" s="522">
        <f t="shared" si="3"/>
        <v>0</v>
      </c>
      <c r="BS25" s="522">
        <f t="shared" si="4"/>
        <v>0</v>
      </c>
      <c r="BT25" s="850"/>
      <c r="BU25" s="850"/>
      <c r="BV25" s="851">
        <f t="shared" si="18"/>
        <v>0</v>
      </c>
      <c r="BW25" s="156">
        <f t="shared" si="19"/>
        <v>0</v>
      </c>
      <c r="BX25" s="156">
        <f t="shared" si="20"/>
        <v>0</v>
      </c>
      <c r="BY25" s="522">
        <f t="shared" si="5"/>
        <v>1</v>
      </c>
      <c r="BZ25" s="852">
        <f>LOOKUP(BY25,参数表!$A$13:$B$19)</f>
        <v>0</v>
      </c>
      <c r="CA25" s="156">
        <f t="shared" si="21"/>
        <v>0</v>
      </c>
      <c r="CB25" s="156">
        <f t="shared" si="22"/>
        <v>0</v>
      </c>
      <c r="CC25" s="522">
        <f t="shared" si="6"/>
        <v>125.582477754962</v>
      </c>
      <c r="CD25" s="676"/>
      <c r="CE25" s="853">
        <f t="shared" si="23"/>
        <v>0</v>
      </c>
      <c r="CF25" s="853">
        <f t="shared" si="24"/>
        <v>0</v>
      </c>
      <c r="CG25" s="853">
        <f t="shared" si="7"/>
        <v>0</v>
      </c>
      <c r="CI25" s="134" t="str">
        <f>IF(COUNTIF(CI$7:CI24,C25)&gt;0,"",C25)&amp;""</f>
        <v/>
      </c>
      <c r="CJ25" s="138">
        <f t="shared" si="25"/>
        <v>0</v>
      </c>
      <c r="CK25" s="132">
        <f t="shared" si="26"/>
        <v>1</v>
      </c>
      <c r="CL25" s="138">
        <f t="shared" si="27"/>
        <v>0</v>
      </c>
      <c r="CM25" s="132">
        <f t="shared" si="28"/>
        <v>1</v>
      </c>
      <c r="CN25" s="133"/>
      <c r="CO25" s="133"/>
    </row>
    <row r="26" ht="15" customHeight="1" spans="1:94">
      <c r="A26" s="123" t="str">
        <f>IF(C26="","",COUNT(A$7:A25)+1)</f>
        <v/>
      </c>
      <c r="B26" s="141"/>
      <c r="C26" s="139"/>
      <c r="D26" s="139"/>
      <c r="E26" s="139"/>
      <c r="F26" s="141"/>
      <c r="G26" s="141"/>
      <c r="H26" s="141"/>
      <c r="I26" s="535"/>
      <c r="J26" s="141"/>
      <c r="K26" s="536"/>
      <c r="L26" s="141"/>
      <c r="M26" s="141"/>
      <c r="N26" s="141"/>
      <c r="O26" s="140"/>
      <c r="P26" s="142"/>
      <c r="Q26" s="127" t="str">
        <f>IFERROR(VLOOKUP(P26,参数表!$H$2:$I$50,2,FALSE),"")</f>
        <v/>
      </c>
      <c r="R26" s="128" t="str">
        <f t="shared" si="9"/>
        <v/>
      </c>
      <c r="S26" s="128" t="str">
        <f t="shared" si="10"/>
        <v/>
      </c>
      <c r="T26" s="129" t="str">
        <f t="shared" si="11"/>
        <v/>
      </c>
      <c r="U26" s="143"/>
      <c r="V26" s="143"/>
      <c r="W26" s="143"/>
      <c r="X26" s="143"/>
      <c r="Y26" s="143"/>
      <c r="Z26" s="143"/>
      <c r="AA26" s="129" t="str">
        <f t="shared" si="12"/>
        <v/>
      </c>
      <c r="AB26" s="129" t="str">
        <f t="shared" si="13"/>
        <v/>
      </c>
      <c r="AC26" s="129" t="str">
        <f t="shared" si="14"/>
        <v/>
      </c>
      <c r="AD26" s="129" t="str">
        <f t="shared" si="0"/>
        <v/>
      </c>
      <c r="AE26" s="521" t="str">
        <f t="shared" si="1"/>
        <v/>
      </c>
      <c r="AF26" s="129" t="str">
        <f t="shared" si="15"/>
        <v/>
      </c>
      <c r="AG26" s="129" t="str">
        <f t="shared" si="16"/>
        <v/>
      </c>
      <c r="AH26" s="145"/>
      <c r="BA26" s="78"/>
      <c r="BB26" s="132" t="s">
        <v>3927</v>
      </c>
      <c r="BC26" s="133"/>
      <c r="BD26" s="132" t="str">
        <f>IF(OR(C26="",BC26=""),"",COUNTIF(BC$8:BC26,"√"))</f>
        <v/>
      </c>
      <c r="BE26" s="134" t="str">
        <f t="shared" si="2"/>
        <v/>
      </c>
      <c r="BF26" s="135" t="str">
        <f t="shared" si="17"/>
        <v/>
      </c>
      <c r="BG26" s="135" t="str">
        <f t="shared" si="17"/>
        <v/>
      </c>
      <c r="BH26" s="136"/>
      <c r="BI26" s="136"/>
      <c r="BJ26" s="136"/>
      <c r="BK26" s="136"/>
      <c r="BL26" s="136"/>
      <c r="BM26" s="137"/>
      <c r="BN26" s="136"/>
      <c r="BO26" s="137"/>
      <c r="BP26" s="165" t="s">
        <v>2706</v>
      </c>
      <c r="BQ26" s="676"/>
      <c r="BR26" s="522">
        <f t="shared" si="3"/>
        <v>0</v>
      </c>
      <c r="BS26" s="522">
        <f t="shared" si="4"/>
        <v>0</v>
      </c>
      <c r="BT26" s="850"/>
      <c r="BU26" s="850"/>
      <c r="BV26" s="851">
        <f t="shared" si="18"/>
        <v>0</v>
      </c>
      <c r="BW26" s="156">
        <f t="shared" si="19"/>
        <v>0</v>
      </c>
      <c r="BX26" s="156">
        <f t="shared" si="20"/>
        <v>0</v>
      </c>
      <c r="BY26" s="522">
        <f t="shared" si="5"/>
        <v>1</v>
      </c>
      <c r="BZ26" s="852">
        <f>LOOKUP(BY26,参数表!$A$13:$B$19)</f>
        <v>0</v>
      </c>
      <c r="CA26" s="156">
        <f t="shared" si="21"/>
        <v>0</v>
      </c>
      <c r="CB26" s="156">
        <f t="shared" si="22"/>
        <v>0</v>
      </c>
      <c r="CC26" s="522">
        <f t="shared" si="6"/>
        <v>125.582477754962</v>
      </c>
      <c r="CD26" s="676"/>
      <c r="CE26" s="853">
        <f t="shared" si="23"/>
        <v>0</v>
      </c>
      <c r="CF26" s="853">
        <f t="shared" si="24"/>
        <v>0</v>
      </c>
      <c r="CG26" s="853">
        <f t="shared" si="7"/>
        <v>0</v>
      </c>
      <c r="CI26" s="134" t="str">
        <f>IF(COUNTIF(CI$7:CI25,C26)&gt;0,"",C26)&amp;""</f>
        <v/>
      </c>
      <c r="CJ26" s="138">
        <f t="shared" si="25"/>
        <v>0</v>
      </c>
      <c r="CK26" s="132">
        <f t="shared" si="26"/>
        <v>1</v>
      </c>
      <c r="CL26" s="138">
        <f t="shared" si="27"/>
        <v>0</v>
      </c>
      <c r="CM26" s="132">
        <f t="shared" si="28"/>
        <v>1</v>
      </c>
      <c r="CN26" s="133"/>
      <c r="CO26" s="133"/>
    </row>
    <row r="27" ht="15" customHeight="1" spans="1:94">
      <c r="A27" s="123" t="str">
        <f>IF(C27="","",COUNT(A$7:A26)+1)</f>
        <v/>
      </c>
      <c r="B27" s="123"/>
      <c r="C27" s="124"/>
      <c r="D27" s="124"/>
      <c r="E27" s="124"/>
      <c r="F27" s="126"/>
      <c r="G27" s="126"/>
      <c r="H27" s="126"/>
      <c r="I27" s="124"/>
      <c r="J27" s="126"/>
      <c r="K27" s="533"/>
      <c r="L27" s="126"/>
      <c r="M27" s="126"/>
      <c r="N27" s="126"/>
      <c r="O27" s="125"/>
      <c r="P27" s="127"/>
      <c r="Q27" s="127" t="str">
        <f>IFERROR(VLOOKUP(P27,参数表!$H$2:$I$50,2,FALSE),"")</f>
        <v/>
      </c>
      <c r="R27" s="128" t="str">
        <f t="shared" si="9"/>
        <v/>
      </c>
      <c r="S27" s="128" t="str">
        <f t="shared" si="10"/>
        <v/>
      </c>
      <c r="T27" s="129" t="str">
        <f t="shared" si="11"/>
        <v/>
      </c>
      <c r="U27" s="129"/>
      <c r="V27" s="129"/>
      <c r="W27" s="129"/>
      <c r="X27" s="129"/>
      <c r="Y27" s="129"/>
      <c r="Z27" s="129"/>
      <c r="AA27" s="129" t="str">
        <f t="shared" si="12"/>
        <v/>
      </c>
      <c r="AB27" s="129" t="str">
        <f t="shared" si="13"/>
        <v/>
      </c>
      <c r="AC27" s="129" t="str">
        <f t="shared" si="14"/>
        <v/>
      </c>
      <c r="AD27" s="129" t="str">
        <f t="shared" si="0"/>
        <v/>
      </c>
      <c r="AE27" s="521" t="str">
        <f t="shared" si="1"/>
        <v/>
      </c>
      <c r="AF27" s="129" t="str">
        <f t="shared" si="15"/>
        <v/>
      </c>
      <c r="AG27" s="129" t="str">
        <f t="shared" si="16"/>
        <v/>
      </c>
      <c r="AH27" s="131"/>
      <c r="BA27" s="78"/>
      <c r="BB27" s="132" t="s">
        <v>3928</v>
      </c>
      <c r="BC27" s="133"/>
      <c r="BD27" s="132" t="str">
        <f>IF(OR(C27="",BC27=""),"",COUNTIF(BC$8:BC27,"√"))</f>
        <v/>
      </c>
      <c r="BE27" s="134" t="str">
        <f t="shared" si="2"/>
        <v/>
      </c>
      <c r="BF27" s="135" t="str">
        <f t="shared" si="17"/>
        <v/>
      </c>
      <c r="BG27" s="135" t="str">
        <f t="shared" si="17"/>
        <v/>
      </c>
      <c r="BH27" s="136"/>
      <c r="BI27" s="136"/>
      <c r="BJ27" s="136"/>
      <c r="BK27" s="136"/>
      <c r="BL27" s="136"/>
      <c r="BM27" s="137"/>
      <c r="BN27" s="136"/>
      <c r="BO27" s="137"/>
      <c r="BP27" s="165" t="s">
        <v>2706</v>
      </c>
      <c r="BQ27" s="676"/>
      <c r="BR27" s="522">
        <f t="shared" si="3"/>
        <v>0</v>
      </c>
      <c r="BS27" s="522">
        <f t="shared" si="4"/>
        <v>0</v>
      </c>
      <c r="BT27" s="850"/>
      <c r="BU27" s="850"/>
      <c r="BV27" s="851">
        <f t="shared" si="18"/>
        <v>0</v>
      </c>
      <c r="BW27" s="156">
        <f t="shared" si="19"/>
        <v>0</v>
      </c>
      <c r="BX27" s="156">
        <f t="shared" si="20"/>
        <v>0</v>
      </c>
      <c r="BY27" s="522">
        <f t="shared" si="5"/>
        <v>1</v>
      </c>
      <c r="BZ27" s="852">
        <f>LOOKUP(BY27,参数表!$A$13:$B$19)</f>
        <v>0</v>
      </c>
      <c r="CA27" s="522">
        <f>(BR27+BW27)*BY27*BZ27/2</f>
        <v>0</v>
      </c>
      <c r="CB27" s="522">
        <f>ROUND(SUM(BR27,BX27,CA27)-BS27,-2)</f>
        <v>0</v>
      </c>
      <c r="CC27" s="522">
        <f t="shared" si="6"/>
        <v>125.582477754962</v>
      </c>
      <c r="CD27" s="676"/>
      <c r="CE27" s="853">
        <f t="shared" si="23"/>
        <v>0</v>
      </c>
      <c r="CF27" s="853">
        <f t="shared" si="24"/>
        <v>0</v>
      </c>
      <c r="CG27" s="853">
        <f t="shared" si="7"/>
        <v>0</v>
      </c>
      <c r="CI27" s="134" t="str">
        <f>IF(COUNTIF(CI$7:CI26,C27)&gt;0,"",C27)&amp;""</f>
        <v/>
      </c>
      <c r="CJ27" s="138">
        <f t="shared" si="25"/>
        <v>0</v>
      </c>
      <c r="CK27" s="132">
        <f t="shared" si="26"/>
        <v>1</v>
      </c>
      <c r="CL27" s="138">
        <f t="shared" si="27"/>
        <v>0</v>
      </c>
      <c r="CM27" s="132">
        <f t="shared" si="28"/>
        <v>1</v>
      </c>
      <c r="CN27" s="133"/>
      <c r="CO27" s="133"/>
    </row>
    <row r="28" s="73" customFormat="1" ht="15" customHeight="1" spans="1:94">
      <c r="A28" s="221" t="s">
        <v>1954</v>
      </c>
      <c r="B28" s="221"/>
      <c r="C28" s="493"/>
      <c r="D28" s="493"/>
      <c r="E28" s="493"/>
      <c r="F28" s="493"/>
      <c r="G28" s="149"/>
      <c r="H28" s="149"/>
      <c r="I28" s="221"/>
      <c r="J28" s="149"/>
      <c r="K28" s="149"/>
      <c r="L28" s="149"/>
      <c r="M28" s="149"/>
      <c r="N28" s="149"/>
      <c r="O28" s="356"/>
      <c r="P28" s="152"/>
      <c r="Q28" s="152"/>
      <c r="R28" s="152"/>
      <c r="S28" s="152"/>
      <c r="T28" s="152"/>
      <c r="U28" s="152">
        <f>SUM(U8:U27)</f>
        <v>0</v>
      </c>
      <c r="V28" s="152">
        <f>SUM(V8:V27)</f>
        <v>0</v>
      </c>
      <c r="W28" s="152">
        <f>SUM(W8:W27)</f>
        <v>0</v>
      </c>
      <c r="X28" s="152"/>
      <c r="Y28" s="152"/>
      <c r="Z28" s="152"/>
      <c r="AA28" s="152">
        <f>SUM(AA8:AA27)</f>
        <v>0</v>
      </c>
      <c r="AB28" s="152">
        <f>SUM(AB8:AB27)</f>
        <v>0</v>
      </c>
      <c r="AC28" s="152">
        <f>SUM(AC8:AC27)</f>
        <v>0</v>
      </c>
      <c r="AD28" s="152">
        <f>SUM(AD8:AD27)</f>
        <v>0</v>
      </c>
      <c r="AE28" s="525"/>
      <c r="AF28" s="152">
        <f>SUM(AF8:AF27)</f>
        <v>0</v>
      </c>
      <c r="AG28" s="152" t="str">
        <f t="shared" si="16"/>
        <v/>
      </c>
      <c r="AH28" s="151"/>
      <c r="BH28" s="72"/>
      <c r="BI28" s="72"/>
      <c r="BJ28" s="72"/>
      <c r="BK28" s="72"/>
      <c r="BL28" s="72"/>
      <c r="BN28" s="72"/>
      <c r="BQ28" s="247"/>
      <c r="BR28" s="247"/>
      <c r="BS28" s="247"/>
      <c r="BT28" s="247"/>
      <c r="BU28" s="247"/>
      <c r="BV28" s="247"/>
      <c r="BW28" s="247"/>
      <c r="BX28" s="247"/>
      <c r="BY28" s="247"/>
      <c r="BZ28" s="247"/>
      <c r="CA28" s="247"/>
      <c r="CB28" s="247"/>
      <c r="CC28" s="247"/>
      <c r="CD28" s="247"/>
      <c r="CE28" s="247"/>
      <c r="CF28" s="247"/>
      <c r="CG28" s="247"/>
      <c r="CH28" s="111"/>
      <c r="CI28" s="119"/>
      <c r="CJ28" s="77"/>
      <c r="CK28" s="77"/>
      <c r="CL28" s="77"/>
      <c r="CM28" s="119"/>
      <c r="CN28" s="119"/>
      <c r="CO28" s="119"/>
      <c r="CP28" s="111"/>
    </row>
    <row r="29" ht="15" customHeight="1" spans="1:94">
      <c r="A29" s="124" t="s">
        <v>3434</v>
      </c>
      <c r="B29" s="124"/>
      <c r="C29" s="124"/>
      <c r="D29" s="124"/>
      <c r="E29" s="124"/>
      <c r="F29" s="124"/>
      <c r="G29" s="775"/>
      <c r="H29" s="126"/>
      <c r="I29" s="124"/>
      <c r="J29" s="126"/>
      <c r="K29" s="126"/>
      <c r="L29" s="126"/>
      <c r="M29" s="126"/>
      <c r="N29" s="126"/>
      <c r="O29" s="125"/>
      <c r="P29" s="129"/>
      <c r="Q29" s="129"/>
      <c r="R29" s="129"/>
      <c r="S29" s="129"/>
      <c r="T29" s="129"/>
      <c r="U29" s="129"/>
      <c r="V29" s="129">
        <f>W28</f>
        <v>0</v>
      </c>
      <c r="W29" s="129"/>
      <c r="X29" s="129"/>
      <c r="Y29" s="129"/>
      <c r="Z29" s="129"/>
      <c r="AA29" s="129"/>
      <c r="AB29" s="129">
        <f>AC28</f>
        <v>0</v>
      </c>
      <c r="AC29" s="129"/>
      <c r="AD29" s="129"/>
      <c r="AE29" s="521"/>
      <c r="AF29" s="129"/>
      <c r="AG29" s="129" t="str">
        <f t="shared" si="16"/>
        <v/>
      </c>
      <c r="AH29" s="131"/>
    </row>
    <row r="30" s="73" customFormat="1" ht="15" customHeight="1" spans="1:94">
      <c r="A30" s="221" t="s">
        <v>1957</v>
      </c>
      <c r="B30" s="221"/>
      <c r="C30" s="221"/>
      <c r="D30" s="221"/>
      <c r="E30" s="221"/>
      <c r="F30" s="221"/>
      <c r="G30" s="149"/>
      <c r="H30" s="149"/>
      <c r="I30" s="149"/>
      <c r="J30" s="149"/>
      <c r="K30" s="149"/>
      <c r="L30" s="149"/>
      <c r="M30" s="149"/>
      <c r="N30" s="149"/>
      <c r="O30" s="356"/>
      <c r="P30" s="152"/>
      <c r="Q30" s="152"/>
      <c r="R30" s="152"/>
      <c r="S30" s="152"/>
      <c r="T30" s="152"/>
      <c r="U30" s="152">
        <f>U28-U29</f>
        <v>0</v>
      </c>
      <c r="V30" s="152">
        <f>V28-V29</f>
        <v>0</v>
      </c>
      <c r="W30" s="152"/>
      <c r="X30" s="152"/>
      <c r="Y30" s="152"/>
      <c r="Z30" s="152"/>
      <c r="AA30" s="152">
        <f>AA28-AA29</f>
        <v>0</v>
      </c>
      <c r="AB30" s="152">
        <f>AB28-AB29</f>
        <v>0</v>
      </c>
      <c r="AC30" s="152"/>
      <c r="AD30" s="152">
        <f>AD28-AD29</f>
        <v>0</v>
      </c>
      <c r="AE30" s="525"/>
      <c r="AF30" s="152">
        <f>AF28-AF29</f>
        <v>0</v>
      </c>
      <c r="AG30" s="152" t="str">
        <f t="shared" si="16"/>
        <v/>
      </c>
      <c r="AH30" s="151"/>
      <c r="BH30" s="72"/>
      <c r="BI30" s="72"/>
      <c r="BJ30" s="72"/>
      <c r="BK30" s="72"/>
      <c r="BL30" s="72"/>
      <c r="BN30" s="72"/>
      <c r="BQ30" s="247"/>
      <c r="BR30" s="247"/>
      <c r="BS30" s="247"/>
      <c r="BT30" s="247"/>
      <c r="BU30" s="247"/>
      <c r="BV30" s="247"/>
      <c r="BW30" s="247"/>
      <c r="BX30" s="247"/>
      <c r="BY30" s="247"/>
      <c r="BZ30" s="247"/>
      <c r="CA30" s="247"/>
      <c r="CB30" s="247"/>
      <c r="CC30" s="247"/>
      <c r="CD30" s="247"/>
      <c r="CE30" s="247"/>
      <c r="CF30" s="247"/>
      <c r="CG30" s="247"/>
      <c r="CH30" s="77"/>
      <c r="CI30" s="78"/>
      <c r="CJ30" s="77"/>
      <c r="CK30" s="78"/>
      <c r="CL30" s="78"/>
      <c r="CM30" s="78"/>
      <c r="CN30" s="78"/>
      <c r="CO30" s="78"/>
      <c r="CP30" s="77"/>
    </row>
    <row r="31" customHeight="1" spans="1:94">
      <c r="A31" s="102" t="str">
        <f>参数表!F$6</f>
        <v>产权持有单位填表人：贾广东</v>
      </c>
      <c r="B31" s="96"/>
      <c r="C31" s="154"/>
      <c r="D31" s="154"/>
      <c r="E31" s="154"/>
      <c r="F31" s="154"/>
      <c r="G31" s="154"/>
      <c r="H31" s="154"/>
      <c r="I31" s="154"/>
      <c r="J31" s="286"/>
      <c r="K31" s="286"/>
      <c r="L31" s="103"/>
      <c r="M31" s="103"/>
      <c r="N31" s="103"/>
      <c r="O31" s="95"/>
      <c r="P31" s="103"/>
      <c r="Q31" s="103"/>
      <c r="R31" s="103"/>
      <c r="S31" s="103"/>
      <c r="T31" s="103"/>
      <c r="U31" s="103"/>
      <c r="V31" s="103"/>
      <c r="W31" s="103"/>
      <c r="X31" s="103"/>
      <c r="Y31" s="103"/>
      <c r="Z31" s="103"/>
      <c r="AA31" s="103"/>
      <c r="AB31" s="103"/>
      <c r="AC31" s="103"/>
      <c r="AD31" s="156" t="str">
        <f>"评估人员："&amp;封面!$G$24</f>
        <v>评估人员：</v>
      </c>
      <c r="AE31" s="103"/>
      <c r="AF31" s="156"/>
      <c r="AG31" s="103"/>
      <c r="AH31" s="103"/>
    </row>
    <row r="32" customHeight="1" spans="1:94">
      <c r="A32" s="102" t="str">
        <f>参数表!F$7</f>
        <v>填表日期：2025年9月20日</v>
      </c>
      <c r="B32" s="96"/>
      <c r="C32" s="154"/>
      <c r="D32" s="154"/>
      <c r="E32" s="154"/>
      <c r="F32" s="154"/>
      <c r="G32" s="154"/>
      <c r="H32" s="154"/>
      <c r="I32" s="154"/>
      <c r="J32" s="286"/>
      <c r="K32" s="286"/>
      <c r="L32" s="103"/>
      <c r="M32" s="103"/>
      <c r="N32" s="103"/>
      <c r="O32" s="95"/>
      <c r="P32" s="103"/>
      <c r="Q32" s="103"/>
      <c r="R32" s="103"/>
      <c r="S32" s="103"/>
      <c r="T32" s="103"/>
      <c r="U32" s="103"/>
      <c r="V32" s="103"/>
      <c r="W32" s="103"/>
      <c r="X32" s="103"/>
      <c r="Y32" s="103"/>
      <c r="Z32" s="103"/>
      <c r="AA32" s="103"/>
      <c r="AB32" s="103"/>
      <c r="AC32" s="103"/>
      <c r="AD32" s="103"/>
      <c r="AE32" s="103"/>
      <c r="AF32" s="103"/>
      <c r="AG32" s="103"/>
      <c r="AH32" s="103"/>
    </row>
    <row r="33" hidden="1" customHeight="1" outlineLevel="1" spans="1:66">
      <c r="A33" s="157"/>
      <c r="B33" s="696"/>
      <c r="C33" s="154" t="s">
        <v>1673</v>
      </c>
      <c r="D33" s="158"/>
      <c r="E33" s="158"/>
      <c r="F33" s="158"/>
      <c r="G33" s="158"/>
      <c r="H33" s="158"/>
      <c r="I33" s="158"/>
      <c r="J33" s="228"/>
      <c r="K33" s="228"/>
      <c r="P33" s="176"/>
      <c r="Q33" s="176"/>
      <c r="R33" s="176"/>
      <c r="S33" s="176"/>
      <c r="T33" s="176"/>
      <c r="U33" s="159">
        <f>SUMIF($BA8:$BA27,$BA33,U8:U27)</f>
        <v>0</v>
      </c>
      <c r="V33" s="159">
        <f>SUMIF($BA8:$BA27,$BA33,V8:V27)</f>
        <v>0</v>
      </c>
      <c r="W33" s="159">
        <f>SUMIF($BA8:$BA27,$BA33,W8:W27)</f>
        <v>0</v>
      </c>
      <c r="X33" s="176"/>
      <c r="Y33" s="176"/>
      <c r="Z33" s="176"/>
      <c r="AA33" s="159">
        <f>SUMIF($BA8:$BA27,$BA33,AA8:AA27)</f>
        <v>0</v>
      </c>
      <c r="AB33" s="159">
        <f>SUMIF($BA8:$BA27,$BA33,AB8:AB27)</f>
        <v>0</v>
      </c>
      <c r="AC33" s="159">
        <f>SUMIF($BA8:$BA27,$BA33,AC8:AC27)</f>
        <v>0</v>
      </c>
      <c r="AD33" s="159">
        <f>SUMIF($BA8:$BA27,$BA33,AD8:AD27)</f>
        <v>0</v>
      </c>
      <c r="AE33" s="176"/>
      <c r="AF33" s="159">
        <f>SUMIF($BA8:$BA27,$BA33,AF8:AF27)</f>
        <v>0</v>
      </c>
      <c r="BA33" s="161" t="s">
        <v>1674</v>
      </c>
      <c r="BH33" s="95" t="s">
        <v>1675</v>
      </c>
      <c r="BI33" s="95" t="s">
        <v>1675</v>
      </c>
      <c r="BJ33" s="95" t="s">
        <v>1675</v>
      </c>
      <c r="BK33" s="95" t="s">
        <v>1675</v>
      </c>
      <c r="BL33" s="95" t="s">
        <v>1675</v>
      </c>
      <c r="BN33" s="95" t="s">
        <v>1675</v>
      </c>
    </row>
    <row r="34" hidden="1" customHeight="1" outlineLevel="1" spans="1:66">
      <c r="A34" s="157"/>
      <c r="B34" s="696"/>
      <c r="C34" s="154" t="s">
        <v>1676</v>
      </c>
      <c r="D34" s="158"/>
      <c r="E34" s="158"/>
      <c r="F34" s="158"/>
      <c r="G34" s="158"/>
      <c r="H34" s="158"/>
      <c r="I34" s="158"/>
      <c r="J34" s="228"/>
      <c r="K34" s="228"/>
      <c r="P34" s="176"/>
      <c r="Q34" s="176"/>
      <c r="R34" s="176"/>
      <c r="S34" s="176"/>
      <c r="T34" s="176"/>
      <c r="U34" s="159">
        <f>U28-U33</f>
        <v>0</v>
      </c>
      <c r="V34" s="159">
        <f>V28-V33</f>
        <v>0</v>
      </c>
      <c r="W34" s="159">
        <f>W28-W33</f>
        <v>0</v>
      </c>
      <c r="X34" s="176"/>
      <c r="Y34" s="176"/>
      <c r="Z34" s="176"/>
      <c r="AA34" s="159">
        <f>AA28-AA33</f>
        <v>0</v>
      </c>
      <c r="AB34" s="159">
        <f>AB28-AB33</f>
        <v>0</v>
      </c>
      <c r="AC34" s="159">
        <f>AC28-AC33</f>
        <v>0</v>
      </c>
      <c r="AD34" s="159">
        <f>AD28-AD33</f>
        <v>0</v>
      </c>
      <c r="AE34" s="176"/>
      <c r="AF34" s="159">
        <f>AF28-AF33</f>
        <v>0</v>
      </c>
      <c r="BA34" s="161" t="s">
        <v>1677</v>
      </c>
      <c r="BH34" s="95" t="s">
        <v>1678</v>
      </c>
      <c r="BI34" s="95" t="s">
        <v>1678</v>
      </c>
      <c r="BJ34" s="95" t="s">
        <v>1678</v>
      </c>
      <c r="BK34" s="95" t="s">
        <v>1678</v>
      </c>
      <c r="BL34" s="95" t="s">
        <v>1678</v>
      </c>
      <c r="BN34" s="95" t="s">
        <v>1678</v>
      </c>
    </row>
    <row r="35" customHeight="1" collapsed="1" spans="1:66">
      <c r="A35" s="157"/>
      <c r="B35" s="696"/>
      <c r="C35" s="158"/>
      <c r="D35" s="158"/>
      <c r="E35" s="158"/>
      <c r="F35" s="158"/>
      <c r="G35" s="158"/>
      <c r="H35" s="158"/>
      <c r="I35" s="158"/>
      <c r="J35" s="228"/>
      <c r="K35" s="228"/>
    </row>
    <row r="36" customHeight="1" spans="1:66">
      <c r="A36" s="157"/>
      <c r="B36" s="696"/>
      <c r="C36" s="158"/>
      <c r="D36" s="158"/>
      <c r="E36" s="158"/>
      <c r="F36" s="158"/>
      <c r="G36" s="158"/>
      <c r="H36" s="158"/>
      <c r="I36" s="158"/>
      <c r="J36" s="228"/>
      <c r="K36" s="228"/>
    </row>
    <row r="37" customHeight="1" spans="1:66">
      <c r="A37" s="157"/>
      <c r="B37" s="696"/>
      <c r="C37" s="158"/>
      <c r="D37" s="158"/>
      <c r="E37" s="158"/>
      <c r="F37" s="158"/>
      <c r="G37" s="158"/>
      <c r="H37" s="158"/>
      <c r="I37" s="158"/>
      <c r="J37" s="228"/>
      <c r="K37" s="228"/>
    </row>
    <row r="38" customHeight="1" spans="1:66">
      <c r="A38" s="157"/>
      <c r="B38" s="696"/>
      <c r="C38" s="158"/>
      <c r="D38" s="158"/>
      <c r="E38" s="158"/>
      <c r="F38" s="158"/>
      <c r="G38" s="158"/>
      <c r="H38" s="158"/>
      <c r="I38" s="158"/>
      <c r="J38" s="228"/>
      <c r="K38" s="228"/>
    </row>
    <row r="39" customHeight="1" spans="1:66">
      <c r="A39" s="157"/>
      <c r="B39" s="696"/>
      <c r="C39" s="158"/>
      <c r="D39" s="158"/>
      <c r="E39" s="158"/>
      <c r="F39" s="158"/>
      <c r="G39" s="158"/>
      <c r="H39" s="158"/>
      <c r="I39" s="158"/>
      <c r="J39" s="228"/>
      <c r="K39" s="228"/>
    </row>
  </sheetData>
  <sheetProtection autoFilter="0"/>
  <mergeCells count="40">
    <mergeCell ref="A2:AH2"/>
    <mergeCell ref="A3:AH3"/>
    <mergeCell ref="P6:T6"/>
    <mergeCell ref="U6:W6"/>
    <mergeCell ref="X6:Z6"/>
    <mergeCell ref="AA6:AC6"/>
    <mergeCell ref="AD6:AF6"/>
    <mergeCell ref="CN8:CP8"/>
    <mergeCell ref="CN9:CP9"/>
    <mergeCell ref="CO15:CP15"/>
    <mergeCell ref="A28:F28"/>
    <mergeCell ref="A29:F29"/>
    <mergeCell ref="A30:F30"/>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AG6:AG7"/>
    <mergeCell ref="AH6:AH7"/>
    <mergeCell ref="BF6:BF7"/>
    <mergeCell ref="BG6:BG7"/>
    <mergeCell ref="BH6:BH7"/>
    <mergeCell ref="BI6:BI7"/>
    <mergeCell ref="BJ6:BJ7"/>
    <mergeCell ref="BK6:BK7"/>
    <mergeCell ref="BL6:BL7"/>
    <mergeCell ref="BM6:BM7"/>
    <mergeCell ref="BN6:BN7"/>
    <mergeCell ref="BO6:BO7"/>
  </mergeCells>
  <conditionalFormatting sqref="BM8:BM27">
    <cfRule type="expression" dxfId="5" priority="5" stopIfTrue="1">
      <formula>AND(BL8="无",BM8="")</formula>
    </cfRule>
  </conditionalFormatting>
  <conditionalFormatting sqref="BF8:BG27">
    <cfRule type="containsText" dxfId="6" priority="1" stopIfTrue="1" operator="between" text="出错">
      <formula>NOT(ISERROR(SEARCH("出错",BF8)))</formula>
    </cfRule>
  </conditionalFormatting>
  <conditionalFormatting sqref="BH8:BL27 BN8:BN27">
    <cfRule type="expression" dxfId="5" priority="6" stopIfTrue="1">
      <formula>AND($C8&lt;&gt;"",BH8="")</formula>
    </cfRule>
  </conditionalFormatting>
  <dataValidations count="5">
    <dataValidation type="list" allowBlank="1" showInputMessage="1" showErrorMessage="1" sqref="P8:P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N8:BN27 BH8:BL27">
      <formula1>BH$33:BH$34</formula1>
    </dataValidation>
    <dataValidation type="list" allowBlank="1" showInputMessage="1" showErrorMessage="1" sqref="BP8:BP27">
      <formula1>"成本法,收益法,市场法"</formula1>
    </dataValidation>
  </dataValidations>
  <hyperlinks>
    <hyperlink ref="A1" location="索引目录!E37" display="返回索引页"/>
    <hyperlink ref="C1" location="固定资产汇总!B17"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0"/>
  <dimension ref="A1:CO35"/>
  <sheetViews>
    <sheetView workbookViewId="0">
      <pane xSplit="3" ySplit="8" topLeftCell="D9" activePane="bottomRight" state="frozen"/>
      <selection/>
      <selection pane="topRight"/>
      <selection pane="bottomLeft"/>
      <selection pane="bottomRight" activeCell="E45" sqref="E45"/>
    </sheetView>
  </sheetViews>
  <sheetFormatPr defaultColWidth="9" defaultRowHeight="15.75" customHeight="1"/>
  <cols>
    <col min="1" max="1" width="4.7" style="631" customWidth="1"/>
    <col min="2" max="2" width="4.6" style="862" customWidth="1"/>
    <col min="3" max="3" width="6.6" style="552" customWidth="1"/>
    <col min="4" max="4" width="4.6" style="809" customWidth="1"/>
    <col min="5" max="9" width="4.6" style="552" customWidth="1"/>
    <col min="10" max="10" width="3.6" style="552" customWidth="1"/>
    <col min="11" max="13" width="4.6" style="552" customWidth="1"/>
    <col min="14" max="14" width="4.6" style="809" customWidth="1"/>
    <col min="15" max="16" width="4.6" style="809" customWidth="1" outlineLevel="1"/>
    <col min="17" max="17" width="4.6" style="809" customWidth="1"/>
    <col min="18" max="19" width="4.6" style="75" customWidth="1" outlineLevel="1"/>
    <col min="20" max="22" width="6.1" style="75" customWidth="1" outlineLevel="1"/>
    <col min="23" max="24" width="9.6" style="552" customWidth="1" outlineLevel="1"/>
    <col min="25" max="25" width="7.7" style="552" customWidth="1" outlineLevel="1"/>
    <col min="26" max="28" width="10.7" style="552" customWidth="1" outlineLevel="1"/>
    <col min="29" max="30" width="9.7" style="552" customWidth="1"/>
    <col min="31" max="31" width="7.1" style="552" customWidth="1"/>
    <col min="32" max="32" width="9.7" style="552" customWidth="1"/>
    <col min="33" max="33" width="5.7" style="552" customWidth="1"/>
    <col min="34" max="34" width="9.7" style="552" customWidth="1"/>
    <col min="35" max="35" width="4.3" style="552" customWidth="1"/>
    <col min="36" max="36" width="4.6" style="552" customWidth="1"/>
    <col min="37" max="51" width="9" style="552" hidden="1" customWidth="1" outlineLevel="1"/>
    <col min="52" max="52" width="9" style="552" hidden="1" customWidth="1" outlineLevel="1" collapsed="1"/>
    <col min="53" max="53" width="14.7" style="75" customWidth="1" collapsed="1"/>
    <col min="54" max="54" width="6.7" style="75" customWidth="1"/>
    <col min="55" max="56" width="5.1" style="75" customWidth="1"/>
    <col min="57" max="57" width="8.7" style="75" customWidth="1"/>
    <col min="58" max="59" width="10.5" style="552" customWidth="1"/>
    <col min="60" max="64" width="4.7" style="809" customWidth="1"/>
    <col min="65" max="65" width="10.3" style="552" customWidth="1"/>
    <col min="66" max="66" width="4.7" style="809" customWidth="1"/>
    <col min="67" max="68" width="8.7" style="552" customWidth="1"/>
    <col min="69" max="79" width="8.7" style="158" customWidth="1"/>
    <col min="80" max="84" width="8.7" style="810" customWidth="1"/>
    <col min="85" max="85" width="1.6" style="77" customWidth="1"/>
    <col min="86" max="86" width="10.6" style="78" customWidth="1"/>
    <col min="87" max="87" width="10.6" style="77" customWidth="1"/>
    <col min="88" max="88" width="4.6" style="78" customWidth="1"/>
    <col min="89" max="89" width="10.6" style="78" customWidth="1"/>
    <col min="90" max="91" width="4.6" style="78" customWidth="1"/>
    <col min="92" max="92" width="10.6" style="78" customWidth="1"/>
    <col min="93" max="93" width="5" style="77" customWidth="1"/>
    <col min="94" max="16384" width="9" style="552"/>
  </cols>
  <sheetData>
    <row r="1" customHeight="1" spans="1:93">
      <c r="A1" s="550" t="s">
        <v>3929</v>
      </c>
      <c r="B1" s="806"/>
      <c r="C1" s="551" t="s">
        <v>3930</v>
      </c>
      <c r="R1" s="82"/>
      <c r="S1" s="82"/>
      <c r="T1" s="82"/>
      <c r="U1" s="82"/>
      <c r="V1" s="82"/>
      <c r="BA1" s="808" t="str">
        <f>参数表!$BA$1</f>
        <v>注意：补充特殊事项、作价等均从BA列开始填写</v>
      </c>
      <c r="BQ1" s="86"/>
      <c r="BR1" s="86"/>
      <c r="BS1" s="86"/>
      <c r="BT1" s="86"/>
      <c r="BU1" s="86"/>
      <c r="BV1" s="86"/>
      <c r="BW1" s="86"/>
      <c r="BX1" s="86"/>
      <c r="BY1" s="86"/>
      <c r="BZ1" s="86"/>
      <c r="CA1" s="86"/>
      <c r="CG1" s="87"/>
      <c r="CH1" s="88"/>
      <c r="CI1" s="87"/>
      <c r="CJ1" s="88"/>
      <c r="CK1" s="88"/>
      <c r="CL1" s="88"/>
      <c r="CM1" s="88"/>
      <c r="CN1" s="88"/>
      <c r="CO1" s="87"/>
    </row>
    <row r="2" ht="30" customHeight="1" spans="1:93">
      <c r="A2" s="632" t="s">
        <v>3931</v>
      </c>
      <c r="B2" s="632"/>
      <c r="C2" s="632"/>
      <c r="D2" s="632"/>
      <c r="E2" s="632"/>
      <c r="F2" s="632"/>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3"/>
      <c r="AL2" s="633"/>
      <c r="BA2" s="103" t="str">
        <f>参数表!$BA$2</f>
        <v>评估基准日：</v>
      </c>
      <c r="BB2" s="863" t="str">
        <f>参数表!$BB$2</f>
        <v>2025年7月31日</v>
      </c>
      <c r="BQ2" s="235"/>
      <c r="BR2" s="235"/>
      <c r="BS2" s="235"/>
      <c r="BT2" s="235"/>
      <c r="BU2" s="235"/>
      <c r="BV2" s="235"/>
      <c r="BW2" s="235"/>
      <c r="BX2" s="235"/>
      <c r="BY2" s="235"/>
      <c r="BZ2" s="235"/>
      <c r="CA2" s="235"/>
      <c r="CG2" s="92"/>
      <c r="CH2" s="93"/>
      <c r="CI2" s="92"/>
      <c r="CJ2" s="93"/>
      <c r="CK2" s="93"/>
      <c r="CL2" s="93"/>
      <c r="CM2" s="93"/>
      <c r="CN2" s="93"/>
      <c r="CO2" s="92"/>
    </row>
    <row r="3" ht="14.1" customHeight="1" spans="1:93">
      <c r="A3" s="634" t="str">
        <f>参数表!F5</f>
        <v>评估基准日：2025年7月31日</v>
      </c>
      <c r="B3" s="634"/>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5"/>
      <c r="AD3" s="635"/>
      <c r="AE3" s="635"/>
      <c r="AF3" s="635"/>
      <c r="AG3" s="635"/>
      <c r="AH3" s="635"/>
      <c r="AI3" s="635"/>
      <c r="AJ3" s="635"/>
      <c r="AK3" s="633"/>
      <c r="AL3" s="633"/>
      <c r="BA3" s="103" t="str">
        <f>参数表!$BA$3</f>
        <v>是否显示评估值：</v>
      </c>
      <c r="BB3" s="103" t="str">
        <f>参数表!$BB$3</f>
        <v>是</v>
      </c>
      <c r="CG3" s="92"/>
      <c r="CH3" s="93"/>
      <c r="CI3" s="92"/>
      <c r="CJ3" s="93"/>
      <c r="CK3" s="93"/>
      <c r="CL3" s="93"/>
      <c r="CM3" s="93"/>
      <c r="CN3" s="93"/>
      <c r="CO3" s="92"/>
    </row>
    <row r="4" ht="14.1" customHeight="1" spans="1:93">
      <c r="A4" s="636"/>
      <c r="B4" s="636"/>
      <c r="C4" s="634"/>
      <c r="D4" s="634"/>
      <c r="E4" s="634"/>
      <c r="F4" s="634"/>
      <c r="G4" s="634"/>
      <c r="H4" s="634"/>
      <c r="I4" s="634"/>
      <c r="J4" s="634"/>
      <c r="K4" s="634"/>
      <c r="L4" s="634"/>
      <c r="M4" s="634"/>
      <c r="N4" s="634"/>
      <c r="O4" s="634"/>
      <c r="P4" s="634"/>
      <c r="Q4" s="634"/>
      <c r="R4" s="94"/>
      <c r="S4" s="94"/>
      <c r="T4" s="94"/>
      <c r="U4" s="94"/>
      <c r="V4" s="94"/>
      <c r="W4" s="634"/>
      <c r="X4" s="634"/>
      <c r="Y4" s="634"/>
      <c r="Z4" s="634"/>
      <c r="AA4" s="634"/>
      <c r="AB4" s="634"/>
      <c r="AC4" s="635"/>
      <c r="AD4" s="635"/>
      <c r="AE4" s="635"/>
      <c r="AF4" s="635"/>
      <c r="AG4" s="635"/>
      <c r="AH4" s="635"/>
      <c r="AI4" s="635"/>
      <c r="AJ4" s="98" t="str">
        <f>"表"&amp;$BA4</f>
        <v>表4-10-4</v>
      </c>
      <c r="AK4" s="633"/>
      <c r="AL4" s="633"/>
      <c r="BA4" s="274" t="str">
        <f>固定资产总!A12</f>
        <v>4-10-4</v>
      </c>
      <c r="BB4" s="100">
        <f>MAX(COUNTA(A8:A27),COUNTA(C8:C27),COUNTA(W8:W27),COUNTA(X8:X27))</f>
        <v>20</v>
      </c>
      <c r="BC4" s="101">
        <f>ROW(A7)+1</f>
        <v>8</v>
      </c>
      <c r="BD4" s="77"/>
      <c r="BE4" s="77"/>
      <c r="CI4" s="78"/>
    </row>
    <row r="5" customHeight="1" spans="1:93">
      <c r="A5" s="102" t="str">
        <f>参数表!F3</f>
        <v>产权持有单位:中煤第五建设有限公司</v>
      </c>
      <c r="B5" s="96"/>
      <c r="C5" s="639"/>
      <c r="D5" s="635"/>
      <c r="E5" s="640"/>
      <c r="F5" s="640"/>
      <c r="G5" s="640"/>
      <c r="H5" s="640"/>
      <c r="I5" s="640"/>
      <c r="J5" s="640"/>
      <c r="K5" s="640"/>
      <c r="L5" s="640"/>
      <c r="M5" s="640"/>
      <c r="N5" s="635"/>
      <c r="O5" s="635"/>
      <c r="P5" s="635"/>
      <c r="Q5" s="635"/>
      <c r="R5" s="103"/>
      <c r="S5" s="103"/>
      <c r="T5" s="103"/>
      <c r="U5" s="103"/>
      <c r="V5" s="103"/>
      <c r="W5" s="640"/>
      <c r="X5" s="640"/>
      <c r="Y5" s="640"/>
      <c r="Z5" s="640"/>
      <c r="AA5" s="640"/>
      <c r="AB5" s="640"/>
      <c r="AC5" s="640"/>
      <c r="AD5" s="640"/>
      <c r="AE5" s="640"/>
      <c r="AF5" s="640"/>
      <c r="AG5" s="640"/>
      <c r="AH5" s="640"/>
      <c r="AI5" s="640"/>
      <c r="AJ5" s="641" t="s">
        <v>3075</v>
      </c>
      <c r="BA5" s="154"/>
      <c r="BB5" s="105" t="str">
        <f ca="1">判断表!C69</f>
        <v>中煤第五建设有限公司第三工程处拟处置实物资产项目\[0000-3基础法明细表.xlsx]井巷</v>
      </c>
      <c r="BC5" s="106">
        <f>IFERROR(SUMIF(BC8:BC27,"√",AC8:AC27)/AC28,0)</f>
        <v>0</v>
      </c>
      <c r="BD5" s="107"/>
      <c r="BE5" s="107"/>
      <c r="BF5" s="108">
        <f>房屋!BF5</f>
        <v>0</v>
      </c>
      <c r="BG5" s="108">
        <f>房屋!BG5</f>
        <v>0</v>
      </c>
      <c r="BH5" s="109"/>
      <c r="BI5" s="109"/>
      <c r="BJ5" s="109"/>
      <c r="BK5" s="109"/>
      <c r="BL5" s="109"/>
      <c r="BM5" s="110"/>
      <c r="BN5" s="109"/>
      <c r="BO5" s="110"/>
      <c r="BP5" s="110"/>
      <c r="CI5" s="78"/>
    </row>
    <row r="6" s="861" customFormat="1" ht="20.7" customHeight="1" spans="1:93">
      <c r="A6" s="644" t="s">
        <v>521</v>
      </c>
      <c r="B6" s="864" t="s">
        <v>3932</v>
      </c>
      <c r="C6" s="645" t="s">
        <v>3933</v>
      </c>
      <c r="D6" s="645" t="s">
        <v>3934</v>
      </c>
      <c r="E6" s="645" t="s">
        <v>3935</v>
      </c>
      <c r="F6" s="645" t="s">
        <v>3936</v>
      </c>
      <c r="G6" s="645" t="s">
        <v>3937</v>
      </c>
      <c r="H6" s="645" t="s">
        <v>3938</v>
      </c>
      <c r="I6" s="645" t="s">
        <v>3939</v>
      </c>
      <c r="J6" s="645" t="s">
        <v>3940</v>
      </c>
      <c r="K6" s="645" t="s">
        <v>3941</v>
      </c>
      <c r="L6" s="645" t="s">
        <v>3942</v>
      </c>
      <c r="M6" s="645" t="s">
        <v>3943</v>
      </c>
      <c r="N6" s="645" t="s">
        <v>3944</v>
      </c>
      <c r="O6" s="865" t="s">
        <v>3945</v>
      </c>
      <c r="P6" s="866" t="s">
        <v>3946</v>
      </c>
      <c r="Q6" s="645" t="s">
        <v>3947</v>
      </c>
      <c r="R6" s="511" t="s">
        <v>1964</v>
      </c>
      <c r="S6" s="512"/>
      <c r="T6" s="512"/>
      <c r="U6" s="512"/>
      <c r="V6" s="513"/>
      <c r="W6" s="867" t="s">
        <v>3948</v>
      </c>
      <c r="X6" s="868"/>
      <c r="Y6" s="869"/>
      <c r="Z6" s="870" t="s">
        <v>3949</v>
      </c>
      <c r="AA6" s="871"/>
      <c r="AB6" s="872"/>
      <c r="AC6" s="867" t="s">
        <v>837</v>
      </c>
      <c r="AD6" s="868"/>
      <c r="AE6" s="869"/>
      <c r="AF6" s="873" t="s">
        <v>1390</v>
      </c>
      <c r="AG6" s="873"/>
      <c r="AH6" s="873"/>
      <c r="AI6" s="874" t="s">
        <v>1058</v>
      </c>
      <c r="AJ6" s="875" t="s">
        <v>3086</v>
      </c>
      <c r="BA6" s="821"/>
      <c r="BB6" s="822"/>
      <c r="BC6" s="822"/>
      <c r="BD6" s="822"/>
      <c r="BE6" s="822"/>
      <c r="BF6" s="823" t="s">
        <v>3950</v>
      </c>
      <c r="BG6" s="823" t="s">
        <v>3951</v>
      </c>
      <c r="BH6" s="824" t="s">
        <v>3952</v>
      </c>
      <c r="BI6" s="824" t="s">
        <v>3953</v>
      </c>
      <c r="BJ6" s="824" t="s">
        <v>3954</v>
      </c>
      <c r="BK6" s="824" t="s">
        <v>3955</v>
      </c>
      <c r="BL6" s="824" t="s">
        <v>3956</v>
      </c>
      <c r="BM6" s="824" t="s">
        <v>3957</v>
      </c>
      <c r="BN6" s="824" t="s">
        <v>3958</v>
      </c>
      <c r="BO6" s="824" t="s">
        <v>3959</v>
      </c>
      <c r="BP6" s="821"/>
      <c r="BQ6" s="821" t="s">
        <v>3960</v>
      </c>
      <c r="BR6" s="826">
        <f>参数表!$E$15</f>
        <v>0</v>
      </c>
      <c r="BS6" s="827"/>
      <c r="BT6" s="827"/>
      <c r="BU6" s="827"/>
      <c r="BV6" s="828"/>
      <c r="BW6" s="828"/>
      <c r="BX6" s="829">
        <f>构筑物!BY6</f>
        <v>1</v>
      </c>
      <c r="BY6" s="827"/>
      <c r="BZ6" s="828"/>
      <c r="CA6" s="828"/>
      <c r="CB6" s="830" t="str">
        <f>$BB$2</f>
        <v>2025年7月31日</v>
      </c>
      <c r="CC6" s="829"/>
      <c r="CD6" s="828">
        <v>0.4</v>
      </c>
      <c r="CE6" s="828">
        <v>0.6</v>
      </c>
      <c r="CF6" s="828"/>
      <c r="CG6" s="111"/>
      <c r="CH6" s="78"/>
      <c r="CI6" s="78"/>
      <c r="CJ6" s="78"/>
      <c r="CK6" s="78"/>
      <c r="CL6" s="78"/>
      <c r="CM6" s="78"/>
      <c r="CN6" s="78"/>
      <c r="CO6" s="111"/>
    </row>
    <row r="7" s="861" customFormat="1" ht="20.7" customHeight="1" spans="1:93">
      <c r="A7" s="644"/>
      <c r="B7" s="876"/>
      <c r="C7" s="645"/>
      <c r="D7" s="645"/>
      <c r="E7" s="645"/>
      <c r="F7" s="645"/>
      <c r="G7" s="645"/>
      <c r="H7" s="645"/>
      <c r="I7" s="645"/>
      <c r="J7" s="645"/>
      <c r="K7" s="645"/>
      <c r="L7" s="645"/>
      <c r="M7" s="645"/>
      <c r="N7" s="645"/>
      <c r="O7" s="877"/>
      <c r="P7" s="878"/>
      <c r="Q7" s="645"/>
      <c r="R7" s="348" t="s">
        <v>1968</v>
      </c>
      <c r="S7" s="348" t="s">
        <v>1969</v>
      </c>
      <c r="T7" s="348" t="s">
        <v>3699</v>
      </c>
      <c r="U7" s="348" t="s">
        <v>3700</v>
      </c>
      <c r="V7" s="118" t="s">
        <v>3701</v>
      </c>
      <c r="W7" s="665" t="s">
        <v>537</v>
      </c>
      <c r="X7" s="665" t="s">
        <v>540</v>
      </c>
      <c r="Y7" s="665" t="s">
        <v>3961</v>
      </c>
      <c r="Z7" s="879" t="s">
        <v>3962</v>
      </c>
      <c r="AA7" s="879" t="s">
        <v>3963</v>
      </c>
      <c r="AB7" s="879" t="s">
        <v>3964</v>
      </c>
      <c r="AC7" s="665" t="s">
        <v>537</v>
      </c>
      <c r="AD7" s="665" t="s">
        <v>540</v>
      </c>
      <c r="AE7" s="665" t="s">
        <v>3961</v>
      </c>
      <c r="AF7" s="873" t="s">
        <v>537</v>
      </c>
      <c r="AG7" s="880" t="s">
        <v>3965</v>
      </c>
      <c r="AH7" s="873" t="s">
        <v>540</v>
      </c>
      <c r="AI7" s="874"/>
      <c r="AJ7" s="875"/>
      <c r="BA7" s="822" t="s">
        <v>3966</v>
      </c>
      <c r="BB7" s="822" t="s">
        <v>3967</v>
      </c>
      <c r="BC7" s="822" t="s">
        <v>3968</v>
      </c>
      <c r="BD7" s="822" t="s">
        <v>3969</v>
      </c>
      <c r="BE7" s="822" t="s">
        <v>3970</v>
      </c>
      <c r="BF7" s="839"/>
      <c r="BG7" s="839"/>
      <c r="BH7" s="824"/>
      <c r="BI7" s="824"/>
      <c r="BJ7" s="824"/>
      <c r="BK7" s="824"/>
      <c r="BL7" s="824"/>
      <c r="BM7" s="824"/>
      <c r="BN7" s="824"/>
      <c r="BO7" s="824"/>
      <c r="BP7" s="840" t="s">
        <v>983</v>
      </c>
      <c r="BQ7" s="184" t="s">
        <v>3707</v>
      </c>
      <c r="BR7" s="184" t="s">
        <v>2757</v>
      </c>
      <c r="BS7" s="783" t="s">
        <v>3708</v>
      </c>
      <c r="BT7" s="841" t="s">
        <v>3709</v>
      </c>
      <c r="BU7" s="783" t="s">
        <v>3711</v>
      </c>
      <c r="BV7" s="184" t="s">
        <v>3712</v>
      </c>
      <c r="BW7" s="184" t="s">
        <v>3713</v>
      </c>
      <c r="BX7" s="842" t="s">
        <v>3971</v>
      </c>
      <c r="BY7" s="843" t="s">
        <v>3972</v>
      </c>
      <c r="BZ7" s="844" t="s">
        <v>3973</v>
      </c>
      <c r="CA7" s="844" t="s">
        <v>3974</v>
      </c>
      <c r="CB7" s="844" t="s">
        <v>3975</v>
      </c>
      <c r="CC7" s="842" t="s">
        <v>3976</v>
      </c>
      <c r="CD7" s="844" t="s">
        <v>3977</v>
      </c>
      <c r="CE7" s="844" t="s">
        <v>3978</v>
      </c>
      <c r="CF7" s="844" t="s">
        <v>3979</v>
      </c>
      <c r="CG7" s="119"/>
      <c r="CH7" s="120" t="s">
        <v>1645</v>
      </c>
      <c r="CI7" s="121" t="s">
        <v>1646</v>
      </c>
      <c r="CJ7" s="121" t="s">
        <v>1647</v>
      </c>
      <c r="CK7" s="121" t="s">
        <v>1648</v>
      </c>
      <c r="CL7" s="121" t="s">
        <v>1647</v>
      </c>
      <c r="CM7" s="121" t="s">
        <v>1647</v>
      </c>
      <c r="CN7" s="121" t="s">
        <v>1649</v>
      </c>
      <c r="CO7" s="122" t="s">
        <v>1650</v>
      </c>
    </row>
    <row r="8" customHeight="1" spans="1:93">
      <c r="A8" s="123" t="str">
        <f>IF(C8="","",COUNT(A$7:A7)+1)</f>
        <v/>
      </c>
      <c r="B8" s="123"/>
      <c r="C8" s="651"/>
      <c r="D8" s="651" t="s">
        <v>347</v>
      </c>
      <c r="E8" s="652" t="s">
        <v>347</v>
      </c>
      <c r="F8" s="651" t="s">
        <v>347</v>
      </c>
      <c r="G8" s="653" t="s">
        <v>347</v>
      </c>
      <c r="H8" s="653" t="s">
        <v>347</v>
      </c>
      <c r="I8" s="653" t="s">
        <v>347</v>
      </c>
      <c r="J8" s="653" t="s">
        <v>347</v>
      </c>
      <c r="K8" s="653" t="s">
        <v>347</v>
      </c>
      <c r="L8" s="653" t="s">
        <v>347</v>
      </c>
      <c r="M8" s="651" t="s">
        <v>347</v>
      </c>
      <c r="N8" s="653"/>
      <c r="O8" s="881"/>
      <c r="P8" s="882"/>
      <c r="Q8" s="654" t="s">
        <v>347</v>
      </c>
      <c r="R8" s="127"/>
      <c r="S8" s="127" t="str">
        <f>IFERROR(VLOOKUP(R8,参数表!$H$2:$I$50,2,FALSE),"")</f>
        <v/>
      </c>
      <c r="T8" s="128" t="str">
        <f>IFERROR(IF(OR(R8="人民币",R8=""),"",AC8/S8),"")</f>
        <v/>
      </c>
      <c r="U8" s="128" t="str">
        <f>IFERROR(IF(OR(R8="人民币",R8=""),"",AD8/S8),"")</f>
        <v/>
      </c>
      <c r="V8" s="129" t="str">
        <f>IFERROR(IF(OR(R8="人民币",R8=""),"",AE8/S8),"")</f>
        <v/>
      </c>
      <c r="W8" s="883"/>
      <c r="X8" s="883"/>
      <c r="Y8" s="883"/>
      <c r="Z8" s="883"/>
      <c r="AA8" s="883"/>
      <c r="AB8" s="883"/>
      <c r="AC8" s="883" t="str">
        <f>IF(C8="","",W8+Z8)</f>
        <v/>
      </c>
      <c r="AD8" s="883" t="str">
        <f>IF(C8="","",X8+AA8)</f>
        <v/>
      </c>
      <c r="AE8" s="883" t="str">
        <f>IF(C8="","",Y8+AB8)</f>
        <v/>
      </c>
      <c r="AF8" s="883" t="str">
        <f t="shared" ref="AF8:AF27" si="0">IF(C8="","",IF($BB$3="是",IF(BP8="成本法",CA8,BQ8),""))</f>
        <v/>
      </c>
      <c r="AG8" s="884" t="str">
        <f t="shared" ref="AG8:AG28" si="1">IF(C8="","",IF($BB$3="是",IF(BP8="成本法",MAX(30,CF8*100),""),""))</f>
        <v/>
      </c>
      <c r="AH8" s="883" t="str">
        <f>IFERROR(IF(AG8="",AF8,ROUND(AF8*AG8/100,0)),"")</f>
        <v/>
      </c>
      <c r="AI8" s="883" t="str">
        <f>IFERROR((AH8-(AD8-AE8))/(AD8-AE8)*100,"")</f>
        <v/>
      </c>
      <c r="AJ8" s="885" t="s">
        <v>347</v>
      </c>
      <c r="BA8" s="78"/>
      <c r="BB8" s="132" t="s">
        <v>3980</v>
      </c>
      <c r="BC8" s="133"/>
      <c r="BD8" s="132" t="str">
        <f>IF(OR(C8="",BC8=""),"",COUNTIF(BC$8:BC8,"√"))</f>
        <v/>
      </c>
      <c r="BE8" s="134" t="str">
        <f t="shared" ref="BE8:BE27" si="2">IF(BC8="","",BB8&amp;"︱"&amp;C8&amp;"︱"&amp;TEXT(W8,"#,##0.00"))</f>
        <v/>
      </c>
      <c r="BF8" s="135" t="str">
        <f>IF($C8="","",IF(BF$5=0,"OK","出错"))</f>
        <v/>
      </c>
      <c r="BG8" s="135" t="str">
        <f>IF($C8="","",IF(BG$5=0,"OK","出错"))</f>
        <v/>
      </c>
      <c r="BH8" s="136"/>
      <c r="BI8" s="136"/>
      <c r="BJ8" s="136"/>
      <c r="BK8" s="136"/>
      <c r="BL8" s="136"/>
      <c r="BM8" s="137"/>
      <c r="BN8" s="136"/>
      <c r="BO8" s="137"/>
      <c r="BP8" s="165" t="s">
        <v>2706</v>
      </c>
      <c r="BQ8" s="676"/>
      <c r="BR8" s="522">
        <f t="shared" ref="BR8:BR27" si="3">BQ8/(1+BR$6)*BR$6</f>
        <v>0</v>
      </c>
      <c r="BS8" s="850"/>
      <c r="BT8" s="776"/>
      <c r="BU8" s="851">
        <f>BQ8*BS8</f>
        <v>0</v>
      </c>
      <c r="BV8" s="156">
        <f>BR8+BQ8*(BS8-BT8)/1.06*6%</f>
        <v>0</v>
      </c>
      <c r="BW8" s="156">
        <f>BQ8+BU8</f>
        <v>0</v>
      </c>
      <c r="BX8" s="522">
        <f t="shared" ref="BX8:BX27" si="4">BX$6</f>
        <v>1</v>
      </c>
      <c r="BY8" s="852">
        <f>LOOKUP(BX8,参数表!$A$13:$B$19)</f>
        <v>0</v>
      </c>
      <c r="BZ8" s="156">
        <f>BW8*BX8*BY8/2</f>
        <v>0</v>
      </c>
      <c r="CA8" s="156">
        <f>ROUND(BW8+BZ8-BV8,-2)</f>
        <v>0</v>
      </c>
      <c r="CB8" s="522">
        <f t="shared" ref="CB8:CB27" si="5">(CB$6-N8)/365.25</f>
        <v>125.582477754962</v>
      </c>
      <c r="CC8" s="676"/>
      <c r="CD8" s="853">
        <f>IFERROR(ROUND(1-CB8/CC8,2),0)</f>
        <v>0</v>
      </c>
      <c r="CE8" s="853">
        <f>CD8</f>
        <v>0</v>
      </c>
      <c r="CF8" s="853">
        <f t="shared" ref="CF8:CF27" si="6">ROUND(IF(ABS(CE8-CD8)&gt;5%,CE8,CD8*CD$6+CE8*CE$6),2)</f>
        <v>0</v>
      </c>
      <c r="CH8" s="134" t="str">
        <f>IF(COUNTIF(CH$7:CH7,X8)&gt;0,"",X8)&amp;""</f>
        <v/>
      </c>
      <c r="CI8" s="138">
        <f>SUMIF(X$8:X$27,CH8,AC$8:AC$27)</f>
        <v>0</v>
      </c>
      <c r="CJ8" s="132">
        <f t="shared" ref="CJ8" si="7">RANK(CI8,CI$8:CI$27)</f>
        <v>1</v>
      </c>
      <c r="CK8" s="138">
        <f>SUMIF(X$8:X$27,CH8,AD$8:AD$27)</f>
        <v>0</v>
      </c>
      <c r="CL8" s="132">
        <f>RANK(CK8,CK$8:CK$27)</f>
        <v>1</v>
      </c>
      <c r="CM8" s="138">
        <f>SUM(CI8:CI27)</f>
        <v>0</v>
      </c>
      <c r="CN8" s="138"/>
      <c r="CO8" s="138"/>
    </row>
    <row r="9" customHeight="1" spans="1:93">
      <c r="A9" s="123" t="str">
        <f>IF(C9="","",COUNT(A$7:A8)+1)</f>
        <v/>
      </c>
      <c r="B9" s="659" t="s">
        <v>347</v>
      </c>
      <c r="C9" s="659" t="s">
        <v>347</v>
      </c>
      <c r="D9" s="659" t="s">
        <v>347</v>
      </c>
      <c r="E9" s="660" t="s">
        <v>347</v>
      </c>
      <c r="F9" s="659" t="s">
        <v>347</v>
      </c>
      <c r="G9" s="661" t="s">
        <v>347</v>
      </c>
      <c r="H9" s="661" t="s">
        <v>347</v>
      </c>
      <c r="I9" s="661" t="s">
        <v>347</v>
      </c>
      <c r="J9" s="661" t="s">
        <v>347</v>
      </c>
      <c r="K9" s="661" t="s">
        <v>347</v>
      </c>
      <c r="L9" s="661" t="s">
        <v>347</v>
      </c>
      <c r="M9" s="659" t="s">
        <v>347</v>
      </c>
      <c r="N9" s="661"/>
      <c r="O9" s="141"/>
      <c r="P9" s="536"/>
      <c r="Q9" s="662" t="s">
        <v>347</v>
      </c>
      <c r="R9" s="142"/>
      <c r="S9" s="127" t="str">
        <f>IFERROR(VLOOKUP(R9,参数表!$H$2:$I$50,2,FALSE),"")</f>
        <v/>
      </c>
      <c r="T9" s="128" t="str">
        <f t="shared" ref="T9:T27" si="8">IFERROR(IF(OR(R9="人民币",R9=""),"",AC9/S9),"")</f>
        <v/>
      </c>
      <c r="U9" s="128" t="str">
        <f t="shared" ref="U9:U27" si="9">IFERROR(IF(OR(R9="人民币",R9=""),"",AD9/S9),"")</f>
        <v/>
      </c>
      <c r="V9" s="129" t="str">
        <f t="shared" ref="V9:V27" si="10">IFERROR(IF(OR(R9="人民币",R9=""),"",AE9/S9),"")</f>
        <v/>
      </c>
      <c r="W9" s="886"/>
      <c r="X9" s="886"/>
      <c r="Y9" s="886"/>
      <c r="Z9" s="886"/>
      <c r="AA9" s="886"/>
      <c r="AB9" s="886"/>
      <c r="AC9" s="883" t="str">
        <f t="shared" ref="AC9:AC27" si="11">IF(C9="","",W9+Z9)</f>
        <v/>
      </c>
      <c r="AD9" s="883" t="str">
        <f t="shared" ref="AD9:AD27" si="12">IF(C9="","",X9+AA9)</f>
        <v/>
      </c>
      <c r="AE9" s="883" t="str">
        <f t="shared" ref="AE9:AE27" si="13">IF(C9="","",Y9+AB9)</f>
        <v/>
      </c>
      <c r="AF9" s="883" t="str">
        <f t="shared" si="0"/>
        <v/>
      </c>
      <c r="AG9" s="884" t="str">
        <f t="shared" si="1"/>
        <v/>
      </c>
      <c r="AH9" s="883" t="str">
        <f t="shared" ref="AH9:AH27" si="14">IFERROR(IF(AG9="",AF9,ROUND(AF9*AG9/100,0)),"")</f>
        <v/>
      </c>
      <c r="AI9" s="883" t="str">
        <f t="shared" ref="AI9:AI30" si="15">IFERROR((AH9-(AD9-AE9))/(AD9-AE9)*100,"")</f>
        <v/>
      </c>
      <c r="AJ9" s="887" t="s">
        <v>347</v>
      </c>
      <c r="BA9" s="78"/>
      <c r="BB9" s="132" t="s">
        <v>3981</v>
      </c>
      <c r="BC9" s="133"/>
      <c r="BD9" s="132" t="str">
        <f>IF(OR(C9="",BC9=""),"",COUNTIF(BC$8:BC9,"√"))</f>
        <v/>
      </c>
      <c r="BE9" s="134" t="str">
        <f t="shared" si="2"/>
        <v/>
      </c>
      <c r="BF9" s="135" t="str">
        <f t="shared" ref="BF9:BG27" si="16">IF($C9="","",IF(BF$5=0,"OK","出错"))</f>
        <v/>
      </c>
      <c r="BG9" s="135" t="str">
        <f t="shared" si="16"/>
        <v/>
      </c>
      <c r="BH9" s="136"/>
      <c r="BI9" s="136"/>
      <c r="BJ9" s="136"/>
      <c r="BK9" s="136"/>
      <c r="BL9" s="136"/>
      <c r="BM9" s="137"/>
      <c r="BN9" s="136"/>
      <c r="BO9" s="137"/>
      <c r="BP9" s="165" t="s">
        <v>2706</v>
      </c>
      <c r="BQ9" s="676"/>
      <c r="BR9" s="522">
        <f t="shared" si="3"/>
        <v>0</v>
      </c>
      <c r="BS9" s="850"/>
      <c r="BT9" s="850"/>
      <c r="BU9" s="851">
        <f t="shared" ref="BU9:BU27" si="17">BQ9*BS9</f>
        <v>0</v>
      </c>
      <c r="BV9" s="156">
        <f t="shared" ref="BV9:BV27" si="18">BR9+BQ9*(BS9-BT9)/1.06*6%</f>
        <v>0</v>
      </c>
      <c r="BW9" s="156">
        <f t="shared" ref="BW9:BW27" si="19">BQ9+BU9</f>
        <v>0</v>
      </c>
      <c r="BX9" s="522">
        <f t="shared" si="4"/>
        <v>1</v>
      </c>
      <c r="BY9" s="852">
        <f>LOOKUP(BX9,参数表!$A$13:$B$19)</f>
        <v>0</v>
      </c>
      <c r="BZ9" s="156">
        <f t="shared" ref="BZ9:BZ27" si="20">BW9*BX9*BY9/2</f>
        <v>0</v>
      </c>
      <c r="CA9" s="156">
        <f t="shared" ref="CA9:CA27" si="21">ROUND(BW9+BZ9-BV9,-2)</f>
        <v>0</v>
      </c>
      <c r="CB9" s="522">
        <f t="shared" si="5"/>
        <v>125.582477754962</v>
      </c>
      <c r="CC9" s="676"/>
      <c r="CD9" s="853">
        <f>IFERROR(ROUND(1-CB9/CC9,2),0)</f>
        <v>0</v>
      </c>
      <c r="CE9" s="853">
        <f t="shared" ref="CE9:CE27" si="22">CD9</f>
        <v>0</v>
      </c>
      <c r="CF9" s="853">
        <f t="shared" si="6"/>
        <v>0</v>
      </c>
      <c r="CH9" s="134" t="str">
        <f>IF(COUNTIF(CH$7:CH8,X9)&gt;0,"",X9)&amp;""</f>
        <v/>
      </c>
      <c r="CI9" s="138">
        <f t="shared" ref="CI9:CI27" si="23">SUMIF(X$8:X$27,CH9,AC$8:AC$27)</f>
        <v>0</v>
      </c>
      <c r="CJ9" s="132">
        <f t="shared" ref="CJ9:CJ27" si="24">RANK(CI9,CI$8:CI$27)</f>
        <v>1</v>
      </c>
      <c r="CK9" s="138">
        <f t="shared" ref="CK9:CK27" si="25">SUMIF(X$8:X$27,CH9,AD$8:AD$27)</f>
        <v>0</v>
      </c>
      <c r="CL9" s="132">
        <f t="shared" ref="CL9:CL27" si="26">RANK(CK9,CK$8:CK$27)</f>
        <v>1</v>
      </c>
      <c r="CM9" s="138">
        <f>SUM(CK8:CK27)</f>
        <v>0</v>
      </c>
      <c r="CN9" s="138"/>
      <c r="CO9" s="138"/>
    </row>
    <row r="10" customHeight="1" spans="1:93">
      <c r="A10" s="123" t="str">
        <f>IF(C10="","",COUNT(A$7:A9)+1)</f>
        <v/>
      </c>
      <c r="B10" s="659" t="s">
        <v>347</v>
      </c>
      <c r="C10" s="659" t="s">
        <v>347</v>
      </c>
      <c r="D10" s="659" t="s">
        <v>347</v>
      </c>
      <c r="E10" s="660" t="s">
        <v>347</v>
      </c>
      <c r="F10" s="659" t="s">
        <v>347</v>
      </c>
      <c r="G10" s="661" t="s">
        <v>347</v>
      </c>
      <c r="H10" s="661" t="s">
        <v>347</v>
      </c>
      <c r="I10" s="661" t="s">
        <v>347</v>
      </c>
      <c r="J10" s="661" t="s">
        <v>347</v>
      </c>
      <c r="K10" s="661" t="s">
        <v>347</v>
      </c>
      <c r="L10" s="661" t="s">
        <v>347</v>
      </c>
      <c r="M10" s="659" t="s">
        <v>347</v>
      </c>
      <c r="N10" s="661"/>
      <c r="O10" s="141"/>
      <c r="P10" s="536"/>
      <c r="Q10" s="662" t="s">
        <v>347</v>
      </c>
      <c r="R10" s="142"/>
      <c r="S10" s="127" t="str">
        <f>IFERROR(VLOOKUP(R10,参数表!$H$2:$I$50,2,FALSE),"")</f>
        <v/>
      </c>
      <c r="T10" s="128" t="str">
        <f t="shared" si="8"/>
        <v/>
      </c>
      <c r="U10" s="128" t="str">
        <f t="shared" si="9"/>
        <v/>
      </c>
      <c r="V10" s="129" t="str">
        <f t="shared" si="10"/>
        <v/>
      </c>
      <c r="W10" s="886"/>
      <c r="X10" s="886"/>
      <c r="Y10" s="886"/>
      <c r="Z10" s="886"/>
      <c r="AA10" s="886"/>
      <c r="AB10" s="886"/>
      <c r="AC10" s="883" t="str">
        <f t="shared" si="11"/>
        <v/>
      </c>
      <c r="AD10" s="883" t="str">
        <f t="shared" si="12"/>
        <v/>
      </c>
      <c r="AE10" s="883" t="str">
        <f t="shared" si="13"/>
        <v/>
      </c>
      <c r="AF10" s="883" t="str">
        <f t="shared" si="0"/>
        <v/>
      </c>
      <c r="AG10" s="884" t="str">
        <f t="shared" si="1"/>
        <v/>
      </c>
      <c r="AH10" s="883" t="str">
        <f t="shared" si="14"/>
        <v/>
      </c>
      <c r="AI10" s="883" t="str">
        <f t="shared" si="15"/>
        <v/>
      </c>
      <c r="AJ10" s="887" t="s">
        <v>347</v>
      </c>
      <c r="BA10" s="78"/>
      <c r="BB10" s="132" t="s">
        <v>3982</v>
      </c>
      <c r="BC10" s="133"/>
      <c r="BD10" s="132" t="str">
        <f>IF(OR(C10="",BC10=""),"",COUNTIF(BC$8:BC10,"√"))</f>
        <v/>
      </c>
      <c r="BE10" s="134" t="str">
        <f t="shared" si="2"/>
        <v/>
      </c>
      <c r="BF10" s="135" t="str">
        <f t="shared" si="16"/>
        <v/>
      </c>
      <c r="BG10" s="135" t="str">
        <f t="shared" si="16"/>
        <v/>
      </c>
      <c r="BH10" s="136"/>
      <c r="BI10" s="136"/>
      <c r="BJ10" s="136"/>
      <c r="BK10" s="136"/>
      <c r="BL10" s="136"/>
      <c r="BM10" s="137"/>
      <c r="BN10" s="136"/>
      <c r="BO10" s="137"/>
      <c r="BP10" s="165" t="s">
        <v>2706</v>
      </c>
      <c r="BQ10" s="676"/>
      <c r="BR10" s="522">
        <f t="shared" si="3"/>
        <v>0</v>
      </c>
      <c r="BS10" s="850"/>
      <c r="BT10" s="850"/>
      <c r="BU10" s="851">
        <f t="shared" si="17"/>
        <v>0</v>
      </c>
      <c r="BV10" s="156">
        <f t="shared" si="18"/>
        <v>0</v>
      </c>
      <c r="BW10" s="156">
        <f t="shared" si="19"/>
        <v>0</v>
      </c>
      <c r="BX10" s="522">
        <f t="shared" si="4"/>
        <v>1</v>
      </c>
      <c r="BY10" s="852">
        <f>LOOKUP(BX10,参数表!$A$13:$B$19)</f>
        <v>0</v>
      </c>
      <c r="BZ10" s="156">
        <f t="shared" si="20"/>
        <v>0</v>
      </c>
      <c r="CA10" s="156">
        <f t="shared" si="21"/>
        <v>0</v>
      </c>
      <c r="CB10" s="522">
        <f t="shared" si="5"/>
        <v>125.582477754962</v>
      </c>
      <c r="CC10" s="676"/>
      <c r="CD10" s="853">
        <f>IFERROR(ROUND(1-CB10/CC10,2),0)</f>
        <v>0</v>
      </c>
      <c r="CE10" s="853">
        <f t="shared" si="22"/>
        <v>0</v>
      </c>
      <c r="CF10" s="853">
        <f t="shared" si="6"/>
        <v>0</v>
      </c>
      <c r="CH10" s="134" t="str">
        <f>IF(COUNTIF(CH$7:CH9,X10)&gt;0,"",X10)&amp;""</f>
        <v/>
      </c>
      <c r="CI10" s="138">
        <f t="shared" si="23"/>
        <v>0</v>
      </c>
      <c r="CJ10" s="132">
        <f t="shared" si="24"/>
        <v>1</v>
      </c>
      <c r="CK10" s="138">
        <f t="shared" si="25"/>
        <v>0</v>
      </c>
      <c r="CL10" s="132">
        <f t="shared" si="26"/>
        <v>1</v>
      </c>
      <c r="CM10" s="132">
        <v>1</v>
      </c>
      <c r="CN10" s="134" t="str">
        <f>IFERROR(INDEX(CH$8:CH$27,MATCH(CM10,IF(CM$8=0,CL$8:CL$27,CJ$8:CJ$27),0))&amp;"","")</f>
        <v/>
      </c>
      <c r="CO10" s="146" t="str">
        <f>IF(CN11="","",IF(CN12="","和","、"))</f>
        <v/>
      </c>
    </row>
    <row r="11" customHeight="1" spans="1:93">
      <c r="A11" s="123" t="str">
        <f>IF(C11="","",COUNT(A$7:A10)+1)</f>
        <v/>
      </c>
      <c r="B11" s="659" t="s">
        <v>347</v>
      </c>
      <c r="C11" s="659" t="s">
        <v>347</v>
      </c>
      <c r="D11" s="659" t="s">
        <v>347</v>
      </c>
      <c r="E11" s="660" t="s">
        <v>347</v>
      </c>
      <c r="F11" s="659" t="s">
        <v>347</v>
      </c>
      <c r="G11" s="661" t="s">
        <v>347</v>
      </c>
      <c r="H11" s="661" t="s">
        <v>347</v>
      </c>
      <c r="I11" s="661" t="s">
        <v>347</v>
      </c>
      <c r="J11" s="661" t="s">
        <v>347</v>
      </c>
      <c r="K11" s="661" t="s">
        <v>347</v>
      </c>
      <c r="L11" s="661" t="s">
        <v>347</v>
      </c>
      <c r="M11" s="659" t="s">
        <v>347</v>
      </c>
      <c r="N11" s="661"/>
      <c r="O11" s="141"/>
      <c r="P11" s="536"/>
      <c r="Q11" s="662" t="s">
        <v>347</v>
      </c>
      <c r="R11" s="142"/>
      <c r="S11" s="127" t="str">
        <f>IFERROR(VLOOKUP(R11,参数表!$H$2:$I$50,2,FALSE),"")</f>
        <v/>
      </c>
      <c r="T11" s="128" t="str">
        <f t="shared" si="8"/>
        <v/>
      </c>
      <c r="U11" s="128" t="str">
        <f t="shared" si="9"/>
        <v/>
      </c>
      <c r="V11" s="129" t="str">
        <f t="shared" si="10"/>
        <v/>
      </c>
      <c r="W11" s="886"/>
      <c r="X11" s="886"/>
      <c r="Y11" s="886"/>
      <c r="Z11" s="886"/>
      <c r="AA11" s="886"/>
      <c r="AB11" s="886"/>
      <c r="AC11" s="883" t="str">
        <f t="shared" si="11"/>
        <v/>
      </c>
      <c r="AD11" s="883" t="str">
        <f t="shared" si="12"/>
        <v/>
      </c>
      <c r="AE11" s="883" t="str">
        <f t="shared" si="13"/>
        <v/>
      </c>
      <c r="AF11" s="883" t="str">
        <f t="shared" si="0"/>
        <v/>
      </c>
      <c r="AG11" s="884" t="str">
        <f t="shared" si="1"/>
        <v/>
      </c>
      <c r="AH11" s="883" t="str">
        <f t="shared" si="14"/>
        <v/>
      </c>
      <c r="AI11" s="883" t="str">
        <f t="shared" si="15"/>
        <v/>
      </c>
      <c r="AJ11" s="887" t="s">
        <v>347</v>
      </c>
      <c r="BA11" s="78"/>
      <c r="BB11" s="132" t="s">
        <v>3983</v>
      </c>
      <c r="BC11" s="133"/>
      <c r="BD11" s="132" t="str">
        <f>IF(OR(C11="",BC11=""),"",COUNTIF(BC$8:BC11,"√"))</f>
        <v/>
      </c>
      <c r="BE11" s="134" t="str">
        <f t="shared" si="2"/>
        <v/>
      </c>
      <c r="BF11" s="135" t="str">
        <f t="shared" si="16"/>
        <v/>
      </c>
      <c r="BG11" s="135" t="str">
        <f t="shared" si="16"/>
        <v/>
      </c>
      <c r="BH11" s="136"/>
      <c r="BI11" s="136"/>
      <c r="BJ11" s="136"/>
      <c r="BK11" s="136"/>
      <c r="BL11" s="136"/>
      <c r="BM11" s="137"/>
      <c r="BN11" s="136"/>
      <c r="BO11" s="137"/>
      <c r="BP11" s="165" t="s">
        <v>2706</v>
      </c>
      <c r="BQ11" s="676"/>
      <c r="BR11" s="522">
        <f t="shared" si="3"/>
        <v>0</v>
      </c>
      <c r="BS11" s="850"/>
      <c r="BT11" s="850"/>
      <c r="BU11" s="851">
        <f t="shared" si="17"/>
        <v>0</v>
      </c>
      <c r="BV11" s="156">
        <f t="shared" si="18"/>
        <v>0</v>
      </c>
      <c r="BW11" s="156">
        <f t="shared" si="19"/>
        <v>0</v>
      </c>
      <c r="BX11" s="522">
        <f t="shared" si="4"/>
        <v>1</v>
      </c>
      <c r="BY11" s="852">
        <f>LOOKUP(BX11,参数表!$A$13:$B$19)</f>
        <v>0</v>
      </c>
      <c r="BZ11" s="156">
        <f t="shared" si="20"/>
        <v>0</v>
      </c>
      <c r="CA11" s="156">
        <f t="shared" si="21"/>
        <v>0</v>
      </c>
      <c r="CB11" s="522">
        <f t="shared" si="5"/>
        <v>125.582477754962</v>
      </c>
      <c r="CC11" s="676"/>
      <c r="CD11" s="853">
        <f>IFERROR(ROUND(1-CB11/CC11,2),0)</f>
        <v>0</v>
      </c>
      <c r="CE11" s="853">
        <f t="shared" si="22"/>
        <v>0</v>
      </c>
      <c r="CF11" s="853">
        <f t="shared" si="6"/>
        <v>0</v>
      </c>
      <c r="CH11" s="134" t="str">
        <f>IF(COUNTIF(CH$7:CH10,X11)&gt;0,"",X11)&amp;""</f>
        <v/>
      </c>
      <c r="CI11" s="138">
        <f t="shared" si="23"/>
        <v>0</v>
      </c>
      <c r="CJ11" s="132">
        <f t="shared" si="24"/>
        <v>1</v>
      </c>
      <c r="CK11" s="138">
        <f t="shared" si="25"/>
        <v>0</v>
      </c>
      <c r="CL11" s="132">
        <f t="shared" si="26"/>
        <v>1</v>
      </c>
      <c r="CM11" s="132">
        <v>2</v>
      </c>
      <c r="CN11" s="134" t="str">
        <f t="shared" ref="CN11:CN14" si="27">IFERROR(INDEX(CH$8:CH$27,MATCH(CM11,IF(CM$8=0,CL$8:CL$27,CJ$8:CJ$27),0))&amp;"","")</f>
        <v/>
      </c>
      <c r="CO11" s="146" t="str">
        <f t="shared" ref="CO11:CO12" si="28">IF(CN12="","",IF(CN13="","和","、"))</f>
        <v/>
      </c>
    </row>
    <row r="12" customHeight="1" spans="1:93">
      <c r="A12" s="123" t="str">
        <f>IF(C12="","",COUNT(A$7:A11)+1)</f>
        <v/>
      </c>
      <c r="B12" s="659" t="s">
        <v>347</v>
      </c>
      <c r="C12" s="659" t="s">
        <v>347</v>
      </c>
      <c r="D12" s="659" t="s">
        <v>347</v>
      </c>
      <c r="E12" s="660" t="s">
        <v>347</v>
      </c>
      <c r="F12" s="659" t="s">
        <v>347</v>
      </c>
      <c r="G12" s="661" t="s">
        <v>347</v>
      </c>
      <c r="H12" s="661" t="s">
        <v>347</v>
      </c>
      <c r="I12" s="661" t="s">
        <v>347</v>
      </c>
      <c r="J12" s="661" t="s">
        <v>347</v>
      </c>
      <c r="K12" s="661" t="s">
        <v>347</v>
      </c>
      <c r="L12" s="661" t="s">
        <v>347</v>
      </c>
      <c r="M12" s="659" t="s">
        <v>347</v>
      </c>
      <c r="N12" s="661"/>
      <c r="O12" s="141"/>
      <c r="P12" s="536"/>
      <c r="Q12" s="662" t="s">
        <v>347</v>
      </c>
      <c r="R12" s="142"/>
      <c r="S12" s="127" t="str">
        <f>IFERROR(VLOOKUP(R12,参数表!$H$2:$I$50,2,FALSE),"")</f>
        <v/>
      </c>
      <c r="T12" s="128" t="str">
        <f t="shared" si="8"/>
        <v/>
      </c>
      <c r="U12" s="128" t="str">
        <f t="shared" si="9"/>
        <v/>
      </c>
      <c r="V12" s="129" t="str">
        <f t="shared" si="10"/>
        <v/>
      </c>
      <c r="W12" s="886"/>
      <c r="X12" s="886"/>
      <c r="Y12" s="886"/>
      <c r="Z12" s="886"/>
      <c r="AA12" s="886"/>
      <c r="AB12" s="886"/>
      <c r="AC12" s="883" t="str">
        <f t="shared" si="11"/>
        <v/>
      </c>
      <c r="AD12" s="883" t="str">
        <f t="shared" si="12"/>
        <v/>
      </c>
      <c r="AE12" s="883" t="str">
        <f t="shared" si="13"/>
        <v/>
      </c>
      <c r="AF12" s="883" t="str">
        <f t="shared" si="0"/>
        <v/>
      </c>
      <c r="AG12" s="884" t="str">
        <f t="shared" si="1"/>
        <v/>
      </c>
      <c r="AH12" s="883" t="str">
        <f t="shared" si="14"/>
        <v/>
      </c>
      <c r="AI12" s="883" t="str">
        <f t="shared" si="15"/>
        <v/>
      </c>
      <c r="AJ12" s="887" t="s">
        <v>347</v>
      </c>
      <c r="BA12" s="78"/>
      <c r="BB12" s="132" t="s">
        <v>3984</v>
      </c>
      <c r="BC12" s="133"/>
      <c r="BD12" s="132" t="str">
        <f>IF(OR(C12="",BC12=""),"",COUNTIF(BC$8:BC12,"√"))</f>
        <v/>
      </c>
      <c r="BE12" s="134" t="str">
        <f t="shared" si="2"/>
        <v/>
      </c>
      <c r="BF12" s="135" t="str">
        <f t="shared" si="16"/>
        <v/>
      </c>
      <c r="BG12" s="135" t="str">
        <f t="shared" si="16"/>
        <v/>
      </c>
      <c r="BH12" s="136"/>
      <c r="BI12" s="136"/>
      <c r="BJ12" s="136"/>
      <c r="BK12" s="136"/>
      <c r="BL12" s="136"/>
      <c r="BM12" s="137"/>
      <c r="BN12" s="136"/>
      <c r="BO12" s="137"/>
      <c r="BP12" s="165" t="s">
        <v>2706</v>
      </c>
      <c r="BQ12" s="676"/>
      <c r="BR12" s="522">
        <f t="shared" si="3"/>
        <v>0</v>
      </c>
      <c r="BS12" s="850"/>
      <c r="BT12" s="850"/>
      <c r="BU12" s="851">
        <f t="shared" si="17"/>
        <v>0</v>
      </c>
      <c r="BV12" s="156">
        <f t="shared" si="18"/>
        <v>0</v>
      </c>
      <c r="BW12" s="156">
        <f t="shared" si="19"/>
        <v>0</v>
      </c>
      <c r="BX12" s="522">
        <f t="shared" si="4"/>
        <v>1</v>
      </c>
      <c r="BY12" s="852">
        <f>LOOKUP(BX12,参数表!$A$13:$B$19)</f>
        <v>0</v>
      </c>
      <c r="BZ12" s="156">
        <f t="shared" si="20"/>
        <v>0</v>
      </c>
      <c r="CA12" s="156">
        <f t="shared" si="21"/>
        <v>0</v>
      </c>
      <c r="CB12" s="522">
        <f t="shared" si="5"/>
        <v>125.582477754962</v>
      </c>
      <c r="CC12" s="676"/>
      <c r="CD12" s="853">
        <f t="shared" ref="CD12:CD27" si="29">IFERROR(ROUND(1-CB12/CC12,2),0)</f>
        <v>0</v>
      </c>
      <c r="CE12" s="853">
        <f t="shared" si="22"/>
        <v>0</v>
      </c>
      <c r="CF12" s="853">
        <f t="shared" si="6"/>
        <v>0</v>
      </c>
      <c r="CH12" s="134" t="str">
        <f>IF(COUNTIF(CH$7:CH11,X12)&gt;0,"",X12)&amp;""</f>
        <v/>
      </c>
      <c r="CI12" s="138">
        <f t="shared" si="23"/>
        <v>0</v>
      </c>
      <c r="CJ12" s="132">
        <f t="shared" si="24"/>
        <v>1</v>
      </c>
      <c r="CK12" s="138">
        <f t="shared" si="25"/>
        <v>0</v>
      </c>
      <c r="CL12" s="132">
        <f t="shared" si="26"/>
        <v>1</v>
      </c>
      <c r="CM12" s="132">
        <v>3</v>
      </c>
      <c r="CN12" s="134" t="str">
        <f t="shared" si="27"/>
        <v/>
      </c>
      <c r="CO12" s="146" t="str">
        <f t="shared" si="28"/>
        <v/>
      </c>
    </row>
    <row r="13" customHeight="1" spans="1:93">
      <c r="A13" s="123" t="str">
        <f>IF(C13="","",COUNT(A$7:A12)+1)</f>
        <v/>
      </c>
      <c r="B13" s="659" t="s">
        <v>347</v>
      </c>
      <c r="C13" s="659" t="s">
        <v>347</v>
      </c>
      <c r="D13" s="659" t="s">
        <v>347</v>
      </c>
      <c r="E13" s="660" t="s">
        <v>347</v>
      </c>
      <c r="F13" s="659" t="s">
        <v>347</v>
      </c>
      <c r="G13" s="661" t="s">
        <v>347</v>
      </c>
      <c r="H13" s="661" t="s">
        <v>347</v>
      </c>
      <c r="I13" s="661" t="s">
        <v>347</v>
      </c>
      <c r="J13" s="661" t="s">
        <v>347</v>
      </c>
      <c r="K13" s="661" t="s">
        <v>347</v>
      </c>
      <c r="L13" s="661" t="s">
        <v>347</v>
      </c>
      <c r="M13" s="659" t="s">
        <v>347</v>
      </c>
      <c r="N13" s="661"/>
      <c r="O13" s="141"/>
      <c r="P13" s="536"/>
      <c r="Q13" s="662" t="s">
        <v>347</v>
      </c>
      <c r="R13" s="142"/>
      <c r="S13" s="127" t="str">
        <f>IFERROR(VLOOKUP(R13,参数表!$H$2:$I$50,2,FALSE),"")</f>
        <v/>
      </c>
      <c r="T13" s="128" t="str">
        <f t="shared" si="8"/>
        <v/>
      </c>
      <c r="U13" s="128" t="str">
        <f t="shared" si="9"/>
        <v/>
      </c>
      <c r="V13" s="129" t="str">
        <f t="shared" si="10"/>
        <v/>
      </c>
      <c r="W13" s="886"/>
      <c r="X13" s="886"/>
      <c r="Y13" s="886"/>
      <c r="Z13" s="886"/>
      <c r="AA13" s="886"/>
      <c r="AB13" s="886"/>
      <c r="AC13" s="883" t="str">
        <f t="shared" si="11"/>
        <v/>
      </c>
      <c r="AD13" s="883" t="str">
        <f t="shared" si="12"/>
        <v/>
      </c>
      <c r="AE13" s="883" t="str">
        <f t="shared" si="13"/>
        <v/>
      </c>
      <c r="AF13" s="883" t="str">
        <f t="shared" si="0"/>
        <v/>
      </c>
      <c r="AG13" s="884" t="str">
        <f t="shared" si="1"/>
        <v/>
      </c>
      <c r="AH13" s="883" t="str">
        <f t="shared" si="14"/>
        <v/>
      </c>
      <c r="AI13" s="883" t="str">
        <f t="shared" si="15"/>
        <v/>
      </c>
      <c r="AJ13" s="887" t="s">
        <v>347</v>
      </c>
      <c r="BA13" s="78"/>
      <c r="BB13" s="132" t="s">
        <v>3985</v>
      </c>
      <c r="BC13" s="133"/>
      <c r="BD13" s="132" t="str">
        <f>IF(OR(C13="",BC13=""),"",COUNTIF(BC$8:BC13,"√"))</f>
        <v/>
      </c>
      <c r="BE13" s="134" t="str">
        <f t="shared" si="2"/>
        <v/>
      </c>
      <c r="BF13" s="135" t="str">
        <f t="shared" si="16"/>
        <v/>
      </c>
      <c r="BG13" s="135" t="str">
        <f t="shared" si="16"/>
        <v/>
      </c>
      <c r="BH13" s="136"/>
      <c r="BI13" s="136"/>
      <c r="BJ13" s="136"/>
      <c r="BK13" s="136"/>
      <c r="BL13" s="136"/>
      <c r="BM13" s="137"/>
      <c r="BN13" s="136"/>
      <c r="BO13" s="137"/>
      <c r="BP13" s="165" t="s">
        <v>2706</v>
      </c>
      <c r="BQ13" s="676"/>
      <c r="BR13" s="522">
        <f t="shared" si="3"/>
        <v>0</v>
      </c>
      <c r="BS13" s="850"/>
      <c r="BT13" s="850"/>
      <c r="BU13" s="851">
        <f t="shared" si="17"/>
        <v>0</v>
      </c>
      <c r="BV13" s="156">
        <f t="shared" si="18"/>
        <v>0</v>
      </c>
      <c r="BW13" s="156">
        <f t="shared" si="19"/>
        <v>0</v>
      </c>
      <c r="BX13" s="522">
        <f t="shared" si="4"/>
        <v>1</v>
      </c>
      <c r="BY13" s="852">
        <f>LOOKUP(BX13,参数表!$A$13:$B$19)</f>
        <v>0</v>
      </c>
      <c r="BZ13" s="156">
        <f t="shared" si="20"/>
        <v>0</v>
      </c>
      <c r="CA13" s="156">
        <f t="shared" si="21"/>
        <v>0</v>
      </c>
      <c r="CB13" s="522">
        <f t="shared" si="5"/>
        <v>125.582477754962</v>
      </c>
      <c r="CC13" s="676"/>
      <c r="CD13" s="853">
        <f t="shared" si="29"/>
        <v>0</v>
      </c>
      <c r="CE13" s="853">
        <f t="shared" si="22"/>
        <v>0</v>
      </c>
      <c r="CF13" s="853">
        <f t="shared" si="6"/>
        <v>0</v>
      </c>
      <c r="CH13" s="134" t="str">
        <f>IF(COUNTIF(CH$7:CH12,X13)&gt;0,"",X13)&amp;""</f>
        <v/>
      </c>
      <c r="CI13" s="138">
        <f t="shared" si="23"/>
        <v>0</v>
      </c>
      <c r="CJ13" s="132">
        <f t="shared" si="24"/>
        <v>1</v>
      </c>
      <c r="CK13" s="138">
        <f t="shared" si="25"/>
        <v>0</v>
      </c>
      <c r="CL13" s="132">
        <f t="shared" si="26"/>
        <v>1</v>
      </c>
      <c r="CM13" s="132">
        <v>4</v>
      </c>
      <c r="CN13" s="134" t="str">
        <f t="shared" si="27"/>
        <v/>
      </c>
      <c r="CO13" s="146" t="str">
        <f>IF(CN14="","","和")</f>
        <v/>
      </c>
    </row>
    <row r="14" customHeight="1" spans="1:93">
      <c r="A14" s="123" t="str">
        <f>IF(C14="","",COUNT(A$7:A13)+1)</f>
        <v/>
      </c>
      <c r="B14" s="659" t="s">
        <v>347</v>
      </c>
      <c r="C14" s="659" t="s">
        <v>347</v>
      </c>
      <c r="D14" s="659" t="s">
        <v>347</v>
      </c>
      <c r="E14" s="660" t="s">
        <v>347</v>
      </c>
      <c r="F14" s="659" t="s">
        <v>347</v>
      </c>
      <c r="G14" s="661" t="s">
        <v>347</v>
      </c>
      <c r="H14" s="661" t="s">
        <v>347</v>
      </c>
      <c r="I14" s="661" t="s">
        <v>347</v>
      </c>
      <c r="J14" s="661" t="s">
        <v>347</v>
      </c>
      <c r="K14" s="661" t="s">
        <v>347</v>
      </c>
      <c r="L14" s="661" t="s">
        <v>347</v>
      </c>
      <c r="M14" s="659" t="s">
        <v>347</v>
      </c>
      <c r="N14" s="661"/>
      <c r="O14" s="141"/>
      <c r="P14" s="536"/>
      <c r="Q14" s="662" t="s">
        <v>347</v>
      </c>
      <c r="R14" s="142"/>
      <c r="S14" s="127" t="str">
        <f>IFERROR(VLOOKUP(R14,参数表!$H$2:$I$50,2,FALSE),"")</f>
        <v/>
      </c>
      <c r="T14" s="128" t="str">
        <f t="shared" si="8"/>
        <v/>
      </c>
      <c r="U14" s="128" t="str">
        <f t="shared" si="9"/>
        <v/>
      </c>
      <c r="V14" s="129" t="str">
        <f t="shared" si="10"/>
        <v/>
      </c>
      <c r="W14" s="886"/>
      <c r="X14" s="886"/>
      <c r="Y14" s="886"/>
      <c r="Z14" s="886"/>
      <c r="AA14" s="886"/>
      <c r="AB14" s="886"/>
      <c r="AC14" s="883" t="str">
        <f t="shared" si="11"/>
        <v/>
      </c>
      <c r="AD14" s="883" t="str">
        <f t="shared" si="12"/>
        <v/>
      </c>
      <c r="AE14" s="883" t="str">
        <f t="shared" si="13"/>
        <v/>
      </c>
      <c r="AF14" s="883" t="str">
        <f t="shared" si="0"/>
        <v/>
      </c>
      <c r="AG14" s="884" t="str">
        <f t="shared" si="1"/>
        <v/>
      </c>
      <c r="AH14" s="883" t="str">
        <f t="shared" si="14"/>
        <v/>
      </c>
      <c r="AI14" s="883" t="str">
        <f t="shared" si="15"/>
        <v/>
      </c>
      <c r="AJ14" s="887" t="s">
        <v>347</v>
      </c>
      <c r="BA14" s="78"/>
      <c r="BB14" s="132" t="s">
        <v>3986</v>
      </c>
      <c r="BC14" s="133"/>
      <c r="BD14" s="132" t="str">
        <f>IF(OR(C14="",BC14=""),"",COUNTIF(BC$8:BC14,"√"))</f>
        <v/>
      </c>
      <c r="BE14" s="134" t="str">
        <f t="shared" si="2"/>
        <v/>
      </c>
      <c r="BF14" s="135" t="str">
        <f t="shared" si="16"/>
        <v/>
      </c>
      <c r="BG14" s="135" t="str">
        <f t="shared" si="16"/>
        <v/>
      </c>
      <c r="BH14" s="136"/>
      <c r="BI14" s="136"/>
      <c r="BJ14" s="136"/>
      <c r="BK14" s="136"/>
      <c r="BL14" s="136"/>
      <c r="BM14" s="137"/>
      <c r="BN14" s="136"/>
      <c r="BO14" s="137"/>
      <c r="BP14" s="165" t="s">
        <v>2706</v>
      </c>
      <c r="BQ14" s="676"/>
      <c r="BR14" s="522">
        <f t="shared" si="3"/>
        <v>0</v>
      </c>
      <c r="BS14" s="850"/>
      <c r="BT14" s="850"/>
      <c r="BU14" s="851">
        <f t="shared" si="17"/>
        <v>0</v>
      </c>
      <c r="BV14" s="156">
        <f t="shared" si="18"/>
        <v>0</v>
      </c>
      <c r="BW14" s="156">
        <f t="shared" si="19"/>
        <v>0</v>
      </c>
      <c r="BX14" s="522">
        <f t="shared" si="4"/>
        <v>1</v>
      </c>
      <c r="BY14" s="852">
        <f>LOOKUP(BX14,参数表!$A$13:$B$19)</f>
        <v>0</v>
      </c>
      <c r="BZ14" s="156">
        <f t="shared" si="20"/>
        <v>0</v>
      </c>
      <c r="CA14" s="156">
        <f t="shared" si="21"/>
        <v>0</v>
      </c>
      <c r="CB14" s="522">
        <f t="shared" si="5"/>
        <v>125.582477754962</v>
      </c>
      <c r="CC14" s="676"/>
      <c r="CD14" s="853">
        <f t="shared" si="29"/>
        <v>0</v>
      </c>
      <c r="CE14" s="853">
        <f t="shared" si="22"/>
        <v>0</v>
      </c>
      <c r="CF14" s="853">
        <f t="shared" si="6"/>
        <v>0</v>
      </c>
      <c r="CH14" s="134" t="str">
        <f>IF(COUNTIF(CH$7:CH13,X14)&gt;0,"",X14)&amp;""</f>
        <v/>
      </c>
      <c r="CI14" s="138">
        <f t="shared" si="23"/>
        <v>0</v>
      </c>
      <c r="CJ14" s="132">
        <f t="shared" si="24"/>
        <v>1</v>
      </c>
      <c r="CK14" s="138">
        <f t="shared" si="25"/>
        <v>0</v>
      </c>
      <c r="CL14" s="132">
        <f t="shared" si="26"/>
        <v>1</v>
      </c>
      <c r="CM14" s="132">
        <v>5</v>
      </c>
      <c r="CN14" s="134" t="str">
        <f t="shared" si="27"/>
        <v/>
      </c>
      <c r="CO14" s="146"/>
    </row>
    <row r="15" customHeight="1" spans="1:93">
      <c r="A15" s="123" t="str">
        <f>IF(C15="","",COUNT(A$7:A14)+1)</f>
        <v/>
      </c>
      <c r="B15" s="659" t="s">
        <v>347</v>
      </c>
      <c r="C15" s="659" t="s">
        <v>347</v>
      </c>
      <c r="D15" s="659" t="s">
        <v>347</v>
      </c>
      <c r="E15" s="660" t="s">
        <v>347</v>
      </c>
      <c r="F15" s="659" t="s">
        <v>347</v>
      </c>
      <c r="G15" s="661" t="s">
        <v>347</v>
      </c>
      <c r="H15" s="661" t="s">
        <v>347</v>
      </c>
      <c r="I15" s="661" t="s">
        <v>347</v>
      </c>
      <c r="J15" s="661" t="s">
        <v>347</v>
      </c>
      <c r="K15" s="661" t="s">
        <v>347</v>
      </c>
      <c r="L15" s="661" t="s">
        <v>347</v>
      </c>
      <c r="M15" s="659" t="s">
        <v>347</v>
      </c>
      <c r="N15" s="661"/>
      <c r="O15" s="141"/>
      <c r="P15" s="536"/>
      <c r="Q15" s="662" t="s">
        <v>347</v>
      </c>
      <c r="R15" s="142"/>
      <c r="S15" s="127" t="str">
        <f>IFERROR(VLOOKUP(R15,参数表!$H$2:$I$50,2,FALSE),"")</f>
        <v/>
      </c>
      <c r="T15" s="128" t="str">
        <f t="shared" si="8"/>
        <v/>
      </c>
      <c r="U15" s="128" t="str">
        <f t="shared" si="9"/>
        <v/>
      </c>
      <c r="V15" s="129" t="str">
        <f t="shared" si="10"/>
        <v/>
      </c>
      <c r="W15" s="886"/>
      <c r="X15" s="886"/>
      <c r="Y15" s="886"/>
      <c r="Z15" s="886"/>
      <c r="AA15" s="886"/>
      <c r="AB15" s="886"/>
      <c r="AC15" s="883" t="str">
        <f t="shared" si="11"/>
        <v/>
      </c>
      <c r="AD15" s="883" t="str">
        <f t="shared" si="12"/>
        <v/>
      </c>
      <c r="AE15" s="883" t="str">
        <f t="shared" si="13"/>
        <v/>
      </c>
      <c r="AF15" s="883" t="str">
        <f t="shared" si="0"/>
        <v/>
      </c>
      <c r="AG15" s="884" t="str">
        <f t="shared" si="1"/>
        <v/>
      </c>
      <c r="AH15" s="883" t="str">
        <f t="shared" si="14"/>
        <v/>
      </c>
      <c r="AI15" s="883" t="str">
        <f t="shared" si="15"/>
        <v/>
      </c>
      <c r="AJ15" s="887" t="s">
        <v>347</v>
      </c>
      <c r="BA15" s="78"/>
      <c r="BB15" s="132" t="s">
        <v>3987</v>
      </c>
      <c r="BC15" s="133"/>
      <c r="BD15" s="132" t="str">
        <f>IF(OR(C15="",BC15=""),"",COUNTIF(BC$8:BC15,"√"))</f>
        <v/>
      </c>
      <c r="BE15" s="134" t="str">
        <f t="shared" si="2"/>
        <v/>
      </c>
      <c r="BF15" s="135" t="str">
        <f t="shared" si="16"/>
        <v/>
      </c>
      <c r="BG15" s="135" t="str">
        <f t="shared" si="16"/>
        <v/>
      </c>
      <c r="BH15" s="136"/>
      <c r="BI15" s="136"/>
      <c r="BJ15" s="136"/>
      <c r="BK15" s="136"/>
      <c r="BL15" s="136"/>
      <c r="BM15" s="137"/>
      <c r="BN15" s="136"/>
      <c r="BO15" s="137"/>
      <c r="BP15" s="165" t="s">
        <v>2706</v>
      </c>
      <c r="BQ15" s="676"/>
      <c r="BR15" s="522">
        <f t="shared" si="3"/>
        <v>0</v>
      </c>
      <c r="BS15" s="850"/>
      <c r="BT15" s="850"/>
      <c r="BU15" s="851">
        <f t="shared" si="17"/>
        <v>0</v>
      </c>
      <c r="BV15" s="156">
        <f t="shared" si="18"/>
        <v>0</v>
      </c>
      <c r="BW15" s="156">
        <f t="shared" si="19"/>
        <v>0</v>
      </c>
      <c r="BX15" s="522">
        <f t="shared" si="4"/>
        <v>1</v>
      </c>
      <c r="BY15" s="852">
        <f>LOOKUP(BX15,参数表!$A$13:$B$19)</f>
        <v>0</v>
      </c>
      <c r="BZ15" s="156">
        <f t="shared" si="20"/>
        <v>0</v>
      </c>
      <c r="CA15" s="156">
        <f t="shared" si="21"/>
        <v>0</v>
      </c>
      <c r="CB15" s="522">
        <f t="shared" si="5"/>
        <v>125.582477754962</v>
      </c>
      <c r="CC15" s="676"/>
      <c r="CD15" s="853">
        <f t="shared" si="29"/>
        <v>0</v>
      </c>
      <c r="CE15" s="853">
        <f t="shared" si="22"/>
        <v>0</v>
      </c>
      <c r="CF15" s="853">
        <f t="shared" si="6"/>
        <v>0</v>
      </c>
      <c r="CH15" s="134" t="str">
        <f>IF(COUNTIF(CH$7:CH14,X15)&gt;0,"",X15)&amp;""</f>
        <v/>
      </c>
      <c r="CI15" s="138">
        <f t="shared" si="23"/>
        <v>0</v>
      </c>
      <c r="CJ15" s="132">
        <f t="shared" si="24"/>
        <v>1</v>
      </c>
      <c r="CK15" s="138">
        <f t="shared" si="25"/>
        <v>0</v>
      </c>
      <c r="CL15" s="132">
        <f t="shared" si="26"/>
        <v>1</v>
      </c>
      <c r="CM15" s="147" t="s">
        <v>1659</v>
      </c>
      <c r="CN15" s="132" t="str">
        <f>CONCATENATE(CN10,CO10,CN11,CO11,CN12,CO12,CN13,CO13,CN14)</f>
        <v/>
      </c>
      <c r="CO15" s="132"/>
    </row>
    <row r="16" customHeight="1" spans="1:93">
      <c r="A16" s="123" t="str">
        <f>IF(C16="","",COUNT(A$7:A15)+1)</f>
        <v/>
      </c>
      <c r="B16" s="659" t="s">
        <v>347</v>
      </c>
      <c r="C16" s="659" t="s">
        <v>347</v>
      </c>
      <c r="D16" s="659" t="s">
        <v>347</v>
      </c>
      <c r="E16" s="660" t="s">
        <v>347</v>
      </c>
      <c r="F16" s="659" t="s">
        <v>347</v>
      </c>
      <c r="G16" s="661" t="s">
        <v>347</v>
      </c>
      <c r="H16" s="661" t="s">
        <v>347</v>
      </c>
      <c r="I16" s="661" t="s">
        <v>347</v>
      </c>
      <c r="J16" s="661" t="s">
        <v>347</v>
      </c>
      <c r="K16" s="661" t="s">
        <v>347</v>
      </c>
      <c r="L16" s="661" t="s">
        <v>347</v>
      </c>
      <c r="M16" s="659" t="s">
        <v>347</v>
      </c>
      <c r="N16" s="661"/>
      <c r="O16" s="141"/>
      <c r="P16" s="536"/>
      <c r="Q16" s="662" t="s">
        <v>347</v>
      </c>
      <c r="R16" s="142"/>
      <c r="S16" s="127" t="str">
        <f>IFERROR(VLOOKUP(R16,参数表!$H$2:$I$50,2,FALSE),"")</f>
        <v/>
      </c>
      <c r="T16" s="128" t="str">
        <f t="shared" si="8"/>
        <v/>
      </c>
      <c r="U16" s="128" t="str">
        <f t="shared" si="9"/>
        <v/>
      </c>
      <c r="V16" s="129" t="str">
        <f t="shared" si="10"/>
        <v/>
      </c>
      <c r="W16" s="886"/>
      <c r="X16" s="886"/>
      <c r="Y16" s="886"/>
      <c r="Z16" s="886"/>
      <c r="AA16" s="886"/>
      <c r="AB16" s="886"/>
      <c r="AC16" s="883" t="str">
        <f t="shared" si="11"/>
        <v/>
      </c>
      <c r="AD16" s="883" t="str">
        <f t="shared" si="12"/>
        <v/>
      </c>
      <c r="AE16" s="883" t="str">
        <f t="shared" si="13"/>
        <v/>
      </c>
      <c r="AF16" s="883" t="str">
        <f t="shared" si="0"/>
        <v/>
      </c>
      <c r="AG16" s="884" t="str">
        <f t="shared" si="1"/>
        <v/>
      </c>
      <c r="AH16" s="883" t="str">
        <f t="shared" si="14"/>
        <v/>
      </c>
      <c r="AI16" s="883" t="str">
        <f t="shared" si="15"/>
        <v/>
      </c>
      <c r="AJ16" s="887" t="s">
        <v>347</v>
      </c>
      <c r="BA16" s="78"/>
      <c r="BB16" s="132" t="s">
        <v>3988</v>
      </c>
      <c r="BC16" s="133"/>
      <c r="BD16" s="132" t="str">
        <f>IF(OR(C16="",BC16=""),"",COUNTIF(BC$8:BC16,"√"))</f>
        <v/>
      </c>
      <c r="BE16" s="134" t="str">
        <f t="shared" si="2"/>
        <v/>
      </c>
      <c r="BF16" s="135" t="str">
        <f t="shared" si="16"/>
        <v/>
      </c>
      <c r="BG16" s="135" t="str">
        <f t="shared" si="16"/>
        <v/>
      </c>
      <c r="BH16" s="136"/>
      <c r="BI16" s="136"/>
      <c r="BJ16" s="136"/>
      <c r="BK16" s="136"/>
      <c r="BL16" s="136"/>
      <c r="BM16" s="137"/>
      <c r="BN16" s="136"/>
      <c r="BO16" s="137"/>
      <c r="BP16" s="165" t="s">
        <v>2706</v>
      </c>
      <c r="BQ16" s="676"/>
      <c r="BR16" s="522">
        <f t="shared" si="3"/>
        <v>0</v>
      </c>
      <c r="BS16" s="850"/>
      <c r="BT16" s="850"/>
      <c r="BU16" s="851">
        <f t="shared" si="17"/>
        <v>0</v>
      </c>
      <c r="BV16" s="156">
        <f t="shared" si="18"/>
        <v>0</v>
      </c>
      <c r="BW16" s="156">
        <f t="shared" si="19"/>
        <v>0</v>
      </c>
      <c r="BX16" s="522">
        <f t="shared" si="4"/>
        <v>1</v>
      </c>
      <c r="BY16" s="852">
        <f>LOOKUP(BX16,参数表!$A$13:$B$19)</f>
        <v>0</v>
      </c>
      <c r="BZ16" s="156">
        <f t="shared" si="20"/>
        <v>0</v>
      </c>
      <c r="CA16" s="156">
        <f t="shared" si="21"/>
        <v>0</v>
      </c>
      <c r="CB16" s="522">
        <f t="shared" si="5"/>
        <v>125.582477754962</v>
      </c>
      <c r="CC16" s="676"/>
      <c r="CD16" s="853">
        <f t="shared" si="29"/>
        <v>0</v>
      </c>
      <c r="CE16" s="853">
        <f t="shared" si="22"/>
        <v>0</v>
      </c>
      <c r="CF16" s="853">
        <f t="shared" si="6"/>
        <v>0</v>
      </c>
      <c r="CH16" s="134" t="str">
        <f>IF(COUNTIF(CH$7:CH15,X16)&gt;0,"",X16)&amp;""</f>
        <v/>
      </c>
      <c r="CI16" s="138">
        <f t="shared" si="23"/>
        <v>0</v>
      </c>
      <c r="CJ16" s="132">
        <f t="shared" si="24"/>
        <v>1</v>
      </c>
      <c r="CK16" s="138">
        <f t="shared" si="25"/>
        <v>0</v>
      </c>
      <c r="CL16" s="132">
        <f t="shared" si="26"/>
        <v>1</v>
      </c>
      <c r="CM16" s="133"/>
      <c r="CN16" s="133"/>
    </row>
    <row r="17" customHeight="1" spans="1:93">
      <c r="A17" s="123" t="str">
        <f>IF(C17="","",COUNT(A$7:A16)+1)</f>
        <v/>
      </c>
      <c r="B17" s="659" t="s">
        <v>347</v>
      </c>
      <c r="C17" s="659" t="s">
        <v>347</v>
      </c>
      <c r="D17" s="659" t="s">
        <v>347</v>
      </c>
      <c r="E17" s="660" t="s">
        <v>347</v>
      </c>
      <c r="F17" s="659" t="s">
        <v>347</v>
      </c>
      <c r="G17" s="661" t="s">
        <v>347</v>
      </c>
      <c r="H17" s="661" t="s">
        <v>347</v>
      </c>
      <c r="I17" s="661" t="s">
        <v>347</v>
      </c>
      <c r="J17" s="661" t="s">
        <v>347</v>
      </c>
      <c r="K17" s="661" t="s">
        <v>347</v>
      </c>
      <c r="L17" s="661" t="s">
        <v>347</v>
      </c>
      <c r="M17" s="659" t="s">
        <v>347</v>
      </c>
      <c r="N17" s="661"/>
      <c r="O17" s="141"/>
      <c r="P17" s="536"/>
      <c r="Q17" s="662" t="s">
        <v>347</v>
      </c>
      <c r="R17" s="142"/>
      <c r="S17" s="127" t="str">
        <f>IFERROR(VLOOKUP(R17,参数表!$H$2:$I$50,2,FALSE),"")</f>
        <v/>
      </c>
      <c r="T17" s="128" t="str">
        <f t="shared" si="8"/>
        <v/>
      </c>
      <c r="U17" s="128" t="str">
        <f t="shared" si="9"/>
        <v/>
      </c>
      <c r="V17" s="129" t="str">
        <f t="shared" si="10"/>
        <v/>
      </c>
      <c r="W17" s="886"/>
      <c r="X17" s="886"/>
      <c r="Y17" s="886"/>
      <c r="Z17" s="886"/>
      <c r="AA17" s="886"/>
      <c r="AB17" s="886"/>
      <c r="AC17" s="883" t="str">
        <f t="shared" si="11"/>
        <v/>
      </c>
      <c r="AD17" s="883" t="str">
        <f t="shared" si="12"/>
        <v/>
      </c>
      <c r="AE17" s="883" t="str">
        <f t="shared" si="13"/>
        <v/>
      </c>
      <c r="AF17" s="883" t="str">
        <f t="shared" si="0"/>
        <v/>
      </c>
      <c r="AG17" s="884" t="str">
        <f t="shared" si="1"/>
        <v/>
      </c>
      <c r="AH17" s="883" t="str">
        <f t="shared" si="14"/>
        <v/>
      </c>
      <c r="AI17" s="883" t="str">
        <f t="shared" si="15"/>
        <v/>
      </c>
      <c r="AJ17" s="887" t="s">
        <v>347</v>
      </c>
      <c r="BA17" s="78"/>
      <c r="BB17" s="132" t="s">
        <v>3989</v>
      </c>
      <c r="BC17" s="133"/>
      <c r="BD17" s="132" t="str">
        <f>IF(OR(C17="",BC17=""),"",COUNTIF(BC$8:BC17,"√"))</f>
        <v/>
      </c>
      <c r="BE17" s="134" t="str">
        <f t="shared" si="2"/>
        <v/>
      </c>
      <c r="BF17" s="135" t="str">
        <f t="shared" si="16"/>
        <v/>
      </c>
      <c r="BG17" s="135" t="str">
        <f t="shared" si="16"/>
        <v/>
      </c>
      <c r="BH17" s="136"/>
      <c r="BI17" s="136"/>
      <c r="BJ17" s="136"/>
      <c r="BK17" s="136"/>
      <c r="BL17" s="136"/>
      <c r="BM17" s="137"/>
      <c r="BN17" s="136"/>
      <c r="BO17" s="137"/>
      <c r="BP17" s="165" t="s">
        <v>2706</v>
      </c>
      <c r="BQ17" s="676"/>
      <c r="BR17" s="522">
        <f t="shared" si="3"/>
        <v>0</v>
      </c>
      <c r="BS17" s="850"/>
      <c r="BT17" s="850"/>
      <c r="BU17" s="851">
        <f t="shared" si="17"/>
        <v>0</v>
      </c>
      <c r="BV17" s="156">
        <f t="shared" si="18"/>
        <v>0</v>
      </c>
      <c r="BW17" s="156">
        <f t="shared" si="19"/>
        <v>0</v>
      </c>
      <c r="BX17" s="522">
        <f t="shared" si="4"/>
        <v>1</v>
      </c>
      <c r="BY17" s="852">
        <f>LOOKUP(BX17,参数表!$A$13:$B$19)</f>
        <v>0</v>
      </c>
      <c r="BZ17" s="156">
        <f t="shared" si="20"/>
        <v>0</v>
      </c>
      <c r="CA17" s="156">
        <f t="shared" si="21"/>
        <v>0</v>
      </c>
      <c r="CB17" s="522">
        <f t="shared" si="5"/>
        <v>125.582477754962</v>
      </c>
      <c r="CC17" s="676"/>
      <c r="CD17" s="853">
        <f t="shared" si="29"/>
        <v>0</v>
      </c>
      <c r="CE17" s="853">
        <f t="shared" si="22"/>
        <v>0</v>
      </c>
      <c r="CF17" s="853">
        <f t="shared" si="6"/>
        <v>0</v>
      </c>
      <c r="CH17" s="134" t="str">
        <f>IF(COUNTIF(CH$7:CH16,X17)&gt;0,"",X17)&amp;""</f>
        <v/>
      </c>
      <c r="CI17" s="138">
        <f t="shared" si="23"/>
        <v>0</v>
      </c>
      <c r="CJ17" s="132">
        <f t="shared" si="24"/>
        <v>1</v>
      </c>
      <c r="CK17" s="138">
        <f t="shared" si="25"/>
        <v>0</v>
      </c>
      <c r="CL17" s="132">
        <f t="shared" si="26"/>
        <v>1</v>
      </c>
      <c r="CM17" s="133"/>
      <c r="CN17" s="148"/>
    </row>
    <row r="18" customHeight="1" spans="1:93">
      <c r="A18" s="123" t="str">
        <f>IF(C18="","",COUNT(A$7:A17)+1)</f>
        <v/>
      </c>
      <c r="B18" s="659" t="s">
        <v>347</v>
      </c>
      <c r="C18" s="659" t="s">
        <v>347</v>
      </c>
      <c r="D18" s="659" t="s">
        <v>347</v>
      </c>
      <c r="E18" s="660" t="s">
        <v>347</v>
      </c>
      <c r="F18" s="659" t="s">
        <v>347</v>
      </c>
      <c r="G18" s="661" t="s">
        <v>347</v>
      </c>
      <c r="H18" s="661" t="s">
        <v>347</v>
      </c>
      <c r="I18" s="661" t="s">
        <v>347</v>
      </c>
      <c r="J18" s="661" t="s">
        <v>347</v>
      </c>
      <c r="K18" s="661" t="s">
        <v>347</v>
      </c>
      <c r="L18" s="661" t="s">
        <v>347</v>
      </c>
      <c r="M18" s="659" t="s">
        <v>347</v>
      </c>
      <c r="N18" s="661"/>
      <c r="O18" s="141"/>
      <c r="P18" s="536"/>
      <c r="Q18" s="662" t="s">
        <v>347</v>
      </c>
      <c r="R18" s="142"/>
      <c r="S18" s="127" t="str">
        <f>IFERROR(VLOOKUP(R18,参数表!$H$2:$I$50,2,FALSE),"")</f>
        <v/>
      </c>
      <c r="T18" s="128" t="str">
        <f t="shared" si="8"/>
        <v/>
      </c>
      <c r="U18" s="128" t="str">
        <f t="shared" si="9"/>
        <v/>
      </c>
      <c r="V18" s="129" t="str">
        <f t="shared" si="10"/>
        <v/>
      </c>
      <c r="W18" s="886"/>
      <c r="X18" s="886"/>
      <c r="Y18" s="886"/>
      <c r="Z18" s="886"/>
      <c r="AA18" s="886"/>
      <c r="AB18" s="886"/>
      <c r="AC18" s="883" t="str">
        <f t="shared" si="11"/>
        <v/>
      </c>
      <c r="AD18" s="883" t="str">
        <f t="shared" si="12"/>
        <v/>
      </c>
      <c r="AE18" s="883" t="str">
        <f t="shared" si="13"/>
        <v/>
      </c>
      <c r="AF18" s="883" t="str">
        <f t="shared" si="0"/>
        <v/>
      </c>
      <c r="AG18" s="884" t="str">
        <f t="shared" si="1"/>
        <v/>
      </c>
      <c r="AH18" s="883" t="str">
        <f t="shared" si="14"/>
        <v/>
      </c>
      <c r="AI18" s="883" t="str">
        <f t="shared" si="15"/>
        <v/>
      </c>
      <c r="AJ18" s="887"/>
      <c r="BA18" s="78"/>
      <c r="BB18" s="132" t="s">
        <v>3990</v>
      </c>
      <c r="BC18" s="133"/>
      <c r="BD18" s="132" t="str">
        <f>IF(OR(C18="",BC18=""),"",COUNTIF(BC$8:BC18,"√"))</f>
        <v/>
      </c>
      <c r="BE18" s="134" t="str">
        <f t="shared" si="2"/>
        <v/>
      </c>
      <c r="BF18" s="135" t="str">
        <f t="shared" si="16"/>
        <v/>
      </c>
      <c r="BG18" s="135" t="str">
        <f t="shared" si="16"/>
        <v/>
      </c>
      <c r="BH18" s="136"/>
      <c r="BI18" s="136"/>
      <c r="BJ18" s="136"/>
      <c r="BK18" s="136"/>
      <c r="BL18" s="136"/>
      <c r="BM18" s="137"/>
      <c r="BN18" s="136"/>
      <c r="BO18" s="137"/>
      <c r="BP18" s="165" t="s">
        <v>2706</v>
      </c>
      <c r="BQ18" s="676"/>
      <c r="BR18" s="522">
        <f t="shared" si="3"/>
        <v>0</v>
      </c>
      <c r="BS18" s="850"/>
      <c r="BT18" s="850"/>
      <c r="BU18" s="851">
        <f t="shared" si="17"/>
        <v>0</v>
      </c>
      <c r="BV18" s="156">
        <f t="shared" si="18"/>
        <v>0</v>
      </c>
      <c r="BW18" s="156">
        <f t="shared" si="19"/>
        <v>0</v>
      </c>
      <c r="BX18" s="522">
        <f t="shared" si="4"/>
        <v>1</v>
      </c>
      <c r="BY18" s="852">
        <f>LOOKUP(BX18,参数表!$A$13:$B$19)</f>
        <v>0</v>
      </c>
      <c r="BZ18" s="156">
        <f t="shared" si="20"/>
        <v>0</v>
      </c>
      <c r="CA18" s="156">
        <f t="shared" si="21"/>
        <v>0</v>
      </c>
      <c r="CB18" s="522">
        <f t="shared" si="5"/>
        <v>125.582477754962</v>
      </c>
      <c r="CC18" s="676"/>
      <c r="CD18" s="853">
        <f t="shared" si="29"/>
        <v>0</v>
      </c>
      <c r="CE18" s="853">
        <f t="shared" si="22"/>
        <v>0</v>
      </c>
      <c r="CF18" s="853">
        <f t="shared" si="6"/>
        <v>0</v>
      </c>
      <c r="CH18" s="134" t="str">
        <f>IF(COUNTIF(CH$7:CH17,X18)&gt;0,"",X18)&amp;""</f>
        <v/>
      </c>
      <c r="CI18" s="138">
        <f t="shared" si="23"/>
        <v>0</v>
      </c>
      <c r="CJ18" s="132">
        <f t="shared" si="24"/>
        <v>1</v>
      </c>
      <c r="CK18" s="138">
        <f t="shared" si="25"/>
        <v>0</v>
      </c>
      <c r="CL18" s="132">
        <f t="shared" si="26"/>
        <v>1</v>
      </c>
      <c r="CM18" s="133"/>
      <c r="CN18" s="133"/>
    </row>
    <row r="19" customHeight="1" spans="1:93">
      <c r="A19" s="123" t="str">
        <f>IF(C19="","",COUNT(A$7:A18)+1)</f>
        <v/>
      </c>
      <c r="B19" s="659" t="s">
        <v>347</v>
      </c>
      <c r="C19" s="659" t="s">
        <v>347</v>
      </c>
      <c r="D19" s="659" t="s">
        <v>347</v>
      </c>
      <c r="E19" s="660" t="s">
        <v>347</v>
      </c>
      <c r="F19" s="659" t="s">
        <v>347</v>
      </c>
      <c r="G19" s="661" t="s">
        <v>347</v>
      </c>
      <c r="H19" s="661" t="s">
        <v>347</v>
      </c>
      <c r="I19" s="661" t="s">
        <v>347</v>
      </c>
      <c r="J19" s="661" t="s">
        <v>347</v>
      </c>
      <c r="K19" s="661" t="s">
        <v>347</v>
      </c>
      <c r="L19" s="661" t="s">
        <v>347</v>
      </c>
      <c r="M19" s="659" t="s">
        <v>347</v>
      </c>
      <c r="N19" s="661"/>
      <c r="O19" s="141"/>
      <c r="P19" s="536"/>
      <c r="Q19" s="662" t="s">
        <v>347</v>
      </c>
      <c r="R19" s="142"/>
      <c r="S19" s="127" t="str">
        <f>IFERROR(VLOOKUP(R19,参数表!$H$2:$I$50,2,FALSE),"")</f>
        <v/>
      </c>
      <c r="T19" s="128" t="str">
        <f t="shared" si="8"/>
        <v/>
      </c>
      <c r="U19" s="128" t="str">
        <f t="shared" si="9"/>
        <v/>
      </c>
      <c r="V19" s="129" t="str">
        <f t="shared" si="10"/>
        <v/>
      </c>
      <c r="W19" s="886"/>
      <c r="X19" s="886"/>
      <c r="Y19" s="886"/>
      <c r="Z19" s="886"/>
      <c r="AA19" s="886"/>
      <c r="AB19" s="886"/>
      <c r="AC19" s="883" t="str">
        <f t="shared" si="11"/>
        <v/>
      </c>
      <c r="AD19" s="883" t="str">
        <f t="shared" si="12"/>
        <v/>
      </c>
      <c r="AE19" s="883" t="str">
        <f t="shared" si="13"/>
        <v/>
      </c>
      <c r="AF19" s="883" t="str">
        <f t="shared" si="0"/>
        <v/>
      </c>
      <c r="AG19" s="884" t="str">
        <f t="shared" si="1"/>
        <v/>
      </c>
      <c r="AH19" s="883" t="str">
        <f t="shared" si="14"/>
        <v/>
      </c>
      <c r="AI19" s="883" t="str">
        <f t="shared" si="15"/>
        <v/>
      </c>
      <c r="AJ19" s="887" t="s">
        <v>347</v>
      </c>
      <c r="BA19" s="78"/>
      <c r="BB19" s="132" t="s">
        <v>3991</v>
      </c>
      <c r="BC19" s="133"/>
      <c r="BD19" s="132" t="str">
        <f>IF(OR(C19="",BC19=""),"",COUNTIF(BC$8:BC19,"√"))</f>
        <v/>
      </c>
      <c r="BE19" s="134" t="str">
        <f t="shared" si="2"/>
        <v/>
      </c>
      <c r="BF19" s="135" t="str">
        <f t="shared" si="16"/>
        <v/>
      </c>
      <c r="BG19" s="135" t="str">
        <f t="shared" si="16"/>
        <v/>
      </c>
      <c r="BH19" s="136"/>
      <c r="BI19" s="136"/>
      <c r="BJ19" s="136"/>
      <c r="BK19" s="136"/>
      <c r="BL19" s="136"/>
      <c r="BM19" s="137"/>
      <c r="BN19" s="136"/>
      <c r="BO19" s="137"/>
      <c r="BP19" s="165" t="s">
        <v>2706</v>
      </c>
      <c r="BQ19" s="676"/>
      <c r="BR19" s="522">
        <f t="shared" si="3"/>
        <v>0</v>
      </c>
      <c r="BS19" s="850"/>
      <c r="BT19" s="850"/>
      <c r="BU19" s="851">
        <f t="shared" si="17"/>
        <v>0</v>
      </c>
      <c r="BV19" s="156">
        <f t="shared" si="18"/>
        <v>0</v>
      </c>
      <c r="BW19" s="156">
        <f t="shared" si="19"/>
        <v>0</v>
      </c>
      <c r="BX19" s="522">
        <f t="shared" si="4"/>
        <v>1</v>
      </c>
      <c r="BY19" s="852">
        <f>LOOKUP(BX19,参数表!$A$13:$B$19)</f>
        <v>0</v>
      </c>
      <c r="BZ19" s="156">
        <f t="shared" si="20"/>
        <v>0</v>
      </c>
      <c r="CA19" s="156">
        <f t="shared" si="21"/>
        <v>0</v>
      </c>
      <c r="CB19" s="522">
        <f t="shared" si="5"/>
        <v>125.582477754962</v>
      </c>
      <c r="CC19" s="676"/>
      <c r="CD19" s="853">
        <f t="shared" si="29"/>
        <v>0</v>
      </c>
      <c r="CE19" s="853">
        <f t="shared" si="22"/>
        <v>0</v>
      </c>
      <c r="CF19" s="853">
        <f t="shared" si="6"/>
        <v>0</v>
      </c>
      <c r="CH19" s="134" t="str">
        <f>IF(COUNTIF(CH$7:CH18,X19)&gt;0,"",X19)&amp;""</f>
        <v/>
      </c>
      <c r="CI19" s="138">
        <f t="shared" si="23"/>
        <v>0</v>
      </c>
      <c r="CJ19" s="132">
        <f t="shared" si="24"/>
        <v>1</v>
      </c>
      <c r="CK19" s="138">
        <f t="shared" si="25"/>
        <v>0</v>
      </c>
      <c r="CL19" s="132">
        <f t="shared" si="26"/>
        <v>1</v>
      </c>
      <c r="CM19" s="133"/>
      <c r="CN19" s="133"/>
    </row>
    <row r="20" customHeight="1" spans="1:93">
      <c r="A20" s="123" t="str">
        <f>IF(C20="","",COUNT(A$7:A19)+1)</f>
        <v/>
      </c>
      <c r="B20" s="659" t="s">
        <v>347</v>
      </c>
      <c r="C20" s="659" t="s">
        <v>347</v>
      </c>
      <c r="D20" s="659" t="s">
        <v>347</v>
      </c>
      <c r="E20" s="660" t="s">
        <v>347</v>
      </c>
      <c r="F20" s="659" t="s">
        <v>347</v>
      </c>
      <c r="G20" s="661" t="s">
        <v>347</v>
      </c>
      <c r="H20" s="661" t="s">
        <v>347</v>
      </c>
      <c r="I20" s="661" t="s">
        <v>347</v>
      </c>
      <c r="J20" s="661" t="s">
        <v>347</v>
      </c>
      <c r="K20" s="661" t="s">
        <v>347</v>
      </c>
      <c r="L20" s="661" t="s">
        <v>347</v>
      </c>
      <c r="M20" s="659" t="s">
        <v>347</v>
      </c>
      <c r="N20" s="661"/>
      <c r="O20" s="141"/>
      <c r="P20" s="536"/>
      <c r="Q20" s="662" t="s">
        <v>347</v>
      </c>
      <c r="R20" s="142"/>
      <c r="S20" s="127" t="str">
        <f>IFERROR(VLOOKUP(R20,参数表!$H$2:$I$50,2,FALSE),"")</f>
        <v/>
      </c>
      <c r="T20" s="128" t="str">
        <f t="shared" si="8"/>
        <v/>
      </c>
      <c r="U20" s="128" t="str">
        <f t="shared" si="9"/>
        <v/>
      </c>
      <c r="V20" s="129" t="str">
        <f t="shared" si="10"/>
        <v/>
      </c>
      <c r="W20" s="886"/>
      <c r="X20" s="886"/>
      <c r="Y20" s="886"/>
      <c r="Z20" s="886"/>
      <c r="AA20" s="886"/>
      <c r="AB20" s="886"/>
      <c r="AC20" s="883" t="str">
        <f t="shared" si="11"/>
        <v/>
      </c>
      <c r="AD20" s="883" t="str">
        <f t="shared" si="12"/>
        <v/>
      </c>
      <c r="AE20" s="883" t="str">
        <f t="shared" si="13"/>
        <v/>
      </c>
      <c r="AF20" s="883" t="str">
        <f t="shared" si="0"/>
        <v/>
      </c>
      <c r="AG20" s="884" t="str">
        <f t="shared" si="1"/>
        <v/>
      </c>
      <c r="AH20" s="883" t="str">
        <f t="shared" si="14"/>
        <v/>
      </c>
      <c r="AI20" s="883" t="str">
        <f t="shared" si="15"/>
        <v/>
      </c>
      <c r="AJ20" s="887" t="s">
        <v>347</v>
      </c>
      <c r="BA20" s="78"/>
      <c r="BB20" s="132" t="s">
        <v>3992</v>
      </c>
      <c r="BC20" s="133"/>
      <c r="BD20" s="132" t="str">
        <f>IF(OR(C20="",BC20=""),"",COUNTIF(BC$8:BC20,"√"))</f>
        <v/>
      </c>
      <c r="BE20" s="134" t="str">
        <f t="shared" si="2"/>
        <v/>
      </c>
      <c r="BF20" s="135" t="str">
        <f t="shared" si="16"/>
        <v/>
      </c>
      <c r="BG20" s="135" t="str">
        <f t="shared" si="16"/>
        <v/>
      </c>
      <c r="BH20" s="136"/>
      <c r="BI20" s="136"/>
      <c r="BJ20" s="136"/>
      <c r="BK20" s="136"/>
      <c r="BL20" s="136"/>
      <c r="BM20" s="137"/>
      <c r="BN20" s="136"/>
      <c r="BO20" s="137"/>
      <c r="BP20" s="165" t="s">
        <v>2706</v>
      </c>
      <c r="BQ20" s="676"/>
      <c r="BR20" s="522">
        <f t="shared" si="3"/>
        <v>0</v>
      </c>
      <c r="BS20" s="850"/>
      <c r="BT20" s="850"/>
      <c r="BU20" s="851">
        <f t="shared" si="17"/>
        <v>0</v>
      </c>
      <c r="BV20" s="156">
        <f t="shared" si="18"/>
        <v>0</v>
      </c>
      <c r="BW20" s="156">
        <f t="shared" si="19"/>
        <v>0</v>
      </c>
      <c r="BX20" s="522">
        <f t="shared" si="4"/>
        <v>1</v>
      </c>
      <c r="BY20" s="852">
        <f>LOOKUP(BX20,参数表!$A$13:$B$19)</f>
        <v>0</v>
      </c>
      <c r="BZ20" s="156">
        <f t="shared" si="20"/>
        <v>0</v>
      </c>
      <c r="CA20" s="156">
        <f t="shared" si="21"/>
        <v>0</v>
      </c>
      <c r="CB20" s="522">
        <f t="shared" si="5"/>
        <v>125.582477754962</v>
      </c>
      <c r="CC20" s="676"/>
      <c r="CD20" s="853">
        <f t="shared" si="29"/>
        <v>0</v>
      </c>
      <c r="CE20" s="853">
        <f t="shared" si="22"/>
        <v>0</v>
      </c>
      <c r="CF20" s="853">
        <f t="shared" si="6"/>
        <v>0</v>
      </c>
      <c r="CH20" s="134" t="str">
        <f>IF(COUNTIF(CH$7:CH19,X20)&gt;0,"",X20)&amp;""</f>
        <v/>
      </c>
      <c r="CI20" s="138">
        <f t="shared" si="23"/>
        <v>0</v>
      </c>
      <c r="CJ20" s="132">
        <f t="shared" si="24"/>
        <v>1</v>
      </c>
      <c r="CK20" s="138">
        <f t="shared" si="25"/>
        <v>0</v>
      </c>
      <c r="CL20" s="132">
        <f t="shared" si="26"/>
        <v>1</v>
      </c>
      <c r="CM20" s="133"/>
      <c r="CN20" s="133"/>
    </row>
    <row r="21" customHeight="1" spans="1:93">
      <c r="A21" s="123" t="str">
        <f>IF(C21="","",COUNT(A$7:A20)+1)</f>
        <v/>
      </c>
      <c r="B21" s="659" t="s">
        <v>347</v>
      </c>
      <c r="C21" s="659" t="s">
        <v>347</v>
      </c>
      <c r="D21" s="659" t="s">
        <v>347</v>
      </c>
      <c r="E21" s="660" t="s">
        <v>347</v>
      </c>
      <c r="F21" s="659" t="s">
        <v>347</v>
      </c>
      <c r="G21" s="661" t="s">
        <v>347</v>
      </c>
      <c r="H21" s="661" t="s">
        <v>347</v>
      </c>
      <c r="I21" s="661" t="s">
        <v>347</v>
      </c>
      <c r="J21" s="661" t="s">
        <v>347</v>
      </c>
      <c r="K21" s="661" t="s">
        <v>347</v>
      </c>
      <c r="L21" s="661" t="s">
        <v>347</v>
      </c>
      <c r="M21" s="659" t="s">
        <v>347</v>
      </c>
      <c r="N21" s="661"/>
      <c r="O21" s="141"/>
      <c r="P21" s="536"/>
      <c r="Q21" s="662" t="s">
        <v>347</v>
      </c>
      <c r="R21" s="142"/>
      <c r="S21" s="127" t="str">
        <f>IFERROR(VLOOKUP(R21,参数表!$H$2:$I$50,2,FALSE),"")</f>
        <v/>
      </c>
      <c r="T21" s="128" t="str">
        <f t="shared" si="8"/>
        <v/>
      </c>
      <c r="U21" s="128" t="str">
        <f t="shared" si="9"/>
        <v/>
      </c>
      <c r="V21" s="129" t="str">
        <f t="shared" si="10"/>
        <v/>
      </c>
      <c r="W21" s="886"/>
      <c r="X21" s="886"/>
      <c r="Y21" s="886"/>
      <c r="Z21" s="886"/>
      <c r="AA21" s="886"/>
      <c r="AB21" s="886"/>
      <c r="AC21" s="883" t="str">
        <f t="shared" si="11"/>
        <v/>
      </c>
      <c r="AD21" s="883" t="str">
        <f t="shared" si="12"/>
        <v/>
      </c>
      <c r="AE21" s="883" t="str">
        <f t="shared" si="13"/>
        <v/>
      </c>
      <c r="AF21" s="883" t="str">
        <f t="shared" si="0"/>
        <v/>
      </c>
      <c r="AG21" s="884" t="str">
        <f t="shared" si="1"/>
        <v/>
      </c>
      <c r="AH21" s="883" t="str">
        <f t="shared" si="14"/>
        <v/>
      </c>
      <c r="AI21" s="883" t="str">
        <f t="shared" si="15"/>
        <v/>
      </c>
      <c r="AJ21" s="887" t="s">
        <v>347</v>
      </c>
      <c r="BA21" s="78"/>
      <c r="BB21" s="132" t="s">
        <v>3993</v>
      </c>
      <c r="BC21" s="133"/>
      <c r="BD21" s="132" t="str">
        <f>IF(OR(C21="",BC21=""),"",COUNTIF(BC$8:BC21,"√"))</f>
        <v/>
      </c>
      <c r="BE21" s="134" t="str">
        <f t="shared" si="2"/>
        <v/>
      </c>
      <c r="BF21" s="135" t="str">
        <f t="shared" si="16"/>
        <v/>
      </c>
      <c r="BG21" s="135" t="str">
        <f t="shared" si="16"/>
        <v/>
      </c>
      <c r="BH21" s="136"/>
      <c r="BI21" s="136"/>
      <c r="BJ21" s="136"/>
      <c r="BK21" s="136"/>
      <c r="BL21" s="136"/>
      <c r="BM21" s="137"/>
      <c r="BN21" s="136"/>
      <c r="BO21" s="137"/>
      <c r="BP21" s="165" t="s">
        <v>2706</v>
      </c>
      <c r="BQ21" s="676"/>
      <c r="BR21" s="522">
        <f t="shared" si="3"/>
        <v>0</v>
      </c>
      <c r="BS21" s="850"/>
      <c r="BT21" s="850"/>
      <c r="BU21" s="851">
        <f t="shared" si="17"/>
        <v>0</v>
      </c>
      <c r="BV21" s="156">
        <f t="shared" si="18"/>
        <v>0</v>
      </c>
      <c r="BW21" s="156">
        <f t="shared" si="19"/>
        <v>0</v>
      </c>
      <c r="BX21" s="522">
        <f t="shared" si="4"/>
        <v>1</v>
      </c>
      <c r="BY21" s="852">
        <f>LOOKUP(BX21,参数表!$A$13:$B$19)</f>
        <v>0</v>
      </c>
      <c r="BZ21" s="156">
        <f t="shared" si="20"/>
        <v>0</v>
      </c>
      <c r="CA21" s="156">
        <f t="shared" si="21"/>
        <v>0</v>
      </c>
      <c r="CB21" s="522">
        <f t="shared" si="5"/>
        <v>125.582477754962</v>
      </c>
      <c r="CC21" s="676"/>
      <c r="CD21" s="853">
        <f t="shared" si="29"/>
        <v>0</v>
      </c>
      <c r="CE21" s="853">
        <f t="shared" si="22"/>
        <v>0</v>
      </c>
      <c r="CF21" s="853">
        <f t="shared" si="6"/>
        <v>0</v>
      </c>
      <c r="CH21" s="134" t="str">
        <f>IF(COUNTIF(CH$7:CH20,X21)&gt;0,"",X21)&amp;""</f>
        <v/>
      </c>
      <c r="CI21" s="138">
        <f t="shared" si="23"/>
        <v>0</v>
      </c>
      <c r="CJ21" s="132">
        <f t="shared" si="24"/>
        <v>1</v>
      </c>
      <c r="CK21" s="138">
        <f t="shared" si="25"/>
        <v>0</v>
      </c>
      <c r="CL21" s="132">
        <f t="shared" si="26"/>
        <v>1</v>
      </c>
      <c r="CM21" s="133"/>
      <c r="CN21" s="133"/>
    </row>
    <row r="22" customHeight="1" spans="1:93">
      <c r="A22" s="123" t="str">
        <f>IF(C22="","",COUNT(A$7:A21)+1)</f>
        <v/>
      </c>
      <c r="B22" s="659" t="s">
        <v>347</v>
      </c>
      <c r="C22" s="659" t="s">
        <v>347</v>
      </c>
      <c r="D22" s="659" t="s">
        <v>347</v>
      </c>
      <c r="E22" s="660" t="s">
        <v>347</v>
      </c>
      <c r="F22" s="659" t="s">
        <v>347</v>
      </c>
      <c r="G22" s="661" t="s">
        <v>347</v>
      </c>
      <c r="H22" s="661" t="s">
        <v>347</v>
      </c>
      <c r="I22" s="661" t="s">
        <v>347</v>
      </c>
      <c r="J22" s="661" t="s">
        <v>347</v>
      </c>
      <c r="K22" s="661" t="s">
        <v>347</v>
      </c>
      <c r="L22" s="661" t="s">
        <v>347</v>
      </c>
      <c r="M22" s="659" t="s">
        <v>347</v>
      </c>
      <c r="N22" s="661"/>
      <c r="O22" s="141"/>
      <c r="P22" s="536"/>
      <c r="Q22" s="662" t="s">
        <v>347</v>
      </c>
      <c r="R22" s="142"/>
      <c r="S22" s="127" t="str">
        <f>IFERROR(VLOOKUP(R22,参数表!$H$2:$I$50,2,FALSE),"")</f>
        <v/>
      </c>
      <c r="T22" s="128" t="str">
        <f t="shared" si="8"/>
        <v/>
      </c>
      <c r="U22" s="128" t="str">
        <f t="shared" si="9"/>
        <v/>
      </c>
      <c r="V22" s="129" t="str">
        <f t="shared" si="10"/>
        <v/>
      </c>
      <c r="W22" s="886"/>
      <c r="X22" s="886"/>
      <c r="Y22" s="886"/>
      <c r="Z22" s="886"/>
      <c r="AA22" s="886"/>
      <c r="AB22" s="886"/>
      <c r="AC22" s="883" t="str">
        <f t="shared" si="11"/>
        <v/>
      </c>
      <c r="AD22" s="883" t="str">
        <f t="shared" si="12"/>
        <v/>
      </c>
      <c r="AE22" s="883" t="str">
        <f t="shared" si="13"/>
        <v/>
      </c>
      <c r="AF22" s="883" t="str">
        <f t="shared" si="0"/>
        <v/>
      </c>
      <c r="AG22" s="884" t="str">
        <f t="shared" si="1"/>
        <v/>
      </c>
      <c r="AH22" s="883" t="str">
        <f t="shared" si="14"/>
        <v/>
      </c>
      <c r="AI22" s="883" t="str">
        <f t="shared" si="15"/>
        <v/>
      </c>
      <c r="AJ22" s="887" t="s">
        <v>347</v>
      </c>
      <c r="BA22" s="78"/>
      <c r="BB22" s="132" t="s">
        <v>3994</v>
      </c>
      <c r="BC22" s="133"/>
      <c r="BD22" s="132" t="str">
        <f>IF(OR(C22="",BC22=""),"",COUNTIF(BC$8:BC22,"√"))</f>
        <v/>
      </c>
      <c r="BE22" s="134" t="str">
        <f t="shared" si="2"/>
        <v/>
      </c>
      <c r="BF22" s="135" t="str">
        <f t="shared" si="16"/>
        <v/>
      </c>
      <c r="BG22" s="135" t="str">
        <f t="shared" si="16"/>
        <v/>
      </c>
      <c r="BH22" s="136"/>
      <c r="BI22" s="136"/>
      <c r="BJ22" s="136"/>
      <c r="BK22" s="136"/>
      <c r="BL22" s="136"/>
      <c r="BM22" s="137"/>
      <c r="BN22" s="136"/>
      <c r="BO22" s="137"/>
      <c r="BP22" s="165" t="s">
        <v>2706</v>
      </c>
      <c r="BQ22" s="676"/>
      <c r="BR22" s="522">
        <f t="shared" si="3"/>
        <v>0</v>
      </c>
      <c r="BS22" s="850"/>
      <c r="BT22" s="850"/>
      <c r="BU22" s="851">
        <f t="shared" si="17"/>
        <v>0</v>
      </c>
      <c r="BV22" s="156">
        <f t="shared" si="18"/>
        <v>0</v>
      </c>
      <c r="BW22" s="156">
        <f t="shared" si="19"/>
        <v>0</v>
      </c>
      <c r="BX22" s="522">
        <f t="shared" si="4"/>
        <v>1</v>
      </c>
      <c r="BY22" s="852">
        <f>LOOKUP(BX22,参数表!$A$13:$B$19)</f>
        <v>0</v>
      </c>
      <c r="BZ22" s="156">
        <f t="shared" si="20"/>
        <v>0</v>
      </c>
      <c r="CA22" s="156">
        <f t="shared" si="21"/>
        <v>0</v>
      </c>
      <c r="CB22" s="522">
        <f t="shared" si="5"/>
        <v>125.582477754962</v>
      </c>
      <c r="CC22" s="676"/>
      <c r="CD22" s="853">
        <f t="shared" si="29"/>
        <v>0</v>
      </c>
      <c r="CE22" s="853">
        <f t="shared" si="22"/>
        <v>0</v>
      </c>
      <c r="CF22" s="853">
        <f t="shared" si="6"/>
        <v>0</v>
      </c>
      <c r="CH22" s="134" t="str">
        <f>IF(COUNTIF(CH$7:CH21,X22)&gt;0,"",X22)&amp;""</f>
        <v/>
      </c>
      <c r="CI22" s="138">
        <f t="shared" si="23"/>
        <v>0</v>
      </c>
      <c r="CJ22" s="132">
        <f t="shared" si="24"/>
        <v>1</v>
      </c>
      <c r="CK22" s="138">
        <f t="shared" si="25"/>
        <v>0</v>
      </c>
      <c r="CL22" s="132">
        <f t="shared" si="26"/>
        <v>1</v>
      </c>
      <c r="CM22" s="133"/>
      <c r="CN22" s="133"/>
    </row>
    <row r="23" customHeight="1" spans="1:93">
      <c r="A23" s="123" t="str">
        <f>IF(C23="","",COUNT(A$7:A22)+1)</f>
        <v/>
      </c>
      <c r="B23" s="659" t="s">
        <v>347</v>
      </c>
      <c r="C23" s="659" t="s">
        <v>347</v>
      </c>
      <c r="D23" s="659" t="s">
        <v>347</v>
      </c>
      <c r="E23" s="660" t="s">
        <v>347</v>
      </c>
      <c r="F23" s="659" t="s">
        <v>347</v>
      </c>
      <c r="G23" s="661" t="s">
        <v>347</v>
      </c>
      <c r="H23" s="661" t="s">
        <v>347</v>
      </c>
      <c r="I23" s="661" t="s">
        <v>347</v>
      </c>
      <c r="J23" s="661" t="s">
        <v>347</v>
      </c>
      <c r="K23" s="661" t="s">
        <v>347</v>
      </c>
      <c r="L23" s="661" t="s">
        <v>347</v>
      </c>
      <c r="M23" s="659" t="s">
        <v>347</v>
      </c>
      <c r="N23" s="661"/>
      <c r="O23" s="141"/>
      <c r="P23" s="536"/>
      <c r="Q23" s="662" t="s">
        <v>347</v>
      </c>
      <c r="R23" s="142"/>
      <c r="S23" s="127" t="str">
        <f>IFERROR(VLOOKUP(R23,参数表!$H$2:$I$50,2,FALSE),"")</f>
        <v/>
      </c>
      <c r="T23" s="128" t="str">
        <f t="shared" si="8"/>
        <v/>
      </c>
      <c r="U23" s="128" t="str">
        <f t="shared" si="9"/>
        <v/>
      </c>
      <c r="V23" s="129" t="str">
        <f t="shared" si="10"/>
        <v/>
      </c>
      <c r="W23" s="886"/>
      <c r="X23" s="886"/>
      <c r="Y23" s="886"/>
      <c r="Z23" s="886"/>
      <c r="AA23" s="886"/>
      <c r="AB23" s="886"/>
      <c r="AC23" s="883" t="str">
        <f t="shared" si="11"/>
        <v/>
      </c>
      <c r="AD23" s="883" t="str">
        <f t="shared" si="12"/>
        <v/>
      </c>
      <c r="AE23" s="883" t="str">
        <f t="shared" si="13"/>
        <v/>
      </c>
      <c r="AF23" s="883" t="str">
        <f t="shared" si="0"/>
        <v/>
      </c>
      <c r="AG23" s="884" t="str">
        <f t="shared" si="1"/>
        <v/>
      </c>
      <c r="AH23" s="883" t="str">
        <f t="shared" si="14"/>
        <v/>
      </c>
      <c r="AI23" s="883" t="str">
        <f t="shared" si="15"/>
        <v/>
      </c>
      <c r="AJ23" s="887" t="s">
        <v>347</v>
      </c>
      <c r="BA23" s="78"/>
      <c r="BB23" s="132" t="s">
        <v>3995</v>
      </c>
      <c r="BC23" s="133"/>
      <c r="BD23" s="132" t="str">
        <f>IF(OR(C23="",BC23=""),"",COUNTIF(BC$8:BC23,"√"))</f>
        <v/>
      </c>
      <c r="BE23" s="134" t="str">
        <f t="shared" si="2"/>
        <v/>
      </c>
      <c r="BF23" s="135" t="str">
        <f t="shared" si="16"/>
        <v/>
      </c>
      <c r="BG23" s="135" t="str">
        <f t="shared" si="16"/>
        <v/>
      </c>
      <c r="BH23" s="136"/>
      <c r="BI23" s="136"/>
      <c r="BJ23" s="136"/>
      <c r="BK23" s="136"/>
      <c r="BL23" s="136"/>
      <c r="BM23" s="137"/>
      <c r="BN23" s="136"/>
      <c r="BO23" s="137"/>
      <c r="BP23" s="165" t="s">
        <v>2706</v>
      </c>
      <c r="BQ23" s="676"/>
      <c r="BR23" s="522">
        <f t="shared" si="3"/>
        <v>0</v>
      </c>
      <c r="BS23" s="850"/>
      <c r="BT23" s="850"/>
      <c r="BU23" s="851">
        <f t="shared" si="17"/>
        <v>0</v>
      </c>
      <c r="BV23" s="156">
        <f t="shared" si="18"/>
        <v>0</v>
      </c>
      <c r="BW23" s="156">
        <f t="shared" si="19"/>
        <v>0</v>
      </c>
      <c r="BX23" s="522">
        <f t="shared" si="4"/>
        <v>1</v>
      </c>
      <c r="BY23" s="852">
        <f>LOOKUP(BX23,参数表!$A$13:$B$19)</f>
        <v>0</v>
      </c>
      <c r="BZ23" s="156">
        <f t="shared" si="20"/>
        <v>0</v>
      </c>
      <c r="CA23" s="156">
        <f t="shared" si="21"/>
        <v>0</v>
      </c>
      <c r="CB23" s="522">
        <f t="shared" si="5"/>
        <v>125.582477754962</v>
      </c>
      <c r="CC23" s="676"/>
      <c r="CD23" s="853">
        <f t="shared" si="29"/>
        <v>0</v>
      </c>
      <c r="CE23" s="853">
        <f t="shared" si="22"/>
        <v>0</v>
      </c>
      <c r="CF23" s="853">
        <f t="shared" si="6"/>
        <v>0</v>
      </c>
      <c r="CH23" s="134" t="str">
        <f>IF(COUNTIF(CH$7:CH22,X23)&gt;0,"",X23)&amp;""</f>
        <v/>
      </c>
      <c r="CI23" s="138">
        <f t="shared" si="23"/>
        <v>0</v>
      </c>
      <c r="CJ23" s="132">
        <f t="shared" si="24"/>
        <v>1</v>
      </c>
      <c r="CK23" s="138">
        <f t="shared" si="25"/>
        <v>0</v>
      </c>
      <c r="CL23" s="132">
        <f t="shared" si="26"/>
        <v>1</v>
      </c>
      <c r="CM23" s="133"/>
      <c r="CN23" s="133"/>
    </row>
    <row r="24" customHeight="1" spans="1:93">
      <c r="A24" s="123" t="str">
        <f>IF(C24="","",COUNT(A$7:A23)+1)</f>
        <v/>
      </c>
      <c r="B24" s="659" t="s">
        <v>347</v>
      </c>
      <c r="C24" s="659" t="s">
        <v>347</v>
      </c>
      <c r="D24" s="659" t="s">
        <v>347</v>
      </c>
      <c r="E24" s="660" t="s">
        <v>347</v>
      </c>
      <c r="F24" s="659" t="s">
        <v>347</v>
      </c>
      <c r="G24" s="661" t="s">
        <v>347</v>
      </c>
      <c r="H24" s="661" t="s">
        <v>347</v>
      </c>
      <c r="I24" s="661" t="s">
        <v>347</v>
      </c>
      <c r="J24" s="661" t="s">
        <v>347</v>
      </c>
      <c r="K24" s="661" t="s">
        <v>347</v>
      </c>
      <c r="L24" s="661" t="s">
        <v>347</v>
      </c>
      <c r="M24" s="659" t="s">
        <v>347</v>
      </c>
      <c r="N24" s="661"/>
      <c r="O24" s="141"/>
      <c r="P24" s="536"/>
      <c r="Q24" s="662" t="s">
        <v>347</v>
      </c>
      <c r="R24" s="142"/>
      <c r="S24" s="127" t="str">
        <f>IFERROR(VLOOKUP(R24,参数表!$H$2:$I$50,2,FALSE),"")</f>
        <v/>
      </c>
      <c r="T24" s="128" t="str">
        <f t="shared" si="8"/>
        <v/>
      </c>
      <c r="U24" s="128" t="str">
        <f t="shared" si="9"/>
        <v/>
      </c>
      <c r="V24" s="129" t="str">
        <f t="shared" si="10"/>
        <v/>
      </c>
      <c r="W24" s="886"/>
      <c r="X24" s="886"/>
      <c r="Y24" s="886"/>
      <c r="Z24" s="886"/>
      <c r="AA24" s="886"/>
      <c r="AB24" s="886"/>
      <c r="AC24" s="883" t="str">
        <f t="shared" si="11"/>
        <v/>
      </c>
      <c r="AD24" s="883" t="str">
        <f t="shared" si="12"/>
        <v/>
      </c>
      <c r="AE24" s="883" t="str">
        <f t="shared" si="13"/>
        <v/>
      </c>
      <c r="AF24" s="883" t="str">
        <f t="shared" si="0"/>
        <v/>
      </c>
      <c r="AG24" s="884" t="str">
        <f t="shared" si="1"/>
        <v/>
      </c>
      <c r="AH24" s="883" t="str">
        <f t="shared" si="14"/>
        <v/>
      </c>
      <c r="AI24" s="883" t="str">
        <f t="shared" si="15"/>
        <v/>
      </c>
      <c r="AJ24" s="887" t="s">
        <v>347</v>
      </c>
      <c r="BA24" s="78"/>
      <c r="BB24" s="132" t="s">
        <v>3996</v>
      </c>
      <c r="BC24" s="133"/>
      <c r="BD24" s="132" t="str">
        <f>IF(OR(C24="",BC24=""),"",COUNTIF(BC$8:BC24,"√"))</f>
        <v/>
      </c>
      <c r="BE24" s="134" t="str">
        <f t="shared" si="2"/>
        <v/>
      </c>
      <c r="BF24" s="135" t="str">
        <f t="shared" si="16"/>
        <v/>
      </c>
      <c r="BG24" s="135" t="str">
        <f t="shared" si="16"/>
        <v/>
      </c>
      <c r="BH24" s="136"/>
      <c r="BI24" s="136"/>
      <c r="BJ24" s="136"/>
      <c r="BK24" s="136"/>
      <c r="BL24" s="136"/>
      <c r="BM24" s="137"/>
      <c r="BN24" s="136"/>
      <c r="BO24" s="137"/>
      <c r="BP24" s="165" t="s">
        <v>2706</v>
      </c>
      <c r="BQ24" s="676"/>
      <c r="BR24" s="522">
        <f t="shared" si="3"/>
        <v>0</v>
      </c>
      <c r="BS24" s="850"/>
      <c r="BT24" s="850"/>
      <c r="BU24" s="851">
        <f t="shared" si="17"/>
        <v>0</v>
      </c>
      <c r="BV24" s="156">
        <f t="shared" si="18"/>
        <v>0</v>
      </c>
      <c r="BW24" s="156">
        <f t="shared" si="19"/>
        <v>0</v>
      </c>
      <c r="BX24" s="522">
        <f t="shared" si="4"/>
        <v>1</v>
      </c>
      <c r="BY24" s="852">
        <f>LOOKUP(BX24,参数表!$A$13:$B$19)</f>
        <v>0</v>
      </c>
      <c r="BZ24" s="156">
        <f t="shared" si="20"/>
        <v>0</v>
      </c>
      <c r="CA24" s="156">
        <f t="shared" si="21"/>
        <v>0</v>
      </c>
      <c r="CB24" s="522">
        <f t="shared" si="5"/>
        <v>125.582477754962</v>
      </c>
      <c r="CC24" s="676"/>
      <c r="CD24" s="853">
        <f t="shared" si="29"/>
        <v>0</v>
      </c>
      <c r="CE24" s="853">
        <f t="shared" si="22"/>
        <v>0</v>
      </c>
      <c r="CF24" s="853">
        <f t="shared" si="6"/>
        <v>0</v>
      </c>
      <c r="CH24" s="134" t="str">
        <f>IF(COUNTIF(CH$7:CH23,X24)&gt;0,"",X24)&amp;""</f>
        <v/>
      </c>
      <c r="CI24" s="138">
        <f t="shared" si="23"/>
        <v>0</v>
      </c>
      <c r="CJ24" s="132">
        <f t="shared" si="24"/>
        <v>1</v>
      </c>
      <c r="CK24" s="138">
        <f t="shared" si="25"/>
        <v>0</v>
      </c>
      <c r="CL24" s="132">
        <f t="shared" si="26"/>
        <v>1</v>
      </c>
      <c r="CM24" s="133"/>
      <c r="CN24" s="133"/>
    </row>
    <row r="25" customHeight="1" spans="1:93">
      <c r="A25" s="123" t="str">
        <f>IF(C25="","",COUNT(A$7:A24)+1)</f>
        <v/>
      </c>
      <c r="B25" s="659" t="s">
        <v>347</v>
      </c>
      <c r="C25" s="659" t="s">
        <v>347</v>
      </c>
      <c r="D25" s="659" t="s">
        <v>347</v>
      </c>
      <c r="E25" s="660" t="s">
        <v>347</v>
      </c>
      <c r="F25" s="659" t="s">
        <v>347</v>
      </c>
      <c r="G25" s="661" t="s">
        <v>347</v>
      </c>
      <c r="H25" s="661" t="s">
        <v>347</v>
      </c>
      <c r="I25" s="661" t="s">
        <v>347</v>
      </c>
      <c r="J25" s="661" t="s">
        <v>347</v>
      </c>
      <c r="K25" s="661" t="s">
        <v>347</v>
      </c>
      <c r="L25" s="661" t="s">
        <v>347</v>
      </c>
      <c r="M25" s="659" t="s">
        <v>347</v>
      </c>
      <c r="N25" s="661"/>
      <c r="O25" s="141"/>
      <c r="P25" s="536"/>
      <c r="Q25" s="662" t="s">
        <v>347</v>
      </c>
      <c r="R25" s="142"/>
      <c r="S25" s="127" t="str">
        <f>IFERROR(VLOOKUP(R25,参数表!$H$2:$I$50,2,FALSE),"")</f>
        <v/>
      </c>
      <c r="T25" s="128" t="str">
        <f t="shared" si="8"/>
        <v/>
      </c>
      <c r="U25" s="128" t="str">
        <f t="shared" si="9"/>
        <v/>
      </c>
      <c r="V25" s="129" t="str">
        <f t="shared" si="10"/>
        <v/>
      </c>
      <c r="W25" s="886"/>
      <c r="X25" s="886"/>
      <c r="Y25" s="886"/>
      <c r="Z25" s="886"/>
      <c r="AA25" s="886"/>
      <c r="AB25" s="886"/>
      <c r="AC25" s="883" t="str">
        <f t="shared" si="11"/>
        <v/>
      </c>
      <c r="AD25" s="883" t="str">
        <f t="shared" si="12"/>
        <v/>
      </c>
      <c r="AE25" s="883" t="str">
        <f t="shared" si="13"/>
        <v/>
      </c>
      <c r="AF25" s="883" t="str">
        <f t="shared" si="0"/>
        <v/>
      </c>
      <c r="AG25" s="884" t="str">
        <f t="shared" si="1"/>
        <v/>
      </c>
      <c r="AH25" s="883" t="str">
        <f t="shared" si="14"/>
        <v/>
      </c>
      <c r="AI25" s="883" t="str">
        <f t="shared" si="15"/>
        <v/>
      </c>
      <c r="AJ25" s="887" t="s">
        <v>347</v>
      </c>
      <c r="BA25" s="78"/>
      <c r="BB25" s="132" t="s">
        <v>3997</v>
      </c>
      <c r="BC25" s="133"/>
      <c r="BD25" s="132" t="str">
        <f>IF(OR(C25="",BC25=""),"",COUNTIF(BC$8:BC25,"√"))</f>
        <v/>
      </c>
      <c r="BE25" s="134" t="str">
        <f t="shared" si="2"/>
        <v/>
      </c>
      <c r="BF25" s="135" t="str">
        <f t="shared" si="16"/>
        <v/>
      </c>
      <c r="BG25" s="135" t="str">
        <f t="shared" si="16"/>
        <v/>
      </c>
      <c r="BH25" s="136"/>
      <c r="BI25" s="136"/>
      <c r="BJ25" s="136"/>
      <c r="BK25" s="136"/>
      <c r="BL25" s="136"/>
      <c r="BM25" s="137"/>
      <c r="BN25" s="136"/>
      <c r="BO25" s="137"/>
      <c r="BP25" s="165" t="s">
        <v>2706</v>
      </c>
      <c r="BQ25" s="676"/>
      <c r="BR25" s="522">
        <f t="shared" si="3"/>
        <v>0</v>
      </c>
      <c r="BS25" s="850"/>
      <c r="BT25" s="850"/>
      <c r="BU25" s="851">
        <f t="shared" si="17"/>
        <v>0</v>
      </c>
      <c r="BV25" s="156">
        <f t="shared" si="18"/>
        <v>0</v>
      </c>
      <c r="BW25" s="156">
        <f t="shared" si="19"/>
        <v>0</v>
      </c>
      <c r="BX25" s="522">
        <f t="shared" si="4"/>
        <v>1</v>
      </c>
      <c r="BY25" s="852">
        <f>LOOKUP(BX25,参数表!$A$13:$B$19)</f>
        <v>0</v>
      </c>
      <c r="BZ25" s="156">
        <f t="shared" si="20"/>
        <v>0</v>
      </c>
      <c r="CA25" s="156">
        <f t="shared" si="21"/>
        <v>0</v>
      </c>
      <c r="CB25" s="522">
        <f t="shared" si="5"/>
        <v>125.582477754962</v>
      </c>
      <c r="CC25" s="676"/>
      <c r="CD25" s="853">
        <f t="shared" si="29"/>
        <v>0</v>
      </c>
      <c r="CE25" s="853">
        <f t="shared" si="22"/>
        <v>0</v>
      </c>
      <c r="CF25" s="853">
        <f t="shared" si="6"/>
        <v>0</v>
      </c>
      <c r="CH25" s="134" t="str">
        <f>IF(COUNTIF(CH$7:CH24,X25)&gt;0,"",X25)&amp;""</f>
        <v/>
      </c>
      <c r="CI25" s="138">
        <f t="shared" si="23"/>
        <v>0</v>
      </c>
      <c r="CJ25" s="132">
        <f t="shared" si="24"/>
        <v>1</v>
      </c>
      <c r="CK25" s="138">
        <f t="shared" si="25"/>
        <v>0</v>
      </c>
      <c r="CL25" s="132">
        <f t="shared" si="26"/>
        <v>1</v>
      </c>
      <c r="CM25" s="133"/>
      <c r="CN25" s="133"/>
    </row>
    <row r="26" customHeight="1" spans="1:93">
      <c r="A26" s="123" t="str">
        <f>IF(C26="","",COUNT(A$7:A25)+1)</f>
        <v/>
      </c>
      <c r="B26" s="659" t="s">
        <v>347</v>
      </c>
      <c r="C26" s="659" t="s">
        <v>347</v>
      </c>
      <c r="D26" s="659" t="s">
        <v>347</v>
      </c>
      <c r="E26" s="660" t="s">
        <v>347</v>
      </c>
      <c r="F26" s="659" t="s">
        <v>347</v>
      </c>
      <c r="G26" s="661" t="s">
        <v>347</v>
      </c>
      <c r="H26" s="661" t="s">
        <v>347</v>
      </c>
      <c r="I26" s="661" t="s">
        <v>347</v>
      </c>
      <c r="J26" s="661" t="s">
        <v>347</v>
      </c>
      <c r="K26" s="661" t="s">
        <v>347</v>
      </c>
      <c r="L26" s="661" t="s">
        <v>347</v>
      </c>
      <c r="M26" s="659" t="s">
        <v>347</v>
      </c>
      <c r="N26" s="661"/>
      <c r="O26" s="141"/>
      <c r="P26" s="536"/>
      <c r="Q26" s="662" t="s">
        <v>347</v>
      </c>
      <c r="R26" s="142"/>
      <c r="S26" s="127" t="str">
        <f>IFERROR(VLOOKUP(R26,参数表!$H$2:$I$50,2,FALSE),"")</f>
        <v/>
      </c>
      <c r="T26" s="128" t="str">
        <f t="shared" si="8"/>
        <v/>
      </c>
      <c r="U26" s="128" t="str">
        <f t="shared" si="9"/>
        <v/>
      </c>
      <c r="V26" s="129" t="str">
        <f t="shared" si="10"/>
        <v/>
      </c>
      <c r="W26" s="886"/>
      <c r="X26" s="886"/>
      <c r="Y26" s="886"/>
      <c r="Z26" s="886"/>
      <c r="AA26" s="886"/>
      <c r="AB26" s="886"/>
      <c r="AC26" s="883" t="str">
        <f t="shared" si="11"/>
        <v/>
      </c>
      <c r="AD26" s="883" t="str">
        <f t="shared" si="12"/>
        <v/>
      </c>
      <c r="AE26" s="883" t="str">
        <f t="shared" si="13"/>
        <v/>
      </c>
      <c r="AF26" s="883" t="str">
        <f t="shared" si="0"/>
        <v/>
      </c>
      <c r="AG26" s="884" t="str">
        <f t="shared" si="1"/>
        <v/>
      </c>
      <c r="AH26" s="883" t="str">
        <f t="shared" si="14"/>
        <v/>
      </c>
      <c r="AI26" s="883" t="str">
        <f t="shared" si="15"/>
        <v/>
      </c>
      <c r="AJ26" s="887" t="s">
        <v>347</v>
      </c>
      <c r="BA26" s="78"/>
      <c r="BB26" s="132" t="s">
        <v>3998</v>
      </c>
      <c r="BC26" s="133"/>
      <c r="BD26" s="132" t="str">
        <f>IF(OR(C26="",BC26=""),"",COUNTIF(BC$8:BC26,"√"))</f>
        <v/>
      </c>
      <c r="BE26" s="134" t="str">
        <f t="shared" si="2"/>
        <v/>
      </c>
      <c r="BF26" s="135" t="str">
        <f t="shared" si="16"/>
        <v/>
      </c>
      <c r="BG26" s="135" t="str">
        <f t="shared" si="16"/>
        <v/>
      </c>
      <c r="BH26" s="136"/>
      <c r="BI26" s="136"/>
      <c r="BJ26" s="136"/>
      <c r="BK26" s="136"/>
      <c r="BL26" s="136"/>
      <c r="BM26" s="137"/>
      <c r="BN26" s="136"/>
      <c r="BO26" s="137"/>
      <c r="BP26" s="165" t="s">
        <v>2706</v>
      </c>
      <c r="BQ26" s="676"/>
      <c r="BR26" s="522">
        <f t="shared" si="3"/>
        <v>0</v>
      </c>
      <c r="BS26" s="850"/>
      <c r="BT26" s="850"/>
      <c r="BU26" s="851">
        <f t="shared" si="17"/>
        <v>0</v>
      </c>
      <c r="BV26" s="156">
        <f t="shared" si="18"/>
        <v>0</v>
      </c>
      <c r="BW26" s="156">
        <f t="shared" si="19"/>
        <v>0</v>
      </c>
      <c r="BX26" s="522">
        <f t="shared" si="4"/>
        <v>1</v>
      </c>
      <c r="BY26" s="852">
        <f>LOOKUP(BX26,参数表!$A$13:$B$19)</f>
        <v>0</v>
      </c>
      <c r="BZ26" s="156">
        <f t="shared" si="20"/>
        <v>0</v>
      </c>
      <c r="CA26" s="156">
        <f t="shared" si="21"/>
        <v>0</v>
      </c>
      <c r="CB26" s="522">
        <f t="shared" si="5"/>
        <v>125.582477754962</v>
      </c>
      <c r="CC26" s="676"/>
      <c r="CD26" s="853">
        <f t="shared" si="29"/>
        <v>0</v>
      </c>
      <c r="CE26" s="853">
        <f t="shared" si="22"/>
        <v>0</v>
      </c>
      <c r="CF26" s="853">
        <f t="shared" si="6"/>
        <v>0</v>
      </c>
      <c r="CH26" s="134" t="str">
        <f>IF(COUNTIF(CH$7:CH25,X26)&gt;0,"",X26)&amp;""</f>
        <v/>
      </c>
      <c r="CI26" s="138">
        <f t="shared" si="23"/>
        <v>0</v>
      </c>
      <c r="CJ26" s="132">
        <f t="shared" si="24"/>
        <v>1</v>
      </c>
      <c r="CK26" s="138">
        <f t="shared" si="25"/>
        <v>0</v>
      </c>
      <c r="CL26" s="132">
        <f t="shared" si="26"/>
        <v>1</v>
      </c>
      <c r="CM26" s="133"/>
      <c r="CN26" s="133"/>
    </row>
    <row r="27" customHeight="1" spans="1:93">
      <c r="A27" s="123" t="str">
        <f>IF(C27="","",COUNT(A$7:A26)+1)</f>
        <v/>
      </c>
      <c r="B27" s="123"/>
      <c r="C27" s="651" t="s">
        <v>347</v>
      </c>
      <c r="D27" s="651" t="s">
        <v>347</v>
      </c>
      <c r="E27" s="652" t="s">
        <v>347</v>
      </c>
      <c r="F27" s="651" t="s">
        <v>347</v>
      </c>
      <c r="G27" s="653" t="s">
        <v>347</v>
      </c>
      <c r="H27" s="653" t="s">
        <v>347</v>
      </c>
      <c r="I27" s="653" t="s">
        <v>347</v>
      </c>
      <c r="J27" s="653" t="s">
        <v>347</v>
      </c>
      <c r="K27" s="653" t="s">
        <v>347</v>
      </c>
      <c r="L27" s="653" t="s">
        <v>347</v>
      </c>
      <c r="M27" s="651" t="s">
        <v>347</v>
      </c>
      <c r="N27" s="653"/>
      <c r="O27" s="126"/>
      <c r="P27" s="533"/>
      <c r="Q27" s="654" t="s">
        <v>347</v>
      </c>
      <c r="R27" s="127"/>
      <c r="S27" s="127" t="str">
        <f>IFERROR(VLOOKUP(R27,参数表!$H$2:$I$50,2,FALSE),"")</f>
        <v/>
      </c>
      <c r="T27" s="128" t="str">
        <f t="shared" si="8"/>
        <v/>
      </c>
      <c r="U27" s="128" t="str">
        <f t="shared" si="9"/>
        <v/>
      </c>
      <c r="V27" s="129" t="str">
        <f t="shared" si="10"/>
        <v/>
      </c>
      <c r="W27" s="883"/>
      <c r="X27" s="883"/>
      <c r="Y27" s="883"/>
      <c r="Z27" s="883"/>
      <c r="AA27" s="883"/>
      <c r="AB27" s="883"/>
      <c r="AC27" s="883" t="str">
        <f t="shared" si="11"/>
        <v/>
      </c>
      <c r="AD27" s="883" t="str">
        <f t="shared" si="12"/>
        <v/>
      </c>
      <c r="AE27" s="883" t="str">
        <f t="shared" si="13"/>
        <v/>
      </c>
      <c r="AF27" s="883" t="str">
        <f t="shared" si="0"/>
        <v/>
      </c>
      <c r="AG27" s="884" t="str">
        <f t="shared" si="1"/>
        <v/>
      </c>
      <c r="AH27" s="883" t="str">
        <f t="shared" si="14"/>
        <v/>
      </c>
      <c r="AI27" s="883" t="str">
        <f t="shared" si="15"/>
        <v/>
      </c>
      <c r="AJ27" s="885" t="s">
        <v>347</v>
      </c>
      <c r="BA27" s="78"/>
      <c r="BB27" s="132" t="s">
        <v>3999</v>
      </c>
      <c r="BC27" s="133"/>
      <c r="BD27" s="132" t="str">
        <f>IF(OR(C27="",BC27=""),"",COUNTIF(BC$8:BC27,"√"))</f>
        <v/>
      </c>
      <c r="BE27" s="134" t="str">
        <f t="shared" si="2"/>
        <v/>
      </c>
      <c r="BF27" s="135" t="str">
        <f t="shared" si="16"/>
        <v/>
      </c>
      <c r="BG27" s="135" t="str">
        <f t="shared" si="16"/>
        <v/>
      </c>
      <c r="BH27" s="136"/>
      <c r="BI27" s="136"/>
      <c r="BJ27" s="136"/>
      <c r="BK27" s="136"/>
      <c r="BL27" s="136"/>
      <c r="BM27" s="137"/>
      <c r="BN27" s="136"/>
      <c r="BO27" s="137"/>
      <c r="BP27" s="165" t="s">
        <v>2706</v>
      </c>
      <c r="BQ27" s="676"/>
      <c r="BR27" s="522">
        <f t="shared" si="3"/>
        <v>0</v>
      </c>
      <c r="BS27" s="850"/>
      <c r="BT27" s="850"/>
      <c r="BU27" s="851">
        <f t="shared" si="17"/>
        <v>0</v>
      </c>
      <c r="BV27" s="156">
        <f t="shared" si="18"/>
        <v>0</v>
      </c>
      <c r="BW27" s="156">
        <f t="shared" si="19"/>
        <v>0</v>
      </c>
      <c r="BX27" s="522">
        <f t="shared" si="4"/>
        <v>1</v>
      </c>
      <c r="BY27" s="852">
        <f>LOOKUP(BX27,参数表!$A$13:$B$19)</f>
        <v>0</v>
      </c>
      <c r="BZ27" s="156">
        <f t="shared" si="20"/>
        <v>0</v>
      </c>
      <c r="CA27" s="156">
        <f t="shared" si="21"/>
        <v>0</v>
      </c>
      <c r="CB27" s="522">
        <f t="shared" si="5"/>
        <v>125.582477754962</v>
      </c>
      <c r="CC27" s="676"/>
      <c r="CD27" s="853">
        <f t="shared" si="29"/>
        <v>0</v>
      </c>
      <c r="CE27" s="853">
        <f t="shared" si="22"/>
        <v>0</v>
      </c>
      <c r="CF27" s="853">
        <f t="shared" si="6"/>
        <v>0</v>
      </c>
      <c r="CH27" s="134" t="str">
        <f>IF(COUNTIF(CH$7:CH26,X27)&gt;0,"",X27)&amp;""</f>
        <v/>
      </c>
      <c r="CI27" s="138">
        <f t="shared" si="23"/>
        <v>0</v>
      </c>
      <c r="CJ27" s="132">
        <f t="shared" si="24"/>
        <v>1</v>
      </c>
      <c r="CK27" s="138">
        <f t="shared" si="25"/>
        <v>0</v>
      </c>
      <c r="CL27" s="132">
        <f t="shared" si="26"/>
        <v>1</v>
      </c>
      <c r="CM27" s="133"/>
      <c r="CN27" s="133"/>
    </row>
    <row r="28" s="630" customFormat="1" customHeight="1" spans="1:93">
      <c r="A28" s="888" t="s">
        <v>3120</v>
      </c>
      <c r="B28" s="889"/>
      <c r="C28" s="889"/>
      <c r="D28" s="889"/>
      <c r="E28" s="889"/>
      <c r="F28" s="889"/>
      <c r="G28" s="889"/>
      <c r="H28" s="889"/>
      <c r="I28" s="890"/>
      <c r="J28" s="890"/>
      <c r="K28" s="890"/>
      <c r="L28" s="890"/>
      <c r="M28" s="890"/>
      <c r="N28" s="891"/>
      <c r="O28" s="891"/>
      <c r="P28" s="891"/>
      <c r="Q28" s="891"/>
      <c r="R28" s="152"/>
      <c r="S28" s="152"/>
      <c r="T28" s="152"/>
      <c r="U28" s="152"/>
      <c r="V28" s="152"/>
      <c r="W28" s="892">
        <f t="shared" ref="W28:AE28" si="30">SUM(W8:W27)</f>
        <v>0</v>
      </c>
      <c r="X28" s="892">
        <f t="shared" si="30"/>
        <v>0</v>
      </c>
      <c r="Y28" s="892">
        <f t="shared" si="30"/>
        <v>0</v>
      </c>
      <c r="Z28" s="892"/>
      <c r="AA28" s="892"/>
      <c r="AB28" s="892"/>
      <c r="AC28" s="892">
        <f t="shared" si="30"/>
        <v>0</v>
      </c>
      <c r="AD28" s="892">
        <f t="shared" si="30"/>
        <v>0</v>
      </c>
      <c r="AE28" s="892">
        <f t="shared" si="30"/>
        <v>0</v>
      </c>
      <c r="AF28" s="892">
        <f>IF($BB$3="是",IF(BP28="成本法",CA28,BQ28),0)</f>
        <v>0</v>
      </c>
      <c r="AG28" s="893" t="str">
        <f t="shared" si="1"/>
        <v/>
      </c>
      <c r="AH28" s="892">
        <f>IFERROR(IF(AG28="",AF28,ROUND(AF28*AG28/100,0)),0)</f>
        <v>0</v>
      </c>
      <c r="AI28" s="892" t="str">
        <f t="shared" si="15"/>
        <v/>
      </c>
      <c r="AJ28" s="894"/>
      <c r="BA28" s="73"/>
      <c r="BB28" s="73"/>
      <c r="BC28" s="73"/>
      <c r="BD28" s="73"/>
      <c r="BE28" s="73"/>
      <c r="BF28" s="861"/>
      <c r="BG28" s="861"/>
      <c r="BH28" s="861"/>
      <c r="BI28" s="861"/>
      <c r="BJ28" s="861"/>
      <c r="BL28" s="861"/>
      <c r="BN28" s="895"/>
      <c r="BO28" s="895"/>
      <c r="BP28" s="895"/>
      <c r="BQ28" s="895"/>
      <c r="BR28" s="895"/>
      <c r="BS28" s="895"/>
      <c r="BT28" s="895"/>
      <c r="BU28" s="895"/>
      <c r="BV28" s="895"/>
      <c r="BW28" s="895"/>
      <c r="BX28" s="895"/>
      <c r="BY28" s="895"/>
      <c r="CF28" s="73"/>
      <c r="CG28" s="111"/>
      <c r="CH28" s="119"/>
      <c r="CI28" s="77"/>
      <c r="CJ28" s="77"/>
      <c r="CK28" s="77"/>
      <c r="CL28" s="119"/>
      <c r="CM28" s="119"/>
      <c r="CN28" s="119"/>
      <c r="CO28" s="111"/>
    </row>
    <row r="29" customHeight="1" spans="1:93">
      <c r="A29" s="652" t="s">
        <v>364</v>
      </c>
      <c r="B29" s="652"/>
      <c r="C29" s="652"/>
      <c r="D29" s="652"/>
      <c r="E29" s="652"/>
      <c r="F29" s="652"/>
      <c r="G29" s="652"/>
      <c r="H29" s="652"/>
      <c r="I29" s="896"/>
      <c r="J29" s="896"/>
      <c r="K29" s="896"/>
      <c r="L29" s="896"/>
      <c r="M29" s="896"/>
      <c r="N29" s="651"/>
      <c r="O29" s="651"/>
      <c r="P29" s="651"/>
      <c r="Q29" s="651"/>
      <c r="R29" s="129"/>
      <c r="S29" s="129"/>
      <c r="T29" s="129"/>
      <c r="U29" s="129"/>
      <c r="V29" s="129"/>
      <c r="W29" s="883"/>
      <c r="X29" s="883">
        <f>Y28</f>
        <v>0</v>
      </c>
      <c r="Y29" s="883"/>
      <c r="Z29" s="883"/>
      <c r="AA29" s="883"/>
      <c r="AB29" s="883"/>
      <c r="AC29" s="883"/>
      <c r="AD29" s="883">
        <f>AE28</f>
        <v>0</v>
      </c>
      <c r="AE29" s="883"/>
      <c r="AF29" s="883"/>
      <c r="AG29" s="884"/>
      <c r="AH29" s="883"/>
      <c r="AI29" s="883" t="str">
        <f t="shared" si="15"/>
        <v/>
      </c>
      <c r="AJ29" s="885"/>
      <c r="BF29" s="809"/>
      <c r="BG29" s="809"/>
      <c r="BK29" s="552"/>
      <c r="BN29" s="810"/>
      <c r="BO29" s="810"/>
      <c r="BP29" s="810"/>
      <c r="BQ29" s="810"/>
      <c r="BR29" s="810"/>
      <c r="BS29" s="810"/>
      <c r="BT29" s="810"/>
      <c r="BU29" s="810"/>
      <c r="BV29" s="810"/>
      <c r="BW29" s="810"/>
      <c r="BX29" s="810"/>
      <c r="BY29" s="810"/>
      <c r="BZ29" s="552"/>
      <c r="CA29" s="552"/>
      <c r="CB29" s="552"/>
      <c r="CC29" s="552"/>
      <c r="CD29" s="552"/>
      <c r="CE29" s="552"/>
      <c r="CF29" s="75"/>
    </row>
    <row r="30" s="630" customFormat="1" customHeight="1" spans="1:93">
      <c r="A30" s="888" t="s">
        <v>3121</v>
      </c>
      <c r="B30" s="889"/>
      <c r="C30" s="889"/>
      <c r="D30" s="889"/>
      <c r="E30" s="889"/>
      <c r="F30" s="889"/>
      <c r="G30" s="889"/>
      <c r="H30" s="889"/>
      <c r="I30" s="890"/>
      <c r="J30" s="890"/>
      <c r="K30" s="890"/>
      <c r="L30" s="890"/>
      <c r="M30" s="890"/>
      <c r="N30" s="891"/>
      <c r="O30" s="891"/>
      <c r="P30" s="891"/>
      <c r="Q30" s="891"/>
      <c r="R30" s="152"/>
      <c r="S30" s="152"/>
      <c r="T30" s="152"/>
      <c r="U30" s="152"/>
      <c r="V30" s="152"/>
      <c r="W30" s="892">
        <f t="shared" ref="W30:AF30" si="31">W28-W29</f>
        <v>0</v>
      </c>
      <c r="X30" s="892">
        <f t="shared" si="31"/>
        <v>0</v>
      </c>
      <c r="Y30" s="892"/>
      <c r="Z30" s="892"/>
      <c r="AA30" s="892"/>
      <c r="AB30" s="892"/>
      <c r="AC30" s="892">
        <f t="shared" si="31"/>
        <v>0</v>
      </c>
      <c r="AD30" s="892">
        <f t="shared" si="31"/>
        <v>0</v>
      </c>
      <c r="AE30" s="892"/>
      <c r="AF30" s="892">
        <f t="shared" si="31"/>
        <v>0</v>
      </c>
      <c r="AG30" s="893"/>
      <c r="AH30" s="892">
        <f>AH28-AH29</f>
        <v>0</v>
      </c>
      <c r="AI30" s="892" t="str">
        <f t="shared" si="15"/>
        <v/>
      </c>
      <c r="AJ30" s="894"/>
      <c r="BA30" s="73"/>
      <c r="BB30" s="73"/>
      <c r="BC30" s="73"/>
      <c r="BD30" s="73"/>
      <c r="BE30" s="73"/>
      <c r="BH30" s="861"/>
      <c r="BI30" s="861"/>
      <c r="BJ30" s="861"/>
      <c r="BK30" s="861"/>
      <c r="BL30" s="861"/>
      <c r="BN30" s="861"/>
      <c r="BQ30" s="247"/>
      <c r="BR30" s="247"/>
      <c r="BS30" s="247"/>
      <c r="BT30" s="247"/>
      <c r="BU30" s="247"/>
      <c r="BV30" s="247"/>
      <c r="BW30" s="247"/>
      <c r="BX30" s="247"/>
      <c r="BY30" s="247"/>
      <c r="BZ30" s="247"/>
      <c r="CA30" s="247"/>
      <c r="CB30" s="895"/>
      <c r="CC30" s="895"/>
      <c r="CD30" s="895"/>
      <c r="CE30" s="895"/>
      <c r="CF30" s="895"/>
      <c r="CG30" s="77"/>
      <c r="CH30" s="78"/>
      <c r="CI30" s="77"/>
      <c r="CJ30" s="78"/>
      <c r="CK30" s="78"/>
      <c r="CL30" s="78"/>
      <c r="CM30" s="78"/>
      <c r="CN30" s="78"/>
      <c r="CO30" s="77"/>
    </row>
    <row r="31" customHeight="1" spans="1:93">
      <c r="A31" s="102" t="str">
        <f>参数表!F$6</f>
        <v>产权持有单位填表人：贾广东</v>
      </c>
      <c r="B31" s="96"/>
      <c r="C31" s="671"/>
      <c r="D31" s="635"/>
      <c r="E31" s="640"/>
      <c r="F31" s="640"/>
      <c r="G31" s="640"/>
      <c r="H31" s="640"/>
      <c r="I31" s="640"/>
      <c r="J31" s="640"/>
      <c r="K31" s="640"/>
      <c r="L31" s="640"/>
      <c r="M31" s="640"/>
      <c r="N31" s="635"/>
      <c r="O31" s="635"/>
      <c r="P31" s="635"/>
      <c r="Q31" s="635"/>
      <c r="R31" s="103"/>
      <c r="S31" s="103"/>
      <c r="T31" s="103"/>
      <c r="U31" s="103"/>
      <c r="V31" s="103"/>
      <c r="W31" s="671"/>
      <c r="X31" s="640"/>
      <c r="Y31" s="640"/>
      <c r="Z31" s="640"/>
      <c r="AA31" s="640"/>
      <c r="AB31" s="640"/>
      <c r="AC31" s="640"/>
      <c r="AD31" s="640"/>
      <c r="AE31" s="640"/>
      <c r="AF31" s="156" t="str">
        <f>"评估人员："&amp;封面!$G$24</f>
        <v>评估人员：</v>
      </c>
      <c r="AG31" s="640"/>
      <c r="AH31" s="640"/>
      <c r="AI31" s="640"/>
      <c r="AJ31" s="640"/>
    </row>
    <row r="32" customHeight="1" spans="1:93">
      <c r="A32" s="102" t="str">
        <f>参数表!F$7</f>
        <v>填表日期：2025年9月20日</v>
      </c>
      <c r="B32" s="96"/>
      <c r="C32" s="671"/>
      <c r="D32" s="635"/>
      <c r="E32" s="640"/>
      <c r="F32" s="640"/>
      <c r="G32" s="640"/>
      <c r="H32" s="640"/>
      <c r="I32" s="640"/>
      <c r="J32" s="640"/>
      <c r="K32" s="640"/>
      <c r="L32" s="640"/>
      <c r="M32" s="640"/>
      <c r="N32" s="635"/>
      <c r="O32" s="635"/>
      <c r="P32" s="635"/>
      <c r="Q32" s="635"/>
      <c r="R32" s="103"/>
      <c r="S32" s="103"/>
      <c r="T32" s="103"/>
      <c r="U32" s="103"/>
      <c r="V32" s="103"/>
      <c r="W32" s="640"/>
      <c r="X32" s="640"/>
      <c r="Y32" s="640"/>
      <c r="Z32" s="640"/>
      <c r="AA32" s="640"/>
      <c r="AB32" s="640"/>
      <c r="AC32" s="640"/>
      <c r="AD32" s="640"/>
      <c r="AE32" s="640"/>
      <c r="AF32" s="640"/>
      <c r="AG32" s="640"/>
      <c r="AH32" s="640"/>
      <c r="AI32" s="640"/>
      <c r="AJ32" s="640"/>
      <c r="BQ32" s="247"/>
      <c r="BR32" s="247"/>
      <c r="BS32" s="247"/>
      <c r="BT32" s="247"/>
      <c r="BU32" s="247"/>
      <c r="BV32" s="247"/>
      <c r="BW32" s="247"/>
      <c r="BX32" s="247"/>
      <c r="BY32" s="247"/>
      <c r="BZ32" s="247"/>
      <c r="CA32" s="247"/>
    </row>
    <row r="33" hidden="1" customHeight="1" outlineLevel="1" spans="3:66">
      <c r="C33" s="154" t="s">
        <v>1673</v>
      </c>
      <c r="L33" s="628">
        <f>SUMIF($BA8:$BA27,$BA33,L8:L27)</f>
        <v>0</v>
      </c>
      <c r="M33" s="628">
        <f>SUMIF($BA8:$BA27,$BA33,M8:M27)</f>
        <v>0</v>
      </c>
      <c r="N33" s="897"/>
      <c r="O33" s="897"/>
      <c r="P33" s="897"/>
      <c r="Q33" s="897"/>
      <c r="R33" s="176"/>
      <c r="S33" s="176"/>
      <c r="T33" s="176"/>
      <c r="U33" s="176"/>
      <c r="V33" s="176"/>
      <c r="W33" s="628">
        <f>SUMIF($BA8:$BA27,$BA33,W8:W27)</f>
        <v>0</v>
      </c>
      <c r="X33" s="628">
        <f>SUMIF($BA8:$BA27,$BA33,X8:X27)</f>
        <v>0</v>
      </c>
      <c r="Y33" s="628">
        <f>SUMIF($BA8:$BA27,$BA33,Y8:Y27)</f>
        <v>0</v>
      </c>
      <c r="Z33" s="673"/>
      <c r="AA33" s="673"/>
      <c r="AB33" s="673"/>
      <c r="AC33" s="628">
        <f>SUMIF($BA8:$BA27,$BA33,AC8:AC27)</f>
        <v>0</v>
      </c>
      <c r="AD33" s="628">
        <f>SUMIF($BA8:$BA27,$BA33,AD8:AD27)</f>
        <v>0</v>
      </c>
      <c r="AE33" s="628">
        <f>SUMIF($BA8:$BA27,$BA33,AE8:AE27)</f>
        <v>0</v>
      </c>
      <c r="AF33" s="628">
        <f>SUMIF($BA8:$BA27,$BA33,AF8:AF27)</f>
        <v>0</v>
      </c>
      <c r="AG33" s="673"/>
      <c r="AH33" s="628">
        <f>SUMIF($BA8:$BA27,$BA33,AH8:AH27)</f>
        <v>0</v>
      </c>
      <c r="BA33" s="161" t="s">
        <v>1674</v>
      </c>
      <c r="BH33" s="635" t="s">
        <v>3133</v>
      </c>
      <c r="BI33" s="635" t="s">
        <v>3133</v>
      </c>
      <c r="BJ33" s="635" t="s">
        <v>3133</v>
      </c>
      <c r="BK33" s="635" t="s">
        <v>3133</v>
      </c>
      <c r="BL33" s="635" t="s">
        <v>3133</v>
      </c>
      <c r="BN33" s="635" t="s">
        <v>3133</v>
      </c>
    </row>
    <row r="34" hidden="1" customHeight="1" outlineLevel="1" spans="3:66">
      <c r="C34" s="154" t="s">
        <v>1676</v>
      </c>
      <c r="L34" s="628">
        <f>L28-L33</f>
        <v>0</v>
      </c>
      <c r="M34" s="628">
        <f>M28-M33</f>
        <v>0</v>
      </c>
      <c r="N34" s="897"/>
      <c r="O34" s="897"/>
      <c r="P34" s="897"/>
      <c r="Q34" s="897"/>
      <c r="R34" s="176"/>
      <c r="S34" s="176"/>
      <c r="T34" s="176"/>
      <c r="U34" s="176"/>
      <c r="V34" s="176"/>
      <c r="W34" s="628">
        <f>W28-W33</f>
        <v>0</v>
      </c>
      <c r="X34" s="628">
        <f>X28-X33</f>
        <v>0</v>
      </c>
      <c r="Y34" s="628">
        <f>Y28-Y33</f>
        <v>0</v>
      </c>
      <c r="Z34" s="673"/>
      <c r="AA34" s="673"/>
      <c r="AB34" s="673"/>
      <c r="AC34" s="628">
        <f>AC28-AC33</f>
        <v>0</v>
      </c>
      <c r="AD34" s="628">
        <f>AD28-AD33</f>
        <v>0</v>
      </c>
      <c r="AE34" s="628">
        <f>AE28-AE33</f>
        <v>0</v>
      </c>
      <c r="AF34" s="628">
        <f>AF28-AF33</f>
        <v>0</v>
      </c>
      <c r="AG34" s="673"/>
      <c r="AH34" s="628">
        <f>AH28-AH33</f>
        <v>0</v>
      </c>
      <c r="BA34" s="161" t="s">
        <v>1677</v>
      </c>
      <c r="BH34" s="635" t="s">
        <v>3134</v>
      </c>
      <c r="BI34" s="635" t="s">
        <v>3134</v>
      </c>
      <c r="BJ34" s="635" t="s">
        <v>3134</v>
      </c>
      <c r="BK34" s="635" t="s">
        <v>3134</v>
      </c>
      <c r="BL34" s="635" t="s">
        <v>3134</v>
      </c>
      <c r="BN34" s="635" t="s">
        <v>3134</v>
      </c>
    </row>
    <row r="35" customHeight="1" collapsed="1"/>
  </sheetData>
  <sheetProtection autoFilter="0"/>
  <mergeCells count="42">
    <mergeCell ref="A2:AJ2"/>
    <mergeCell ref="A3:AJ3"/>
    <mergeCell ref="R6:V6"/>
    <mergeCell ref="W6:Y6"/>
    <mergeCell ref="Z6:AB6"/>
    <mergeCell ref="AC6:AE6"/>
    <mergeCell ref="AF6:AH6"/>
    <mergeCell ref="CM8:CO8"/>
    <mergeCell ref="CM9:CO9"/>
    <mergeCell ref="CN15:CO15"/>
    <mergeCell ref="A28:H28"/>
    <mergeCell ref="A29:H29"/>
    <mergeCell ref="A30:H30"/>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AI6:AI7"/>
    <mergeCell ref="AJ6:AJ7"/>
    <mergeCell ref="BF6:BF7"/>
    <mergeCell ref="BG6:BG7"/>
    <mergeCell ref="BH6:BH7"/>
    <mergeCell ref="BI6:BI7"/>
    <mergeCell ref="BJ6:BJ7"/>
    <mergeCell ref="BK6:BK7"/>
    <mergeCell ref="BL6:BL7"/>
    <mergeCell ref="BM6:BM7"/>
    <mergeCell ref="BN6:BN7"/>
    <mergeCell ref="BO6:BO7"/>
  </mergeCells>
  <conditionalFormatting sqref="BM8:BM27">
    <cfRule type="expression" dxfId="5" priority="5" stopIfTrue="1">
      <formula>AND(BL8="无",BM8="")</formula>
    </cfRule>
  </conditionalFormatting>
  <conditionalFormatting sqref="BF8:BG27">
    <cfRule type="containsText" dxfId="6" priority="1" stopIfTrue="1" operator="between" text="出错">
      <formula>NOT(ISERROR(SEARCH("出错",BF8)))</formula>
    </cfRule>
  </conditionalFormatting>
  <conditionalFormatting sqref="BH8:BL27 BN8:BN27">
    <cfRule type="expression" dxfId="5" priority="6" stopIfTrue="1">
      <formula>AND($C8&lt;&gt;"",BH8="")</formula>
    </cfRule>
  </conditionalFormatting>
  <dataValidations count="6">
    <dataValidation allowBlank="1" showInputMessage="1" showErrorMessage="1" prompt="①按资产明细填写，账、表、实物相符，切勿重复；②若账面价值不是历史购置成本请注明调账时间并提供评估报告；③技术特征请区分不同类型构筑物填写；④材质或结构：（A水池：材质：砖、钢筋砼等盖； B烟囱、水塔：材质：“砖，钢筋砼”等；C水井：材质：“砖、钢筋砼”等；D道路：材质:“砼面、沥青面、砖面”等；E围墙：材质:“砖砌、砖铁栏杆”等；F地沟：材质：“砖、砼”等；G挡土墙：材质:“毛石、砼”等。" sqref="A2:Q2 W2:AJ2"/>
    <dataValidation type="list" allowBlank="1" showInputMessage="1" showErrorMessage="1" sqref="R8:R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N8:BN27 BH8:BL27">
      <formula1>BH$33:BH$34</formula1>
    </dataValidation>
    <dataValidation type="list" allowBlank="1" showInputMessage="1" showErrorMessage="1" sqref="BP8:BP27">
      <formula1>"成本法,收益法,市场法"</formula1>
    </dataValidation>
  </dataValidations>
  <hyperlinks>
    <hyperlink ref="A1" location="索引目录!E46" display="返回索引页"/>
    <hyperlink ref="C1" location="固定资产汇总!B14" display="返回"/>
  </hyperlinks>
  <printOptions horizontalCentered="1"/>
  <pageMargins left="0.393700787401575" right="0.393700787401575" top="0.984251968503937" bottom="0.393700787401575" header="0.984251968503937" footer="0.393700787401575"/>
  <pageSetup paperSize="9" scale="99" fitToHeight="0" orientation="landscape" blackAndWhite="1"/>
  <headerFooter alignWithMargins="0">
    <oddHeader>&amp;R&amp;"宋体,常规"&amp;11共&amp;N页，第&amp;P页&amp;"Times New Roman,常规"</oddHeader>
  </headerFooter>
  <colBreaks count="1" manualBreakCount="1">
    <brk id="36" max="31" man="1"/>
  </colBreaks>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2"/>
  <dimension ref="A1:CO35"/>
  <sheetViews>
    <sheetView workbookViewId="0">
      <pane xSplit="3" ySplit="8" topLeftCell="D9" activePane="bottomRight" state="frozen"/>
      <selection/>
      <selection pane="topRight"/>
      <selection pane="bottomLeft"/>
      <selection pane="bottomRight" activeCell="E45" sqref="E45"/>
    </sheetView>
  </sheetViews>
  <sheetFormatPr defaultColWidth="9" defaultRowHeight="15" customHeight="1"/>
  <cols>
    <col min="1" max="1" width="4.2" style="545" customWidth="1"/>
    <col min="2" max="2" width="5.6" style="805" customWidth="1"/>
    <col min="3" max="3" width="6" style="545" customWidth="1"/>
    <col min="4" max="4" width="8.6" style="545" customWidth="1" outlineLevel="1"/>
    <col min="5" max="5" width="4.6" style="545" customWidth="1" outlineLevel="1"/>
    <col min="6" max="6" width="6.1" style="545" customWidth="1"/>
    <col min="7" max="7" width="9.5" style="545" customWidth="1"/>
    <col min="8" max="8" width="6.7" style="545" customWidth="1"/>
    <col min="9" max="9" width="6.6" style="545" customWidth="1"/>
    <col min="10" max="10" width="6.3" style="545" customWidth="1"/>
    <col min="11" max="11" width="6" style="545" customWidth="1"/>
    <col min="12" max="12" width="5.6" style="805" customWidth="1" outlineLevel="1"/>
    <col min="13" max="13" width="4.5" style="805" customWidth="1" outlineLevel="1"/>
    <col min="14" max="15" width="4.6" style="75" customWidth="1" outlineLevel="1"/>
    <col min="16" max="18" width="6.1" style="75" customWidth="1" outlineLevel="1"/>
    <col min="19" max="20" width="10.6" style="546" customWidth="1" outlineLevel="1"/>
    <col min="21" max="21" width="7.6" style="546" customWidth="1" outlineLevel="1"/>
    <col min="22" max="23" width="10.6" style="547" customWidth="1" outlineLevel="1"/>
    <col min="24" max="24" width="7.6" style="547" customWidth="1" outlineLevel="1"/>
    <col min="25" max="26" width="10.6" style="546" customWidth="1"/>
    <col min="27" max="27" width="7.6" style="546" customWidth="1"/>
    <col min="28" max="28" width="10.6" style="546" customWidth="1"/>
    <col min="29" max="29" width="5.6" style="548" customWidth="1"/>
    <col min="30" max="30" width="10.6" style="546" customWidth="1"/>
    <col min="31" max="31" width="5.5" style="548" customWidth="1"/>
    <col min="32" max="32" width="4.6" style="545" customWidth="1"/>
    <col min="33" max="52" width="9" style="545" hidden="1" customWidth="1" outlineLevel="1"/>
    <col min="53" max="53" width="14.6" style="545" customWidth="1" collapsed="1"/>
    <col min="54" max="54" width="9" style="545"/>
    <col min="55" max="55" width="6" style="545" customWidth="1"/>
    <col min="56" max="84" width="9" style="545"/>
    <col min="85" max="85" width="1.6" style="77" customWidth="1"/>
    <col min="86" max="86" width="10.6" style="78" customWidth="1"/>
    <col min="87" max="87" width="10.6" style="77" customWidth="1"/>
    <col min="88" max="88" width="4.6" style="78" customWidth="1"/>
    <col min="89" max="89" width="10.6" style="78" customWidth="1"/>
    <col min="90" max="91" width="4.6" style="78" customWidth="1"/>
    <col min="92" max="92" width="10.6" style="78" customWidth="1"/>
    <col min="93" max="93" width="5" style="77" customWidth="1"/>
    <col min="94" max="16384" width="9" style="545"/>
  </cols>
  <sheetData>
    <row r="1" s="537" customFormat="1" customHeight="1" spans="1:93">
      <c r="A1" s="550" t="s">
        <v>3929</v>
      </c>
      <c r="B1" s="806"/>
      <c r="C1" s="551" t="s">
        <v>3930</v>
      </c>
      <c r="D1" s="552"/>
      <c r="L1" s="807"/>
      <c r="M1" s="807"/>
      <c r="N1" s="82"/>
      <c r="O1" s="82"/>
      <c r="P1" s="82"/>
      <c r="Q1" s="82"/>
      <c r="R1" s="82"/>
      <c r="S1" s="553"/>
      <c r="T1" s="553"/>
      <c r="U1" s="553"/>
      <c r="V1" s="554"/>
      <c r="W1" s="554"/>
      <c r="X1" s="554"/>
      <c r="Y1" s="553"/>
      <c r="Z1" s="553"/>
      <c r="AA1" s="553"/>
      <c r="AB1" s="553"/>
      <c r="AC1" s="555"/>
      <c r="AD1" s="553"/>
      <c r="AE1" s="555"/>
      <c r="BA1" s="808" t="str">
        <f>参数表!$BA$1</f>
        <v>注意：补充特殊事项、作价等均从BA列开始填写</v>
      </c>
      <c r="BB1" s="75"/>
      <c r="BC1" s="75"/>
      <c r="BD1" s="75"/>
      <c r="BE1" s="75"/>
      <c r="BF1" s="552"/>
      <c r="BG1" s="552"/>
      <c r="BH1" s="809"/>
      <c r="BI1" s="809"/>
      <c r="BJ1" s="809"/>
      <c r="BK1" s="809"/>
      <c r="BL1" s="809"/>
      <c r="BM1" s="552"/>
      <c r="BN1" s="809"/>
      <c r="BO1" s="552"/>
      <c r="BP1" s="552"/>
      <c r="BQ1" s="86"/>
      <c r="BR1" s="86"/>
      <c r="BS1" s="86"/>
      <c r="BT1" s="86"/>
      <c r="BU1" s="86"/>
      <c r="BV1" s="86"/>
      <c r="BW1" s="86"/>
      <c r="BX1" s="86"/>
      <c r="BY1" s="86"/>
      <c r="BZ1" s="86"/>
      <c r="CA1" s="86"/>
      <c r="CB1" s="810"/>
      <c r="CC1" s="810"/>
      <c r="CD1" s="810"/>
      <c r="CE1" s="810"/>
      <c r="CF1" s="810"/>
      <c r="CG1" s="87"/>
      <c r="CH1" s="88"/>
      <c r="CI1" s="87"/>
      <c r="CJ1" s="88"/>
      <c r="CK1" s="88"/>
      <c r="CL1" s="88"/>
      <c r="CM1" s="88"/>
      <c r="CN1" s="88"/>
      <c r="CO1" s="87"/>
    </row>
    <row r="2" s="803" customFormat="1" ht="22.8" spans="1:93">
      <c r="A2" s="702" t="s">
        <v>4000</v>
      </c>
      <c r="B2" s="702"/>
      <c r="C2" s="702"/>
      <c r="D2" s="702"/>
      <c r="E2" s="702"/>
      <c r="F2" s="702"/>
      <c r="G2" s="702"/>
      <c r="H2" s="702"/>
      <c r="I2" s="702"/>
      <c r="J2" s="702"/>
      <c r="K2" s="702"/>
      <c r="L2" s="702"/>
      <c r="M2" s="702"/>
      <c r="N2" s="702"/>
      <c r="O2" s="702"/>
      <c r="P2" s="702"/>
      <c r="Q2" s="702"/>
      <c r="R2" s="702"/>
      <c r="S2" s="702"/>
      <c r="T2" s="702"/>
      <c r="U2" s="702"/>
      <c r="V2" s="702"/>
      <c r="W2" s="702"/>
      <c r="X2" s="702"/>
      <c r="Y2" s="702"/>
      <c r="Z2" s="702"/>
      <c r="AA2" s="702"/>
      <c r="AB2" s="702"/>
      <c r="AC2" s="702"/>
      <c r="AD2" s="702"/>
      <c r="AE2" s="702"/>
      <c r="AF2" s="702"/>
      <c r="BA2" s="103" t="str">
        <f>参数表!$BA$2</f>
        <v>评估基准日：</v>
      </c>
      <c r="BB2" s="103" t="str">
        <f>参数表!$BB$2</f>
        <v>2025年7月31日</v>
      </c>
      <c r="BC2" s="71"/>
      <c r="BD2" s="71"/>
      <c r="BE2" s="71"/>
      <c r="BF2" s="71"/>
      <c r="BG2" s="71"/>
      <c r="BH2" s="171"/>
      <c r="BI2" s="171"/>
      <c r="BJ2" s="171"/>
      <c r="BK2" s="171"/>
      <c r="BL2" s="171"/>
      <c r="BM2" s="71"/>
      <c r="BN2" s="171"/>
      <c r="BO2" s="71"/>
      <c r="BP2" s="71"/>
      <c r="BQ2" s="235"/>
      <c r="BR2" s="235"/>
      <c r="BS2" s="235"/>
      <c r="BT2" s="235"/>
      <c r="BU2" s="235"/>
      <c r="BV2" s="235"/>
      <c r="BW2" s="235"/>
      <c r="BX2" s="235"/>
      <c r="BY2" s="235"/>
      <c r="BZ2" s="235"/>
      <c r="CA2" s="235"/>
      <c r="CB2" s="235"/>
      <c r="CC2" s="235"/>
      <c r="CD2" s="235"/>
      <c r="CE2" s="235"/>
      <c r="CF2" s="235"/>
      <c r="CG2" s="92"/>
      <c r="CH2" s="93"/>
      <c r="CI2" s="92"/>
      <c r="CJ2" s="93"/>
      <c r="CK2" s="93"/>
      <c r="CL2" s="93"/>
      <c r="CM2" s="93"/>
      <c r="CN2" s="93"/>
      <c r="CO2" s="92"/>
    </row>
    <row r="3" s="539" customFormat="1" ht="22.8" spans="1:93">
      <c r="A3" s="559" t="str">
        <f>参数表!F5</f>
        <v>评估基准日：2025年7月31日</v>
      </c>
      <c r="B3" s="559"/>
      <c r="C3" s="559"/>
      <c r="D3" s="559"/>
      <c r="E3" s="559"/>
      <c r="F3" s="559"/>
      <c r="G3" s="559"/>
      <c r="H3" s="559"/>
      <c r="I3" s="559"/>
      <c r="J3" s="559"/>
      <c r="K3" s="559"/>
      <c r="L3" s="559"/>
      <c r="M3" s="559"/>
      <c r="N3" s="559"/>
      <c r="O3" s="559"/>
      <c r="P3" s="559"/>
      <c r="Q3" s="559"/>
      <c r="R3" s="559"/>
      <c r="S3" s="559"/>
      <c r="T3" s="559"/>
      <c r="U3" s="559"/>
      <c r="V3" s="559"/>
      <c r="W3" s="559"/>
      <c r="X3" s="559"/>
      <c r="Y3" s="559"/>
      <c r="Z3" s="559"/>
      <c r="AA3" s="559"/>
      <c r="AB3" s="559"/>
      <c r="AC3" s="559"/>
      <c r="AD3" s="559"/>
      <c r="AE3" s="559"/>
      <c r="AF3" s="559"/>
      <c r="BA3" s="103" t="str">
        <f>参数表!$BA$3</f>
        <v>是否显示评估值：</v>
      </c>
      <c r="BB3" s="103" t="str">
        <f>参数表!$BB$3</f>
        <v>是</v>
      </c>
      <c r="BC3" s="75"/>
      <c r="BD3" s="75"/>
      <c r="BE3" s="75"/>
      <c r="BF3" s="552"/>
      <c r="BG3" s="552"/>
      <c r="BH3" s="809"/>
      <c r="BI3" s="809"/>
      <c r="BJ3" s="809"/>
      <c r="BK3" s="809"/>
      <c r="BL3" s="809"/>
      <c r="BM3" s="552"/>
      <c r="BN3" s="809"/>
      <c r="BO3" s="552"/>
      <c r="BP3" s="552"/>
      <c r="BQ3" s="158"/>
      <c r="BR3" s="158"/>
      <c r="BS3" s="158"/>
      <c r="BT3" s="158"/>
      <c r="BU3" s="158"/>
      <c r="BV3" s="158"/>
      <c r="BW3" s="158"/>
      <c r="BX3" s="158"/>
      <c r="BY3" s="158"/>
      <c r="BZ3" s="158"/>
      <c r="CA3" s="158"/>
      <c r="CB3" s="810"/>
      <c r="CC3" s="810"/>
      <c r="CD3" s="810"/>
      <c r="CE3" s="810"/>
      <c r="CF3" s="810"/>
      <c r="CG3" s="92"/>
      <c r="CH3" s="93"/>
      <c r="CI3" s="92"/>
      <c r="CJ3" s="93"/>
      <c r="CK3" s="93"/>
      <c r="CL3" s="93"/>
      <c r="CM3" s="93"/>
      <c r="CN3" s="93"/>
      <c r="CO3" s="92"/>
    </row>
    <row r="4" s="539" customFormat="1" ht="13.2" spans="1:93">
      <c r="A4" s="559"/>
      <c r="B4" s="559"/>
      <c r="C4" s="559"/>
      <c r="D4" s="559"/>
      <c r="E4" s="559"/>
      <c r="F4" s="559"/>
      <c r="G4" s="559"/>
      <c r="H4" s="559"/>
      <c r="I4" s="559"/>
      <c r="J4" s="559"/>
      <c r="K4" s="562"/>
      <c r="L4" s="562"/>
      <c r="M4" s="562"/>
      <c r="N4" s="94"/>
      <c r="O4" s="94"/>
      <c r="P4" s="94"/>
      <c r="Q4" s="94"/>
      <c r="R4" s="94"/>
      <c r="S4" s="560"/>
      <c r="T4" s="560"/>
      <c r="U4" s="560"/>
      <c r="V4" s="561"/>
      <c r="W4" s="561"/>
      <c r="X4" s="561"/>
      <c r="Y4" s="560"/>
      <c r="Z4" s="560"/>
      <c r="AA4" s="560"/>
      <c r="AB4" s="560"/>
      <c r="AC4" s="705"/>
      <c r="AD4" s="567"/>
      <c r="AE4" s="563"/>
      <c r="AF4" s="98" t="str">
        <f>"表"&amp;$BA4</f>
        <v>表4-10-5</v>
      </c>
      <c r="BA4" s="274" t="str">
        <f>固定资产总!A13</f>
        <v>4-10-5</v>
      </c>
      <c r="BB4" s="100">
        <f>MAX(COUNTA(A8:A27),COUNTA(C8:C27),COUNTA(Y8:Y27),COUNTA(AB8:AB27))</f>
        <v>20</v>
      </c>
      <c r="BC4" s="101">
        <f>ROW(A7)+1</f>
        <v>8</v>
      </c>
      <c r="BD4" s="77"/>
      <c r="BE4" s="77"/>
      <c r="BF4" s="552"/>
      <c r="BG4" s="552"/>
      <c r="BH4" s="809"/>
      <c r="BI4" s="809"/>
      <c r="BJ4" s="809"/>
      <c r="BK4" s="809"/>
      <c r="BL4" s="809"/>
      <c r="BM4" s="552"/>
      <c r="BN4" s="809"/>
      <c r="BO4" s="552"/>
      <c r="BP4" s="552"/>
      <c r="BQ4" s="158"/>
      <c r="BR4" s="158"/>
      <c r="BS4" s="158"/>
      <c r="BT4" s="158"/>
      <c r="BU4" s="158"/>
      <c r="BV4" s="158"/>
      <c r="BW4" s="158"/>
      <c r="BX4" s="158"/>
      <c r="BY4" s="158"/>
      <c r="BZ4" s="158"/>
      <c r="CA4" s="158"/>
      <c r="CB4" s="810"/>
      <c r="CC4" s="810"/>
      <c r="CD4" s="810"/>
      <c r="CE4" s="810"/>
      <c r="CF4" s="810"/>
      <c r="CG4" s="77"/>
      <c r="CH4" s="78"/>
      <c r="CI4" s="78"/>
      <c r="CJ4" s="78"/>
      <c r="CK4" s="78"/>
      <c r="CL4" s="78"/>
      <c r="CM4" s="78"/>
      <c r="CN4" s="78"/>
      <c r="CO4" s="77"/>
    </row>
    <row r="5" s="539" customFormat="1" ht="13.2" spans="1:93">
      <c r="A5" s="566" t="str">
        <f>参数表!F3</f>
        <v>产权持有单位:中煤第五建设有限公司</v>
      </c>
      <c r="B5" s="562"/>
      <c r="C5" s="569"/>
      <c r="D5" s="566"/>
      <c r="E5" s="569"/>
      <c r="F5" s="569"/>
      <c r="G5" s="569"/>
      <c r="H5" s="569"/>
      <c r="I5" s="569"/>
      <c r="J5" s="569"/>
      <c r="K5" s="569"/>
      <c r="L5" s="562"/>
      <c r="M5" s="562"/>
      <c r="N5" s="103"/>
      <c r="O5" s="103"/>
      <c r="P5" s="103"/>
      <c r="Q5" s="103"/>
      <c r="R5" s="103"/>
      <c r="S5" s="567"/>
      <c r="T5" s="567"/>
      <c r="U5" s="567"/>
      <c r="V5" s="568"/>
      <c r="W5" s="568"/>
      <c r="X5" s="568"/>
      <c r="Y5" s="567"/>
      <c r="Z5" s="567"/>
      <c r="AA5" s="567"/>
      <c r="AB5" s="567"/>
      <c r="AC5" s="563"/>
      <c r="AD5" s="811"/>
      <c r="AE5" s="812"/>
      <c r="AF5" s="813" t="s">
        <v>236</v>
      </c>
      <c r="BA5" s="154"/>
      <c r="BB5" s="105" t="str">
        <f ca="1">判断表!C70</f>
        <v>中煤第五建设有限公司第三工程处拟处置实物资产项目\[0000-3基础法明细表.xlsx]铺轨</v>
      </c>
      <c r="BC5" s="106">
        <f>IFERROR(SUMIF(BC8:BC28,"√",AD8:AD28)/AD29,0)</f>
        <v>0</v>
      </c>
      <c r="BD5" s="107"/>
      <c r="BE5" s="107"/>
      <c r="BF5" s="108">
        <f>房屋!BF5</f>
        <v>0</v>
      </c>
      <c r="BG5" s="108">
        <f>房屋!BG5</f>
        <v>0</v>
      </c>
      <c r="BH5" s="109"/>
      <c r="BI5" s="109"/>
      <c r="BJ5" s="109"/>
      <c r="BK5" s="109"/>
      <c r="BL5" s="109"/>
      <c r="BM5" s="110"/>
      <c r="BN5" s="109"/>
      <c r="BO5" s="110"/>
      <c r="BP5" s="110"/>
      <c r="BQ5" s="158"/>
      <c r="BR5" s="158"/>
      <c r="BS5" s="158"/>
      <c r="BT5" s="158"/>
      <c r="BU5" s="158"/>
      <c r="BV5" s="158"/>
      <c r="BW5" s="158"/>
      <c r="BX5" s="158"/>
      <c r="BY5" s="158"/>
      <c r="BZ5" s="158"/>
      <c r="CA5" s="158"/>
      <c r="CB5" s="810"/>
      <c r="CC5" s="810"/>
      <c r="CD5" s="810"/>
      <c r="CE5" s="810"/>
      <c r="CF5" s="810"/>
      <c r="CG5" s="77"/>
      <c r="CH5" s="78"/>
      <c r="CI5" s="78"/>
      <c r="CJ5" s="78"/>
      <c r="CK5" s="78"/>
      <c r="CL5" s="78"/>
      <c r="CM5" s="78"/>
      <c r="CN5" s="78"/>
      <c r="CO5" s="77"/>
    </row>
    <row r="6" s="540" customFormat="1" ht="22.5" customHeight="1" spans="1:93">
      <c r="A6" s="814" t="s">
        <v>305</v>
      </c>
      <c r="B6" s="571" t="s">
        <v>3669</v>
      </c>
      <c r="C6" s="571" t="s">
        <v>4001</v>
      </c>
      <c r="D6" s="572" t="s">
        <v>4002</v>
      </c>
      <c r="E6" s="572" t="s">
        <v>4003</v>
      </c>
      <c r="F6" s="571" t="s">
        <v>4004</v>
      </c>
      <c r="G6" s="571" t="s">
        <v>4005</v>
      </c>
      <c r="H6" s="571" t="s">
        <v>4006</v>
      </c>
      <c r="I6" s="815" t="s">
        <v>4007</v>
      </c>
      <c r="J6" s="571" t="s">
        <v>4008</v>
      </c>
      <c r="K6" s="816" t="s">
        <v>4009</v>
      </c>
      <c r="L6" s="816" t="s">
        <v>4010</v>
      </c>
      <c r="M6" s="816" t="s">
        <v>4011</v>
      </c>
      <c r="N6" s="511" t="s">
        <v>1964</v>
      </c>
      <c r="O6" s="512"/>
      <c r="P6" s="512"/>
      <c r="Q6" s="512"/>
      <c r="R6" s="513"/>
      <c r="S6" s="713" t="s">
        <v>4012</v>
      </c>
      <c r="T6" s="817"/>
      <c r="U6" s="714"/>
      <c r="V6" s="515" t="s">
        <v>3236</v>
      </c>
      <c r="W6" s="516"/>
      <c r="X6" s="517"/>
      <c r="Y6" s="818" t="s">
        <v>1523</v>
      </c>
      <c r="Z6" s="819"/>
      <c r="AA6" s="820"/>
      <c r="AB6" s="571" t="s">
        <v>1550</v>
      </c>
      <c r="AC6" s="571"/>
      <c r="AD6" s="571"/>
      <c r="AE6" s="579" t="s">
        <v>1551</v>
      </c>
      <c r="AF6" s="571" t="s">
        <v>308</v>
      </c>
      <c r="BA6" s="821"/>
      <c r="BB6" s="822"/>
      <c r="BC6" s="822"/>
      <c r="BD6" s="822"/>
      <c r="BE6" s="822"/>
      <c r="BF6" s="823" t="s">
        <v>3950</v>
      </c>
      <c r="BG6" s="823" t="s">
        <v>3951</v>
      </c>
      <c r="BH6" s="824" t="s">
        <v>3952</v>
      </c>
      <c r="BI6" s="824" t="s">
        <v>3953</v>
      </c>
      <c r="BJ6" s="824" t="s">
        <v>3954</v>
      </c>
      <c r="BK6" s="824" t="s">
        <v>3955</v>
      </c>
      <c r="BL6" s="824" t="s">
        <v>3956</v>
      </c>
      <c r="BM6" s="824" t="s">
        <v>3957</v>
      </c>
      <c r="BN6" s="824" t="s">
        <v>3958</v>
      </c>
      <c r="BO6" s="824" t="s">
        <v>3959</v>
      </c>
      <c r="BP6" s="825" t="s">
        <v>3960</v>
      </c>
      <c r="BQ6" s="821"/>
      <c r="BR6" s="826">
        <f>参数表!$E$15</f>
        <v>0</v>
      </c>
      <c r="BS6" s="827"/>
      <c r="BT6" s="827"/>
      <c r="BU6" s="827"/>
      <c r="BV6" s="828"/>
      <c r="BW6" s="828"/>
      <c r="BX6" s="829">
        <f>构筑物!BY6</f>
        <v>1</v>
      </c>
      <c r="BY6" s="827"/>
      <c r="BZ6" s="828"/>
      <c r="CA6" s="828"/>
      <c r="CB6" s="830" t="str">
        <f>$BB$2</f>
        <v>2025年7月31日</v>
      </c>
      <c r="CC6" s="829"/>
      <c r="CD6" s="828">
        <v>0.4</v>
      </c>
      <c r="CE6" s="828">
        <v>0.6</v>
      </c>
      <c r="CF6" s="828"/>
      <c r="CG6" s="111"/>
      <c r="CH6" s="78"/>
      <c r="CI6" s="78"/>
      <c r="CJ6" s="78"/>
      <c r="CK6" s="78"/>
      <c r="CL6" s="78"/>
      <c r="CM6" s="78"/>
      <c r="CN6" s="194"/>
      <c r="CO6" s="111"/>
    </row>
    <row r="7" s="804" customFormat="1" ht="22.5" customHeight="1" spans="1:93">
      <c r="A7" s="814"/>
      <c r="B7" s="571"/>
      <c r="C7" s="571"/>
      <c r="D7" s="580"/>
      <c r="E7" s="580"/>
      <c r="F7" s="571"/>
      <c r="G7" s="814"/>
      <c r="H7" s="814"/>
      <c r="I7" s="580"/>
      <c r="J7" s="814"/>
      <c r="K7" s="814"/>
      <c r="L7" s="814"/>
      <c r="M7" s="814"/>
      <c r="N7" s="519" t="s">
        <v>1968</v>
      </c>
      <c r="O7" s="519" t="s">
        <v>1969</v>
      </c>
      <c r="P7" s="519" t="s">
        <v>3699</v>
      </c>
      <c r="Q7" s="519" t="s">
        <v>3700</v>
      </c>
      <c r="R7" s="149" t="s">
        <v>3701</v>
      </c>
      <c r="S7" s="831" t="s">
        <v>1556</v>
      </c>
      <c r="T7" s="832" t="s">
        <v>1557</v>
      </c>
      <c r="U7" s="833" t="s">
        <v>3701</v>
      </c>
      <c r="V7" s="117" t="s">
        <v>4013</v>
      </c>
      <c r="W7" s="117" t="s">
        <v>4014</v>
      </c>
      <c r="X7" s="117" t="s">
        <v>3705</v>
      </c>
      <c r="Y7" s="834" t="s">
        <v>1556</v>
      </c>
      <c r="Z7" s="835" t="s">
        <v>1557</v>
      </c>
      <c r="AA7" s="836" t="s">
        <v>3701</v>
      </c>
      <c r="AB7" s="832" t="s">
        <v>1556</v>
      </c>
      <c r="AC7" s="837" t="s">
        <v>2753</v>
      </c>
      <c r="AD7" s="832" t="s">
        <v>1557</v>
      </c>
      <c r="AE7" s="838"/>
      <c r="AF7" s="814"/>
      <c r="BA7" s="822" t="s">
        <v>3966</v>
      </c>
      <c r="BB7" s="822" t="s">
        <v>3967</v>
      </c>
      <c r="BC7" s="822" t="s">
        <v>3968</v>
      </c>
      <c r="BD7" s="822" t="s">
        <v>3969</v>
      </c>
      <c r="BE7" s="822" t="s">
        <v>3970</v>
      </c>
      <c r="BF7" s="839"/>
      <c r="BG7" s="839"/>
      <c r="BH7" s="824"/>
      <c r="BI7" s="824"/>
      <c r="BJ7" s="824"/>
      <c r="BK7" s="824"/>
      <c r="BL7" s="824"/>
      <c r="BM7" s="824"/>
      <c r="BN7" s="824"/>
      <c r="BO7" s="824"/>
      <c r="BP7" s="840" t="s">
        <v>983</v>
      </c>
      <c r="BQ7" s="184" t="s">
        <v>3707</v>
      </c>
      <c r="BR7" s="184" t="s">
        <v>2757</v>
      </c>
      <c r="BS7" s="783" t="s">
        <v>3708</v>
      </c>
      <c r="BT7" s="841" t="s">
        <v>3709</v>
      </c>
      <c r="BU7" s="783" t="s">
        <v>3711</v>
      </c>
      <c r="BV7" s="184" t="s">
        <v>3712</v>
      </c>
      <c r="BW7" s="184" t="s">
        <v>3713</v>
      </c>
      <c r="BX7" s="842" t="s">
        <v>3971</v>
      </c>
      <c r="BY7" s="843" t="s">
        <v>3972</v>
      </c>
      <c r="BZ7" s="844" t="s">
        <v>3973</v>
      </c>
      <c r="CA7" s="844" t="s">
        <v>3974</v>
      </c>
      <c r="CB7" s="844" t="s">
        <v>3975</v>
      </c>
      <c r="CC7" s="842" t="s">
        <v>3976</v>
      </c>
      <c r="CD7" s="844" t="s">
        <v>3977</v>
      </c>
      <c r="CE7" s="844" t="s">
        <v>3978</v>
      </c>
      <c r="CF7" s="844" t="s">
        <v>3979</v>
      </c>
      <c r="CG7" s="119"/>
      <c r="CH7" s="120" t="s">
        <v>1645</v>
      </c>
      <c r="CI7" s="121" t="s">
        <v>1646</v>
      </c>
      <c r="CJ7" s="121" t="s">
        <v>1647</v>
      </c>
      <c r="CK7" s="121" t="s">
        <v>1648</v>
      </c>
      <c r="CL7" s="121" t="s">
        <v>1647</v>
      </c>
      <c r="CM7" s="121" t="s">
        <v>1647</v>
      </c>
      <c r="CN7" s="121" t="s">
        <v>1649</v>
      </c>
      <c r="CO7" s="122" t="s">
        <v>1650</v>
      </c>
    </row>
    <row r="8" s="541" customFormat="1" ht="15.75" customHeight="1" spans="1:93">
      <c r="A8" s="123" t="str">
        <f>IF(C8="","",COUNT(A$7:A7)+1)</f>
        <v/>
      </c>
      <c r="B8" s="845"/>
      <c r="C8" s="586"/>
      <c r="D8" s="588"/>
      <c r="E8" s="586"/>
      <c r="F8" s="592"/>
      <c r="G8" s="592"/>
      <c r="H8" s="592"/>
      <c r="I8" s="592"/>
      <c r="J8" s="592"/>
      <c r="K8" s="846"/>
      <c r="L8" s="847"/>
      <c r="M8" s="848"/>
      <c r="N8" s="127"/>
      <c r="O8" s="127" t="str">
        <f>IFERROR(VLOOKUP(N8,参数表!$H$2:$I$50,2,FALSE),"")</f>
        <v/>
      </c>
      <c r="P8" s="128" t="str">
        <f>IFERROR(IF(OR(N8="人民币",N8=""),"",Y8/O8),"")</f>
        <v/>
      </c>
      <c r="Q8" s="128" t="str">
        <f>IFERROR(IF(OR(N8="人民币",N8=""),"",Z8/O8),"")</f>
        <v/>
      </c>
      <c r="R8" s="129" t="str">
        <f>IFERROR(IF(OR(N8="人民币",N8=""),"",AA8/O8),"")</f>
        <v/>
      </c>
      <c r="S8" s="589"/>
      <c r="T8" s="589"/>
      <c r="U8" s="589"/>
      <c r="V8" s="590"/>
      <c r="W8" s="590"/>
      <c r="X8" s="590"/>
      <c r="Y8" s="589" t="str">
        <f>IF($C8="","",S8+V8)</f>
        <v/>
      </c>
      <c r="Z8" s="589" t="str">
        <f t="shared" ref="Z8:AA8" si="0">IF($C8="","",T8+W8)</f>
        <v/>
      </c>
      <c r="AA8" s="589" t="str">
        <f t="shared" si="0"/>
        <v/>
      </c>
      <c r="AB8" s="129" t="str">
        <f>IF(C8="","",IF($BB$3="是",IF(BP8="成本法",CA8,BQ8),""))</f>
        <v/>
      </c>
      <c r="AC8" s="521" t="str">
        <f>IF(C8="","",IF($BB$3="是",IF(BP8="成本法",MAX(75,CF8*100),""),""))</f>
        <v/>
      </c>
      <c r="AD8" s="129" t="str">
        <f>IFERROR(IF(AC8="",AB8,ROUND(AB8*AC8/100,0)),"")</f>
        <v/>
      </c>
      <c r="AE8" s="849" t="str">
        <f>IFERROR((AD8-(Z8-AA8))/(Z8-AA8)*100,"")</f>
        <v/>
      </c>
      <c r="AF8" s="592"/>
      <c r="BA8" s="78"/>
      <c r="BB8" s="132" t="s">
        <v>4015</v>
      </c>
      <c r="BC8" s="133"/>
      <c r="BD8" s="132" t="str">
        <f>IF(OR(C8="",BC8=""),"",COUNTIF(BC$8:BC8,"√"))</f>
        <v/>
      </c>
      <c r="BE8" s="134" t="str">
        <f t="shared" ref="BE8:BE15" si="1">IF(BC8="","",BB8&amp;"︱"&amp;C8&amp;"︱"&amp;TEXT(X8,"#,##0.00"))</f>
        <v/>
      </c>
      <c r="BF8" s="135" t="str">
        <f>IF($C8="","",IF(BF$5=0,"OK","出错"))</f>
        <v/>
      </c>
      <c r="BG8" s="135" t="str">
        <f>IF($C8="","",IF(BG$5=0,"OK","出错"))</f>
        <v/>
      </c>
      <c r="BH8" s="136"/>
      <c r="BI8" s="136"/>
      <c r="BJ8" s="136"/>
      <c r="BK8" s="136"/>
      <c r="BL8" s="136"/>
      <c r="BM8" s="137"/>
      <c r="BN8" s="136"/>
      <c r="BO8" s="137"/>
      <c r="BP8" s="165" t="s">
        <v>2706</v>
      </c>
      <c r="BQ8" s="676"/>
      <c r="BR8" s="522">
        <f t="shared" ref="BR8:BR27" si="2">BQ8/(1+BR$6)*BR$6</f>
        <v>0</v>
      </c>
      <c r="BS8" s="850"/>
      <c r="BT8" s="776"/>
      <c r="BU8" s="851">
        <f>BQ8*BS8</f>
        <v>0</v>
      </c>
      <c r="BV8" s="156">
        <f>BR8+BQ8*(BS8-BT8)/1.06*6%</f>
        <v>0</v>
      </c>
      <c r="BW8" s="156">
        <f>BQ8+BU8</f>
        <v>0</v>
      </c>
      <c r="BX8" s="522">
        <f t="shared" ref="BX8:BX27" si="3">BX$6</f>
        <v>1</v>
      </c>
      <c r="BY8" s="852">
        <f>LOOKUP(BX8,参数表!$A$13:$B$19)</f>
        <v>0</v>
      </c>
      <c r="BZ8" s="156">
        <f>BW8*BX8*BY8/2</f>
        <v>0</v>
      </c>
      <c r="CA8" s="156">
        <f>ROUND(BW8+BZ8-BV8,-2)</f>
        <v>0</v>
      </c>
      <c r="CB8" s="522">
        <f t="shared" ref="CB8:CB15" si="4">(CB$6-T8)/365.25</f>
        <v>125.582477754962</v>
      </c>
      <c r="CC8" s="676"/>
      <c r="CD8" s="853">
        <f>IFERROR(ROUND(1-CB8/CC8,2),0)</f>
        <v>0</v>
      </c>
      <c r="CE8" s="853">
        <f>CD8</f>
        <v>0</v>
      </c>
      <c r="CF8" s="853">
        <f t="shared" ref="CF8:CF27" si="5">ROUND(IF(ABS(CE8-CD8)&gt;5%,CE8,CD8*CD$6+CE8*CE$6),2)</f>
        <v>0</v>
      </c>
      <c r="CG8" s="77"/>
      <c r="CH8" s="134" t="str">
        <f>IF(COUNTIF(CH$7:CH7,C8)&gt;0,"",C8)&amp;""</f>
        <v/>
      </c>
      <c r="CI8" s="138">
        <f>SUMIF(C$8:C$27,CH8,Y$8:Y$27)</f>
        <v>0</v>
      </c>
      <c r="CJ8" s="132">
        <f t="shared" ref="CJ8" si="6">RANK(CI8,CI$8:CI$27)</f>
        <v>1</v>
      </c>
      <c r="CK8" s="138">
        <f>SUMIF(C$8:C$27,CH8,AB$8:AB$27)</f>
        <v>0</v>
      </c>
      <c r="CL8" s="132">
        <f>RANK(CK8,CK$8:CK$27)</f>
        <v>1</v>
      </c>
      <c r="CM8" s="138">
        <f>SUM(CI8:CI27)</f>
        <v>0</v>
      </c>
      <c r="CN8" s="138"/>
      <c r="CO8" s="138"/>
    </row>
    <row r="9" s="541" customFormat="1" ht="15.75" customHeight="1" spans="1:93">
      <c r="A9" s="123" t="str">
        <f>IF(C9="","",COUNT(A$7:A8)+1)</f>
        <v/>
      </c>
      <c r="B9" s="599"/>
      <c r="C9" s="597"/>
      <c r="D9" s="599"/>
      <c r="E9" s="597"/>
      <c r="F9" s="602"/>
      <c r="G9" s="602"/>
      <c r="H9" s="602"/>
      <c r="I9" s="602"/>
      <c r="J9" s="602"/>
      <c r="K9" s="141"/>
      <c r="L9" s="141"/>
      <c r="M9" s="536"/>
      <c r="N9" s="142"/>
      <c r="O9" s="127" t="str">
        <f>IFERROR(VLOOKUP(N9,参数表!$H$2:$I$50,2,FALSE),"")</f>
        <v/>
      </c>
      <c r="P9" s="128" t="str">
        <f t="shared" ref="P9:P27" si="7">IFERROR(IF(OR(N9="人民币",N9=""),"",Y9/O9),"")</f>
        <v/>
      </c>
      <c r="Q9" s="128" t="str">
        <f t="shared" ref="Q9:Q27" si="8">IFERROR(IF(OR(N9="人民币",N9=""),"",Z9/O9),"")</f>
        <v/>
      </c>
      <c r="R9" s="129" t="str">
        <f t="shared" ref="R9:R27" si="9">IFERROR(IF(OR(N9="人民币",N9=""),"",AA9/O9),"")</f>
        <v/>
      </c>
      <c r="S9" s="600"/>
      <c r="T9" s="600"/>
      <c r="U9" s="600"/>
      <c r="V9" s="601"/>
      <c r="W9" s="601"/>
      <c r="X9" s="601"/>
      <c r="Y9" s="589" t="str">
        <f t="shared" ref="Y9:Y27" si="10">IF($C9="","",S9+V9)</f>
        <v/>
      </c>
      <c r="Z9" s="589" t="str">
        <f t="shared" ref="Z9:Z27" si="11">IF($C9="","",T9+W9)</f>
        <v/>
      </c>
      <c r="AA9" s="589" t="str">
        <f t="shared" ref="AA9:AA27" si="12">IF($C9="","",U9+X9)</f>
        <v/>
      </c>
      <c r="AB9" s="129" t="str">
        <f t="shared" ref="AB9:AB27" si="13">IF(C9="","",IF($BB$3="是",IF(BP9="成本法",CA9,BQ9),""))</f>
        <v/>
      </c>
      <c r="AC9" s="521" t="str">
        <f t="shared" ref="AC9:AC27" si="14">IF(C9="","",IF($BB$3="是",IF(BP9="成本法",MAX(75,CF9*100),""),""))</f>
        <v/>
      </c>
      <c r="AD9" s="129" t="str">
        <f t="shared" ref="AD9:AD27" si="15">IFERROR(IF(AC9="",AB9,ROUND(AB9*AC9/100,0)),"")</f>
        <v/>
      </c>
      <c r="AE9" s="849" t="str">
        <f t="shared" ref="AE9:AE27" si="16">IFERROR((AD9-(Z9-AA9))/(Z9-AA9)*100,"")</f>
        <v/>
      </c>
      <c r="AF9" s="602"/>
      <c r="BA9" s="78"/>
      <c r="BB9" s="132" t="s">
        <v>4016</v>
      </c>
      <c r="BC9" s="133"/>
      <c r="BD9" s="132" t="str">
        <f>IF(OR(C9="",BC9=""),"",COUNTIF(BC$8:BC9,"√"))</f>
        <v/>
      </c>
      <c r="BE9" s="134" t="str">
        <f t="shared" si="1"/>
        <v/>
      </c>
      <c r="BF9" s="135" t="str">
        <f t="shared" ref="BF9:BG27" si="17">IF($C9="","",IF(BF$5=0,"OK","出错"))</f>
        <v/>
      </c>
      <c r="BG9" s="135" t="str">
        <f t="shared" si="17"/>
        <v/>
      </c>
      <c r="BH9" s="136"/>
      <c r="BI9" s="136"/>
      <c r="BJ9" s="136"/>
      <c r="BK9" s="136"/>
      <c r="BL9" s="136"/>
      <c r="BM9" s="137"/>
      <c r="BN9" s="136"/>
      <c r="BO9" s="137"/>
      <c r="BP9" s="165" t="s">
        <v>2706</v>
      </c>
      <c r="BQ9" s="676"/>
      <c r="BR9" s="522">
        <f t="shared" si="2"/>
        <v>0</v>
      </c>
      <c r="BS9" s="850"/>
      <c r="BT9" s="850"/>
      <c r="BU9" s="851">
        <f t="shared" ref="BU9:BU27" si="18">BQ9*BS9</f>
        <v>0</v>
      </c>
      <c r="BV9" s="156">
        <f t="shared" ref="BV9:BV27" si="19">BR9+BQ9*(BS9-BT9)/1.06*6%</f>
        <v>0</v>
      </c>
      <c r="BW9" s="156">
        <f t="shared" ref="BW9:BW27" si="20">BQ9+BU9</f>
        <v>0</v>
      </c>
      <c r="BX9" s="522">
        <f t="shared" si="3"/>
        <v>1</v>
      </c>
      <c r="BY9" s="852">
        <f>LOOKUP(BX9,参数表!$A$13:$B$19)</f>
        <v>0</v>
      </c>
      <c r="BZ9" s="156">
        <f t="shared" ref="BZ9:BZ27" si="21">BW9*BX9*BY9/2</f>
        <v>0</v>
      </c>
      <c r="CA9" s="156">
        <f t="shared" ref="CA9:CA27" si="22">ROUND(BW9+BZ9-BV9,-2)</f>
        <v>0</v>
      </c>
      <c r="CB9" s="522">
        <f t="shared" si="4"/>
        <v>125.582477754962</v>
      </c>
      <c r="CC9" s="676"/>
      <c r="CD9" s="853">
        <f>IFERROR(ROUND(1-CB9/CC9,2),0)</f>
        <v>0</v>
      </c>
      <c r="CE9" s="853">
        <f t="shared" ref="CE9:CE27" si="23">CD9</f>
        <v>0</v>
      </c>
      <c r="CF9" s="853">
        <f t="shared" si="5"/>
        <v>0</v>
      </c>
      <c r="CG9" s="77"/>
      <c r="CH9" s="134" t="str">
        <f>IF(COUNTIF(CH$7:CH8,C9)&gt;0,"",C9)&amp;""</f>
        <v/>
      </c>
      <c r="CI9" s="138">
        <f t="shared" ref="CI9:CI27" si="24">SUMIF(C$8:C$27,CH9,Y$8:Y$27)</f>
        <v>0</v>
      </c>
      <c r="CJ9" s="132">
        <f t="shared" ref="CJ9:CJ27" si="25">RANK(CI9,CI$8:CI$27)</f>
        <v>1</v>
      </c>
      <c r="CK9" s="138">
        <f t="shared" ref="CK9:CK27" si="26">SUMIF(C$8:C$27,CH9,AB$8:AB$27)</f>
        <v>0</v>
      </c>
      <c r="CL9" s="132">
        <f t="shared" ref="CL9:CL27" si="27">RANK(CK9,CK$8:CK$27)</f>
        <v>1</v>
      </c>
      <c r="CM9" s="138">
        <f>SUM(CK8:CK27)</f>
        <v>0</v>
      </c>
      <c r="CN9" s="138"/>
      <c r="CO9" s="138"/>
    </row>
    <row r="10" s="541" customFormat="1" ht="15.75" customHeight="1" spans="1:93">
      <c r="A10" s="123" t="str">
        <f>IF(C10="","",COUNT(A$7:A9)+1)</f>
        <v/>
      </c>
      <c r="B10" s="599"/>
      <c r="C10" s="597"/>
      <c r="D10" s="599"/>
      <c r="E10" s="597"/>
      <c r="F10" s="602"/>
      <c r="G10" s="602"/>
      <c r="H10" s="602"/>
      <c r="I10" s="602"/>
      <c r="J10" s="602"/>
      <c r="K10" s="141"/>
      <c r="L10" s="141"/>
      <c r="M10" s="536"/>
      <c r="N10" s="142"/>
      <c r="O10" s="127" t="str">
        <f>IFERROR(VLOOKUP(N10,参数表!$H$2:$I$50,2,FALSE),"")</f>
        <v/>
      </c>
      <c r="P10" s="128" t="str">
        <f t="shared" si="7"/>
        <v/>
      </c>
      <c r="Q10" s="128" t="str">
        <f t="shared" si="8"/>
        <v/>
      </c>
      <c r="R10" s="129" t="str">
        <f t="shared" si="9"/>
        <v/>
      </c>
      <c r="S10" s="600"/>
      <c r="T10" s="600"/>
      <c r="U10" s="600"/>
      <c r="V10" s="601"/>
      <c r="W10" s="601"/>
      <c r="X10" s="601"/>
      <c r="Y10" s="589" t="str">
        <f t="shared" si="10"/>
        <v/>
      </c>
      <c r="Z10" s="589" t="str">
        <f t="shared" si="11"/>
        <v/>
      </c>
      <c r="AA10" s="589" t="str">
        <f t="shared" si="12"/>
        <v/>
      </c>
      <c r="AB10" s="129" t="str">
        <f t="shared" si="13"/>
        <v/>
      </c>
      <c r="AC10" s="521" t="str">
        <f t="shared" si="14"/>
        <v/>
      </c>
      <c r="AD10" s="129" t="str">
        <f t="shared" si="15"/>
        <v/>
      </c>
      <c r="AE10" s="849" t="str">
        <f t="shared" si="16"/>
        <v/>
      </c>
      <c r="AF10" s="602"/>
      <c r="BA10" s="78"/>
      <c r="BB10" s="132" t="s">
        <v>4017</v>
      </c>
      <c r="BC10" s="133"/>
      <c r="BD10" s="132" t="str">
        <f>IF(OR(C10="",BC10=""),"",COUNTIF(BC$8:BC10,"√"))</f>
        <v/>
      </c>
      <c r="BE10" s="134" t="str">
        <f t="shared" si="1"/>
        <v/>
      </c>
      <c r="BF10" s="135" t="str">
        <f t="shared" si="17"/>
        <v/>
      </c>
      <c r="BG10" s="135" t="str">
        <f t="shared" si="17"/>
        <v/>
      </c>
      <c r="BH10" s="136"/>
      <c r="BI10" s="136"/>
      <c r="BJ10" s="136"/>
      <c r="BK10" s="136"/>
      <c r="BL10" s="136"/>
      <c r="BM10" s="137"/>
      <c r="BN10" s="136"/>
      <c r="BO10" s="137"/>
      <c r="BP10" s="165" t="s">
        <v>2706</v>
      </c>
      <c r="BQ10" s="676"/>
      <c r="BR10" s="522">
        <f t="shared" si="2"/>
        <v>0</v>
      </c>
      <c r="BS10" s="850"/>
      <c r="BT10" s="850"/>
      <c r="BU10" s="851">
        <f t="shared" si="18"/>
        <v>0</v>
      </c>
      <c r="BV10" s="156">
        <f t="shared" si="19"/>
        <v>0</v>
      </c>
      <c r="BW10" s="156">
        <f t="shared" si="20"/>
        <v>0</v>
      </c>
      <c r="BX10" s="522">
        <f t="shared" si="3"/>
        <v>1</v>
      </c>
      <c r="BY10" s="852">
        <f>LOOKUP(BX10,参数表!$A$13:$B$19)</f>
        <v>0</v>
      </c>
      <c r="BZ10" s="156">
        <f t="shared" si="21"/>
        <v>0</v>
      </c>
      <c r="CA10" s="156">
        <f t="shared" si="22"/>
        <v>0</v>
      </c>
      <c r="CB10" s="522">
        <f t="shared" si="4"/>
        <v>125.582477754962</v>
      </c>
      <c r="CC10" s="676"/>
      <c r="CD10" s="853">
        <f>IFERROR(ROUND(1-CB10/CC10,2),0)</f>
        <v>0</v>
      </c>
      <c r="CE10" s="853">
        <f t="shared" si="23"/>
        <v>0</v>
      </c>
      <c r="CF10" s="853">
        <f t="shared" si="5"/>
        <v>0</v>
      </c>
      <c r="CG10" s="77"/>
      <c r="CH10" s="134" t="str">
        <f>IF(COUNTIF(CH$7:CH9,C10)&gt;0,"",C10)&amp;""</f>
        <v/>
      </c>
      <c r="CI10" s="138">
        <f t="shared" si="24"/>
        <v>0</v>
      </c>
      <c r="CJ10" s="132">
        <f t="shared" si="25"/>
        <v>1</v>
      </c>
      <c r="CK10" s="138">
        <f t="shared" si="26"/>
        <v>0</v>
      </c>
      <c r="CL10" s="132">
        <f t="shared" si="27"/>
        <v>1</v>
      </c>
      <c r="CM10" s="132">
        <v>1</v>
      </c>
      <c r="CN10" s="134" t="str">
        <f>IFERROR(INDEX(CH$8:CH$27,MATCH(CM10,IF(CM$8=0,CL$8:CL$27,CJ$8:CJ$27),0))&amp;"","")</f>
        <v/>
      </c>
      <c r="CO10" s="146" t="str">
        <f>IF(CN11="","",IF(CN12="","和","、"))</f>
        <v/>
      </c>
    </row>
    <row r="11" s="541" customFormat="1" ht="15.75" customHeight="1" spans="1:93">
      <c r="A11" s="123" t="str">
        <f>IF(C11="","",COUNT(A$7:A10)+1)</f>
        <v/>
      </c>
      <c r="B11" s="599"/>
      <c r="C11" s="597"/>
      <c r="D11" s="599"/>
      <c r="E11" s="597"/>
      <c r="F11" s="602"/>
      <c r="G11" s="602"/>
      <c r="H11" s="602"/>
      <c r="I11" s="602"/>
      <c r="J11" s="602"/>
      <c r="K11" s="141"/>
      <c r="L11" s="141"/>
      <c r="M11" s="536"/>
      <c r="N11" s="142"/>
      <c r="O11" s="127" t="str">
        <f>IFERROR(VLOOKUP(N11,参数表!$H$2:$I$50,2,FALSE),"")</f>
        <v/>
      </c>
      <c r="P11" s="128" t="str">
        <f t="shared" si="7"/>
        <v/>
      </c>
      <c r="Q11" s="128" t="str">
        <f t="shared" si="8"/>
        <v/>
      </c>
      <c r="R11" s="129" t="str">
        <f t="shared" si="9"/>
        <v/>
      </c>
      <c r="S11" s="600"/>
      <c r="T11" s="600"/>
      <c r="U11" s="600"/>
      <c r="V11" s="601"/>
      <c r="W11" s="601"/>
      <c r="X11" s="601"/>
      <c r="Y11" s="589" t="str">
        <f t="shared" si="10"/>
        <v/>
      </c>
      <c r="Z11" s="589" t="str">
        <f t="shared" si="11"/>
        <v/>
      </c>
      <c r="AA11" s="589" t="str">
        <f t="shared" si="12"/>
        <v/>
      </c>
      <c r="AB11" s="129" t="str">
        <f t="shared" si="13"/>
        <v/>
      </c>
      <c r="AC11" s="521" t="str">
        <f t="shared" si="14"/>
        <v/>
      </c>
      <c r="AD11" s="129" t="str">
        <f t="shared" si="15"/>
        <v/>
      </c>
      <c r="AE11" s="849" t="str">
        <f t="shared" si="16"/>
        <v/>
      </c>
      <c r="AF11" s="602"/>
      <c r="BA11" s="78"/>
      <c r="BB11" s="132" t="s">
        <v>4018</v>
      </c>
      <c r="BC11" s="133"/>
      <c r="BD11" s="132" t="str">
        <f>IF(OR(C11="",BC11=""),"",COUNTIF(BC$8:BC11,"√"))</f>
        <v/>
      </c>
      <c r="BE11" s="134" t="str">
        <f t="shared" si="1"/>
        <v/>
      </c>
      <c r="BF11" s="135" t="str">
        <f t="shared" si="17"/>
        <v/>
      </c>
      <c r="BG11" s="135" t="str">
        <f t="shared" si="17"/>
        <v/>
      </c>
      <c r="BH11" s="136"/>
      <c r="BI11" s="136"/>
      <c r="BJ11" s="136"/>
      <c r="BK11" s="136"/>
      <c r="BL11" s="136"/>
      <c r="BM11" s="137"/>
      <c r="BN11" s="136"/>
      <c r="BO11" s="137"/>
      <c r="BP11" s="165" t="s">
        <v>2706</v>
      </c>
      <c r="BQ11" s="676"/>
      <c r="BR11" s="522">
        <f t="shared" si="2"/>
        <v>0</v>
      </c>
      <c r="BS11" s="850"/>
      <c r="BT11" s="850"/>
      <c r="BU11" s="851">
        <f t="shared" si="18"/>
        <v>0</v>
      </c>
      <c r="BV11" s="156">
        <f t="shared" si="19"/>
        <v>0</v>
      </c>
      <c r="BW11" s="156">
        <f t="shared" si="20"/>
        <v>0</v>
      </c>
      <c r="BX11" s="522">
        <f t="shared" si="3"/>
        <v>1</v>
      </c>
      <c r="BY11" s="852">
        <f>LOOKUP(BX11,参数表!$A$13:$B$19)</f>
        <v>0</v>
      </c>
      <c r="BZ11" s="156">
        <f t="shared" si="21"/>
        <v>0</v>
      </c>
      <c r="CA11" s="156">
        <f t="shared" si="22"/>
        <v>0</v>
      </c>
      <c r="CB11" s="522">
        <f t="shared" si="4"/>
        <v>125.582477754962</v>
      </c>
      <c r="CC11" s="676"/>
      <c r="CD11" s="853">
        <f>IFERROR(ROUND(1-CB11/CC11,2),0)</f>
        <v>0</v>
      </c>
      <c r="CE11" s="853">
        <f t="shared" si="23"/>
        <v>0</v>
      </c>
      <c r="CF11" s="853">
        <f t="shared" si="5"/>
        <v>0</v>
      </c>
      <c r="CG11" s="77"/>
      <c r="CH11" s="134" t="str">
        <f>IF(COUNTIF(CH$7:CH10,C11)&gt;0,"",C11)&amp;""</f>
        <v/>
      </c>
      <c r="CI11" s="138">
        <f t="shared" si="24"/>
        <v>0</v>
      </c>
      <c r="CJ11" s="132">
        <f t="shared" si="25"/>
        <v>1</v>
      </c>
      <c r="CK11" s="138">
        <f t="shared" si="26"/>
        <v>0</v>
      </c>
      <c r="CL11" s="132">
        <f t="shared" si="27"/>
        <v>1</v>
      </c>
      <c r="CM11" s="132">
        <v>2</v>
      </c>
      <c r="CN11" s="134" t="str">
        <f t="shared" ref="CN11:CN14" si="28">IFERROR(INDEX(CH$8:CH$27,MATCH(CM11,IF(CM$8=0,CL$8:CL$27,CJ$8:CJ$27),0))&amp;"","")</f>
        <v/>
      </c>
      <c r="CO11" s="146" t="str">
        <f t="shared" ref="CO11:CO12" si="29">IF(CN12="","",IF(CN13="","和","、"))</f>
        <v/>
      </c>
    </row>
    <row r="12" s="541" customFormat="1" ht="15.75" customHeight="1" spans="1:93">
      <c r="A12" s="123" t="str">
        <f>IF(C12="","",COUNT(A$7:A11)+1)</f>
        <v/>
      </c>
      <c r="B12" s="599"/>
      <c r="C12" s="597"/>
      <c r="D12" s="599"/>
      <c r="E12" s="597"/>
      <c r="F12" s="602"/>
      <c r="G12" s="602"/>
      <c r="H12" s="602"/>
      <c r="I12" s="602"/>
      <c r="J12" s="602"/>
      <c r="K12" s="141"/>
      <c r="L12" s="141"/>
      <c r="M12" s="536"/>
      <c r="N12" s="142"/>
      <c r="O12" s="127" t="str">
        <f>IFERROR(VLOOKUP(N12,参数表!$H$2:$I$50,2,FALSE),"")</f>
        <v/>
      </c>
      <c r="P12" s="128" t="str">
        <f t="shared" si="7"/>
        <v/>
      </c>
      <c r="Q12" s="128" t="str">
        <f t="shared" si="8"/>
        <v/>
      </c>
      <c r="R12" s="129" t="str">
        <f t="shared" si="9"/>
        <v/>
      </c>
      <c r="S12" s="600"/>
      <c r="T12" s="600"/>
      <c r="U12" s="600"/>
      <c r="V12" s="601"/>
      <c r="W12" s="601"/>
      <c r="X12" s="601"/>
      <c r="Y12" s="589" t="str">
        <f t="shared" si="10"/>
        <v/>
      </c>
      <c r="Z12" s="589" t="str">
        <f t="shared" si="11"/>
        <v/>
      </c>
      <c r="AA12" s="589" t="str">
        <f t="shared" si="12"/>
        <v/>
      </c>
      <c r="AB12" s="129" t="str">
        <f t="shared" si="13"/>
        <v/>
      </c>
      <c r="AC12" s="521" t="str">
        <f t="shared" si="14"/>
        <v/>
      </c>
      <c r="AD12" s="129" t="str">
        <f t="shared" si="15"/>
        <v/>
      </c>
      <c r="AE12" s="849" t="str">
        <f t="shared" si="16"/>
        <v/>
      </c>
      <c r="AF12" s="602"/>
      <c r="BA12" s="78"/>
      <c r="BB12" s="132" t="s">
        <v>4019</v>
      </c>
      <c r="BC12" s="133"/>
      <c r="BD12" s="132" t="str">
        <f>IF(OR(C12="",BC12=""),"",COUNTIF(BC$8:BC12,"√"))</f>
        <v/>
      </c>
      <c r="BE12" s="134" t="str">
        <f t="shared" si="1"/>
        <v/>
      </c>
      <c r="BF12" s="135" t="str">
        <f t="shared" si="17"/>
        <v/>
      </c>
      <c r="BG12" s="135" t="str">
        <f t="shared" si="17"/>
        <v/>
      </c>
      <c r="BH12" s="136"/>
      <c r="BI12" s="136"/>
      <c r="BJ12" s="136"/>
      <c r="BK12" s="136"/>
      <c r="BL12" s="136"/>
      <c r="BM12" s="137"/>
      <c r="BN12" s="136"/>
      <c r="BO12" s="137"/>
      <c r="BP12" s="165" t="s">
        <v>2706</v>
      </c>
      <c r="BQ12" s="676"/>
      <c r="BR12" s="522">
        <f t="shared" si="2"/>
        <v>0</v>
      </c>
      <c r="BS12" s="850"/>
      <c r="BT12" s="850"/>
      <c r="BU12" s="851">
        <f t="shared" si="18"/>
        <v>0</v>
      </c>
      <c r="BV12" s="156">
        <f t="shared" si="19"/>
        <v>0</v>
      </c>
      <c r="BW12" s="156">
        <f t="shared" si="20"/>
        <v>0</v>
      </c>
      <c r="BX12" s="522">
        <f t="shared" si="3"/>
        <v>1</v>
      </c>
      <c r="BY12" s="852">
        <f>LOOKUP(BX12,参数表!$A$13:$B$19)</f>
        <v>0</v>
      </c>
      <c r="BZ12" s="156">
        <f t="shared" si="21"/>
        <v>0</v>
      </c>
      <c r="CA12" s="156">
        <f t="shared" si="22"/>
        <v>0</v>
      </c>
      <c r="CB12" s="522">
        <f t="shared" si="4"/>
        <v>125.582477754962</v>
      </c>
      <c r="CC12" s="676"/>
      <c r="CD12" s="853">
        <f t="shared" ref="CD12:CD27" si="30">IFERROR(ROUND(1-CB12/CC12,2),0)</f>
        <v>0</v>
      </c>
      <c r="CE12" s="853">
        <f t="shared" si="23"/>
        <v>0</v>
      </c>
      <c r="CF12" s="853">
        <f t="shared" si="5"/>
        <v>0</v>
      </c>
      <c r="CG12" s="77"/>
      <c r="CH12" s="134" t="str">
        <f>IF(COUNTIF(CH$7:CH11,C12)&gt;0,"",C12)&amp;""</f>
        <v/>
      </c>
      <c r="CI12" s="138">
        <f t="shared" si="24"/>
        <v>0</v>
      </c>
      <c r="CJ12" s="132">
        <f t="shared" si="25"/>
        <v>1</v>
      </c>
      <c r="CK12" s="138">
        <f t="shared" si="26"/>
        <v>0</v>
      </c>
      <c r="CL12" s="132">
        <f t="shared" si="27"/>
        <v>1</v>
      </c>
      <c r="CM12" s="132">
        <v>3</v>
      </c>
      <c r="CN12" s="134" t="str">
        <f t="shared" si="28"/>
        <v/>
      </c>
      <c r="CO12" s="146" t="str">
        <f t="shared" si="29"/>
        <v/>
      </c>
    </row>
    <row r="13" s="541" customFormat="1" ht="15.75" customHeight="1" spans="1:93">
      <c r="A13" s="123" t="str">
        <f>IF(C13="","",COUNT(A$7:A12)+1)</f>
        <v/>
      </c>
      <c r="B13" s="599"/>
      <c r="C13" s="597"/>
      <c r="D13" s="599"/>
      <c r="E13" s="597"/>
      <c r="F13" s="602"/>
      <c r="G13" s="602"/>
      <c r="H13" s="602"/>
      <c r="I13" s="602"/>
      <c r="J13" s="602"/>
      <c r="K13" s="141"/>
      <c r="L13" s="141"/>
      <c r="M13" s="536"/>
      <c r="N13" s="142"/>
      <c r="O13" s="127" t="str">
        <f>IFERROR(VLOOKUP(N13,参数表!$H$2:$I$50,2,FALSE),"")</f>
        <v/>
      </c>
      <c r="P13" s="128" t="str">
        <f t="shared" si="7"/>
        <v/>
      </c>
      <c r="Q13" s="128" t="str">
        <f t="shared" si="8"/>
        <v/>
      </c>
      <c r="R13" s="129" t="str">
        <f t="shared" si="9"/>
        <v/>
      </c>
      <c r="S13" s="600"/>
      <c r="T13" s="600"/>
      <c r="U13" s="600"/>
      <c r="V13" s="601"/>
      <c r="W13" s="601"/>
      <c r="X13" s="601"/>
      <c r="Y13" s="589" t="str">
        <f t="shared" si="10"/>
        <v/>
      </c>
      <c r="Z13" s="589" t="str">
        <f t="shared" si="11"/>
        <v/>
      </c>
      <c r="AA13" s="589" t="str">
        <f t="shared" si="12"/>
        <v/>
      </c>
      <c r="AB13" s="129" t="str">
        <f t="shared" si="13"/>
        <v/>
      </c>
      <c r="AC13" s="521" t="str">
        <f t="shared" si="14"/>
        <v/>
      </c>
      <c r="AD13" s="129" t="str">
        <f t="shared" si="15"/>
        <v/>
      </c>
      <c r="AE13" s="849" t="str">
        <f t="shared" si="16"/>
        <v/>
      </c>
      <c r="AF13" s="602"/>
      <c r="BA13" s="78"/>
      <c r="BB13" s="132" t="s">
        <v>4020</v>
      </c>
      <c r="BC13" s="133"/>
      <c r="BD13" s="132" t="str">
        <f>IF(OR(C13="",BC13=""),"",COUNTIF(BC$8:BC13,"√"))</f>
        <v/>
      </c>
      <c r="BE13" s="134" t="str">
        <f t="shared" si="1"/>
        <v/>
      </c>
      <c r="BF13" s="135" t="str">
        <f t="shared" si="17"/>
        <v/>
      </c>
      <c r="BG13" s="135" t="str">
        <f t="shared" si="17"/>
        <v/>
      </c>
      <c r="BH13" s="136"/>
      <c r="BI13" s="136"/>
      <c r="BJ13" s="136"/>
      <c r="BK13" s="136"/>
      <c r="BL13" s="136"/>
      <c r="BM13" s="137"/>
      <c r="BN13" s="136"/>
      <c r="BO13" s="137"/>
      <c r="BP13" s="165" t="s">
        <v>2706</v>
      </c>
      <c r="BQ13" s="676"/>
      <c r="BR13" s="522">
        <f t="shared" si="2"/>
        <v>0</v>
      </c>
      <c r="BS13" s="850"/>
      <c r="BT13" s="850"/>
      <c r="BU13" s="851">
        <f t="shared" si="18"/>
        <v>0</v>
      </c>
      <c r="BV13" s="156">
        <f t="shared" si="19"/>
        <v>0</v>
      </c>
      <c r="BW13" s="156">
        <f t="shared" si="20"/>
        <v>0</v>
      </c>
      <c r="BX13" s="522">
        <f t="shared" si="3"/>
        <v>1</v>
      </c>
      <c r="BY13" s="852">
        <f>LOOKUP(BX13,参数表!$A$13:$B$19)</f>
        <v>0</v>
      </c>
      <c r="BZ13" s="156">
        <f t="shared" si="21"/>
        <v>0</v>
      </c>
      <c r="CA13" s="156">
        <f t="shared" si="22"/>
        <v>0</v>
      </c>
      <c r="CB13" s="522">
        <f t="shared" si="4"/>
        <v>125.582477754962</v>
      </c>
      <c r="CC13" s="676"/>
      <c r="CD13" s="853">
        <f t="shared" si="30"/>
        <v>0</v>
      </c>
      <c r="CE13" s="853">
        <f t="shared" si="23"/>
        <v>0</v>
      </c>
      <c r="CF13" s="853">
        <f t="shared" si="5"/>
        <v>0</v>
      </c>
      <c r="CG13" s="77"/>
      <c r="CH13" s="134" t="str">
        <f>IF(COUNTIF(CH$7:CH12,C13)&gt;0,"",C13)&amp;""</f>
        <v/>
      </c>
      <c r="CI13" s="138">
        <f t="shared" si="24"/>
        <v>0</v>
      </c>
      <c r="CJ13" s="132">
        <f t="shared" si="25"/>
        <v>1</v>
      </c>
      <c r="CK13" s="138">
        <f t="shared" si="26"/>
        <v>0</v>
      </c>
      <c r="CL13" s="132">
        <f t="shared" si="27"/>
        <v>1</v>
      </c>
      <c r="CM13" s="132">
        <v>4</v>
      </c>
      <c r="CN13" s="134" t="str">
        <f t="shared" si="28"/>
        <v/>
      </c>
      <c r="CO13" s="146" t="str">
        <f>IF(CN14="","","和")</f>
        <v/>
      </c>
    </row>
    <row r="14" s="541" customFormat="1" ht="15.75" customHeight="1" spans="1:93">
      <c r="A14" s="123" t="str">
        <f>IF(C14="","",COUNT(A$7:A13)+1)</f>
        <v/>
      </c>
      <c r="B14" s="599"/>
      <c r="C14" s="597"/>
      <c r="D14" s="599"/>
      <c r="E14" s="597"/>
      <c r="F14" s="602"/>
      <c r="G14" s="602"/>
      <c r="H14" s="602"/>
      <c r="I14" s="602"/>
      <c r="J14" s="602"/>
      <c r="K14" s="141"/>
      <c r="L14" s="141"/>
      <c r="M14" s="536"/>
      <c r="N14" s="142"/>
      <c r="O14" s="127" t="str">
        <f>IFERROR(VLOOKUP(N14,参数表!$H$2:$I$50,2,FALSE),"")</f>
        <v/>
      </c>
      <c r="P14" s="128" t="str">
        <f t="shared" si="7"/>
        <v/>
      </c>
      <c r="Q14" s="128" t="str">
        <f t="shared" si="8"/>
        <v/>
      </c>
      <c r="R14" s="129" t="str">
        <f t="shared" si="9"/>
        <v/>
      </c>
      <c r="S14" s="600"/>
      <c r="T14" s="600"/>
      <c r="U14" s="600"/>
      <c r="V14" s="601"/>
      <c r="W14" s="601"/>
      <c r="X14" s="601"/>
      <c r="Y14" s="589" t="str">
        <f t="shared" si="10"/>
        <v/>
      </c>
      <c r="Z14" s="589" t="str">
        <f t="shared" si="11"/>
        <v/>
      </c>
      <c r="AA14" s="589" t="str">
        <f t="shared" si="12"/>
        <v/>
      </c>
      <c r="AB14" s="129" t="str">
        <f t="shared" si="13"/>
        <v/>
      </c>
      <c r="AC14" s="521" t="str">
        <f t="shared" si="14"/>
        <v/>
      </c>
      <c r="AD14" s="129" t="str">
        <f t="shared" si="15"/>
        <v/>
      </c>
      <c r="AE14" s="849" t="str">
        <f t="shared" si="16"/>
        <v/>
      </c>
      <c r="AF14" s="602"/>
      <c r="BA14" s="78"/>
      <c r="BB14" s="132" t="s">
        <v>4021</v>
      </c>
      <c r="BC14" s="133"/>
      <c r="BD14" s="132" t="str">
        <f>IF(OR(C14="",BC14=""),"",COUNTIF(BC$8:BC14,"√"))</f>
        <v/>
      </c>
      <c r="BE14" s="134" t="str">
        <f t="shared" si="1"/>
        <v/>
      </c>
      <c r="BF14" s="135" t="str">
        <f t="shared" si="17"/>
        <v/>
      </c>
      <c r="BG14" s="135" t="str">
        <f t="shared" si="17"/>
        <v/>
      </c>
      <c r="BH14" s="136"/>
      <c r="BI14" s="136"/>
      <c r="BJ14" s="136"/>
      <c r="BK14" s="136"/>
      <c r="BL14" s="136"/>
      <c r="BM14" s="137"/>
      <c r="BN14" s="136"/>
      <c r="BO14" s="137"/>
      <c r="BP14" s="165" t="s">
        <v>2706</v>
      </c>
      <c r="BQ14" s="676"/>
      <c r="BR14" s="522">
        <f t="shared" si="2"/>
        <v>0</v>
      </c>
      <c r="BS14" s="850"/>
      <c r="BT14" s="850"/>
      <c r="BU14" s="851">
        <f t="shared" si="18"/>
        <v>0</v>
      </c>
      <c r="BV14" s="156">
        <f t="shared" si="19"/>
        <v>0</v>
      </c>
      <c r="BW14" s="156">
        <f t="shared" si="20"/>
        <v>0</v>
      </c>
      <c r="BX14" s="522">
        <f t="shared" si="3"/>
        <v>1</v>
      </c>
      <c r="BY14" s="852">
        <f>LOOKUP(BX14,参数表!$A$13:$B$19)</f>
        <v>0</v>
      </c>
      <c r="BZ14" s="156">
        <f t="shared" si="21"/>
        <v>0</v>
      </c>
      <c r="CA14" s="156">
        <f t="shared" si="22"/>
        <v>0</v>
      </c>
      <c r="CB14" s="522">
        <f t="shared" si="4"/>
        <v>125.582477754962</v>
      </c>
      <c r="CC14" s="676"/>
      <c r="CD14" s="853">
        <f t="shared" si="30"/>
        <v>0</v>
      </c>
      <c r="CE14" s="853">
        <f t="shared" si="23"/>
        <v>0</v>
      </c>
      <c r="CF14" s="853">
        <f t="shared" si="5"/>
        <v>0</v>
      </c>
      <c r="CG14" s="77"/>
      <c r="CH14" s="134" t="str">
        <f>IF(COUNTIF(CH$7:CH13,C14)&gt;0,"",C14)&amp;""</f>
        <v/>
      </c>
      <c r="CI14" s="138">
        <f t="shared" si="24"/>
        <v>0</v>
      </c>
      <c r="CJ14" s="132">
        <f t="shared" si="25"/>
        <v>1</v>
      </c>
      <c r="CK14" s="138">
        <f t="shared" si="26"/>
        <v>0</v>
      </c>
      <c r="CL14" s="132">
        <f t="shared" si="27"/>
        <v>1</v>
      </c>
      <c r="CM14" s="132">
        <v>5</v>
      </c>
      <c r="CN14" s="134" t="str">
        <f t="shared" si="28"/>
        <v/>
      </c>
      <c r="CO14" s="146"/>
    </row>
    <row r="15" s="541" customFormat="1" ht="15.75" customHeight="1" spans="1:93">
      <c r="A15" s="123" t="str">
        <f>IF(C15="","",COUNT(A$7:A14)+1)</f>
        <v/>
      </c>
      <c r="B15" s="599"/>
      <c r="C15" s="597"/>
      <c r="D15" s="599"/>
      <c r="E15" s="597"/>
      <c r="F15" s="602"/>
      <c r="G15" s="602"/>
      <c r="H15" s="602"/>
      <c r="I15" s="602"/>
      <c r="J15" s="602"/>
      <c r="K15" s="141"/>
      <c r="L15" s="141"/>
      <c r="M15" s="536"/>
      <c r="N15" s="142"/>
      <c r="O15" s="127" t="str">
        <f>IFERROR(VLOOKUP(N15,参数表!$H$2:$I$50,2,FALSE),"")</f>
        <v/>
      </c>
      <c r="P15" s="128" t="str">
        <f t="shared" si="7"/>
        <v/>
      </c>
      <c r="Q15" s="128" t="str">
        <f t="shared" si="8"/>
        <v/>
      </c>
      <c r="R15" s="129" t="str">
        <f t="shared" si="9"/>
        <v/>
      </c>
      <c r="S15" s="600"/>
      <c r="T15" s="600"/>
      <c r="U15" s="600"/>
      <c r="V15" s="601"/>
      <c r="W15" s="601"/>
      <c r="X15" s="601"/>
      <c r="Y15" s="589" t="str">
        <f t="shared" si="10"/>
        <v/>
      </c>
      <c r="Z15" s="589" t="str">
        <f t="shared" si="11"/>
        <v/>
      </c>
      <c r="AA15" s="589" t="str">
        <f t="shared" si="12"/>
        <v/>
      </c>
      <c r="AB15" s="129" t="str">
        <f t="shared" si="13"/>
        <v/>
      </c>
      <c r="AC15" s="521" t="str">
        <f t="shared" si="14"/>
        <v/>
      </c>
      <c r="AD15" s="129" t="str">
        <f t="shared" si="15"/>
        <v/>
      </c>
      <c r="AE15" s="849" t="str">
        <f t="shared" si="16"/>
        <v/>
      </c>
      <c r="AF15" s="602"/>
      <c r="BA15" s="78"/>
      <c r="BB15" s="132" t="s">
        <v>4022</v>
      </c>
      <c r="BC15" s="133"/>
      <c r="BD15" s="132" t="str">
        <f>IF(OR(C15="",BC15=""),"",COUNTIF(BC$8:BC15,"√"))</f>
        <v/>
      </c>
      <c r="BE15" s="134" t="str">
        <f t="shared" si="1"/>
        <v/>
      </c>
      <c r="BF15" s="135" t="str">
        <f t="shared" si="17"/>
        <v/>
      </c>
      <c r="BG15" s="135" t="str">
        <f t="shared" si="17"/>
        <v/>
      </c>
      <c r="BH15" s="136"/>
      <c r="BI15" s="136"/>
      <c r="BJ15" s="136"/>
      <c r="BK15" s="136"/>
      <c r="BL15" s="136"/>
      <c r="BM15" s="137"/>
      <c r="BN15" s="136"/>
      <c r="BO15" s="137"/>
      <c r="BP15" s="165" t="s">
        <v>2706</v>
      </c>
      <c r="BQ15" s="676"/>
      <c r="BR15" s="522">
        <f t="shared" si="2"/>
        <v>0</v>
      </c>
      <c r="BS15" s="850"/>
      <c r="BT15" s="850"/>
      <c r="BU15" s="851">
        <f t="shared" si="18"/>
        <v>0</v>
      </c>
      <c r="BV15" s="156">
        <f t="shared" si="19"/>
        <v>0</v>
      </c>
      <c r="BW15" s="156">
        <f t="shared" si="20"/>
        <v>0</v>
      </c>
      <c r="BX15" s="522">
        <f t="shared" si="3"/>
        <v>1</v>
      </c>
      <c r="BY15" s="852">
        <f>LOOKUP(BX15,参数表!$A$13:$B$19)</f>
        <v>0</v>
      </c>
      <c r="BZ15" s="156">
        <f t="shared" si="21"/>
        <v>0</v>
      </c>
      <c r="CA15" s="156">
        <f t="shared" si="22"/>
        <v>0</v>
      </c>
      <c r="CB15" s="522">
        <f t="shared" si="4"/>
        <v>125.582477754962</v>
      </c>
      <c r="CC15" s="676"/>
      <c r="CD15" s="853">
        <f t="shared" si="30"/>
        <v>0</v>
      </c>
      <c r="CE15" s="853">
        <f t="shared" si="23"/>
        <v>0</v>
      </c>
      <c r="CF15" s="853">
        <f t="shared" si="5"/>
        <v>0</v>
      </c>
      <c r="CG15" s="77"/>
      <c r="CH15" s="134" t="str">
        <f>IF(COUNTIF(CH$7:CH14,C15)&gt;0,"",C15)&amp;""</f>
        <v/>
      </c>
      <c r="CI15" s="138">
        <f t="shared" si="24"/>
        <v>0</v>
      </c>
      <c r="CJ15" s="132">
        <f t="shared" si="25"/>
        <v>1</v>
      </c>
      <c r="CK15" s="138">
        <f t="shared" si="26"/>
        <v>0</v>
      </c>
      <c r="CL15" s="132">
        <f t="shared" si="27"/>
        <v>1</v>
      </c>
      <c r="CM15" s="147" t="s">
        <v>1659</v>
      </c>
      <c r="CN15" s="132" t="str">
        <f>CONCATENATE(CN10,CO10,CN11,CO11,CN12,CO12,CN13,CO13,CN14)</f>
        <v/>
      </c>
      <c r="CO15" s="132"/>
    </row>
    <row r="16" s="541" customFormat="1" ht="15.75" customHeight="1" spans="1:93">
      <c r="A16" s="123" t="str">
        <f>IF(C16="","",COUNT(A$7:A15)+1)</f>
        <v/>
      </c>
      <c r="B16" s="599"/>
      <c r="C16" s="597"/>
      <c r="D16" s="599"/>
      <c r="E16" s="597"/>
      <c r="F16" s="602"/>
      <c r="G16" s="602"/>
      <c r="H16" s="602"/>
      <c r="I16" s="602"/>
      <c r="J16" s="602"/>
      <c r="K16" s="141"/>
      <c r="L16" s="141"/>
      <c r="M16" s="536"/>
      <c r="N16" s="142"/>
      <c r="O16" s="127" t="str">
        <f>IFERROR(VLOOKUP(N16,参数表!$H$2:$I$50,2,FALSE),"")</f>
        <v/>
      </c>
      <c r="P16" s="128" t="str">
        <f t="shared" ref="P16:P19" si="31">IFERROR(IF(OR(N16="人民币",N16=""),"",Y16/O16),"")</f>
        <v/>
      </c>
      <c r="Q16" s="128" t="str">
        <f t="shared" ref="Q16:Q19" si="32">IFERROR(IF(OR(N16="人民币",N16=""),"",Z16/O16),"")</f>
        <v/>
      </c>
      <c r="R16" s="129" t="str">
        <f t="shared" ref="R16:R19" si="33">IFERROR(IF(OR(N16="人民币",N16=""),"",AA16/O16),"")</f>
        <v/>
      </c>
      <c r="S16" s="600"/>
      <c r="T16" s="600"/>
      <c r="U16" s="600"/>
      <c r="V16" s="601"/>
      <c r="W16" s="601"/>
      <c r="X16" s="601"/>
      <c r="Y16" s="589" t="str">
        <f t="shared" si="10"/>
        <v/>
      </c>
      <c r="Z16" s="589" t="str">
        <f t="shared" si="11"/>
        <v/>
      </c>
      <c r="AA16" s="589" t="str">
        <f t="shared" si="12"/>
        <v/>
      </c>
      <c r="AB16" s="129" t="str">
        <f t="shared" si="13"/>
        <v/>
      </c>
      <c r="AC16" s="521" t="str">
        <f t="shared" si="14"/>
        <v/>
      </c>
      <c r="AD16" s="129" t="str">
        <f t="shared" si="15"/>
        <v/>
      </c>
      <c r="AE16" s="849" t="str">
        <f t="shared" ref="AE16:AE19" si="34">IFERROR((AD16-(Z16-AA16))/(Z16-AA16)*100,"")</f>
        <v/>
      </c>
      <c r="AF16" s="602"/>
      <c r="BA16" s="78"/>
      <c r="BB16" s="132" t="s">
        <v>4023</v>
      </c>
      <c r="BC16" s="133"/>
      <c r="BD16" s="132" t="str">
        <f>IF(OR(C16="",BC16=""),"",COUNTIF(BC$8:BC16,"√"))</f>
        <v/>
      </c>
      <c r="BE16" s="134" t="str">
        <f t="shared" ref="BE16" si="35">IF(BC16="","",BB16&amp;"︱"&amp;C16&amp;"︱"&amp;TEXT(X16,"#,##0.00"))</f>
        <v/>
      </c>
      <c r="BF16" s="135" t="str">
        <f t="shared" si="17"/>
        <v/>
      </c>
      <c r="BG16" s="135" t="str">
        <f t="shared" si="17"/>
        <v/>
      </c>
      <c r="BH16" s="136"/>
      <c r="BI16" s="136"/>
      <c r="BJ16" s="136"/>
      <c r="BK16" s="136"/>
      <c r="BL16" s="136"/>
      <c r="BM16" s="137"/>
      <c r="BN16" s="136"/>
      <c r="BO16" s="137"/>
      <c r="BP16" s="165" t="s">
        <v>2706</v>
      </c>
      <c r="BQ16" s="676"/>
      <c r="BR16" s="522">
        <f t="shared" ref="BR16:BR19" si="36">BQ16/(1+BR$6)*BR$6</f>
        <v>0</v>
      </c>
      <c r="BS16" s="850"/>
      <c r="BT16" s="850"/>
      <c r="BU16" s="851">
        <f t="shared" ref="BU16:BU19" si="37">BQ16*BS16</f>
        <v>0</v>
      </c>
      <c r="BV16" s="156">
        <f t="shared" ref="BV16:BV19" si="38">BR16+BQ16*(BS16-BT16)/1.06*6%</f>
        <v>0</v>
      </c>
      <c r="BW16" s="156">
        <f t="shared" ref="BW16:BW19" si="39">BQ16+BU16</f>
        <v>0</v>
      </c>
      <c r="BX16" s="522">
        <f t="shared" si="3"/>
        <v>1</v>
      </c>
      <c r="BY16" s="852">
        <f>LOOKUP(BX16,参数表!$A$13:$B$19)</f>
        <v>0</v>
      </c>
      <c r="BZ16" s="156">
        <f t="shared" ref="BZ16:BZ19" si="40">BW16*BX16*BY16/2</f>
        <v>0</v>
      </c>
      <c r="CA16" s="156">
        <f t="shared" ref="CA16:CA19" si="41">ROUND(BW16+BZ16-BV16,-2)</f>
        <v>0</v>
      </c>
      <c r="CB16" s="522">
        <f t="shared" ref="CB16:CB19" si="42">(CB$6-T16)/365.25</f>
        <v>125.582477754962</v>
      </c>
      <c r="CC16" s="676"/>
      <c r="CD16" s="853">
        <f t="shared" ref="CD16:CD19" si="43">IFERROR(ROUND(1-CB16/CC16,2),0)</f>
        <v>0</v>
      </c>
      <c r="CE16" s="853">
        <f t="shared" ref="CE16:CE19" si="44">CD16</f>
        <v>0</v>
      </c>
      <c r="CF16" s="853">
        <f t="shared" ref="CF16:CF19" si="45">ROUND(IF(ABS(CE16-CD16)&gt;5%,CE16,CD16*CD$6+CE16*CE$6),2)</f>
        <v>0</v>
      </c>
      <c r="CG16" s="77"/>
      <c r="CH16" s="134" t="str">
        <f>IF(COUNTIF(CH$7:CH15,C16)&gt;0,"",C16)&amp;""</f>
        <v/>
      </c>
      <c r="CI16" s="138">
        <f t="shared" si="24"/>
        <v>0</v>
      </c>
      <c r="CJ16" s="132">
        <f t="shared" si="25"/>
        <v>1</v>
      </c>
      <c r="CK16" s="138">
        <f t="shared" si="26"/>
        <v>0</v>
      </c>
      <c r="CL16" s="132">
        <f t="shared" si="27"/>
        <v>1</v>
      </c>
      <c r="CM16" s="133"/>
      <c r="CN16" s="133"/>
      <c r="CO16" s="77"/>
    </row>
    <row r="17" s="541" customFormat="1" ht="15.75" customHeight="1" spans="1:93">
      <c r="A17" s="123" t="str">
        <f>IF(C17="","",COUNT(A$7:A16)+1)</f>
        <v/>
      </c>
      <c r="B17" s="599"/>
      <c r="C17" s="597"/>
      <c r="D17" s="599"/>
      <c r="E17" s="597"/>
      <c r="F17" s="602"/>
      <c r="G17" s="602"/>
      <c r="H17" s="602"/>
      <c r="I17" s="602"/>
      <c r="J17" s="602"/>
      <c r="K17" s="141"/>
      <c r="L17" s="141"/>
      <c r="M17" s="536"/>
      <c r="N17" s="142"/>
      <c r="O17" s="127" t="str">
        <f>IFERROR(VLOOKUP(N17,参数表!$H$2:$I$50,2,FALSE),"")</f>
        <v/>
      </c>
      <c r="P17" s="128" t="str">
        <f t="shared" si="31"/>
        <v/>
      </c>
      <c r="Q17" s="128" t="str">
        <f t="shared" si="32"/>
        <v/>
      </c>
      <c r="R17" s="129" t="str">
        <f t="shared" si="33"/>
        <v/>
      </c>
      <c r="S17" s="600"/>
      <c r="T17" s="600"/>
      <c r="U17" s="600"/>
      <c r="V17" s="601"/>
      <c r="W17" s="601"/>
      <c r="X17" s="601"/>
      <c r="Y17" s="589" t="str">
        <f t="shared" si="10"/>
        <v/>
      </c>
      <c r="Z17" s="589" t="str">
        <f t="shared" si="11"/>
        <v/>
      </c>
      <c r="AA17" s="589" t="str">
        <f t="shared" si="12"/>
        <v/>
      </c>
      <c r="AB17" s="129" t="str">
        <f t="shared" si="13"/>
        <v/>
      </c>
      <c r="AC17" s="521" t="str">
        <f t="shared" si="14"/>
        <v/>
      </c>
      <c r="AD17" s="129" t="str">
        <f t="shared" si="15"/>
        <v/>
      </c>
      <c r="AE17" s="849" t="str">
        <f t="shared" si="34"/>
        <v/>
      </c>
      <c r="AF17" s="602"/>
      <c r="BA17" s="78"/>
      <c r="BB17" s="132" t="s">
        <v>4024</v>
      </c>
      <c r="BC17" s="133"/>
      <c r="BD17" s="132" t="str">
        <f>IF(OR(C17="",BC17=""),"",COUNTIF(BC$8:BC17,"√"))</f>
        <v/>
      </c>
      <c r="BE17" s="134" t="str">
        <f t="shared" ref="BE17:BE27" si="46">IF(BC17="","",BB17&amp;"︱"&amp;C17&amp;"︱"&amp;TEXT(X17,"#,##0.00"))</f>
        <v/>
      </c>
      <c r="BF17" s="135" t="str">
        <f t="shared" si="17"/>
        <v/>
      </c>
      <c r="BG17" s="135" t="str">
        <f t="shared" si="17"/>
        <v/>
      </c>
      <c r="BH17" s="136"/>
      <c r="BI17" s="136"/>
      <c r="BJ17" s="136"/>
      <c r="BK17" s="136"/>
      <c r="BL17" s="136"/>
      <c r="BM17" s="137"/>
      <c r="BN17" s="136"/>
      <c r="BO17" s="137"/>
      <c r="BP17" s="165" t="s">
        <v>2706</v>
      </c>
      <c r="BQ17" s="676"/>
      <c r="BR17" s="522">
        <f t="shared" si="36"/>
        <v>0</v>
      </c>
      <c r="BS17" s="850"/>
      <c r="BT17" s="850"/>
      <c r="BU17" s="851">
        <f t="shared" si="37"/>
        <v>0</v>
      </c>
      <c r="BV17" s="156">
        <f t="shared" si="38"/>
        <v>0</v>
      </c>
      <c r="BW17" s="156">
        <f t="shared" si="39"/>
        <v>0</v>
      </c>
      <c r="BX17" s="522">
        <f t="shared" si="3"/>
        <v>1</v>
      </c>
      <c r="BY17" s="852">
        <f>LOOKUP(BX17,参数表!$A$13:$B$19)</f>
        <v>0</v>
      </c>
      <c r="BZ17" s="156">
        <f t="shared" si="40"/>
        <v>0</v>
      </c>
      <c r="CA17" s="156">
        <f t="shared" si="41"/>
        <v>0</v>
      </c>
      <c r="CB17" s="522">
        <f t="shared" si="42"/>
        <v>125.582477754962</v>
      </c>
      <c r="CC17" s="676"/>
      <c r="CD17" s="853">
        <f t="shared" si="43"/>
        <v>0</v>
      </c>
      <c r="CE17" s="853">
        <f t="shared" si="44"/>
        <v>0</v>
      </c>
      <c r="CF17" s="853">
        <f t="shared" si="45"/>
        <v>0</v>
      </c>
      <c r="CG17" s="77"/>
      <c r="CH17" s="134" t="str">
        <f>IF(COUNTIF(CH$7:CH16,C17)&gt;0,"",C17)&amp;""</f>
        <v/>
      </c>
      <c r="CI17" s="138">
        <f t="shared" si="24"/>
        <v>0</v>
      </c>
      <c r="CJ17" s="132">
        <f t="shared" si="25"/>
        <v>1</v>
      </c>
      <c r="CK17" s="138">
        <f t="shared" si="26"/>
        <v>0</v>
      </c>
      <c r="CL17" s="132">
        <f t="shared" si="27"/>
        <v>1</v>
      </c>
      <c r="CM17" s="133"/>
      <c r="CN17" s="148"/>
      <c r="CO17" s="77"/>
    </row>
    <row r="18" s="541" customFormat="1" ht="15.75" customHeight="1" spans="1:93">
      <c r="A18" s="123" t="str">
        <f>IF(C18="","",COUNT(A$7:A17)+1)</f>
        <v/>
      </c>
      <c r="B18" s="599"/>
      <c r="C18" s="597"/>
      <c r="D18" s="599"/>
      <c r="E18" s="597"/>
      <c r="F18" s="602"/>
      <c r="G18" s="602"/>
      <c r="H18" s="602"/>
      <c r="I18" s="602"/>
      <c r="J18" s="602"/>
      <c r="K18" s="141"/>
      <c r="L18" s="141"/>
      <c r="M18" s="536"/>
      <c r="N18" s="142"/>
      <c r="O18" s="127" t="str">
        <f>IFERROR(VLOOKUP(N18,参数表!$H$2:$I$50,2,FALSE),"")</f>
        <v/>
      </c>
      <c r="P18" s="128" t="str">
        <f t="shared" si="31"/>
        <v/>
      </c>
      <c r="Q18" s="128" t="str">
        <f t="shared" si="32"/>
        <v/>
      </c>
      <c r="R18" s="129" t="str">
        <f t="shared" si="33"/>
        <v/>
      </c>
      <c r="S18" s="600"/>
      <c r="T18" s="600"/>
      <c r="U18" s="600"/>
      <c r="V18" s="601"/>
      <c r="W18" s="601"/>
      <c r="X18" s="601"/>
      <c r="Y18" s="589" t="str">
        <f t="shared" si="10"/>
        <v/>
      </c>
      <c r="Z18" s="589" t="str">
        <f t="shared" si="11"/>
        <v/>
      </c>
      <c r="AA18" s="589" t="str">
        <f t="shared" si="12"/>
        <v/>
      </c>
      <c r="AB18" s="129" t="str">
        <f t="shared" si="13"/>
        <v/>
      </c>
      <c r="AC18" s="521" t="str">
        <f t="shared" si="14"/>
        <v/>
      </c>
      <c r="AD18" s="129" t="str">
        <f t="shared" si="15"/>
        <v/>
      </c>
      <c r="AE18" s="849" t="str">
        <f t="shared" si="34"/>
        <v/>
      </c>
      <c r="AF18" s="602"/>
      <c r="BA18" s="78"/>
      <c r="BB18" s="132" t="s">
        <v>4025</v>
      </c>
      <c r="BC18" s="133"/>
      <c r="BD18" s="132" t="str">
        <f>IF(OR(C18="",BC18=""),"",COUNTIF(BC$8:BC18,"√"))</f>
        <v/>
      </c>
      <c r="BE18" s="134" t="str">
        <f t="shared" si="46"/>
        <v/>
      </c>
      <c r="BF18" s="135" t="str">
        <f t="shared" si="17"/>
        <v/>
      </c>
      <c r="BG18" s="135" t="str">
        <f t="shared" si="17"/>
        <v/>
      </c>
      <c r="BH18" s="136"/>
      <c r="BI18" s="136"/>
      <c r="BJ18" s="136"/>
      <c r="BK18" s="136"/>
      <c r="BL18" s="136"/>
      <c r="BM18" s="137"/>
      <c r="BN18" s="136"/>
      <c r="BO18" s="137"/>
      <c r="BP18" s="165" t="s">
        <v>2706</v>
      </c>
      <c r="BQ18" s="676"/>
      <c r="BR18" s="522">
        <f t="shared" si="36"/>
        <v>0</v>
      </c>
      <c r="BS18" s="850"/>
      <c r="BT18" s="850"/>
      <c r="BU18" s="851">
        <f t="shared" si="37"/>
        <v>0</v>
      </c>
      <c r="BV18" s="156">
        <f t="shared" si="38"/>
        <v>0</v>
      </c>
      <c r="BW18" s="156">
        <f t="shared" si="39"/>
        <v>0</v>
      </c>
      <c r="BX18" s="522">
        <f t="shared" si="3"/>
        <v>1</v>
      </c>
      <c r="BY18" s="852">
        <f>LOOKUP(BX18,参数表!$A$13:$B$19)</f>
        <v>0</v>
      </c>
      <c r="BZ18" s="156">
        <f t="shared" si="40"/>
        <v>0</v>
      </c>
      <c r="CA18" s="156">
        <f t="shared" si="41"/>
        <v>0</v>
      </c>
      <c r="CB18" s="522">
        <f t="shared" si="42"/>
        <v>125.582477754962</v>
      </c>
      <c r="CC18" s="676"/>
      <c r="CD18" s="853">
        <f t="shared" si="43"/>
        <v>0</v>
      </c>
      <c r="CE18" s="853">
        <f t="shared" si="44"/>
        <v>0</v>
      </c>
      <c r="CF18" s="853">
        <f t="shared" si="45"/>
        <v>0</v>
      </c>
      <c r="CG18" s="77"/>
      <c r="CH18" s="134" t="str">
        <f>IF(COUNTIF(CH$7:CH17,C18)&gt;0,"",C18)&amp;""</f>
        <v/>
      </c>
      <c r="CI18" s="138">
        <f t="shared" si="24"/>
        <v>0</v>
      </c>
      <c r="CJ18" s="132">
        <f t="shared" si="25"/>
        <v>1</v>
      </c>
      <c r="CK18" s="138">
        <f t="shared" si="26"/>
        <v>0</v>
      </c>
      <c r="CL18" s="132">
        <f t="shared" si="27"/>
        <v>1</v>
      </c>
      <c r="CM18" s="133"/>
      <c r="CN18" s="133"/>
      <c r="CO18" s="77"/>
    </row>
    <row r="19" s="541" customFormat="1" ht="15.75" customHeight="1" spans="1:93">
      <c r="A19" s="123" t="str">
        <f>IF(C19="","",COUNT(A$7:A18)+1)</f>
        <v/>
      </c>
      <c r="B19" s="599"/>
      <c r="C19" s="597"/>
      <c r="D19" s="599"/>
      <c r="E19" s="597"/>
      <c r="F19" s="602"/>
      <c r="G19" s="602"/>
      <c r="H19" s="602"/>
      <c r="I19" s="602"/>
      <c r="J19" s="602"/>
      <c r="K19" s="141"/>
      <c r="L19" s="141"/>
      <c r="M19" s="536"/>
      <c r="N19" s="142"/>
      <c r="O19" s="127" t="str">
        <f>IFERROR(VLOOKUP(N19,参数表!$H$2:$I$50,2,FALSE),"")</f>
        <v/>
      </c>
      <c r="P19" s="128" t="str">
        <f t="shared" si="31"/>
        <v/>
      </c>
      <c r="Q19" s="128" t="str">
        <f t="shared" si="32"/>
        <v/>
      </c>
      <c r="R19" s="129" t="str">
        <f t="shared" si="33"/>
        <v/>
      </c>
      <c r="S19" s="600"/>
      <c r="T19" s="600"/>
      <c r="U19" s="600"/>
      <c r="V19" s="601"/>
      <c r="W19" s="601"/>
      <c r="X19" s="601"/>
      <c r="Y19" s="589" t="str">
        <f t="shared" si="10"/>
        <v/>
      </c>
      <c r="Z19" s="589" t="str">
        <f t="shared" si="11"/>
        <v/>
      </c>
      <c r="AA19" s="589" t="str">
        <f t="shared" si="12"/>
        <v/>
      </c>
      <c r="AB19" s="129" t="str">
        <f t="shared" si="13"/>
        <v/>
      </c>
      <c r="AC19" s="521" t="str">
        <f t="shared" si="14"/>
        <v/>
      </c>
      <c r="AD19" s="129" t="str">
        <f t="shared" si="15"/>
        <v/>
      </c>
      <c r="AE19" s="849" t="str">
        <f t="shared" si="34"/>
        <v/>
      </c>
      <c r="AF19" s="602"/>
      <c r="BA19" s="78"/>
      <c r="BB19" s="132" t="s">
        <v>4026</v>
      </c>
      <c r="BC19" s="133"/>
      <c r="BD19" s="132" t="str">
        <f>IF(OR(C19="",BC19=""),"",COUNTIF(BC$8:BC19,"√"))</f>
        <v/>
      </c>
      <c r="BE19" s="134" t="str">
        <f t="shared" si="46"/>
        <v/>
      </c>
      <c r="BF19" s="135" t="str">
        <f t="shared" si="17"/>
        <v/>
      </c>
      <c r="BG19" s="135" t="str">
        <f t="shared" si="17"/>
        <v/>
      </c>
      <c r="BH19" s="136"/>
      <c r="BI19" s="136"/>
      <c r="BJ19" s="136"/>
      <c r="BK19" s="136"/>
      <c r="BL19" s="136"/>
      <c r="BM19" s="137"/>
      <c r="BN19" s="136"/>
      <c r="BO19" s="137"/>
      <c r="BP19" s="165" t="s">
        <v>2706</v>
      </c>
      <c r="BQ19" s="676"/>
      <c r="BR19" s="522">
        <f t="shared" si="36"/>
        <v>0</v>
      </c>
      <c r="BS19" s="850"/>
      <c r="BT19" s="850"/>
      <c r="BU19" s="851">
        <f t="shared" si="37"/>
        <v>0</v>
      </c>
      <c r="BV19" s="156">
        <f t="shared" si="38"/>
        <v>0</v>
      </c>
      <c r="BW19" s="156">
        <f t="shared" si="39"/>
        <v>0</v>
      </c>
      <c r="BX19" s="522">
        <f t="shared" si="3"/>
        <v>1</v>
      </c>
      <c r="BY19" s="852">
        <f>LOOKUP(BX19,参数表!$A$13:$B$19)</f>
        <v>0</v>
      </c>
      <c r="BZ19" s="156">
        <f t="shared" si="40"/>
        <v>0</v>
      </c>
      <c r="CA19" s="156">
        <f t="shared" si="41"/>
        <v>0</v>
      </c>
      <c r="CB19" s="522">
        <f t="shared" si="42"/>
        <v>125.582477754962</v>
      </c>
      <c r="CC19" s="676"/>
      <c r="CD19" s="853">
        <f t="shared" si="43"/>
        <v>0</v>
      </c>
      <c r="CE19" s="853">
        <f t="shared" si="44"/>
        <v>0</v>
      </c>
      <c r="CF19" s="853">
        <f t="shared" si="45"/>
        <v>0</v>
      </c>
      <c r="CG19" s="77"/>
      <c r="CH19" s="134" t="str">
        <f>IF(COUNTIF(CH$7:CH18,C19)&gt;0,"",C19)&amp;""</f>
        <v/>
      </c>
      <c r="CI19" s="138">
        <f t="shared" si="24"/>
        <v>0</v>
      </c>
      <c r="CJ19" s="132">
        <f t="shared" si="25"/>
        <v>1</v>
      </c>
      <c r="CK19" s="138">
        <f t="shared" si="26"/>
        <v>0</v>
      </c>
      <c r="CL19" s="132">
        <f t="shared" si="27"/>
        <v>1</v>
      </c>
      <c r="CM19" s="133"/>
      <c r="CN19" s="133"/>
      <c r="CO19" s="77"/>
    </row>
    <row r="20" s="541" customFormat="1" ht="15.75" customHeight="1" spans="1:93">
      <c r="A20" s="123" t="str">
        <f>IF(C20="","",COUNT(A$7:A19)+1)</f>
        <v/>
      </c>
      <c r="B20" s="599"/>
      <c r="C20" s="597"/>
      <c r="D20" s="599"/>
      <c r="E20" s="597"/>
      <c r="F20" s="602"/>
      <c r="G20" s="602"/>
      <c r="H20" s="602"/>
      <c r="I20" s="602"/>
      <c r="J20" s="602"/>
      <c r="K20" s="141"/>
      <c r="L20" s="141"/>
      <c r="M20" s="536"/>
      <c r="N20" s="142"/>
      <c r="O20" s="127" t="str">
        <f>IFERROR(VLOOKUP(N20,参数表!$H$2:$I$50,2,FALSE),"")</f>
        <v/>
      </c>
      <c r="P20" s="128" t="str">
        <f t="shared" si="7"/>
        <v/>
      </c>
      <c r="Q20" s="128" t="str">
        <f t="shared" si="8"/>
        <v/>
      </c>
      <c r="R20" s="129" t="str">
        <f t="shared" si="9"/>
        <v/>
      </c>
      <c r="S20" s="600"/>
      <c r="T20" s="600"/>
      <c r="U20" s="600"/>
      <c r="V20" s="601"/>
      <c r="W20" s="601"/>
      <c r="X20" s="601"/>
      <c r="Y20" s="589" t="str">
        <f t="shared" si="10"/>
        <v/>
      </c>
      <c r="Z20" s="589" t="str">
        <f t="shared" si="11"/>
        <v/>
      </c>
      <c r="AA20" s="589" t="str">
        <f t="shared" si="12"/>
        <v/>
      </c>
      <c r="AB20" s="129" t="str">
        <f t="shared" si="13"/>
        <v/>
      </c>
      <c r="AC20" s="521" t="str">
        <f t="shared" si="14"/>
        <v/>
      </c>
      <c r="AD20" s="129" t="str">
        <f t="shared" si="15"/>
        <v/>
      </c>
      <c r="AE20" s="849" t="str">
        <f t="shared" si="16"/>
        <v/>
      </c>
      <c r="AF20" s="602"/>
      <c r="BA20" s="78"/>
      <c r="BB20" s="132" t="s">
        <v>4027</v>
      </c>
      <c r="BC20" s="133"/>
      <c r="BD20" s="132" t="str">
        <f>IF(OR(C20="",BC20=""),"",COUNTIF(BC$8:BC20,"√"))</f>
        <v/>
      </c>
      <c r="BE20" s="134" t="str">
        <f t="shared" si="46"/>
        <v/>
      </c>
      <c r="BF20" s="135" t="str">
        <f t="shared" si="17"/>
        <v/>
      </c>
      <c r="BG20" s="135" t="str">
        <f t="shared" si="17"/>
        <v/>
      </c>
      <c r="BH20" s="136"/>
      <c r="BI20" s="136"/>
      <c r="BJ20" s="136"/>
      <c r="BK20" s="136"/>
      <c r="BL20" s="136"/>
      <c r="BM20" s="137"/>
      <c r="BN20" s="136"/>
      <c r="BO20" s="137"/>
      <c r="BP20" s="165" t="s">
        <v>2706</v>
      </c>
      <c r="BQ20" s="676"/>
      <c r="BR20" s="522">
        <f t="shared" si="2"/>
        <v>0</v>
      </c>
      <c r="BS20" s="850"/>
      <c r="BT20" s="850"/>
      <c r="BU20" s="851">
        <f t="shared" si="18"/>
        <v>0</v>
      </c>
      <c r="BV20" s="156">
        <f t="shared" si="19"/>
        <v>0</v>
      </c>
      <c r="BW20" s="156">
        <f t="shared" si="20"/>
        <v>0</v>
      </c>
      <c r="BX20" s="522">
        <f t="shared" si="3"/>
        <v>1</v>
      </c>
      <c r="BY20" s="852">
        <f>LOOKUP(BX20,参数表!$A$13:$B$19)</f>
        <v>0</v>
      </c>
      <c r="BZ20" s="156">
        <f t="shared" si="21"/>
        <v>0</v>
      </c>
      <c r="CA20" s="156">
        <f t="shared" si="22"/>
        <v>0</v>
      </c>
      <c r="CB20" s="522">
        <f t="shared" ref="CB20:CB27" si="47">(CB$6-T20)/365.25</f>
        <v>125.582477754962</v>
      </c>
      <c r="CC20" s="676"/>
      <c r="CD20" s="853">
        <f t="shared" si="30"/>
        <v>0</v>
      </c>
      <c r="CE20" s="853">
        <f t="shared" si="23"/>
        <v>0</v>
      </c>
      <c r="CF20" s="853">
        <f t="shared" si="5"/>
        <v>0</v>
      </c>
      <c r="CG20" s="77"/>
      <c r="CH20" s="134" t="str">
        <f>IF(COUNTIF(CH$7:CH19,C20)&gt;0,"",C20)&amp;""</f>
        <v/>
      </c>
      <c r="CI20" s="138">
        <f t="shared" si="24"/>
        <v>0</v>
      </c>
      <c r="CJ20" s="132">
        <f t="shared" si="25"/>
        <v>1</v>
      </c>
      <c r="CK20" s="138">
        <f t="shared" si="26"/>
        <v>0</v>
      </c>
      <c r="CL20" s="132">
        <f t="shared" si="27"/>
        <v>1</v>
      </c>
      <c r="CM20" s="133"/>
      <c r="CN20" s="133"/>
      <c r="CO20" s="77"/>
    </row>
    <row r="21" s="541" customFormat="1" ht="15.75" customHeight="1" spans="1:93">
      <c r="A21" s="123" t="str">
        <f>IF(C21="","",COUNT(A$7:A20)+1)</f>
        <v/>
      </c>
      <c r="B21" s="599"/>
      <c r="C21" s="597"/>
      <c r="D21" s="599"/>
      <c r="E21" s="597"/>
      <c r="F21" s="602"/>
      <c r="G21" s="602"/>
      <c r="H21" s="602"/>
      <c r="I21" s="602"/>
      <c r="J21" s="602"/>
      <c r="K21" s="141"/>
      <c r="L21" s="141"/>
      <c r="M21" s="536"/>
      <c r="N21" s="142"/>
      <c r="O21" s="127" t="str">
        <f>IFERROR(VLOOKUP(N21,参数表!$H$2:$I$50,2,FALSE),"")</f>
        <v/>
      </c>
      <c r="P21" s="128" t="str">
        <f t="shared" si="7"/>
        <v/>
      </c>
      <c r="Q21" s="128" t="str">
        <f t="shared" si="8"/>
        <v/>
      </c>
      <c r="R21" s="129" t="str">
        <f t="shared" si="9"/>
        <v/>
      </c>
      <c r="S21" s="600"/>
      <c r="T21" s="600"/>
      <c r="U21" s="600"/>
      <c r="V21" s="601"/>
      <c r="W21" s="601"/>
      <c r="X21" s="601"/>
      <c r="Y21" s="589" t="str">
        <f t="shared" si="10"/>
        <v/>
      </c>
      <c r="Z21" s="589" t="str">
        <f t="shared" si="11"/>
        <v/>
      </c>
      <c r="AA21" s="589" t="str">
        <f t="shared" si="12"/>
        <v/>
      </c>
      <c r="AB21" s="129" t="str">
        <f t="shared" si="13"/>
        <v/>
      </c>
      <c r="AC21" s="521" t="str">
        <f t="shared" si="14"/>
        <v/>
      </c>
      <c r="AD21" s="129" t="str">
        <f t="shared" si="15"/>
        <v/>
      </c>
      <c r="AE21" s="849" t="str">
        <f t="shared" si="16"/>
        <v/>
      </c>
      <c r="AF21" s="602"/>
      <c r="BA21" s="78"/>
      <c r="BB21" s="132" t="s">
        <v>4028</v>
      </c>
      <c r="BC21" s="133"/>
      <c r="BD21" s="132" t="str">
        <f>IF(OR(C21="",BC21=""),"",COUNTIF(BC$8:BC21,"√"))</f>
        <v/>
      </c>
      <c r="BE21" s="134" t="str">
        <f t="shared" si="46"/>
        <v/>
      </c>
      <c r="BF21" s="135" t="str">
        <f t="shared" si="17"/>
        <v/>
      </c>
      <c r="BG21" s="135" t="str">
        <f t="shared" si="17"/>
        <v/>
      </c>
      <c r="BH21" s="136"/>
      <c r="BI21" s="136"/>
      <c r="BJ21" s="136"/>
      <c r="BK21" s="136"/>
      <c r="BL21" s="136"/>
      <c r="BM21" s="137"/>
      <c r="BN21" s="136"/>
      <c r="BO21" s="137"/>
      <c r="BP21" s="165" t="s">
        <v>2706</v>
      </c>
      <c r="BQ21" s="676"/>
      <c r="BR21" s="522">
        <f t="shared" si="2"/>
        <v>0</v>
      </c>
      <c r="BS21" s="850"/>
      <c r="BT21" s="850"/>
      <c r="BU21" s="851">
        <f t="shared" si="18"/>
        <v>0</v>
      </c>
      <c r="BV21" s="156">
        <f t="shared" si="19"/>
        <v>0</v>
      </c>
      <c r="BW21" s="156">
        <f t="shared" si="20"/>
        <v>0</v>
      </c>
      <c r="BX21" s="522">
        <f t="shared" si="3"/>
        <v>1</v>
      </c>
      <c r="BY21" s="852">
        <f>LOOKUP(BX21,参数表!$A$13:$B$19)</f>
        <v>0</v>
      </c>
      <c r="BZ21" s="156">
        <f t="shared" si="21"/>
        <v>0</v>
      </c>
      <c r="CA21" s="156">
        <f t="shared" si="22"/>
        <v>0</v>
      </c>
      <c r="CB21" s="522">
        <f t="shared" si="47"/>
        <v>125.582477754962</v>
      </c>
      <c r="CC21" s="676"/>
      <c r="CD21" s="853">
        <f t="shared" si="30"/>
        <v>0</v>
      </c>
      <c r="CE21" s="853">
        <f t="shared" si="23"/>
        <v>0</v>
      </c>
      <c r="CF21" s="853">
        <f t="shared" si="5"/>
        <v>0</v>
      </c>
      <c r="CG21" s="77"/>
      <c r="CH21" s="134" t="str">
        <f>IF(COUNTIF(CH$7:CH20,C21)&gt;0,"",C21)&amp;""</f>
        <v/>
      </c>
      <c r="CI21" s="138">
        <f t="shared" si="24"/>
        <v>0</v>
      </c>
      <c r="CJ21" s="132">
        <f t="shared" si="25"/>
        <v>1</v>
      </c>
      <c r="CK21" s="138">
        <f t="shared" si="26"/>
        <v>0</v>
      </c>
      <c r="CL21" s="132">
        <f t="shared" si="27"/>
        <v>1</v>
      </c>
      <c r="CM21" s="133"/>
      <c r="CN21" s="133"/>
      <c r="CO21" s="77"/>
    </row>
    <row r="22" s="541" customFormat="1" ht="15.75" customHeight="1" spans="1:93">
      <c r="A22" s="123" t="str">
        <f>IF(C22="","",COUNT(A$7:A21)+1)</f>
        <v/>
      </c>
      <c r="B22" s="599"/>
      <c r="C22" s="597"/>
      <c r="D22" s="599"/>
      <c r="E22" s="597"/>
      <c r="F22" s="602"/>
      <c r="G22" s="602"/>
      <c r="H22" s="602"/>
      <c r="I22" s="602"/>
      <c r="J22" s="602"/>
      <c r="K22" s="141"/>
      <c r="L22" s="141"/>
      <c r="M22" s="536"/>
      <c r="N22" s="142"/>
      <c r="O22" s="127" t="str">
        <f>IFERROR(VLOOKUP(N22,参数表!$H$2:$I$50,2,FALSE),"")</f>
        <v/>
      </c>
      <c r="P22" s="128" t="str">
        <f t="shared" si="7"/>
        <v/>
      </c>
      <c r="Q22" s="128" t="str">
        <f t="shared" si="8"/>
        <v/>
      </c>
      <c r="R22" s="129" t="str">
        <f t="shared" si="9"/>
        <v/>
      </c>
      <c r="S22" s="600"/>
      <c r="T22" s="600"/>
      <c r="U22" s="600"/>
      <c r="V22" s="601"/>
      <c r="W22" s="601"/>
      <c r="X22" s="601"/>
      <c r="Y22" s="589" t="str">
        <f t="shared" si="10"/>
        <v/>
      </c>
      <c r="Z22" s="589" t="str">
        <f t="shared" si="11"/>
        <v/>
      </c>
      <c r="AA22" s="589" t="str">
        <f t="shared" si="12"/>
        <v/>
      </c>
      <c r="AB22" s="129" t="str">
        <f t="shared" si="13"/>
        <v/>
      </c>
      <c r="AC22" s="521" t="str">
        <f t="shared" si="14"/>
        <v/>
      </c>
      <c r="AD22" s="129" t="str">
        <f t="shared" si="15"/>
        <v/>
      </c>
      <c r="AE22" s="849" t="str">
        <f t="shared" si="16"/>
        <v/>
      </c>
      <c r="AF22" s="602"/>
      <c r="BA22" s="78"/>
      <c r="BB22" s="132" t="s">
        <v>4029</v>
      </c>
      <c r="BC22" s="133"/>
      <c r="BD22" s="132" t="str">
        <f>IF(OR(C22="",BC22=""),"",COUNTIF(BC$8:BC22,"√"))</f>
        <v/>
      </c>
      <c r="BE22" s="134" t="str">
        <f t="shared" si="46"/>
        <v/>
      </c>
      <c r="BF22" s="135" t="str">
        <f t="shared" si="17"/>
        <v/>
      </c>
      <c r="BG22" s="135" t="str">
        <f t="shared" si="17"/>
        <v/>
      </c>
      <c r="BH22" s="136"/>
      <c r="BI22" s="136"/>
      <c r="BJ22" s="136"/>
      <c r="BK22" s="136"/>
      <c r="BL22" s="136"/>
      <c r="BM22" s="137"/>
      <c r="BN22" s="136"/>
      <c r="BO22" s="137"/>
      <c r="BP22" s="165" t="s">
        <v>2706</v>
      </c>
      <c r="BQ22" s="676"/>
      <c r="BR22" s="522">
        <f t="shared" si="2"/>
        <v>0</v>
      </c>
      <c r="BS22" s="850"/>
      <c r="BT22" s="850"/>
      <c r="BU22" s="851">
        <f t="shared" si="18"/>
        <v>0</v>
      </c>
      <c r="BV22" s="156">
        <f t="shared" si="19"/>
        <v>0</v>
      </c>
      <c r="BW22" s="156">
        <f t="shared" si="20"/>
        <v>0</v>
      </c>
      <c r="BX22" s="522">
        <f t="shared" si="3"/>
        <v>1</v>
      </c>
      <c r="BY22" s="852">
        <f>LOOKUP(BX22,参数表!$A$13:$B$19)</f>
        <v>0</v>
      </c>
      <c r="BZ22" s="156">
        <f t="shared" si="21"/>
        <v>0</v>
      </c>
      <c r="CA22" s="156">
        <f t="shared" si="22"/>
        <v>0</v>
      </c>
      <c r="CB22" s="522">
        <f t="shared" si="47"/>
        <v>125.582477754962</v>
      </c>
      <c r="CC22" s="676"/>
      <c r="CD22" s="853">
        <f t="shared" si="30"/>
        <v>0</v>
      </c>
      <c r="CE22" s="853">
        <f t="shared" si="23"/>
        <v>0</v>
      </c>
      <c r="CF22" s="853">
        <f t="shared" si="5"/>
        <v>0</v>
      </c>
      <c r="CG22" s="77"/>
      <c r="CH22" s="134" t="str">
        <f>IF(COUNTIF(CH$7:CH21,C22)&gt;0,"",C22)&amp;""</f>
        <v/>
      </c>
      <c r="CI22" s="138">
        <f t="shared" si="24"/>
        <v>0</v>
      </c>
      <c r="CJ22" s="132">
        <f t="shared" si="25"/>
        <v>1</v>
      </c>
      <c r="CK22" s="138">
        <f t="shared" si="26"/>
        <v>0</v>
      </c>
      <c r="CL22" s="132">
        <f t="shared" si="27"/>
        <v>1</v>
      </c>
      <c r="CM22" s="133"/>
      <c r="CN22" s="133"/>
      <c r="CO22" s="77"/>
    </row>
    <row r="23" s="541" customFormat="1" ht="15.75" customHeight="1" spans="1:93">
      <c r="A23" s="123" t="str">
        <f>IF(C23="","",COUNT(A$7:A22)+1)</f>
        <v/>
      </c>
      <c r="B23" s="599"/>
      <c r="C23" s="597"/>
      <c r="D23" s="599"/>
      <c r="E23" s="597"/>
      <c r="F23" s="602"/>
      <c r="G23" s="602"/>
      <c r="H23" s="602"/>
      <c r="I23" s="602"/>
      <c r="J23" s="602"/>
      <c r="K23" s="141"/>
      <c r="L23" s="141"/>
      <c r="M23" s="536"/>
      <c r="N23" s="142"/>
      <c r="O23" s="127" t="str">
        <f>IFERROR(VLOOKUP(N23,参数表!$H$2:$I$50,2,FALSE),"")</f>
        <v/>
      </c>
      <c r="P23" s="128" t="str">
        <f t="shared" si="7"/>
        <v/>
      </c>
      <c r="Q23" s="128" t="str">
        <f t="shared" si="8"/>
        <v/>
      </c>
      <c r="R23" s="129" t="str">
        <f t="shared" si="9"/>
        <v/>
      </c>
      <c r="S23" s="600"/>
      <c r="T23" s="600"/>
      <c r="U23" s="600"/>
      <c r="V23" s="601"/>
      <c r="W23" s="601"/>
      <c r="X23" s="601"/>
      <c r="Y23" s="589" t="str">
        <f t="shared" si="10"/>
        <v/>
      </c>
      <c r="Z23" s="589" t="str">
        <f t="shared" si="11"/>
        <v/>
      </c>
      <c r="AA23" s="589" t="str">
        <f t="shared" si="12"/>
        <v/>
      </c>
      <c r="AB23" s="129" t="str">
        <f t="shared" si="13"/>
        <v/>
      </c>
      <c r="AC23" s="521" t="str">
        <f t="shared" si="14"/>
        <v/>
      </c>
      <c r="AD23" s="129" t="str">
        <f t="shared" si="15"/>
        <v/>
      </c>
      <c r="AE23" s="849" t="str">
        <f t="shared" si="16"/>
        <v/>
      </c>
      <c r="AF23" s="602"/>
      <c r="BA23" s="78"/>
      <c r="BB23" s="132" t="s">
        <v>4030</v>
      </c>
      <c r="BC23" s="133"/>
      <c r="BD23" s="132" t="str">
        <f>IF(OR(C23="",BC23=""),"",COUNTIF(BC$8:BC23,"√"))</f>
        <v/>
      </c>
      <c r="BE23" s="134" t="str">
        <f t="shared" si="46"/>
        <v/>
      </c>
      <c r="BF23" s="135" t="str">
        <f t="shared" si="17"/>
        <v/>
      </c>
      <c r="BG23" s="135" t="str">
        <f t="shared" si="17"/>
        <v/>
      </c>
      <c r="BH23" s="136"/>
      <c r="BI23" s="136"/>
      <c r="BJ23" s="136"/>
      <c r="BK23" s="136"/>
      <c r="BL23" s="136"/>
      <c r="BM23" s="137"/>
      <c r="BN23" s="136"/>
      <c r="BO23" s="137"/>
      <c r="BP23" s="165" t="s">
        <v>2706</v>
      </c>
      <c r="BQ23" s="676"/>
      <c r="BR23" s="522">
        <f t="shared" si="2"/>
        <v>0</v>
      </c>
      <c r="BS23" s="850"/>
      <c r="BT23" s="850"/>
      <c r="BU23" s="851">
        <f t="shared" si="18"/>
        <v>0</v>
      </c>
      <c r="BV23" s="156">
        <f t="shared" si="19"/>
        <v>0</v>
      </c>
      <c r="BW23" s="156">
        <f t="shared" si="20"/>
        <v>0</v>
      </c>
      <c r="BX23" s="522">
        <f t="shared" si="3"/>
        <v>1</v>
      </c>
      <c r="BY23" s="852">
        <f>LOOKUP(BX23,参数表!$A$13:$B$19)</f>
        <v>0</v>
      </c>
      <c r="BZ23" s="156">
        <f t="shared" si="21"/>
        <v>0</v>
      </c>
      <c r="CA23" s="156">
        <f t="shared" si="22"/>
        <v>0</v>
      </c>
      <c r="CB23" s="522">
        <f t="shared" si="47"/>
        <v>125.582477754962</v>
      </c>
      <c r="CC23" s="676"/>
      <c r="CD23" s="853">
        <f t="shared" si="30"/>
        <v>0</v>
      </c>
      <c r="CE23" s="853">
        <f t="shared" si="23"/>
        <v>0</v>
      </c>
      <c r="CF23" s="853">
        <f t="shared" si="5"/>
        <v>0</v>
      </c>
      <c r="CG23" s="77"/>
      <c r="CH23" s="134" t="str">
        <f>IF(COUNTIF(CH$7:CH22,C23)&gt;0,"",C23)&amp;""</f>
        <v/>
      </c>
      <c r="CI23" s="138">
        <f t="shared" si="24"/>
        <v>0</v>
      </c>
      <c r="CJ23" s="132">
        <f t="shared" si="25"/>
        <v>1</v>
      </c>
      <c r="CK23" s="138">
        <f t="shared" si="26"/>
        <v>0</v>
      </c>
      <c r="CL23" s="132">
        <f t="shared" si="27"/>
        <v>1</v>
      </c>
      <c r="CM23" s="133"/>
      <c r="CN23" s="133"/>
      <c r="CO23" s="77"/>
    </row>
    <row r="24" s="541" customFormat="1" ht="15.75" customHeight="1" spans="1:93">
      <c r="A24" s="123" t="str">
        <f>IF(C24="","",COUNT(A$7:A23)+1)</f>
        <v/>
      </c>
      <c r="B24" s="599"/>
      <c r="C24" s="597"/>
      <c r="D24" s="599"/>
      <c r="E24" s="597"/>
      <c r="F24" s="602"/>
      <c r="G24" s="602"/>
      <c r="H24" s="602"/>
      <c r="I24" s="602"/>
      <c r="J24" s="602"/>
      <c r="K24" s="141"/>
      <c r="L24" s="141"/>
      <c r="M24" s="536"/>
      <c r="N24" s="142"/>
      <c r="O24" s="127" t="str">
        <f>IFERROR(VLOOKUP(N24,参数表!$H$2:$I$50,2,FALSE),"")</f>
        <v/>
      </c>
      <c r="P24" s="128" t="str">
        <f t="shared" si="7"/>
        <v/>
      </c>
      <c r="Q24" s="128" t="str">
        <f t="shared" si="8"/>
        <v/>
      </c>
      <c r="R24" s="129" t="str">
        <f t="shared" si="9"/>
        <v/>
      </c>
      <c r="S24" s="600"/>
      <c r="T24" s="600"/>
      <c r="U24" s="600"/>
      <c r="V24" s="601"/>
      <c r="W24" s="601"/>
      <c r="X24" s="601"/>
      <c r="Y24" s="589" t="str">
        <f t="shared" si="10"/>
        <v/>
      </c>
      <c r="Z24" s="589" t="str">
        <f t="shared" si="11"/>
        <v/>
      </c>
      <c r="AA24" s="589" t="str">
        <f t="shared" si="12"/>
        <v/>
      </c>
      <c r="AB24" s="129" t="str">
        <f t="shared" si="13"/>
        <v/>
      </c>
      <c r="AC24" s="521" t="str">
        <f t="shared" si="14"/>
        <v/>
      </c>
      <c r="AD24" s="129" t="str">
        <f t="shared" si="15"/>
        <v/>
      </c>
      <c r="AE24" s="849" t="str">
        <f t="shared" si="16"/>
        <v/>
      </c>
      <c r="AF24" s="602"/>
      <c r="BA24" s="78"/>
      <c r="BB24" s="132" t="s">
        <v>4031</v>
      </c>
      <c r="BC24" s="133"/>
      <c r="BD24" s="132" t="str">
        <f>IF(OR(C24="",BC24=""),"",COUNTIF(BC$8:BC24,"√"))</f>
        <v/>
      </c>
      <c r="BE24" s="134" t="str">
        <f t="shared" si="46"/>
        <v/>
      </c>
      <c r="BF24" s="135" t="str">
        <f t="shared" si="17"/>
        <v/>
      </c>
      <c r="BG24" s="135" t="str">
        <f t="shared" si="17"/>
        <v/>
      </c>
      <c r="BH24" s="136"/>
      <c r="BI24" s="136"/>
      <c r="BJ24" s="136"/>
      <c r="BK24" s="136"/>
      <c r="BL24" s="136"/>
      <c r="BM24" s="137"/>
      <c r="BN24" s="136"/>
      <c r="BO24" s="137"/>
      <c r="BP24" s="165" t="s">
        <v>2706</v>
      </c>
      <c r="BQ24" s="676"/>
      <c r="BR24" s="522">
        <f t="shared" si="2"/>
        <v>0</v>
      </c>
      <c r="BS24" s="850"/>
      <c r="BT24" s="850"/>
      <c r="BU24" s="851">
        <f t="shared" si="18"/>
        <v>0</v>
      </c>
      <c r="BV24" s="156">
        <f t="shared" si="19"/>
        <v>0</v>
      </c>
      <c r="BW24" s="156">
        <f t="shared" si="20"/>
        <v>0</v>
      </c>
      <c r="BX24" s="522">
        <f t="shared" si="3"/>
        <v>1</v>
      </c>
      <c r="BY24" s="852">
        <f>LOOKUP(BX24,参数表!$A$13:$B$19)</f>
        <v>0</v>
      </c>
      <c r="BZ24" s="156">
        <f t="shared" si="21"/>
        <v>0</v>
      </c>
      <c r="CA24" s="156">
        <f t="shared" si="22"/>
        <v>0</v>
      </c>
      <c r="CB24" s="522">
        <f t="shared" si="47"/>
        <v>125.582477754962</v>
      </c>
      <c r="CC24" s="676"/>
      <c r="CD24" s="853">
        <f t="shared" si="30"/>
        <v>0</v>
      </c>
      <c r="CE24" s="853">
        <f t="shared" si="23"/>
        <v>0</v>
      </c>
      <c r="CF24" s="853">
        <f t="shared" si="5"/>
        <v>0</v>
      </c>
      <c r="CG24" s="77"/>
      <c r="CH24" s="134" t="str">
        <f>IF(COUNTIF(CH$7:CH23,C24)&gt;0,"",C24)&amp;""</f>
        <v/>
      </c>
      <c r="CI24" s="138">
        <f t="shared" si="24"/>
        <v>0</v>
      </c>
      <c r="CJ24" s="132">
        <f t="shared" si="25"/>
        <v>1</v>
      </c>
      <c r="CK24" s="138">
        <f t="shared" si="26"/>
        <v>0</v>
      </c>
      <c r="CL24" s="132">
        <f t="shared" si="27"/>
        <v>1</v>
      </c>
      <c r="CM24" s="133"/>
      <c r="CN24" s="133"/>
      <c r="CO24" s="77"/>
    </row>
    <row r="25" s="541" customFormat="1" ht="15.75" customHeight="1" spans="1:93">
      <c r="A25" s="123" t="str">
        <f>IF(C25="","",COUNT(A$7:A24)+1)</f>
        <v/>
      </c>
      <c r="B25" s="599"/>
      <c r="C25" s="597"/>
      <c r="D25" s="599"/>
      <c r="E25" s="597"/>
      <c r="F25" s="602"/>
      <c r="G25" s="602"/>
      <c r="H25" s="602"/>
      <c r="I25" s="602"/>
      <c r="J25" s="602"/>
      <c r="K25" s="141"/>
      <c r="L25" s="141"/>
      <c r="M25" s="536"/>
      <c r="N25" s="142"/>
      <c r="O25" s="127" t="str">
        <f>IFERROR(VLOOKUP(N25,参数表!$H$2:$I$50,2,FALSE),"")</f>
        <v/>
      </c>
      <c r="P25" s="128" t="str">
        <f t="shared" si="7"/>
        <v/>
      </c>
      <c r="Q25" s="128" t="str">
        <f t="shared" si="8"/>
        <v/>
      </c>
      <c r="R25" s="129" t="str">
        <f t="shared" si="9"/>
        <v/>
      </c>
      <c r="S25" s="600"/>
      <c r="T25" s="600"/>
      <c r="U25" s="600"/>
      <c r="V25" s="601"/>
      <c r="W25" s="601"/>
      <c r="X25" s="601"/>
      <c r="Y25" s="589" t="str">
        <f t="shared" si="10"/>
        <v/>
      </c>
      <c r="Z25" s="589" t="str">
        <f t="shared" si="11"/>
        <v/>
      </c>
      <c r="AA25" s="589" t="str">
        <f t="shared" si="12"/>
        <v/>
      </c>
      <c r="AB25" s="129" t="str">
        <f t="shared" si="13"/>
        <v/>
      </c>
      <c r="AC25" s="521" t="str">
        <f t="shared" si="14"/>
        <v/>
      </c>
      <c r="AD25" s="129" t="str">
        <f t="shared" si="15"/>
        <v/>
      </c>
      <c r="AE25" s="849" t="str">
        <f t="shared" si="16"/>
        <v/>
      </c>
      <c r="AF25" s="602"/>
      <c r="BA25" s="78"/>
      <c r="BB25" s="132" t="s">
        <v>4032</v>
      </c>
      <c r="BC25" s="133"/>
      <c r="BD25" s="132" t="str">
        <f>IF(OR(C25="",BC25=""),"",COUNTIF(BC$8:BC25,"√"))</f>
        <v/>
      </c>
      <c r="BE25" s="134" t="str">
        <f t="shared" si="46"/>
        <v/>
      </c>
      <c r="BF25" s="135" t="str">
        <f t="shared" si="17"/>
        <v/>
      </c>
      <c r="BG25" s="135" t="str">
        <f t="shared" si="17"/>
        <v/>
      </c>
      <c r="BH25" s="136"/>
      <c r="BI25" s="136"/>
      <c r="BJ25" s="136"/>
      <c r="BK25" s="136"/>
      <c r="BL25" s="136"/>
      <c r="BM25" s="137"/>
      <c r="BN25" s="136"/>
      <c r="BO25" s="137"/>
      <c r="BP25" s="165" t="s">
        <v>2706</v>
      </c>
      <c r="BQ25" s="676"/>
      <c r="BR25" s="522">
        <f t="shared" si="2"/>
        <v>0</v>
      </c>
      <c r="BS25" s="850"/>
      <c r="BT25" s="850"/>
      <c r="BU25" s="851">
        <f t="shared" si="18"/>
        <v>0</v>
      </c>
      <c r="BV25" s="156">
        <f t="shared" si="19"/>
        <v>0</v>
      </c>
      <c r="BW25" s="156">
        <f t="shared" si="20"/>
        <v>0</v>
      </c>
      <c r="BX25" s="522">
        <f t="shared" si="3"/>
        <v>1</v>
      </c>
      <c r="BY25" s="852">
        <f>LOOKUP(BX25,参数表!$A$13:$B$19)</f>
        <v>0</v>
      </c>
      <c r="BZ25" s="156">
        <f t="shared" si="21"/>
        <v>0</v>
      </c>
      <c r="CA25" s="156">
        <f t="shared" si="22"/>
        <v>0</v>
      </c>
      <c r="CB25" s="522">
        <f t="shared" si="47"/>
        <v>125.582477754962</v>
      </c>
      <c r="CC25" s="676"/>
      <c r="CD25" s="853">
        <f t="shared" si="30"/>
        <v>0</v>
      </c>
      <c r="CE25" s="853">
        <f t="shared" si="23"/>
        <v>0</v>
      </c>
      <c r="CF25" s="853">
        <f t="shared" si="5"/>
        <v>0</v>
      </c>
      <c r="CG25" s="77"/>
      <c r="CH25" s="134" t="str">
        <f>IF(COUNTIF(CH$7:CH24,C25)&gt;0,"",C25)&amp;""</f>
        <v/>
      </c>
      <c r="CI25" s="138">
        <f t="shared" si="24"/>
        <v>0</v>
      </c>
      <c r="CJ25" s="132">
        <f t="shared" si="25"/>
        <v>1</v>
      </c>
      <c r="CK25" s="138">
        <f t="shared" si="26"/>
        <v>0</v>
      </c>
      <c r="CL25" s="132">
        <f t="shared" si="27"/>
        <v>1</v>
      </c>
      <c r="CM25" s="133"/>
      <c r="CN25" s="133"/>
      <c r="CO25" s="77"/>
    </row>
    <row r="26" s="541" customFormat="1" ht="15.75" customHeight="1" spans="1:93">
      <c r="A26" s="123" t="str">
        <f>IF(C26="","",COUNT(A$7:A25)+1)</f>
        <v/>
      </c>
      <c r="B26" s="599"/>
      <c r="C26" s="597"/>
      <c r="D26" s="599"/>
      <c r="E26" s="597"/>
      <c r="F26" s="602"/>
      <c r="G26" s="602"/>
      <c r="H26" s="602"/>
      <c r="I26" s="602"/>
      <c r="J26" s="602"/>
      <c r="K26" s="141"/>
      <c r="L26" s="141"/>
      <c r="M26" s="536"/>
      <c r="N26" s="142"/>
      <c r="O26" s="127" t="str">
        <f>IFERROR(VLOOKUP(N26,参数表!$H$2:$I$50,2,FALSE),"")</f>
        <v/>
      </c>
      <c r="P26" s="128" t="str">
        <f t="shared" si="7"/>
        <v/>
      </c>
      <c r="Q26" s="128" t="str">
        <f t="shared" si="8"/>
        <v/>
      </c>
      <c r="R26" s="129" t="str">
        <f t="shared" si="9"/>
        <v/>
      </c>
      <c r="S26" s="600"/>
      <c r="T26" s="600"/>
      <c r="U26" s="600"/>
      <c r="V26" s="601"/>
      <c r="W26" s="601"/>
      <c r="X26" s="601"/>
      <c r="Y26" s="589" t="str">
        <f t="shared" si="10"/>
        <v/>
      </c>
      <c r="Z26" s="589" t="str">
        <f t="shared" si="11"/>
        <v/>
      </c>
      <c r="AA26" s="589" t="str">
        <f t="shared" si="12"/>
        <v/>
      </c>
      <c r="AB26" s="129" t="str">
        <f t="shared" si="13"/>
        <v/>
      </c>
      <c r="AC26" s="521" t="str">
        <f t="shared" si="14"/>
        <v/>
      </c>
      <c r="AD26" s="129" t="str">
        <f t="shared" si="15"/>
        <v/>
      </c>
      <c r="AE26" s="849" t="str">
        <f t="shared" si="16"/>
        <v/>
      </c>
      <c r="AF26" s="602"/>
      <c r="BA26" s="78"/>
      <c r="BB26" s="132" t="s">
        <v>4033</v>
      </c>
      <c r="BC26" s="133"/>
      <c r="BD26" s="132" t="str">
        <f>IF(OR(C26="",BC26=""),"",COUNTIF(BC$8:BC26,"√"))</f>
        <v/>
      </c>
      <c r="BE26" s="134" t="str">
        <f t="shared" si="46"/>
        <v/>
      </c>
      <c r="BF26" s="135" t="str">
        <f t="shared" si="17"/>
        <v/>
      </c>
      <c r="BG26" s="135" t="str">
        <f t="shared" si="17"/>
        <v/>
      </c>
      <c r="BH26" s="136"/>
      <c r="BI26" s="136"/>
      <c r="BJ26" s="136"/>
      <c r="BK26" s="136"/>
      <c r="BL26" s="136"/>
      <c r="BM26" s="137"/>
      <c r="BN26" s="136"/>
      <c r="BO26" s="137"/>
      <c r="BP26" s="165" t="s">
        <v>2706</v>
      </c>
      <c r="BQ26" s="676"/>
      <c r="BR26" s="522">
        <f t="shared" si="2"/>
        <v>0</v>
      </c>
      <c r="BS26" s="850"/>
      <c r="BT26" s="850"/>
      <c r="BU26" s="851">
        <f t="shared" si="18"/>
        <v>0</v>
      </c>
      <c r="BV26" s="156">
        <f t="shared" si="19"/>
        <v>0</v>
      </c>
      <c r="BW26" s="156">
        <f t="shared" si="20"/>
        <v>0</v>
      </c>
      <c r="BX26" s="522">
        <f t="shared" si="3"/>
        <v>1</v>
      </c>
      <c r="BY26" s="852">
        <f>LOOKUP(BX26,参数表!$A$13:$B$19)</f>
        <v>0</v>
      </c>
      <c r="BZ26" s="156">
        <f t="shared" si="21"/>
        <v>0</v>
      </c>
      <c r="CA26" s="156">
        <f t="shared" si="22"/>
        <v>0</v>
      </c>
      <c r="CB26" s="522">
        <f t="shared" si="47"/>
        <v>125.582477754962</v>
      </c>
      <c r="CC26" s="676"/>
      <c r="CD26" s="853">
        <f t="shared" si="30"/>
        <v>0</v>
      </c>
      <c r="CE26" s="853">
        <f t="shared" si="23"/>
        <v>0</v>
      </c>
      <c r="CF26" s="853">
        <f t="shared" si="5"/>
        <v>0</v>
      </c>
      <c r="CG26" s="77"/>
      <c r="CH26" s="134" t="str">
        <f>IF(COUNTIF(CH$7:CH25,C26)&gt;0,"",C26)&amp;""</f>
        <v/>
      </c>
      <c r="CI26" s="138">
        <f t="shared" si="24"/>
        <v>0</v>
      </c>
      <c r="CJ26" s="132">
        <f t="shared" si="25"/>
        <v>1</v>
      </c>
      <c r="CK26" s="138">
        <f t="shared" si="26"/>
        <v>0</v>
      </c>
      <c r="CL26" s="132">
        <f t="shared" si="27"/>
        <v>1</v>
      </c>
      <c r="CM26" s="133"/>
      <c r="CN26" s="133"/>
      <c r="CO26" s="77"/>
    </row>
    <row r="27" s="542" customFormat="1" ht="15.75" customHeight="1" spans="1:93">
      <c r="A27" s="123" t="str">
        <f>IF(C27="","",COUNT(A$7:A26)+1)</f>
        <v/>
      </c>
      <c r="B27" s="606"/>
      <c r="C27" s="604"/>
      <c r="D27" s="606"/>
      <c r="E27" s="604"/>
      <c r="F27" s="607"/>
      <c r="G27" s="607"/>
      <c r="H27" s="607"/>
      <c r="I27" s="607"/>
      <c r="J27" s="607"/>
      <c r="K27" s="605"/>
      <c r="L27" s="126"/>
      <c r="M27" s="533"/>
      <c r="N27" s="127"/>
      <c r="O27" s="127" t="str">
        <f>IFERROR(VLOOKUP(N27,参数表!$H$2:$I$50,2,FALSE),"")</f>
        <v/>
      </c>
      <c r="P27" s="128" t="str">
        <f t="shared" si="7"/>
        <v/>
      </c>
      <c r="Q27" s="128" t="str">
        <f t="shared" si="8"/>
        <v/>
      </c>
      <c r="R27" s="129" t="str">
        <f t="shared" si="9"/>
        <v/>
      </c>
      <c r="S27" s="589"/>
      <c r="T27" s="589"/>
      <c r="U27" s="589"/>
      <c r="V27" s="590"/>
      <c r="W27" s="590"/>
      <c r="X27" s="590"/>
      <c r="Y27" s="589" t="str">
        <f t="shared" si="10"/>
        <v/>
      </c>
      <c r="Z27" s="589" t="str">
        <f t="shared" si="11"/>
        <v/>
      </c>
      <c r="AA27" s="589" t="str">
        <f t="shared" si="12"/>
        <v/>
      </c>
      <c r="AB27" s="129" t="str">
        <f t="shared" si="13"/>
        <v/>
      </c>
      <c r="AC27" s="521" t="str">
        <f t="shared" si="14"/>
        <v/>
      </c>
      <c r="AD27" s="129" t="str">
        <f t="shared" si="15"/>
        <v/>
      </c>
      <c r="AE27" s="849" t="str">
        <f t="shared" si="16"/>
        <v/>
      </c>
      <c r="AF27" s="607"/>
      <c r="BA27" s="78"/>
      <c r="BB27" s="132" t="s">
        <v>4034</v>
      </c>
      <c r="BC27" s="133"/>
      <c r="BD27" s="132" t="str">
        <f>IF(OR(C27="",BC27=""),"",COUNTIF(BC$8:BC27,"√"))</f>
        <v/>
      </c>
      <c r="BE27" s="134" t="str">
        <f t="shared" si="46"/>
        <v/>
      </c>
      <c r="BF27" s="135" t="str">
        <f t="shared" si="17"/>
        <v/>
      </c>
      <c r="BG27" s="135" t="str">
        <f t="shared" si="17"/>
        <v/>
      </c>
      <c r="BH27" s="136"/>
      <c r="BI27" s="136"/>
      <c r="BJ27" s="136"/>
      <c r="BK27" s="136"/>
      <c r="BL27" s="136"/>
      <c r="BM27" s="137"/>
      <c r="BN27" s="136"/>
      <c r="BO27" s="137"/>
      <c r="BP27" s="165" t="s">
        <v>2706</v>
      </c>
      <c r="BQ27" s="676"/>
      <c r="BR27" s="522">
        <f t="shared" si="2"/>
        <v>0</v>
      </c>
      <c r="BS27" s="850"/>
      <c r="BT27" s="850"/>
      <c r="BU27" s="851">
        <f t="shared" si="18"/>
        <v>0</v>
      </c>
      <c r="BV27" s="156">
        <f t="shared" si="19"/>
        <v>0</v>
      </c>
      <c r="BW27" s="156">
        <f t="shared" si="20"/>
        <v>0</v>
      </c>
      <c r="BX27" s="522">
        <f t="shared" si="3"/>
        <v>1</v>
      </c>
      <c r="BY27" s="852">
        <f>LOOKUP(BX27,参数表!$A$13:$B$19)</f>
        <v>0</v>
      </c>
      <c r="BZ27" s="156">
        <f t="shared" si="21"/>
        <v>0</v>
      </c>
      <c r="CA27" s="156">
        <f t="shared" si="22"/>
        <v>0</v>
      </c>
      <c r="CB27" s="522">
        <f t="shared" si="47"/>
        <v>125.582477754962</v>
      </c>
      <c r="CC27" s="676"/>
      <c r="CD27" s="853">
        <f t="shared" si="30"/>
        <v>0</v>
      </c>
      <c r="CE27" s="853">
        <f t="shared" si="23"/>
        <v>0</v>
      </c>
      <c r="CF27" s="853">
        <f t="shared" si="5"/>
        <v>0</v>
      </c>
      <c r="CG27" s="77"/>
      <c r="CH27" s="134" t="str">
        <f>IF(COUNTIF(CH$7:CH26,C27)&gt;0,"",C27)&amp;""</f>
        <v/>
      </c>
      <c r="CI27" s="138">
        <f t="shared" si="24"/>
        <v>0</v>
      </c>
      <c r="CJ27" s="132">
        <f t="shared" si="25"/>
        <v>1</v>
      </c>
      <c r="CK27" s="138">
        <f t="shared" si="26"/>
        <v>0</v>
      </c>
      <c r="CL27" s="132">
        <f t="shared" si="27"/>
        <v>1</v>
      </c>
      <c r="CM27" s="133"/>
      <c r="CN27" s="133"/>
      <c r="CO27" s="77"/>
    </row>
    <row r="28" s="543" customFormat="1" ht="15.75" customHeight="1" spans="1:93">
      <c r="A28" s="221" t="s">
        <v>1954</v>
      </c>
      <c r="B28" s="221"/>
      <c r="C28" s="221"/>
      <c r="D28" s="221"/>
      <c r="E28" s="221"/>
      <c r="F28" s="221"/>
      <c r="G28" s="621"/>
      <c r="H28" s="621"/>
      <c r="I28" s="621"/>
      <c r="J28" s="741"/>
      <c r="K28" s="612"/>
      <c r="L28" s="621"/>
      <c r="M28" s="621"/>
      <c r="N28" s="152"/>
      <c r="O28" s="152"/>
      <c r="P28" s="152"/>
      <c r="Q28" s="152"/>
      <c r="R28" s="152"/>
      <c r="S28" s="613">
        <f>SUM(S$8:S27)</f>
        <v>0</v>
      </c>
      <c r="T28" s="613">
        <f>SUM(T8:T27)</f>
        <v>0</v>
      </c>
      <c r="U28" s="613">
        <f>SUM(U8:U27)</f>
        <v>0</v>
      </c>
      <c r="V28" s="614"/>
      <c r="W28" s="614"/>
      <c r="X28" s="614"/>
      <c r="Y28" s="613">
        <f>SUM(Y$8:Y27)</f>
        <v>0</v>
      </c>
      <c r="Z28" s="613">
        <f>SUM(Z8:Z27)</f>
        <v>0</v>
      </c>
      <c r="AA28" s="613">
        <f>SUM(AA8:AA27)</f>
        <v>0</v>
      </c>
      <c r="AB28" s="613">
        <f>SUM(AB8:AB27)</f>
        <v>0</v>
      </c>
      <c r="AC28" s="854"/>
      <c r="AD28" s="613">
        <f>SUM(AD8:AD27)</f>
        <v>0</v>
      </c>
      <c r="AE28" s="855" t="str">
        <f t="shared" ref="AE28:AE30" si="48">IFERROR((AD28-(Z28-AA28))/(Z28-AA28)*100,"")</f>
        <v/>
      </c>
      <c r="AF28" s="856"/>
      <c r="CG28" s="111"/>
      <c r="CH28" s="119"/>
      <c r="CI28" s="77"/>
      <c r="CJ28" s="77"/>
      <c r="CK28" s="77"/>
      <c r="CL28" s="119"/>
      <c r="CM28" s="119"/>
      <c r="CN28" s="119"/>
      <c r="CO28" s="111"/>
    </row>
    <row r="29" s="544" customFormat="1" ht="15.75" customHeight="1" spans="1:93">
      <c r="A29" s="124" t="s">
        <v>3434</v>
      </c>
      <c r="B29" s="124"/>
      <c r="C29" s="124"/>
      <c r="D29" s="124"/>
      <c r="E29" s="124"/>
      <c r="F29" s="124"/>
      <c r="G29" s="620"/>
      <c r="H29" s="620"/>
      <c r="I29" s="620"/>
      <c r="J29" s="620"/>
      <c r="K29" s="620"/>
      <c r="L29" s="857"/>
      <c r="M29" s="857"/>
      <c r="N29" s="129"/>
      <c r="O29" s="129"/>
      <c r="P29" s="129"/>
      <c r="Q29" s="129"/>
      <c r="R29" s="129"/>
      <c r="S29" s="613"/>
      <c r="T29" s="613">
        <f>U28</f>
        <v>0</v>
      </c>
      <c r="U29" s="613"/>
      <c r="V29" s="614"/>
      <c r="W29" s="614"/>
      <c r="X29" s="614"/>
      <c r="Y29" s="613"/>
      <c r="Z29" s="613">
        <f>AA28</f>
        <v>0</v>
      </c>
      <c r="AA29" s="613"/>
      <c r="AB29" s="613"/>
      <c r="AC29" s="858"/>
      <c r="AD29" s="859"/>
      <c r="AE29" s="855" t="str">
        <f t="shared" si="48"/>
        <v/>
      </c>
      <c r="AF29" s="619"/>
      <c r="CG29" s="77"/>
      <c r="CH29" s="78"/>
      <c r="CI29" s="77"/>
      <c r="CJ29" s="78"/>
      <c r="CK29" s="78"/>
      <c r="CL29" s="78"/>
      <c r="CM29" s="78"/>
      <c r="CN29" s="78"/>
      <c r="CO29" s="77"/>
    </row>
    <row r="30" s="543" customFormat="1" ht="15.75" customHeight="1" spans="1:93">
      <c r="A30" s="221" t="s">
        <v>1957</v>
      </c>
      <c r="B30" s="221"/>
      <c r="C30" s="221"/>
      <c r="D30" s="221"/>
      <c r="E30" s="221"/>
      <c r="F30" s="221"/>
      <c r="G30" s="621"/>
      <c r="H30" s="621"/>
      <c r="I30" s="621"/>
      <c r="J30" s="741"/>
      <c r="K30" s="612"/>
      <c r="L30" s="621"/>
      <c r="M30" s="621"/>
      <c r="N30" s="152"/>
      <c r="O30" s="152"/>
      <c r="P30" s="152"/>
      <c r="Q30" s="152"/>
      <c r="R30" s="152"/>
      <c r="S30" s="613">
        <f>S28-S29</f>
        <v>0</v>
      </c>
      <c r="T30" s="613">
        <f>T28-T29</f>
        <v>0</v>
      </c>
      <c r="U30" s="613"/>
      <c r="V30" s="614"/>
      <c r="W30" s="614"/>
      <c r="X30" s="614"/>
      <c r="Y30" s="613">
        <f>Y28-Y29</f>
        <v>0</v>
      </c>
      <c r="Z30" s="613">
        <f>Z28-Z29</f>
        <v>0</v>
      </c>
      <c r="AA30" s="613"/>
      <c r="AB30" s="613">
        <f>AB28-AB29</f>
        <v>0</v>
      </c>
      <c r="AC30" s="854"/>
      <c r="AD30" s="613">
        <f>AD28-AD29</f>
        <v>0</v>
      </c>
      <c r="AE30" s="855" t="str">
        <f t="shared" si="48"/>
        <v/>
      </c>
      <c r="AF30" s="856"/>
      <c r="CG30" s="77"/>
      <c r="CH30" s="78"/>
      <c r="CI30" s="77"/>
      <c r="CJ30" s="78"/>
      <c r="CK30" s="78"/>
      <c r="CL30" s="78"/>
      <c r="CM30" s="78"/>
      <c r="CN30" s="78"/>
      <c r="CO30" s="77"/>
    </row>
    <row r="31" customHeight="1" spans="1:93">
      <c r="A31" s="624" t="str">
        <f>参数表!F$6</f>
        <v>产权持有单位填表人：贾广东</v>
      </c>
      <c r="B31" s="860"/>
      <c r="C31" s="624"/>
      <c r="D31" s="624"/>
      <c r="E31" s="624"/>
      <c r="F31" s="624"/>
      <c r="G31" s="624"/>
      <c r="H31" s="624"/>
      <c r="I31" s="624"/>
      <c r="J31" s="624"/>
      <c r="K31" s="624"/>
      <c r="L31" s="860"/>
      <c r="M31" s="860"/>
      <c r="N31" s="103"/>
      <c r="O31" s="103"/>
      <c r="P31" s="103"/>
      <c r="Q31" s="103"/>
      <c r="R31" s="103"/>
      <c r="S31" s="625"/>
      <c r="T31" s="625"/>
      <c r="U31" s="625"/>
      <c r="V31" s="626"/>
      <c r="W31" s="626"/>
      <c r="X31" s="626"/>
      <c r="Y31" s="625"/>
      <c r="Z31" s="625"/>
      <c r="AA31" s="625"/>
      <c r="AB31" s="625" t="str">
        <f>沟槽!AD31</f>
        <v>评估人员：</v>
      </c>
      <c r="AC31" s="627"/>
      <c r="AD31" s="625"/>
      <c r="AE31" s="627"/>
      <c r="AF31" s="624"/>
      <c r="BA31" s="548"/>
    </row>
    <row r="32" customHeight="1" spans="1:93">
      <c r="A32" s="624" t="str">
        <f>参数表!F$7</f>
        <v>填表日期：2025年9月20日</v>
      </c>
      <c r="B32" s="860"/>
      <c r="C32" s="624"/>
      <c r="D32" s="624"/>
      <c r="E32" s="624"/>
      <c r="F32" s="624"/>
      <c r="G32" s="624"/>
      <c r="H32" s="624"/>
      <c r="I32" s="624"/>
      <c r="J32" s="624"/>
      <c r="K32" s="624"/>
      <c r="L32" s="860"/>
      <c r="M32" s="860"/>
      <c r="N32" s="103"/>
      <c r="O32" s="103"/>
      <c r="P32" s="103"/>
      <c r="Q32" s="103"/>
      <c r="R32" s="103"/>
      <c r="S32" s="625"/>
      <c r="T32" s="625"/>
      <c r="U32" s="625"/>
      <c r="V32" s="626"/>
      <c r="W32" s="626"/>
      <c r="X32" s="626"/>
      <c r="Y32" s="625"/>
      <c r="Z32" s="625"/>
      <c r="AA32" s="625"/>
      <c r="AB32" s="625"/>
      <c r="AC32" s="627"/>
      <c r="AD32" s="625"/>
      <c r="AE32" s="627"/>
      <c r="AF32" s="624"/>
      <c r="BA32" s="548"/>
    </row>
    <row r="33" hidden="1" customHeight="1" outlineLevel="1" spans="3:53">
      <c r="C33" s="154" t="s">
        <v>1673</v>
      </c>
      <c r="N33" s="176"/>
      <c r="O33" s="176"/>
      <c r="P33" s="176"/>
      <c r="Q33" s="176"/>
      <c r="R33" s="176"/>
      <c r="S33" s="628">
        <f>SUMIF($BA8:$BA27,$BA33,S8:S27)</f>
        <v>0</v>
      </c>
      <c r="T33" s="628">
        <f t="shared" ref="T33:U33" si="49">SUMIF($BA8:$BA27,$BA33,T8:T27)</f>
        <v>0</v>
      </c>
      <c r="U33" s="628">
        <f t="shared" si="49"/>
        <v>0</v>
      </c>
      <c r="Y33" s="628">
        <f t="shared" ref="Y33:AB33" si="50">SUMIF($BA8:$BA27,$BA33,Y8:Y27)</f>
        <v>0</v>
      </c>
      <c r="Z33" s="628">
        <f t="shared" si="50"/>
        <v>0</v>
      </c>
      <c r="AA33" s="628">
        <f t="shared" si="50"/>
        <v>0</v>
      </c>
      <c r="AB33" s="628">
        <f t="shared" si="50"/>
        <v>0</v>
      </c>
      <c r="AD33" s="628">
        <f>SUMIF($BA8:$BA27,$BA33,AD8:AD27)</f>
        <v>0</v>
      </c>
      <c r="BA33" s="161" t="s">
        <v>1674</v>
      </c>
    </row>
    <row r="34" hidden="1" customHeight="1" outlineLevel="1" spans="3:53">
      <c r="C34" s="154" t="s">
        <v>1676</v>
      </c>
      <c r="N34" s="176"/>
      <c r="O34" s="176"/>
      <c r="P34" s="176"/>
      <c r="Q34" s="176"/>
      <c r="R34" s="176"/>
      <c r="S34" s="628">
        <f>S28-S33</f>
        <v>0</v>
      </c>
      <c r="T34" s="628">
        <f t="shared" ref="T34:U34" si="51">T28-T33</f>
        <v>0</v>
      </c>
      <c r="U34" s="628">
        <f t="shared" si="51"/>
        <v>0</v>
      </c>
      <c r="Y34" s="628">
        <f t="shared" ref="Y34:AB34" si="52">Y28-Y33</f>
        <v>0</v>
      </c>
      <c r="Z34" s="628">
        <f t="shared" si="52"/>
        <v>0</v>
      </c>
      <c r="AA34" s="628">
        <f t="shared" si="52"/>
        <v>0</v>
      </c>
      <c r="AB34" s="628">
        <f t="shared" si="52"/>
        <v>0</v>
      </c>
      <c r="AD34" s="628">
        <f>AD28-AD33</f>
        <v>0</v>
      </c>
      <c r="BA34" s="161" t="s">
        <v>1677</v>
      </c>
    </row>
    <row r="35" customHeight="1" collapsed="1"/>
  </sheetData>
  <mergeCells count="39">
    <mergeCell ref="A2:AF2"/>
    <mergeCell ref="A3:AF3"/>
    <mergeCell ref="N6:R6"/>
    <mergeCell ref="S6:U6"/>
    <mergeCell ref="V6:X6"/>
    <mergeCell ref="Y6:AA6"/>
    <mergeCell ref="AB6:AD6"/>
    <mergeCell ref="BP6:BQ6"/>
    <mergeCell ref="CM8:CO8"/>
    <mergeCell ref="CM9:CO9"/>
    <mergeCell ref="CN15:CO15"/>
    <mergeCell ref="A28:F28"/>
    <mergeCell ref="A29:F29"/>
    <mergeCell ref="A30:F30"/>
    <mergeCell ref="A6:A7"/>
    <mergeCell ref="B6:B7"/>
    <mergeCell ref="C6:C7"/>
    <mergeCell ref="D6:D7"/>
    <mergeCell ref="E6:E7"/>
    <mergeCell ref="F6:F7"/>
    <mergeCell ref="G6:G7"/>
    <mergeCell ref="H6:H7"/>
    <mergeCell ref="I6:I7"/>
    <mergeCell ref="J6:J7"/>
    <mergeCell ref="K6:K7"/>
    <mergeCell ref="L6:L7"/>
    <mergeCell ref="M6:M7"/>
    <mergeCell ref="AE6:AE7"/>
    <mergeCell ref="AF6:AF7"/>
    <mergeCell ref="BF6:BF7"/>
    <mergeCell ref="BG6:BG7"/>
    <mergeCell ref="BH6:BH7"/>
    <mergeCell ref="BI6:BI7"/>
    <mergeCell ref="BJ6:BJ7"/>
    <mergeCell ref="BK6:BK7"/>
    <mergeCell ref="BL6:BL7"/>
    <mergeCell ref="BM6:BM7"/>
    <mergeCell ref="BN6:BN7"/>
    <mergeCell ref="BO6:BO7"/>
  </mergeCells>
  <conditionalFormatting sqref="BM8:BM27">
    <cfRule type="expression" dxfId="5" priority="3" stopIfTrue="1">
      <formula>AND(BL8="无",BM8="")</formula>
    </cfRule>
  </conditionalFormatting>
  <conditionalFormatting sqref="BF8:BG27">
    <cfRule type="containsText" dxfId="6" priority="1" stopIfTrue="1" operator="between" text="出错">
      <formula>NOT(ISERROR(SEARCH("出错",BF8)))</formula>
    </cfRule>
  </conditionalFormatting>
  <conditionalFormatting sqref="BH8:BL27 BN8:BN27">
    <cfRule type="expression" dxfId="5" priority="4" stopIfTrue="1">
      <formula>AND($C8&lt;&gt;"",BH8="")</formula>
    </cfRule>
  </conditionalFormatting>
  <dataValidations count="9">
    <dataValidation allowBlank="1" showErrorMessage="1" promptTitle="请注意:" prompt="规格型号务必按照设备铭牌填写!" sqref="G6:I6 G7:H7"/>
    <dataValidation allowBlank="1" showInputMessage="1" showErrorMessage="1" error="请输入日期格式：如2009-06" promptTitle="注：" prompt="日期格式为：年-月" sqref="K8 K27" errorStyle="warning"/>
    <dataValidation allowBlank="1" showInputMessage="1" showErrorMessage="1" prompt="请填写资产的具体使用及存放部门！" sqref="D6:D7"/>
    <dataValidation allowBlank="1" showInputMessage="1" showErrorMessage="1" promptTitle="请注意:" prompt="规格型号务必按照设备铭牌填写!" sqref="F6:F7"/>
    <dataValidation type="list" allowBlank="1" showInputMessage="1" showErrorMessage="1" sqref="N8:N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N8:BN27 BH8:BL27">
      <formula1>BH$34:BH$35</formula1>
    </dataValidation>
    <dataValidation type="list" allowBlank="1" showInputMessage="1" showErrorMessage="1" sqref="BP8:BP27">
      <formula1>"成本法,收益法,市场法"</formula1>
    </dataValidation>
  </dataValidations>
  <hyperlinks>
    <hyperlink ref="A1" location="索引目录!E46" display="返回索引页"/>
    <hyperlink ref="C1" location="固定资产汇总!B14" display="返回"/>
  </hyperlinks>
  <pageMargins left="0.708661417322835" right="0.708661417322835" top="0.748031496062992" bottom="0.748031496062992" header="0.31496062992126" footer="0.31496062992126"/>
  <pageSetup paperSize="9" orientation="landscape" blackAndWhite="1"/>
  <headerFooter/>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2"/>
  <dimension ref="A1:DN157"/>
  <sheetViews>
    <sheetView workbookViewId="0">
      <pane xSplit="3" ySplit="8" topLeftCell="X133" activePane="bottomRight" state="frozen"/>
      <selection/>
      <selection pane="topRight"/>
      <selection pane="bottomLeft"/>
      <selection pane="bottomRight" activeCell="AA152" sqref="AA152:AA154"/>
    </sheetView>
  </sheetViews>
  <sheetFormatPr defaultColWidth="9" defaultRowHeight="15.75" customHeight="1"/>
  <cols>
    <col min="1" max="1" width="4.7" style="74" customWidth="1"/>
    <col min="2" max="2" width="8.7" style="165" hidden="1" customWidth="1"/>
    <col min="3" max="4" width="10.7" style="75" customWidth="1"/>
    <col min="5" max="6" width="7.5" style="75" hidden="1" customWidth="1" outlineLevel="1"/>
    <col min="7" max="8" width="7.5" style="165" hidden="1" customWidth="1" outlineLevel="1"/>
    <col min="9" max="9" width="10.7" style="75" customWidth="1" collapsed="1"/>
    <col min="10" max="11" width="4.7" style="165" customWidth="1"/>
    <col min="12" max="12" width="8.1" style="165" customWidth="1"/>
    <col min="13" max="13" width="13.8" style="165" customWidth="1"/>
    <col min="14" max="15" width="4.6" style="75" customWidth="1" outlineLevel="1"/>
    <col min="16" max="18" width="6.1" style="75" customWidth="1" outlineLevel="1"/>
    <col min="19" max="20" width="10.7" style="75" customWidth="1" outlineLevel="1"/>
    <col min="21" max="21" width="7.7" style="75" customWidth="1" outlineLevel="1"/>
    <col min="22" max="24" width="10.7" style="76" customWidth="1" outlineLevel="1"/>
    <col min="25" max="26" width="9.7" style="75" customWidth="1"/>
    <col min="27" max="27" width="7.5" style="75" customWidth="1"/>
    <col min="28" max="28" width="9.7" style="75" customWidth="1"/>
    <col min="29" max="29" width="5.7" style="75" customWidth="1"/>
    <col min="30" max="32" width="9.7" style="75" customWidth="1"/>
    <col min="33" max="33" width="5.6" style="75" customWidth="1"/>
    <col min="34" max="34" width="8.4" style="75" customWidth="1"/>
    <col min="35" max="54" width="9" style="75" hidden="1" customWidth="1" outlineLevel="1"/>
    <col min="55" max="55" width="14.7" style="75" customWidth="1" collapsed="1"/>
    <col min="56" max="56" width="6.7" style="75" customWidth="1"/>
    <col min="57" max="57" width="6" style="75" customWidth="1"/>
    <col min="58" max="58" width="5.2" style="776" hidden="1" customWidth="1"/>
    <col min="59" max="59" width="9" style="75" hidden="1" customWidth="1"/>
    <col min="60" max="61" width="10.5" style="75" hidden="1" customWidth="1"/>
    <col min="62" max="62" width="4.7" style="165" hidden="1" customWidth="1"/>
    <col min="63" max="63" width="11.5" style="75" hidden="1" customWidth="1"/>
    <col min="64" max="67" width="4.7" style="165" hidden="1" customWidth="1"/>
    <col min="68" max="68" width="10.3" style="75" hidden="1" customWidth="1"/>
    <col min="69" max="69" width="4.7" style="165" hidden="1" customWidth="1"/>
    <col min="70" max="70" width="8.7" style="75" hidden="1" customWidth="1"/>
    <col min="71" max="74" width="9" style="75"/>
    <col min="75" max="75" width="9.8" style="75" customWidth="1"/>
    <col min="76" max="76" width="8.7" style="75" customWidth="1"/>
    <col min="77" max="77" width="9" style="75"/>
    <col min="78" max="79" width="11.3" style="75" customWidth="1"/>
    <col min="80" max="81" width="9" style="165"/>
    <col min="82" max="82" width="10.4" style="75" customWidth="1"/>
    <col min="83" max="83" width="10.1" style="75" customWidth="1"/>
    <col min="84" max="101" width="9" style="75"/>
    <col min="102" max="102" width="11.7" style="75" customWidth="1"/>
    <col min="103" max="107" width="9" style="75"/>
    <col min="108" max="108" width="1.6" style="77" customWidth="1"/>
    <col min="109" max="109" width="10.6" style="78" customWidth="1"/>
    <col min="110" max="110" width="10.6" style="77" customWidth="1"/>
    <col min="111" max="111" width="4.6" style="78" customWidth="1"/>
    <col min="112" max="112" width="10.6" style="78" customWidth="1"/>
    <col min="113" max="114" width="4.6" style="78" customWidth="1"/>
    <col min="115" max="115" width="10.6" style="78" customWidth="1"/>
    <col min="116" max="116" width="5" style="77" customWidth="1"/>
    <col min="117" max="117" width="9" style="75"/>
    <col min="118" max="118" width="17.7" style="75" customWidth="1"/>
    <col min="119" max="16384" width="9" style="75"/>
  </cols>
  <sheetData>
    <row r="1" s="86" customFormat="1" ht="13.8" spans="1:118">
      <c r="A1" s="203" t="s">
        <v>1591</v>
      </c>
      <c r="B1" s="495" t="s">
        <v>1592</v>
      </c>
      <c r="C1" s="82"/>
      <c r="D1" s="82"/>
      <c r="E1" s="82"/>
      <c r="F1" s="82"/>
      <c r="G1" s="82"/>
      <c r="H1" s="82"/>
      <c r="I1" s="82"/>
      <c r="J1" s="82"/>
      <c r="K1" s="82"/>
      <c r="L1" s="82"/>
      <c r="M1" s="82"/>
      <c r="N1" s="82"/>
      <c r="O1" s="82"/>
      <c r="P1" s="82"/>
      <c r="Q1" s="82"/>
      <c r="R1" s="82"/>
      <c r="S1" s="82"/>
      <c r="T1" s="82"/>
      <c r="U1" s="82"/>
      <c r="V1" s="205"/>
      <c r="W1" s="205"/>
      <c r="X1" s="205"/>
      <c r="Y1" s="82"/>
      <c r="Z1" s="82"/>
      <c r="AA1" s="82"/>
      <c r="AB1" s="82"/>
      <c r="AC1" s="82"/>
      <c r="AD1" s="82"/>
      <c r="AE1" s="82"/>
      <c r="AF1" s="82"/>
      <c r="AG1" s="82"/>
      <c r="AH1" s="82"/>
      <c r="BC1" s="84" t="str">
        <f>参数表!BA1</f>
        <v>注意：补充特殊事项、作价等均从BA列开始填写</v>
      </c>
      <c r="BD1" s="85"/>
      <c r="BF1" s="777"/>
      <c r="BJ1" s="82"/>
      <c r="BL1" s="82"/>
      <c r="BM1" s="82"/>
      <c r="BN1" s="82"/>
      <c r="BO1" s="82"/>
      <c r="BQ1" s="82"/>
      <c r="BS1" s="158"/>
      <c r="BT1" s="158"/>
      <c r="BU1" s="158"/>
      <c r="BV1" s="158"/>
      <c r="BW1" s="158"/>
      <c r="BX1" s="158"/>
      <c r="BY1" s="158"/>
      <c r="BZ1" s="158"/>
      <c r="CA1" s="158"/>
      <c r="CB1" s="228"/>
      <c r="CC1" s="228"/>
      <c r="DD1" s="87"/>
      <c r="DE1" s="88"/>
      <c r="DF1" s="87"/>
      <c r="DG1" s="88"/>
      <c r="DH1" s="88"/>
      <c r="DI1" s="88"/>
      <c r="DJ1" s="88"/>
      <c r="DK1" s="88"/>
      <c r="DL1" s="87"/>
    </row>
    <row r="2" s="71" customFormat="1" ht="30" customHeight="1" spans="1:118">
      <c r="A2" s="89" t="s">
        <v>4035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BC2" s="90" t="str">
        <f>参数表!BA2</f>
        <v>评估基准日：</v>
      </c>
      <c r="BD2" s="91" t="str">
        <f>参数表!BB2</f>
        <v>2025年7月31日</v>
      </c>
      <c r="BF2" s="778"/>
      <c r="BJ2" s="171"/>
      <c r="BL2" s="171"/>
      <c r="BM2" s="171"/>
      <c r="BN2" s="171"/>
      <c r="BO2" s="171"/>
      <c r="BQ2" s="171"/>
      <c r="BS2" s="75"/>
      <c r="BT2" s="75"/>
      <c r="BU2" s="75"/>
      <c r="BV2" s="75"/>
      <c r="BW2" s="75"/>
      <c r="BX2" s="75"/>
      <c r="BY2" s="75"/>
      <c r="BZ2" s="75"/>
      <c r="CA2" s="75"/>
      <c r="CB2" s="165"/>
      <c r="CC2" s="165"/>
      <c r="DD2" s="92"/>
      <c r="DE2" s="93"/>
      <c r="DF2" s="92"/>
      <c r="DG2" s="93"/>
      <c r="DH2" s="93"/>
      <c r="DI2" s="93"/>
      <c r="DJ2" s="93"/>
      <c r="DK2" s="93"/>
      <c r="DL2" s="92"/>
    </row>
    <row r="3" ht="15" customHeight="1" spans="1:118">
      <c r="A3" s="94" t="str">
        <f>参数表!F5</f>
        <v>评估基准日：2025年7月31日</v>
      </c>
      <c r="B3" s="94"/>
      <c r="C3" s="94"/>
      <c r="D3" s="94"/>
      <c r="E3" s="94"/>
      <c r="F3" s="94"/>
      <c r="G3" s="94"/>
      <c r="H3" s="94"/>
      <c r="I3" s="94"/>
      <c r="J3" s="94"/>
      <c r="K3" s="94"/>
      <c r="L3" s="95"/>
      <c r="M3" s="95"/>
      <c r="N3" s="95"/>
      <c r="O3" s="95"/>
      <c r="P3" s="95"/>
      <c r="Q3" s="95"/>
      <c r="R3" s="95"/>
      <c r="S3" s="95"/>
      <c r="T3" s="95"/>
      <c r="U3" s="95"/>
      <c r="V3" s="95"/>
      <c r="W3" s="95"/>
      <c r="X3" s="95"/>
      <c r="Y3" s="95"/>
      <c r="Z3" s="95"/>
      <c r="AA3" s="95"/>
      <c r="AB3" s="95"/>
      <c r="AC3" s="95"/>
      <c r="AD3" s="95"/>
      <c r="AE3" s="95"/>
      <c r="AF3" s="95"/>
      <c r="AG3" s="95"/>
      <c r="AH3" s="95"/>
      <c r="BC3" s="90" t="str">
        <f>参数表!BA3</f>
        <v>是否显示评估值：</v>
      </c>
      <c r="BD3" s="90" t="str">
        <f>参数表!BB3</f>
        <v>是</v>
      </c>
      <c r="DD3" s="92"/>
      <c r="DE3" s="93"/>
      <c r="DF3" s="92"/>
      <c r="DG3" s="93"/>
      <c r="DH3" s="93"/>
      <c r="DI3" s="93"/>
      <c r="DJ3" s="93"/>
      <c r="DK3" s="93"/>
      <c r="DL3" s="92"/>
    </row>
    <row r="4" ht="15" customHeight="1" spans="1:118">
      <c r="A4" s="96"/>
      <c r="B4" s="94"/>
      <c r="C4" s="94"/>
      <c r="D4" s="94"/>
      <c r="E4" s="94"/>
      <c r="F4" s="94"/>
      <c r="G4" s="94"/>
      <c r="H4" s="94"/>
      <c r="I4" s="94"/>
      <c r="J4" s="94"/>
      <c r="K4" s="94"/>
      <c r="L4" s="95"/>
      <c r="M4" s="95"/>
      <c r="N4" s="94"/>
      <c r="O4" s="94"/>
      <c r="P4" s="94"/>
      <c r="Q4" s="94"/>
      <c r="R4" s="94"/>
      <c r="S4" s="98"/>
      <c r="T4" s="95"/>
      <c r="U4" s="95"/>
      <c r="V4" s="206"/>
      <c r="W4" s="206"/>
      <c r="X4" s="206"/>
      <c r="Y4" s="95"/>
      <c r="Z4" s="95"/>
      <c r="AA4" s="95"/>
      <c r="AB4" s="95"/>
      <c r="AC4" s="95"/>
      <c r="AD4" s="95"/>
      <c r="AE4" s="95"/>
      <c r="AF4" s="95"/>
      <c r="AG4" s="95"/>
      <c r="AH4" s="98" t="str">
        <f>"表"&amp;$BC4</f>
        <v>表4-10-6</v>
      </c>
      <c r="BC4" s="274" t="str">
        <f>固定资产总!A16</f>
        <v>4-10-6</v>
      </c>
      <c r="BD4" s="100">
        <f>MAX(COUNTA(A8:A134),COUNTA(B8:B134),COUNTA(S8:S134),COUNTA(T8:T134))</f>
        <v>127</v>
      </c>
      <c r="BE4" s="101">
        <f>ROW(A7)+1</f>
        <v>8</v>
      </c>
      <c r="BF4" s="77"/>
      <c r="BG4" s="77"/>
      <c r="DF4" s="78"/>
    </row>
    <row r="5" ht="15" customHeight="1" spans="1:118">
      <c r="A5" s="102" t="str">
        <f>参数表!F3</f>
        <v>产权持有单位:中煤第五建设有限公司</v>
      </c>
      <c r="B5" s="95"/>
      <c r="C5" s="103"/>
      <c r="D5" s="103"/>
      <c r="E5" s="103"/>
      <c r="F5" s="103"/>
      <c r="G5" s="95"/>
      <c r="H5" s="95"/>
      <c r="I5" s="103"/>
      <c r="J5" s="95"/>
      <c r="K5" s="95"/>
      <c r="L5" s="95"/>
      <c r="M5" s="95"/>
      <c r="N5" s="103"/>
      <c r="O5" s="103"/>
      <c r="P5" s="103"/>
      <c r="Q5" s="103"/>
      <c r="R5" s="103"/>
      <c r="S5" s="103"/>
      <c r="T5" s="103"/>
      <c r="U5" s="103"/>
      <c r="V5" s="104"/>
      <c r="W5" s="104"/>
      <c r="X5" s="104"/>
      <c r="Y5" s="103"/>
      <c r="Z5" s="103"/>
      <c r="AA5" s="103"/>
      <c r="AB5" s="103"/>
      <c r="AC5" s="103"/>
      <c r="AD5" s="103"/>
      <c r="AE5" s="103"/>
      <c r="AF5" s="103"/>
      <c r="AG5" s="103"/>
      <c r="AH5" s="98" t="s">
        <v>236</v>
      </c>
      <c r="BC5" s="103"/>
      <c r="BD5" s="105" t="str">
        <f ca="1">判断表!C71</f>
        <v>中煤第五建设有限公司第三工程处拟处置实物资产项目\[0000-3基础法明细表.xlsx]机器</v>
      </c>
      <c r="BE5" s="106">
        <f>IFERROR(SUMIF(BE8:BE134,"√",Y8:Y134)/Y135,0)</f>
        <v>0</v>
      </c>
      <c r="BF5" s="107"/>
      <c r="BG5" s="107"/>
      <c r="BH5" s="108">
        <f>房屋!BF5</f>
        <v>0</v>
      </c>
      <c r="BI5" s="108">
        <f>房屋!BG5</f>
        <v>0</v>
      </c>
      <c r="BJ5" s="109"/>
      <c r="BK5" s="109"/>
      <c r="BL5" s="109"/>
      <c r="BM5" s="109"/>
      <c r="BN5" s="109"/>
      <c r="BO5" s="109"/>
      <c r="BP5" s="110"/>
      <c r="BQ5" s="109"/>
      <c r="BR5" s="110"/>
      <c r="DF5" s="78"/>
    </row>
    <row r="6" s="72" customFormat="1" ht="15" customHeight="1" spans="1:118">
      <c r="A6" s="112" t="s">
        <v>305</v>
      </c>
      <c r="B6" s="113" t="s">
        <v>4036</v>
      </c>
      <c r="C6" s="118" t="s">
        <v>4037</v>
      </c>
      <c r="D6" s="118" t="s">
        <v>2175</v>
      </c>
      <c r="E6" s="528" t="s">
        <v>3686</v>
      </c>
      <c r="F6" s="193" t="s">
        <v>4038</v>
      </c>
      <c r="G6" s="193" t="s">
        <v>3688</v>
      </c>
      <c r="H6" s="529" t="s">
        <v>3689</v>
      </c>
      <c r="I6" s="118" t="s">
        <v>4039</v>
      </c>
      <c r="J6" s="118" t="s">
        <v>2176</v>
      </c>
      <c r="K6" s="118" t="s">
        <v>1637</v>
      </c>
      <c r="L6" s="118" t="s">
        <v>4040</v>
      </c>
      <c r="M6" s="118" t="s">
        <v>2750</v>
      </c>
      <c r="N6" s="511" t="s">
        <v>1964</v>
      </c>
      <c r="O6" s="512"/>
      <c r="P6" s="512"/>
      <c r="Q6" s="512"/>
      <c r="R6" s="513"/>
      <c r="S6" s="514" t="s">
        <v>1549</v>
      </c>
      <c r="T6" s="189"/>
      <c r="U6" s="190"/>
      <c r="V6" s="515" t="s">
        <v>1634</v>
      </c>
      <c r="W6" s="516"/>
      <c r="X6" s="517"/>
      <c r="Y6" s="514" t="s">
        <v>1523</v>
      </c>
      <c r="Z6" s="189"/>
      <c r="AA6" s="190"/>
      <c r="AB6" s="514" t="s">
        <v>1550</v>
      </c>
      <c r="AC6" s="189"/>
      <c r="AD6" s="189"/>
      <c r="AE6" s="189"/>
      <c r="AF6" s="190"/>
      <c r="AG6" s="118" t="s">
        <v>1551</v>
      </c>
      <c r="AH6" s="118" t="s">
        <v>308</v>
      </c>
      <c r="BC6" s="191"/>
      <c r="BD6" s="100"/>
      <c r="BE6" s="100"/>
      <c r="BF6" s="100"/>
      <c r="BG6" s="100"/>
      <c r="BH6" s="192" t="s">
        <v>1639</v>
      </c>
      <c r="BI6" s="192" t="s">
        <v>1640</v>
      </c>
      <c r="BJ6" s="118" t="s">
        <v>1748</v>
      </c>
      <c r="BK6" s="118" t="s">
        <v>4041</v>
      </c>
      <c r="BL6" s="118" t="s">
        <v>3695</v>
      </c>
      <c r="BM6" s="118" t="s">
        <v>1712</v>
      </c>
      <c r="BN6" s="118" t="s">
        <v>3696</v>
      </c>
      <c r="BO6" s="118" t="s">
        <v>1641</v>
      </c>
      <c r="BP6" s="118" t="s">
        <v>2209</v>
      </c>
      <c r="BQ6" s="118" t="s">
        <v>3697</v>
      </c>
      <c r="BR6" s="118" t="s">
        <v>1644</v>
      </c>
      <c r="BS6" s="185" t="s">
        <v>4042</v>
      </c>
      <c r="BT6" s="530">
        <f>DATE(YEAR(BD2),MONTH(BD2),DAY(BD2))</f>
        <v>45869</v>
      </c>
      <c r="BU6" s="191"/>
      <c r="BV6" s="191"/>
      <c r="BW6" s="191"/>
      <c r="BX6" s="779">
        <f>LOOKUP(BT6,基础数据!A:D)</f>
        <v>3.55771976932645</v>
      </c>
      <c r="BY6" s="191"/>
      <c r="BZ6" s="191" t="s">
        <v>3698</v>
      </c>
      <c r="CA6" s="191"/>
      <c r="CB6" s="743">
        <v>0.13</v>
      </c>
      <c r="CC6" s="191"/>
      <c r="CD6" s="191"/>
      <c r="CE6" s="191"/>
      <c r="CF6" s="743">
        <f>参数表!$E$16</f>
        <v>0</v>
      </c>
      <c r="CG6" s="780"/>
      <c r="CH6" s="191"/>
      <c r="CI6" s="743">
        <f>参数表!$E$17</f>
        <v>0</v>
      </c>
      <c r="CJ6" s="780"/>
      <c r="CK6" s="191"/>
      <c r="CL6" s="743">
        <f>参数表!$E$15</f>
        <v>0</v>
      </c>
      <c r="CM6" s="780"/>
      <c r="CN6" s="191"/>
      <c r="CO6" s="743">
        <f>参数表!$E$18</f>
        <v>0</v>
      </c>
      <c r="CP6" s="780"/>
      <c r="CQ6" s="780"/>
      <c r="CR6" s="780"/>
      <c r="CS6" s="191"/>
      <c r="CT6" s="191"/>
      <c r="CU6" s="781">
        <v>0</v>
      </c>
      <c r="CV6" s="780"/>
      <c r="CW6" s="191"/>
      <c r="CX6" s="191"/>
      <c r="CY6" s="191" t="str">
        <f>$BD$2</f>
        <v>2025年7月31日</v>
      </c>
      <c r="CZ6" s="781"/>
      <c r="DA6" s="191">
        <v>0.4</v>
      </c>
      <c r="DB6" s="191">
        <v>0.6</v>
      </c>
      <c r="DC6" s="191"/>
      <c r="DD6" s="111"/>
      <c r="DE6" s="78"/>
      <c r="DF6" s="78"/>
      <c r="DG6" s="78"/>
      <c r="DH6" s="78"/>
      <c r="DI6" s="78"/>
      <c r="DJ6" s="78"/>
      <c r="DK6" s="194"/>
      <c r="DL6" s="111"/>
    </row>
    <row r="7" s="72" customFormat="1" ht="15" customHeight="1" spans="1:118">
      <c r="A7" s="195"/>
      <c r="B7" s="149"/>
      <c r="C7" s="149"/>
      <c r="D7" s="149"/>
      <c r="E7" s="531"/>
      <c r="F7" s="198"/>
      <c r="G7" s="198"/>
      <c r="H7" s="532"/>
      <c r="I7" s="149"/>
      <c r="J7" s="113"/>
      <c r="K7" s="113"/>
      <c r="L7" s="113"/>
      <c r="M7" s="113"/>
      <c r="N7" s="519" t="s">
        <v>1968</v>
      </c>
      <c r="O7" s="519" t="s">
        <v>1969</v>
      </c>
      <c r="P7" s="519" t="s">
        <v>3699</v>
      </c>
      <c r="Q7" s="519" t="s">
        <v>3700</v>
      </c>
      <c r="R7" s="149" t="s">
        <v>3701</v>
      </c>
      <c r="S7" s="113" t="s">
        <v>1556</v>
      </c>
      <c r="T7" s="113" t="s">
        <v>1557</v>
      </c>
      <c r="U7" s="113" t="s">
        <v>3702</v>
      </c>
      <c r="V7" s="117" t="s">
        <v>3703</v>
      </c>
      <c r="W7" s="117" t="s">
        <v>3704</v>
      </c>
      <c r="X7" s="117" t="s">
        <v>3705</v>
      </c>
      <c r="Y7" s="113" t="s">
        <v>1556</v>
      </c>
      <c r="Z7" s="113" t="s">
        <v>1557</v>
      </c>
      <c r="AA7" s="113" t="s">
        <v>3702</v>
      </c>
      <c r="AB7" s="113" t="s">
        <v>1556</v>
      </c>
      <c r="AC7" s="149" t="s">
        <v>2753</v>
      </c>
      <c r="AD7" s="113" t="s">
        <v>1557</v>
      </c>
      <c r="AE7" s="276" t="s">
        <v>4043</v>
      </c>
      <c r="AF7" s="276" t="s">
        <v>4044</v>
      </c>
      <c r="AG7" s="113"/>
      <c r="AH7" s="113"/>
      <c r="BC7" s="100" t="s">
        <v>1545</v>
      </c>
      <c r="BD7" s="100" t="s">
        <v>1635</v>
      </c>
      <c r="BE7" s="100" t="s">
        <v>1636</v>
      </c>
      <c r="BF7" s="100" t="s">
        <v>1637</v>
      </c>
      <c r="BG7" s="100" t="s">
        <v>1638</v>
      </c>
      <c r="BH7" s="197"/>
      <c r="BI7" s="197"/>
      <c r="BJ7" s="118"/>
      <c r="BK7" s="118"/>
      <c r="BL7" s="118"/>
      <c r="BM7" s="118"/>
      <c r="BN7" s="118"/>
      <c r="BO7" s="118"/>
      <c r="BP7" s="118"/>
      <c r="BQ7" s="118"/>
      <c r="BR7" s="118"/>
      <c r="BS7" s="184" t="s">
        <v>4045</v>
      </c>
      <c r="BT7" s="184" t="s">
        <v>4046</v>
      </c>
      <c r="BU7" s="184" t="s">
        <v>4047</v>
      </c>
      <c r="BV7" s="184" t="s">
        <v>4048</v>
      </c>
      <c r="BW7" s="184" t="s">
        <v>4049</v>
      </c>
      <c r="BX7" s="782" t="s">
        <v>2241</v>
      </c>
      <c r="BY7" s="184" t="s">
        <v>2755</v>
      </c>
      <c r="BZ7" s="184" t="s">
        <v>4049</v>
      </c>
      <c r="CA7" s="184" t="s">
        <v>2767</v>
      </c>
      <c r="CB7" s="184" t="s">
        <v>4050</v>
      </c>
      <c r="CC7" s="520" t="s">
        <v>2667</v>
      </c>
      <c r="CD7" s="727" t="s">
        <v>4051</v>
      </c>
      <c r="CE7" s="184" t="s">
        <v>4052</v>
      </c>
      <c r="CF7" s="184" t="s">
        <v>4053</v>
      </c>
      <c r="CG7" s="783" t="s">
        <v>4054</v>
      </c>
      <c r="CH7" s="184" t="s">
        <v>4055</v>
      </c>
      <c r="CI7" s="184" t="s">
        <v>4056</v>
      </c>
      <c r="CJ7" s="783" t="s">
        <v>4057</v>
      </c>
      <c r="CK7" s="184" t="s">
        <v>4058</v>
      </c>
      <c r="CL7" s="184" t="s">
        <v>4059</v>
      </c>
      <c r="CM7" s="783" t="s">
        <v>2758</v>
      </c>
      <c r="CN7" s="184" t="s">
        <v>2759</v>
      </c>
      <c r="CO7" s="184" t="s">
        <v>4060</v>
      </c>
      <c r="CP7" s="783" t="s">
        <v>3708</v>
      </c>
      <c r="CQ7" s="783" t="s">
        <v>4061</v>
      </c>
      <c r="CR7" s="783" t="s">
        <v>4062</v>
      </c>
      <c r="CS7" s="184" t="s">
        <v>4063</v>
      </c>
      <c r="CT7" s="184" t="s">
        <v>4064</v>
      </c>
      <c r="CU7" s="784" t="s">
        <v>3714</v>
      </c>
      <c r="CV7" s="783" t="s">
        <v>3715</v>
      </c>
      <c r="CW7" s="184" t="s">
        <v>3716</v>
      </c>
      <c r="CX7" s="184" t="s">
        <v>3717</v>
      </c>
      <c r="CY7" s="184" t="s">
        <v>2761</v>
      </c>
      <c r="CZ7" s="784" t="s">
        <v>2763</v>
      </c>
      <c r="DA7" s="184" t="s">
        <v>3718</v>
      </c>
      <c r="DB7" s="184" t="s">
        <v>3719</v>
      </c>
      <c r="DC7" s="184" t="s">
        <v>3720</v>
      </c>
      <c r="DD7" s="119"/>
      <c r="DE7" s="120" t="s">
        <v>1645</v>
      </c>
      <c r="DF7" s="121" t="s">
        <v>1646</v>
      </c>
      <c r="DG7" s="121" t="s">
        <v>1647</v>
      </c>
      <c r="DH7" s="121" t="s">
        <v>1648</v>
      </c>
      <c r="DI7" s="121" t="s">
        <v>1647</v>
      </c>
      <c r="DJ7" s="121" t="s">
        <v>1647</v>
      </c>
      <c r="DK7" s="121" t="s">
        <v>1649</v>
      </c>
      <c r="DL7" s="122" t="s">
        <v>1650</v>
      </c>
      <c r="DM7" s="251" t="s">
        <v>1645</v>
      </c>
      <c r="DN7" s="251" t="s">
        <v>4065</v>
      </c>
    </row>
    <row r="8" ht="15" customHeight="1" spans="1:118">
      <c r="A8" s="785" t="str">
        <f>IF(C8="","",COUNT(A$7:A7)+1)</f>
        <v/>
      </c>
      <c r="B8" s="126"/>
      <c r="C8" s="124"/>
      <c r="D8" s="126"/>
      <c r="E8" s="124"/>
      <c r="F8" s="124"/>
      <c r="G8" s="126"/>
      <c r="H8" s="533"/>
      <c r="I8" s="124"/>
      <c r="J8" s="126"/>
      <c r="K8" s="126"/>
      <c r="L8" s="125"/>
      <c r="M8" s="125"/>
      <c r="N8" s="127"/>
      <c r="O8" s="127"/>
      <c r="P8" s="128"/>
      <c r="Q8" s="128"/>
      <c r="R8" s="129"/>
      <c r="S8" s="129"/>
      <c r="T8" s="129"/>
      <c r="U8" s="129"/>
      <c r="V8" s="130"/>
      <c r="W8" s="130"/>
      <c r="X8" s="130"/>
      <c r="Y8" s="129" t="str">
        <f t="shared" ref="Y8:Y39" si="0">IF(C8="","",S8+V8)</f>
        <v/>
      </c>
      <c r="Z8" s="129" t="str">
        <f t="shared" ref="Z8:Z39" si="1">IF(C8="","",T8+W8)</f>
        <v/>
      </c>
      <c r="AA8" s="129" t="str">
        <f t="shared" ref="AA8:AA39" si="2">IF(C8="","",U8+X8)</f>
        <v/>
      </c>
      <c r="AB8" s="129" t="str">
        <f t="shared" ref="AB8:AB39" si="3">IF(C8="","",IF($BD$3="是",IF(CC8="成本法",CX8,CE8),""))</f>
        <v/>
      </c>
      <c r="AC8" s="521" t="str">
        <f t="shared" ref="AC8:AC39" si="4">IF(C8="","",IF($BD$3="是",IF(CC8="成本法",MIN(MAX(15,DC8*100),99),""),""))</f>
        <v/>
      </c>
      <c r="AD8" s="129" t="str">
        <f t="shared" ref="AD8:AD39" si="5">IFERROR(IF(AC8="",AB8,ROUND(AB8*AC8/100,0)),"")</f>
        <v/>
      </c>
      <c r="AE8" s="129"/>
      <c r="AF8" s="129">
        <v>0</v>
      </c>
      <c r="AG8" s="129" t="str">
        <f>IFERROR((AD8/(Z8/AA8))/(Z8/AA8)*100,"")</f>
        <v/>
      </c>
      <c r="AH8" s="131"/>
      <c r="BC8" s="78"/>
      <c r="BD8" s="132" t="s">
        <v>4066</v>
      </c>
      <c r="BE8" s="133"/>
      <c r="BF8" s="132" t="str">
        <f>IF(OR(C8="",BE8=""),"",COUNTIF(BE$8:BE8,"√"))</f>
        <v/>
      </c>
      <c r="BG8" s="134" t="str">
        <f t="shared" ref="BG8:BG39" si="6">IF(BE8="","",BD8&amp;"︱"&amp;C8&amp;"︱"&amp;TEXT(S8,"#,##0.00"))</f>
        <v/>
      </c>
      <c r="BH8" s="135" t="str">
        <f>IF($B8="","",IF(BH$5=0,"OK","出错"))</f>
        <v/>
      </c>
      <c r="BI8" s="135" t="str">
        <f>IF($B8="","",IF(BI$5=0,"OK","出错"))</f>
        <v/>
      </c>
      <c r="BJ8" s="136"/>
      <c r="BK8" s="137"/>
      <c r="BL8" s="136"/>
      <c r="BM8" s="136"/>
      <c r="BN8" s="136"/>
      <c r="BO8" s="136"/>
      <c r="BP8" s="137"/>
      <c r="BQ8" s="136"/>
      <c r="BR8" s="137"/>
      <c r="BS8" s="786"/>
      <c r="BT8" s="787">
        <f t="shared" ref="BT8:BT39" si="7">IFERROR(Y8/(1+BS8)/K8,0)</f>
        <v>0</v>
      </c>
      <c r="BU8" s="788">
        <f>(1/1/(SUM(1,CG8,CJ8,CM8)*SUM(1,CP8)*SUM(1,CU8*CV8/2)))</f>
        <v>1</v>
      </c>
      <c r="BV8" s="787">
        <f>IF(AND(BS8=0,BS8=""),BT8/(1+BU8)*BU8,0)</f>
        <v>0</v>
      </c>
      <c r="BW8" s="787" t="e">
        <f>IF(BK8=0,BT8/BV8,BK8)</f>
        <v>#DIV/0!</v>
      </c>
      <c r="BX8" s="789">
        <f>IFERROR(LOOKUP(M8,基础数据!A:D),1)</f>
        <v>1</v>
      </c>
      <c r="BY8" s="790">
        <f>BX$6/BX8</f>
        <v>3.55771976932645</v>
      </c>
      <c r="BZ8" s="787" t="e">
        <f>ROUND(BW8*BY8,-1)</f>
        <v>#DIV/0!</v>
      </c>
      <c r="CA8" s="791">
        <v>17809844932</v>
      </c>
      <c r="CB8" s="792">
        <f>CB$6</f>
        <v>0.13</v>
      </c>
      <c r="CC8" s="165" t="s">
        <v>230</v>
      </c>
      <c r="CD8" s="793">
        <v>0</v>
      </c>
      <c r="CE8" s="156">
        <f t="shared" ref="CE8:CE39" si="8">ROUND(CD8*K8,2)</f>
        <v>0</v>
      </c>
      <c r="CF8" s="156">
        <f t="shared" ref="CF8:CF134" si="9">ROUND(CE8/(1+CF$6)*CF$6,2)</f>
        <v>0</v>
      </c>
      <c r="CG8" s="776"/>
      <c r="CH8" s="156">
        <f>ROUND(CE8*CG8,2)</f>
        <v>0</v>
      </c>
      <c r="CI8" s="156">
        <f t="shared" ref="CI8:CI134" si="10">ROUND(CH8/(1+CI$6)*CI$6,2)</f>
        <v>0</v>
      </c>
      <c r="CJ8" s="776"/>
      <c r="CK8" s="156">
        <f>ROUND(CE8*CJ8,2)</f>
        <v>0</v>
      </c>
      <c r="CL8" s="156">
        <f t="shared" ref="CL8:CL134" si="11">ROUND(CK8/(1+CL$6)*CL$6,2)</f>
        <v>0</v>
      </c>
      <c r="CM8" s="776"/>
      <c r="CN8" s="156">
        <f>ROUND(CE8*CM8,2)</f>
        <v>0</v>
      </c>
      <c r="CO8" s="156">
        <f t="shared" ref="CO8:CO134" si="12">ROUND(CN8/(1+CO$6)*CO$6,2)</f>
        <v>0</v>
      </c>
      <c r="CP8" s="776"/>
      <c r="CQ8" s="776"/>
      <c r="CR8" s="794">
        <f>(CP8-CQ8)/1.06+CQ8</f>
        <v>0</v>
      </c>
      <c r="CS8" s="156">
        <f>ROUND(SUM(CE8,CH8,CK8,CN8)*CP8,2)</f>
        <v>0</v>
      </c>
      <c r="CT8" s="156">
        <f>ROUND(SUM(CE8,CH8,CK8,CN8)*CR8,2)</f>
        <v>0</v>
      </c>
      <c r="CU8" s="156">
        <v>0</v>
      </c>
      <c r="CV8" s="795">
        <f>LOOKUP(CU8,参数表!$A$13:$B$19)</f>
        <v>0</v>
      </c>
      <c r="CW8" s="156">
        <f>ROUND(SUM(CE8,CH8,CK8,CN8,CS8)*CU8*CV8/2,2)</f>
        <v>0</v>
      </c>
      <c r="CX8" s="156">
        <f>ROUND(SUM(CE8,CH8,CK8,CN8,CT8,CW8)-SUM(CF8,CI8,CL8,CO8),-2)</f>
        <v>0</v>
      </c>
      <c r="CY8" s="156">
        <f t="shared" ref="CY8:CY39" si="13">(CY$6-M8)/365.25</f>
        <v>125.582477754962</v>
      </c>
      <c r="CZ8" s="223">
        <v>4</v>
      </c>
      <c r="DA8" s="746">
        <f>IFERROR(ROUND(1-CY8/CZ8,2),0)</f>
        <v>-30.4</v>
      </c>
      <c r="DB8" s="746">
        <f>DA8+5%</f>
        <v>-30.35</v>
      </c>
      <c r="DC8" s="746">
        <f t="shared" ref="DC8:DC134" si="14">ROUND(IF(ABS(DB8-DA8)&gt;5%,DB8,DA8*DA$6+DB8*DB$6),2)</f>
        <v>-30.35</v>
      </c>
      <c r="DE8" s="134" t="str">
        <f>IF(COUNTIF(DE$7:DE7,C8)&gt;0,"",C8)&amp;""</f>
        <v/>
      </c>
      <c r="DF8" s="138">
        <f t="shared" ref="DF8:DF39" si="15">SUMIF(C$8:C$134,DE8,Y$8:Y$134)</f>
        <v>0</v>
      </c>
      <c r="DG8" s="132">
        <f t="shared" ref="DG8:DG39" si="16">RANK(DF8,DF$8:DF$134)</f>
        <v>1</v>
      </c>
      <c r="DH8" s="138">
        <f t="shared" ref="DH8:DH39" si="17">SUMIF(C$8:C$134,DE8,AB$8:AB$134)</f>
        <v>0</v>
      </c>
      <c r="DI8" s="132">
        <f t="shared" ref="DI8:DI39" si="18">RANK(DH8,DH$8:DH$134)</f>
        <v>1</v>
      </c>
      <c r="DJ8" s="138">
        <f>SUM(DF8:DF134)</f>
        <v>0</v>
      </c>
      <c r="DK8" s="138"/>
      <c r="DL8" s="138"/>
      <c r="DM8" s="796" t="s">
        <v>4067</v>
      </c>
      <c r="DN8" s="75">
        <v>402.95</v>
      </c>
    </row>
    <row r="9" ht="15" customHeight="1" spans="1:118">
      <c r="A9" s="785" t="str">
        <f>IF(C9="","",COUNT(A$7:A8)+1)</f>
        <v/>
      </c>
      <c r="B9" s="141"/>
      <c r="C9" s="139"/>
      <c r="D9" s="141"/>
      <c r="E9" s="535"/>
      <c r="F9" s="535"/>
      <c r="G9" s="141"/>
      <c r="H9" s="536"/>
      <c r="I9" s="139"/>
      <c r="J9" s="141"/>
      <c r="K9" s="141"/>
      <c r="L9" s="140"/>
      <c r="M9" s="140"/>
      <c r="N9" s="142"/>
      <c r="O9" s="127"/>
      <c r="P9" s="128"/>
      <c r="Q9" s="128"/>
      <c r="R9" s="129"/>
      <c r="S9" s="143"/>
      <c r="T9" s="143"/>
      <c r="U9" s="143"/>
      <c r="V9" s="144"/>
      <c r="W9" s="144"/>
      <c r="X9" s="144"/>
      <c r="Y9" s="129" t="str">
        <f t="shared" si="0"/>
        <v/>
      </c>
      <c r="Z9" s="129" t="str">
        <f t="shared" si="1"/>
        <v/>
      </c>
      <c r="AA9" s="129" t="str">
        <f t="shared" si="2"/>
        <v/>
      </c>
      <c r="AB9" s="129" t="str">
        <f t="shared" si="3"/>
        <v/>
      </c>
      <c r="AC9" s="521" t="str">
        <f t="shared" si="4"/>
        <v/>
      </c>
      <c r="AD9" s="129" t="str">
        <f t="shared" si="5"/>
        <v/>
      </c>
      <c r="AE9" s="129"/>
      <c r="AF9" s="129">
        <v>0</v>
      </c>
      <c r="AG9" s="129" t="str">
        <f t="shared" ref="AG9:AG40" si="19">IFERROR((AD9-(Z9-AA9))/(Z9-AA9)*100,"")</f>
        <v/>
      </c>
      <c r="AH9" s="145"/>
      <c r="BC9" s="78"/>
      <c r="BD9" s="132" t="s">
        <v>4068</v>
      </c>
      <c r="BE9" s="133"/>
      <c r="BF9" s="132" t="str">
        <f>IF(OR(C9="",BE9=""),"",COUNTIF(BE$8:BE9,"√"))</f>
        <v/>
      </c>
      <c r="BG9" s="134" t="str">
        <f t="shared" si="6"/>
        <v/>
      </c>
      <c r="BH9" s="135" t="str">
        <f t="shared" ref="BH9:BI134" si="20">IF($B9="","",IF(BH$5=0,"OK","出错"))</f>
        <v/>
      </c>
      <c r="BI9" s="135" t="str">
        <f t="shared" si="20"/>
        <v/>
      </c>
      <c r="BJ9" s="136"/>
      <c r="BK9" s="137"/>
      <c r="BL9" s="136"/>
      <c r="BM9" s="136"/>
      <c r="BN9" s="136"/>
      <c r="BO9" s="136"/>
      <c r="BP9" s="137"/>
      <c r="BQ9" s="136"/>
      <c r="BR9" s="137"/>
      <c r="BS9" s="786"/>
      <c r="BT9" s="787">
        <f t="shared" si="7"/>
        <v>0</v>
      </c>
      <c r="BU9" s="788">
        <f t="shared" ref="BU9:BU134" si="21">(1-1/(SUM(1,CG9,CJ9,CM9)*SUM(1,CP9)*SUM(1,CU9*CV9/2)))</f>
        <v>0</v>
      </c>
      <c r="BV9" s="787">
        <f t="shared" ref="BV9:BV134" si="22">IF(AND(BS9=0,BS9=""),BT9/(1+BU9)*BU9,0)</f>
        <v>0</v>
      </c>
      <c r="BW9" s="787">
        <f t="shared" ref="BW9:BW134" si="23">IF(BK9=0,BT9-BV9,BK9)</f>
        <v>0</v>
      </c>
      <c r="BX9" s="789">
        <f>IFERROR(LOOKUP(L9,基础数据!A:D),1)</f>
        <v>1</v>
      </c>
      <c r="BY9" s="790">
        <f t="shared" ref="BY9:BY134" si="24">BX$6/BX9</f>
        <v>3.55771976932645</v>
      </c>
      <c r="BZ9" s="787">
        <f t="shared" ref="BZ9:BZ134" si="25">ROUND(BW9*BY9,-1)</f>
        <v>0</v>
      </c>
      <c r="CA9" s="797"/>
      <c r="CB9" s="792">
        <f t="shared" ref="CB9:CB134" si="26">CB$6</f>
        <v>0.13</v>
      </c>
      <c r="CC9" s="165" t="s">
        <v>230</v>
      </c>
      <c r="CD9" s="793">
        <v>0</v>
      </c>
      <c r="CE9" s="156">
        <f t="shared" si="8"/>
        <v>0</v>
      </c>
      <c r="CF9" s="156">
        <f t="shared" si="9"/>
        <v>0</v>
      </c>
      <c r="CG9" s="776"/>
      <c r="CH9" s="156">
        <f t="shared" ref="CH9:CH134" si="27">ROUND(CE9*CG9,2)</f>
        <v>0</v>
      </c>
      <c r="CI9" s="156">
        <f t="shared" si="10"/>
        <v>0</v>
      </c>
      <c r="CJ9" s="776"/>
      <c r="CK9" s="156">
        <f t="shared" ref="CK9:CK134" si="28">ROUND(CE9*CJ9,2)</f>
        <v>0</v>
      </c>
      <c r="CL9" s="156">
        <f t="shared" si="11"/>
        <v>0</v>
      </c>
      <c r="CM9" s="776"/>
      <c r="CN9" s="156">
        <f t="shared" ref="CN9:CN134" si="29">ROUND(CE9*CM9,2)</f>
        <v>0</v>
      </c>
      <c r="CO9" s="156">
        <f t="shared" si="12"/>
        <v>0</v>
      </c>
      <c r="CP9" s="776"/>
      <c r="CQ9" s="776"/>
      <c r="CR9" s="794">
        <f t="shared" ref="CR9:CR134" si="30">(CP9-CQ9)/1.06+CQ9</f>
        <v>0</v>
      </c>
      <c r="CS9" s="156">
        <f t="shared" ref="CS9:CS134" si="31">ROUND(SUM(CE9,CH9,CK9,CN9)*CP9,2)</f>
        <v>0</v>
      </c>
      <c r="CT9" s="156">
        <f t="shared" ref="CT9:CT134" si="32">ROUND(SUM(CE9,CH9,CK9,CN9)*CR9,2)</f>
        <v>0</v>
      </c>
      <c r="CU9" s="156">
        <v>0</v>
      </c>
      <c r="CV9" s="795">
        <f>LOOKUP(CU9,参数表!$A$13:$B$19)</f>
        <v>0</v>
      </c>
      <c r="CW9" s="156">
        <f t="shared" ref="CW9:CW134" si="33">ROUND(SUM(CE9,CH9,CK9,CN9,CS9)*CU9*CV9/2,2)</f>
        <v>0</v>
      </c>
      <c r="CX9" s="156">
        <f t="shared" ref="CX9:CX134" si="34">ROUND(SUM(CE9,CH9,CK9,CN9,CT9,CW9)-SUM(CF9,CI9,CL9,CO9),-2)</f>
        <v>0</v>
      </c>
      <c r="CY9" s="156">
        <f t="shared" si="13"/>
        <v>125.582477754962</v>
      </c>
      <c r="CZ9" s="223">
        <v>5</v>
      </c>
      <c r="DA9" s="746">
        <f t="shared" ref="DA9:DA134" si="35">IFERROR(ROUND(1-CY9/CZ9,2),0)</f>
        <v>-24.12</v>
      </c>
      <c r="DB9" s="746">
        <f t="shared" ref="DB9:DB72" si="36">DA9+5%</f>
        <v>-24.07</v>
      </c>
      <c r="DC9" s="746">
        <f t="shared" si="14"/>
        <v>-24.07</v>
      </c>
      <c r="DE9" s="134" t="str">
        <f>IF(COUNTIF(DE$7:DE8,C9)&gt;0,"",C9)&amp;""</f>
        <v/>
      </c>
      <c r="DF9" s="138">
        <f t="shared" si="15"/>
        <v>0</v>
      </c>
      <c r="DG9" s="132">
        <f t="shared" si="16"/>
        <v>1</v>
      </c>
      <c r="DH9" s="138">
        <f t="shared" si="17"/>
        <v>0</v>
      </c>
      <c r="DI9" s="132">
        <f t="shared" si="18"/>
        <v>1</v>
      </c>
      <c r="DJ9" s="138">
        <f>SUM(DH8:DH134)</f>
        <v>0</v>
      </c>
      <c r="DK9" s="138"/>
      <c r="DL9" s="138"/>
      <c r="DM9" s="796" t="s">
        <v>4067</v>
      </c>
      <c r="DN9" s="75">
        <v>402.95</v>
      </c>
    </row>
    <row r="10" ht="15" customHeight="1" spans="1:118">
      <c r="A10" s="785" t="str">
        <f>IF(C10="","",COUNT(A$7:A9)+1)</f>
        <v/>
      </c>
      <c r="B10" s="141"/>
      <c r="C10" s="139"/>
      <c r="D10" s="141"/>
      <c r="E10" s="535"/>
      <c r="F10" s="535"/>
      <c r="G10" s="141"/>
      <c r="H10" s="536"/>
      <c r="I10" s="139"/>
      <c r="J10" s="141"/>
      <c r="K10" s="141"/>
      <c r="L10" s="140"/>
      <c r="M10" s="140"/>
      <c r="N10" s="142"/>
      <c r="O10" s="127"/>
      <c r="P10" s="128"/>
      <c r="Q10" s="128"/>
      <c r="R10" s="129"/>
      <c r="S10" s="143"/>
      <c r="T10" s="143"/>
      <c r="U10" s="143"/>
      <c r="V10" s="144"/>
      <c r="W10" s="144"/>
      <c r="X10" s="144"/>
      <c r="Y10" s="129" t="str">
        <f t="shared" si="0"/>
        <v/>
      </c>
      <c r="Z10" s="129" t="str">
        <f t="shared" si="1"/>
        <v/>
      </c>
      <c r="AA10" s="129" t="str">
        <f t="shared" si="2"/>
        <v/>
      </c>
      <c r="AB10" s="129" t="str">
        <f t="shared" si="3"/>
        <v/>
      </c>
      <c r="AC10" s="521" t="str">
        <f t="shared" si="4"/>
        <v/>
      </c>
      <c r="AD10" s="129" t="str">
        <f t="shared" si="5"/>
        <v/>
      </c>
      <c r="AE10" s="129"/>
      <c r="AF10" s="129">
        <v>0</v>
      </c>
      <c r="AG10" s="129" t="str">
        <f t="shared" si="19"/>
        <v/>
      </c>
      <c r="AH10" s="145"/>
      <c r="BC10" s="78"/>
      <c r="BD10" s="132" t="s">
        <v>4069</v>
      </c>
      <c r="BE10" s="133"/>
      <c r="BF10" s="132" t="str">
        <f>IF(OR(C10="",BE10=""),"",COUNTIF(BE$8:BE10,"√"))</f>
        <v/>
      </c>
      <c r="BG10" s="134" t="str">
        <f t="shared" si="6"/>
        <v/>
      </c>
      <c r="BH10" s="135" t="str">
        <f t="shared" si="20"/>
        <v/>
      </c>
      <c r="BI10" s="135" t="str">
        <f t="shared" si="20"/>
        <v/>
      </c>
      <c r="BJ10" s="136"/>
      <c r="BK10" s="137"/>
      <c r="BL10" s="136"/>
      <c r="BM10" s="136"/>
      <c r="BN10" s="136"/>
      <c r="BO10" s="136"/>
      <c r="BP10" s="137"/>
      <c r="BQ10" s="136"/>
      <c r="BR10" s="137"/>
      <c r="BS10" s="786"/>
      <c r="BT10" s="787">
        <f t="shared" si="7"/>
        <v>0</v>
      </c>
      <c r="BU10" s="788">
        <f t="shared" si="21"/>
        <v>0</v>
      </c>
      <c r="BV10" s="787">
        <f t="shared" si="22"/>
        <v>0</v>
      </c>
      <c r="BW10" s="787">
        <f t="shared" si="23"/>
        <v>0</v>
      </c>
      <c r="BX10" s="789">
        <f>IFERROR(LOOKUP(L10,基础数据!A:D),1)</f>
        <v>1</v>
      </c>
      <c r="BY10" s="790">
        <f t="shared" si="24"/>
        <v>3.55771976932645</v>
      </c>
      <c r="BZ10" s="787">
        <f t="shared" si="25"/>
        <v>0</v>
      </c>
      <c r="CA10" s="797"/>
      <c r="CB10" s="792">
        <f t="shared" si="26"/>
        <v>0.13</v>
      </c>
      <c r="CC10" s="165" t="s">
        <v>230</v>
      </c>
      <c r="CD10" s="793">
        <v>0</v>
      </c>
      <c r="CE10" s="156">
        <f t="shared" si="8"/>
        <v>0</v>
      </c>
      <c r="CF10" s="156">
        <f t="shared" si="9"/>
        <v>0</v>
      </c>
      <c r="CG10" s="776"/>
      <c r="CH10" s="156">
        <f t="shared" si="27"/>
        <v>0</v>
      </c>
      <c r="CI10" s="156">
        <f t="shared" si="10"/>
        <v>0</v>
      </c>
      <c r="CJ10" s="776"/>
      <c r="CK10" s="156">
        <f t="shared" si="28"/>
        <v>0</v>
      </c>
      <c r="CL10" s="156">
        <f t="shared" si="11"/>
        <v>0</v>
      </c>
      <c r="CM10" s="776"/>
      <c r="CN10" s="156">
        <f t="shared" si="29"/>
        <v>0</v>
      </c>
      <c r="CO10" s="156">
        <f t="shared" si="12"/>
        <v>0</v>
      </c>
      <c r="CP10" s="776"/>
      <c r="CQ10" s="776"/>
      <c r="CR10" s="794">
        <f t="shared" si="30"/>
        <v>0</v>
      </c>
      <c r="CS10" s="156">
        <f t="shared" si="31"/>
        <v>0</v>
      </c>
      <c r="CT10" s="156">
        <f t="shared" si="32"/>
        <v>0</v>
      </c>
      <c r="CU10" s="156">
        <v>0</v>
      </c>
      <c r="CV10" s="795">
        <f>LOOKUP(CU10,参数表!$A$13:$B$19)</f>
        <v>0</v>
      </c>
      <c r="CW10" s="156">
        <f t="shared" si="33"/>
        <v>0</v>
      </c>
      <c r="CX10" s="156">
        <f t="shared" si="34"/>
        <v>0</v>
      </c>
      <c r="CY10" s="156">
        <f t="shared" si="13"/>
        <v>125.582477754962</v>
      </c>
      <c r="CZ10" s="223">
        <v>5</v>
      </c>
      <c r="DA10" s="746">
        <f t="shared" si="35"/>
        <v>-24.12</v>
      </c>
      <c r="DB10" s="746">
        <f t="shared" si="36"/>
        <v>-24.07</v>
      </c>
      <c r="DC10" s="746">
        <f t="shared" si="14"/>
        <v>-24.07</v>
      </c>
      <c r="DE10" s="134" t="str">
        <f>IF(COUNTIF(DE$7:DE9,C10)&gt;0,"",C10)&amp;""</f>
        <v/>
      </c>
      <c r="DF10" s="138">
        <f t="shared" si="15"/>
        <v>0</v>
      </c>
      <c r="DG10" s="132">
        <f t="shared" si="16"/>
        <v>1</v>
      </c>
      <c r="DH10" s="138">
        <f t="shared" si="17"/>
        <v>0</v>
      </c>
      <c r="DI10" s="132">
        <f t="shared" si="18"/>
        <v>1</v>
      </c>
      <c r="DJ10" s="132">
        <v>1</v>
      </c>
      <c r="DK10" s="134" t="str">
        <f>IFERROR(INDEX(DE$8:DE$134,MATCH(DJ10,IF(DJ$8=0,DI$8:DI$134,DG$8:DG$134),0))&amp;"","")</f>
        <v/>
      </c>
      <c r="DL10" s="146" t="str">
        <f>IF(DK11="","",IF(DK12="","和","、"))</f>
        <v/>
      </c>
      <c r="DM10" s="796" t="s">
        <v>4067</v>
      </c>
      <c r="DN10" s="75">
        <v>402.95</v>
      </c>
    </row>
    <row r="11" ht="15" customHeight="1" spans="1:118">
      <c r="A11" s="785" t="str">
        <f>IF(C11="","",COUNT(A$7:A10)+1)</f>
        <v/>
      </c>
      <c r="B11" s="141"/>
      <c r="C11" s="139"/>
      <c r="D11" s="141"/>
      <c r="E11" s="535"/>
      <c r="F11" s="535"/>
      <c r="G11" s="141"/>
      <c r="H11" s="536"/>
      <c r="I11" s="139"/>
      <c r="J11" s="141"/>
      <c r="K11" s="141"/>
      <c r="L11" s="140"/>
      <c r="M11" s="140"/>
      <c r="N11" s="142"/>
      <c r="O11" s="127"/>
      <c r="P11" s="128"/>
      <c r="Q11" s="128"/>
      <c r="R11" s="129"/>
      <c r="S11" s="143"/>
      <c r="T11" s="143"/>
      <c r="U11" s="143"/>
      <c r="V11" s="144"/>
      <c r="W11" s="144"/>
      <c r="X11" s="144"/>
      <c r="Y11" s="129" t="str">
        <f t="shared" si="0"/>
        <v/>
      </c>
      <c r="Z11" s="129" t="str">
        <f t="shared" si="1"/>
        <v/>
      </c>
      <c r="AA11" s="129" t="str">
        <f t="shared" si="2"/>
        <v/>
      </c>
      <c r="AB11" s="129" t="str">
        <f t="shared" si="3"/>
        <v/>
      </c>
      <c r="AC11" s="521" t="str">
        <f t="shared" si="4"/>
        <v/>
      </c>
      <c r="AD11" s="129" t="str">
        <f t="shared" si="5"/>
        <v/>
      </c>
      <c r="AE11" s="129"/>
      <c r="AF11" s="129">
        <v>0</v>
      </c>
      <c r="AG11" s="129" t="str">
        <f t="shared" si="19"/>
        <v/>
      </c>
      <c r="AH11" s="145"/>
      <c r="BC11" s="78"/>
      <c r="BD11" s="132" t="s">
        <v>4070</v>
      </c>
      <c r="BE11" s="133"/>
      <c r="BF11" s="132" t="str">
        <f>IF(OR(C11="",BE11=""),"",COUNTIF(BE$8:BE11,"√"))</f>
        <v/>
      </c>
      <c r="BG11" s="134" t="str">
        <f t="shared" si="6"/>
        <v/>
      </c>
      <c r="BH11" s="135" t="str">
        <f t="shared" si="20"/>
        <v/>
      </c>
      <c r="BI11" s="135" t="str">
        <f t="shared" si="20"/>
        <v/>
      </c>
      <c r="BJ11" s="136"/>
      <c r="BK11" s="137"/>
      <c r="BL11" s="136"/>
      <c r="BM11" s="136"/>
      <c r="BN11" s="136"/>
      <c r="BO11" s="136"/>
      <c r="BP11" s="137"/>
      <c r="BQ11" s="136"/>
      <c r="BR11" s="137"/>
      <c r="BT11" s="787">
        <f t="shared" si="7"/>
        <v>0</v>
      </c>
      <c r="BU11" s="788">
        <f t="shared" si="21"/>
        <v>0</v>
      </c>
      <c r="BV11" s="787">
        <f t="shared" si="22"/>
        <v>0</v>
      </c>
      <c r="BW11" s="787">
        <f t="shared" si="23"/>
        <v>0</v>
      </c>
      <c r="BX11" s="789">
        <f>IFERROR(LOOKUP(L11,基础数据!A:D),1)</f>
        <v>1</v>
      </c>
      <c r="BY11" s="790">
        <f t="shared" si="24"/>
        <v>3.55771976932645</v>
      </c>
      <c r="BZ11" s="787">
        <f t="shared" si="25"/>
        <v>0</v>
      </c>
      <c r="CA11" s="797"/>
      <c r="CB11" s="792">
        <f t="shared" si="26"/>
        <v>0.13</v>
      </c>
      <c r="CC11" s="165" t="s">
        <v>230</v>
      </c>
      <c r="CD11" s="793">
        <v>0</v>
      </c>
      <c r="CE11" s="156">
        <f t="shared" si="8"/>
        <v>0</v>
      </c>
      <c r="CF11" s="156">
        <f t="shared" si="9"/>
        <v>0</v>
      </c>
      <c r="CG11" s="776"/>
      <c r="CH11" s="156">
        <f t="shared" si="27"/>
        <v>0</v>
      </c>
      <c r="CI11" s="156">
        <f t="shared" si="10"/>
        <v>0</v>
      </c>
      <c r="CJ11" s="776"/>
      <c r="CK11" s="156">
        <f t="shared" si="28"/>
        <v>0</v>
      </c>
      <c r="CL11" s="156">
        <f t="shared" si="11"/>
        <v>0</v>
      </c>
      <c r="CM11" s="776"/>
      <c r="CN11" s="156">
        <f t="shared" si="29"/>
        <v>0</v>
      </c>
      <c r="CO11" s="156">
        <f t="shared" si="12"/>
        <v>0</v>
      </c>
      <c r="CP11" s="776"/>
      <c r="CQ11" s="776"/>
      <c r="CR11" s="794">
        <f t="shared" si="30"/>
        <v>0</v>
      </c>
      <c r="CS11" s="156">
        <f t="shared" si="31"/>
        <v>0</v>
      </c>
      <c r="CT11" s="156">
        <f t="shared" si="32"/>
        <v>0</v>
      </c>
      <c r="CU11" s="156">
        <v>0</v>
      </c>
      <c r="CV11" s="795">
        <f>LOOKUP(CU11,参数表!$A$13:$B$19)</f>
        <v>0</v>
      </c>
      <c r="CW11" s="156">
        <f t="shared" si="33"/>
        <v>0</v>
      </c>
      <c r="CX11" s="156">
        <f t="shared" si="34"/>
        <v>0</v>
      </c>
      <c r="CY11" s="156">
        <f t="shared" si="13"/>
        <v>125.582477754962</v>
      </c>
      <c r="CZ11" s="223">
        <v>5</v>
      </c>
      <c r="DA11" s="746">
        <f t="shared" si="35"/>
        <v>-24.12</v>
      </c>
      <c r="DB11" s="746">
        <f t="shared" si="36"/>
        <v>-24.07</v>
      </c>
      <c r="DC11" s="746">
        <f t="shared" si="14"/>
        <v>-24.07</v>
      </c>
      <c r="DE11" s="134" t="str">
        <f>IF(COUNTIF(DE$7:DE10,C11)&gt;0,"",C11)&amp;""</f>
        <v/>
      </c>
      <c r="DF11" s="138">
        <f t="shared" si="15"/>
        <v>0</v>
      </c>
      <c r="DG11" s="132">
        <f t="shared" si="16"/>
        <v>1</v>
      </c>
      <c r="DH11" s="138">
        <f t="shared" si="17"/>
        <v>0</v>
      </c>
      <c r="DI11" s="132">
        <f t="shared" si="18"/>
        <v>1</v>
      </c>
      <c r="DJ11" s="132">
        <v>2</v>
      </c>
      <c r="DK11" s="134" t="str">
        <f>IFERROR(INDEX(DE$8:DE$134,MATCH(DJ11,IF(DJ$8=0,DI$8:DI$134,DG$8:DG$134),0))&amp;"","")</f>
        <v/>
      </c>
      <c r="DL11" s="146" t="str">
        <f t="shared" ref="DL11:DL12" si="37">IF(DK12="","",IF(DK13="","和","、"))</f>
        <v/>
      </c>
      <c r="DM11" s="796" t="s">
        <v>4067</v>
      </c>
      <c r="DN11" s="75">
        <v>402.95</v>
      </c>
    </row>
    <row r="12" ht="15" customHeight="1" spans="1:118">
      <c r="A12" s="785" t="str">
        <f>IF(C12="","",COUNT(A$7:A11)+1)</f>
        <v/>
      </c>
      <c r="B12" s="141"/>
      <c r="C12" s="139"/>
      <c r="D12" s="141"/>
      <c r="E12" s="535"/>
      <c r="F12" s="535"/>
      <c r="G12" s="141"/>
      <c r="H12" s="536"/>
      <c r="I12" s="139"/>
      <c r="J12" s="141"/>
      <c r="K12" s="141"/>
      <c r="L12" s="140"/>
      <c r="M12" s="140"/>
      <c r="N12" s="142"/>
      <c r="O12" s="127"/>
      <c r="P12" s="128"/>
      <c r="Q12" s="128"/>
      <c r="R12" s="129"/>
      <c r="S12" s="143"/>
      <c r="T12" s="143"/>
      <c r="U12" s="143"/>
      <c r="V12" s="144"/>
      <c r="W12" s="144"/>
      <c r="X12" s="144"/>
      <c r="Y12" s="129" t="str">
        <f t="shared" si="0"/>
        <v/>
      </c>
      <c r="Z12" s="129" t="str">
        <f t="shared" si="1"/>
        <v/>
      </c>
      <c r="AA12" s="129" t="str">
        <f t="shared" si="2"/>
        <v/>
      </c>
      <c r="AB12" s="129" t="str">
        <f t="shared" si="3"/>
        <v/>
      </c>
      <c r="AC12" s="521" t="str">
        <f t="shared" si="4"/>
        <v/>
      </c>
      <c r="AD12" s="129" t="str">
        <f t="shared" si="5"/>
        <v/>
      </c>
      <c r="AE12" s="129"/>
      <c r="AF12" s="129">
        <v>0</v>
      </c>
      <c r="AG12" s="129" t="str">
        <f t="shared" si="19"/>
        <v/>
      </c>
      <c r="AH12" s="145"/>
      <c r="BC12" s="78"/>
      <c r="BD12" s="132" t="s">
        <v>4071</v>
      </c>
      <c r="BE12" s="133"/>
      <c r="BF12" s="132" t="str">
        <f>IF(OR(C12="",BE12=""),"",COUNTIF(BE$8:BE12,"√"))</f>
        <v/>
      </c>
      <c r="BG12" s="134" t="str">
        <f t="shared" si="6"/>
        <v/>
      </c>
      <c r="BH12" s="135" t="str">
        <f t="shared" si="20"/>
        <v/>
      </c>
      <c r="BI12" s="135" t="str">
        <f t="shared" si="20"/>
        <v/>
      </c>
      <c r="BJ12" s="136"/>
      <c r="BK12" s="137"/>
      <c r="BL12" s="136"/>
      <c r="BM12" s="136"/>
      <c r="BN12" s="136"/>
      <c r="BO12" s="136"/>
      <c r="BP12" s="137"/>
      <c r="BQ12" s="136"/>
      <c r="BR12" s="137"/>
      <c r="BT12" s="787">
        <f t="shared" si="7"/>
        <v>0</v>
      </c>
      <c r="BU12" s="788">
        <f t="shared" si="21"/>
        <v>0</v>
      </c>
      <c r="BV12" s="787">
        <f t="shared" si="22"/>
        <v>0</v>
      </c>
      <c r="BW12" s="787">
        <f t="shared" si="23"/>
        <v>0</v>
      </c>
      <c r="BX12" s="789">
        <f>IFERROR(LOOKUP(L12,基础数据!A:D),1)</f>
        <v>1</v>
      </c>
      <c r="BY12" s="790">
        <f t="shared" si="24"/>
        <v>3.55771976932645</v>
      </c>
      <c r="BZ12" s="787">
        <f t="shared" si="25"/>
        <v>0</v>
      </c>
      <c r="CA12" s="797"/>
      <c r="CB12" s="792">
        <f t="shared" si="26"/>
        <v>0.13</v>
      </c>
      <c r="CC12" s="165" t="s">
        <v>230</v>
      </c>
      <c r="CD12" s="793">
        <v>0</v>
      </c>
      <c r="CE12" s="156">
        <f t="shared" si="8"/>
        <v>0</v>
      </c>
      <c r="CF12" s="156">
        <f t="shared" si="9"/>
        <v>0</v>
      </c>
      <c r="CG12" s="776"/>
      <c r="CH12" s="156">
        <f t="shared" si="27"/>
        <v>0</v>
      </c>
      <c r="CI12" s="156">
        <f t="shared" si="10"/>
        <v>0</v>
      </c>
      <c r="CJ12" s="776"/>
      <c r="CK12" s="156">
        <f t="shared" si="28"/>
        <v>0</v>
      </c>
      <c r="CL12" s="156">
        <f t="shared" si="11"/>
        <v>0</v>
      </c>
      <c r="CM12" s="776"/>
      <c r="CN12" s="156">
        <f t="shared" si="29"/>
        <v>0</v>
      </c>
      <c r="CO12" s="156">
        <f t="shared" si="12"/>
        <v>0</v>
      </c>
      <c r="CP12" s="776"/>
      <c r="CQ12" s="776"/>
      <c r="CR12" s="794">
        <f t="shared" si="30"/>
        <v>0</v>
      </c>
      <c r="CS12" s="156">
        <f t="shared" si="31"/>
        <v>0</v>
      </c>
      <c r="CT12" s="156">
        <f t="shared" si="32"/>
        <v>0</v>
      </c>
      <c r="CU12" s="156">
        <v>0</v>
      </c>
      <c r="CV12" s="795">
        <f>LOOKUP(CU12,参数表!$A$13:$B$19)</f>
        <v>0</v>
      </c>
      <c r="CW12" s="156">
        <f t="shared" si="33"/>
        <v>0</v>
      </c>
      <c r="CX12" s="156">
        <f t="shared" si="34"/>
        <v>0</v>
      </c>
      <c r="CY12" s="156">
        <f t="shared" si="13"/>
        <v>125.582477754962</v>
      </c>
      <c r="CZ12" s="223">
        <v>4</v>
      </c>
      <c r="DA12" s="746">
        <f t="shared" si="35"/>
        <v>-30.4</v>
      </c>
      <c r="DB12" s="746">
        <f t="shared" si="36"/>
        <v>-30.35</v>
      </c>
      <c r="DC12" s="746">
        <f t="shared" si="14"/>
        <v>-30.35</v>
      </c>
      <c r="DE12" s="134" t="str">
        <f>IF(COUNTIF(DE$7:DE11,C12)&gt;0,"",C12)&amp;""</f>
        <v/>
      </c>
      <c r="DF12" s="138">
        <f t="shared" si="15"/>
        <v>0</v>
      </c>
      <c r="DG12" s="132">
        <f t="shared" si="16"/>
        <v>1</v>
      </c>
      <c r="DH12" s="138">
        <f t="shared" si="17"/>
        <v>0</v>
      </c>
      <c r="DI12" s="132">
        <f t="shared" si="18"/>
        <v>1</v>
      </c>
      <c r="DJ12" s="132">
        <v>3</v>
      </c>
      <c r="DK12" s="134" t="str">
        <f>IFERROR(INDEX(DE$8:DE$134,MATCH(DJ12,IF(DJ$8=0,DI$8:DI$134,DG$8:DG$134),0))&amp;"","")</f>
        <v/>
      </c>
      <c r="DL12" s="146" t="str">
        <f t="shared" si="37"/>
        <v/>
      </c>
      <c r="DM12" s="796" t="s">
        <v>4067</v>
      </c>
      <c r="DN12" s="75">
        <v>402.95</v>
      </c>
    </row>
    <row r="13" ht="15" customHeight="1" spans="1:118">
      <c r="A13" s="785" t="str">
        <f>IF(C13="","",COUNT(A$7:A12)+1)</f>
        <v/>
      </c>
      <c r="B13" s="141"/>
      <c r="C13" s="139"/>
      <c r="D13" s="141"/>
      <c r="E13" s="535"/>
      <c r="F13" s="535"/>
      <c r="G13" s="141"/>
      <c r="H13" s="536"/>
      <c r="I13" s="139"/>
      <c r="J13" s="141"/>
      <c r="K13" s="141"/>
      <c r="L13" s="140"/>
      <c r="M13" s="140"/>
      <c r="N13" s="142"/>
      <c r="O13" s="127"/>
      <c r="P13" s="128"/>
      <c r="Q13" s="128"/>
      <c r="R13" s="129"/>
      <c r="S13" s="143"/>
      <c r="T13" s="143"/>
      <c r="U13" s="143"/>
      <c r="V13" s="144"/>
      <c r="W13" s="144"/>
      <c r="X13" s="144"/>
      <c r="Y13" s="129" t="str">
        <f t="shared" si="0"/>
        <v/>
      </c>
      <c r="Z13" s="129" t="str">
        <f t="shared" si="1"/>
        <v/>
      </c>
      <c r="AA13" s="129" t="str">
        <f t="shared" si="2"/>
        <v/>
      </c>
      <c r="AB13" s="129" t="str">
        <f t="shared" si="3"/>
        <v/>
      </c>
      <c r="AC13" s="521" t="str">
        <f t="shared" si="4"/>
        <v/>
      </c>
      <c r="AD13" s="129" t="str">
        <f t="shared" si="5"/>
        <v/>
      </c>
      <c r="AE13" s="129"/>
      <c r="AF13" s="129">
        <v>0</v>
      </c>
      <c r="AG13" s="129" t="str">
        <f t="shared" si="19"/>
        <v/>
      </c>
      <c r="AH13" s="145"/>
      <c r="BC13" s="78"/>
      <c r="BD13" s="132" t="s">
        <v>4072</v>
      </c>
      <c r="BE13" s="133"/>
      <c r="BF13" s="132" t="str">
        <f>IF(OR(C13="",BE13=""),"",COUNTIF(BE$8:BE13,"√"))</f>
        <v/>
      </c>
      <c r="BG13" s="134" t="str">
        <f t="shared" si="6"/>
        <v/>
      </c>
      <c r="BH13" s="135" t="str">
        <f t="shared" si="20"/>
        <v/>
      </c>
      <c r="BI13" s="135" t="str">
        <f t="shared" si="20"/>
        <v/>
      </c>
      <c r="BJ13" s="136"/>
      <c r="BK13" s="137"/>
      <c r="BL13" s="136"/>
      <c r="BM13" s="136"/>
      <c r="BN13" s="136"/>
      <c r="BO13" s="136"/>
      <c r="BP13" s="137"/>
      <c r="BQ13" s="136"/>
      <c r="BR13" s="137"/>
      <c r="BT13" s="787">
        <f t="shared" si="7"/>
        <v>0</v>
      </c>
      <c r="BU13" s="788">
        <f t="shared" si="21"/>
        <v>0</v>
      </c>
      <c r="BV13" s="787">
        <f t="shared" si="22"/>
        <v>0</v>
      </c>
      <c r="BW13" s="787">
        <f t="shared" si="23"/>
        <v>0</v>
      </c>
      <c r="BX13" s="789">
        <f>IFERROR(LOOKUP(L13,基础数据!A:D),1)</f>
        <v>1</v>
      </c>
      <c r="BY13" s="790">
        <f t="shared" si="24"/>
        <v>3.55771976932645</v>
      </c>
      <c r="BZ13" s="787">
        <f t="shared" si="25"/>
        <v>0</v>
      </c>
      <c r="CA13" s="797"/>
      <c r="CB13" s="792">
        <f t="shared" si="26"/>
        <v>0.13</v>
      </c>
      <c r="CC13" s="165" t="s">
        <v>230</v>
      </c>
      <c r="CD13" s="793">
        <v>0</v>
      </c>
      <c r="CE13" s="156">
        <f t="shared" si="8"/>
        <v>0</v>
      </c>
      <c r="CF13" s="156">
        <f t="shared" si="9"/>
        <v>0</v>
      </c>
      <c r="CG13" s="776"/>
      <c r="CH13" s="156">
        <f t="shared" si="27"/>
        <v>0</v>
      </c>
      <c r="CI13" s="156">
        <f t="shared" si="10"/>
        <v>0</v>
      </c>
      <c r="CJ13" s="776"/>
      <c r="CK13" s="156">
        <f t="shared" si="28"/>
        <v>0</v>
      </c>
      <c r="CL13" s="156">
        <f t="shared" si="11"/>
        <v>0</v>
      </c>
      <c r="CM13" s="776"/>
      <c r="CN13" s="156">
        <f t="shared" si="29"/>
        <v>0</v>
      </c>
      <c r="CO13" s="156">
        <f t="shared" si="12"/>
        <v>0</v>
      </c>
      <c r="CP13" s="776"/>
      <c r="CQ13" s="776"/>
      <c r="CR13" s="794">
        <f t="shared" si="30"/>
        <v>0</v>
      </c>
      <c r="CS13" s="156">
        <f t="shared" si="31"/>
        <v>0</v>
      </c>
      <c r="CT13" s="156">
        <f t="shared" si="32"/>
        <v>0</v>
      </c>
      <c r="CU13" s="156">
        <v>0</v>
      </c>
      <c r="CV13" s="795">
        <f>LOOKUP(CU13,参数表!$A$13:$B$19)</f>
        <v>0</v>
      </c>
      <c r="CW13" s="156">
        <f t="shared" si="33"/>
        <v>0</v>
      </c>
      <c r="CX13" s="156">
        <f t="shared" si="34"/>
        <v>0</v>
      </c>
      <c r="CY13" s="156">
        <f t="shared" si="13"/>
        <v>125.582477754962</v>
      </c>
      <c r="CZ13" s="223">
        <v>4</v>
      </c>
      <c r="DA13" s="746">
        <f t="shared" si="35"/>
        <v>-30.4</v>
      </c>
      <c r="DB13" s="746">
        <f t="shared" si="36"/>
        <v>-30.35</v>
      </c>
      <c r="DC13" s="746">
        <f t="shared" si="14"/>
        <v>-30.35</v>
      </c>
      <c r="DE13" s="134" t="str">
        <f>IF(COUNTIF(DE$7:DE12,C13)&gt;0,"",C13)&amp;""</f>
        <v/>
      </c>
      <c r="DF13" s="138">
        <f t="shared" si="15"/>
        <v>0</v>
      </c>
      <c r="DG13" s="132">
        <f t="shared" si="16"/>
        <v>1</v>
      </c>
      <c r="DH13" s="138">
        <f t="shared" si="17"/>
        <v>0</v>
      </c>
      <c r="DI13" s="132">
        <f t="shared" si="18"/>
        <v>1</v>
      </c>
      <c r="DJ13" s="132">
        <v>4</v>
      </c>
      <c r="DK13" s="134" t="str">
        <f>IFERROR(INDEX(DE$8:DE$134,MATCH(DJ13,IF(DJ$8=0,DI$8:DI$134,DG$8:DG$134),0))&amp;"","")</f>
        <v/>
      </c>
      <c r="DL13" s="146" t="str">
        <f>IF(DK14="","","和")</f>
        <v/>
      </c>
      <c r="DM13" s="796" t="s">
        <v>4067</v>
      </c>
      <c r="DN13" s="75">
        <v>402.95</v>
      </c>
    </row>
    <row r="14" ht="15" customHeight="1" spans="1:118">
      <c r="A14" s="785" t="str">
        <f>IF(C14="","",COUNT(A$7:A13)+1)</f>
        <v/>
      </c>
      <c r="B14" s="141"/>
      <c r="C14" s="139"/>
      <c r="D14" s="141"/>
      <c r="E14" s="535"/>
      <c r="F14" s="535"/>
      <c r="G14" s="141"/>
      <c r="H14" s="536"/>
      <c r="I14" s="139"/>
      <c r="J14" s="141"/>
      <c r="K14" s="141"/>
      <c r="L14" s="140"/>
      <c r="M14" s="140"/>
      <c r="N14" s="142"/>
      <c r="O14" s="127"/>
      <c r="P14" s="128"/>
      <c r="Q14" s="128"/>
      <c r="R14" s="129"/>
      <c r="S14" s="143"/>
      <c r="T14" s="143"/>
      <c r="U14" s="143"/>
      <c r="V14" s="144"/>
      <c r="W14" s="144"/>
      <c r="X14" s="144"/>
      <c r="Y14" s="129" t="str">
        <f t="shared" si="0"/>
        <v/>
      </c>
      <c r="Z14" s="129" t="str">
        <f t="shared" si="1"/>
        <v/>
      </c>
      <c r="AA14" s="129" t="str">
        <f t="shared" si="2"/>
        <v/>
      </c>
      <c r="AB14" s="129" t="str">
        <f t="shared" si="3"/>
        <v/>
      </c>
      <c r="AC14" s="521" t="str">
        <f t="shared" si="4"/>
        <v/>
      </c>
      <c r="AD14" s="129" t="str">
        <f t="shared" si="5"/>
        <v/>
      </c>
      <c r="AE14" s="129"/>
      <c r="AF14" s="129">
        <v>0</v>
      </c>
      <c r="AG14" s="129" t="str">
        <f t="shared" si="19"/>
        <v/>
      </c>
      <c r="AH14" s="145"/>
      <c r="BC14" s="78"/>
      <c r="BD14" s="132" t="s">
        <v>4073</v>
      </c>
      <c r="BE14" s="133"/>
      <c r="BF14" s="132" t="str">
        <f>IF(OR(C14="",BE14=""),"",COUNTIF(BE$8:BE14,"√"))</f>
        <v/>
      </c>
      <c r="BG14" s="134" t="str">
        <f t="shared" si="6"/>
        <v/>
      </c>
      <c r="BH14" s="135" t="str">
        <f t="shared" si="20"/>
        <v/>
      </c>
      <c r="BI14" s="135" t="str">
        <f t="shared" si="20"/>
        <v/>
      </c>
      <c r="BJ14" s="136"/>
      <c r="BK14" s="137"/>
      <c r="BL14" s="136"/>
      <c r="BM14" s="136"/>
      <c r="BN14" s="136"/>
      <c r="BO14" s="136"/>
      <c r="BP14" s="137"/>
      <c r="BQ14" s="136"/>
      <c r="BR14" s="137"/>
      <c r="BT14" s="787">
        <f t="shared" si="7"/>
        <v>0</v>
      </c>
      <c r="BU14" s="788">
        <f t="shared" si="21"/>
        <v>0</v>
      </c>
      <c r="BV14" s="787">
        <f t="shared" si="22"/>
        <v>0</v>
      </c>
      <c r="BW14" s="787">
        <f t="shared" si="23"/>
        <v>0</v>
      </c>
      <c r="BX14" s="789">
        <f>IFERROR(LOOKUP(L14,基础数据!A:D),1)</f>
        <v>1</v>
      </c>
      <c r="BY14" s="790">
        <f t="shared" si="24"/>
        <v>3.55771976932645</v>
      </c>
      <c r="BZ14" s="787">
        <f t="shared" si="25"/>
        <v>0</v>
      </c>
      <c r="CA14" s="797"/>
      <c r="CB14" s="792">
        <f t="shared" si="26"/>
        <v>0.13</v>
      </c>
      <c r="CC14" s="165" t="s">
        <v>230</v>
      </c>
      <c r="CD14" s="793">
        <v>0</v>
      </c>
      <c r="CE14" s="156">
        <f t="shared" si="8"/>
        <v>0</v>
      </c>
      <c r="CF14" s="156">
        <f t="shared" si="9"/>
        <v>0</v>
      </c>
      <c r="CG14" s="776"/>
      <c r="CH14" s="156">
        <f t="shared" si="27"/>
        <v>0</v>
      </c>
      <c r="CI14" s="156">
        <f t="shared" si="10"/>
        <v>0</v>
      </c>
      <c r="CJ14" s="776"/>
      <c r="CK14" s="156">
        <f t="shared" si="28"/>
        <v>0</v>
      </c>
      <c r="CL14" s="156">
        <f t="shared" si="11"/>
        <v>0</v>
      </c>
      <c r="CM14" s="776"/>
      <c r="CN14" s="156">
        <f t="shared" si="29"/>
        <v>0</v>
      </c>
      <c r="CO14" s="156">
        <f t="shared" si="12"/>
        <v>0</v>
      </c>
      <c r="CP14" s="776"/>
      <c r="CQ14" s="776"/>
      <c r="CR14" s="794">
        <f t="shared" si="30"/>
        <v>0</v>
      </c>
      <c r="CS14" s="156">
        <f t="shared" si="31"/>
        <v>0</v>
      </c>
      <c r="CT14" s="156">
        <f t="shared" si="32"/>
        <v>0</v>
      </c>
      <c r="CU14" s="156">
        <v>0</v>
      </c>
      <c r="CV14" s="795">
        <f>LOOKUP(CU14,参数表!$A$13:$B$19)</f>
        <v>0</v>
      </c>
      <c r="CW14" s="156">
        <f t="shared" si="33"/>
        <v>0</v>
      </c>
      <c r="CX14" s="156">
        <f t="shared" si="34"/>
        <v>0</v>
      </c>
      <c r="CY14" s="156">
        <f t="shared" si="13"/>
        <v>125.582477754962</v>
      </c>
      <c r="CZ14" s="223">
        <v>4</v>
      </c>
      <c r="DA14" s="746">
        <f t="shared" si="35"/>
        <v>-30.4</v>
      </c>
      <c r="DB14" s="746">
        <f t="shared" si="36"/>
        <v>-30.35</v>
      </c>
      <c r="DC14" s="746">
        <f t="shared" si="14"/>
        <v>-30.35</v>
      </c>
      <c r="DE14" s="134" t="str">
        <f>IF(COUNTIF(DE$7:DE13,C14)&gt;0,"",C14)&amp;""</f>
        <v/>
      </c>
      <c r="DF14" s="138">
        <f t="shared" si="15"/>
        <v>0</v>
      </c>
      <c r="DG14" s="132">
        <f t="shared" si="16"/>
        <v>1</v>
      </c>
      <c r="DH14" s="138">
        <f t="shared" si="17"/>
        <v>0</v>
      </c>
      <c r="DI14" s="132">
        <f t="shared" si="18"/>
        <v>1</v>
      </c>
      <c r="DJ14" s="132">
        <v>5</v>
      </c>
      <c r="DK14" s="134" t="str">
        <f>IFERROR(INDEX(DE$8:DE$134,MATCH(DJ14,IF(DJ$8=0,DI$8:DI$134,DG$8:DG$134),0))&amp;"","")</f>
        <v/>
      </c>
      <c r="DL14" s="146"/>
      <c r="DM14" s="796" t="s">
        <v>4067</v>
      </c>
      <c r="DN14" s="75">
        <v>402.95</v>
      </c>
    </row>
    <row r="15" ht="15" customHeight="1" spans="1:118">
      <c r="A15" s="785" t="str">
        <f>IF(C15="","",COUNT(A$7:A14)+1)</f>
        <v/>
      </c>
      <c r="B15" s="141"/>
      <c r="C15" s="139"/>
      <c r="D15" s="141"/>
      <c r="E15" s="535"/>
      <c r="F15" s="535"/>
      <c r="G15" s="141"/>
      <c r="H15" s="536"/>
      <c r="I15" s="139"/>
      <c r="J15" s="141"/>
      <c r="K15" s="141"/>
      <c r="L15" s="140"/>
      <c r="M15" s="140"/>
      <c r="N15" s="142"/>
      <c r="O15" s="127"/>
      <c r="P15" s="128"/>
      <c r="Q15" s="128"/>
      <c r="R15" s="129"/>
      <c r="S15" s="143"/>
      <c r="T15" s="143"/>
      <c r="U15" s="143"/>
      <c r="V15" s="144"/>
      <c r="W15" s="144"/>
      <c r="X15" s="144"/>
      <c r="Y15" s="129" t="str">
        <f t="shared" si="0"/>
        <v/>
      </c>
      <c r="Z15" s="129" t="str">
        <f t="shared" si="1"/>
        <v/>
      </c>
      <c r="AA15" s="129" t="str">
        <f t="shared" si="2"/>
        <v/>
      </c>
      <c r="AB15" s="129" t="str">
        <f t="shared" si="3"/>
        <v/>
      </c>
      <c r="AC15" s="521" t="str">
        <f t="shared" si="4"/>
        <v/>
      </c>
      <c r="AD15" s="129" t="str">
        <f t="shared" si="5"/>
        <v/>
      </c>
      <c r="AE15" s="129"/>
      <c r="AF15" s="129">
        <v>0</v>
      </c>
      <c r="AG15" s="129" t="str">
        <f t="shared" si="19"/>
        <v/>
      </c>
      <c r="AH15" s="145"/>
      <c r="BC15" s="78"/>
      <c r="BD15" s="132" t="s">
        <v>4074</v>
      </c>
      <c r="BE15" s="133"/>
      <c r="BF15" s="132" t="str">
        <f>IF(OR(C15="",BE15=""),"",COUNTIF(BE$8:BE15,"√"))</f>
        <v/>
      </c>
      <c r="BG15" s="134" t="str">
        <f t="shared" si="6"/>
        <v/>
      </c>
      <c r="BH15" s="135" t="str">
        <f t="shared" si="20"/>
        <v/>
      </c>
      <c r="BI15" s="135" t="str">
        <f t="shared" si="20"/>
        <v/>
      </c>
      <c r="BJ15" s="136"/>
      <c r="BK15" s="137"/>
      <c r="BL15" s="136"/>
      <c r="BM15" s="136"/>
      <c r="BN15" s="136"/>
      <c r="BO15" s="136"/>
      <c r="BP15" s="137"/>
      <c r="BQ15" s="136"/>
      <c r="BR15" s="137"/>
      <c r="BT15" s="787">
        <f t="shared" si="7"/>
        <v>0</v>
      </c>
      <c r="BU15" s="788">
        <f t="shared" si="21"/>
        <v>0</v>
      </c>
      <c r="BV15" s="787">
        <f t="shared" si="22"/>
        <v>0</v>
      </c>
      <c r="BW15" s="787">
        <f t="shared" si="23"/>
        <v>0</v>
      </c>
      <c r="BX15" s="789">
        <f>IFERROR(LOOKUP(L15,基础数据!A:D),1)</f>
        <v>1</v>
      </c>
      <c r="BY15" s="790">
        <f t="shared" si="24"/>
        <v>3.55771976932645</v>
      </c>
      <c r="BZ15" s="787">
        <f t="shared" si="25"/>
        <v>0</v>
      </c>
      <c r="CA15" s="797"/>
      <c r="CB15" s="792">
        <f t="shared" si="26"/>
        <v>0.13</v>
      </c>
      <c r="CC15" s="165" t="s">
        <v>230</v>
      </c>
      <c r="CD15" s="793">
        <v>0</v>
      </c>
      <c r="CE15" s="156">
        <f t="shared" si="8"/>
        <v>0</v>
      </c>
      <c r="CF15" s="156">
        <f t="shared" si="9"/>
        <v>0</v>
      </c>
      <c r="CG15" s="776"/>
      <c r="CH15" s="156">
        <f t="shared" si="27"/>
        <v>0</v>
      </c>
      <c r="CI15" s="156">
        <f t="shared" si="10"/>
        <v>0</v>
      </c>
      <c r="CJ15" s="776"/>
      <c r="CK15" s="156">
        <f t="shared" si="28"/>
        <v>0</v>
      </c>
      <c r="CL15" s="156">
        <f t="shared" si="11"/>
        <v>0</v>
      </c>
      <c r="CM15" s="776"/>
      <c r="CN15" s="156">
        <f t="shared" si="29"/>
        <v>0</v>
      </c>
      <c r="CO15" s="156">
        <f t="shared" si="12"/>
        <v>0</v>
      </c>
      <c r="CP15" s="776"/>
      <c r="CQ15" s="776"/>
      <c r="CR15" s="794">
        <f t="shared" si="30"/>
        <v>0</v>
      </c>
      <c r="CS15" s="156">
        <f t="shared" si="31"/>
        <v>0</v>
      </c>
      <c r="CT15" s="156">
        <f t="shared" si="32"/>
        <v>0</v>
      </c>
      <c r="CU15" s="156">
        <v>0</v>
      </c>
      <c r="CV15" s="795">
        <f>LOOKUP(CU15,参数表!$A$13:$B$19)</f>
        <v>0</v>
      </c>
      <c r="CW15" s="156">
        <f t="shared" si="33"/>
        <v>0</v>
      </c>
      <c r="CX15" s="156">
        <f t="shared" si="34"/>
        <v>0</v>
      </c>
      <c r="CY15" s="156">
        <f t="shared" si="13"/>
        <v>125.582477754962</v>
      </c>
      <c r="CZ15" s="223">
        <v>4</v>
      </c>
      <c r="DA15" s="746">
        <f t="shared" si="35"/>
        <v>-30.4</v>
      </c>
      <c r="DB15" s="746">
        <f t="shared" si="36"/>
        <v>-30.35</v>
      </c>
      <c r="DC15" s="746">
        <f t="shared" si="14"/>
        <v>-30.35</v>
      </c>
      <c r="DE15" s="134" t="str">
        <f>IF(COUNTIF(DE$7:DE14,C15)&gt;0,"",C15)&amp;""</f>
        <v/>
      </c>
      <c r="DF15" s="138">
        <f t="shared" si="15"/>
        <v>0</v>
      </c>
      <c r="DG15" s="132">
        <f t="shared" si="16"/>
        <v>1</v>
      </c>
      <c r="DH15" s="138">
        <f t="shared" si="17"/>
        <v>0</v>
      </c>
      <c r="DI15" s="132">
        <f t="shared" si="18"/>
        <v>1</v>
      </c>
      <c r="DJ15" s="147" t="s">
        <v>1659</v>
      </c>
      <c r="DK15" s="132" t="str">
        <f>CONCATENATE(DK10,DL10,DK11,DL11,DK12,DL12,DK13,DL13,DK14)</f>
        <v/>
      </c>
      <c r="DL15" s="132"/>
      <c r="DM15" s="796" t="s">
        <v>4067</v>
      </c>
      <c r="DN15" s="75">
        <v>402.95</v>
      </c>
    </row>
    <row r="16" ht="15" customHeight="1" spans="1:118">
      <c r="A16" s="785" t="str">
        <f>IF(C16="","",COUNT(A$7:A15)+1)</f>
        <v/>
      </c>
      <c r="B16" s="141"/>
      <c r="C16" s="139"/>
      <c r="D16" s="141"/>
      <c r="E16" s="535"/>
      <c r="F16" s="535"/>
      <c r="G16" s="141"/>
      <c r="H16" s="536"/>
      <c r="I16" s="139"/>
      <c r="J16" s="141"/>
      <c r="K16" s="141"/>
      <c r="L16" s="140"/>
      <c r="M16" s="140"/>
      <c r="N16" s="142"/>
      <c r="O16" s="127"/>
      <c r="P16" s="128"/>
      <c r="Q16" s="128"/>
      <c r="R16" s="129"/>
      <c r="S16" s="143"/>
      <c r="T16" s="143"/>
      <c r="U16" s="143"/>
      <c r="V16" s="144"/>
      <c r="W16" s="144"/>
      <c r="X16" s="144"/>
      <c r="Y16" s="129" t="str">
        <f t="shared" si="0"/>
        <v/>
      </c>
      <c r="Z16" s="129" t="str">
        <f t="shared" si="1"/>
        <v/>
      </c>
      <c r="AA16" s="129" t="str">
        <f t="shared" si="2"/>
        <v/>
      </c>
      <c r="AB16" s="129" t="str">
        <f t="shared" si="3"/>
        <v/>
      </c>
      <c r="AC16" s="521" t="str">
        <f t="shared" si="4"/>
        <v/>
      </c>
      <c r="AD16" s="129" t="str">
        <f t="shared" si="5"/>
        <v/>
      </c>
      <c r="AE16" s="129"/>
      <c r="AF16" s="129">
        <v>0</v>
      </c>
      <c r="AG16" s="129" t="str">
        <f t="shared" si="19"/>
        <v/>
      </c>
      <c r="AH16" s="145"/>
      <c r="BC16" s="78"/>
      <c r="BD16" s="132" t="s">
        <v>4075</v>
      </c>
      <c r="BE16" s="133"/>
      <c r="BF16" s="132" t="str">
        <f>IF(OR(C16="",BE16=""),"",COUNTIF(BE$8:BE16,"√"))</f>
        <v/>
      </c>
      <c r="BG16" s="134" t="str">
        <f t="shared" si="6"/>
        <v/>
      </c>
      <c r="BH16" s="135" t="str">
        <f t="shared" si="20"/>
        <v/>
      </c>
      <c r="BI16" s="135" t="str">
        <f t="shared" si="20"/>
        <v/>
      </c>
      <c r="BJ16" s="136"/>
      <c r="BK16" s="137"/>
      <c r="BL16" s="136"/>
      <c r="BM16" s="136"/>
      <c r="BN16" s="136"/>
      <c r="BO16" s="136"/>
      <c r="BP16" s="137"/>
      <c r="BQ16" s="136"/>
      <c r="BR16" s="137"/>
      <c r="BT16" s="787">
        <f t="shared" si="7"/>
        <v>0</v>
      </c>
      <c r="BU16" s="788">
        <f t="shared" si="21"/>
        <v>0</v>
      </c>
      <c r="BV16" s="787">
        <f t="shared" si="22"/>
        <v>0</v>
      </c>
      <c r="BW16" s="787">
        <f t="shared" si="23"/>
        <v>0</v>
      </c>
      <c r="BX16" s="789">
        <f>IFERROR(LOOKUP(L16,基础数据!A:D),1)</f>
        <v>1</v>
      </c>
      <c r="BY16" s="790">
        <f t="shared" si="24"/>
        <v>3.55771976932645</v>
      </c>
      <c r="BZ16" s="787">
        <f t="shared" si="25"/>
        <v>0</v>
      </c>
      <c r="CA16" s="797"/>
      <c r="CB16" s="792">
        <f t="shared" si="26"/>
        <v>0.13</v>
      </c>
      <c r="CC16" s="165" t="s">
        <v>230</v>
      </c>
      <c r="CD16" s="793">
        <v>0</v>
      </c>
      <c r="CE16" s="156">
        <f t="shared" si="8"/>
        <v>0</v>
      </c>
      <c r="CF16" s="156">
        <f t="shared" si="9"/>
        <v>0</v>
      </c>
      <c r="CG16" s="776"/>
      <c r="CH16" s="156">
        <f t="shared" si="27"/>
        <v>0</v>
      </c>
      <c r="CI16" s="156">
        <f t="shared" si="10"/>
        <v>0</v>
      </c>
      <c r="CJ16" s="776"/>
      <c r="CK16" s="156">
        <f t="shared" si="28"/>
        <v>0</v>
      </c>
      <c r="CL16" s="156">
        <f t="shared" si="11"/>
        <v>0</v>
      </c>
      <c r="CM16" s="776"/>
      <c r="CN16" s="156">
        <f t="shared" si="29"/>
        <v>0</v>
      </c>
      <c r="CO16" s="156">
        <f t="shared" si="12"/>
        <v>0</v>
      </c>
      <c r="CP16" s="776"/>
      <c r="CQ16" s="776"/>
      <c r="CR16" s="794">
        <f t="shared" si="30"/>
        <v>0</v>
      </c>
      <c r="CS16" s="156">
        <f t="shared" si="31"/>
        <v>0</v>
      </c>
      <c r="CT16" s="156">
        <f t="shared" si="32"/>
        <v>0</v>
      </c>
      <c r="CU16" s="156">
        <v>0</v>
      </c>
      <c r="CV16" s="795">
        <f>LOOKUP(CU16,参数表!$A$13:$B$19)</f>
        <v>0</v>
      </c>
      <c r="CW16" s="156">
        <f t="shared" si="33"/>
        <v>0</v>
      </c>
      <c r="CX16" s="156">
        <f t="shared" si="34"/>
        <v>0</v>
      </c>
      <c r="CY16" s="156">
        <f t="shared" si="13"/>
        <v>125.582477754962</v>
      </c>
      <c r="CZ16" s="223">
        <v>4</v>
      </c>
      <c r="DA16" s="746">
        <f t="shared" si="35"/>
        <v>-30.4</v>
      </c>
      <c r="DB16" s="746">
        <f t="shared" si="36"/>
        <v>-30.35</v>
      </c>
      <c r="DC16" s="746">
        <f t="shared" si="14"/>
        <v>-30.35</v>
      </c>
      <c r="DE16" s="134" t="str">
        <f>IF(COUNTIF(DE$7:DE15,C16)&gt;0,"",C16)&amp;""</f>
        <v/>
      </c>
      <c r="DF16" s="138">
        <f t="shared" si="15"/>
        <v>0</v>
      </c>
      <c r="DG16" s="132">
        <f t="shared" si="16"/>
        <v>1</v>
      </c>
      <c r="DH16" s="138">
        <f t="shared" si="17"/>
        <v>0</v>
      </c>
      <c r="DI16" s="132">
        <f t="shared" si="18"/>
        <v>1</v>
      </c>
      <c r="DJ16" s="133"/>
      <c r="DK16" s="133"/>
      <c r="DM16" s="796" t="s">
        <v>4067</v>
      </c>
      <c r="DN16" s="75">
        <v>402.9</v>
      </c>
    </row>
    <row r="17" ht="15" customHeight="1" spans="1:118">
      <c r="A17" s="785" t="str">
        <f>IF(C17="","",COUNT(A$7:A16)+1)</f>
        <v/>
      </c>
      <c r="B17" s="141"/>
      <c r="C17" s="139"/>
      <c r="D17" s="141"/>
      <c r="E17" s="535"/>
      <c r="F17" s="535"/>
      <c r="G17" s="141"/>
      <c r="H17" s="536"/>
      <c r="I17" s="139"/>
      <c r="J17" s="141"/>
      <c r="K17" s="141"/>
      <c r="L17" s="140"/>
      <c r="M17" s="140"/>
      <c r="N17" s="142"/>
      <c r="O17" s="127"/>
      <c r="P17" s="128"/>
      <c r="Q17" s="128"/>
      <c r="R17" s="129"/>
      <c r="S17" s="143"/>
      <c r="T17" s="143"/>
      <c r="U17" s="143"/>
      <c r="V17" s="144"/>
      <c r="W17" s="144"/>
      <c r="X17" s="144"/>
      <c r="Y17" s="129" t="str">
        <f t="shared" si="0"/>
        <v/>
      </c>
      <c r="Z17" s="129" t="str">
        <f t="shared" si="1"/>
        <v/>
      </c>
      <c r="AA17" s="129" t="str">
        <f t="shared" si="2"/>
        <v/>
      </c>
      <c r="AB17" s="129" t="str">
        <f t="shared" si="3"/>
        <v/>
      </c>
      <c r="AC17" s="521" t="str">
        <f t="shared" si="4"/>
        <v/>
      </c>
      <c r="AD17" s="129" t="str">
        <f t="shared" si="5"/>
        <v/>
      </c>
      <c r="AE17" s="129"/>
      <c r="AF17" s="129">
        <v>0</v>
      </c>
      <c r="AG17" s="129" t="str">
        <f t="shared" si="19"/>
        <v/>
      </c>
      <c r="AH17" s="145"/>
      <c r="BC17" s="78"/>
      <c r="BD17" s="132" t="s">
        <v>4076</v>
      </c>
      <c r="BE17" s="133"/>
      <c r="BF17" s="132" t="str">
        <f>IF(OR(C17="",BE17=""),"",COUNTIF(BE$8:BE17,"√"))</f>
        <v/>
      </c>
      <c r="BG17" s="134" t="str">
        <f t="shared" si="6"/>
        <v/>
      </c>
      <c r="BH17" s="135" t="str">
        <f t="shared" si="20"/>
        <v/>
      </c>
      <c r="BI17" s="135" t="str">
        <f t="shared" si="20"/>
        <v/>
      </c>
      <c r="BJ17" s="136"/>
      <c r="BK17" s="137"/>
      <c r="BL17" s="136"/>
      <c r="BM17" s="136"/>
      <c r="BN17" s="136"/>
      <c r="BO17" s="136"/>
      <c r="BP17" s="137"/>
      <c r="BQ17" s="136"/>
      <c r="BR17" s="137"/>
      <c r="BT17" s="787">
        <f t="shared" si="7"/>
        <v>0</v>
      </c>
      <c r="BU17" s="788">
        <f t="shared" si="21"/>
        <v>0</v>
      </c>
      <c r="BV17" s="787">
        <f t="shared" si="22"/>
        <v>0</v>
      </c>
      <c r="BW17" s="787">
        <f t="shared" si="23"/>
        <v>0</v>
      </c>
      <c r="BX17" s="789">
        <f>IFERROR(LOOKUP(M17,基础数据!A:D),1)</f>
        <v>1</v>
      </c>
      <c r="BY17" s="790">
        <f t="shared" si="24"/>
        <v>3.55771976932645</v>
      </c>
      <c r="BZ17" s="787">
        <f t="shared" si="25"/>
        <v>0</v>
      </c>
      <c r="CA17" s="797"/>
      <c r="CB17" s="792">
        <f t="shared" si="26"/>
        <v>0.13</v>
      </c>
      <c r="CC17" s="165" t="s">
        <v>230</v>
      </c>
      <c r="CD17" s="793">
        <v>0</v>
      </c>
      <c r="CE17" s="156">
        <f t="shared" si="8"/>
        <v>0</v>
      </c>
      <c r="CF17" s="156">
        <f t="shared" si="9"/>
        <v>0</v>
      </c>
      <c r="CG17" s="776"/>
      <c r="CH17" s="156">
        <f t="shared" si="27"/>
        <v>0</v>
      </c>
      <c r="CI17" s="156">
        <f t="shared" si="10"/>
        <v>0</v>
      </c>
      <c r="CJ17" s="776"/>
      <c r="CK17" s="156">
        <f t="shared" si="28"/>
        <v>0</v>
      </c>
      <c r="CL17" s="156">
        <f t="shared" si="11"/>
        <v>0</v>
      </c>
      <c r="CM17" s="776"/>
      <c r="CN17" s="156">
        <f t="shared" si="29"/>
        <v>0</v>
      </c>
      <c r="CO17" s="156">
        <f t="shared" si="12"/>
        <v>0</v>
      </c>
      <c r="CP17" s="776"/>
      <c r="CQ17" s="776"/>
      <c r="CR17" s="794">
        <f t="shared" si="30"/>
        <v>0</v>
      </c>
      <c r="CS17" s="156">
        <f t="shared" si="31"/>
        <v>0</v>
      </c>
      <c r="CT17" s="156">
        <f t="shared" si="32"/>
        <v>0</v>
      </c>
      <c r="CU17" s="156">
        <v>0</v>
      </c>
      <c r="CV17" s="795">
        <f>LOOKUP(CU17,参数表!$A$13:$B$19)</f>
        <v>0</v>
      </c>
      <c r="CW17" s="156">
        <f t="shared" si="33"/>
        <v>0</v>
      </c>
      <c r="CX17" s="156">
        <f t="shared" si="34"/>
        <v>0</v>
      </c>
      <c r="CY17" s="156">
        <f t="shared" si="13"/>
        <v>125.582477754962</v>
      </c>
      <c r="CZ17" s="223">
        <v>4</v>
      </c>
      <c r="DA17" s="746">
        <f t="shared" si="35"/>
        <v>-30.4</v>
      </c>
      <c r="DB17" s="746">
        <f t="shared" si="36"/>
        <v>-30.35</v>
      </c>
      <c r="DC17" s="746">
        <f t="shared" si="14"/>
        <v>-30.35</v>
      </c>
      <c r="DE17" s="134" t="str">
        <f>IF(COUNTIF(DE$7:DE16,C17)&gt;0,"",C17)&amp;""</f>
        <v/>
      </c>
      <c r="DF17" s="138">
        <f t="shared" si="15"/>
        <v>0</v>
      </c>
      <c r="DG17" s="132">
        <f t="shared" si="16"/>
        <v>1</v>
      </c>
      <c r="DH17" s="138">
        <f t="shared" si="17"/>
        <v>0</v>
      </c>
      <c r="DI17" s="132">
        <f t="shared" si="18"/>
        <v>1</v>
      </c>
      <c r="DJ17" s="133"/>
      <c r="DK17" s="148"/>
      <c r="DM17" s="796" t="s">
        <v>4067</v>
      </c>
      <c r="DN17" s="75">
        <v>403.05</v>
      </c>
    </row>
    <row r="18" ht="15" customHeight="1" spans="1:118">
      <c r="A18" s="785" t="str">
        <f>IF(C18="","",COUNT(A$7:A17)+1)</f>
        <v/>
      </c>
      <c r="B18" s="141"/>
      <c r="C18" s="139"/>
      <c r="D18" s="141"/>
      <c r="E18" s="535"/>
      <c r="F18" s="535"/>
      <c r="G18" s="141"/>
      <c r="H18" s="536"/>
      <c r="I18" s="139"/>
      <c r="J18" s="141"/>
      <c r="K18" s="141"/>
      <c r="L18" s="140"/>
      <c r="M18" s="140"/>
      <c r="N18" s="142"/>
      <c r="O18" s="127"/>
      <c r="P18" s="128"/>
      <c r="Q18" s="128"/>
      <c r="R18" s="129"/>
      <c r="S18" s="143"/>
      <c r="T18" s="143"/>
      <c r="U18" s="143"/>
      <c r="V18" s="144"/>
      <c r="W18" s="144"/>
      <c r="X18" s="144"/>
      <c r="Y18" s="129" t="str">
        <f t="shared" si="0"/>
        <v/>
      </c>
      <c r="Z18" s="129" t="str">
        <f t="shared" si="1"/>
        <v/>
      </c>
      <c r="AA18" s="129" t="str">
        <f t="shared" si="2"/>
        <v/>
      </c>
      <c r="AB18" s="129" t="str">
        <f t="shared" si="3"/>
        <v/>
      </c>
      <c r="AC18" s="521" t="str">
        <f t="shared" si="4"/>
        <v/>
      </c>
      <c r="AD18" s="129" t="str">
        <f t="shared" si="5"/>
        <v/>
      </c>
      <c r="AE18" s="129"/>
      <c r="AF18" s="129">
        <v>0</v>
      </c>
      <c r="AG18" s="129" t="str">
        <f t="shared" si="19"/>
        <v/>
      </c>
      <c r="AH18" s="145"/>
      <c r="BC18" s="78"/>
      <c r="BD18" s="132" t="s">
        <v>4077</v>
      </c>
      <c r="BE18" s="133"/>
      <c r="BF18" s="132" t="str">
        <f>IF(OR(C18="",BE18=""),"",COUNTIF(BE$8:BE18,"√"))</f>
        <v/>
      </c>
      <c r="BG18" s="134" t="str">
        <f t="shared" si="6"/>
        <v/>
      </c>
      <c r="BH18" s="135" t="str">
        <f t="shared" si="20"/>
        <v/>
      </c>
      <c r="BI18" s="135" t="str">
        <f t="shared" si="20"/>
        <v/>
      </c>
      <c r="BJ18" s="136"/>
      <c r="BK18" s="137"/>
      <c r="BL18" s="136"/>
      <c r="BM18" s="136"/>
      <c r="BN18" s="136"/>
      <c r="BO18" s="136"/>
      <c r="BP18" s="137"/>
      <c r="BQ18" s="136"/>
      <c r="BR18" s="137"/>
      <c r="BT18" s="787">
        <f t="shared" si="7"/>
        <v>0</v>
      </c>
      <c r="BU18" s="788">
        <f t="shared" si="21"/>
        <v>0</v>
      </c>
      <c r="BV18" s="787">
        <f t="shared" si="22"/>
        <v>0</v>
      </c>
      <c r="BW18" s="787">
        <v>1025.64</v>
      </c>
      <c r="BX18" s="789">
        <f>IFERROR(LOOKUP(M18,基础数据!A:D),1)</f>
        <v>1</v>
      </c>
      <c r="BY18" s="790">
        <f t="shared" si="24"/>
        <v>3.55771976932645</v>
      </c>
      <c r="BZ18" s="787">
        <f t="shared" si="25"/>
        <v>3650</v>
      </c>
      <c r="CA18" s="797"/>
      <c r="CB18" s="792">
        <f t="shared" si="26"/>
        <v>0.13</v>
      </c>
      <c r="CC18" s="165" t="s">
        <v>2706</v>
      </c>
      <c r="CD18" s="793">
        <v>0</v>
      </c>
      <c r="CE18" s="156">
        <f t="shared" si="8"/>
        <v>0</v>
      </c>
      <c r="CF18" s="156">
        <f t="shared" si="9"/>
        <v>0</v>
      </c>
      <c r="CG18" s="776"/>
      <c r="CH18" s="156">
        <f t="shared" si="27"/>
        <v>0</v>
      </c>
      <c r="CI18" s="156">
        <f t="shared" si="10"/>
        <v>0</v>
      </c>
      <c r="CJ18" s="776"/>
      <c r="CK18" s="156">
        <f t="shared" si="28"/>
        <v>0</v>
      </c>
      <c r="CL18" s="156">
        <f t="shared" si="11"/>
        <v>0</v>
      </c>
      <c r="CM18" s="776"/>
      <c r="CN18" s="156">
        <f t="shared" si="29"/>
        <v>0</v>
      </c>
      <c r="CO18" s="156">
        <f t="shared" si="12"/>
        <v>0</v>
      </c>
      <c r="CP18" s="776"/>
      <c r="CQ18" s="776"/>
      <c r="CR18" s="794">
        <f t="shared" si="30"/>
        <v>0</v>
      </c>
      <c r="CS18" s="156">
        <f t="shared" si="31"/>
        <v>0</v>
      </c>
      <c r="CT18" s="156">
        <f t="shared" si="32"/>
        <v>0</v>
      </c>
      <c r="CU18" s="156">
        <v>0</v>
      </c>
      <c r="CV18" s="795">
        <f>LOOKUP(CU18,参数表!$A$13:$B$19)</f>
        <v>0</v>
      </c>
      <c r="CW18" s="156">
        <f t="shared" si="33"/>
        <v>0</v>
      </c>
      <c r="CX18" s="156">
        <f t="shared" si="34"/>
        <v>0</v>
      </c>
      <c r="CY18" s="156">
        <f t="shared" si="13"/>
        <v>125.582477754962</v>
      </c>
      <c r="CZ18" s="223">
        <v>7</v>
      </c>
      <c r="DA18" s="746">
        <f t="shared" si="35"/>
        <v>-16.94</v>
      </c>
      <c r="DB18" s="746">
        <f t="shared" si="36"/>
        <v>-16.89</v>
      </c>
      <c r="DC18" s="746">
        <f t="shared" si="14"/>
        <v>-16.89</v>
      </c>
      <c r="DE18" s="134" t="str">
        <f>IF(COUNTIF(DE$7:DE17,C18)&gt;0,"",C18)&amp;""</f>
        <v/>
      </c>
      <c r="DF18" s="138">
        <f t="shared" si="15"/>
        <v>0</v>
      </c>
      <c r="DG18" s="132">
        <f t="shared" si="16"/>
        <v>1</v>
      </c>
      <c r="DH18" s="138">
        <f t="shared" si="17"/>
        <v>0</v>
      </c>
      <c r="DI18" s="132">
        <f t="shared" si="18"/>
        <v>1</v>
      </c>
      <c r="DJ18" s="133"/>
      <c r="DK18" s="133"/>
      <c r="DM18" s="796" t="s">
        <v>4078</v>
      </c>
      <c r="DN18" s="75">
        <v>160.83</v>
      </c>
    </row>
    <row r="19" ht="15" customHeight="1" spans="1:118">
      <c r="A19" s="785" t="str">
        <f>IF(C19="","",COUNT(A$7:A18)+1)</f>
        <v/>
      </c>
      <c r="B19" s="141"/>
      <c r="C19" s="139"/>
      <c r="D19" s="141"/>
      <c r="E19" s="535"/>
      <c r="F19" s="535"/>
      <c r="G19" s="141"/>
      <c r="H19" s="536"/>
      <c r="I19" s="139"/>
      <c r="J19" s="141"/>
      <c r="K19" s="141"/>
      <c r="L19" s="140"/>
      <c r="M19" s="140"/>
      <c r="N19" s="142"/>
      <c r="O19" s="127"/>
      <c r="P19" s="128"/>
      <c r="Q19" s="128"/>
      <c r="R19" s="129"/>
      <c r="S19" s="143"/>
      <c r="T19" s="143"/>
      <c r="U19" s="143"/>
      <c r="V19" s="144"/>
      <c r="W19" s="144"/>
      <c r="X19" s="144"/>
      <c r="Y19" s="129" t="str">
        <f t="shared" si="0"/>
        <v/>
      </c>
      <c r="Z19" s="129" t="str">
        <f t="shared" si="1"/>
        <v/>
      </c>
      <c r="AA19" s="129" t="str">
        <f t="shared" si="2"/>
        <v/>
      </c>
      <c r="AB19" s="129" t="str">
        <f t="shared" si="3"/>
        <v/>
      </c>
      <c r="AC19" s="521" t="str">
        <f t="shared" si="4"/>
        <v/>
      </c>
      <c r="AD19" s="129" t="str">
        <f t="shared" si="5"/>
        <v/>
      </c>
      <c r="AE19" s="129"/>
      <c r="AF19" s="129">
        <v>0</v>
      </c>
      <c r="AG19" s="129" t="str">
        <f t="shared" si="19"/>
        <v/>
      </c>
      <c r="AH19" s="145"/>
      <c r="BC19" s="78"/>
      <c r="BD19" s="132" t="s">
        <v>4079</v>
      </c>
      <c r="BE19" s="133"/>
      <c r="BF19" s="132" t="str">
        <f>IF(OR(C19="",BE19=""),"",COUNTIF(BE$8:BE19,"√"))</f>
        <v/>
      </c>
      <c r="BG19" s="134" t="str">
        <f t="shared" si="6"/>
        <v/>
      </c>
      <c r="BH19" s="135" t="str">
        <f t="shared" si="20"/>
        <v/>
      </c>
      <c r="BI19" s="135" t="str">
        <f t="shared" si="20"/>
        <v/>
      </c>
      <c r="BJ19" s="136"/>
      <c r="BK19" s="137"/>
      <c r="BL19" s="136"/>
      <c r="BM19" s="136"/>
      <c r="BN19" s="136"/>
      <c r="BO19" s="136"/>
      <c r="BP19" s="137"/>
      <c r="BQ19" s="136"/>
      <c r="BR19" s="137"/>
      <c r="BT19" s="787">
        <f t="shared" si="7"/>
        <v>0</v>
      </c>
      <c r="BU19" s="788">
        <f t="shared" si="21"/>
        <v>0</v>
      </c>
      <c r="BV19" s="787">
        <f t="shared" si="22"/>
        <v>0</v>
      </c>
      <c r="BW19" s="787">
        <v>1025.64</v>
      </c>
      <c r="BX19" s="789">
        <f>IFERROR(LOOKUP(M19,基础数据!A:D),1)</f>
        <v>1</v>
      </c>
      <c r="BY19" s="790">
        <f t="shared" si="24"/>
        <v>3.55771976932645</v>
      </c>
      <c r="BZ19" s="787">
        <f t="shared" ref="BZ19:BZ24" si="38">ROUND(BW19*BY19,-1)</f>
        <v>3650</v>
      </c>
      <c r="CA19" s="797"/>
      <c r="CB19" s="792">
        <f t="shared" si="26"/>
        <v>0.13</v>
      </c>
      <c r="CC19" s="165" t="s">
        <v>2706</v>
      </c>
      <c r="CD19" s="793">
        <v>0</v>
      </c>
      <c r="CE19" s="156">
        <f t="shared" si="8"/>
        <v>0</v>
      </c>
      <c r="CF19" s="156">
        <f t="shared" si="9"/>
        <v>0</v>
      </c>
      <c r="CG19" s="776"/>
      <c r="CH19" s="156">
        <f t="shared" si="27"/>
        <v>0</v>
      </c>
      <c r="CI19" s="156">
        <f t="shared" si="10"/>
        <v>0</v>
      </c>
      <c r="CJ19" s="776"/>
      <c r="CK19" s="156">
        <f t="shared" si="28"/>
        <v>0</v>
      </c>
      <c r="CL19" s="156">
        <f t="shared" si="11"/>
        <v>0</v>
      </c>
      <c r="CM19" s="776"/>
      <c r="CN19" s="156">
        <f t="shared" si="29"/>
        <v>0</v>
      </c>
      <c r="CO19" s="156">
        <f t="shared" si="12"/>
        <v>0</v>
      </c>
      <c r="CP19" s="776"/>
      <c r="CQ19" s="776"/>
      <c r="CR19" s="794">
        <f t="shared" si="30"/>
        <v>0</v>
      </c>
      <c r="CS19" s="156">
        <f t="shared" si="31"/>
        <v>0</v>
      </c>
      <c r="CT19" s="156">
        <f t="shared" si="32"/>
        <v>0</v>
      </c>
      <c r="CU19" s="156">
        <v>0</v>
      </c>
      <c r="CV19" s="795">
        <f>LOOKUP(CU19,参数表!$A$13:$B$19)</f>
        <v>0</v>
      </c>
      <c r="CW19" s="156">
        <f t="shared" si="33"/>
        <v>0</v>
      </c>
      <c r="CX19" s="156">
        <f t="shared" si="34"/>
        <v>0</v>
      </c>
      <c r="CY19" s="156">
        <f t="shared" si="13"/>
        <v>125.582477754962</v>
      </c>
      <c r="CZ19" s="223">
        <v>7</v>
      </c>
      <c r="DA19" s="746">
        <f t="shared" si="35"/>
        <v>-16.94</v>
      </c>
      <c r="DB19" s="746">
        <f t="shared" si="36"/>
        <v>-16.89</v>
      </c>
      <c r="DC19" s="746">
        <f t="shared" si="14"/>
        <v>-16.89</v>
      </c>
      <c r="DE19" s="134" t="str">
        <f>IF(COUNTIF(DE$7:DE18,C19)&gt;0,"",C19)&amp;""</f>
        <v/>
      </c>
      <c r="DF19" s="138">
        <f t="shared" si="15"/>
        <v>0</v>
      </c>
      <c r="DG19" s="132">
        <f t="shared" si="16"/>
        <v>1</v>
      </c>
      <c r="DH19" s="138">
        <f t="shared" si="17"/>
        <v>0</v>
      </c>
      <c r="DI19" s="132">
        <f t="shared" si="18"/>
        <v>1</v>
      </c>
      <c r="DJ19" s="133"/>
      <c r="DK19" s="133"/>
      <c r="DM19" s="796" t="s">
        <v>4078</v>
      </c>
      <c r="DN19" s="75">
        <v>160.83</v>
      </c>
    </row>
    <row r="20" ht="15" customHeight="1" spans="1:118">
      <c r="A20" s="785" t="str">
        <f>IF(C20="","",COUNT(A$7:A19)+1)</f>
        <v/>
      </c>
      <c r="B20" s="141"/>
      <c r="C20" s="139"/>
      <c r="D20" s="141"/>
      <c r="E20" s="535"/>
      <c r="F20" s="535"/>
      <c r="G20" s="141"/>
      <c r="H20" s="536"/>
      <c r="I20" s="139"/>
      <c r="J20" s="141"/>
      <c r="K20" s="141"/>
      <c r="L20" s="140"/>
      <c r="M20" s="140"/>
      <c r="N20" s="142"/>
      <c r="O20" s="127"/>
      <c r="P20" s="128"/>
      <c r="Q20" s="128"/>
      <c r="R20" s="129"/>
      <c r="S20" s="143"/>
      <c r="T20" s="143"/>
      <c r="U20" s="143"/>
      <c r="V20" s="144"/>
      <c r="W20" s="144"/>
      <c r="X20" s="144"/>
      <c r="Y20" s="129" t="str">
        <f t="shared" si="0"/>
        <v/>
      </c>
      <c r="Z20" s="129" t="str">
        <f t="shared" si="1"/>
        <v/>
      </c>
      <c r="AA20" s="129" t="str">
        <f t="shared" si="2"/>
        <v/>
      </c>
      <c r="AB20" s="129" t="str">
        <f t="shared" si="3"/>
        <v/>
      </c>
      <c r="AC20" s="521" t="str">
        <f t="shared" si="4"/>
        <v/>
      </c>
      <c r="AD20" s="129" t="str">
        <f t="shared" si="5"/>
        <v/>
      </c>
      <c r="AE20" s="129"/>
      <c r="AF20" s="129">
        <v>0</v>
      </c>
      <c r="AG20" s="129" t="str">
        <f t="shared" si="19"/>
        <v/>
      </c>
      <c r="AH20" s="145"/>
      <c r="BC20" s="78"/>
      <c r="BD20" s="132" t="s">
        <v>4080</v>
      </c>
      <c r="BE20" s="133"/>
      <c r="BF20" s="132" t="str">
        <f>IF(OR(C20="",BE20=""),"",COUNTIF(BE$8:BE20,"√"))</f>
        <v/>
      </c>
      <c r="BG20" s="134" t="str">
        <f t="shared" si="6"/>
        <v/>
      </c>
      <c r="BH20" s="135" t="str">
        <f t="shared" si="20"/>
        <v/>
      </c>
      <c r="BI20" s="135" t="str">
        <f t="shared" si="20"/>
        <v/>
      </c>
      <c r="BJ20" s="136"/>
      <c r="BK20" s="137"/>
      <c r="BL20" s="136"/>
      <c r="BM20" s="136"/>
      <c r="BN20" s="136"/>
      <c r="BO20" s="136"/>
      <c r="BP20" s="137"/>
      <c r="BQ20" s="136"/>
      <c r="BR20" s="137"/>
      <c r="BT20" s="787">
        <f t="shared" si="7"/>
        <v>0</v>
      </c>
      <c r="BU20" s="788">
        <f t="shared" si="21"/>
        <v>0</v>
      </c>
      <c r="BV20" s="787">
        <f t="shared" si="22"/>
        <v>0</v>
      </c>
      <c r="BW20" s="787">
        <v>1025.64</v>
      </c>
      <c r="BX20" s="789">
        <f>IFERROR(LOOKUP(M20,基础数据!A:D),1)</f>
        <v>1</v>
      </c>
      <c r="BY20" s="790">
        <f t="shared" si="24"/>
        <v>3.55771976932645</v>
      </c>
      <c r="BZ20" s="787">
        <f t="shared" si="38"/>
        <v>3650</v>
      </c>
      <c r="CA20" s="797"/>
      <c r="CB20" s="792">
        <f t="shared" si="26"/>
        <v>0.13</v>
      </c>
      <c r="CC20" s="165" t="s">
        <v>2706</v>
      </c>
      <c r="CD20" s="793">
        <v>0</v>
      </c>
      <c r="CE20" s="156">
        <f t="shared" si="8"/>
        <v>0</v>
      </c>
      <c r="CF20" s="156">
        <f t="shared" si="9"/>
        <v>0</v>
      </c>
      <c r="CG20" s="776"/>
      <c r="CH20" s="156">
        <f t="shared" si="27"/>
        <v>0</v>
      </c>
      <c r="CI20" s="156">
        <f t="shared" si="10"/>
        <v>0</v>
      </c>
      <c r="CJ20" s="776"/>
      <c r="CK20" s="156">
        <f t="shared" si="28"/>
        <v>0</v>
      </c>
      <c r="CL20" s="156">
        <f t="shared" si="11"/>
        <v>0</v>
      </c>
      <c r="CM20" s="776"/>
      <c r="CN20" s="156">
        <f t="shared" si="29"/>
        <v>0</v>
      </c>
      <c r="CO20" s="156">
        <f t="shared" si="12"/>
        <v>0</v>
      </c>
      <c r="CP20" s="776"/>
      <c r="CQ20" s="776"/>
      <c r="CR20" s="794">
        <f t="shared" si="30"/>
        <v>0</v>
      </c>
      <c r="CS20" s="156">
        <f t="shared" si="31"/>
        <v>0</v>
      </c>
      <c r="CT20" s="156">
        <f t="shared" si="32"/>
        <v>0</v>
      </c>
      <c r="CU20" s="156">
        <v>0</v>
      </c>
      <c r="CV20" s="795">
        <f>LOOKUP(CU20,参数表!$A$13:$B$19)</f>
        <v>0</v>
      </c>
      <c r="CW20" s="156">
        <f t="shared" si="33"/>
        <v>0</v>
      </c>
      <c r="CX20" s="156">
        <f t="shared" si="34"/>
        <v>0</v>
      </c>
      <c r="CY20" s="156">
        <f t="shared" si="13"/>
        <v>125.582477754962</v>
      </c>
      <c r="CZ20" s="223">
        <v>7</v>
      </c>
      <c r="DA20" s="746">
        <f t="shared" si="35"/>
        <v>-16.94</v>
      </c>
      <c r="DB20" s="746">
        <f t="shared" si="36"/>
        <v>-16.89</v>
      </c>
      <c r="DC20" s="746">
        <f t="shared" si="14"/>
        <v>-16.89</v>
      </c>
      <c r="DE20" s="134" t="str">
        <f>IF(COUNTIF(DE$7:DE19,C20)&gt;0,"",C20)&amp;""</f>
        <v/>
      </c>
      <c r="DF20" s="138">
        <f t="shared" si="15"/>
        <v>0</v>
      </c>
      <c r="DG20" s="132">
        <f t="shared" si="16"/>
        <v>1</v>
      </c>
      <c r="DH20" s="138">
        <f t="shared" si="17"/>
        <v>0</v>
      </c>
      <c r="DI20" s="132">
        <f t="shared" si="18"/>
        <v>1</v>
      </c>
      <c r="DJ20" s="133"/>
      <c r="DK20" s="133"/>
      <c r="DM20" s="796" t="s">
        <v>4078</v>
      </c>
      <c r="DN20" s="75">
        <v>160.83</v>
      </c>
    </row>
    <row r="21" ht="15" customHeight="1" spans="1:118">
      <c r="A21" s="785" t="str">
        <f>IF(C21="","",COUNT(A$7:A20)+1)</f>
        <v/>
      </c>
      <c r="B21" s="141"/>
      <c r="C21" s="139"/>
      <c r="D21" s="141"/>
      <c r="E21" s="535"/>
      <c r="F21" s="535"/>
      <c r="G21" s="141"/>
      <c r="H21" s="536"/>
      <c r="I21" s="139"/>
      <c r="J21" s="141"/>
      <c r="K21" s="141"/>
      <c r="L21" s="140"/>
      <c r="M21" s="140"/>
      <c r="N21" s="142"/>
      <c r="O21" s="127"/>
      <c r="P21" s="128"/>
      <c r="Q21" s="128"/>
      <c r="R21" s="129"/>
      <c r="S21" s="143"/>
      <c r="T21" s="143"/>
      <c r="U21" s="143"/>
      <c r="V21" s="144"/>
      <c r="W21" s="144"/>
      <c r="X21" s="144"/>
      <c r="Y21" s="129" t="str">
        <f t="shared" si="0"/>
        <v/>
      </c>
      <c r="Z21" s="129" t="str">
        <f t="shared" si="1"/>
        <v/>
      </c>
      <c r="AA21" s="129" t="str">
        <f t="shared" si="2"/>
        <v/>
      </c>
      <c r="AB21" s="129" t="str">
        <f t="shared" si="3"/>
        <v/>
      </c>
      <c r="AC21" s="521" t="str">
        <f t="shared" si="4"/>
        <v/>
      </c>
      <c r="AD21" s="129" t="str">
        <f t="shared" si="5"/>
        <v/>
      </c>
      <c r="AE21" s="129"/>
      <c r="AF21" s="129">
        <v>0</v>
      </c>
      <c r="AG21" s="129" t="str">
        <f t="shared" si="19"/>
        <v/>
      </c>
      <c r="AH21" s="145"/>
      <c r="BC21" s="78"/>
      <c r="BD21" s="132" t="s">
        <v>4081</v>
      </c>
      <c r="BE21" s="133"/>
      <c r="BF21" s="132" t="str">
        <f>IF(OR(C21="",BE21=""),"",COUNTIF(BE$8:BE21,"√"))</f>
        <v/>
      </c>
      <c r="BG21" s="134" t="str">
        <f t="shared" si="6"/>
        <v/>
      </c>
      <c r="BH21" s="135" t="str">
        <f t="shared" si="20"/>
        <v/>
      </c>
      <c r="BI21" s="135" t="str">
        <f t="shared" si="20"/>
        <v/>
      </c>
      <c r="BJ21" s="136"/>
      <c r="BK21" s="137"/>
      <c r="BL21" s="136"/>
      <c r="BM21" s="136"/>
      <c r="BN21" s="136"/>
      <c r="BO21" s="136"/>
      <c r="BP21" s="137"/>
      <c r="BQ21" s="136"/>
      <c r="BR21" s="137"/>
      <c r="BT21" s="787">
        <f t="shared" si="7"/>
        <v>0</v>
      </c>
      <c r="BU21" s="788">
        <f t="shared" si="21"/>
        <v>0</v>
      </c>
      <c r="BV21" s="787">
        <f t="shared" si="22"/>
        <v>0</v>
      </c>
      <c r="BW21" s="787">
        <v>1025.64</v>
      </c>
      <c r="BX21" s="789">
        <f>IFERROR(LOOKUP(M21,基础数据!A:D),1)</f>
        <v>1</v>
      </c>
      <c r="BY21" s="790">
        <f t="shared" si="24"/>
        <v>3.55771976932645</v>
      </c>
      <c r="BZ21" s="787">
        <f t="shared" si="38"/>
        <v>3650</v>
      </c>
      <c r="CA21" s="797"/>
      <c r="CB21" s="792">
        <f t="shared" si="26"/>
        <v>0.13</v>
      </c>
      <c r="CC21" s="165" t="s">
        <v>2706</v>
      </c>
      <c r="CD21" s="793">
        <v>0</v>
      </c>
      <c r="CE21" s="156">
        <f t="shared" si="8"/>
        <v>0</v>
      </c>
      <c r="CF21" s="156">
        <f t="shared" si="9"/>
        <v>0</v>
      </c>
      <c r="CG21" s="776"/>
      <c r="CH21" s="156">
        <f t="shared" si="27"/>
        <v>0</v>
      </c>
      <c r="CI21" s="156">
        <f t="shared" si="10"/>
        <v>0</v>
      </c>
      <c r="CJ21" s="776"/>
      <c r="CK21" s="156">
        <f t="shared" ref="CK21:CK25" si="39">ROUND(CE21*CJ21,2)</f>
        <v>0</v>
      </c>
      <c r="CL21" s="156">
        <f t="shared" si="11"/>
        <v>0</v>
      </c>
      <c r="CM21" s="776"/>
      <c r="CN21" s="156">
        <f t="shared" si="29"/>
        <v>0</v>
      </c>
      <c r="CO21" s="156">
        <f t="shared" si="12"/>
        <v>0</v>
      </c>
      <c r="CP21" s="776"/>
      <c r="CQ21" s="776"/>
      <c r="CR21" s="794">
        <f t="shared" si="30"/>
        <v>0</v>
      </c>
      <c r="CS21" s="156">
        <f t="shared" ref="CS21:CS25" si="40">ROUND(SUM(CE21,CH21,CK21,CN21)*CP21,2)</f>
        <v>0</v>
      </c>
      <c r="CT21" s="156">
        <f t="shared" si="32"/>
        <v>0</v>
      </c>
      <c r="CU21" s="156">
        <v>0</v>
      </c>
      <c r="CV21" s="795">
        <f>LOOKUP(CU21,参数表!$A$13:$B$19)</f>
        <v>0</v>
      </c>
      <c r="CW21" s="156">
        <f t="shared" si="33"/>
        <v>0</v>
      </c>
      <c r="CX21" s="156">
        <f t="shared" ref="CX21:CX25" si="41">ROUND(SUM(CE21,CH21,CK21,CN21,CT21,CW21)-SUM(CF21,CI21,CL21,CO21),-2)</f>
        <v>0</v>
      </c>
      <c r="CY21" s="156">
        <f t="shared" si="13"/>
        <v>125.582477754962</v>
      </c>
      <c r="CZ21" s="223">
        <v>7</v>
      </c>
      <c r="DA21" s="746">
        <f t="shared" si="35"/>
        <v>-16.94</v>
      </c>
      <c r="DB21" s="746">
        <f t="shared" si="36"/>
        <v>-16.89</v>
      </c>
      <c r="DC21" s="746">
        <f t="shared" si="14"/>
        <v>-16.89</v>
      </c>
      <c r="DE21" s="134" t="str">
        <f>IF(COUNTIF(DE$7:DE20,C21)&gt;0,"",C21)&amp;""</f>
        <v/>
      </c>
      <c r="DF21" s="138">
        <f t="shared" si="15"/>
        <v>0</v>
      </c>
      <c r="DG21" s="132">
        <f t="shared" si="16"/>
        <v>1</v>
      </c>
      <c r="DH21" s="138">
        <f t="shared" si="17"/>
        <v>0</v>
      </c>
      <c r="DI21" s="132">
        <f t="shared" si="18"/>
        <v>1</v>
      </c>
      <c r="DJ21" s="133"/>
      <c r="DK21" s="133"/>
      <c r="DM21" s="796" t="s">
        <v>4078</v>
      </c>
      <c r="DN21" s="75">
        <v>160.83</v>
      </c>
    </row>
    <row r="22" ht="15" customHeight="1" spans="1:118">
      <c r="A22" s="785" t="str">
        <f>IF(C22="","",COUNT(A$7:A21)+1)</f>
        <v/>
      </c>
      <c r="B22" s="141"/>
      <c r="C22" s="139"/>
      <c r="D22" s="141"/>
      <c r="E22" s="535"/>
      <c r="F22" s="535"/>
      <c r="G22" s="141"/>
      <c r="H22" s="536"/>
      <c r="I22" s="139"/>
      <c r="J22" s="141"/>
      <c r="K22" s="141"/>
      <c r="L22" s="140"/>
      <c r="M22" s="140"/>
      <c r="N22" s="142"/>
      <c r="O22" s="127"/>
      <c r="P22" s="128"/>
      <c r="Q22" s="128"/>
      <c r="R22" s="129"/>
      <c r="S22" s="143"/>
      <c r="T22" s="143"/>
      <c r="U22" s="143"/>
      <c r="V22" s="144"/>
      <c r="W22" s="144"/>
      <c r="X22" s="144"/>
      <c r="Y22" s="129" t="str">
        <f t="shared" si="0"/>
        <v/>
      </c>
      <c r="Z22" s="129" t="str">
        <f t="shared" si="1"/>
        <v/>
      </c>
      <c r="AA22" s="129" t="str">
        <f t="shared" si="2"/>
        <v/>
      </c>
      <c r="AB22" s="129" t="str">
        <f t="shared" si="3"/>
        <v/>
      </c>
      <c r="AC22" s="521" t="str">
        <f t="shared" si="4"/>
        <v/>
      </c>
      <c r="AD22" s="129" t="str">
        <f t="shared" si="5"/>
        <v/>
      </c>
      <c r="AE22" s="129"/>
      <c r="AF22" s="129">
        <v>0</v>
      </c>
      <c r="AG22" s="129" t="str">
        <f t="shared" si="19"/>
        <v/>
      </c>
      <c r="AH22" s="145"/>
      <c r="BC22" s="78"/>
      <c r="BD22" s="132" t="s">
        <v>4082</v>
      </c>
      <c r="BE22" s="133"/>
      <c r="BF22" s="132" t="str">
        <f>IF(OR(C22="",BE22=""),"",COUNTIF(BE$8:BE22,"√"))</f>
        <v/>
      </c>
      <c r="BG22" s="134" t="str">
        <f t="shared" si="6"/>
        <v/>
      </c>
      <c r="BH22" s="135" t="str">
        <f t="shared" si="20"/>
        <v/>
      </c>
      <c r="BI22" s="135" t="str">
        <f t="shared" si="20"/>
        <v/>
      </c>
      <c r="BJ22" s="136"/>
      <c r="BK22" s="137"/>
      <c r="BL22" s="136"/>
      <c r="BM22" s="136"/>
      <c r="BN22" s="136"/>
      <c r="BO22" s="136"/>
      <c r="BP22" s="137"/>
      <c r="BQ22" s="136"/>
      <c r="BR22" s="137"/>
      <c r="BT22" s="787">
        <f t="shared" si="7"/>
        <v>0</v>
      </c>
      <c r="BU22" s="788">
        <f t="shared" si="21"/>
        <v>0</v>
      </c>
      <c r="BV22" s="787">
        <f t="shared" si="22"/>
        <v>0</v>
      </c>
      <c r="BW22" s="787">
        <v>1025.64</v>
      </c>
      <c r="BX22" s="789">
        <f>IFERROR(LOOKUP(M22,基础数据!A:D),1)</f>
        <v>1</v>
      </c>
      <c r="BY22" s="790">
        <f t="shared" si="24"/>
        <v>3.55771976932645</v>
      </c>
      <c r="BZ22" s="787">
        <f t="shared" si="38"/>
        <v>3650</v>
      </c>
      <c r="CA22" s="797"/>
      <c r="CB22" s="792">
        <f t="shared" si="26"/>
        <v>0.13</v>
      </c>
      <c r="CC22" s="165" t="s">
        <v>2706</v>
      </c>
      <c r="CD22" s="793">
        <v>0</v>
      </c>
      <c r="CE22" s="156">
        <f t="shared" si="8"/>
        <v>0</v>
      </c>
      <c r="CF22" s="156">
        <f t="shared" si="9"/>
        <v>0</v>
      </c>
      <c r="CG22" s="776"/>
      <c r="CH22" s="156">
        <f t="shared" si="27"/>
        <v>0</v>
      </c>
      <c r="CI22" s="156">
        <f t="shared" si="10"/>
        <v>0</v>
      </c>
      <c r="CJ22" s="776"/>
      <c r="CK22" s="156">
        <f t="shared" si="39"/>
        <v>0</v>
      </c>
      <c r="CL22" s="156">
        <f t="shared" si="11"/>
        <v>0</v>
      </c>
      <c r="CM22" s="776"/>
      <c r="CN22" s="156">
        <f t="shared" si="29"/>
        <v>0</v>
      </c>
      <c r="CO22" s="156">
        <f t="shared" si="12"/>
        <v>0</v>
      </c>
      <c r="CP22" s="776"/>
      <c r="CQ22" s="776"/>
      <c r="CR22" s="794">
        <f t="shared" si="30"/>
        <v>0</v>
      </c>
      <c r="CS22" s="156">
        <f t="shared" si="40"/>
        <v>0</v>
      </c>
      <c r="CT22" s="156">
        <f t="shared" si="32"/>
        <v>0</v>
      </c>
      <c r="CU22" s="156">
        <v>0</v>
      </c>
      <c r="CV22" s="795">
        <f>LOOKUP(CU22,参数表!$A$13:$B$19)</f>
        <v>0</v>
      </c>
      <c r="CW22" s="156">
        <f t="shared" si="33"/>
        <v>0</v>
      </c>
      <c r="CX22" s="156">
        <f t="shared" si="41"/>
        <v>0</v>
      </c>
      <c r="CY22" s="156">
        <f t="shared" si="13"/>
        <v>125.582477754962</v>
      </c>
      <c r="CZ22" s="223">
        <v>7</v>
      </c>
      <c r="DA22" s="746">
        <f t="shared" si="35"/>
        <v>-16.94</v>
      </c>
      <c r="DB22" s="746">
        <f t="shared" si="36"/>
        <v>-16.89</v>
      </c>
      <c r="DC22" s="746">
        <f t="shared" si="14"/>
        <v>-16.89</v>
      </c>
      <c r="DE22" s="134" t="str">
        <f>IF(COUNTIF(DE$7:DE21,C22)&gt;0,"",C22)&amp;""</f>
        <v/>
      </c>
      <c r="DF22" s="138">
        <f t="shared" si="15"/>
        <v>0</v>
      </c>
      <c r="DG22" s="132">
        <f t="shared" si="16"/>
        <v>1</v>
      </c>
      <c r="DH22" s="138">
        <f t="shared" si="17"/>
        <v>0</v>
      </c>
      <c r="DI22" s="132">
        <f t="shared" si="18"/>
        <v>1</v>
      </c>
      <c r="DJ22" s="133"/>
      <c r="DK22" s="133"/>
      <c r="DM22" s="796" t="s">
        <v>4078</v>
      </c>
      <c r="DN22" s="75">
        <v>160.84</v>
      </c>
    </row>
    <row r="23" ht="15" customHeight="1" spans="1:118">
      <c r="A23" s="785" t="str">
        <f>IF(C23="","",COUNT(A$7:A22)+1)</f>
        <v/>
      </c>
      <c r="B23" s="141"/>
      <c r="C23" s="139"/>
      <c r="D23" s="141"/>
      <c r="E23" s="535"/>
      <c r="F23" s="535"/>
      <c r="G23" s="141"/>
      <c r="H23" s="536"/>
      <c r="I23" s="139"/>
      <c r="J23" s="141"/>
      <c r="K23" s="141"/>
      <c r="L23" s="140"/>
      <c r="M23" s="140"/>
      <c r="N23" s="142"/>
      <c r="O23" s="127"/>
      <c r="P23" s="128"/>
      <c r="Q23" s="128"/>
      <c r="R23" s="129"/>
      <c r="S23" s="143"/>
      <c r="T23" s="143"/>
      <c r="U23" s="143"/>
      <c r="V23" s="144"/>
      <c r="W23" s="144"/>
      <c r="X23" s="144"/>
      <c r="Y23" s="129" t="str">
        <f t="shared" si="0"/>
        <v/>
      </c>
      <c r="Z23" s="129" t="str">
        <f t="shared" si="1"/>
        <v/>
      </c>
      <c r="AA23" s="129" t="str">
        <f t="shared" si="2"/>
        <v/>
      </c>
      <c r="AB23" s="129" t="str">
        <f t="shared" si="3"/>
        <v/>
      </c>
      <c r="AC23" s="521" t="str">
        <f t="shared" si="4"/>
        <v/>
      </c>
      <c r="AD23" s="129" t="str">
        <f t="shared" si="5"/>
        <v/>
      </c>
      <c r="AE23" s="129"/>
      <c r="AF23" s="129">
        <v>0</v>
      </c>
      <c r="AG23" s="129" t="str">
        <f t="shared" si="19"/>
        <v/>
      </c>
      <c r="AH23" s="145"/>
      <c r="BC23" s="78"/>
      <c r="BD23" s="132" t="s">
        <v>4083</v>
      </c>
      <c r="BE23" s="133"/>
      <c r="BF23" s="132" t="str">
        <f>IF(OR(C23="",BE23=""),"",COUNTIF(BE$8:BE23,"√"))</f>
        <v/>
      </c>
      <c r="BG23" s="134" t="str">
        <f t="shared" si="6"/>
        <v/>
      </c>
      <c r="BH23" s="135" t="str">
        <f t="shared" si="20"/>
        <v/>
      </c>
      <c r="BI23" s="135" t="str">
        <f t="shared" si="20"/>
        <v/>
      </c>
      <c r="BJ23" s="136"/>
      <c r="BK23" s="137"/>
      <c r="BL23" s="136"/>
      <c r="BM23" s="136"/>
      <c r="BN23" s="136"/>
      <c r="BO23" s="136"/>
      <c r="BP23" s="137"/>
      <c r="BQ23" s="136"/>
      <c r="BR23" s="137"/>
      <c r="BT23" s="787">
        <f t="shared" si="7"/>
        <v>0</v>
      </c>
      <c r="BU23" s="788">
        <f t="shared" si="21"/>
        <v>0</v>
      </c>
      <c r="BV23" s="787">
        <f t="shared" si="22"/>
        <v>0</v>
      </c>
      <c r="BW23" s="787">
        <v>2520.82</v>
      </c>
      <c r="BX23" s="789">
        <f>IFERROR(LOOKUP(M23,基础数据!A:D),1)</f>
        <v>1</v>
      </c>
      <c r="BY23" s="790">
        <f t="shared" si="24"/>
        <v>3.55771976932645</v>
      </c>
      <c r="BZ23" s="787">
        <f t="shared" si="38"/>
        <v>8970</v>
      </c>
      <c r="CA23" s="797"/>
      <c r="CB23" s="792">
        <f t="shared" si="26"/>
        <v>0.13</v>
      </c>
      <c r="CC23" s="165" t="s">
        <v>2706</v>
      </c>
      <c r="CD23" s="793">
        <v>0</v>
      </c>
      <c r="CE23" s="156">
        <f t="shared" si="8"/>
        <v>0</v>
      </c>
      <c r="CF23" s="156">
        <f t="shared" si="9"/>
        <v>0</v>
      </c>
      <c r="CG23" s="776"/>
      <c r="CH23" s="156">
        <f t="shared" si="27"/>
        <v>0</v>
      </c>
      <c r="CI23" s="156">
        <f t="shared" si="10"/>
        <v>0</v>
      </c>
      <c r="CJ23" s="776"/>
      <c r="CK23" s="156">
        <f t="shared" si="39"/>
        <v>0</v>
      </c>
      <c r="CL23" s="156">
        <f t="shared" si="11"/>
        <v>0</v>
      </c>
      <c r="CM23" s="776"/>
      <c r="CN23" s="156">
        <f t="shared" si="29"/>
        <v>0</v>
      </c>
      <c r="CO23" s="156">
        <f t="shared" si="12"/>
        <v>0</v>
      </c>
      <c r="CP23" s="776"/>
      <c r="CQ23" s="776"/>
      <c r="CR23" s="794">
        <f t="shared" si="30"/>
        <v>0</v>
      </c>
      <c r="CS23" s="156">
        <f t="shared" si="40"/>
        <v>0</v>
      </c>
      <c r="CT23" s="156">
        <f t="shared" si="32"/>
        <v>0</v>
      </c>
      <c r="CU23" s="156">
        <v>0</v>
      </c>
      <c r="CV23" s="795">
        <f>LOOKUP(CU23,参数表!$A$13:$B$19)</f>
        <v>0</v>
      </c>
      <c r="CW23" s="156">
        <f t="shared" si="33"/>
        <v>0</v>
      </c>
      <c r="CX23" s="156">
        <f t="shared" si="41"/>
        <v>0</v>
      </c>
      <c r="CY23" s="156">
        <f t="shared" si="13"/>
        <v>125.582477754962</v>
      </c>
      <c r="CZ23" s="223">
        <v>7</v>
      </c>
      <c r="DA23" s="746">
        <f t="shared" si="35"/>
        <v>-16.94</v>
      </c>
      <c r="DB23" s="746">
        <f t="shared" si="36"/>
        <v>-16.89</v>
      </c>
      <c r="DC23" s="746">
        <f t="shared" si="14"/>
        <v>-16.89</v>
      </c>
      <c r="DE23" s="134" t="str">
        <f>IF(COUNTIF(DE$7:DE22,C23)&gt;0,"",C23)&amp;""</f>
        <v/>
      </c>
      <c r="DF23" s="138">
        <f t="shared" si="15"/>
        <v>0</v>
      </c>
      <c r="DG23" s="132">
        <f t="shared" si="16"/>
        <v>1</v>
      </c>
      <c r="DH23" s="138">
        <f t="shared" si="17"/>
        <v>0</v>
      </c>
      <c r="DI23" s="132">
        <f t="shared" si="18"/>
        <v>1</v>
      </c>
      <c r="DJ23" s="133"/>
      <c r="DK23" s="133"/>
      <c r="DM23" s="796" t="s">
        <v>4078</v>
      </c>
      <c r="DN23" s="75">
        <v>331.61</v>
      </c>
    </row>
    <row r="24" ht="15" customHeight="1" spans="1:118">
      <c r="A24" s="785" t="str">
        <f>IF(C24="","",COUNT(A$7:A23)+1)</f>
        <v/>
      </c>
      <c r="B24" s="141"/>
      <c r="C24" s="139"/>
      <c r="D24" s="141"/>
      <c r="E24" s="535"/>
      <c r="F24" s="535"/>
      <c r="G24" s="141"/>
      <c r="H24" s="536"/>
      <c r="I24" s="139"/>
      <c r="J24" s="141"/>
      <c r="K24" s="141"/>
      <c r="L24" s="140"/>
      <c r="M24" s="140"/>
      <c r="N24" s="142"/>
      <c r="O24" s="127"/>
      <c r="P24" s="128"/>
      <c r="Q24" s="128"/>
      <c r="R24" s="129"/>
      <c r="S24" s="143"/>
      <c r="T24" s="143"/>
      <c r="U24" s="143"/>
      <c r="V24" s="144"/>
      <c r="W24" s="144"/>
      <c r="X24" s="144"/>
      <c r="Y24" s="129" t="str">
        <f t="shared" si="0"/>
        <v/>
      </c>
      <c r="Z24" s="129" t="str">
        <f t="shared" si="1"/>
        <v/>
      </c>
      <c r="AA24" s="129" t="str">
        <f t="shared" si="2"/>
        <v/>
      </c>
      <c r="AB24" s="129" t="str">
        <f t="shared" si="3"/>
        <v/>
      </c>
      <c r="AC24" s="521" t="str">
        <f t="shared" si="4"/>
        <v/>
      </c>
      <c r="AD24" s="129" t="str">
        <f t="shared" si="5"/>
        <v/>
      </c>
      <c r="AE24" s="129"/>
      <c r="AF24" s="129">
        <v>0</v>
      </c>
      <c r="AG24" s="129" t="str">
        <f t="shared" si="19"/>
        <v/>
      </c>
      <c r="AH24" s="145"/>
      <c r="BC24" s="78"/>
      <c r="BD24" s="132" t="s">
        <v>4084</v>
      </c>
      <c r="BE24" s="133"/>
      <c r="BF24" s="132" t="str">
        <f>IF(OR(C24="",BE24=""),"",COUNTIF(BE$8:BE24,"√"))</f>
        <v/>
      </c>
      <c r="BG24" s="134" t="str">
        <f t="shared" si="6"/>
        <v/>
      </c>
      <c r="BH24" s="135" t="str">
        <f t="shared" si="20"/>
        <v/>
      </c>
      <c r="BI24" s="135" t="str">
        <f t="shared" si="20"/>
        <v/>
      </c>
      <c r="BJ24" s="136"/>
      <c r="BK24" s="137"/>
      <c r="BL24" s="136"/>
      <c r="BM24" s="136"/>
      <c r="BN24" s="136"/>
      <c r="BO24" s="136"/>
      <c r="BP24" s="137"/>
      <c r="BQ24" s="136"/>
      <c r="BR24" s="137"/>
      <c r="BT24" s="787">
        <f t="shared" si="7"/>
        <v>0</v>
      </c>
      <c r="BU24" s="788">
        <f t="shared" si="21"/>
        <v>0</v>
      </c>
      <c r="BV24" s="787">
        <f t="shared" si="22"/>
        <v>0</v>
      </c>
      <c r="BW24" s="787">
        <v>2520.82</v>
      </c>
      <c r="BX24" s="789">
        <f>IFERROR(LOOKUP(M24,基础数据!A:D),1)</f>
        <v>1</v>
      </c>
      <c r="BY24" s="790">
        <f t="shared" si="24"/>
        <v>3.55771976932645</v>
      </c>
      <c r="BZ24" s="787">
        <f t="shared" si="38"/>
        <v>8970</v>
      </c>
      <c r="CA24" s="797"/>
      <c r="CB24" s="792">
        <f t="shared" si="26"/>
        <v>0.13</v>
      </c>
      <c r="CC24" s="165" t="s">
        <v>2706</v>
      </c>
      <c r="CD24" s="793">
        <v>0</v>
      </c>
      <c r="CE24" s="156">
        <f t="shared" si="8"/>
        <v>0</v>
      </c>
      <c r="CF24" s="156">
        <f t="shared" si="9"/>
        <v>0</v>
      </c>
      <c r="CG24" s="776"/>
      <c r="CH24" s="156">
        <f t="shared" si="27"/>
        <v>0</v>
      </c>
      <c r="CI24" s="156">
        <f t="shared" si="10"/>
        <v>0</v>
      </c>
      <c r="CJ24" s="776"/>
      <c r="CK24" s="156">
        <f t="shared" si="39"/>
        <v>0</v>
      </c>
      <c r="CL24" s="156">
        <f t="shared" si="11"/>
        <v>0</v>
      </c>
      <c r="CM24" s="776"/>
      <c r="CN24" s="156">
        <f t="shared" si="29"/>
        <v>0</v>
      </c>
      <c r="CO24" s="156">
        <f t="shared" si="12"/>
        <v>0</v>
      </c>
      <c r="CP24" s="776"/>
      <c r="CQ24" s="776"/>
      <c r="CR24" s="794">
        <f t="shared" si="30"/>
        <v>0</v>
      </c>
      <c r="CS24" s="156">
        <f t="shared" si="40"/>
        <v>0</v>
      </c>
      <c r="CT24" s="156">
        <f t="shared" si="32"/>
        <v>0</v>
      </c>
      <c r="CU24" s="156">
        <v>0</v>
      </c>
      <c r="CV24" s="795">
        <f>LOOKUP(CU24,参数表!$A$13:$B$19)</f>
        <v>0</v>
      </c>
      <c r="CW24" s="156">
        <f t="shared" si="33"/>
        <v>0</v>
      </c>
      <c r="CX24" s="156">
        <f t="shared" si="41"/>
        <v>0</v>
      </c>
      <c r="CY24" s="156">
        <f t="shared" si="13"/>
        <v>125.582477754962</v>
      </c>
      <c r="CZ24" s="223">
        <v>7</v>
      </c>
      <c r="DA24" s="746">
        <f t="shared" si="35"/>
        <v>-16.94</v>
      </c>
      <c r="DB24" s="746">
        <f t="shared" si="36"/>
        <v>-16.89</v>
      </c>
      <c r="DC24" s="746">
        <f t="shared" si="14"/>
        <v>-16.89</v>
      </c>
      <c r="DE24" s="134" t="str">
        <f>IF(COUNTIF(DE$7:DE23,C24)&gt;0,"",C24)&amp;""</f>
        <v/>
      </c>
      <c r="DF24" s="138">
        <f t="shared" si="15"/>
        <v>0</v>
      </c>
      <c r="DG24" s="132">
        <f t="shared" si="16"/>
        <v>1</v>
      </c>
      <c r="DH24" s="138">
        <f t="shared" si="17"/>
        <v>0</v>
      </c>
      <c r="DI24" s="132">
        <f t="shared" si="18"/>
        <v>1</v>
      </c>
      <c r="DJ24" s="133"/>
      <c r="DK24" s="133"/>
      <c r="DM24" s="796" t="s">
        <v>4078</v>
      </c>
      <c r="DN24" s="75">
        <v>331.62</v>
      </c>
    </row>
    <row r="25" ht="15" customHeight="1" spans="1:118">
      <c r="A25" s="785" t="str">
        <f>IF(C25="","",COUNT(A$7:A24)+1)</f>
        <v/>
      </c>
      <c r="B25" s="141"/>
      <c r="C25" s="139"/>
      <c r="D25" s="141"/>
      <c r="E25" s="535"/>
      <c r="F25" s="535"/>
      <c r="G25" s="141"/>
      <c r="H25" s="536"/>
      <c r="I25" s="139"/>
      <c r="J25" s="141"/>
      <c r="K25" s="141"/>
      <c r="L25" s="140"/>
      <c r="M25" s="140"/>
      <c r="N25" s="142"/>
      <c r="O25" s="127"/>
      <c r="P25" s="128"/>
      <c r="Q25" s="128"/>
      <c r="R25" s="129"/>
      <c r="S25" s="143"/>
      <c r="T25" s="143"/>
      <c r="U25" s="143"/>
      <c r="V25" s="144"/>
      <c r="W25" s="144"/>
      <c r="X25" s="144"/>
      <c r="Y25" s="129" t="str">
        <f t="shared" si="0"/>
        <v/>
      </c>
      <c r="Z25" s="129" t="str">
        <f t="shared" si="1"/>
        <v/>
      </c>
      <c r="AA25" s="129" t="str">
        <f t="shared" si="2"/>
        <v/>
      </c>
      <c r="AB25" s="129" t="str">
        <f t="shared" si="3"/>
        <v/>
      </c>
      <c r="AC25" s="521" t="str">
        <f t="shared" si="4"/>
        <v/>
      </c>
      <c r="AD25" s="129" t="str">
        <f t="shared" si="5"/>
        <v/>
      </c>
      <c r="AE25" s="129"/>
      <c r="AF25" s="129">
        <v>0</v>
      </c>
      <c r="AG25" s="129" t="str">
        <f t="shared" si="19"/>
        <v/>
      </c>
      <c r="AH25" s="145"/>
      <c r="BC25" s="78"/>
      <c r="BD25" s="132" t="s">
        <v>4085</v>
      </c>
      <c r="BE25" s="133"/>
      <c r="BF25" s="132" t="str">
        <f>IF(OR(C25="",BE25=""),"",COUNTIF(BE$8:BE25,"√"))</f>
        <v/>
      </c>
      <c r="BG25" s="134" t="str">
        <f t="shared" si="6"/>
        <v/>
      </c>
      <c r="BH25" s="135" t="str">
        <f t="shared" si="20"/>
        <v/>
      </c>
      <c r="BI25" s="135" t="str">
        <f t="shared" si="20"/>
        <v/>
      </c>
      <c r="BJ25" s="136"/>
      <c r="BK25" s="137"/>
      <c r="BL25" s="136"/>
      <c r="BM25" s="136"/>
      <c r="BN25" s="136"/>
      <c r="BO25" s="136"/>
      <c r="BP25" s="137"/>
      <c r="BQ25" s="136"/>
      <c r="BR25" s="137"/>
      <c r="BT25" s="787">
        <f t="shared" si="7"/>
        <v>0</v>
      </c>
      <c r="BU25" s="788">
        <f t="shared" si="21"/>
        <v>0</v>
      </c>
      <c r="BV25" s="787">
        <f t="shared" si="22"/>
        <v>0</v>
      </c>
      <c r="BW25" s="787">
        <v>1153.85</v>
      </c>
      <c r="BX25" s="789">
        <f>IFERROR(LOOKUP(M25,基础数据!A:D),1)</f>
        <v>1</v>
      </c>
      <c r="BY25" s="790">
        <f t="shared" si="24"/>
        <v>3.55771976932645</v>
      </c>
      <c r="BZ25" s="787">
        <v>1153.85</v>
      </c>
      <c r="CA25" s="797"/>
      <c r="CB25" s="792">
        <f t="shared" si="26"/>
        <v>0.13</v>
      </c>
      <c r="CC25" s="165" t="s">
        <v>230</v>
      </c>
      <c r="CD25" s="793">
        <v>0</v>
      </c>
      <c r="CE25" s="156">
        <f t="shared" si="8"/>
        <v>0</v>
      </c>
      <c r="CF25" s="156">
        <f t="shared" si="9"/>
        <v>0</v>
      </c>
      <c r="CG25" s="776"/>
      <c r="CH25" s="156">
        <f t="shared" si="27"/>
        <v>0</v>
      </c>
      <c r="CI25" s="156">
        <f t="shared" si="10"/>
        <v>0</v>
      </c>
      <c r="CJ25" s="776"/>
      <c r="CK25" s="156">
        <f t="shared" si="39"/>
        <v>0</v>
      </c>
      <c r="CL25" s="156">
        <f t="shared" si="11"/>
        <v>0</v>
      </c>
      <c r="CM25" s="776"/>
      <c r="CN25" s="156">
        <f t="shared" si="29"/>
        <v>0</v>
      </c>
      <c r="CO25" s="156">
        <f t="shared" si="12"/>
        <v>0</v>
      </c>
      <c r="CP25" s="776"/>
      <c r="CQ25" s="776"/>
      <c r="CR25" s="794">
        <f t="shared" si="30"/>
        <v>0</v>
      </c>
      <c r="CS25" s="156">
        <f t="shared" si="40"/>
        <v>0</v>
      </c>
      <c r="CT25" s="156">
        <f t="shared" si="32"/>
        <v>0</v>
      </c>
      <c r="CU25" s="156">
        <v>0</v>
      </c>
      <c r="CV25" s="795">
        <f>LOOKUP(CU25,参数表!$A$13:$B$19)</f>
        <v>0</v>
      </c>
      <c r="CW25" s="156">
        <f t="shared" si="33"/>
        <v>0</v>
      </c>
      <c r="CX25" s="156">
        <f t="shared" si="41"/>
        <v>0</v>
      </c>
      <c r="CY25" s="156">
        <f t="shared" si="13"/>
        <v>125.582477754962</v>
      </c>
      <c r="CZ25" s="223">
        <v>4</v>
      </c>
      <c r="DA25" s="746">
        <f t="shared" si="35"/>
        <v>-30.4</v>
      </c>
      <c r="DB25" s="746">
        <f t="shared" si="36"/>
        <v>-30.35</v>
      </c>
      <c r="DC25" s="746">
        <f t="shared" si="14"/>
        <v>-30.35</v>
      </c>
      <c r="DE25" s="134" t="str">
        <f>IF(COUNTIF(DE$7:DE24,C25)&gt;0,"",C25)&amp;""</f>
        <v/>
      </c>
      <c r="DF25" s="138">
        <f t="shared" si="15"/>
        <v>0</v>
      </c>
      <c r="DG25" s="132">
        <f t="shared" si="16"/>
        <v>1</v>
      </c>
      <c r="DH25" s="138">
        <f t="shared" si="17"/>
        <v>0</v>
      </c>
      <c r="DI25" s="132">
        <f t="shared" si="18"/>
        <v>1</v>
      </c>
      <c r="DJ25" s="133"/>
      <c r="DK25" s="133"/>
      <c r="DM25" s="796" t="s">
        <v>4067</v>
      </c>
      <c r="DN25" s="75">
        <v>2044.66</v>
      </c>
    </row>
    <row r="26" ht="15" customHeight="1" spans="1:118">
      <c r="A26" s="785" t="str">
        <f>IF(C26="","",COUNT(A$7:A25)+1)</f>
        <v/>
      </c>
      <c r="B26" s="141"/>
      <c r="C26" s="139"/>
      <c r="D26" s="141"/>
      <c r="E26" s="535"/>
      <c r="F26" s="535"/>
      <c r="G26" s="141"/>
      <c r="H26" s="536"/>
      <c r="I26" s="139"/>
      <c r="J26" s="141"/>
      <c r="K26" s="141"/>
      <c r="L26" s="140"/>
      <c r="M26" s="140"/>
      <c r="N26" s="142"/>
      <c r="O26" s="127"/>
      <c r="P26" s="128"/>
      <c r="Q26" s="128"/>
      <c r="R26" s="129"/>
      <c r="S26" s="143"/>
      <c r="T26" s="143"/>
      <c r="U26" s="143"/>
      <c r="V26" s="144"/>
      <c r="W26" s="144"/>
      <c r="X26" s="144"/>
      <c r="Y26" s="129" t="str">
        <f t="shared" si="0"/>
        <v/>
      </c>
      <c r="Z26" s="129" t="str">
        <f t="shared" si="1"/>
        <v/>
      </c>
      <c r="AA26" s="129" t="str">
        <f t="shared" si="2"/>
        <v/>
      </c>
      <c r="AB26" s="129" t="str">
        <f t="shared" si="3"/>
        <v/>
      </c>
      <c r="AC26" s="521" t="str">
        <f t="shared" si="4"/>
        <v/>
      </c>
      <c r="AD26" s="129" t="str">
        <f t="shared" si="5"/>
        <v/>
      </c>
      <c r="AE26" s="129"/>
      <c r="AF26" s="129">
        <v>0</v>
      </c>
      <c r="AG26" s="129" t="str">
        <f t="shared" si="19"/>
        <v/>
      </c>
      <c r="AH26" s="145"/>
      <c r="BC26" s="78"/>
      <c r="BD26" s="132" t="s">
        <v>4086</v>
      </c>
      <c r="BE26" s="133"/>
      <c r="BF26" s="132" t="str">
        <f>IF(OR(C26="",BE26=""),"",COUNTIF(BE$8:BE26,"√"))</f>
        <v/>
      </c>
      <c r="BG26" s="134" t="str">
        <f t="shared" si="6"/>
        <v/>
      </c>
      <c r="BH26" s="135" t="str">
        <f t="shared" si="20"/>
        <v/>
      </c>
      <c r="BI26" s="135" t="str">
        <f t="shared" si="20"/>
        <v/>
      </c>
      <c r="BJ26" s="136"/>
      <c r="BK26" s="137"/>
      <c r="BL26" s="136"/>
      <c r="BM26" s="136"/>
      <c r="BN26" s="136"/>
      <c r="BO26" s="136"/>
      <c r="BP26" s="137"/>
      <c r="BQ26" s="136"/>
      <c r="BR26" s="137"/>
      <c r="BT26" s="787">
        <f t="shared" si="7"/>
        <v>0</v>
      </c>
      <c r="BU26" s="788">
        <f t="shared" ref="BU26:BU89" si="42">(1-1/(SUM(1,CG26,CJ26,CM26)*SUM(1,CP26)*SUM(1,CU26*CV26/2)))</f>
        <v>0</v>
      </c>
      <c r="BV26" s="787">
        <f t="shared" ref="BV26:BV89" si="43">IF(AND(BS26=0,BS26=""),BT26/(1+BU26)*BU26,0)</f>
        <v>0</v>
      </c>
      <c r="BW26" s="787">
        <v>1153.85</v>
      </c>
      <c r="BX26" s="789">
        <f>IFERROR(LOOKUP(M26,基础数据!A:D),1)</f>
        <v>1</v>
      </c>
      <c r="BY26" s="790">
        <f t="shared" ref="BY26:BY89" si="44">BX$6/BX26</f>
        <v>3.55771976932645</v>
      </c>
      <c r="BZ26" s="787">
        <v>1153.85</v>
      </c>
      <c r="CA26" s="797"/>
      <c r="CB26" s="792">
        <f t="shared" si="26"/>
        <v>0.13</v>
      </c>
      <c r="CC26" s="165" t="s">
        <v>230</v>
      </c>
      <c r="CD26" s="793">
        <v>0</v>
      </c>
      <c r="CE26" s="156">
        <f t="shared" si="8"/>
        <v>0</v>
      </c>
      <c r="CF26" s="156">
        <f t="shared" ref="CF26:CF89" si="45">ROUND(CE26/(1+CF$6)*CF$6,2)</f>
        <v>0</v>
      </c>
      <c r="CG26" s="776"/>
      <c r="CH26" s="156">
        <f t="shared" ref="CH26:CH89" si="46">ROUND(CE26*CG26,2)</f>
        <v>0</v>
      </c>
      <c r="CI26" s="156">
        <f t="shared" ref="CI26:CI89" si="47">ROUND(CH26/(1+CI$6)*CI$6,2)</f>
        <v>0</v>
      </c>
      <c r="CJ26" s="776"/>
      <c r="CK26" s="156">
        <f t="shared" ref="CK26:CK89" si="48">ROUND(CE26*CJ26,2)</f>
        <v>0</v>
      </c>
      <c r="CL26" s="156">
        <f t="shared" ref="CL26:CL89" si="49">ROUND(CK26/(1+CL$6)*CL$6,2)</f>
        <v>0</v>
      </c>
      <c r="CM26" s="776"/>
      <c r="CN26" s="156">
        <f t="shared" ref="CN26:CN89" si="50">ROUND(CE26*CM26,2)</f>
        <v>0</v>
      </c>
      <c r="CO26" s="156">
        <f t="shared" ref="CO26:CO89" si="51">ROUND(CN26/(1+CO$6)*CO$6,2)</f>
        <v>0</v>
      </c>
      <c r="CP26" s="776"/>
      <c r="CQ26" s="776"/>
      <c r="CR26" s="794">
        <f t="shared" ref="CR26:CR89" si="52">(CP26-CQ26)/1.06+CQ26</f>
        <v>0</v>
      </c>
      <c r="CS26" s="156">
        <f t="shared" ref="CS26:CS89" si="53">ROUND(SUM(CE26,CH26,CK26,CN26)*CP26,2)</f>
        <v>0</v>
      </c>
      <c r="CT26" s="156">
        <f t="shared" ref="CT26:CT89" si="54">ROUND(SUM(CE26,CH26,CK26,CN26)*CR26,2)</f>
        <v>0</v>
      </c>
      <c r="CU26" s="156">
        <v>0</v>
      </c>
      <c r="CV26" s="795">
        <f>LOOKUP(CU26,参数表!$A$13:$B$19)</f>
        <v>0</v>
      </c>
      <c r="CW26" s="156">
        <f t="shared" ref="CW26:CW89" si="55">ROUND(SUM(CE26,CH26,CK26,CN26,CS26)*CU26*CV26/2,2)</f>
        <v>0</v>
      </c>
      <c r="CX26" s="156">
        <f t="shared" ref="CX26:CX89" si="56">ROUND(SUM(CE26,CH26,CK26,CN26,CT26,CW26)-SUM(CF26,CI26,CL26,CO26),-2)</f>
        <v>0</v>
      </c>
      <c r="CY26" s="156">
        <f t="shared" si="13"/>
        <v>125.582477754962</v>
      </c>
      <c r="CZ26" s="223">
        <v>4</v>
      </c>
      <c r="DA26" s="746">
        <f t="shared" ref="DA26:DA89" si="57">IFERROR(ROUND(1-CY26/CZ26,2),0)</f>
        <v>-30.4</v>
      </c>
      <c r="DB26" s="746">
        <f t="shared" si="36"/>
        <v>-30.35</v>
      </c>
      <c r="DC26" s="746">
        <f t="shared" ref="DC26:DC89" si="58">ROUND(IF(ABS(DB26-DA26)&gt;5%,DB26,DA26*DA$6+DB26*DB$6),2)</f>
        <v>-30.35</v>
      </c>
      <c r="DE26" s="134" t="str">
        <f>IF(COUNTIF(DE$7:DE25,C26)&gt;0,"",C26)&amp;""</f>
        <v/>
      </c>
      <c r="DF26" s="138">
        <f t="shared" si="15"/>
        <v>0</v>
      </c>
      <c r="DG26" s="132">
        <f t="shared" si="16"/>
        <v>1</v>
      </c>
      <c r="DH26" s="138">
        <f t="shared" si="17"/>
        <v>0</v>
      </c>
      <c r="DI26" s="132">
        <f t="shared" si="18"/>
        <v>1</v>
      </c>
      <c r="DJ26" s="133"/>
      <c r="DK26" s="133"/>
      <c r="DM26" s="796" t="s">
        <v>4067</v>
      </c>
      <c r="DN26" s="75">
        <v>535.86</v>
      </c>
    </row>
    <row r="27" ht="15" customHeight="1" spans="1:118">
      <c r="A27" s="785" t="str">
        <f>IF(C27="","",COUNT(A$7:A26)+1)</f>
        <v/>
      </c>
      <c r="B27" s="141"/>
      <c r="C27" s="139"/>
      <c r="D27" s="141"/>
      <c r="E27" s="535"/>
      <c r="F27" s="535"/>
      <c r="G27" s="141"/>
      <c r="H27" s="536"/>
      <c r="I27" s="139"/>
      <c r="J27" s="141"/>
      <c r="K27" s="141"/>
      <c r="L27" s="140"/>
      <c r="M27" s="140"/>
      <c r="N27" s="142"/>
      <c r="O27" s="127"/>
      <c r="P27" s="128"/>
      <c r="Q27" s="128"/>
      <c r="R27" s="129"/>
      <c r="S27" s="143"/>
      <c r="T27" s="143"/>
      <c r="U27" s="143"/>
      <c r="V27" s="144"/>
      <c r="W27" s="144"/>
      <c r="X27" s="144"/>
      <c r="Y27" s="129" t="str">
        <f t="shared" si="0"/>
        <v/>
      </c>
      <c r="Z27" s="129" t="str">
        <f t="shared" si="1"/>
        <v/>
      </c>
      <c r="AA27" s="129" t="str">
        <f t="shared" si="2"/>
        <v/>
      </c>
      <c r="AB27" s="129" t="str">
        <f t="shared" si="3"/>
        <v/>
      </c>
      <c r="AC27" s="521" t="str">
        <f t="shared" si="4"/>
        <v/>
      </c>
      <c r="AD27" s="129" t="str">
        <f t="shared" si="5"/>
        <v/>
      </c>
      <c r="AE27" s="129"/>
      <c r="AF27" s="129">
        <v>0</v>
      </c>
      <c r="AG27" s="129" t="str">
        <f t="shared" si="19"/>
        <v/>
      </c>
      <c r="AH27" s="145"/>
      <c r="BC27" s="78"/>
      <c r="BD27" s="132" t="s">
        <v>4087</v>
      </c>
      <c r="BE27" s="133"/>
      <c r="BF27" s="132" t="str">
        <f>IF(OR(C27="",BE27=""),"",COUNTIF(BE$8:BE27,"√"))</f>
        <v/>
      </c>
      <c r="BG27" s="134" t="str">
        <f t="shared" si="6"/>
        <v/>
      </c>
      <c r="BH27" s="135" t="str">
        <f t="shared" si="20"/>
        <v/>
      </c>
      <c r="BI27" s="135" t="str">
        <f t="shared" si="20"/>
        <v/>
      </c>
      <c r="BJ27" s="136"/>
      <c r="BK27" s="137"/>
      <c r="BL27" s="136"/>
      <c r="BM27" s="136"/>
      <c r="BN27" s="136"/>
      <c r="BO27" s="136"/>
      <c r="BP27" s="137"/>
      <c r="BQ27" s="136"/>
      <c r="BR27" s="137"/>
      <c r="BT27" s="787">
        <f t="shared" si="7"/>
        <v>0</v>
      </c>
      <c r="BU27" s="788">
        <f t="shared" si="42"/>
        <v>0</v>
      </c>
      <c r="BV27" s="787">
        <f t="shared" si="43"/>
        <v>0</v>
      </c>
      <c r="BW27" s="787">
        <v>2143.59</v>
      </c>
      <c r="BX27" s="789">
        <f>IFERROR(LOOKUP(M27,基础数据!A:D),1)</f>
        <v>1</v>
      </c>
      <c r="BY27" s="790">
        <f t="shared" si="44"/>
        <v>3.55771976932645</v>
      </c>
      <c r="BZ27" s="787">
        <f>ROUND(BW27*BY27,-1)</f>
        <v>7630</v>
      </c>
      <c r="CA27" s="797"/>
      <c r="CB27" s="792">
        <f t="shared" si="26"/>
        <v>0.13</v>
      </c>
      <c r="CC27" s="165" t="s">
        <v>2706</v>
      </c>
      <c r="CD27" s="793">
        <v>0</v>
      </c>
      <c r="CE27" s="156">
        <f t="shared" si="8"/>
        <v>0</v>
      </c>
      <c r="CF27" s="156">
        <f t="shared" si="45"/>
        <v>0</v>
      </c>
      <c r="CG27" s="776"/>
      <c r="CH27" s="156">
        <f t="shared" si="46"/>
        <v>0</v>
      </c>
      <c r="CI27" s="156">
        <f t="shared" si="47"/>
        <v>0</v>
      </c>
      <c r="CJ27" s="776"/>
      <c r="CK27" s="156">
        <f t="shared" si="48"/>
        <v>0</v>
      </c>
      <c r="CL27" s="156">
        <f t="shared" si="49"/>
        <v>0</v>
      </c>
      <c r="CM27" s="776"/>
      <c r="CN27" s="156">
        <f t="shared" si="50"/>
        <v>0</v>
      </c>
      <c r="CO27" s="156">
        <f t="shared" si="51"/>
        <v>0</v>
      </c>
      <c r="CP27" s="776"/>
      <c r="CQ27" s="776"/>
      <c r="CR27" s="794">
        <f t="shared" si="52"/>
        <v>0</v>
      </c>
      <c r="CS27" s="156">
        <f t="shared" si="53"/>
        <v>0</v>
      </c>
      <c r="CT27" s="156">
        <f t="shared" si="54"/>
        <v>0</v>
      </c>
      <c r="CU27" s="156">
        <v>0</v>
      </c>
      <c r="CV27" s="795">
        <f>LOOKUP(CU27,参数表!$A$13:$B$19)</f>
        <v>0</v>
      </c>
      <c r="CW27" s="156">
        <f t="shared" si="55"/>
        <v>0</v>
      </c>
      <c r="CX27" s="156">
        <f t="shared" si="56"/>
        <v>0</v>
      </c>
      <c r="CY27" s="156">
        <f t="shared" si="13"/>
        <v>125.582477754962</v>
      </c>
      <c r="CZ27" s="223">
        <v>7</v>
      </c>
      <c r="DA27" s="746">
        <f t="shared" si="57"/>
        <v>-16.94</v>
      </c>
      <c r="DB27" s="746">
        <f t="shared" si="36"/>
        <v>-16.89</v>
      </c>
      <c r="DC27" s="746">
        <f t="shared" si="58"/>
        <v>-16.89</v>
      </c>
      <c r="DE27" s="134" t="str">
        <f>IF(COUNTIF(DE$7:DE26,C27)&gt;0,"",C27)&amp;""</f>
        <v/>
      </c>
      <c r="DF27" s="138">
        <f t="shared" si="15"/>
        <v>0</v>
      </c>
      <c r="DG27" s="132">
        <f t="shared" si="16"/>
        <v>1</v>
      </c>
      <c r="DH27" s="138">
        <f t="shared" si="17"/>
        <v>0</v>
      </c>
      <c r="DI27" s="132">
        <f t="shared" si="18"/>
        <v>1</v>
      </c>
      <c r="DJ27" s="133"/>
      <c r="DK27" s="133"/>
      <c r="DM27" s="796" t="s">
        <v>4078</v>
      </c>
      <c r="DN27" s="75">
        <v>190.35</v>
      </c>
    </row>
    <row r="28" ht="15" customHeight="1" spans="1:118">
      <c r="A28" s="785" t="str">
        <f>IF(C28="","",COUNT(A$7:A27)+1)</f>
        <v/>
      </c>
      <c r="B28" s="141"/>
      <c r="C28" s="139"/>
      <c r="D28" s="141"/>
      <c r="E28" s="535"/>
      <c r="F28" s="535"/>
      <c r="G28" s="141"/>
      <c r="H28" s="536"/>
      <c r="I28" s="139"/>
      <c r="J28" s="141"/>
      <c r="K28" s="141"/>
      <c r="L28" s="140"/>
      <c r="M28" s="140"/>
      <c r="N28" s="142"/>
      <c r="O28" s="127"/>
      <c r="P28" s="128"/>
      <c r="Q28" s="128"/>
      <c r="R28" s="129"/>
      <c r="S28" s="143"/>
      <c r="T28" s="143"/>
      <c r="U28" s="143"/>
      <c r="V28" s="144"/>
      <c r="W28" s="144"/>
      <c r="X28" s="144"/>
      <c r="Y28" s="129" t="str">
        <f t="shared" si="0"/>
        <v/>
      </c>
      <c r="Z28" s="129" t="str">
        <f t="shared" si="1"/>
        <v/>
      </c>
      <c r="AA28" s="129" t="str">
        <f t="shared" si="2"/>
        <v/>
      </c>
      <c r="AB28" s="129" t="str">
        <f t="shared" si="3"/>
        <v/>
      </c>
      <c r="AC28" s="521" t="str">
        <f t="shared" si="4"/>
        <v/>
      </c>
      <c r="AD28" s="129" t="str">
        <f t="shared" si="5"/>
        <v/>
      </c>
      <c r="AE28" s="129"/>
      <c r="AF28" s="129">
        <v>0</v>
      </c>
      <c r="AG28" s="129" t="str">
        <f t="shared" si="19"/>
        <v/>
      </c>
      <c r="AH28" s="145"/>
      <c r="BC28" s="78"/>
      <c r="BD28" s="132" t="s">
        <v>4088</v>
      </c>
      <c r="BE28" s="133"/>
      <c r="BF28" s="132" t="str">
        <f>IF(OR(C28="",BE28=""),"",COUNTIF(BE$8:BE28,"√"))</f>
        <v/>
      </c>
      <c r="BG28" s="134" t="str">
        <f t="shared" si="6"/>
        <v/>
      </c>
      <c r="BH28" s="135" t="str">
        <f t="shared" si="20"/>
        <v/>
      </c>
      <c r="BI28" s="135" t="str">
        <f t="shared" si="20"/>
        <v/>
      </c>
      <c r="BJ28" s="136"/>
      <c r="BK28" s="137"/>
      <c r="BL28" s="136"/>
      <c r="BM28" s="136"/>
      <c r="BN28" s="136"/>
      <c r="BO28" s="136"/>
      <c r="BP28" s="137"/>
      <c r="BQ28" s="136"/>
      <c r="BR28" s="137"/>
      <c r="BT28" s="787">
        <f t="shared" si="7"/>
        <v>0</v>
      </c>
      <c r="BU28" s="788">
        <f t="shared" si="42"/>
        <v>0</v>
      </c>
      <c r="BV28" s="787">
        <f t="shared" si="43"/>
        <v>0</v>
      </c>
      <c r="BW28" s="787">
        <v>2143.59</v>
      </c>
      <c r="BX28" s="789">
        <f>IFERROR(LOOKUP(M28,基础数据!A:D),1)</f>
        <v>1</v>
      </c>
      <c r="BY28" s="790">
        <f t="shared" si="44"/>
        <v>3.55771976932645</v>
      </c>
      <c r="BZ28" s="787">
        <v>1153.85</v>
      </c>
      <c r="CA28" s="797"/>
      <c r="CB28" s="792">
        <f t="shared" si="26"/>
        <v>0.13</v>
      </c>
      <c r="CC28" s="165" t="s">
        <v>230</v>
      </c>
      <c r="CD28" s="793">
        <v>0</v>
      </c>
      <c r="CE28" s="156">
        <f t="shared" si="8"/>
        <v>0</v>
      </c>
      <c r="CF28" s="156">
        <f t="shared" si="45"/>
        <v>0</v>
      </c>
      <c r="CG28" s="776"/>
      <c r="CH28" s="156">
        <f t="shared" si="46"/>
        <v>0</v>
      </c>
      <c r="CI28" s="156">
        <f t="shared" si="47"/>
        <v>0</v>
      </c>
      <c r="CJ28" s="776"/>
      <c r="CK28" s="156">
        <f t="shared" si="48"/>
        <v>0</v>
      </c>
      <c r="CL28" s="156">
        <f t="shared" si="49"/>
        <v>0</v>
      </c>
      <c r="CM28" s="776"/>
      <c r="CN28" s="156">
        <f t="shared" si="50"/>
        <v>0</v>
      </c>
      <c r="CO28" s="156">
        <f t="shared" si="51"/>
        <v>0</v>
      </c>
      <c r="CP28" s="776"/>
      <c r="CQ28" s="776"/>
      <c r="CR28" s="794">
        <f t="shared" si="52"/>
        <v>0</v>
      </c>
      <c r="CS28" s="156">
        <f t="shared" si="53"/>
        <v>0</v>
      </c>
      <c r="CT28" s="156">
        <f t="shared" si="54"/>
        <v>0</v>
      </c>
      <c r="CU28" s="156">
        <v>0</v>
      </c>
      <c r="CV28" s="795">
        <f>LOOKUP(CU28,参数表!$A$13:$B$19)</f>
        <v>0</v>
      </c>
      <c r="CW28" s="156">
        <f t="shared" si="55"/>
        <v>0</v>
      </c>
      <c r="CX28" s="156">
        <f t="shared" si="56"/>
        <v>0</v>
      </c>
      <c r="CY28" s="156">
        <f t="shared" si="13"/>
        <v>125.582477754962</v>
      </c>
      <c r="CZ28" s="223">
        <v>4</v>
      </c>
      <c r="DA28" s="746">
        <f t="shared" si="57"/>
        <v>-30.4</v>
      </c>
      <c r="DB28" s="746">
        <f t="shared" si="36"/>
        <v>-30.35</v>
      </c>
      <c r="DC28" s="746">
        <f t="shared" si="58"/>
        <v>-30.35</v>
      </c>
      <c r="DE28" s="134" t="str">
        <f>IF(COUNTIF(DE$7:DE27,C28)&gt;0,"",C28)&amp;""</f>
        <v/>
      </c>
      <c r="DF28" s="138">
        <f t="shared" si="15"/>
        <v>0</v>
      </c>
      <c r="DG28" s="132">
        <f t="shared" si="16"/>
        <v>1</v>
      </c>
      <c r="DH28" s="138">
        <f t="shared" si="17"/>
        <v>0</v>
      </c>
      <c r="DI28" s="132">
        <f t="shared" si="18"/>
        <v>1</v>
      </c>
      <c r="DJ28" s="133"/>
      <c r="DK28" s="133"/>
      <c r="DM28" s="796" t="s">
        <v>4067</v>
      </c>
      <c r="DN28" s="75">
        <v>535.86</v>
      </c>
    </row>
    <row r="29" ht="15" customHeight="1" spans="1:118">
      <c r="A29" s="785" t="str">
        <f>IF(C29="","",COUNT(A$7:A28)+1)</f>
        <v/>
      </c>
      <c r="B29" s="141"/>
      <c r="C29" s="139"/>
      <c r="D29" s="141"/>
      <c r="E29" s="535"/>
      <c r="F29" s="535"/>
      <c r="G29" s="141"/>
      <c r="H29" s="536"/>
      <c r="I29" s="139"/>
      <c r="J29" s="141"/>
      <c r="K29" s="141"/>
      <c r="L29" s="140"/>
      <c r="M29" s="140"/>
      <c r="N29" s="142"/>
      <c r="O29" s="127"/>
      <c r="P29" s="128"/>
      <c r="Q29" s="128"/>
      <c r="R29" s="129"/>
      <c r="S29" s="143"/>
      <c r="T29" s="143"/>
      <c r="U29" s="143"/>
      <c r="V29" s="144"/>
      <c r="W29" s="144"/>
      <c r="X29" s="144"/>
      <c r="Y29" s="129" t="str">
        <f t="shared" si="0"/>
        <v/>
      </c>
      <c r="Z29" s="129" t="str">
        <f t="shared" si="1"/>
        <v/>
      </c>
      <c r="AA29" s="129" t="str">
        <f t="shared" si="2"/>
        <v/>
      </c>
      <c r="AB29" s="129" t="str">
        <f t="shared" si="3"/>
        <v/>
      </c>
      <c r="AC29" s="521" t="str">
        <f t="shared" si="4"/>
        <v/>
      </c>
      <c r="AD29" s="129" t="str">
        <f t="shared" si="5"/>
        <v/>
      </c>
      <c r="AE29" s="129"/>
      <c r="AF29" s="129">
        <v>0</v>
      </c>
      <c r="AG29" s="129" t="str">
        <f t="shared" si="19"/>
        <v/>
      </c>
      <c r="AH29" s="145"/>
      <c r="BC29" s="78"/>
      <c r="BD29" s="132" t="s">
        <v>4089</v>
      </c>
      <c r="BE29" s="133"/>
      <c r="BF29" s="132" t="str">
        <f>IF(OR(C29="",BE29=""),"",COUNTIF(BE$8:BE29,"√"))</f>
        <v/>
      </c>
      <c r="BG29" s="134" t="str">
        <f t="shared" si="6"/>
        <v/>
      </c>
      <c r="BH29" s="135" t="str">
        <f t="shared" si="20"/>
        <v/>
      </c>
      <c r="BI29" s="135" t="str">
        <f t="shared" si="20"/>
        <v/>
      </c>
      <c r="BJ29" s="136"/>
      <c r="BK29" s="137"/>
      <c r="BL29" s="136"/>
      <c r="BM29" s="136"/>
      <c r="BN29" s="136"/>
      <c r="BO29" s="136"/>
      <c r="BP29" s="137"/>
      <c r="BQ29" s="136"/>
      <c r="BR29" s="137"/>
      <c r="BT29" s="787">
        <f t="shared" si="7"/>
        <v>0</v>
      </c>
      <c r="BU29" s="788">
        <f t="shared" si="42"/>
        <v>0</v>
      </c>
      <c r="BV29" s="787">
        <f t="shared" si="43"/>
        <v>0</v>
      </c>
      <c r="BW29" s="787">
        <v>2143.59</v>
      </c>
      <c r="BX29" s="789">
        <f>IFERROR(LOOKUP(M29,基础数据!A:D),1)</f>
        <v>1</v>
      </c>
      <c r="BY29" s="790">
        <f t="shared" si="44"/>
        <v>3.55771976932645</v>
      </c>
      <c r="BZ29" s="787">
        <f>ROUND(BW29*BY29,-1)</f>
        <v>7630</v>
      </c>
      <c r="CA29" s="797"/>
      <c r="CB29" s="792">
        <f t="shared" si="26"/>
        <v>0.13</v>
      </c>
      <c r="CC29" s="165" t="s">
        <v>2706</v>
      </c>
      <c r="CD29" s="793">
        <v>0</v>
      </c>
      <c r="CE29" s="156">
        <f t="shared" si="8"/>
        <v>0</v>
      </c>
      <c r="CF29" s="156">
        <f t="shared" si="45"/>
        <v>0</v>
      </c>
      <c r="CG29" s="776"/>
      <c r="CH29" s="156">
        <f t="shared" si="46"/>
        <v>0</v>
      </c>
      <c r="CI29" s="156">
        <f t="shared" si="47"/>
        <v>0</v>
      </c>
      <c r="CJ29" s="776"/>
      <c r="CK29" s="156">
        <f t="shared" si="48"/>
        <v>0</v>
      </c>
      <c r="CL29" s="156">
        <f t="shared" si="49"/>
        <v>0</v>
      </c>
      <c r="CM29" s="776"/>
      <c r="CN29" s="156">
        <f t="shared" si="50"/>
        <v>0</v>
      </c>
      <c r="CO29" s="156">
        <f t="shared" si="51"/>
        <v>0</v>
      </c>
      <c r="CP29" s="776"/>
      <c r="CQ29" s="776"/>
      <c r="CR29" s="794">
        <f t="shared" si="52"/>
        <v>0</v>
      </c>
      <c r="CS29" s="156">
        <f t="shared" si="53"/>
        <v>0</v>
      </c>
      <c r="CT29" s="156">
        <f t="shared" si="54"/>
        <v>0</v>
      </c>
      <c r="CU29" s="156">
        <v>0</v>
      </c>
      <c r="CV29" s="795">
        <f>LOOKUP(CU29,参数表!$A$13:$B$19)</f>
        <v>0</v>
      </c>
      <c r="CW29" s="156">
        <f t="shared" si="55"/>
        <v>0</v>
      </c>
      <c r="CX29" s="156">
        <f t="shared" si="56"/>
        <v>0</v>
      </c>
      <c r="CY29" s="156">
        <f t="shared" si="13"/>
        <v>125.582477754962</v>
      </c>
      <c r="CZ29" s="223">
        <v>7</v>
      </c>
      <c r="DA29" s="746">
        <f t="shared" si="57"/>
        <v>-16.94</v>
      </c>
      <c r="DB29" s="746">
        <f t="shared" si="36"/>
        <v>-16.89</v>
      </c>
      <c r="DC29" s="746">
        <f t="shared" si="58"/>
        <v>-16.89</v>
      </c>
      <c r="DE29" s="134" t="str">
        <f>IF(COUNTIF(DE$7:DE28,C29)&gt;0,"",C29)&amp;""</f>
        <v/>
      </c>
      <c r="DF29" s="138">
        <f t="shared" si="15"/>
        <v>0</v>
      </c>
      <c r="DG29" s="132">
        <f t="shared" si="16"/>
        <v>1</v>
      </c>
      <c r="DH29" s="138">
        <f t="shared" si="17"/>
        <v>0</v>
      </c>
      <c r="DI29" s="132">
        <f t="shared" si="18"/>
        <v>1</v>
      </c>
      <c r="DJ29" s="133"/>
      <c r="DK29" s="133"/>
      <c r="DM29" s="796" t="s">
        <v>4078</v>
      </c>
      <c r="DN29" s="75">
        <v>190.35</v>
      </c>
    </row>
    <row r="30" ht="15" customHeight="1" spans="1:118">
      <c r="A30" s="785" t="str">
        <f>IF(C30="","",COUNT(A$7:A29)+1)</f>
        <v/>
      </c>
      <c r="B30" s="141"/>
      <c r="C30" s="139"/>
      <c r="D30" s="141"/>
      <c r="E30" s="535"/>
      <c r="F30" s="535"/>
      <c r="G30" s="141"/>
      <c r="H30" s="536"/>
      <c r="I30" s="139"/>
      <c r="J30" s="141"/>
      <c r="K30" s="141"/>
      <c r="L30" s="140"/>
      <c r="M30" s="140"/>
      <c r="N30" s="142"/>
      <c r="O30" s="127"/>
      <c r="P30" s="128"/>
      <c r="Q30" s="128"/>
      <c r="R30" s="129"/>
      <c r="S30" s="143"/>
      <c r="T30" s="143"/>
      <c r="U30" s="143"/>
      <c r="V30" s="144"/>
      <c r="W30" s="144"/>
      <c r="X30" s="144"/>
      <c r="Y30" s="129" t="str">
        <f t="shared" si="0"/>
        <v/>
      </c>
      <c r="Z30" s="129" t="str">
        <f t="shared" si="1"/>
        <v/>
      </c>
      <c r="AA30" s="129" t="str">
        <f t="shared" si="2"/>
        <v/>
      </c>
      <c r="AB30" s="129" t="str">
        <f t="shared" si="3"/>
        <v/>
      </c>
      <c r="AC30" s="521" t="str">
        <f t="shared" si="4"/>
        <v/>
      </c>
      <c r="AD30" s="129" t="str">
        <f t="shared" si="5"/>
        <v/>
      </c>
      <c r="AE30" s="129"/>
      <c r="AF30" s="129">
        <v>0</v>
      </c>
      <c r="AG30" s="129" t="str">
        <f t="shared" si="19"/>
        <v/>
      </c>
      <c r="AH30" s="145"/>
      <c r="BC30" s="78"/>
      <c r="BD30" s="132" t="s">
        <v>4090</v>
      </c>
      <c r="BE30" s="133"/>
      <c r="BF30" s="132" t="str">
        <f>IF(OR(C30="",BE30=""),"",COUNTIF(BE$8:BE30,"√"))</f>
        <v/>
      </c>
      <c r="BG30" s="134" t="str">
        <f t="shared" si="6"/>
        <v/>
      </c>
      <c r="BH30" s="135" t="str">
        <f t="shared" si="20"/>
        <v/>
      </c>
      <c r="BI30" s="135" t="str">
        <f t="shared" si="20"/>
        <v/>
      </c>
      <c r="BJ30" s="136"/>
      <c r="BK30" s="137"/>
      <c r="BL30" s="136"/>
      <c r="BM30" s="136"/>
      <c r="BN30" s="136"/>
      <c r="BO30" s="136"/>
      <c r="BP30" s="137"/>
      <c r="BQ30" s="136"/>
      <c r="BR30" s="137"/>
      <c r="BT30" s="787">
        <f t="shared" si="7"/>
        <v>0</v>
      </c>
      <c r="BU30" s="788">
        <f t="shared" si="42"/>
        <v>0</v>
      </c>
      <c r="BV30" s="787">
        <f t="shared" si="43"/>
        <v>0</v>
      </c>
      <c r="BW30" s="787">
        <v>2143.59</v>
      </c>
      <c r="BX30" s="789">
        <f>IFERROR(LOOKUP(M30,基础数据!A:D),1)</f>
        <v>1</v>
      </c>
      <c r="BY30" s="790">
        <f t="shared" si="44"/>
        <v>3.55771976932645</v>
      </c>
      <c r="BZ30" s="787">
        <v>5299.15</v>
      </c>
      <c r="CA30" s="797"/>
      <c r="CB30" s="792">
        <f t="shared" si="26"/>
        <v>0.13</v>
      </c>
      <c r="CC30" s="165" t="s">
        <v>230</v>
      </c>
      <c r="CD30" s="793">
        <v>0</v>
      </c>
      <c r="CE30" s="156">
        <f t="shared" si="8"/>
        <v>0</v>
      </c>
      <c r="CF30" s="156">
        <f t="shared" si="45"/>
        <v>0</v>
      </c>
      <c r="CG30" s="776"/>
      <c r="CH30" s="156">
        <f t="shared" si="46"/>
        <v>0</v>
      </c>
      <c r="CI30" s="156">
        <f t="shared" si="47"/>
        <v>0</v>
      </c>
      <c r="CJ30" s="776"/>
      <c r="CK30" s="156">
        <f t="shared" si="48"/>
        <v>0</v>
      </c>
      <c r="CL30" s="156">
        <f t="shared" si="49"/>
        <v>0</v>
      </c>
      <c r="CM30" s="776"/>
      <c r="CN30" s="156">
        <f t="shared" si="50"/>
        <v>0</v>
      </c>
      <c r="CO30" s="156">
        <f t="shared" si="51"/>
        <v>0</v>
      </c>
      <c r="CP30" s="776"/>
      <c r="CQ30" s="776"/>
      <c r="CR30" s="794">
        <f t="shared" si="52"/>
        <v>0</v>
      </c>
      <c r="CS30" s="156">
        <f t="shared" si="53"/>
        <v>0</v>
      </c>
      <c r="CT30" s="156">
        <f t="shared" si="54"/>
        <v>0</v>
      </c>
      <c r="CU30" s="156">
        <v>0</v>
      </c>
      <c r="CV30" s="795">
        <f>LOOKUP(CU30,参数表!$A$13:$B$19)</f>
        <v>0</v>
      </c>
      <c r="CW30" s="156">
        <f t="shared" si="55"/>
        <v>0</v>
      </c>
      <c r="CX30" s="156">
        <f t="shared" si="56"/>
        <v>0</v>
      </c>
      <c r="CY30" s="156">
        <f t="shared" si="13"/>
        <v>125.582477754962</v>
      </c>
      <c r="CZ30" s="223">
        <v>4</v>
      </c>
      <c r="DA30" s="746">
        <f t="shared" si="57"/>
        <v>-30.4</v>
      </c>
      <c r="DB30" s="746">
        <f t="shared" si="36"/>
        <v>-30.35</v>
      </c>
      <c r="DC30" s="746">
        <f t="shared" si="58"/>
        <v>-30.35</v>
      </c>
      <c r="DE30" s="134" t="str">
        <f>IF(COUNTIF(DE$7:DE29,C30)&gt;0,"",C30)&amp;""</f>
        <v/>
      </c>
      <c r="DF30" s="138">
        <f t="shared" si="15"/>
        <v>0</v>
      </c>
      <c r="DG30" s="132">
        <f t="shared" si="16"/>
        <v>1</v>
      </c>
      <c r="DH30" s="138">
        <f t="shared" si="17"/>
        <v>0</v>
      </c>
      <c r="DI30" s="132">
        <f t="shared" si="18"/>
        <v>1</v>
      </c>
      <c r="DJ30" s="133"/>
      <c r="DK30" s="133"/>
      <c r="DM30" s="796" t="s">
        <v>4067</v>
      </c>
      <c r="DN30" s="75">
        <v>535.86</v>
      </c>
    </row>
    <row r="31" ht="15" customHeight="1" spans="1:118">
      <c r="A31" s="785" t="str">
        <f>IF(C31="","",COUNT(A$7:A30)+1)</f>
        <v/>
      </c>
      <c r="B31" s="141"/>
      <c r="C31" s="139"/>
      <c r="D31" s="141"/>
      <c r="E31" s="535"/>
      <c r="F31" s="535"/>
      <c r="G31" s="141"/>
      <c r="H31" s="536"/>
      <c r="I31" s="139"/>
      <c r="J31" s="141"/>
      <c r="K31" s="141"/>
      <c r="L31" s="140"/>
      <c r="M31" s="140"/>
      <c r="N31" s="142"/>
      <c r="O31" s="127"/>
      <c r="P31" s="128"/>
      <c r="Q31" s="128"/>
      <c r="R31" s="129"/>
      <c r="S31" s="143"/>
      <c r="T31" s="143"/>
      <c r="U31" s="143"/>
      <c r="V31" s="144"/>
      <c r="W31" s="144"/>
      <c r="X31" s="144"/>
      <c r="Y31" s="129" t="str">
        <f t="shared" si="0"/>
        <v/>
      </c>
      <c r="Z31" s="129" t="str">
        <f t="shared" si="1"/>
        <v/>
      </c>
      <c r="AA31" s="129" t="str">
        <f t="shared" si="2"/>
        <v/>
      </c>
      <c r="AB31" s="129" t="str">
        <f t="shared" si="3"/>
        <v/>
      </c>
      <c r="AC31" s="521" t="str">
        <f t="shared" si="4"/>
        <v/>
      </c>
      <c r="AD31" s="129" t="str">
        <f t="shared" si="5"/>
        <v/>
      </c>
      <c r="AE31" s="129"/>
      <c r="AF31" s="129">
        <v>0</v>
      </c>
      <c r="AG31" s="129" t="str">
        <f t="shared" si="19"/>
        <v/>
      </c>
      <c r="AH31" s="145"/>
      <c r="BC31" s="78"/>
      <c r="BD31" s="132" t="s">
        <v>4091</v>
      </c>
      <c r="BE31" s="133"/>
      <c r="BF31" s="132" t="str">
        <f>IF(OR(C31="",BE31=""),"",COUNTIF(BE$8:BE31,"√"))</f>
        <v/>
      </c>
      <c r="BG31" s="134" t="str">
        <f t="shared" si="6"/>
        <v/>
      </c>
      <c r="BH31" s="135" t="str">
        <f t="shared" si="20"/>
        <v/>
      </c>
      <c r="BI31" s="135" t="str">
        <f t="shared" si="20"/>
        <v/>
      </c>
      <c r="BJ31" s="136"/>
      <c r="BK31" s="137"/>
      <c r="BL31" s="136"/>
      <c r="BM31" s="136"/>
      <c r="BN31" s="136"/>
      <c r="BO31" s="136"/>
      <c r="BP31" s="137"/>
      <c r="BQ31" s="136"/>
      <c r="BR31" s="137"/>
      <c r="BT31" s="787">
        <f t="shared" si="7"/>
        <v>0</v>
      </c>
      <c r="BU31" s="788">
        <f t="shared" si="42"/>
        <v>0</v>
      </c>
      <c r="BV31" s="787">
        <f t="shared" si="43"/>
        <v>0</v>
      </c>
      <c r="BW31" s="787">
        <v>2143.59</v>
      </c>
      <c r="BX31" s="789">
        <f>IFERROR(LOOKUP(M31,基础数据!A:D),1)</f>
        <v>1</v>
      </c>
      <c r="BY31" s="790">
        <f t="shared" si="44"/>
        <v>3.55771976932645</v>
      </c>
      <c r="BZ31" s="787">
        <v>12393.16</v>
      </c>
      <c r="CA31" s="797"/>
      <c r="CB31" s="792">
        <f t="shared" si="26"/>
        <v>0.13</v>
      </c>
      <c r="CC31" s="165" t="s">
        <v>230</v>
      </c>
      <c r="CD31" s="793">
        <v>0</v>
      </c>
      <c r="CE31" s="156">
        <f t="shared" si="8"/>
        <v>0</v>
      </c>
      <c r="CF31" s="156">
        <f t="shared" si="45"/>
        <v>0</v>
      </c>
      <c r="CG31" s="776"/>
      <c r="CH31" s="156">
        <f t="shared" si="46"/>
        <v>0</v>
      </c>
      <c r="CI31" s="156">
        <f t="shared" si="47"/>
        <v>0</v>
      </c>
      <c r="CJ31" s="776"/>
      <c r="CK31" s="156">
        <f t="shared" si="48"/>
        <v>0</v>
      </c>
      <c r="CL31" s="156">
        <f t="shared" si="49"/>
        <v>0</v>
      </c>
      <c r="CM31" s="776"/>
      <c r="CN31" s="156">
        <f t="shared" si="50"/>
        <v>0</v>
      </c>
      <c r="CO31" s="156">
        <f t="shared" si="51"/>
        <v>0</v>
      </c>
      <c r="CP31" s="776"/>
      <c r="CQ31" s="776"/>
      <c r="CR31" s="794">
        <f t="shared" si="52"/>
        <v>0</v>
      </c>
      <c r="CS31" s="156">
        <f t="shared" si="53"/>
        <v>0</v>
      </c>
      <c r="CT31" s="156">
        <f t="shared" si="54"/>
        <v>0</v>
      </c>
      <c r="CU31" s="156">
        <v>0</v>
      </c>
      <c r="CV31" s="795">
        <f>LOOKUP(CU31,参数表!$A$13:$B$19)</f>
        <v>0</v>
      </c>
      <c r="CW31" s="156">
        <f t="shared" si="55"/>
        <v>0</v>
      </c>
      <c r="CX31" s="156">
        <f t="shared" si="56"/>
        <v>0</v>
      </c>
      <c r="CY31" s="156">
        <f t="shared" si="13"/>
        <v>125.582477754962</v>
      </c>
      <c r="CZ31" s="223">
        <v>4</v>
      </c>
      <c r="DA31" s="746">
        <f t="shared" si="57"/>
        <v>-30.4</v>
      </c>
      <c r="DB31" s="746">
        <f t="shared" si="36"/>
        <v>-30.35</v>
      </c>
      <c r="DC31" s="746">
        <f t="shared" si="58"/>
        <v>-30.35</v>
      </c>
      <c r="DE31" s="134" t="str">
        <f>IF(COUNTIF(DE$7:DE30,C31)&gt;0,"",C31)&amp;""</f>
        <v/>
      </c>
      <c r="DF31" s="138">
        <f t="shared" si="15"/>
        <v>0</v>
      </c>
      <c r="DG31" s="132">
        <f t="shared" si="16"/>
        <v>1</v>
      </c>
      <c r="DH31" s="138">
        <f t="shared" si="17"/>
        <v>0</v>
      </c>
      <c r="DI31" s="132">
        <f t="shared" si="18"/>
        <v>1</v>
      </c>
      <c r="DJ31" s="133"/>
      <c r="DK31" s="133"/>
      <c r="DM31" s="796" t="s">
        <v>4067</v>
      </c>
      <c r="DN31" s="75">
        <v>535.86</v>
      </c>
    </row>
    <row r="32" ht="15" customHeight="1" spans="1:118">
      <c r="A32" s="785" t="str">
        <f>IF(C32="","",COUNT(A$7:A31)+1)</f>
        <v/>
      </c>
      <c r="B32" s="141"/>
      <c r="C32" s="139"/>
      <c r="D32" s="141"/>
      <c r="E32" s="535"/>
      <c r="F32" s="535"/>
      <c r="G32" s="141"/>
      <c r="H32" s="536"/>
      <c r="I32" s="139"/>
      <c r="J32" s="141"/>
      <c r="K32" s="141"/>
      <c r="L32" s="140"/>
      <c r="M32" s="140"/>
      <c r="N32" s="142"/>
      <c r="O32" s="127"/>
      <c r="P32" s="128"/>
      <c r="Q32" s="128"/>
      <c r="R32" s="129"/>
      <c r="S32" s="143"/>
      <c r="T32" s="143"/>
      <c r="U32" s="143"/>
      <c r="V32" s="144"/>
      <c r="W32" s="144"/>
      <c r="X32" s="144"/>
      <c r="Y32" s="129" t="str">
        <f t="shared" si="0"/>
        <v/>
      </c>
      <c r="Z32" s="129" t="str">
        <f t="shared" si="1"/>
        <v/>
      </c>
      <c r="AA32" s="129" t="str">
        <f t="shared" si="2"/>
        <v/>
      </c>
      <c r="AB32" s="129" t="str">
        <f t="shared" si="3"/>
        <v/>
      </c>
      <c r="AC32" s="521" t="str">
        <f t="shared" si="4"/>
        <v/>
      </c>
      <c r="AD32" s="129" t="str">
        <f t="shared" si="5"/>
        <v/>
      </c>
      <c r="AE32" s="129"/>
      <c r="AF32" s="129">
        <v>0</v>
      </c>
      <c r="AG32" s="129" t="str">
        <f t="shared" si="19"/>
        <v/>
      </c>
      <c r="AH32" s="145"/>
      <c r="BC32" s="78"/>
      <c r="BD32" s="132" t="s">
        <v>4092</v>
      </c>
      <c r="BE32" s="133"/>
      <c r="BF32" s="132" t="str">
        <f>IF(OR(C32="",BE32=""),"",COUNTIF(BE$8:BE32,"√"))</f>
        <v/>
      </c>
      <c r="BG32" s="134" t="str">
        <f t="shared" si="6"/>
        <v/>
      </c>
      <c r="BH32" s="135" t="str">
        <f t="shared" si="20"/>
        <v/>
      </c>
      <c r="BI32" s="135" t="str">
        <f t="shared" si="20"/>
        <v/>
      </c>
      <c r="BJ32" s="136"/>
      <c r="BK32" s="137"/>
      <c r="BL32" s="136"/>
      <c r="BM32" s="136"/>
      <c r="BN32" s="136"/>
      <c r="BO32" s="136"/>
      <c r="BP32" s="137"/>
      <c r="BQ32" s="136"/>
      <c r="BR32" s="137"/>
      <c r="BT32" s="787">
        <f t="shared" si="7"/>
        <v>0</v>
      </c>
      <c r="BU32" s="788">
        <f t="shared" si="42"/>
        <v>0</v>
      </c>
      <c r="BV32" s="787">
        <f t="shared" si="43"/>
        <v>0</v>
      </c>
      <c r="BW32" s="787">
        <v>2143.59</v>
      </c>
      <c r="BX32" s="789">
        <f>IFERROR(LOOKUP(M32,基础数据!A:D),1)</f>
        <v>1</v>
      </c>
      <c r="BY32" s="790">
        <f t="shared" si="44"/>
        <v>3.55771976932645</v>
      </c>
      <c r="BZ32" s="787">
        <v>555.56</v>
      </c>
      <c r="CA32" s="797"/>
      <c r="CB32" s="792">
        <f t="shared" si="26"/>
        <v>0.13</v>
      </c>
      <c r="CC32" s="165" t="s">
        <v>230</v>
      </c>
      <c r="CD32" s="793">
        <v>0</v>
      </c>
      <c r="CE32" s="156">
        <f t="shared" si="8"/>
        <v>0</v>
      </c>
      <c r="CF32" s="156">
        <f t="shared" si="45"/>
        <v>0</v>
      </c>
      <c r="CG32" s="776"/>
      <c r="CH32" s="156">
        <f t="shared" si="46"/>
        <v>0</v>
      </c>
      <c r="CI32" s="156">
        <f t="shared" si="47"/>
        <v>0</v>
      </c>
      <c r="CJ32" s="776"/>
      <c r="CK32" s="156">
        <f t="shared" si="48"/>
        <v>0</v>
      </c>
      <c r="CL32" s="156">
        <f t="shared" si="49"/>
        <v>0</v>
      </c>
      <c r="CM32" s="776"/>
      <c r="CN32" s="156">
        <f t="shared" si="50"/>
        <v>0</v>
      </c>
      <c r="CO32" s="156">
        <f t="shared" si="51"/>
        <v>0</v>
      </c>
      <c r="CP32" s="776"/>
      <c r="CQ32" s="776"/>
      <c r="CR32" s="794">
        <f t="shared" si="52"/>
        <v>0</v>
      </c>
      <c r="CS32" s="156">
        <f t="shared" si="53"/>
        <v>0</v>
      </c>
      <c r="CT32" s="156">
        <f t="shared" si="54"/>
        <v>0</v>
      </c>
      <c r="CU32" s="156">
        <v>0</v>
      </c>
      <c r="CV32" s="795">
        <f>LOOKUP(CU32,参数表!$A$13:$B$19)</f>
        <v>0</v>
      </c>
      <c r="CW32" s="156">
        <f t="shared" si="55"/>
        <v>0</v>
      </c>
      <c r="CX32" s="156">
        <f t="shared" si="56"/>
        <v>0</v>
      </c>
      <c r="CY32" s="156">
        <f t="shared" si="13"/>
        <v>125.582477754962</v>
      </c>
      <c r="CZ32" s="223">
        <v>4</v>
      </c>
      <c r="DA32" s="746">
        <f t="shared" si="57"/>
        <v>-30.4</v>
      </c>
      <c r="DB32" s="746">
        <f t="shared" si="36"/>
        <v>-30.35</v>
      </c>
      <c r="DC32" s="746">
        <f t="shared" si="58"/>
        <v>-30.35</v>
      </c>
      <c r="DE32" s="134" t="str">
        <f>IF(COUNTIF(DE$7:DE31,C32)&gt;0,"",C32)&amp;""</f>
        <v/>
      </c>
      <c r="DF32" s="138">
        <f t="shared" si="15"/>
        <v>0</v>
      </c>
      <c r="DG32" s="132">
        <f t="shared" si="16"/>
        <v>1</v>
      </c>
      <c r="DH32" s="138">
        <f t="shared" si="17"/>
        <v>0</v>
      </c>
      <c r="DI32" s="132">
        <f t="shared" si="18"/>
        <v>1</v>
      </c>
      <c r="DJ32" s="133"/>
      <c r="DK32" s="133"/>
      <c r="DM32" s="796" t="s">
        <v>4067</v>
      </c>
      <c r="DN32" s="75">
        <v>535.88</v>
      </c>
    </row>
    <row r="33" ht="15" customHeight="1" spans="1:118">
      <c r="A33" s="785" t="str">
        <f>IF(C33="","",COUNT(A$7:A32)+1)</f>
        <v/>
      </c>
      <c r="B33" s="141"/>
      <c r="C33" s="139"/>
      <c r="D33" s="141"/>
      <c r="E33" s="535"/>
      <c r="F33" s="535"/>
      <c r="G33" s="141"/>
      <c r="H33" s="536"/>
      <c r="I33" s="139"/>
      <c r="J33" s="141"/>
      <c r="K33" s="141"/>
      <c r="L33" s="140"/>
      <c r="M33" s="140"/>
      <c r="N33" s="142"/>
      <c r="O33" s="127"/>
      <c r="P33" s="128"/>
      <c r="Q33" s="128"/>
      <c r="R33" s="129"/>
      <c r="S33" s="143"/>
      <c r="T33" s="143"/>
      <c r="U33" s="143"/>
      <c r="V33" s="144"/>
      <c r="W33" s="144"/>
      <c r="X33" s="144"/>
      <c r="Y33" s="129" t="str">
        <f t="shared" si="0"/>
        <v/>
      </c>
      <c r="Z33" s="129" t="str">
        <f t="shared" si="1"/>
        <v/>
      </c>
      <c r="AA33" s="129" t="str">
        <f t="shared" si="2"/>
        <v/>
      </c>
      <c r="AB33" s="129" t="str">
        <f t="shared" si="3"/>
        <v/>
      </c>
      <c r="AC33" s="521" t="str">
        <f t="shared" si="4"/>
        <v/>
      </c>
      <c r="AD33" s="129" t="str">
        <f t="shared" si="5"/>
        <v/>
      </c>
      <c r="AE33" s="129"/>
      <c r="AF33" s="129">
        <v>0</v>
      </c>
      <c r="AG33" s="129" t="str">
        <f t="shared" si="19"/>
        <v/>
      </c>
      <c r="AH33" s="145"/>
      <c r="BC33" s="78"/>
      <c r="BD33" s="132" t="s">
        <v>4093</v>
      </c>
      <c r="BE33" s="133"/>
      <c r="BF33" s="132" t="str">
        <f>IF(OR(C33="",BE33=""),"",COUNTIF(BE$8:BE33,"√"))</f>
        <v/>
      </c>
      <c r="BG33" s="134" t="str">
        <f t="shared" si="6"/>
        <v/>
      </c>
      <c r="BH33" s="135" t="str">
        <f t="shared" si="20"/>
        <v/>
      </c>
      <c r="BI33" s="135" t="str">
        <f t="shared" si="20"/>
        <v/>
      </c>
      <c r="BJ33" s="136"/>
      <c r="BK33" s="137"/>
      <c r="BL33" s="136"/>
      <c r="BM33" s="136"/>
      <c r="BN33" s="136"/>
      <c r="BO33" s="136"/>
      <c r="BP33" s="137"/>
      <c r="BQ33" s="136"/>
      <c r="BR33" s="137"/>
      <c r="BT33" s="787">
        <f t="shared" si="7"/>
        <v>0</v>
      </c>
      <c r="BU33" s="788">
        <f t="shared" si="42"/>
        <v>0</v>
      </c>
      <c r="BV33" s="787">
        <f t="shared" si="43"/>
        <v>0</v>
      </c>
      <c r="BW33" s="787">
        <v>3205.13</v>
      </c>
      <c r="BX33" s="789">
        <f>IFERROR(LOOKUP(M33,基础数据!A:D),1)</f>
        <v>1</v>
      </c>
      <c r="BY33" s="790">
        <f t="shared" si="44"/>
        <v>3.55771976932645</v>
      </c>
      <c r="BZ33" s="787">
        <f t="shared" ref="BZ33:BZ38" si="59">ROUND(BW33*BY33,-1)</f>
        <v>11400</v>
      </c>
      <c r="CA33" s="797"/>
      <c r="CB33" s="792">
        <f t="shared" si="26"/>
        <v>0.13</v>
      </c>
      <c r="CC33" s="165" t="s">
        <v>2706</v>
      </c>
      <c r="CD33" s="793">
        <v>0</v>
      </c>
      <c r="CE33" s="156">
        <f t="shared" si="8"/>
        <v>0</v>
      </c>
      <c r="CF33" s="156">
        <f t="shared" si="45"/>
        <v>0</v>
      </c>
      <c r="CG33" s="776"/>
      <c r="CH33" s="156">
        <f t="shared" si="46"/>
        <v>0</v>
      </c>
      <c r="CI33" s="156">
        <f t="shared" si="47"/>
        <v>0</v>
      </c>
      <c r="CJ33" s="776"/>
      <c r="CK33" s="156">
        <f t="shared" si="48"/>
        <v>0</v>
      </c>
      <c r="CL33" s="156">
        <f t="shared" si="49"/>
        <v>0</v>
      </c>
      <c r="CM33" s="776"/>
      <c r="CN33" s="156">
        <f t="shared" si="50"/>
        <v>0</v>
      </c>
      <c r="CO33" s="156">
        <f t="shared" si="51"/>
        <v>0</v>
      </c>
      <c r="CP33" s="776"/>
      <c r="CQ33" s="776"/>
      <c r="CR33" s="794">
        <f t="shared" si="52"/>
        <v>0</v>
      </c>
      <c r="CS33" s="156">
        <f t="shared" si="53"/>
        <v>0</v>
      </c>
      <c r="CT33" s="156">
        <f t="shared" si="54"/>
        <v>0</v>
      </c>
      <c r="CU33" s="156">
        <v>0</v>
      </c>
      <c r="CV33" s="795">
        <f>LOOKUP(CU33,参数表!$A$13:$B$19)</f>
        <v>0</v>
      </c>
      <c r="CW33" s="156">
        <f t="shared" si="55"/>
        <v>0</v>
      </c>
      <c r="CX33" s="156">
        <f t="shared" si="56"/>
        <v>0</v>
      </c>
      <c r="CY33" s="156">
        <f t="shared" si="13"/>
        <v>125.582477754962</v>
      </c>
      <c r="CZ33" s="223">
        <v>7</v>
      </c>
      <c r="DA33" s="746">
        <f t="shared" si="57"/>
        <v>-16.94</v>
      </c>
      <c r="DB33" s="746">
        <f t="shared" si="36"/>
        <v>-16.89</v>
      </c>
      <c r="DC33" s="746">
        <f t="shared" si="58"/>
        <v>-16.89</v>
      </c>
      <c r="DE33" s="134" t="str">
        <f>IF(COUNTIF(DE$7:DE32,C33)&gt;0,"",C33)&amp;""</f>
        <v/>
      </c>
      <c r="DF33" s="138">
        <f t="shared" si="15"/>
        <v>0</v>
      </c>
      <c r="DG33" s="132">
        <f t="shared" si="16"/>
        <v>1</v>
      </c>
      <c r="DH33" s="138">
        <f t="shared" si="17"/>
        <v>0</v>
      </c>
      <c r="DI33" s="132">
        <f t="shared" si="18"/>
        <v>1</v>
      </c>
      <c r="DJ33" s="133"/>
      <c r="DK33" s="133"/>
      <c r="DM33" s="796" t="s">
        <v>4078</v>
      </c>
      <c r="DN33" s="75">
        <v>190.35</v>
      </c>
    </row>
    <row r="34" ht="15" customHeight="1" spans="1:118">
      <c r="A34" s="785" t="str">
        <f>IF(C34="","",COUNT(A$7:A33)+1)</f>
        <v/>
      </c>
      <c r="B34" s="141"/>
      <c r="C34" s="139"/>
      <c r="D34" s="141"/>
      <c r="E34" s="535"/>
      <c r="F34" s="535"/>
      <c r="G34" s="141"/>
      <c r="H34" s="536"/>
      <c r="I34" s="139"/>
      <c r="J34" s="141"/>
      <c r="K34" s="141"/>
      <c r="L34" s="140"/>
      <c r="M34" s="140"/>
      <c r="N34" s="142"/>
      <c r="O34" s="127"/>
      <c r="P34" s="128"/>
      <c r="Q34" s="128"/>
      <c r="R34" s="129"/>
      <c r="S34" s="143"/>
      <c r="T34" s="143"/>
      <c r="U34" s="143"/>
      <c r="V34" s="144"/>
      <c r="W34" s="144"/>
      <c r="X34" s="144"/>
      <c r="Y34" s="129" t="str">
        <f t="shared" si="0"/>
        <v/>
      </c>
      <c r="Z34" s="129" t="str">
        <f t="shared" si="1"/>
        <v/>
      </c>
      <c r="AA34" s="129" t="str">
        <f t="shared" si="2"/>
        <v/>
      </c>
      <c r="AB34" s="129" t="str">
        <f t="shared" si="3"/>
        <v/>
      </c>
      <c r="AC34" s="521" t="str">
        <f t="shared" si="4"/>
        <v/>
      </c>
      <c r="AD34" s="129" t="str">
        <f t="shared" si="5"/>
        <v/>
      </c>
      <c r="AE34" s="129"/>
      <c r="AF34" s="129">
        <v>0</v>
      </c>
      <c r="AG34" s="129" t="str">
        <f t="shared" si="19"/>
        <v/>
      </c>
      <c r="AH34" s="145"/>
      <c r="BC34" s="78"/>
      <c r="BD34" s="132" t="s">
        <v>4094</v>
      </c>
      <c r="BE34" s="133"/>
      <c r="BF34" s="132" t="str">
        <f>IF(OR(C34="",BE34=""),"",COUNTIF(BE$8:BE34,"√"))</f>
        <v/>
      </c>
      <c r="BG34" s="134" t="str">
        <f t="shared" si="6"/>
        <v/>
      </c>
      <c r="BH34" s="135" t="str">
        <f t="shared" si="20"/>
        <v/>
      </c>
      <c r="BI34" s="135" t="str">
        <f t="shared" si="20"/>
        <v/>
      </c>
      <c r="BJ34" s="136"/>
      <c r="BK34" s="137"/>
      <c r="BL34" s="136"/>
      <c r="BM34" s="136"/>
      <c r="BN34" s="136"/>
      <c r="BO34" s="136"/>
      <c r="BP34" s="137"/>
      <c r="BQ34" s="136"/>
      <c r="BR34" s="137"/>
      <c r="BT34" s="787">
        <f t="shared" si="7"/>
        <v>0</v>
      </c>
      <c r="BU34" s="788">
        <f t="shared" si="42"/>
        <v>0</v>
      </c>
      <c r="BV34" s="787">
        <f t="shared" si="43"/>
        <v>0</v>
      </c>
      <c r="BW34" s="787">
        <v>3948.72</v>
      </c>
      <c r="BX34" s="789">
        <f>IFERROR(LOOKUP(M34,基础数据!A:D),1)</f>
        <v>1</v>
      </c>
      <c r="BY34" s="790">
        <f t="shared" si="44"/>
        <v>3.55771976932645</v>
      </c>
      <c r="BZ34" s="787">
        <f t="shared" si="59"/>
        <v>14050</v>
      </c>
      <c r="CA34" s="797"/>
      <c r="CB34" s="792">
        <f t="shared" si="26"/>
        <v>0.13</v>
      </c>
      <c r="CC34" s="165" t="s">
        <v>2706</v>
      </c>
      <c r="CD34" s="793">
        <v>0</v>
      </c>
      <c r="CE34" s="156">
        <f t="shared" si="8"/>
        <v>0</v>
      </c>
      <c r="CF34" s="156">
        <f t="shared" si="45"/>
        <v>0</v>
      </c>
      <c r="CG34" s="776"/>
      <c r="CH34" s="156">
        <f t="shared" si="46"/>
        <v>0</v>
      </c>
      <c r="CI34" s="156">
        <f t="shared" si="47"/>
        <v>0</v>
      </c>
      <c r="CJ34" s="776"/>
      <c r="CK34" s="156">
        <f t="shared" si="48"/>
        <v>0</v>
      </c>
      <c r="CL34" s="156">
        <f t="shared" si="49"/>
        <v>0</v>
      </c>
      <c r="CM34" s="776"/>
      <c r="CN34" s="156">
        <f t="shared" si="50"/>
        <v>0</v>
      </c>
      <c r="CO34" s="156">
        <f t="shared" si="51"/>
        <v>0</v>
      </c>
      <c r="CP34" s="776"/>
      <c r="CQ34" s="776"/>
      <c r="CR34" s="794">
        <f t="shared" si="52"/>
        <v>0</v>
      </c>
      <c r="CS34" s="156">
        <f t="shared" si="53"/>
        <v>0</v>
      </c>
      <c r="CT34" s="156">
        <f t="shared" si="54"/>
        <v>0</v>
      </c>
      <c r="CU34" s="156">
        <v>0</v>
      </c>
      <c r="CV34" s="795">
        <f>LOOKUP(CU34,参数表!$A$13:$B$19)</f>
        <v>0</v>
      </c>
      <c r="CW34" s="156">
        <f t="shared" si="55"/>
        <v>0</v>
      </c>
      <c r="CX34" s="156">
        <f t="shared" si="56"/>
        <v>0</v>
      </c>
      <c r="CY34" s="156">
        <f t="shared" si="13"/>
        <v>125.582477754962</v>
      </c>
      <c r="CZ34" s="223">
        <v>7</v>
      </c>
      <c r="DA34" s="746">
        <f t="shared" si="57"/>
        <v>-16.94</v>
      </c>
      <c r="DB34" s="746">
        <f t="shared" si="36"/>
        <v>-16.89</v>
      </c>
      <c r="DC34" s="746">
        <f t="shared" si="58"/>
        <v>-16.89</v>
      </c>
      <c r="DE34" s="134" t="str">
        <f>IF(COUNTIF(DE$7:DE33,C34)&gt;0,"",C34)&amp;""</f>
        <v/>
      </c>
      <c r="DF34" s="138">
        <f t="shared" si="15"/>
        <v>0</v>
      </c>
      <c r="DG34" s="132">
        <f t="shared" si="16"/>
        <v>1</v>
      </c>
      <c r="DH34" s="138">
        <f t="shared" si="17"/>
        <v>0</v>
      </c>
      <c r="DI34" s="132">
        <f t="shared" si="18"/>
        <v>1</v>
      </c>
      <c r="DJ34" s="133"/>
      <c r="DK34" s="133"/>
      <c r="DM34" s="796" t="s">
        <v>4078</v>
      </c>
      <c r="DN34" s="75">
        <v>190.33</v>
      </c>
    </row>
    <row r="35" ht="15" customHeight="1" spans="1:118">
      <c r="A35" s="785" t="str">
        <f>IF(C35="","",COUNT(A$7:A34)+1)</f>
        <v/>
      </c>
      <c r="B35" s="141"/>
      <c r="C35" s="139"/>
      <c r="D35" s="141"/>
      <c r="E35" s="535"/>
      <c r="F35" s="535"/>
      <c r="G35" s="141"/>
      <c r="H35" s="536"/>
      <c r="I35" s="139"/>
      <c r="J35" s="141"/>
      <c r="K35" s="141"/>
      <c r="L35" s="140"/>
      <c r="M35" s="140"/>
      <c r="N35" s="142"/>
      <c r="O35" s="127"/>
      <c r="P35" s="128"/>
      <c r="Q35" s="128"/>
      <c r="R35" s="129"/>
      <c r="S35" s="143"/>
      <c r="T35" s="143"/>
      <c r="U35" s="143"/>
      <c r="V35" s="144"/>
      <c r="W35" s="144"/>
      <c r="X35" s="144"/>
      <c r="Y35" s="129" t="str">
        <f t="shared" si="0"/>
        <v/>
      </c>
      <c r="Z35" s="129" t="str">
        <f t="shared" si="1"/>
        <v/>
      </c>
      <c r="AA35" s="129" t="str">
        <f t="shared" si="2"/>
        <v/>
      </c>
      <c r="AB35" s="129" t="str">
        <f t="shared" si="3"/>
        <v/>
      </c>
      <c r="AC35" s="521" t="str">
        <f t="shared" si="4"/>
        <v/>
      </c>
      <c r="AD35" s="129" t="str">
        <f t="shared" si="5"/>
        <v/>
      </c>
      <c r="AE35" s="129"/>
      <c r="AF35" s="129">
        <v>0</v>
      </c>
      <c r="AG35" s="129" t="str">
        <f t="shared" si="19"/>
        <v/>
      </c>
      <c r="AH35" s="145"/>
      <c r="BC35" s="78"/>
      <c r="BD35" s="132" t="s">
        <v>4095</v>
      </c>
      <c r="BE35" s="133"/>
      <c r="BF35" s="132" t="str">
        <f>IF(OR(C35="",BE35=""),"",COUNTIF(BE$8:BE35,"√"))</f>
        <v/>
      </c>
      <c r="BG35" s="134" t="str">
        <f t="shared" si="6"/>
        <v/>
      </c>
      <c r="BH35" s="135" t="str">
        <f t="shared" si="20"/>
        <v/>
      </c>
      <c r="BI35" s="135" t="str">
        <f t="shared" si="20"/>
        <v/>
      </c>
      <c r="BJ35" s="136"/>
      <c r="BK35" s="137"/>
      <c r="BL35" s="136"/>
      <c r="BM35" s="136"/>
      <c r="BN35" s="136"/>
      <c r="BO35" s="136"/>
      <c r="BP35" s="137"/>
      <c r="BQ35" s="136"/>
      <c r="BR35" s="137"/>
      <c r="BT35" s="787">
        <f t="shared" si="7"/>
        <v>0</v>
      </c>
      <c r="BU35" s="788">
        <f t="shared" si="42"/>
        <v>0</v>
      </c>
      <c r="BV35" s="787">
        <f t="shared" si="43"/>
        <v>0</v>
      </c>
      <c r="BW35" s="787">
        <v>1189.66</v>
      </c>
      <c r="BX35" s="789">
        <f>IFERROR(LOOKUP(M35,基础数据!A:D),1)</f>
        <v>1</v>
      </c>
      <c r="BY35" s="790">
        <f t="shared" si="44"/>
        <v>3.55771976932645</v>
      </c>
      <c r="BZ35" s="787">
        <f t="shared" si="59"/>
        <v>4230</v>
      </c>
      <c r="CA35" s="797"/>
      <c r="CB35" s="792">
        <f t="shared" si="26"/>
        <v>0.13</v>
      </c>
      <c r="CC35" s="165" t="s">
        <v>2706</v>
      </c>
      <c r="CD35" s="793">
        <v>0</v>
      </c>
      <c r="CE35" s="156">
        <f t="shared" si="8"/>
        <v>0</v>
      </c>
      <c r="CF35" s="156">
        <f t="shared" si="45"/>
        <v>0</v>
      </c>
      <c r="CG35" s="776"/>
      <c r="CH35" s="156">
        <f t="shared" si="46"/>
        <v>0</v>
      </c>
      <c r="CI35" s="156">
        <f t="shared" si="47"/>
        <v>0</v>
      </c>
      <c r="CJ35" s="776"/>
      <c r="CK35" s="156">
        <f t="shared" si="48"/>
        <v>0</v>
      </c>
      <c r="CL35" s="156">
        <f t="shared" si="49"/>
        <v>0</v>
      </c>
      <c r="CM35" s="776"/>
      <c r="CN35" s="156">
        <f t="shared" si="50"/>
        <v>0</v>
      </c>
      <c r="CO35" s="156">
        <f t="shared" si="51"/>
        <v>0</v>
      </c>
      <c r="CP35" s="776"/>
      <c r="CQ35" s="776"/>
      <c r="CR35" s="794">
        <f t="shared" si="52"/>
        <v>0</v>
      </c>
      <c r="CS35" s="156">
        <f t="shared" si="53"/>
        <v>0</v>
      </c>
      <c r="CT35" s="156">
        <f t="shared" si="54"/>
        <v>0</v>
      </c>
      <c r="CU35" s="156">
        <v>0</v>
      </c>
      <c r="CV35" s="795">
        <f>LOOKUP(CU35,参数表!$A$13:$B$19)</f>
        <v>0</v>
      </c>
      <c r="CW35" s="156">
        <f t="shared" si="55"/>
        <v>0</v>
      </c>
      <c r="CX35" s="156">
        <f t="shared" si="56"/>
        <v>0</v>
      </c>
      <c r="CY35" s="156">
        <f t="shared" si="13"/>
        <v>125.582477754962</v>
      </c>
      <c r="CZ35" s="223">
        <v>7</v>
      </c>
      <c r="DA35" s="746">
        <f t="shared" si="57"/>
        <v>-16.94</v>
      </c>
      <c r="DB35" s="746">
        <f t="shared" si="36"/>
        <v>-16.89</v>
      </c>
      <c r="DC35" s="746">
        <f t="shared" si="58"/>
        <v>-16.89</v>
      </c>
      <c r="DE35" s="134" t="str">
        <f>IF(COUNTIF(DE$7:DE34,C35)&gt;0,"",C35)&amp;""</f>
        <v/>
      </c>
      <c r="DF35" s="138">
        <f t="shared" si="15"/>
        <v>0</v>
      </c>
      <c r="DG35" s="132">
        <f t="shared" si="16"/>
        <v>1</v>
      </c>
      <c r="DH35" s="138">
        <f t="shared" si="17"/>
        <v>0</v>
      </c>
      <c r="DI35" s="132">
        <f t="shared" si="18"/>
        <v>1</v>
      </c>
      <c r="DJ35" s="133"/>
      <c r="DK35" s="133"/>
      <c r="DM35" s="796" t="s">
        <v>4078</v>
      </c>
      <c r="DN35" s="75">
        <v>208.96</v>
      </c>
    </row>
    <row r="36" ht="15" customHeight="1" spans="1:118">
      <c r="A36" s="785" t="str">
        <f>IF(C36="","",COUNT(A$7:A35)+1)</f>
        <v/>
      </c>
      <c r="B36" s="141"/>
      <c r="C36" s="139"/>
      <c r="D36" s="141"/>
      <c r="E36" s="535"/>
      <c r="F36" s="535"/>
      <c r="G36" s="141"/>
      <c r="H36" s="536"/>
      <c r="I36" s="139"/>
      <c r="J36" s="141"/>
      <c r="K36" s="141"/>
      <c r="L36" s="140"/>
      <c r="M36" s="140"/>
      <c r="N36" s="142"/>
      <c r="O36" s="127"/>
      <c r="P36" s="128"/>
      <c r="Q36" s="128"/>
      <c r="R36" s="129"/>
      <c r="S36" s="143"/>
      <c r="T36" s="143"/>
      <c r="U36" s="143"/>
      <c r="V36" s="144"/>
      <c r="W36" s="144"/>
      <c r="X36" s="144"/>
      <c r="Y36" s="129" t="str">
        <f t="shared" si="0"/>
        <v/>
      </c>
      <c r="Z36" s="129" t="str">
        <f t="shared" si="1"/>
        <v/>
      </c>
      <c r="AA36" s="129" t="str">
        <f t="shared" si="2"/>
        <v/>
      </c>
      <c r="AB36" s="129" t="str">
        <f t="shared" si="3"/>
        <v/>
      </c>
      <c r="AC36" s="521" t="str">
        <f t="shared" si="4"/>
        <v/>
      </c>
      <c r="AD36" s="129" t="str">
        <f t="shared" si="5"/>
        <v/>
      </c>
      <c r="AE36" s="129"/>
      <c r="AF36" s="129">
        <v>0</v>
      </c>
      <c r="AG36" s="129" t="str">
        <f t="shared" si="19"/>
        <v/>
      </c>
      <c r="AH36" s="145"/>
      <c r="BC36" s="78"/>
      <c r="BD36" s="132" t="s">
        <v>4096</v>
      </c>
      <c r="BE36" s="133"/>
      <c r="BF36" s="132" t="str">
        <f>IF(OR(C36="",BE36=""),"",COUNTIF(BE$8:BE36,"√"))</f>
        <v/>
      </c>
      <c r="BG36" s="134" t="str">
        <f t="shared" si="6"/>
        <v/>
      </c>
      <c r="BH36" s="135" t="str">
        <f t="shared" si="20"/>
        <v/>
      </c>
      <c r="BI36" s="135" t="str">
        <f t="shared" si="20"/>
        <v/>
      </c>
      <c r="BJ36" s="136"/>
      <c r="BK36" s="137"/>
      <c r="BL36" s="136"/>
      <c r="BM36" s="136"/>
      <c r="BN36" s="136"/>
      <c r="BO36" s="136"/>
      <c r="BP36" s="137"/>
      <c r="BQ36" s="136"/>
      <c r="BR36" s="137"/>
      <c r="BT36" s="787">
        <f t="shared" si="7"/>
        <v>0</v>
      </c>
      <c r="BU36" s="788">
        <f t="shared" si="42"/>
        <v>0</v>
      </c>
      <c r="BV36" s="787">
        <f t="shared" si="43"/>
        <v>0</v>
      </c>
      <c r="BW36" s="787">
        <v>1179.49</v>
      </c>
      <c r="BX36" s="789">
        <f>IFERROR(LOOKUP(M36,基础数据!A:D),1)</f>
        <v>1</v>
      </c>
      <c r="BY36" s="790">
        <f t="shared" si="44"/>
        <v>3.55771976932645</v>
      </c>
      <c r="BZ36" s="787">
        <f t="shared" si="59"/>
        <v>4200</v>
      </c>
      <c r="CA36" s="797"/>
      <c r="CB36" s="792">
        <f t="shared" si="26"/>
        <v>0.13</v>
      </c>
      <c r="CC36" s="165" t="s">
        <v>229</v>
      </c>
      <c r="CD36" s="793">
        <v>0</v>
      </c>
      <c r="CE36" s="156">
        <f t="shared" si="8"/>
        <v>0</v>
      </c>
      <c r="CF36" s="156">
        <f t="shared" si="45"/>
        <v>0</v>
      </c>
      <c r="CG36" s="776"/>
      <c r="CH36" s="156">
        <f t="shared" si="46"/>
        <v>0</v>
      </c>
      <c r="CI36" s="156">
        <f t="shared" si="47"/>
        <v>0</v>
      </c>
      <c r="CJ36" s="776"/>
      <c r="CK36" s="156">
        <f t="shared" si="48"/>
        <v>0</v>
      </c>
      <c r="CL36" s="156">
        <f t="shared" si="49"/>
        <v>0</v>
      </c>
      <c r="CM36" s="776"/>
      <c r="CN36" s="156">
        <f t="shared" si="50"/>
        <v>0</v>
      </c>
      <c r="CO36" s="156">
        <f t="shared" si="51"/>
        <v>0</v>
      </c>
      <c r="CP36" s="776"/>
      <c r="CQ36" s="776"/>
      <c r="CR36" s="794">
        <f t="shared" si="52"/>
        <v>0</v>
      </c>
      <c r="CS36" s="156">
        <f t="shared" si="53"/>
        <v>0</v>
      </c>
      <c r="CT36" s="156">
        <f t="shared" si="54"/>
        <v>0</v>
      </c>
      <c r="CU36" s="156">
        <v>0</v>
      </c>
      <c r="CV36" s="795">
        <f>LOOKUP(CU36,参数表!$A$13:$B$19)</f>
        <v>0</v>
      </c>
      <c r="CW36" s="156">
        <f t="shared" si="55"/>
        <v>0</v>
      </c>
      <c r="CX36" s="156">
        <f t="shared" si="56"/>
        <v>0</v>
      </c>
      <c r="CY36" s="156">
        <f t="shared" si="13"/>
        <v>125.582477754962</v>
      </c>
      <c r="CZ36" s="223">
        <v>6</v>
      </c>
      <c r="DA36" s="746">
        <f t="shared" si="57"/>
        <v>-19.93</v>
      </c>
      <c r="DB36" s="746">
        <f t="shared" si="36"/>
        <v>-19.88</v>
      </c>
      <c r="DC36" s="746">
        <f t="shared" si="58"/>
        <v>-19.88</v>
      </c>
      <c r="DE36" s="134" t="str">
        <f>IF(COUNTIF(DE$7:DE35,C36)&gt;0,"",C36)&amp;""</f>
        <v/>
      </c>
      <c r="DF36" s="138">
        <f t="shared" si="15"/>
        <v>0</v>
      </c>
      <c r="DG36" s="132">
        <f t="shared" si="16"/>
        <v>1</v>
      </c>
      <c r="DH36" s="138">
        <f t="shared" si="17"/>
        <v>0</v>
      </c>
      <c r="DI36" s="132">
        <f t="shared" si="18"/>
        <v>1</v>
      </c>
      <c r="DJ36" s="133"/>
      <c r="DK36" s="133"/>
      <c r="DM36" s="796" t="s">
        <v>4097</v>
      </c>
      <c r="DN36" s="75">
        <v>1316.3</v>
      </c>
    </row>
    <row r="37" ht="15" customHeight="1" spans="1:118">
      <c r="A37" s="785" t="str">
        <f>IF(C37="","",COUNT(A$7:A36)+1)</f>
        <v/>
      </c>
      <c r="B37" s="141"/>
      <c r="C37" s="139"/>
      <c r="D37" s="141"/>
      <c r="E37" s="535"/>
      <c r="F37" s="535"/>
      <c r="G37" s="141"/>
      <c r="H37" s="536"/>
      <c r="I37" s="139"/>
      <c r="J37" s="141"/>
      <c r="K37" s="141"/>
      <c r="L37" s="140"/>
      <c r="M37" s="140"/>
      <c r="N37" s="142"/>
      <c r="O37" s="127"/>
      <c r="P37" s="128"/>
      <c r="Q37" s="128"/>
      <c r="R37" s="129"/>
      <c r="S37" s="143"/>
      <c r="T37" s="143"/>
      <c r="U37" s="143"/>
      <c r="V37" s="144"/>
      <c r="W37" s="144"/>
      <c r="X37" s="144"/>
      <c r="Y37" s="129" t="str">
        <f t="shared" si="0"/>
        <v/>
      </c>
      <c r="Z37" s="129" t="str">
        <f t="shared" si="1"/>
        <v/>
      </c>
      <c r="AA37" s="129" t="str">
        <f t="shared" si="2"/>
        <v/>
      </c>
      <c r="AB37" s="129" t="str">
        <f t="shared" si="3"/>
        <v/>
      </c>
      <c r="AC37" s="521" t="str">
        <f t="shared" si="4"/>
        <v/>
      </c>
      <c r="AD37" s="129" t="str">
        <f t="shared" si="5"/>
        <v/>
      </c>
      <c r="AE37" s="129"/>
      <c r="AF37" s="129">
        <v>0</v>
      </c>
      <c r="AG37" s="129" t="str">
        <f t="shared" si="19"/>
        <v/>
      </c>
      <c r="AH37" s="145"/>
      <c r="BC37" s="78"/>
      <c r="BD37" s="132" t="s">
        <v>4098</v>
      </c>
      <c r="BE37" s="133"/>
      <c r="BF37" s="132" t="str">
        <f>IF(OR(C37="",BE37=""),"",COUNTIF(BE$8:BE37,"√"))</f>
        <v/>
      </c>
      <c r="BG37" s="134" t="str">
        <f t="shared" si="6"/>
        <v/>
      </c>
      <c r="BH37" s="135" t="str">
        <f t="shared" si="20"/>
        <v/>
      </c>
      <c r="BI37" s="135" t="str">
        <f t="shared" si="20"/>
        <v/>
      </c>
      <c r="BJ37" s="136"/>
      <c r="BK37" s="137"/>
      <c r="BL37" s="136"/>
      <c r="BM37" s="136"/>
      <c r="BN37" s="136"/>
      <c r="BO37" s="136"/>
      <c r="BP37" s="137"/>
      <c r="BQ37" s="136"/>
      <c r="BR37" s="137"/>
      <c r="BT37" s="787">
        <f t="shared" si="7"/>
        <v>0</v>
      </c>
      <c r="BU37" s="788">
        <f t="shared" si="42"/>
        <v>0</v>
      </c>
      <c r="BV37" s="787">
        <f t="shared" si="43"/>
        <v>0</v>
      </c>
      <c r="BW37" s="787">
        <v>3247.86</v>
      </c>
      <c r="BX37" s="789">
        <f>IFERROR(LOOKUP(M37,基础数据!A:D),1)</f>
        <v>1</v>
      </c>
      <c r="BY37" s="790">
        <f t="shared" si="44"/>
        <v>3.55771976932645</v>
      </c>
      <c r="BZ37" s="787">
        <f t="shared" si="59"/>
        <v>11550</v>
      </c>
      <c r="CA37" s="797"/>
      <c r="CB37" s="792">
        <f t="shared" si="26"/>
        <v>0.13</v>
      </c>
      <c r="CC37" s="165" t="s">
        <v>2706</v>
      </c>
      <c r="CD37" s="793">
        <v>0</v>
      </c>
      <c r="CE37" s="156">
        <f t="shared" si="8"/>
        <v>0</v>
      </c>
      <c r="CF37" s="156">
        <f t="shared" si="45"/>
        <v>0</v>
      </c>
      <c r="CG37" s="776"/>
      <c r="CH37" s="156">
        <f t="shared" si="46"/>
        <v>0</v>
      </c>
      <c r="CI37" s="156">
        <f t="shared" si="47"/>
        <v>0</v>
      </c>
      <c r="CJ37" s="776"/>
      <c r="CK37" s="156">
        <f t="shared" si="48"/>
        <v>0</v>
      </c>
      <c r="CL37" s="156">
        <f t="shared" si="49"/>
        <v>0</v>
      </c>
      <c r="CM37" s="776"/>
      <c r="CN37" s="156">
        <f t="shared" si="50"/>
        <v>0</v>
      </c>
      <c r="CO37" s="156">
        <f t="shared" si="51"/>
        <v>0</v>
      </c>
      <c r="CP37" s="776"/>
      <c r="CQ37" s="776"/>
      <c r="CR37" s="794">
        <f t="shared" si="52"/>
        <v>0</v>
      </c>
      <c r="CS37" s="156">
        <f t="shared" si="53"/>
        <v>0</v>
      </c>
      <c r="CT37" s="156">
        <f t="shared" si="54"/>
        <v>0</v>
      </c>
      <c r="CU37" s="156">
        <v>0</v>
      </c>
      <c r="CV37" s="795">
        <f>LOOKUP(CU37,参数表!$A$13:$B$19)</f>
        <v>0</v>
      </c>
      <c r="CW37" s="156">
        <f t="shared" si="55"/>
        <v>0</v>
      </c>
      <c r="CX37" s="156">
        <f t="shared" si="56"/>
        <v>0</v>
      </c>
      <c r="CY37" s="156">
        <f t="shared" si="13"/>
        <v>125.582477754962</v>
      </c>
      <c r="CZ37" s="223">
        <v>7</v>
      </c>
      <c r="DA37" s="746">
        <f t="shared" si="57"/>
        <v>-16.94</v>
      </c>
      <c r="DB37" s="746">
        <f t="shared" si="36"/>
        <v>-16.89</v>
      </c>
      <c r="DC37" s="746">
        <f t="shared" si="58"/>
        <v>-16.89</v>
      </c>
      <c r="DE37" s="134" t="str">
        <f>IF(COUNTIF(DE$7:DE36,C37)&gt;0,"",C37)&amp;""</f>
        <v/>
      </c>
      <c r="DF37" s="138">
        <f t="shared" si="15"/>
        <v>0</v>
      </c>
      <c r="DG37" s="132">
        <f t="shared" si="16"/>
        <v>1</v>
      </c>
      <c r="DH37" s="138">
        <f t="shared" si="17"/>
        <v>0</v>
      </c>
      <c r="DI37" s="132">
        <f t="shared" si="18"/>
        <v>1</v>
      </c>
      <c r="DJ37" s="133"/>
      <c r="DK37" s="133"/>
      <c r="DM37" s="796" t="s">
        <v>4078</v>
      </c>
      <c r="DN37" s="75">
        <v>2251.63</v>
      </c>
    </row>
    <row r="38" ht="15" customHeight="1" spans="1:118">
      <c r="A38" s="785" t="str">
        <f>IF(C38="","",COUNT(A$7:A37)+1)</f>
        <v/>
      </c>
      <c r="B38" s="141"/>
      <c r="C38" s="798"/>
      <c r="D38" s="141"/>
      <c r="E38" s="535"/>
      <c r="F38" s="535"/>
      <c r="G38" s="141"/>
      <c r="H38" s="536"/>
      <c r="I38" s="139"/>
      <c r="J38" s="141"/>
      <c r="K38" s="141"/>
      <c r="L38" s="140"/>
      <c r="M38" s="140"/>
      <c r="N38" s="142"/>
      <c r="O38" s="127"/>
      <c r="P38" s="128"/>
      <c r="Q38" s="128"/>
      <c r="R38" s="129"/>
      <c r="S38" s="143"/>
      <c r="T38" s="143"/>
      <c r="U38" s="143"/>
      <c r="V38" s="144"/>
      <c r="W38" s="144"/>
      <c r="X38" s="144"/>
      <c r="Y38" s="129" t="str">
        <f t="shared" si="0"/>
        <v/>
      </c>
      <c r="Z38" s="129" t="str">
        <f t="shared" si="1"/>
        <v/>
      </c>
      <c r="AA38" s="129" t="str">
        <f t="shared" si="2"/>
        <v/>
      </c>
      <c r="AB38" s="129" t="str">
        <f t="shared" si="3"/>
        <v/>
      </c>
      <c r="AC38" s="521" t="str">
        <f t="shared" si="4"/>
        <v/>
      </c>
      <c r="AD38" s="129" t="str">
        <f t="shared" si="5"/>
        <v/>
      </c>
      <c r="AE38" s="129"/>
      <c r="AF38" s="129">
        <v>0</v>
      </c>
      <c r="AG38" s="129" t="str">
        <f t="shared" si="19"/>
        <v/>
      </c>
      <c r="AH38" s="145"/>
      <c r="BC38" s="78"/>
      <c r="BD38" s="132" t="s">
        <v>4099</v>
      </c>
      <c r="BE38" s="133"/>
      <c r="BF38" s="132" t="str">
        <f>IF(OR(C38="",BE38=""),"",COUNTIF(BE$8:BE38,"√"))</f>
        <v/>
      </c>
      <c r="BG38" s="134" t="str">
        <f t="shared" si="6"/>
        <v/>
      </c>
      <c r="BH38" s="135" t="str">
        <f t="shared" si="20"/>
        <v/>
      </c>
      <c r="BI38" s="135" t="str">
        <f t="shared" si="20"/>
        <v/>
      </c>
      <c r="BJ38" s="136"/>
      <c r="BK38" s="137"/>
      <c r="BL38" s="136"/>
      <c r="BM38" s="136"/>
      <c r="BN38" s="136"/>
      <c r="BO38" s="136"/>
      <c r="BP38" s="137"/>
      <c r="BQ38" s="136"/>
      <c r="BR38" s="137"/>
      <c r="BT38" s="787">
        <f t="shared" si="7"/>
        <v>0</v>
      </c>
      <c r="BU38" s="788">
        <f t="shared" si="42"/>
        <v>0</v>
      </c>
      <c r="BV38" s="787">
        <f t="shared" si="43"/>
        <v>0</v>
      </c>
      <c r="BW38" s="787">
        <v>3247.86</v>
      </c>
      <c r="BX38" s="789">
        <f>IFERROR(LOOKUP(M38,基础数据!A:D),1)</f>
        <v>1</v>
      </c>
      <c r="BY38" s="790">
        <f t="shared" si="44"/>
        <v>3.55771976932645</v>
      </c>
      <c r="BZ38" s="787">
        <f t="shared" si="59"/>
        <v>11550</v>
      </c>
      <c r="CA38" s="797"/>
      <c r="CB38" s="792">
        <f t="shared" si="26"/>
        <v>0.13</v>
      </c>
      <c r="CC38" s="165" t="s">
        <v>2706</v>
      </c>
      <c r="CD38" s="793">
        <v>0</v>
      </c>
      <c r="CE38" s="156">
        <f t="shared" si="8"/>
        <v>0</v>
      </c>
      <c r="CF38" s="156">
        <f t="shared" si="45"/>
        <v>0</v>
      </c>
      <c r="CG38" s="776"/>
      <c r="CH38" s="156">
        <f t="shared" si="46"/>
        <v>0</v>
      </c>
      <c r="CI38" s="156">
        <f t="shared" si="47"/>
        <v>0</v>
      </c>
      <c r="CJ38" s="776"/>
      <c r="CK38" s="156">
        <f t="shared" si="48"/>
        <v>0</v>
      </c>
      <c r="CL38" s="156">
        <f t="shared" si="49"/>
        <v>0</v>
      </c>
      <c r="CM38" s="776"/>
      <c r="CN38" s="156">
        <f t="shared" si="50"/>
        <v>0</v>
      </c>
      <c r="CO38" s="156">
        <f t="shared" si="51"/>
        <v>0</v>
      </c>
      <c r="CP38" s="776"/>
      <c r="CQ38" s="776"/>
      <c r="CR38" s="794">
        <f t="shared" si="52"/>
        <v>0</v>
      </c>
      <c r="CS38" s="156">
        <f t="shared" si="53"/>
        <v>0</v>
      </c>
      <c r="CT38" s="156">
        <f t="shared" si="54"/>
        <v>0</v>
      </c>
      <c r="CU38" s="156">
        <v>0</v>
      </c>
      <c r="CV38" s="795">
        <f>LOOKUP(CU38,参数表!$A$13:$B$19)</f>
        <v>0</v>
      </c>
      <c r="CW38" s="156">
        <f t="shared" si="55"/>
        <v>0</v>
      </c>
      <c r="CX38" s="156">
        <f t="shared" si="56"/>
        <v>0</v>
      </c>
      <c r="CY38" s="156">
        <f t="shared" si="13"/>
        <v>125.582477754962</v>
      </c>
      <c r="CZ38" s="223">
        <v>10</v>
      </c>
      <c r="DA38" s="746">
        <f t="shared" si="57"/>
        <v>-11.56</v>
      </c>
      <c r="DB38" s="746">
        <f t="shared" si="36"/>
        <v>-11.51</v>
      </c>
      <c r="DC38" s="746">
        <f t="shared" si="58"/>
        <v>-11.51</v>
      </c>
      <c r="DE38" s="134" t="str">
        <f>IF(COUNTIF(DE$7:DE37,C38)&gt;0,"",C38)&amp;""</f>
        <v/>
      </c>
      <c r="DF38" s="138">
        <f t="shared" si="15"/>
        <v>0</v>
      </c>
      <c r="DG38" s="132">
        <f t="shared" si="16"/>
        <v>1</v>
      </c>
      <c r="DH38" s="138">
        <f t="shared" si="17"/>
        <v>0</v>
      </c>
      <c r="DI38" s="132">
        <f t="shared" si="18"/>
        <v>1</v>
      </c>
      <c r="DJ38" s="133"/>
      <c r="DK38" s="133"/>
      <c r="DM38" s="796" t="s">
        <v>4100</v>
      </c>
      <c r="DN38" s="75">
        <v>2139.16</v>
      </c>
    </row>
    <row r="39" ht="15" customHeight="1" spans="1:118">
      <c r="A39" s="785" t="str">
        <f>IF(C39="","",COUNT(A$7:A38)+1)</f>
        <v/>
      </c>
      <c r="B39" s="141"/>
      <c r="C39" s="139"/>
      <c r="D39" s="141"/>
      <c r="E39" s="535"/>
      <c r="F39" s="535"/>
      <c r="G39" s="141"/>
      <c r="H39" s="536"/>
      <c r="I39" s="139"/>
      <c r="J39" s="141"/>
      <c r="K39" s="141"/>
      <c r="L39" s="140"/>
      <c r="M39" s="140"/>
      <c r="N39" s="142"/>
      <c r="O39" s="127"/>
      <c r="P39" s="128"/>
      <c r="Q39" s="128"/>
      <c r="R39" s="129"/>
      <c r="S39" s="143"/>
      <c r="T39" s="143"/>
      <c r="U39" s="143"/>
      <c r="V39" s="144"/>
      <c r="W39" s="144"/>
      <c r="X39" s="144"/>
      <c r="Y39" s="129" t="str">
        <f t="shared" si="0"/>
        <v/>
      </c>
      <c r="Z39" s="129" t="str">
        <f t="shared" si="1"/>
        <v/>
      </c>
      <c r="AA39" s="129" t="str">
        <f t="shared" si="2"/>
        <v/>
      </c>
      <c r="AB39" s="129" t="str">
        <f t="shared" si="3"/>
        <v/>
      </c>
      <c r="AC39" s="521" t="str">
        <f t="shared" si="4"/>
        <v/>
      </c>
      <c r="AD39" s="129" t="str">
        <f t="shared" si="5"/>
        <v/>
      </c>
      <c r="AE39" s="129"/>
      <c r="AF39" s="129">
        <v>0</v>
      </c>
      <c r="AG39" s="129" t="str">
        <f t="shared" si="19"/>
        <v/>
      </c>
      <c r="AH39" s="145"/>
      <c r="BC39" s="78"/>
      <c r="BD39" s="132" t="s">
        <v>4101</v>
      </c>
      <c r="BE39" s="133"/>
      <c r="BF39" s="132" t="str">
        <f>IF(OR(C39="",BE39=""),"",COUNTIF(BE$8:BE39,"√"))</f>
        <v/>
      </c>
      <c r="BG39" s="134" t="str">
        <f t="shared" si="6"/>
        <v/>
      </c>
      <c r="BH39" s="135" t="str">
        <f t="shared" si="20"/>
        <v/>
      </c>
      <c r="BI39" s="135" t="str">
        <f t="shared" si="20"/>
        <v/>
      </c>
      <c r="BJ39" s="136"/>
      <c r="BK39" s="137"/>
      <c r="BL39" s="136"/>
      <c r="BM39" s="136"/>
      <c r="BN39" s="136"/>
      <c r="BO39" s="136"/>
      <c r="BP39" s="137"/>
      <c r="BQ39" s="136"/>
      <c r="BR39" s="137"/>
      <c r="BT39" s="787">
        <f t="shared" si="7"/>
        <v>0</v>
      </c>
      <c r="BU39" s="788">
        <f t="shared" si="42"/>
        <v>0</v>
      </c>
      <c r="BV39" s="787">
        <f t="shared" si="43"/>
        <v>0</v>
      </c>
      <c r="BW39" s="787">
        <v>1221.11</v>
      </c>
      <c r="BX39" s="789">
        <f>IFERROR(LOOKUP(M39,基础数据!A:D),1)</f>
        <v>1</v>
      </c>
      <c r="BY39" s="790">
        <f t="shared" si="44"/>
        <v>3.55771976932645</v>
      </c>
      <c r="BZ39" s="787">
        <v>3653.85</v>
      </c>
      <c r="CA39" s="797"/>
      <c r="CB39" s="792">
        <f t="shared" si="26"/>
        <v>0.13</v>
      </c>
      <c r="CC39" s="165" t="s">
        <v>230</v>
      </c>
      <c r="CD39" s="793">
        <v>0</v>
      </c>
      <c r="CE39" s="156">
        <f t="shared" si="8"/>
        <v>0</v>
      </c>
      <c r="CF39" s="156">
        <f t="shared" si="45"/>
        <v>0</v>
      </c>
      <c r="CG39" s="776"/>
      <c r="CH39" s="156">
        <f t="shared" si="46"/>
        <v>0</v>
      </c>
      <c r="CI39" s="156">
        <f t="shared" si="47"/>
        <v>0</v>
      </c>
      <c r="CJ39" s="776"/>
      <c r="CK39" s="156">
        <f t="shared" si="48"/>
        <v>0</v>
      </c>
      <c r="CL39" s="156">
        <f t="shared" si="49"/>
        <v>0</v>
      </c>
      <c r="CM39" s="776"/>
      <c r="CN39" s="156">
        <f t="shared" si="50"/>
        <v>0</v>
      </c>
      <c r="CO39" s="156">
        <f t="shared" si="51"/>
        <v>0</v>
      </c>
      <c r="CP39" s="776"/>
      <c r="CQ39" s="776"/>
      <c r="CR39" s="794">
        <f t="shared" si="52"/>
        <v>0</v>
      </c>
      <c r="CS39" s="156">
        <f t="shared" si="53"/>
        <v>0</v>
      </c>
      <c r="CT39" s="156">
        <f t="shared" si="54"/>
        <v>0</v>
      </c>
      <c r="CU39" s="156">
        <v>0</v>
      </c>
      <c r="CV39" s="795">
        <f>LOOKUP(CU39,参数表!$A$13:$B$19)</f>
        <v>0</v>
      </c>
      <c r="CW39" s="156">
        <f t="shared" si="55"/>
        <v>0</v>
      </c>
      <c r="CX39" s="156">
        <f t="shared" si="56"/>
        <v>0</v>
      </c>
      <c r="CY39" s="156">
        <f t="shared" si="13"/>
        <v>125.582477754962</v>
      </c>
      <c r="CZ39" s="223">
        <v>4</v>
      </c>
      <c r="DA39" s="746">
        <f t="shared" si="57"/>
        <v>-30.4</v>
      </c>
      <c r="DB39" s="746">
        <f t="shared" si="36"/>
        <v>-30.35</v>
      </c>
      <c r="DC39" s="746">
        <f t="shared" si="58"/>
        <v>-30.35</v>
      </c>
      <c r="DE39" s="134" t="str">
        <f>IF(COUNTIF(DE$7:DE38,C39)&gt;0,"",C39)&amp;""</f>
        <v/>
      </c>
      <c r="DF39" s="138">
        <f t="shared" si="15"/>
        <v>0</v>
      </c>
      <c r="DG39" s="132">
        <f t="shared" si="16"/>
        <v>1</v>
      </c>
      <c r="DH39" s="138">
        <f t="shared" si="17"/>
        <v>0</v>
      </c>
      <c r="DI39" s="132">
        <f t="shared" si="18"/>
        <v>1</v>
      </c>
      <c r="DJ39" s="133"/>
      <c r="DK39" s="133"/>
      <c r="DM39" s="796" t="s">
        <v>4067</v>
      </c>
      <c r="DN39" s="75">
        <v>763.83</v>
      </c>
    </row>
    <row r="40" ht="15" customHeight="1" spans="1:118">
      <c r="A40" s="785" t="str">
        <f>IF(C40="","",COUNT(A$7:A39)+1)</f>
        <v/>
      </c>
      <c r="B40" s="141"/>
      <c r="C40" s="139"/>
      <c r="D40" s="141"/>
      <c r="E40" s="535"/>
      <c r="F40" s="535"/>
      <c r="G40" s="141"/>
      <c r="H40" s="536"/>
      <c r="I40" s="139"/>
      <c r="J40" s="141"/>
      <c r="K40" s="141"/>
      <c r="L40" s="140"/>
      <c r="M40" s="140"/>
      <c r="N40" s="142"/>
      <c r="O40" s="127"/>
      <c r="P40" s="128"/>
      <c r="Q40" s="128"/>
      <c r="R40" s="129"/>
      <c r="S40" s="143"/>
      <c r="T40" s="143"/>
      <c r="U40" s="143"/>
      <c r="V40" s="144"/>
      <c r="W40" s="144"/>
      <c r="X40" s="144"/>
      <c r="Y40" s="129" t="str">
        <f t="shared" ref="Y40:Y71" si="60">IF(C40="","",S40+V40)</f>
        <v/>
      </c>
      <c r="Z40" s="129" t="str">
        <f t="shared" ref="Z40:Z71" si="61">IF(C40="","",T40+W40)</f>
        <v/>
      </c>
      <c r="AA40" s="129" t="str">
        <f t="shared" ref="AA40:AA71" si="62">IF(C40="","",U40+X40)</f>
        <v/>
      </c>
      <c r="AB40" s="129" t="str">
        <f t="shared" ref="AB40:AB71" si="63">IF(C40="","",IF($BD$3="是",IF(CC40="成本法",CX40,CE40),""))</f>
        <v/>
      </c>
      <c r="AC40" s="521" t="str">
        <f t="shared" ref="AC40:AC71" si="64">IF(C40="","",IF($BD$3="是",IF(CC40="成本法",MIN(MAX(15,DC40*100),99),""),""))</f>
        <v/>
      </c>
      <c r="AD40" s="129" t="str">
        <f t="shared" ref="AD40:AD71" si="65">IFERROR(IF(AC40="",AB40,ROUND(AB40*AC40/100,0)),"")</f>
        <v/>
      </c>
      <c r="AE40" s="129"/>
      <c r="AF40" s="129">
        <v>0</v>
      </c>
      <c r="AG40" s="129" t="str">
        <f t="shared" si="19"/>
        <v/>
      </c>
      <c r="AH40" s="145"/>
      <c r="BC40" s="78"/>
      <c r="BD40" s="132" t="s">
        <v>4102</v>
      </c>
      <c r="BE40" s="133"/>
      <c r="BF40" s="132" t="str">
        <f>IF(OR(C40="",BE40=""),"",COUNTIF(BE$8:BE40,"√"))</f>
        <v/>
      </c>
      <c r="BG40" s="134" t="str">
        <f t="shared" ref="BG40:BG71" si="66">IF(BE40="","",BD40&amp;"︱"&amp;C40&amp;"︱"&amp;TEXT(S40,"#,##0.00"))</f>
        <v/>
      </c>
      <c r="BH40" s="135" t="str">
        <f t="shared" si="20"/>
        <v/>
      </c>
      <c r="BI40" s="135" t="str">
        <f t="shared" si="20"/>
        <v/>
      </c>
      <c r="BJ40" s="136"/>
      <c r="BK40" s="137"/>
      <c r="BL40" s="136"/>
      <c r="BM40" s="136"/>
      <c r="BN40" s="136"/>
      <c r="BO40" s="136"/>
      <c r="BP40" s="137"/>
      <c r="BQ40" s="136"/>
      <c r="BR40" s="137"/>
      <c r="BT40" s="787">
        <f t="shared" ref="BT40:BT71" si="67">IFERROR(Y40/(1+BS40)/K40,0)</f>
        <v>0</v>
      </c>
      <c r="BU40" s="788">
        <f t="shared" si="42"/>
        <v>0</v>
      </c>
      <c r="BV40" s="787">
        <f t="shared" si="43"/>
        <v>0</v>
      </c>
      <c r="BW40" s="787">
        <v>1025.6</v>
      </c>
      <c r="BX40" s="789">
        <f>IFERROR(LOOKUP(M40,基础数据!A:D),1)</f>
        <v>1</v>
      </c>
      <c r="BY40" s="790">
        <f t="shared" si="44"/>
        <v>3.55771976932645</v>
      </c>
      <c r="BZ40" s="787">
        <v>3653.85</v>
      </c>
      <c r="CA40" s="797"/>
      <c r="CB40" s="792">
        <f t="shared" si="26"/>
        <v>0.13</v>
      </c>
      <c r="CC40" s="165" t="s">
        <v>230</v>
      </c>
      <c r="CD40" s="793">
        <v>0</v>
      </c>
      <c r="CE40" s="156">
        <f t="shared" ref="CE40:CE71" si="68">ROUND(CD40*K40,2)</f>
        <v>0</v>
      </c>
      <c r="CF40" s="156">
        <f t="shared" si="45"/>
        <v>0</v>
      </c>
      <c r="CG40" s="776"/>
      <c r="CH40" s="156">
        <f t="shared" si="46"/>
        <v>0</v>
      </c>
      <c r="CI40" s="156">
        <f t="shared" si="47"/>
        <v>0</v>
      </c>
      <c r="CJ40" s="776"/>
      <c r="CK40" s="156">
        <f t="shared" si="48"/>
        <v>0</v>
      </c>
      <c r="CL40" s="156">
        <f t="shared" si="49"/>
        <v>0</v>
      </c>
      <c r="CM40" s="776"/>
      <c r="CN40" s="156">
        <f t="shared" si="50"/>
        <v>0</v>
      </c>
      <c r="CO40" s="156">
        <f t="shared" si="51"/>
        <v>0</v>
      </c>
      <c r="CP40" s="776"/>
      <c r="CQ40" s="776"/>
      <c r="CR40" s="794">
        <f t="shared" si="52"/>
        <v>0</v>
      </c>
      <c r="CS40" s="156">
        <f t="shared" si="53"/>
        <v>0</v>
      </c>
      <c r="CT40" s="156">
        <f t="shared" si="54"/>
        <v>0</v>
      </c>
      <c r="CU40" s="156">
        <v>0</v>
      </c>
      <c r="CV40" s="795">
        <f>LOOKUP(CU40,参数表!$A$13:$B$19)</f>
        <v>0</v>
      </c>
      <c r="CW40" s="156">
        <f t="shared" si="55"/>
        <v>0</v>
      </c>
      <c r="CX40" s="156">
        <f t="shared" si="56"/>
        <v>0</v>
      </c>
      <c r="CY40" s="156">
        <f t="shared" ref="CY40:CY71" si="69">(CY$6-M40)/365.25</f>
        <v>125.582477754962</v>
      </c>
      <c r="CZ40" s="223">
        <v>4</v>
      </c>
      <c r="DA40" s="746">
        <f t="shared" si="57"/>
        <v>-30.4</v>
      </c>
      <c r="DB40" s="746">
        <f t="shared" si="36"/>
        <v>-30.35</v>
      </c>
      <c r="DC40" s="746">
        <f t="shared" si="58"/>
        <v>-30.35</v>
      </c>
      <c r="DE40" s="134" t="str">
        <f>IF(COUNTIF(DE$7:DE39,C40)&gt;0,"",C40)&amp;""</f>
        <v/>
      </c>
      <c r="DF40" s="138">
        <f t="shared" ref="DF40:DF71" si="70">SUMIF(C$8:C$134,DE40,Y$8:Y$134)</f>
        <v>0</v>
      </c>
      <c r="DG40" s="132">
        <f t="shared" ref="DG40:DG71" si="71">RANK(DF40,DF$8:DF$134)</f>
        <v>1</v>
      </c>
      <c r="DH40" s="138">
        <f t="shared" ref="DH40:DH71" si="72">SUMIF(C$8:C$134,DE40,AB$8:AB$134)</f>
        <v>0</v>
      </c>
      <c r="DI40" s="132">
        <f t="shared" ref="DI40:DI71" si="73">RANK(DH40,DH$8:DH$134)</f>
        <v>1</v>
      </c>
      <c r="DJ40" s="133"/>
      <c r="DK40" s="133"/>
      <c r="DM40" s="796" t="s">
        <v>4067</v>
      </c>
      <c r="DN40" s="75">
        <v>763.83</v>
      </c>
    </row>
    <row r="41" ht="15" customHeight="1" spans="1:118">
      <c r="A41" s="785" t="str">
        <f>IF(C41="","",COUNT(A$7:A40)+1)</f>
        <v/>
      </c>
      <c r="B41" s="141"/>
      <c r="C41" s="139"/>
      <c r="D41" s="141"/>
      <c r="E41" s="535"/>
      <c r="F41" s="535"/>
      <c r="G41" s="141"/>
      <c r="H41" s="536"/>
      <c r="I41" s="139"/>
      <c r="J41" s="141"/>
      <c r="K41" s="141"/>
      <c r="L41" s="140"/>
      <c r="M41" s="140"/>
      <c r="N41" s="142"/>
      <c r="O41" s="127"/>
      <c r="P41" s="128"/>
      <c r="Q41" s="128"/>
      <c r="R41" s="129"/>
      <c r="S41" s="143"/>
      <c r="T41" s="143"/>
      <c r="U41" s="143"/>
      <c r="V41" s="144"/>
      <c r="W41" s="144"/>
      <c r="X41" s="144"/>
      <c r="Y41" s="129" t="str">
        <f t="shared" si="60"/>
        <v/>
      </c>
      <c r="Z41" s="129" t="str">
        <f t="shared" si="61"/>
        <v/>
      </c>
      <c r="AA41" s="129" t="str">
        <f t="shared" si="62"/>
        <v/>
      </c>
      <c r="AB41" s="129" t="str">
        <f t="shared" si="63"/>
        <v/>
      </c>
      <c r="AC41" s="521" t="str">
        <f t="shared" si="64"/>
        <v/>
      </c>
      <c r="AD41" s="129" t="str">
        <f t="shared" si="65"/>
        <v/>
      </c>
      <c r="AE41" s="129"/>
      <c r="AF41" s="129">
        <v>0</v>
      </c>
      <c r="AG41" s="129" t="str">
        <f t="shared" ref="AG41:AG72" si="74">IFERROR((AD41-(Z41-AA41))/(Z41-AA41)*100,"")</f>
        <v/>
      </c>
      <c r="AH41" s="145"/>
      <c r="BC41" s="78"/>
      <c r="BD41" s="132" t="s">
        <v>4103</v>
      </c>
      <c r="BE41" s="133"/>
      <c r="BF41" s="132" t="str">
        <f>IF(OR(C41="",BE41=""),"",COUNTIF(BE$8:BE41,"√"))</f>
        <v/>
      </c>
      <c r="BG41" s="134" t="str">
        <f t="shared" si="66"/>
        <v/>
      </c>
      <c r="BH41" s="135" t="str">
        <f t="shared" si="20"/>
        <v/>
      </c>
      <c r="BI41" s="135" t="str">
        <f t="shared" si="20"/>
        <v/>
      </c>
      <c r="BJ41" s="136"/>
      <c r="BK41" s="137"/>
      <c r="BL41" s="136"/>
      <c r="BM41" s="136"/>
      <c r="BN41" s="136"/>
      <c r="BO41" s="136"/>
      <c r="BP41" s="137"/>
      <c r="BQ41" s="136"/>
      <c r="BR41" s="137"/>
      <c r="BT41" s="787">
        <f t="shared" si="67"/>
        <v>0</v>
      </c>
      <c r="BU41" s="788">
        <f t="shared" si="42"/>
        <v>0</v>
      </c>
      <c r="BV41" s="787">
        <f t="shared" si="43"/>
        <v>0</v>
      </c>
      <c r="BW41" s="787">
        <v>3247.86</v>
      </c>
      <c r="BX41" s="789">
        <f>IFERROR(LOOKUP(M41,基础数据!A:D),1)</f>
        <v>1</v>
      </c>
      <c r="BY41" s="790">
        <f t="shared" si="44"/>
        <v>3.55771976932645</v>
      </c>
      <c r="BZ41" s="787">
        <v>3653.85</v>
      </c>
      <c r="CA41" s="797"/>
      <c r="CB41" s="792">
        <f t="shared" si="26"/>
        <v>0.13</v>
      </c>
      <c r="CC41" s="165" t="s">
        <v>230</v>
      </c>
      <c r="CD41" s="793">
        <v>0</v>
      </c>
      <c r="CE41" s="156">
        <f t="shared" si="68"/>
        <v>0</v>
      </c>
      <c r="CF41" s="156">
        <f t="shared" si="45"/>
        <v>0</v>
      </c>
      <c r="CG41" s="776"/>
      <c r="CH41" s="156">
        <f t="shared" si="46"/>
        <v>0</v>
      </c>
      <c r="CI41" s="156">
        <f t="shared" si="47"/>
        <v>0</v>
      </c>
      <c r="CJ41" s="776"/>
      <c r="CK41" s="156">
        <f t="shared" si="48"/>
        <v>0</v>
      </c>
      <c r="CL41" s="156">
        <f t="shared" si="49"/>
        <v>0</v>
      </c>
      <c r="CM41" s="776"/>
      <c r="CN41" s="156">
        <f t="shared" si="50"/>
        <v>0</v>
      </c>
      <c r="CO41" s="156">
        <f t="shared" si="51"/>
        <v>0</v>
      </c>
      <c r="CP41" s="776"/>
      <c r="CQ41" s="776"/>
      <c r="CR41" s="794">
        <f t="shared" si="52"/>
        <v>0</v>
      </c>
      <c r="CS41" s="156">
        <f t="shared" si="53"/>
        <v>0</v>
      </c>
      <c r="CT41" s="156">
        <f t="shared" si="54"/>
        <v>0</v>
      </c>
      <c r="CU41" s="156">
        <v>0</v>
      </c>
      <c r="CV41" s="795">
        <f>LOOKUP(CU41,参数表!$A$13:$B$19)</f>
        <v>0</v>
      </c>
      <c r="CW41" s="156">
        <f t="shared" si="55"/>
        <v>0</v>
      </c>
      <c r="CX41" s="156">
        <f t="shared" si="56"/>
        <v>0</v>
      </c>
      <c r="CY41" s="156">
        <f t="shared" si="69"/>
        <v>125.582477754962</v>
      </c>
      <c r="CZ41" s="223">
        <v>4</v>
      </c>
      <c r="DA41" s="746">
        <f t="shared" si="57"/>
        <v>-30.4</v>
      </c>
      <c r="DB41" s="746">
        <f t="shared" si="36"/>
        <v>-30.35</v>
      </c>
      <c r="DC41" s="746">
        <f t="shared" si="58"/>
        <v>-30.35</v>
      </c>
      <c r="DE41" s="134" t="str">
        <f>IF(COUNTIF(DE$7:DE40,C41)&gt;0,"",C41)&amp;""</f>
        <v/>
      </c>
      <c r="DF41" s="138">
        <f t="shared" si="70"/>
        <v>0</v>
      </c>
      <c r="DG41" s="132">
        <f t="shared" si="71"/>
        <v>1</v>
      </c>
      <c r="DH41" s="138">
        <f t="shared" si="72"/>
        <v>0</v>
      </c>
      <c r="DI41" s="132">
        <f t="shared" si="73"/>
        <v>1</v>
      </c>
      <c r="DJ41" s="133"/>
      <c r="DK41" s="133"/>
      <c r="DM41" s="796" t="s">
        <v>4067</v>
      </c>
      <c r="DN41" s="75">
        <v>763.83</v>
      </c>
    </row>
    <row r="42" ht="15" customHeight="1" spans="1:118">
      <c r="A42" s="785" t="str">
        <f>IF(C42="","",COUNT(A$7:A41)+1)</f>
        <v/>
      </c>
      <c r="B42" s="141"/>
      <c r="C42" s="139"/>
      <c r="D42" s="141"/>
      <c r="E42" s="535"/>
      <c r="F42" s="535"/>
      <c r="G42" s="141"/>
      <c r="H42" s="536"/>
      <c r="I42" s="139"/>
      <c r="J42" s="141"/>
      <c r="K42" s="141"/>
      <c r="L42" s="140"/>
      <c r="M42" s="140"/>
      <c r="N42" s="142"/>
      <c r="O42" s="127"/>
      <c r="P42" s="128"/>
      <c r="Q42" s="128"/>
      <c r="R42" s="129"/>
      <c r="S42" s="143"/>
      <c r="T42" s="143"/>
      <c r="U42" s="143"/>
      <c r="V42" s="144"/>
      <c r="W42" s="144"/>
      <c r="X42" s="144"/>
      <c r="Y42" s="129" t="str">
        <f t="shared" si="60"/>
        <v/>
      </c>
      <c r="Z42" s="129" t="str">
        <f t="shared" si="61"/>
        <v/>
      </c>
      <c r="AA42" s="129" t="str">
        <f t="shared" si="62"/>
        <v/>
      </c>
      <c r="AB42" s="129" t="str">
        <f t="shared" si="63"/>
        <v/>
      </c>
      <c r="AC42" s="521" t="str">
        <f t="shared" si="64"/>
        <v/>
      </c>
      <c r="AD42" s="129" t="str">
        <f t="shared" si="65"/>
        <v/>
      </c>
      <c r="AE42" s="129"/>
      <c r="AF42" s="129">
        <v>0</v>
      </c>
      <c r="AG42" s="129" t="str">
        <f t="shared" si="74"/>
        <v/>
      </c>
      <c r="AH42" s="145"/>
      <c r="BC42" s="78"/>
      <c r="BD42" s="132" t="s">
        <v>4104</v>
      </c>
      <c r="BE42" s="133"/>
      <c r="BF42" s="132" t="str">
        <f>IF(OR(C42="",BE42=""),"",COUNTIF(BE$8:BE42,"√"))</f>
        <v/>
      </c>
      <c r="BG42" s="134" t="str">
        <f t="shared" si="66"/>
        <v/>
      </c>
      <c r="BH42" s="135" t="str">
        <f t="shared" si="20"/>
        <v/>
      </c>
      <c r="BI42" s="135" t="str">
        <f t="shared" si="20"/>
        <v/>
      </c>
      <c r="BJ42" s="136"/>
      <c r="BK42" s="137"/>
      <c r="BL42" s="136"/>
      <c r="BM42" s="136"/>
      <c r="BN42" s="136"/>
      <c r="BO42" s="136"/>
      <c r="BP42" s="137"/>
      <c r="BQ42" s="136"/>
      <c r="BR42" s="137"/>
      <c r="BT42" s="787">
        <f t="shared" si="67"/>
        <v>0</v>
      </c>
      <c r="BU42" s="788">
        <f t="shared" si="42"/>
        <v>0</v>
      </c>
      <c r="BV42" s="787">
        <f t="shared" si="43"/>
        <v>0</v>
      </c>
      <c r="BW42" s="787">
        <v>1221.11</v>
      </c>
      <c r="BX42" s="789">
        <f>IFERROR(LOOKUP(M42,基础数据!A:D),1)</f>
        <v>1</v>
      </c>
      <c r="BY42" s="790">
        <f t="shared" si="44"/>
        <v>3.55771976932645</v>
      </c>
      <c r="BZ42" s="787">
        <v>3653.85</v>
      </c>
      <c r="CA42" s="797"/>
      <c r="CB42" s="792">
        <f t="shared" si="26"/>
        <v>0.13</v>
      </c>
      <c r="CC42" s="165" t="s">
        <v>230</v>
      </c>
      <c r="CD42" s="793">
        <v>0</v>
      </c>
      <c r="CE42" s="156">
        <f t="shared" si="68"/>
        <v>0</v>
      </c>
      <c r="CF42" s="156">
        <f t="shared" si="45"/>
        <v>0</v>
      </c>
      <c r="CG42" s="776"/>
      <c r="CH42" s="156">
        <f t="shared" si="46"/>
        <v>0</v>
      </c>
      <c r="CI42" s="156">
        <f t="shared" si="47"/>
        <v>0</v>
      </c>
      <c r="CJ42" s="776"/>
      <c r="CK42" s="156">
        <f t="shared" si="48"/>
        <v>0</v>
      </c>
      <c r="CL42" s="156">
        <f t="shared" si="49"/>
        <v>0</v>
      </c>
      <c r="CM42" s="776"/>
      <c r="CN42" s="156">
        <f t="shared" si="50"/>
        <v>0</v>
      </c>
      <c r="CO42" s="156">
        <f t="shared" si="51"/>
        <v>0</v>
      </c>
      <c r="CP42" s="776"/>
      <c r="CQ42" s="776"/>
      <c r="CR42" s="794">
        <f t="shared" si="52"/>
        <v>0</v>
      </c>
      <c r="CS42" s="156">
        <f t="shared" si="53"/>
        <v>0</v>
      </c>
      <c r="CT42" s="156">
        <f t="shared" si="54"/>
        <v>0</v>
      </c>
      <c r="CU42" s="156">
        <v>0</v>
      </c>
      <c r="CV42" s="795">
        <f>LOOKUP(CU42,参数表!$A$13:$B$19)</f>
        <v>0</v>
      </c>
      <c r="CW42" s="156">
        <f t="shared" si="55"/>
        <v>0</v>
      </c>
      <c r="CX42" s="156">
        <f t="shared" si="56"/>
        <v>0</v>
      </c>
      <c r="CY42" s="156">
        <f t="shared" si="69"/>
        <v>125.582477754962</v>
      </c>
      <c r="CZ42" s="223">
        <v>4</v>
      </c>
      <c r="DA42" s="746">
        <f t="shared" si="57"/>
        <v>-30.4</v>
      </c>
      <c r="DB42" s="746">
        <f t="shared" si="36"/>
        <v>-30.35</v>
      </c>
      <c r="DC42" s="746">
        <f t="shared" si="58"/>
        <v>-30.35</v>
      </c>
      <c r="DE42" s="134" t="str">
        <f>IF(COUNTIF(DE$7:DE41,C42)&gt;0,"",C42)&amp;""</f>
        <v/>
      </c>
      <c r="DF42" s="138">
        <f t="shared" si="70"/>
        <v>0</v>
      </c>
      <c r="DG42" s="132">
        <f t="shared" si="71"/>
        <v>1</v>
      </c>
      <c r="DH42" s="138">
        <f t="shared" si="72"/>
        <v>0</v>
      </c>
      <c r="DI42" s="132">
        <f t="shared" si="73"/>
        <v>1</v>
      </c>
      <c r="DJ42" s="133"/>
      <c r="DK42" s="133"/>
      <c r="DM42" s="796" t="s">
        <v>4067</v>
      </c>
      <c r="DN42" s="75">
        <v>763.84</v>
      </c>
    </row>
    <row r="43" ht="15" customHeight="1" spans="1:118">
      <c r="A43" s="785" t="str">
        <f>IF(C43="","",COUNT(A$7:A42)+1)</f>
        <v/>
      </c>
      <c r="B43" s="141"/>
      <c r="C43" s="139"/>
      <c r="D43" s="141"/>
      <c r="E43" s="535"/>
      <c r="F43" s="535"/>
      <c r="G43" s="141"/>
      <c r="H43" s="536"/>
      <c r="I43" s="139"/>
      <c r="J43" s="141"/>
      <c r="K43" s="141"/>
      <c r="L43" s="140"/>
      <c r="M43" s="140"/>
      <c r="N43" s="142"/>
      <c r="O43" s="127"/>
      <c r="P43" s="128"/>
      <c r="Q43" s="128"/>
      <c r="R43" s="129"/>
      <c r="S43" s="143"/>
      <c r="T43" s="143"/>
      <c r="U43" s="143"/>
      <c r="V43" s="144"/>
      <c r="W43" s="144"/>
      <c r="X43" s="144"/>
      <c r="Y43" s="129" t="str">
        <f t="shared" si="60"/>
        <v/>
      </c>
      <c r="Z43" s="129" t="str">
        <f t="shared" si="61"/>
        <v/>
      </c>
      <c r="AA43" s="129" t="str">
        <f t="shared" si="62"/>
        <v/>
      </c>
      <c r="AB43" s="129" t="str">
        <f t="shared" si="63"/>
        <v/>
      </c>
      <c r="AC43" s="521" t="str">
        <f t="shared" si="64"/>
        <v/>
      </c>
      <c r="AD43" s="129" t="str">
        <f t="shared" si="65"/>
        <v/>
      </c>
      <c r="AE43" s="129"/>
      <c r="AF43" s="129">
        <v>0</v>
      </c>
      <c r="AG43" s="129" t="str">
        <f t="shared" si="74"/>
        <v/>
      </c>
      <c r="AH43" s="145"/>
      <c r="BC43" s="78"/>
      <c r="BD43" s="132" t="s">
        <v>4105</v>
      </c>
      <c r="BE43" s="133"/>
      <c r="BF43" s="132" t="str">
        <f>IF(OR(C43="",BE43=""),"",COUNTIF(BE$8:BE43,"√"))</f>
        <v/>
      </c>
      <c r="BG43" s="134" t="str">
        <f t="shared" si="66"/>
        <v/>
      </c>
      <c r="BH43" s="135" t="str">
        <f t="shared" si="20"/>
        <v/>
      </c>
      <c r="BI43" s="135" t="str">
        <f t="shared" si="20"/>
        <v/>
      </c>
      <c r="BJ43" s="136"/>
      <c r="BK43" s="137"/>
      <c r="BL43" s="136"/>
      <c r="BM43" s="136"/>
      <c r="BN43" s="136"/>
      <c r="BO43" s="136"/>
      <c r="BP43" s="137"/>
      <c r="BQ43" s="136"/>
      <c r="BR43" s="137"/>
      <c r="BT43" s="787">
        <f t="shared" si="67"/>
        <v>0</v>
      </c>
      <c r="BU43" s="788">
        <f t="shared" si="42"/>
        <v>0</v>
      </c>
      <c r="BV43" s="787">
        <f t="shared" si="43"/>
        <v>0</v>
      </c>
      <c r="BW43" s="787">
        <v>854</v>
      </c>
      <c r="BX43" s="789">
        <f>IFERROR(LOOKUP(M43,基础数据!A:D),1)</f>
        <v>1</v>
      </c>
      <c r="BY43" s="790">
        <f t="shared" si="44"/>
        <v>3.55771976932645</v>
      </c>
      <c r="BZ43" s="787">
        <v>3653.85</v>
      </c>
      <c r="CA43" s="797"/>
      <c r="CB43" s="792">
        <f t="shared" si="26"/>
        <v>0.13</v>
      </c>
      <c r="CC43" s="165" t="s">
        <v>230</v>
      </c>
      <c r="CD43" s="793">
        <v>0</v>
      </c>
      <c r="CE43" s="156">
        <f t="shared" si="68"/>
        <v>0</v>
      </c>
      <c r="CF43" s="156">
        <f t="shared" si="45"/>
        <v>0</v>
      </c>
      <c r="CG43" s="776"/>
      <c r="CH43" s="156">
        <f t="shared" si="46"/>
        <v>0</v>
      </c>
      <c r="CI43" s="156">
        <f t="shared" si="47"/>
        <v>0</v>
      </c>
      <c r="CJ43" s="776"/>
      <c r="CK43" s="156">
        <f t="shared" si="48"/>
        <v>0</v>
      </c>
      <c r="CL43" s="156">
        <f t="shared" si="49"/>
        <v>0</v>
      </c>
      <c r="CM43" s="776"/>
      <c r="CN43" s="156">
        <f t="shared" si="50"/>
        <v>0</v>
      </c>
      <c r="CO43" s="156">
        <f t="shared" si="51"/>
        <v>0</v>
      </c>
      <c r="CP43" s="776"/>
      <c r="CQ43" s="776"/>
      <c r="CR43" s="794">
        <f t="shared" si="52"/>
        <v>0</v>
      </c>
      <c r="CS43" s="156">
        <f t="shared" si="53"/>
        <v>0</v>
      </c>
      <c r="CT43" s="156">
        <f t="shared" si="54"/>
        <v>0</v>
      </c>
      <c r="CU43" s="156">
        <v>0</v>
      </c>
      <c r="CV43" s="795">
        <f>LOOKUP(CU43,参数表!$A$13:$B$19)</f>
        <v>0</v>
      </c>
      <c r="CW43" s="156">
        <f t="shared" si="55"/>
        <v>0</v>
      </c>
      <c r="CX43" s="156">
        <f t="shared" si="56"/>
        <v>0</v>
      </c>
      <c r="CY43" s="156">
        <f t="shared" si="69"/>
        <v>125.582477754962</v>
      </c>
      <c r="CZ43" s="223">
        <v>4</v>
      </c>
      <c r="DA43" s="746">
        <f t="shared" si="57"/>
        <v>-30.4</v>
      </c>
      <c r="DB43" s="746">
        <f t="shared" si="36"/>
        <v>-30.35</v>
      </c>
      <c r="DC43" s="746">
        <f t="shared" si="58"/>
        <v>-30.35</v>
      </c>
      <c r="DE43" s="134" t="str">
        <f>IF(COUNTIF(DE$7:DE42,C43)&gt;0,"",C43)&amp;""</f>
        <v/>
      </c>
      <c r="DF43" s="138">
        <f t="shared" si="70"/>
        <v>0</v>
      </c>
      <c r="DG43" s="132">
        <f t="shared" si="71"/>
        <v>1</v>
      </c>
      <c r="DH43" s="138">
        <f t="shared" si="72"/>
        <v>0</v>
      </c>
      <c r="DI43" s="132">
        <f t="shared" si="73"/>
        <v>1</v>
      </c>
      <c r="DJ43" s="133"/>
      <c r="DK43" s="133"/>
      <c r="DM43" s="796" t="s">
        <v>4067</v>
      </c>
      <c r="DN43" s="75">
        <v>763.84</v>
      </c>
    </row>
    <row r="44" ht="15" customHeight="1" spans="1:118">
      <c r="A44" s="785" t="str">
        <f>IF(C44="","",COUNT(A$7:A43)+1)</f>
        <v/>
      </c>
      <c r="B44" s="141"/>
      <c r="C44" s="798"/>
      <c r="D44" s="141"/>
      <c r="E44" s="535"/>
      <c r="F44" s="535"/>
      <c r="G44" s="141"/>
      <c r="H44" s="536"/>
      <c r="I44" s="139"/>
      <c r="J44" s="141"/>
      <c r="K44" s="141"/>
      <c r="L44" s="140"/>
      <c r="M44" s="140"/>
      <c r="N44" s="142"/>
      <c r="O44" s="127"/>
      <c r="P44" s="128"/>
      <c r="Q44" s="128"/>
      <c r="R44" s="129"/>
      <c r="S44" s="143"/>
      <c r="T44" s="143"/>
      <c r="U44" s="143"/>
      <c r="V44" s="144"/>
      <c r="W44" s="144"/>
      <c r="X44" s="144"/>
      <c r="Y44" s="129" t="str">
        <f t="shared" si="60"/>
        <v/>
      </c>
      <c r="Z44" s="129" t="str">
        <f t="shared" si="61"/>
        <v/>
      </c>
      <c r="AA44" s="129" t="str">
        <f t="shared" si="62"/>
        <v/>
      </c>
      <c r="AB44" s="129" t="str">
        <f t="shared" si="63"/>
        <v/>
      </c>
      <c r="AC44" s="521" t="str">
        <f t="shared" si="64"/>
        <v/>
      </c>
      <c r="AD44" s="129" t="str">
        <f t="shared" si="65"/>
        <v/>
      </c>
      <c r="AE44" s="129"/>
      <c r="AF44" s="129">
        <v>0</v>
      </c>
      <c r="AG44" s="129" t="str">
        <f t="shared" si="74"/>
        <v/>
      </c>
      <c r="AH44" s="145"/>
      <c r="BC44" s="78"/>
      <c r="BD44" s="132" t="s">
        <v>4106</v>
      </c>
      <c r="BE44" s="133"/>
      <c r="BF44" s="132" t="str">
        <f>IF(OR(C44="",BE44=""),"",COUNTIF(BE$8:BE44,"√"))</f>
        <v/>
      </c>
      <c r="BG44" s="134" t="str">
        <f t="shared" si="66"/>
        <v/>
      </c>
      <c r="BH44" s="135" t="str">
        <f t="shared" si="20"/>
        <v/>
      </c>
      <c r="BI44" s="135" t="str">
        <f t="shared" si="20"/>
        <v/>
      </c>
      <c r="BJ44" s="136"/>
      <c r="BK44" s="137"/>
      <c r="BL44" s="136"/>
      <c r="BM44" s="136"/>
      <c r="BN44" s="136"/>
      <c r="BO44" s="136"/>
      <c r="BP44" s="137"/>
      <c r="BQ44" s="136"/>
      <c r="BR44" s="137"/>
      <c r="BT44" s="787">
        <f t="shared" si="67"/>
        <v>0</v>
      </c>
      <c r="BU44" s="788">
        <f t="shared" si="42"/>
        <v>0</v>
      </c>
      <c r="BV44" s="787">
        <f t="shared" si="43"/>
        <v>0</v>
      </c>
      <c r="BW44" s="787">
        <v>237606.85</v>
      </c>
      <c r="BX44" s="789">
        <f>IFERROR(LOOKUP(M44,基础数据!A:D),1)</f>
        <v>1</v>
      </c>
      <c r="BY44" s="790">
        <f t="shared" si="44"/>
        <v>3.55771976932645</v>
      </c>
      <c r="BZ44" s="787">
        <v>3653.85</v>
      </c>
      <c r="CA44" s="799" t="s">
        <v>4107</v>
      </c>
      <c r="CB44" s="792">
        <f t="shared" si="26"/>
        <v>0.13</v>
      </c>
      <c r="CC44" s="165" t="s">
        <v>2706</v>
      </c>
      <c r="CD44" s="793">
        <v>0</v>
      </c>
      <c r="CE44" s="156">
        <f t="shared" si="68"/>
        <v>0</v>
      </c>
      <c r="CF44" s="156">
        <f t="shared" si="45"/>
        <v>0</v>
      </c>
      <c r="CG44" s="776"/>
      <c r="CH44" s="156">
        <f t="shared" si="46"/>
        <v>0</v>
      </c>
      <c r="CI44" s="156">
        <f t="shared" si="47"/>
        <v>0</v>
      </c>
      <c r="CJ44" s="776"/>
      <c r="CK44" s="156">
        <f t="shared" si="48"/>
        <v>0</v>
      </c>
      <c r="CL44" s="156">
        <f t="shared" si="49"/>
        <v>0</v>
      </c>
      <c r="CM44" s="776"/>
      <c r="CN44" s="156">
        <f t="shared" si="50"/>
        <v>0</v>
      </c>
      <c r="CO44" s="156">
        <f t="shared" si="51"/>
        <v>0</v>
      </c>
      <c r="CP44" s="776"/>
      <c r="CQ44" s="776"/>
      <c r="CR44" s="794">
        <f t="shared" si="52"/>
        <v>0</v>
      </c>
      <c r="CS44" s="156">
        <f t="shared" si="53"/>
        <v>0</v>
      </c>
      <c r="CT44" s="156">
        <f t="shared" si="54"/>
        <v>0</v>
      </c>
      <c r="CU44" s="156">
        <v>0</v>
      </c>
      <c r="CV44" s="795">
        <f>LOOKUP(CU44,参数表!$A$13:$B$19)</f>
        <v>0</v>
      </c>
      <c r="CW44" s="156">
        <f t="shared" si="55"/>
        <v>0</v>
      </c>
      <c r="CX44" s="156">
        <f t="shared" si="56"/>
        <v>0</v>
      </c>
      <c r="CY44" s="156">
        <f t="shared" si="69"/>
        <v>125.582477754962</v>
      </c>
      <c r="CZ44" s="223">
        <v>10</v>
      </c>
      <c r="DA44" s="746">
        <f t="shared" si="57"/>
        <v>-11.56</v>
      </c>
      <c r="DB44" s="746">
        <f t="shared" si="36"/>
        <v>-11.51</v>
      </c>
      <c r="DC44" s="746">
        <f t="shared" si="58"/>
        <v>-11.51</v>
      </c>
      <c r="DE44" s="134" t="str">
        <f>IF(COUNTIF(DE$7:DE43,C44)&gt;0,"",C44)&amp;""</f>
        <v/>
      </c>
      <c r="DF44" s="138">
        <f t="shared" si="70"/>
        <v>0</v>
      </c>
      <c r="DG44" s="132">
        <f t="shared" si="71"/>
        <v>1</v>
      </c>
      <c r="DH44" s="138">
        <f t="shared" si="72"/>
        <v>0</v>
      </c>
      <c r="DI44" s="132">
        <f t="shared" si="73"/>
        <v>1</v>
      </c>
      <c r="DJ44" s="133"/>
      <c r="DK44" s="133"/>
      <c r="DM44" s="796" t="s">
        <v>4100</v>
      </c>
      <c r="DN44" s="75">
        <v>76896.71</v>
      </c>
    </row>
    <row r="45" ht="15" customHeight="1" spans="1:118">
      <c r="A45" s="785" t="str">
        <f>IF(C45="","",COUNT(A$7:A44)+1)</f>
        <v/>
      </c>
      <c r="B45" s="141"/>
      <c r="C45" s="139"/>
      <c r="D45" s="141"/>
      <c r="E45" s="535"/>
      <c r="F45" s="535"/>
      <c r="G45" s="141"/>
      <c r="H45" s="536"/>
      <c r="I45" s="139"/>
      <c r="J45" s="141"/>
      <c r="K45" s="141"/>
      <c r="L45" s="140"/>
      <c r="M45" s="140"/>
      <c r="N45" s="142"/>
      <c r="O45" s="127"/>
      <c r="P45" s="128"/>
      <c r="Q45" s="128"/>
      <c r="R45" s="129"/>
      <c r="S45" s="143"/>
      <c r="T45" s="143"/>
      <c r="U45" s="143"/>
      <c r="V45" s="144"/>
      <c r="W45" s="144"/>
      <c r="X45" s="144"/>
      <c r="Y45" s="129" t="str">
        <f t="shared" si="60"/>
        <v/>
      </c>
      <c r="Z45" s="129" t="str">
        <f t="shared" si="61"/>
        <v/>
      </c>
      <c r="AA45" s="129" t="str">
        <f t="shared" si="62"/>
        <v/>
      </c>
      <c r="AB45" s="129" t="str">
        <f t="shared" si="63"/>
        <v/>
      </c>
      <c r="AC45" s="521" t="str">
        <f t="shared" si="64"/>
        <v/>
      </c>
      <c r="AD45" s="129" t="str">
        <f t="shared" si="65"/>
        <v/>
      </c>
      <c r="AE45" s="129"/>
      <c r="AF45" s="129">
        <v>0</v>
      </c>
      <c r="AG45" s="129" t="str">
        <f t="shared" si="74"/>
        <v/>
      </c>
      <c r="AH45" s="145"/>
      <c r="BC45" s="78"/>
      <c r="BD45" s="132" t="s">
        <v>4108</v>
      </c>
      <c r="BE45" s="133"/>
      <c r="BF45" s="132" t="str">
        <f>IF(OR(C45="",BE45=""),"",COUNTIF(BE$8:BE45,"√"))</f>
        <v/>
      </c>
      <c r="BG45" s="134" t="str">
        <f t="shared" si="66"/>
        <v/>
      </c>
      <c r="BH45" s="135" t="str">
        <f t="shared" si="20"/>
        <v/>
      </c>
      <c r="BI45" s="135" t="str">
        <f t="shared" si="20"/>
        <v/>
      </c>
      <c r="BJ45" s="136"/>
      <c r="BK45" s="137"/>
      <c r="BL45" s="136"/>
      <c r="BM45" s="136"/>
      <c r="BN45" s="136"/>
      <c r="BO45" s="136"/>
      <c r="BP45" s="137"/>
      <c r="BQ45" s="136"/>
      <c r="BR45" s="137"/>
      <c r="BT45" s="787">
        <f t="shared" si="67"/>
        <v>0</v>
      </c>
      <c r="BU45" s="788">
        <f t="shared" si="42"/>
        <v>0</v>
      </c>
      <c r="BV45" s="787">
        <f t="shared" si="43"/>
        <v>0</v>
      </c>
      <c r="BW45" s="787">
        <v>1221.11</v>
      </c>
      <c r="BX45" s="789">
        <f>IFERROR(LOOKUP(M45,基础数据!A:D),1)</f>
        <v>1</v>
      </c>
      <c r="BY45" s="790">
        <f t="shared" si="44"/>
        <v>3.55771976932645</v>
      </c>
      <c r="BZ45" s="787">
        <v>2533.33</v>
      </c>
      <c r="CA45" s="797"/>
      <c r="CB45" s="792">
        <f t="shared" si="26"/>
        <v>0.13</v>
      </c>
      <c r="CC45" s="165" t="s">
        <v>230</v>
      </c>
      <c r="CD45" s="793">
        <v>0</v>
      </c>
      <c r="CE45" s="156">
        <f t="shared" si="68"/>
        <v>0</v>
      </c>
      <c r="CF45" s="156">
        <f t="shared" si="45"/>
        <v>0</v>
      </c>
      <c r="CG45" s="776"/>
      <c r="CH45" s="156">
        <f t="shared" si="46"/>
        <v>0</v>
      </c>
      <c r="CI45" s="156">
        <f t="shared" si="47"/>
        <v>0</v>
      </c>
      <c r="CJ45" s="776"/>
      <c r="CK45" s="156">
        <f t="shared" si="48"/>
        <v>0</v>
      </c>
      <c r="CL45" s="156">
        <f t="shared" si="49"/>
        <v>0</v>
      </c>
      <c r="CM45" s="776"/>
      <c r="CN45" s="156">
        <f t="shared" si="50"/>
        <v>0</v>
      </c>
      <c r="CO45" s="156">
        <f t="shared" si="51"/>
        <v>0</v>
      </c>
      <c r="CP45" s="776"/>
      <c r="CQ45" s="776"/>
      <c r="CR45" s="794">
        <f t="shared" si="52"/>
        <v>0</v>
      </c>
      <c r="CS45" s="156">
        <f t="shared" si="53"/>
        <v>0</v>
      </c>
      <c r="CT45" s="156">
        <f t="shared" si="54"/>
        <v>0</v>
      </c>
      <c r="CU45" s="156">
        <v>0</v>
      </c>
      <c r="CV45" s="795">
        <f>LOOKUP(CU45,参数表!$A$13:$B$19)</f>
        <v>0</v>
      </c>
      <c r="CW45" s="156">
        <f t="shared" si="55"/>
        <v>0</v>
      </c>
      <c r="CX45" s="156">
        <f t="shared" si="56"/>
        <v>0</v>
      </c>
      <c r="CY45" s="156">
        <f t="shared" si="69"/>
        <v>125.582477754962</v>
      </c>
      <c r="CZ45" s="223">
        <v>4</v>
      </c>
      <c r="DA45" s="746">
        <f t="shared" si="57"/>
        <v>-30.4</v>
      </c>
      <c r="DB45" s="746">
        <f t="shared" si="36"/>
        <v>-30.35</v>
      </c>
      <c r="DC45" s="746">
        <f t="shared" si="58"/>
        <v>-30.35</v>
      </c>
      <c r="DE45" s="134" t="str">
        <f>IF(COUNTIF(DE$7:DE44,C45)&gt;0,"",C45)&amp;""</f>
        <v/>
      </c>
      <c r="DF45" s="138">
        <f t="shared" si="70"/>
        <v>0</v>
      </c>
      <c r="DG45" s="132">
        <f t="shared" si="71"/>
        <v>1</v>
      </c>
      <c r="DH45" s="138">
        <f t="shared" si="72"/>
        <v>0</v>
      </c>
      <c r="DI45" s="132">
        <f t="shared" si="73"/>
        <v>1</v>
      </c>
      <c r="DJ45" s="133"/>
      <c r="DK45" s="133"/>
      <c r="DM45" s="796" t="s">
        <v>4067</v>
      </c>
      <c r="DN45" s="75">
        <v>763.83</v>
      </c>
    </row>
    <row r="46" ht="15" customHeight="1" spans="1:118">
      <c r="A46" s="785" t="str">
        <f>IF(C46="","",COUNT(A$7:A45)+1)</f>
        <v/>
      </c>
      <c r="B46" s="141"/>
      <c r="C46" s="139"/>
      <c r="D46" s="141"/>
      <c r="E46" s="535"/>
      <c r="F46" s="535"/>
      <c r="G46" s="141"/>
      <c r="H46" s="536"/>
      <c r="I46" s="139"/>
      <c r="J46" s="141"/>
      <c r="K46" s="141"/>
      <c r="L46" s="140"/>
      <c r="M46" s="140"/>
      <c r="N46" s="142"/>
      <c r="O46" s="127"/>
      <c r="P46" s="128"/>
      <c r="Q46" s="128"/>
      <c r="R46" s="129"/>
      <c r="S46" s="143"/>
      <c r="T46" s="143"/>
      <c r="U46" s="143"/>
      <c r="V46" s="144"/>
      <c r="W46" s="144"/>
      <c r="X46" s="144"/>
      <c r="Y46" s="129" t="str">
        <f t="shared" si="60"/>
        <v/>
      </c>
      <c r="Z46" s="129" t="str">
        <f t="shared" si="61"/>
        <v/>
      </c>
      <c r="AA46" s="129" t="str">
        <f t="shared" si="62"/>
        <v/>
      </c>
      <c r="AB46" s="129" t="str">
        <f t="shared" si="63"/>
        <v/>
      </c>
      <c r="AC46" s="521" t="str">
        <f t="shared" si="64"/>
        <v/>
      </c>
      <c r="AD46" s="129" t="str">
        <f t="shared" si="65"/>
        <v/>
      </c>
      <c r="AE46" s="129"/>
      <c r="AF46" s="129">
        <v>0</v>
      </c>
      <c r="AG46" s="129" t="str">
        <f t="shared" si="74"/>
        <v/>
      </c>
      <c r="AH46" s="145"/>
      <c r="BC46" s="78"/>
      <c r="BD46" s="132" t="s">
        <v>4109</v>
      </c>
      <c r="BE46" s="133"/>
      <c r="BF46" s="132" t="str">
        <f>IF(OR(C46="",BE46=""),"",COUNTIF(BE$8:BE46,"√"))</f>
        <v/>
      </c>
      <c r="BG46" s="134" t="str">
        <f t="shared" si="66"/>
        <v/>
      </c>
      <c r="BH46" s="135" t="str">
        <f t="shared" si="20"/>
        <v/>
      </c>
      <c r="BI46" s="135" t="str">
        <f t="shared" si="20"/>
        <v/>
      </c>
      <c r="BJ46" s="136"/>
      <c r="BK46" s="137"/>
      <c r="BL46" s="136"/>
      <c r="BM46" s="136"/>
      <c r="BN46" s="136"/>
      <c r="BO46" s="136"/>
      <c r="BP46" s="137"/>
      <c r="BQ46" s="136"/>
      <c r="BR46" s="137"/>
      <c r="BT46" s="787">
        <f t="shared" si="67"/>
        <v>0</v>
      </c>
      <c r="BU46" s="788">
        <f t="shared" si="42"/>
        <v>0</v>
      </c>
      <c r="BV46" s="787">
        <f t="shared" si="43"/>
        <v>0</v>
      </c>
      <c r="BW46" s="787">
        <v>3205.13</v>
      </c>
      <c r="BX46" s="789">
        <f>IFERROR(LOOKUP(M46,基础数据!A:D),1)</f>
        <v>1</v>
      </c>
      <c r="BY46" s="790">
        <f t="shared" si="44"/>
        <v>3.55771976932645</v>
      </c>
      <c r="BZ46" s="787">
        <v>2533.33</v>
      </c>
      <c r="CA46" s="797"/>
      <c r="CB46" s="792">
        <f t="shared" si="26"/>
        <v>0.13</v>
      </c>
      <c r="CC46" s="165" t="s">
        <v>230</v>
      </c>
      <c r="CD46" s="793">
        <v>0</v>
      </c>
      <c r="CE46" s="156">
        <f t="shared" si="68"/>
        <v>0</v>
      </c>
      <c r="CF46" s="156">
        <f t="shared" si="45"/>
        <v>0</v>
      </c>
      <c r="CG46" s="776"/>
      <c r="CH46" s="156">
        <f t="shared" si="46"/>
        <v>0</v>
      </c>
      <c r="CI46" s="156">
        <f t="shared" si="47"/>
        <v>0</v>
      </c>
      <c r="CJ46" s="776"/>
      <c r="CK46" s="156">
        <f t="shared" si="48"/>
        <v>0</v>
      </c>
      <c r="CL46" s="156">
        <f t="shared" si="49"/>
        <v>0</v>
      </c>
      <c r="CM46" s="776"/>
      <c r="CN46" s="156">
        <f t="shared" si="50"/>
        <v>0</v>
      </c>
      <c r="CO46" s="156">
        <f t="shared" si="51"/>
        <v>0</v>
      </c>
      <c r="CP46" s="776"/>
      <c r="CQ46" s="776"/>
      <c r="CR46" s="794">
        <f t="shared" si="52"/>
        <v>0</v>
      </c>
      <c r="CS46" s="156">
        <f t="shared" si="53"/>
        <v>0</v>
      </c>
      <c r="CT46" s="156">
        <f t="shared" si="54"/>
        <v>0</v>
      </c>
      <c r="CU46" s="156">
        <v>0</v>
      </c>
      <c r="CV46" s="795">
        <f>LOOKUP(CU46,参数表!$A$13:$B$19)</f>
        <v>0</v>
      </c>
      <c r="CW46" s="156">
        <f t="shared" si="55"/>
        <v>0</v>
      </c>
      <c r="CX46" s="156">
        <f t="shared" si="56"/>
        <v>0</v>
      </c>
      <c r="CY46" s="156">
        <f t="shared" si="69"/>
        <v>125.582477754962</v>
      </c>
      <c r="CZ46" s="223">
        <v>4</v>
      </c>
      <c r="DA46" s="746">
        <f t="shared" si="57"/>
        <v>-30.4</v>
      </c>
      <c r="DB46" s="746">
        <f t="shared" si="36"/>
        <v>-30.35</v>
      </c>
      <c r="DC46" s="746">
        <f t="shared" si="58"/>
        <v>-30.35</v>
      </c>
      <c r="DE46" s="134" t="str">
        <f>IF(COUNTIF(DE$7:DE45,C46)&gt;0,"",C46)&amp;""</f>
        <v/>
      </c>
      <c r="DF46" s="138">
        <f t="shared" si="70"/>
        <v>0</v>
      </c>
      <c r="DG46" s="132">
        <f t="shared" si="71"/>
        <v>1</v>
      </c>
      <c r="DH46" s="138">
        <f t="shared" si="72"/>
        <v>0</v>
      </c>
      <c r="DI46" s="132">
        <f t="shared" si="73"/>
        <v>1</v>
      </c>
      <c r="DJ46" s="133"/>
      <c r="DK46" s="133"/>
      <c r="DM46" s="796" t="s">
        <v>4067</v>
      </c>
      <c r="DN46" s="75">
        <v>763.83</v>
      </c>
    </row>
    <row r="47" ht="15" customHeight="1" spans="1:118">
      <c r="A47" s="785" t="str">
        <f>IF(C47="","",COUNT(A$7:A46)+1)</f>
        <v/>
      </c>
      <c r="B47" s="141"/>
      <c r="C47" s="139"/>
      <c r="D47" s="141"/>
      <c r="E47" s="535"/>
      <c r="F47" s="535"/>
      <c r="G47" s="141"/>
      <c r="H47" s="536"/>
      <c r="I47" s="139"/>
      <c r="J47" s="141"/>
      <c r="K47" s="141"/>
      <c r="L47" s="140"/>
      <c r="M47" s="140"/>
      <c r="N47" s="142"/>
      <c r="O47" s="127"/>
      <c r="P47" s="128"/>
      <c r="Q47" s="128"/>
      <c r="R47" s="129"/>
      <c r="S47" s="143"/>
      <c r="T47" s="143"/>
      <c r="U47" s="143"/>
      <c r="V47" s="144"/>
      <c r="W47" s="144"/>
      <c r="X47" s="144"/>
      <c r="Y47" s="129" t="str">
        <f t="shared" si="60"/>
        <v/>
      </c>
      <c r="Z47" s="129" t="str">
        <f t="shared" si="61"/>
        <v/>
      </c>
      <c r="AA47" s="129" t="str">
        <f t="shared" si="62"/>
        <v/>
      </c>
      <c r="AB47" s="129" t="str">
        <f t="shared" si="63"/>
        <v/>
      </c>
      <c r="AC47" s="521" t="str">
        <f t="shared" si="64"/>
        <v/>
      </c>
      <c r="AD47" s="129" t="str">
        <f t="shared" si="65"/>
        <v/>
      </c>
      <c r="AE47" s="129"/>
      <c r="AF47" s="129">
        <v>0</v>
      </c>
      <c r="AG47" s="129" t="str">
        <f t="shared" si="74"/>
        <v/>
      </c>
      <c r="AH47" s="145"/>
      <c r="BC47" s="78"/>
      <c r="BD47" s="132" t="s">
        <v>4110</v>
      </c>
      <c r="BE47" s="133"/>
      <c r="BF47" s="132" t="str">
        <f>IF(OR(C47="",BE47=""),"",COUNTIF(BE$8:BE47,"√"))</f>
        <v/>
      </c>
      <c r="BG47" s="134" t="str">
        <f t="shared" si="66"/>
        <v/>
      </c>
      <c r="BH47" s="135" t="str">
        <f t="shared" si="20"/>
        <v/>
      </c>
      <c r="BI47" s="135" t="str">
        <f t="shared" si="20"/>
        <v/>
      </c>
      <c r="BJ47" s="136"/>
      <c r="BK47" s="137"/>
      <c r="BL47" s="136"/>
      <c r="BM47" s="136"/>
      <c r="BN47" s="136"/>
      <c r="BO47" s="136"/>
      <c r="BP47" s="137"/>
      <c r="BQ47" s="136"/>
      <c r="BR47" s="137"/>
      <c r="BT47" s="787">
        <f t="shared" si="67"/>
        <v>0</v>
      </c>
      <c r="BU47" s="788">
        <f t="shared" si="42"/>
        <v>0</v>
      </c>
      <c r="BV47" s="787">
        <f t="shared" si="43"/>
        <v>0</v>
      </c>
      <c r="BW47" s="787">
        <v>1221.11</v>
      </c>
      <c r="BX47" s="789">
        <f>IFERROR(LOOKUP(M47,基础数据!A:D),1)</f>
        <v>1</v>
      </c>
      <c r="BY47" s="790">
        <f t="shared" si="44"/>
        <v>3.55771976932645</v>
      </c>
      <c r="BZ47" s="787">
        <v>2533.33</v>
      </c>
      <c r="CA47" s="797"/>
      <c r="CB47" s="792">
        <f t="shared" si="26"/>
        <v>0.13</v>
      </c>
      <c r="CC47" s="165" t="s">
        <v>230</v>
      </c>
      <c r="CD47" s="793">
        <v>0</v>
      </c>
      <c r="CE47" s="156">
        <f t="shared" si="68"/>
        <v>0</v>
      </c>
      <c r="CF47" s="156">
        <f t="shared" si="45"/>
        <v>0</v>
      </c>
      <c r="CG47" s="776"/>
      <c r="CH47" s="156">
        <f t="shared" si="46"/>
        <v>0</v>
      </c>
      <c r="CI47" s="156">
        <f t="shared" si="47"/>
        <v>0</v>
      </c>
      <c r="CJ47" s="776"/>
      <c r="CK47" s="156">
        <f t="shared" si="48"/>
        <v>0</v>
      </c>
      <c r="CL47" s="156">
        <f t="shared" si="49"/>
        <v>0</v>
      </c>
      <c r="CM47" s="776"/>
      <c r="CN47" s="156">
        <f t="shared" si="50"/>
        <v>0</v>
      </c>
      <c r="CO47" s="156">
        <f t="shared" si="51"/>
        <v>0</v>
      </c>
      <c r="CP47" s="776"/>
      <c r="CQ47" s="776"/>
      <c r="CR47" s="794">
        <f t="shared" si="52"/>
        <v>0</v>
      </c>
      <c r="CS47" s="156">
        <f t="shared" si="53"/>
        <v>0</v>
      </c>
      <c r="CT47" s="156">
        <f t="shared" si="54"/>
        <v>0</v>
      </c>
      <c r="CU47" s="156">
        <v>0</v>
      </c>
      <c r="CV47" s="795">
        <f>LOOKUP(CU47,参数表!$A$13:$B$19)</f>
        <v>0</v>
      </c>
      <c r="CW47" s="156">
        <f t="shared" si="55"/>
        <v>0</v>
      </c>
      <c r="CX47" s="156">
        <f t="shared" si="56"/>
        <v>0</v>
      </c>
      <c r="CY47" s="156">
        <f t="shared" si="69"/>
        <v>125.582477754962</v>
      </c>
      <c r="CZ47" s="223">
        <v>4</v>
      </c>
      <c r="DA47" s="746">
        <f t="shared" si="57"/>
        <v>-30.4</v>
      </c>
      <c r="DB47" s="746">
        <f t="shared" si="36"/>
        <v>-30.35</v>
      </c>
      <c r="DC47" s="746">
        <f t="shared" si="58"/>
        <v>-30.35</v>
      </c>
      <c r="DE47" s="134" t="str">
        <f>IF(COUNTIF(DE$7:DE46,C47)&gt;0,"",C47)&amp;""</f>
        <v/>
      </c>
      <c r="DF47" s="138">
        <f t="shared" si="70"/>
        <v>0</v>
      </c>
      <c r="DG47" s="132">
        <f t="shared" si="71"/>
        <v>1</v>
      </c>
      <c r="DH47" s="138">
        <f t="shared" si="72"/>
        <v>0</v>
      </c>
      <c r="DI47" s="132">
        <f t="shared" si="73"/>
        <v>1</v>
      </c>
      <c r="DJ47" s="133"/>
      <c r="DK47" s="133"/>
      <c r="DM47" s="796" t="s">
        <v>4067</v>
      </c>
      <c r="DN47" s="75">
        <v>763.84</v>
      </c>
    </row>
    <row r="48" ht="15" customHeight="1" spans="1:118">
      <c r="A48" s="785" t="str">
        <f>IF(C48="","",COUNT(A$7:A47)+1)</f>
        <v/>
      </c>
      <c r="B48" s="141"/>
      <c r="C48" s="139"/>
      <c r="D48" s="141"/>
      <c r="E48" s="535"/>
      <c r="F48" s="535"/>
      <c r="G48" s="141"/>
      <c r="H48" s="536"/>
      <c r="I48" s="139"/>
      <c r="J48" s="141"/>
      <c r="K48" s="141"/>
      <c r="L48" s="140"/>
      <c r="M48" s="140"/>
      <c r="N48" s="142"/>
      <c r="O48" s="127"/>
      <c r="P48" s="128"/>
      <c r="Q48" s="128"/>
      <c r="R48" s="129"/>
      <c r="S48" s="143"/>
      <c r="T48" s="143"/>
      <c r="U48" s="143"/>
      <c r="V48" s="144"/>
      <c r="W48" s="144"/>
      <c r="X48" s="144"/>
      <c r="Y48" s="129" t="str">
        <f t="shared" si="60"/>
        <v/>
      </c>
      <c r="Z48" s="129" t="str">
        <f t="shared" si="61"/>
        <v/>
      </c>
      <c r="AA48" s="129" t="str">
        <f t="shared" si="62"/>
        <v/>
      </c>
      <c r="AB48" s="129" t="str">
        <f t="shared" si="63"/>
        <v/>
      </c>
      <c r="AC48" s="521" t="str">
        <f t="shared" si="64"/>
        <v/>
      </c>
      <c r="AD48" s="129" t="str">
        <f t="shared" si="65"/>
        <v/>
      </c>
      <c r="AE48" s="129"/>
      <c r="AF48" s="129">
        <v>0</v>
      </c>
      <c r="AG48" s="129" t="str">
        <f t="shared" si="74"/>
        <v/>
      </c>
      <c r="AH48" s="145"/>
      <c r="BC48" s="78"/>
      <c r="BD48" s="132" t="s">
        <v>4111</v>
      </c>
      <c r="BE48" s="133"/>
      <c r="BF48" s="132" t="str">
        <f>IF(OR(C48="",BE48=""),"",COUNTIF(BE$8:BE48,"√"))</f>
        <v/>
      </c>
      <c r="BG48" s="134" t="str">
        <f t="shared" si="66"/>
        <v/>
      </c>
      <c r="BH48" s="135" t="str">
        <f t="shared" si="20"/>
        <v/>
      </c>
      <c r="BI48" s="135" t="str">
        <f t="shared" si="20"/>
        <v/>
      </c>
      <c r="BJ48" s="136"/>
      <c r="BK48" s="137"/>
      <c r="BL48" s="136"/>
      <c r="BM48" s="136"/>
      <c r="BN48" s="136"/>
      <c r="BO48" s="136"/>
      <c r="BP48" s="137"/>
      <c r="BQ48" s="136"/>
      <c r="BR48" s="137"/>
      <c r="BT48" s="787">
        <f t="shared" si="67"/>
        <v>0</v>
      </c>
      <c r="BU48" s="788">
        <f t="shared" si="42"/>
        <v>0</v>
      </c>
      <c r="BV48" s="787">
        <f t="shared" si="43"/>
        <v>0</v>
      </c>
      <c r="BW48" s="787">
        <v>58620.69</v>
      </c>
      <c r="BX48" s="789">
        <f>IFERROR(LOOKUP(M48,基础数据!A:D),1)</f>
        <v>1</v>
      </c>
      <c r="BY48" s="790">
        <f t="shared" si="44"/>
        <v>3.55771976932645</v>
      </c>
      <c r="BZ48" s="787">
        <v>3215.38</v>
      </c>
      <c r="CA48" s="797"/>
      <c r="CB48" s="792">
        <f t="shared" si="26"/>
        <v>0.13</v>
      </c>
      <c r="CC48" s="165" t="s">
        <v>230</v>
      </c>
      <c r="CD48" s="793">
        <v>0</v>
      </c>
      <c r="CE48" s="156">
        <f t="shared" si="68"/>
        <v>0</v>
      </c>
      <c r="CF48" s="156">
        <f t="shared" si="45"/>
        <v>0</v>
      </c>
      <c r="CG48" s="776"/>
      <c r="CH48" s="156">
        <f t="shared" si="46"/>
        <v>0</v>
      </c>
      <c r="CI48" s="156">
        <f t="shared" si="47"/>
        <v>0</v>
      </c>
      <c r="CJ48" s="776"/>
      <c r="CK48" s="156">
        <f t="shared" si="48"/>
        <v>0</v>
      </c>
      <c r="CL48" s="156">
        <f t="shared" si="49"/>
        <v>0</v>
      </c>
      <c r="CM48" s="776"/>
      <c r="CN48" s="156">
        <f t="shared" si="50"/>
        <v>0</v>
      </c>
      <c r="CO48" s="156">
        <f t="shared" si="51"/>
        <v>0</v>
      </c>
      <c r="CP48" s="776"/>
      <c r="CQ48" s="776"/>
      <c r="CR48" s="794">
        <f t="shared" si="52"/>
        <v>0</v>
      </c>
      <c r="CS48" s="156">
        <f t="shared" si="53"/>
        <v>0</v>
      </c>
      <c r="CT48" s="156">
        <f t="shared" si="54"/>
        <v>0</v>
      </c>
      <c r="CU48" s="156">
        <v>0</v>
      </c>
      <c r="CV48" s="795">
        <f>LOOKUP(CU48,参数表!$A$13:$B$19)</f>
        <v>0</v>
      </c>
      <c r="CW48" s="156">
        <f t="shared" si="55"/>
        <v>0</v>
      </c>
      <c r="CX48" s="156">
        <f t="shared" si="56"/>
        <v>0</v>
      </c>
      <c r="CY48" s="156">
        <f t="shared" si="69"/>
        <v>125.582477754962</v>
      </c>
      <c r="CZ48" s="223">
        <v>4</v>
      </c>
      <c r="DA48" s="746">
        <f t="shared" si="57"/>
        <v>-30.4</v>
      </c>
      <c r="DB48" s="746">
        <f t="shared" si="36"/>
        <v>-30.35</v>
      </c>
      <c r="DC48" s="746">
        <f t="shared" si="58"/>
        <v>-30.35</v>
      </c>
      <c r="DE48" s="134" t="str">
        <f>IF(COUNTIF(DE$7:DE47,C48)&gt;0,"",C48)&amp;""</f>
        <v/>
      </c>
      <c r="DF48" s="138">
        <f t="shared" si="70"/>
        <v>0</v>
      </c>
      <c r="DG48" s="132">
        <f t="shared" si="71"/>
        <v>1</v>
      </c>
      <c r="DH48" s="138">
        <f t="shared" si="72"/>
        <v>0</v>
      </c>
      <c r="DI48" s="132">
        <f t="shared" si="73"/>
        <v>1</v>
      </c>
      <c r="DJ48" s="133"/>
      <c r="DK48" s="133"/>
      <c r="DM48" s="796" t="s">
        <v>4067</v>
      </c>
      <c r="DN48" s="75">
        <v>929.19</v>
      </c>
    </row>
    <row r="49" ht="15" customHeight="1" spans="1:118">
      <c r="A49" s="785" t="str">
        <f>IF(C49="","",COUNT(A$7:A48)+1)</f>
        <v/>
      </c>
      <c r="B49" s="141"/>
      <c r="C49" s="139"/>
      <c r="D49" s="141"/>
      <c r="E49" s="535"/>
      <c r="F49" s="535"/>
      <c r="G49" s="141"/>
      <c r="H49" s="536"/>
      <c r="I49" s="139"/>
      <c r="J49" s="141"/>
      <c r="K49" s="141"/>
      <c r="L49" s="140"/>
      <c r="M49" s="140"/>
      <c r="N49" s="142"/>
      <c r="O49" s="127"/>
      <c r="P49" s="128"/>
      <c r="Q49" s="128"/>
      <c r="R49" s="129"/>
      <c r="S49" s="143"/>
      <c r="T49" s="143"/>
      <c r="U49" s="143"/>
      <c r="V49" s="144"/>
      <c r="W49" s="144"/>
      <c r="X49" s="144"/>
      <c r="Y49" s="129" t="str">
        <f t="shared" si="60"/>
        <v/>
      </c>
      <c r="Z49" s="129" t="str">
        <f t="shared" si="61"/>
        <v/>
      </c>
      <c r="AA49" s="129" t="str">
        <f t="shared" si="62"/>
        <v/>
      </c>
      <c r="AB49" s="129" t="str">
        <f t="shared" si="63"/>
        <v/>
      </c>
      <c r="AC49" s="521" t="str">
        <f t="shared" si="64"/>
        <v/>
      </c>
      <c r="AD49" s="129" t="str">
        <f t="shared" si="65"/>
        <v/>
      </c>
      <c r="AE49" s="129"/>
      <c r="AF49" s="129">
        <v>0</v>
      </c>
      <c r="AG49" s="129" t="str">
        <f t="shared" si="74"/>
        <v/>
      </c>
      <c r="AH49" s="145"/>
      <c r="BC49" s="78"/>
      <c r="BD49" s="132" t="s">
        <v>4112</v>
      </c>
      <c r="BE49" s="133"/>
      <c r="BF49" s="132" t="str">
        <f>IF(OR(C49="",BE49=""),"",COUNTIF(BE$8:BE49,"√"))</f>
        <v/>
      </c>
      <c r="BG49" s="134" t="str">
        <f t="shared" si="66"/>
        <v/>
      </c>
      <c r="BH49" s="135" t="str">
        <f t="shared" si="20"/>
        <v/>
      </c>
      <c r="BI49" s="135" t="str">
        <f t="shared" si="20"/>
        <v/>
      </c>
      <c r="BJ49" s="136"/>
      <c r="BK49" s="137"/>
      <c r="BL49" s="136"/>
      <c r="BM49" s="136"/>
      <c r="BN49" s="136"/>
      <c r="BO49" s="136"/>
      <c r="BP49" s="137"/>
      <c r="BQ49" s="136"/>
      <c r="BR49" s="137"/>
      <c r="BT49" s="787">
        <f t="shared" si="67"/>
        <v>0</v>
      </c>
      <c r="BU49" s="788">
        <f t="shared" si="42"/>
        <v>0</v>
      </c>
      <c r="BV49" s="787">
        <f t="shared" si="43"/>
        <v>0</v>
      </c>
      <c r="BW49" s="787">
        <v>86602.499</v>
      </c>
      <c r="BX49" s="789">
        <f>IFERROR(LOOKUP(M49,基础数据!A:D),1)</f>
        <v>1</v>
      </c>
      <c r="BY49" s="790">
        <f t="shared" si="44"/>
        <v>3.55771976932645</v>
      </c>
      <c r="BZ49" s="787">
        <v>3215.38</v>
      </c>
      <c r="CA49" s="797"/>
      <c r="CB49" s="792">
        <f t="shared" si="26"/>
        <v>0.13</v>
      </c>
      <c r="CC49" s="165" t="s">
        <v>230</v>
      </c>
      <c r="CD49" s="793">
        <v>0</v>
      </c>
      <c r="CE49" s="156">
        <f t="shared" si="68"/>
        <v>0</v>
      </c>
      <c r="CF49" s="156">
        <f t="shared" si="45"/>
        <v>0</v>
      </c>
      <c r="CG49" s="776"/>
      <c r="CH49" s="156">
        <f t="shared" si="46"/>
        <v>0</v>
      </c>
      <c r="CI49" s="156">
        <f t="shared" si="47"/>
        <v>0</v>
      </c>
      <c r="CJ49" s="776"/>
      <c r="CK49" s="156">
        <f t="shared" si="48"/>
        <v>0</v>
      </c>
      <c r="CL49" s="156">
        <f t="shared" si="49"/>
        <v>0</v>
      </c>
      <c r="CM49" s="776"/>
      <c r="CN49" s="156">
        <f t="shared" si="50"/>
        <v>0</v>
      </c>
      <c r="CO49" s="156">
        <f t="shared" si="51"/>
        <v>0</v>
      </c>
      <c r="CP49" s="776"/>
      <c r="CQ49" s="776"/>
      <c r="CR49" s="794">
        <f t="shared" si="52"/>
        <v>0</v>
      </c>
      <c r="CS49" s="156">
        <f t="shared" si="53"/>
        <v>0</v>
      </c>
      <c r="CT49" s="156">
        <f t="shared" si="54"/>
        <v>0</v>
      </c>
      <c r="CU49" s="156">
        <v>0</v>
      </c>
      <c r="CV49" s="795">
        <f>LOOKUP(CU49,参数表!$A$13:$B$19)</f>
        <v>0</v>
      </c>
      <c r="CW49" s="156">
        <f t="shared" si="55"/>
        <v>0</v>
      </c>
      <c r="CX49" s="156">
        <f t="shared" si="56"/>
        <v>0</v>
      </c>
      <c r="CY49" s="156">
        <f t="shared" si="69"/>
        <v>125.582477754962</v>
      </c>
      <c r="CZ49" s="223">
        <v>4</v>
      </c>
      <c r="DA49" s="746">
        <f t="shared" si="57"/>
        <v>-30.4</v>
      </c>
      <c r="DB49" s="746">
        <f t="shared" si="36"/>
        <v>-30.35</v>
      </c>
      <c r="DC49" s="746">
        <f t="shared" si="58"/>
        <v>-30.35</v>
      </c>
      <c r="DE49" s="134" t="str">
        <f>IF(COUNTIF(DE$7:DE48,C49)&gt;0,"",C49)&amp;""</f>
        <v/>
      </c>
      <c r="DF49" s="138">
        <f t="shared" si="70"/>
        <v>0</v>
      </c>
      <c r="DG49" s="132">
        <f t="shared" si="71"/>
        <v>1</v>
      </c>
      <c r="DH49" s="138">
        <f t="shared" si="72"/>
        <v>0</v>
      </c>
      <c r="DI49" s="132">
        <f t="shared" si="73"/>
        <v>1</v>
      </c>
      <c r="DJ49" s="133"/>
      <c r="DK49" s="133"/>
      <c r="DM49" s="796" t="s">
        <v>4067</v>
      </c>
      <c r="DN49" s="75">
        <v>929.19</v>
      </c>
    </row>
    <row r="50" ht="15" customHeight="1" spans="1:118">
      <c r="A50" s="785" t="str">
        <f>IF(C50="","",COUNT(A$7:A49)+1)</f>
        <v/>
      </c>
      <c r="B50" s="141"/>
      <c r="C50" s="139"/>
      <c r="D50" s="141"/>
      <c r="E50" s="535"/>
      <c r="F50" s="535"/>
      <c r="G50" s="141"/>
      <c r="H50" s="536"/>
      <c r="I50" s="139"/>
      <c r="J50" s="141"/>
      <c r="K50" s="141"/>
      <c r="L50" s="140"/>
      <c r="M50" s="140"/>
      <c r="N50" s="142"/>
      <c r="O50" s="127"/>
      <c r="P50" s="128"/>
      <c r="Q50" s="128"/>
      <c r="R50" s="129"/>
      <c r="S50" s="143"/>
      <c r="T50" s="143"/>
      <c r="U50" s="143"/>
      <c r="V50" s="144"/>
      <c r="W50" s="144"/>
      <c r="X50" s="144"/>
      <c r="Y50" s="129" t="str">
        <f t="shared" si="60"/>
        <v/>
      </c>
      <c r="Z50" s="129" t="str">
        <f t="shared" si="61"/>
        <v/>
      </c>
      <c r="AA50" s="129" t="str">
        <f t="shared" si="62"/>
        <v/>
      </c>
      <c r="AB50" s="129" t="str">
        <f t="shared" si="63"/>
        <v/>
      </c>
      <c r="AC50" s="521" t="str">
        <f t="shared" si="64"/>
        <v/>
      </c>
      <c r="AD50" s="129" t="str">
        <f t="shared" si="65"/>
        <v/>
      </c>
      <c r="AE50" s="129"/>
      <c r="AF50" s="129">
        <v>0</v>
      </c>
      <c r="AG50" s="129" t="str">
        <f t="shared" si="74"/>
        <v/>
      </c>
      <c r="AH50" s="145"/>
      <c r="BC50" s="78"/>
      <c r="BD50" s="132" t="s">
        <v>4113</v>
      </c>
      <c r="BE50" s="133"/>
      <c r="BF50" s="132" t="str">
        <f>IF(OR(C50="",BE50=""),"",COUNTIF(BE$8:BE50,"√"))</f>
        <v/>
      </c>
      <c r="BG50" s="134" t="str">
        <f t="shared" si="66"/>
        <v/>
      </c>
      <c r="BH50" s="135" t="str">
        <f t="shared" si="20"/>
        <v/>
      </c>
      <c r="BI50" s="135" t="str">
        <f t="shared" si="20"/>
        <v/>
      </c>
      <c r="BJ50" s="136"/>
      <c r="BK50" s="137"/>
      <c r="BL50" s="136"/>
      <c r="BM50" s="136"/>
      <c r="BN50" s="136"/>
      <c r="BO50" s="136"/>
      <c r="BP50" s="137"/>
      <c r="BQ50" s="136"/>
      <c r="BR50" s="137"/>
      <c r="BT50" s="787">
        <f t="shared" si="67"/>
        <v>0</v>
      </c>
      <c r="BU50" s="788">
        <f t="shared" si="42"/>
        <v>0</v>
      </c>
      <c r="BV50" s="787">
        <f t="shared" si="43"/>
        <v>0</v>
      </c>
      <c r="BW50" s="787">
        <v>5042.74</v>
      </c>
      <c r="BX50" s="789">
        <f>IFERROR(LOOKUP(M50,基础数据!A:D),1)</f>
        <v>1</v>
      </c>
      <c r="BY50" s="790">
        <f t="shared" si="44"/>
        <v>3.55771976932645</v>
      </c>
      <c r="BZ50" s="787">
        <v>3215.38</v>
      </c>
      <c r="CA50" s="797"/>
      <c r="CB50" s="792">
        <f t="shared" si="26"/>
        <v>0.13</v>
      </c>
      <c r="CC50" s="165" t="s">
        <v>230</v>
      </c>
      <c r="CD50" s="793">
        <v>0</v>
      </c>
      <c r="CE50" s="156">
        <f t="shared" si="68"/>
        <v>0</v>
      </c>
      <c r="CF50" s="156">
        <f t="shared" si="45"/>
        <v>0</v>
      </c>
      <c r="CG50" s="776"/>
      <c r="CH50" s="156">
        <f t="shared" si="46"/>
        <v>0</v>
      </c>
      <c r="CI50" s="156">
        <f t="shared" si="47"/>
        <v>0</v>
      </c>
      <c r="CJ50" s="776"/>
      <c r="CK50" s="156">
        <f t="shared" si="48"/>
        <v>0</v>
      </c>
      <c r="CL50" s="156">
        <f t="shared" si="49"/>
        <v>0</v>
      </c>
      <c r="CM50" s="776"/>
      <c r="CN50" s="156">
        <f t="shared" si="50"/>
        <v>0</v>
      </c>
      <c r="CO50" s="156">
        <f t="shared" si="51"/>
        <v>0</v>
      </c>
      <c r="CP50" s="776"/>
      <c r="CQ50" s="776"/>
      <c r="CR50" s="794">
        <f t="shared" si="52"/>
        <v>0</v>
      </c>
      <c r="CS50" s="156">
        <f t="shared" si="53"/>
        <v>0</v>
      </c>
      <c r="CT50" s="156">
        <f t="shared" si="54"/>
        <v>0</v>
      </c>
      <c r="CU50" s="156">
        <v>0</v>
      </c>
      <c r="CV50" s="795">
        <f>LOOKUP(CU50,参数表!$A$13:$B$19)</f>
        <v>0</v>
      </c>
      <c r="CW50" s="156">
        <f t="shared" si="55"/>
        <v>0</v>
      </c>
      <c r="CX50" s="156">
        <f t="shared" si="56"/>
        <v>0</v>
      </c>
      <c r="CY50" s="156">
        <f t="shared" si="69"/>
        <v>125.582477754962</v>
      </c>
      <c r="CZ50" s="223">
        <v>4</v>
      </c>
      <c r="DA50" s="746">
        <f t="shared" si="57"/>
        <v>-30.4</v>
      </c>
      <c r="DB50" s="746">
        <f t="shared" si="36"/>
        <v>-30.35</v>
      </c>
      <c r="DC50" s="746">
        <f t="shared" si="58"/>
        <v>-30.35</v>
      </c>
      <c r="DE50" s="134" t="str">
        <f>IF(COUNTIF(DE$7:DE49,C50)&gt;0,"",C50)&amp;""</f>
        <v/>
      </c>
      <c r="DF50" s="138">
        <f t="shared" si="70"/>
        <v>0</v>
      </c>
      <c r="DG50" s="132">
        <f t="shared" si="71"/>
        <v>1</v>
      </c>
      <c r="DH50" s="138">
        <f t="shared" si="72"/>
        <v>0</v>
      </c>
      <c r="DI50" s="132">
        <f t="shared" si="73"/>
        <v>1</v>
      </c>
      <c r="DJ50" s="133"/>
      <c r="DK50" s="133"/>
      <c r="DM50" s="796" t="s">
        <v>4067</v>
      </c>
      <c r="DN50" s="75">
        <v>929.19</v>
      </c>
    </row>
    <row r="51" ht="15" customHeight="1" spans="1:118">
      <c r="A51" s="785" t="str">
        <f>IF(C51="","",COUNT(A$7:A50)+1)</f>
        <v/>
      </c>
      <c r="B51" s="141"/>
      <c r="C51" s="139"/>
      <c r="D51" s="141"/>
      <c r="E51" s="535"/>
      <c r="F51" s="535"/>
      <c r="G51" s="141"/>
      <c r="H51" s="536"/>
      <c r="I51" s="139"/>
      <c r="J51" s="141"/>
      <c r="K51" s="141"/>
      <c r="L51" s="140"/>
      <c r="M51" s="140"/>
      <c r="N51" s="142"/>
      <c r="O51" s="127"/>
      <c r="P51" s="128"/>
      <c r="Q51" s="128"/>
      <c r="R51" s="129"/>
      <c r="S51" s="143"/>
      <c r="T51" s="143"/>
      <c r="U51" s="143"/>
      <c r="V51" s="144"/>
      <c r="W51" s="144"/>
      <c r="X51" s="144"/>
      <c r="Y51" s="129" t="str">
        <f t="shared" si="60"/>
        <v/>
      </c>
      <c r="Z51" s="129" t="str">
        <f t="shared" si="61"/>
        <v/>
      </c>
      <c r="AA51" s="129" t="str">
        <f t="shared" si="62"/>
        <v/>
      </c>
      <c r="AB51" s="129" t="str">
        <f t="shared" si="63"/>
        <v/>
      </c>
      <c r="AC51" s="521" t="str">
        <f t="shared" si="64"/>
        <v/>
      </c>
      <c r="AD51" s="129" t="str">
        <f t="shared" si="65"/>
        <v/>
      </c>
      <c r="AE51" s="129"/>
      <c r="AF51" s="129">
        <v>0</v>
      </c>
      <c r="AG51" s="129" t="str">
        <f t="shared" si="74"/>
        <v/>
      </c>
      <c r="AH51" s="145"/>
      <c r="BC51" s="78"/>
      <c r="BD51" s="132" t="s">
        <v>4114</v>
      </c>
      <c r="BE51" s="133"/>
      <c r="BF51" s="132" t="str">
        <f>IF(OR(C51="",BE51=""),"",COUNTIF(BE$8:BE51,"√"))</f>
        <v/>
      </c>
      <c r="BG51" s="134" t="str">
        <f t="shared" si="66"/>
        <v/>
      </c>
      <c r="BH51" s="135" t="str">
        <f t="shared" si="20"/>
        <v/>
      </c>
      <c r="BI51" s="135" t="str">
        <f t="shared" si="20"/>
        <v/>
      </c>
      <c r="BJ51" s="136"/>
      <c r="BK51" s="137"/>
      <c r="BL51" s="136"/>
      <c r="BM51" s="136"/>
      <c r="BN51" s="136"/>
      <c r="BO51" s="136"/>
      <c r="BP51" s="137"/>
      <c r="BQ51" s="136"/>
      <c r="BR51" s="137"/>
      <c r="BT51" s="787">
        <f t="shared" si="67"/>
        <v>0</v>
      </c>
      <c r="BU51" s="788">
        <f t="shared" si="42"/>
        <v>0</v>
      </c>
      <c r="BV51" s="787">
        <f t="shared" si="43"/>
        <v>0</v>
      </c>
      <c r="BW51" s="787">
        <v>57264.96</v>
      </c>
      <c r="BX51" s="789">
        <f>IFERROR(LOOKUP(M51,基础数据!A:D),1)</f>
        <v>1</v>
      </c>
      <c r="BY51" s="790">
        <f t="shared" si="44"/>
        <v>3.55771976932645</v>
      </c>
      <c r="BZ51" s="787">
        <v>2884.1</v>
      </c>
      <c r="CA51" s="797"/>
      <c r="CB51" s="792">
        <f t="shared" si="26"/>
        <v>0.13</v>
      </c>
      <c r="CC51" s="165" t="s">
        <v>230</v>
      </c>
      <c r="CD51" s="793">
        <v>0</v>
      </c>
      <c r="CE51" s="156">
        <f t="shared" si="68"/>
        <v>0</v>
      </c>
      <c r="CF51" s="156">
        <f t="shared" si="45"/>
        <v>0</v>
      </c>
      <c r="CG51" s="776"/>
      <c r="CH51" s="156">
        <f t="shared" si="46"/>
        <v>0</v>
      </c>
      <c r="CI51" s="156">
        <f t="shared" si="47"/>
        <v>0</v>
      </c>
      <c r="CJ51" s="776"/>
      <c r="CK51" s="156">
        <f t="shared" si="48"/>
        <v>0</v>
      </c>
      <c r="CL51" s="156">
        <f t="shared" si="49"/>
        <v>0</v>
      </c>
      <c r="CM51" s="776"/>
      <c r="CN51" s="156">
        <f t="shared" si="50"/>
        <v>0</v>
      </c>
      <c r="CO51" s="156">
        <f t="shared" si="51"/>
        <v>0</v>
      </c>
      <c r="CP51" s="776"/>
      <c r="CQ51" s="776"/>
      <c r="CR51" s="794">
        <f t="shared" si="52"/>
        <v>0</v>
      </c>
      <c r="CS51" s="156">
        <f t="shared" si="53"/>
        <v>0</v>
      </c>
      <c r="CT51" s="156">
        <f t="shared" si="54"/>
        <v>0</v>
      </c>
      <c r="CU51" s="156">
        <v>0</v>
      </c>
      <c r="CV51" s="795">
        <f>LOOKUP(CU51,参数表!$A$13:$B$19)</f>
        <v>0</v>
      </c>
      <c r="CW51" s="156">
        <f t="shared" si="55"/>
        <v>0</v>
      </c>
      <c r="CX51" s="156">
        <f t="shared" si="56"/>
        <v>0</v>
      </c>
      <c r="CY51" s="156">
        <f t="shared" si="69"/>
        <v>125.582477754962</v>
      </c>
      <c r="CZ51" s="223">
        <v>4</v>
      </c>
      <c r="DA51" s="746">
        <f t="shared" si="57"/>
        <v>-30.4</v>
      </c>
      <c r="DB51" s="746">
        <f t="shared" si="36"/>
        <v>-30.35</v>
      </c>
      <c r="DC51" s="746">
        <f t="shared" si="58"/>
        <v>-30.35</v>
      </c>
      <c r="DE51" s="134" t="str">
        <f>IF(COUNTIF(DE$7:DE50,C51)&gt;0,"",C51)&amp;""</f>
        <v/>
      </c>
      <c r="DF51" s="138">
        <f t="shared" si="70"/>
        <v>0</v>
      </c>
      <c r="DG51" s="132">
        <f t="shared" si="71"/>
        <v>1</v>
      </c>
      <c r="DH51" s="138">
        <f t="shared" si="72"/>
        <v>0</v>
      </c>
      <c r="DI51" s="132">
        <f t="shared" si="73"/>
        <v>1</v>
      </c>
      <c r="DJ51" s="133"/>
      <c r="DK51" s="133"/>
      <c r="DM51" s="796" t="s">
        <v>4067</v>
      </c>
      <c r="DN51" s="75">
        <v>774.41</v>
      </c>
    </row>
    <row r="52" ht="15" customHeight="1" spans="1:118">
      <c r="A52" s="785" t="str">
        <f>IF(C52="","",COUNT(A$7:A51)+1)</f>
        <v/>
      </c>
      <c r="B52" s="141"/>
      <c r="C52" s="139"/>
      <c r="D52" s="141"/>
      <c r="E52" s="535"/>
      <c r="F52" s="535"/>
      <c r="G52" s="141"/>
      <c r="H52" s="536"/>
      <c r="I52" s="139"/>
      <c r="J52" s="141"/>
      <c r="K52" s="141"/>
      <c r="L52" s="140"/>
      <c r="M52" s="140"/>
      <c r="N52" s="142"/>
      <c r="O52" s="127"/>
      <c r="P52" s="128"/>
      <c r="Q52" s="128"/>
      <c r="R52" s="129"/>
      <c r="S52" s="143"/>
      <c r="T52" s="143"/>
      <c r="U52" s="143"/>
      <c r="V52" s="144"/>
      <c r="W52" s="144"/>
      <c r="X52" s="144"/>
      <c r="Y52" s="129" t="str">
        <f t="shared" si="60"/>
        <v/>
      </c>
      <c r="Z52" s="129" t="str">
        <f t="shared" si="61"/>
        <v/>
      </c>
      <c r="AA52" s="129" t="str">
        <f t="shared" si="62"/>
        <v/>
      </c>
      <c r="AB52" s="129" t="str">
        <f t="shared" si="63"/>
        <v/>
      </c>
      <c r="AC52" s="521" t="str">
        <f t="shared" si="64"/>
        <v/>
      </c>
      <c r="AD52" s="129" t="str">
        <f t="shared" si="65"/>
        <v/>
      </c>
      <c r="AE52" s="129"/>
      <c r="AF52" s="129">
        <v>0</v>
      </c>
      <c r="AG52" s="129" t="str">
        <f t="shared" si="74"/>
        <v/>
      </c>
      <c r="AH52" s="145"/>
      <c r="BC52" s="78"/>
      <c r="BD52" s="132" t="s">
        <v>4115</v>
      </c>
      <c r="BE52" s="133"/>
      <c r="BF52" s="132" t="str">
        <f>IF(OR(C52="",BE52=""),"",COUNTIF(BE$8:BE52,"√"))</f>
        <v/>
      </c>
      <c r="BG52" s="134" t="str">
        <f t="shared" si="66"/>
        <v/>
      </c>
      <c r="BH52" s="135" t="str">
        <f t="shared" si="20"/>
        <v/>
      </c>
      <c r="BI52" s="135" t="str">
        <f t="shared" si="20"/>
        <v/>
      </c>
      <c r="BJ52" s="136"/>
      <c r="BK52" s="137"/>
      <c r="BL52" s="136"/>
      <c r="BM52" s="136"/>
      <c r="BN52" s="136"/>
      <c r="BO52" s="136"/>
      <c r="BP52" s="137"/>
      <c r="BQ52" s="136"/>
      <c r="BR52" s="137"/>
      <c r="BT52" s="787">
        <f t="shared" si="67"/>
        <v>0</v>
      </c>
      <c r="BU52" s="788">
        <f t="shared" si="42"/>
        <v>0</v>
      </c>
      <c r="BV52" s="787">
        <f t="shared" si="43"/>
        <v>0</v>
      </c>
      <c r="BW52" s="787">
        <v>5982.91</v>
      </c>
      <c r="BX52" s="789">
        <f>IFERROR(LOOKUP(M52,基础数据!A:D),1)</f>
        <v>1</v>
      </c>
      <c r="BY52" s="790">
        <f t="shared" si="44"/>
        <v>3.55771976932645</v>
      </c>
      <c r="BZ52" s="787">
        <v>2884.1</v>
      </c>
      <c r="CA52" s="797"/>
      <c r="CB52" s="792">
        <f t="shared" si="26"/>
        <v>0.13</v>
      </c>
      <c r="CC52" s="165" t="s">
        <v>230</v>
      </c>
      <c r="CD52" s="793">
        <v>0</v>
      </c>
      <c r="CE52" s="156">
        <f t="shared" si="68"/>
        <v>0</v>
      </c>
      <c r="CF52" s="156">
        <f t="shared" si="45"/>
        <v>0</v>
      </c>
      <c r="CG52" s="776"/>
      <c r="CH52" s="156">
        <f t="shared" si="46"/>
        <v>0</v>
      </c>
      <c r="CI52" s="156">
        <f t="shared" si="47"/>
        <v>0</v>
      </c>
      <c r="CJ52" s="776"/>
      <c r="CK52" s="156">
        <f t="shared" si="48"/>
        <v>0</v>
      </c>
      <c r="CL52" s="156">
        <f t="shared" si="49"/>
        <v>0</v>
      </c>
      <c r="CM52" s="776"/>
      <c r="CN52" s="156">
        <f t="shared" si="50"/>
        <v>0</v>
      </c>
      <c r="CO52" s="156">
        <f t="shared" si="51"/>
        <v>0</v>
      </c>
      <c r="CP52" s="776"/>
      <c r="CQ52" s="776"/>
      <c r="CR52" s="794">
        <f t="shared" si="52"/>
        <v>0</v>
      </c>
      <c r="CS52" s="156">
        <f t="shared" si="53"/>
        <v>0</v>
      </c>
      <c r="CT52" s="156">
        <f t="shared" si="54"/>
        <v>0</v>
      </c>
      <c r="CU52" s="156">
        <v>0</v>
      </c>
      <c r="CV52" s="795">
        <f>LOOKUP(CU52,参数表!$A$13:$B$19)</f>
        <v>0</v>
      </c>
      <c r="CW52" s="156">
        <f t="shared" si="55"/>
        <v>0</v>
      </c>
      <c r="CX52" s="156">
        <f t="shared" si="56"/>
        <v>0</v>
      </c>
      <c r="CY52" s="156">
        <f t="shared" si="69"/>
        <v>125.582477754962</v>
      </c>
      <c r="CZ52" s="223">
        <v>4</v>
      </c>
      <c r="DA52" s="746">
        <f t="shared" si="57"/>
        <v>-30.4</v>
      </c>
      <c r="DB52" s="746">
        <f t="shared" si="36"/>
        <v>-30.35</v>
      </c>
      <c r="DC52" s="746">
        <f t="shared" si="58"/>
        <v>-30.35</v>
      </c>
      <c r="DE52" s="134" t="str">
        <f>IF(COUNTIF(DE$7:DE51,C52)&gt;0,"",C52)&amp;""</f>
        <v/>
      </c>
      <c r="DF52" s="138">
        <f t="shared" si="70"/>
        <v>0</v>
      </c>
      <c r="DG52" s="132">
        <f t="shared" si="71"/>
        <v>1</v>
      </c>
      <c r="DH52" s="138">
        <f t="shared" si="72"/>
        <v>0</v>
      </c>
      <c r="DI52" s="132">
        <f t="shared" si="73"/>
        <v>1</v>
      </c>
      <c r="DJ52" s="133"/>
      <c r="DK52" s="133"/>
      <c r="DM52" s="796" t="s">
        <v>4067</v>
      </c>
      <c r="DN52" s="75">
        <v>774.41</v>
      </c>
    </row>
    <row r="53" ht="15" customHeight="1" spans="1:118">
      <c r="A53" s="785" t="str">
        <f>IF(C53="","",COUNT(A$7:A52)+1)</f>
        <v/>
      </c>
      <c r="B53" s="141"/>
      <c r="C53" s="139"/>
      <c r="D53" s="141"/>
      <c r="E53" s="535"/>
      <c r="F53" s="535"/>
      <c r="G53" s="141"/>
      <c r="H53" s="536"/>
      <c r="I53" s="139"/>
      <c r="J53" s="141"/>
      <c r="K53" s="141"/>
      <c r="L53" s="140"/>
      <c r="M53" s="140"/>
      <c r="N53" s="142"/>
      <c r="O53" s="127"/>
      <c r="P53" s="128"/>
      <c r="Q53" s="128"/>
      <c r="R53" s="129"/>
      <c r="S53" s="143"/>
      <c r="T53" s="143"/>
      <c r="U53" s="143"/>
      <c r="V53" s="144"/>
      <c r="W53" s="144"/>
      <c r="X53" s="144"/>
      <c r="Y53" s="129" t="str">
        <f t="shared" si="60"/>
        <v/>
      </c>
      <c r="Z53" s="129" t="str">
        <f t="shared" si="61"/>
        <v/>
      </c>
      <c r="AA53" s="129" t="str">
        <f t="shared" si="62"/>
        <v/>
      </c>
      <c r="AB53" s="129" t="str">
        <f t="shared" si="63"/>
        <v/>
      </c>
      <c r="AC53" s="521" t="str">
        <f t="shared" si="64"/>
        <v/>
      </c>
      <c r="AD53" s="129" t="str">
        <f t="shared" si="65"/>
        <v/>
      </c>
      <c r="AE53" s="129"/>
      <c r="AF53" s="129">
        <v>0</v>
      </c>
      <c r="AG53" s="129" t="str">
        <f t="shared" si="74"/>
        <v/>
      </c>
      <c r="AH53" s="145"/>
      <c r="BC53" s="78"/>
      <c r="BD53" s="132" t="s">
        <v>4116</v>
      </c>
      <c r="BE53" s="133"/>
      <c r="BF53" s="132" t="str">
        <f>IF(OR(C53="",BE53=""),"",COUNTIF(BE$8:BE53,"√"))</f>
        <v/>
      </c>
      <c r="BG53" s="134" t="str">
        <f t="shared" si="66"/>
        <v/>
      </c>
      <c r="BH53" s="135" t="str">
        <f t="shared" si="20"/>
        <v/>
      </c>
      <c r="BI53" s="135" t="str">
        <f t="shared" si="20"/>
        <v/>
      </c>
      <c r="BJ53" s="136"/>
      <c r="BK53" s="137"/>
      <c r="BL53" s="136"/>
      <c r="BM53" s="136"/>
      <c r="BN53" s="136"/>
      <c r="BO53" s="136"/>
      <c r="BP53" s="137"/>
      <c r="BQ53" s="136"/>
      <c r="BR53" s="137"/>
      <c r="BT53" s="787">
        <f t="shared" si="67"/>
        <v>0</v>
      </c>
      <c r="BU53" s="788">
        <f t="shared" si="42"/>
        <v>0</v>
      </c>
      <c r="BV53" s="787">
        <f t="shared" si="43"/>
        <v>0</v>
      </c>
      <c r="BW53" s="787">
        <v>6128.21</v>
      </c>
      <c r="BX53" s="789">
        <f>IFERROR(LOOKUP(M53,基础数据!A:D),1)</f>
        <v>1</v>
      </c>
      <c r="BY53" s="790">
        <f t="shared" si="44"/>
        <v>3.55771976932645</v>
      </c>
      <c r="BZ53" s="787">
        <v>2884.1</v>
      </c>
      <c r="CA53" s="797"/>
      <c r="CB53" s="792">
        <f t="shared" si="26"/>
        <v>0.13</v>
      </c>
      <c r="CC53" s="165" t="s">
        <v>230</v>
      </c>
      <c r="CD53" s="793">
        <v>0</v>
      </c>
      <c r="CE53" s="156">
        <f t="shared" si="68"/>
        <v>0</v>
      </c>
      <c r="CF53" s="156">
        <f t="shared" si="45"/>
        <v>0</v>
      </c>
      <c r="CG53" s="776"/>
      <c r="CH53" s="156">
        <f t="shared" si="46"/>
        <v>0</v>
      </c>
      <c r="CI53" s="156">
        <f t="shared" si="47"/>
        <v>0</v>
      </c>
      <c r="CJ53" s="776"/>
      <c r="CK53" s="156">
        <f t="shared" si="48"/>
        <v>0</v>
      </c>
      <c r="CL53" s="156">
        <f t="shared" si="49"/>
        <v>0</v>
      </c>
      <c r="CM53" s="776"/>
      <c r="CN53" s="156">
        <f t="shared" si="50"/>
        <v>0</v>
      </c>
      <c r="CO53" s="156">
        <f t="shared" si="51"/>
        <v>0</v>
      </c>
      <c r="CP53" s="776"/>
      <c r="CQ53" s="776"/>
      <c r="CR53" s="794">
        <f t="shared" si="52"/>
        <v>0</v>
      </c>
      <c r="CS53" s="156">
        <f t="shared" si="53"/>
        <v>0</v>
      </c>
      <c r="CT53" s="156">
        <f t="shared" si="54"/>
        <v>0</v>
      </c>
      <c r="CU53" s="156">
        <v>0</v>
      </c>
      <c r="CV53" s="795">
        <f>LOOKUP(CU53,参数表!$A$13:$B$19)</f>
        <v>0</v>
      </c>
      <c r="CW53" s="156">
        <f t="shared" si="55"/>
        <v>0</v>
      </c>
      <c r="CX53" s="156">
        <f t="shared" si="56"/>
        <v>0</v>
      </c>
      <c r="CY53" s="156">
        <f t="shared" si="69"/>
        <v>125.582477754962</v>
      </c>
      <c r="CZ53" s="223">
        <v>4</v>
      </c>
      <c r="DA53" s="746">
        <f t="shared" si="57"/>
        <v>-30.4</v>
      </c>
      <c r="DB53" s="746">
        <f t="shared" si="36"/>
        <v>-30.35</v>
      </c>
      <c r="DC53" s="746">
        <f t="shared" si="58"/>
        <v>-30.35</v>
      </c>
      <c r="DE53" s="134" t="str">
        <f>IF(COUNTIF(DE$7:DE52,C53)&gt;0,"",C53)&amp;""</f>
        <v/>
      </c>
      <c r="DF53" s="138">
        <f t="shared" si="70"/>
        <v>0</v>
      </c>
      <c r="DG53" s="132">
        <f t="shared" si="71"/>
        <v>1</v>
      </c>
      <c r="DH53" s="138">
        <f t="shared" si="72"/>
        <v>0</v>
      </c>
      <c r="DI53" s="132">
        <f t="shared" si="73"/>
        <v>1</v>
      </c>
      <c r="DJ53" s="133"/>
      <c r="DK53" s="133"/>
      <c r="DM53" s="796" t="s">
        <v>4067</v>
      </c>
      <c r="DN53" s="75">
        <v>774.41</v>
      </c>
    </row>
    <row r="54" ht="15" customHeight="1" spans="1:118">
      <c r="A54" s="785" t="str">
        <f>IF(C54="","",COUNT(A$7:A53)+1)</f>
        <v/>
      </c>
      <c r="B54" s="141"/>
      <c r="C54" s="139"/>
      <c r="D54" s="141"/>
      <c r="E54" s="535"/>
      <c r="F54" s="535"/>
      <c r="G54" s="141"/>
      <c r="H54" s="536"/>
      <c r="I54" s="139"/>
      <c r="J54" s="141"/>
      <c r="K54" s="141"/>
      <c r="L54" s="140"/>
      <c r="M54" s="140"/>
      <c r="N54" s="142"/>
      <c r="O54" s="127"/>
      <c r="P54" s="128"/>
      <c r="Q54" s="128"/>
      <c r="R54" s="129"/>
      <c r="S54" s="143"/>
      <c r="T54" s="143"/>
      <c r="U54" s="143"/>
      <c r="V54" s="144"/>
      <c r="W54" s="144"/>
      <c r="X54" s="144"/>
      <c r="Y54" s="129" t="str">
        <f t="shared" si="60"/>
        <v/>
      </c>
      <c r="Z54" s="129" t="str">
        <f t="shared" si="61"/>
        <v/>
      </c>
      <c r="AA54" s="129" t="str">
        <f t="shared" si="62"/>
        <v/>
      </c>
      <c r="AB54" s="129" t="str">
        <f t="shared" si="63"/>
        <v/>
      </c>
      <c r="AC54" s="521" t="str">
        <f t="shared" si="64"/>
        <v/>
      </c>
      <c r="AD54" s="129" t="str">
        <f t="shared" si="65"/>
        <v/>
      </c>
      <c r="AE54" s="129"/>
      <c r="AF54" s="129">
        <v>0</v>
      </c>
      <c r="AG54" s="129" t="str">
        <f t="shared" si="74"/>
        <v/>
      </c>
      <c r="AH54" s="145"/>
      <c r="BC54" s="78"/>
      <c r="BD54" s="132" t="s">
        <v>4117</v>
      </c>
      <c r="BE54" s="133"/>
      <c r="BF54" s="132" t="str">
        <f>IF(OR(C54="",BE54=""),"",COUNTIF(BE$8:BE54,"√"))</f>
        <v/>
      </c>
      <c r="BG54" s="134" t="str">
        <f t="shared" si="66"/>
        <v/>
      </c>
      <c r="BH54" s="135" t="str">
        <f t="shared" si="20"/>
        <v/>
      </c>
      <c r="BI54" s="135" t="str">
        <f t="shared" si="20"/>
        <v/>
      </c>
      <c r="BJ54" s="136"/>
      <c r="BK54" s="137"/>
      <c r="BL54" s="136"/>
      <c r="BM54" s="136"/>
      <c r="BN54" s="136"/>
      <c r="BO54" s="136"/>
      <c r="BP54" s="137"/>
      <c r="BQ54" s="136"/>
      <c r="BR54" s="137"/>
      <c r="BT54" s="787">
        <f t="shared" si="67"/>
        <v>0</v>
      </c>
      <c r="BU54" s="788">
        <f t="shared" si="42"/>
        <v>0</v>
      </c>
      <c r="BV54" s="787">
        <f t="shared" si="43"/>
        <v>0</v>
      </c>
      <c r="BW54" s="787">
        <v>4401.71</v>
      </c>
      <c r="BX54" s="789">
        <f>IFERROR(LOOKUP(M54,基础数据!A:D),1)</f>
        <v>1</v>
      </c>
      <c r="BY54" s="790">
        <f t="shared" si="44"/>
        <v>3.55771976932645</v>
      </c>
      <c r="BZ54" s="787">
        <v>3507.69</v>
      </c>
      <c r="CA54" s="797"/>
      <c r="CB54" s="792">
        <f t="shared" si="26"/>
        <v>0.13</v>
      </c>
      <c r="CC54" s="165" t="s">
        <v>230</v>
      </c>
      <c r="CD54" s="793">
        <v>0</v>
      </c>
      <c r="CE54" s="156">
        <f t="shared" si="68"/>
        <v>0</v>
      </c>
      <c r="CF54" s="156">
        <f t="shared" si="45"/>
        <v>0</v>
      </c>
      <c r="CG54" s="776"/>
      <c r="CH54" s="156">
        <f t="shared" si="46"/>
        <v>0</v>
      </c>
      <c r="CI54" s="156">
        <f t="shared" si="47"/>
        <v>0</v>
      </c>
      <c r="CJ54" s="776"/>
      <c r="CK54" s="156">
        <f t="shared" si="48"/>
        <v>0</v>
      </c>
      <c r="CL54" s="156">
        <f t="shared" si="49"/>
        <v>0</v>
      </c>
      <c r="CM54" s="776"/>
      <c r="CN54" s="156">
        <f t="shared" si="50"/>
        <v>0</v>
      </c>
      <c r="CO54" s="156">
        <f t="shared" si="51"/>
        <v>0</v>
      </c>
      <c r="CP54" s="776"/>
      <c r="CQ54" s="776"/>
      <c r="CR54" s="794">
        <f t="shared" si="52"/>
        <v>0</v>
      </c>
      <c r="CS54" s="156">
        <f t="shared" si="53"/>
        <v>0</v>
      </c>
      <c r="CT54" s="156">
        <f t="shared" si="54"/>
        <v>0</v>
      </c>
      <c r="CU54" s="156">
        <v>0</v>
      </c>
      <c r="CV54" s="795">
        <f>LOOKUP(CU54,参数表!$A$13:$B$19)</f>
        <v>0</v>
      </c>
      <c r="CW54" s="156">
        <f t="shared" si="55"/>
        <v>0</v>
      </c>
      <c r="CX54" s="156">
        <f t="shared" si="56"/>
        <v>0</v>
      </c>
      <c r="CY54" s="156">
        <f t="shared" si="69"/>
        <v>125.582477754962</v>
      </c>
      <c r="CZ54" s="223">
        <v>4</v>
      </c>
      <c r="DA54" s="746">
        <f t="shared" si="57"/>
        <v>-30.4</v>
      </c>
      <c r="DB54" s="746">
        <f t="shared" si="36"/>
        <v>-30.35</v>
      </c>
      <c r="DC54" s="746">
        <f t="shared" si="58"/>
        <v>-30.35</v>
      </c>
      <c r="DE54" s="134" t="str">
        <f>IF(COUNTIF(DE$7:DE53,C54)&gt;0,"",C54)&amp;""</f>
        <v/>
      </c>
      <c r="DF54" s="138">
        <f t="shared" si="70"/>
        <v>0</v>
      </c>
      <c r="DG54" s="132">
        <f t="shared" si="71"/>
        <v>1</v>
      </c>
      <c r="DH54" s="138">
        <f t="shared" si="72"/>
        <v>0</v>
      </c>
      <c r="DI54" s="132">
        <f t="shared" si="73"/>
        <v>1</v>
      </c>
      <c r="DJ54" s="133"/>
      <c r="DK54" s="133"/>
      <c r="DM54" s="796" t="s">
        <v>4067</v>
      </c>
      <c r="DN54" s="75">
        <v>774.41</v>
      </c>
    </row>
    <row r="55" ht="15" customHeight="1" spans="1:118">
      <c r="A55" s="785" t="str">
        <f>IF(C55="","",COUNT(A$7:A54)+1)</f>
        <v/>
      </c>
      <c r="B55" s="141"/>
      <c r="C55" s="139"/>
      <c r="D55" s="141"/>
      <c r="E55" s="535"/>
      <c r="F55" s="535"/>
      <c r="G55" s="141"/>
      <c r="H55" s="536"/>
      <c r="I55" s="139"/>
      <c r="J55" s="141"/>
      <c r="K55" s="141"/>
      <c r="L55" s="140"/>
      <c r="M55" s="140"/>
      <c r="N55" s="142"/>
      <c r="O55" s="127"/>
      <c r="P55" s="128"/>
      <c r="Q55" s="128"/>
      <c r="R55" s="129"/>
      <c r="S55" s="143"/>
      <c r="T55" s="143"/>
      <c r="U55" s="143"/>
      <c r="V55" s="144"/>
      <c r="W55" s="144"/>
      <c r="X55" s="144"/>
      <c r="Y55" s="129" t="str">
        <f t="shared" si="60"/>
        <v/>
      </c>
      <c r="Z55" s="129" t="str">
        <f t="shared" si="61"/>
        <v/>
      </c>
      <c r="AA55" s="129" t="str">
        <f t="shared" si="62"/>
        <v/>
      </c>
      <c r="AB55" s="129" t="str">
        <f t="shared" si="63"/>
        <v/>
      </c>
      <c r="AC55" s="521" t="str">
        <f t="shared" si="64"/>
        <v/>
      </c>
      <c r="AD55" s="129" t="str">
        <f t="shared" si="65"/>
        <v/>
      </c>
      <c r="AE55" s="129"/>
      <c r="AF55" s="129">
        <v>0</v>
      </c>
      <c r="AG55" s="129" t="str">
        <f t="shared" si="74"/>
        <v/>
      </c>
      <c r="AH55" s="145"/>
      <c r="BC55" s="78"/>
      <c r="BD55" s="132" t="s">
        <v>4118</v>
      </c>
      <c r="BE55" s="133"/>
      <c r="BF55" s="132" t="str">
        <f>IF(OR(C55="",BE55=""),"",COUNTIF(BE$8:BE55,"√"))</f>
        <v/>
      </c>
      <c r="BG55" s="134" t="str">
        <f t="shared" si="66"/>
        <v/>
      </c>
      <c r="BH55" s="135" t="str">
        <f t="shared" si="20"/>
        <v/>
      </c>
      <c r="BI55" s="135" t="str">
        <f t="shared" si="20"/>
        <v/>
      </c>
      <c r="BJ55" s="136"/>
      <c r="BK55" s="137"/>
      <c r="BL55" s="136"/>
      <c r="BM55" s="136"/>
      <c r="BN55" s="136"/>
      <c r="BO55" s="136"/>
      <c r="BP55" s="137"/>
      <c r="BQ55" s="136"/>
      <c r="BR55" s="137"/>
      <c r="BT55" s="787">
        <f t="shared" si="67"/>
        <v>0</v>
      </c>
      <c r="BU55" s="788">
        <f t="shared" si="42"/>
        <v>0</v>
      </c>
      <c r="BV55" s="787">
        <f t="shared" si="43"/>
        <v>0</v>
      </c>
      <c r="BW55" s="787">
        <v>4264.96</v>
      </c>
      <c r="BX55" s="789">
        <f>IFERROR(LOOKUP(M55,基础数据!A:D),1)</f>
        <v>1</v>
      </c>
      <c r="BY55" s="790">
        <f t="shared" si="44"/>
        <v>3.55771976932645</v>
      </c>
      <c r="BZ55" s="787">
        <v>3507.69</v>
      </c>
      <c r="CA55" s="797"/>
      <c r="CB55" s="792">
        <f t="shared" si="26"/>
        <v>0.13</v>
      </c>
      <c r="CC55" s="165" t="s">
        <v>230</v>
      </c>
      <c r="CD55" s="793">
        <v>0</v>
      </c>
      <c r="CE55" s="156">
        <f t="shared" si="68"/>
        <v>0</v>
      </c>
      <c r="CF55" s="156">
        <f t="shared" si="45"/>
        <v>0</v>
      </c>
      <c r="CG55" s="776"/>
      <c r="CH55" s="156">
        <f t="shared" si="46"/>
        <v>0</v>
      </c>
      <c r="CI55" s="156">
        <f t="shared" si="47"/>
        <v>0</v>
      </c>
      <c r="CJ55" s="776"/>
      <c r="CK55" s="156">
        <f t="shared" si="48"/>
        <v>0</v>
      </c>
      <c r="CL55" s="156">
        <f t="shared" si="49"/>
        <v>0</v>
      </c>
      <c r="CM55" s="776"/>
      <c r="CN55" s="156">
        <f t="shared" si="50"/>
        <v>0</v>
      </c>
      <c r="CO55" s="156">
        <f t="shared" si="51"/>
        <v>0</v>
      </c>
      <c r="CP55" s="776"/>
      <c r="CQ55" s="776"/>
      <c r="CR55" s="794">
        <f t="shared" si="52"/>
        <v>0</v>
      </c>
      <c r="CS55" s="156">
        <f t="shared" si="53"/>
        <v>0</v>
      </c>
      <c r="CT55" s="156">
        <f t="shared" si="54"/>
        <v>0</v>
      </c>
      <c r="CU55" s="156">
        <v>0</v>
      </c>
      <c r="CV55" s="795">
        <f>LOOKUP(CU55,参数表!$A$13:$B$19)</f>
        <v>0</v>
      </c>
      <c r="CW55" s="156">
        <f t="shared" si="55"/>
        <v>0</v>
      </c>
      <c r="CX55" s="156">
        <f t="shared" si="56"/>
        <v>0</v>
      </c>
      <c r="CY55" s="156">
        <f t="shared" si="69"/>
        <v>125.582477754962</v>
      </c>
      <c r="CZ55" s="223">
        <v>4</v>
      </c>
      <c r="DA55" s="746">
        <f t="shared" si="57"/>
        <v>-30.4</v>
      </c>
      <c r="DB55" s="746">
        <f t="shared" si="36"/>
        <v>-30.35</v>
      </c>
      <c r="DC55" s="746">
        <f t="shared" si="58"/>
        <v>-30.35</v>
      </c>
      <c r="DE55" s="134" t="str">
        <f>IF(COUNTIF(DE$7:DE54,C55)&gt;0,"",C55)&amp;""</f>
        <v/>
      </c>
      <c r="DF55" s="138">
        <f t="shared" si="70"/>
        <v>0</v>
      </c>
      <c r="DG55" s="132">
        <f t="shared" si="71"/>
        <v>1</v>
      </c>
      <c r="DH55" s="138">
        <f t="shared" si="72"/>
        <v>0</v>
      </c>
      <c r="DI55" s="132">
        <f t="shared" si="73"/>
        <v>1</v>
      </c>
      <c r="DJ55" s="133"/>
      <c r="DK55" s="133"/>
      <c r="DM55" s="796" t="s">
        <v>4067</v>
      </c>
      <c r="DN55" s="75">
        <v>774.41</v>
      </c>
    </row>
    <row r="56" ht="15" customHeight="1" spans="1:118">
      <c r="A56" s="785" t="str">
        <f>IF(C56="","",COUNT(A$7:A55)+1)</f>
        <v/>
      </c>
      <c r="B56" s="141"/>
      <c r="C56" s="139"/>
      <c r="D56" s="141"/>
      <c r="E56" s="535"/>
      <c r="F56" s="535"/>
      <c r="G56" s="141"/>
      <c r="H56" s="536"/>
      <c r="I56" s="139"/>
      <c r="J56" s="141"/>
      <c r="K56" s="141"/>
      <c r="L56" s="140"/>
      <c r="M56" s="140"/>
      <c r="N56" s="142"/>
      <c r="O56" s="127"/>
      <c r="P56" s="128"/>
      <c r="Q56" s="128"/>
      <c r="R56" s="129"/>
      <c r="S56" s="143"/>
      <c r="T56" s="143"/>
      <c r="U56" s="143"/>
      <c r="V56" s="144"/>
      <c r="W56" s="144"/>
      <c r="X56" s="144"/>
      <c r="Y56" s="129" t="str">
        <f t="shared" si="60"/>
        <v/>
      </c>
      <c r="Z56" s="129" t="str">
        <f t="shared" si="61"/>
        <v/>
      </c>
      <c r="AA56" s="129" t="str">
        <f t="shared" si="62"/>
        <v/>
      </c>
      <c r="AB56" s="129" t="str">
        <f t="shared" si="63"/>
        <v/>
      </c>
      <c r="AC56" s="521" t="str">
        <f t="shared" si="64"/>
        <v/>
      </c>
      <c r="AD56" s="129" t="str">
        <f t="shared" si="65"/>
        <v/>
      </c>
      <c r="AE56" s="129"/>
      <c r="AF56" s="129">
        <v>0</v>
      </c>
      <c r="AG56" s="129" t="str">
        <f t="shared" si="74"/>
        <v/>
      </c>
      <c r="AH56" s="145"/>
      <c r="BC56" s="78"/>
      <c r="BD56" s="132" t="s">
        <v>4119</v>
      </c>
      <c r="BE56" s="133"/>
      <c r="BF56" s="132" t="str">
        <f>IF(OR(C56="",BE56=""),"",COUNTIF(BE$8:BE56,"√"))</f>
        <v/>
      </c>
      <c r="BG56" s="134" t="str">
        <f t="shared" si="66"/>
        <v/>
      </c>
      <c r="BH56" s="135" t="str">
        <f t="shared" si="20"/>
        <v/>
      </c>
      <c r="BI56" s="135" t="str">
        <f t="shared" si="20"/>
        <v/>
      </c>
      <c r="BJ56" s="136"/>
      <c r="BK56" s="137"/>
      <c r="BL56" s="136"/>
      <c r="BM56" s="136"/>
      <c r="BN56" s="136"/>
      <c r="BO56" s="136"/>
      <c r="BP56" s="137"/>
      <c r="BQ56" s="136"/>
      <c r="BR56" s="137"/>
      <c r="BT56" s="787">
        <f t="shared" si="67"/>
        <v>0</v>
      </c>
      <c r="BU56" s="788">
        <f t="shared" si="42"/>
        <v>0</v>
      </c>
      <c r="BV56" s="787">
        <f t="shared" si="43"/>
        <v>0</v>
      </c>
      <c r="BW56" s="787">
        <v>229344.72</v>
      </c>
      <c r="BX56" s="789">
        <f>IFERROR(LOOKUP(M56,基础数据!A:D),1)</f>
        <v>1</v>
      </c>
      <c r="BY56" s="790">
        <f t="shared" si="44"/>
        <v>3.55771976932645</v>
      </c>
      <c r="BZ56" s="787">
        <v>3507.69</v>
      </c>
      <c r="CA56" s="797"/>
      <c r="CB56" s="792">
        <f t="shared" si="26"/>
        <v>0.13</v>
      </c>
      <c r="CC56" s="165" t="s">
        <v>230</v>
      </c>
      <c r="CD56" s="793">
        <v>0</v>
      </c>
      <c r="CE56" s="156">
        <f t="shared" si="68"/>
        <v>0</v>
      </c>
      <c r="CF56" s="156">
        <f t="shared" si="45"/>
        <v>0</v>
      </c>
      <c r="CG56" s="776"/>
      <c r="CH56" s="156">
        <f t="shared" si="46"/>
        <v>0</v>
      </c>
      <c r="CI56" s="156">
        <f t="shared" si="47"/>
        <v>0</v>
      </c>
      <c r="CJ56" s="776"/>
      <c r="CK56" s="156">
        <f t="shared" si="48"/>
        <v>0</v>
      </c>
      <c r="CL56" s="156">
        <f t="shared" si="49"/>
        <v>0</v>
      </c>
      <c r="CM56" s="776"/>
      <c r="CN56" s="156">
        <f t="shared" si="50"/>
        <v>0</v>
      </c>
      <c r="CO56" s="156">
        <f t="shared" si="51"/>
        <v>0</v>
      </c>
      <c r="CP56" s="776"/>
      <c r="CQ56" s="776"/>
      <c r="CR56" s="794">
        <f t="shared" si="52"/>
        <v>0</v>
      </c>
      <c r="CS56" s="156">
        <f t="shared" si="53"/>
        <v>0</v>
      </c>
      <c r="CT56" s="156">
        <f t="shared" si="54"/>
        <v>0</v>
      </c>
      <c r="CU56" s="156">
        <v>0</v>
      </c>
      <c r="CV56" s="795">
        <f>LOOKUP(CU56,参数表!$A$13:$B$19)</f>
        <v>0</v>
      </c>
      <c r="CW56" s="156">
        <f t="shared" si="55"/>
        <v>0</v>
      </c>
      <c r="CX56" s="156">
        <f t="shared" si="56"/>
        <v>0</v>
      </c>
      <c r="CY56" s="156">
        <f t="shared" si="69"/>
        <v>125.582477754962</v>
      </c>
      <c r="CZ56" s="223">
        <v>4</v>
      </c>
      <c r="DA56" s="746">
        <f t="shared" si="57"/>
        <v>-30.4</v>
      </c>
      <c r="DB56" s="746">
        <f t="shared" si="36"/>
        <v>-30.35</v>
      </c>
      <c r="DC56" s="746">
        <f t="shared" si="58"/>
        <v>-30.35</v>
      </c>
      <c r="DE56" s="134" t="str">
        <f>IF(COUNTIF(DE$7:DE55,C56)&gt;0,"",C56)&amp;""</f>
        <v/>
      </c>
      <c r="DF56" s="138">
        <f t="shared" si="70"/>
        <v>0</v>
      </c>
      <c r="DG56" s="132">
        <f t="shared" si="71"/>
        <v>1</v>
      </c>
      <c r="DH56" s="138">
        <f t="shared" si="72"/>
        <v>0</v>
      </c>
      <c r="DI56" s="132">
        <f t="shared" si="73"/>
        <v>1</v>
      </c>
      <c r="DJ56" s="133"/>
      <c r="DK56" s="133"/>
      <c r="DM56" s="796" t="s">
        <v>4067</v>
      </c>
      <c r="DN56" s="75">
        <v>774.42</v>
      </c>
    </row>
    <row r="57" ht="15" customHeight="1" spans="1:118">
      <c r="A57" s="785" t="str">
        <f>IF(C57="","",COUNT(A$7:A56)+1)</f>
        <v/>
      </c>
      <c r="B57" s="141"/>
      <c r="C57" s="139"/>
      <c r="D57" s="141"/>
      <c r="E57" s="535"/>
      <c r="F57" s="535"/>
      <c r="G57" s="141"/>
      <c r="H57" s="536"/>
      <c r="I57" s="139"/>
      <c r="J57" s="141"/>
      <c r="K57" s="141"/>
      <c r="L57" s="140"/>
      <c r="M57" s="140"/>
      <c r="N57" s="142"/>
      <c r="O57" s="127"/>
      <c r="P57" s="128"/>
      <c r="Q57" s="128"/>
      <c r="R57" s="129"/>
      <c r="S57" s="143"/>
      <c r="T57" s="143"/>
      <c r="U57" s="143"/>
      <c r="V57" s="144"/>
      <c r="W57" s="144"/>
      <c r="X57" s="144"/>
      <c r="Y57" s="129" t="str">
        <f t="shared" si="60"/>
        <v/>
      </c>
      <c r="Z57" s="129" t="str">
        <f t="shared" si="61"/>
        <v/>
      </c>
      <c r="AA57" s="129" t="str">
        <f t="shared" si="62"/>
        <v/>
      </c>
      <c r="AB57" s="129" t="str">
        <f t="shared" si="63"/>
        <v/>
      </c>
      <c r="AC57" s="521" t="str">
        <f t="shared" si="64"/>
        <v/>
      </c>
      <c r="AD57" s="129" t="str">
        <f t="shared" si="65"/>
        <v/>
      </c>
      <c r="AE57" s="129"/>
      <c r="AF57" s="129">
        <v>0</v>
      </c>
      <c r="AG57" s="129" t="str">
        <f t="shared" si="74"/>
        <v/>
      </c>
      <c r="AH57" s="145"/>
      <c r="BC57" s="78"/>
      <c r="BD57" s="132" t="s">
        <v>4120</v>
      </c>
      <c r="BE57" s="133"/>
      <c r="BF57" s="132" t="str">
        <f>IF(OR(C57="",BE57=""),"",COUNTIF(BE$8:BE57,"√"))</f>
        <v/>
      </c>
      <c r="BG57" s="134" t="str">
        <f t="shared" si="66"/>
        <v/>
      </c>
      <c r="BH57" s="135" t="str">
        <f t="shared" si="20"/>
        <v/>
      </c>
      <c r="BI57" s="135" t="str">
        <f t="shared" si="20"/>
        <v/>
      </c>
      <c r="BJ57" s="136"/>
      <c r="BK57" s="137"/>
      <c r="BL57" s="136"/>
      <c r="BM57" s="136"/>
      <c r="BN57" s="136"/>
      <c r="BO57" s="136"/>
      <c r="BP57" s="137"/>
      <c r="BQ57" s="136"/>
      <c r="BR57" s="137"/>
      <c r="BT57" s="787">
        <f t="shared" si="67"/>
        <v>0</v>
      </c>
      <c r="BU57" s="788">
        <f t="shared" si="42"/>
        <v>0</v>
      </c>
      <c r="BV57" s="787">
        <f t="shared" si="43"/>
        <v>0</v>
      </c>
      <c r="BW57" s="787">
        <v>122970.11</v>
      </c>
      <c r="BX57" s="789">
        <f>IFERROR(LOOKUP(M57,基础数据!A:D),1)</f>
        <v>1</v>
      </c>
      <c r="BY57" s="790">
        <f t="shared" si="44"/>
        <v>3.55771976932645</v>
      </c>
      <c r="BZ57" s="787">
        <v>3205.13</v>
      </c>
      <c r="CA57" s="797"/>
      <c r="CB57" s="792">
        <f t="shared" si="26"/>
        <v>0.13</v>
      </c>
      <c r="CC57" s="165" t="s">
        <v>230</v>
      </c>
      <c r="CD57" s="793">
        <v>0</v>
      </c>
      <c r="CE57" s="156">
        <f t="shared" si="68"/>
        <v>0</v>
      </c>
      <c r="CF57" s="156">
        <f t="shared" si="45"/>
        <v>0</v>
      </c>
      <c r="CG57" s="776"/>
      <c r="CH57" s="156">
        <f t="shared" si="46"/>
        <v>0</v>
      </c>
      <c r="CI57" s="156">
        <f t="shared" si="47"/>
        <v>0</v>
      </c>
      <c r="CJ57" s="776"/>
      <c r="CK57" s="156">
        <f t="shared" si="48"/>
        <v>0</v>
      </c>
      <c r="CL57" s="156">
        <f t="shared" si="49"/>
        <v>0</v>
      </c>
      <c r="CM57" s="776"/>
      <c r="CN57" s="156">
        <f t="shared" si="50"/>
        <v>0</v>
      </c>
      <c r="CO57" s="156">
        <f t="shared" si="51"/>
        <v>0</v>
      </c>
      <c r="CP57" s="776"/>
      <c r="CQ57" s="776"/>
      <c r="CR57" s="794">
        <f t="shared" si="52"/>
        <v>0</v>
      </c>
      <c r="CS57" s="156">
        <f t="shared" si="53"/>
        <v>0</v>
      </c>
      <c r="CT57" s="156">
        <f t="shared" si="54"/>
        <v>0</v>
      </c>
      <c r="CU57" s="156">
        <v>0</v>
      </c>
      <c r="CV57" s="795">
        <f>LOOKUP(CU57,参数表!$A$13:$B$19)</f>
        <v>0</v>
      </c>
      <c r="CW57" s="156">
        <f t="shared" si="55"/>
        <v>0</v>
      </c>
      <c r="CX57" s="156">
        <f t="shared" si="56"/>
        <v>0</v>
      </c>
      <c r="CY57" s="156">
        <f t="shared" si="69"/>
        <v>125.582477754962</v>
      </c>
      <c r="CZ57" s="223">
        <v>4</v>
      </c>
      <c r="DA57" s="746">
        <f t="shared" si="57"/>
        <v>-30.4</v>
      </c>
      <c r="DB57" s="746">
        <f t="shared" si="36"/>
        <v>-30.35</v>
      </c>
      <c r="DC57" s="746">
        <f t="shared" si="58"/>
        <v>-30.35</v>
      </c>
      <c r="DE57" s="134" t="str">
        <f>IF(COUNTIF(DE$7:DE56,C57)&gt;0,"",C57)&amp;""</f>
        <v/>
      </c>
      <c r="DF57" s="138">
        <f t="shared" si="70"/>
        <v>0</v>
      </c>
      <c r="DG57" s="132">
        <f t="shared" si="71"/>
        <v>1</v>
      </c>
      <c r="DH57" s="138">
        <f t="shared" si="72"/>
        <v>0</v>
      </c>
      <c r="DI57" s="132">
        <f t="shared" si="73"/>
        <v>1</v>
      </c>
      <c r="DJ57" s="133"/>
      <c r="DK57" s="133"/>
      <c r="DM57" s="796" t="s">
        <v>4067</v>
      </c>
      <c r="DN57" s="75">
        <v>1073.88</v>
      </c>
    </row>
    <row r="58" ht="15" customHeight="1" spans="1:118">
      <c r="A58" s="785" t="str">
        <f>IF(C58="","",COUNT(A$7:A57)+1)</f>
        <v/>
      </c>
      <c r="B58" s="141"/>
      <c r="C58" s="139"/>
      <c r="D58" s="141"/>
      <c r="E58" s="535"/>
      <c r="F58" s="535"/>
      <c r="G58" s="141"/>
      <c r="H58" s="536"/>
      <c r="I58" s="139"/>
      <c r="J58" s="141"/>
      <c r="K58" s="141"/>
      <c r="L58" s="140"/>
      <c r="M58" s="140"/>
      <c r="N58" s="142"/>
      <c r="O58" s="127"/>
      <c r="P58" s="128"/>
      <c r="Q58" s="128"/>
      <c r="R58" s="129"/>
      <c r="S58" s="143"/>
      <c r="T58" s="143"/>
      <c r="U58" s="143"/>
      <c r="V58" s="144"/>
      <c r="W58" s="144"/>
      <c r="X58" s="144"/>
      <c r="Y58" s="129" t="str">
        <f t="shared" si="60"/>
        <v/>
      </c>
      <c r="Z58" s="129" t="str">
        <f t="shared" si="61"/>
        <v/>
      </c>
      <c r="AA58" s="129" t="str">
        <f t="shared" si="62"/>
        <v/>
      </c>
      <c r="AB58" s="129" t="str">
        <f t="shared" si="63"/>
        <v/>
      </c>
      <c r="AC58" s="521" t="str">
        <f t="shared" si="64"/>
        <v/>
      </c>
      <c r="AD58" s="129" t="str">
        <f t="shared" si="65"/>
        <v/>
      </c>
      <c r="AE58" s="129"/>
      <c r="AF58" s="129">
        <v>0</v>
      </c>
      <c r="AG58" s="129" t="str">
        <f t="shared" si="74"/>
        <v/>
      </c>
      <c r="AH58" s="145"/>
      <c r="BC58" s="78"/>
      <c r="BD58" s="132" t="s">
        <v>4121</v>
      </c>
      <c r="BE58" s="133"/>
      <c r="BF58" s="132" t="str">
        <f>IF(OR(C58="",BE58=""),"",COUNTIF(BE$8:BE58,"√"))</f>
        <v/>
      </c>
      <c r="BG58" s="134" t="str">
        <f t="shared" si="66"/>
        <v/>
      </c>
      <c r="BH58" s="135" t="str">
        <f t="shared" si="20"/>
        <v/>
      </c>
      <c r="BI58" s="135" t="str">
        <f t="shared" si="20"/>
        <v/>
      </c>
      <c r="BJ58" s="136"/>
      <c r="BK58" s="137"/>
      <c r="BL58" s="136"/>
      <c r="BM58" s="136"/>
      <c r="BN58" s="136"/>
      <c r="BO58" s="136"/>
      <c r="BP58" s="137"/>
      <c r="BQ58" s="136"/>
      <c r="BR58" s="137"/>
      <c r="BT58" s="787">
        <f t="shared" si="67"/>
        <v>0</v>
      </c>
      <c r="BU58" s="788">
        <f t="shared" si="42"/>
        <v>0</v>
      </c>
      <c r="BV58" s="787">
        <f t="shared" si="43"/>
        <v>0</v>
      </c>
      <c r="BW58" s="787">
        <v>3001.71</v>
      </c>
      <c r="BX58" s="789">
        <f>IFERROR(LOOKUP(M58,基础数据!A:D),1)</f>
        <v>1</v>
      </c>
      <c r="BY58" s="790">
        <f t="shared" si="44"/>
        <v>3.55771976932645</v>
      </c>
      <c r="BZ58" s="787">
        <v>3205.13</v>
      </c>
      <c r="CA58" s="797"/>
      <c r="CB58" s="792">
        <f t="shared" si="26"/>
        <v>0.13</v>
      </c>
      <c r="CC58" s="165" t="s">
        <v>230</v>
      </c>
      <c r="CD58" s="793">
        <v>0</v>
      </c>
      <c r="CE58" s="156">
        <f t="shared" si="68"/>
        <v>0</v>
      </c>
      <c r="CF58" s="156">
        <f t="shared" si="45"/>
        <v>0</v>
      </c>
      <c r="CG58" s="776"/>
      <c r="CH58" s="156">
        <f t="shared" si="46"/>
        <v>0</v>
      </c>
      <c r="CI58" s="156">
        <f t="shared" si="47"/>
        <v>0</v>
      </c>
      <c r="CJ58" s="776"/>
      <c r="CK58" s="156">
        <f t="shared" si="48"/>
        <v>0</v>
      </c>
      <c r="CL58" s="156">
        <f t="shared" si="49"/>
        <v>0</v>
      </c>
      <c r="CM58" s="776"/>
      <c r="CN58" s="156">
        <f t="shared" si="50"/>
        <v>0</v>
      </c>
      <c r="CO58" s="156">
        <f t="shared" si="51"/>
        <v>0</v>
      </c>
      <c r="CP58" s="776"/>
      <c r="CQ58" s="776"/>
      <c r="CR58" s="794">
        <f t="shared" si="52"/>
        <v>0</v>
      </c>
      <c r="CS58" s="156">
        <f t="shared" si="53"/>
        <v>0</v>
      </c>
      <c r="CT58" s="156">
        <f t="shared" si="54"/>
        <v>0</v>
      </c>
      <c r="CU58" s="156">
        <v>0</v>
      </c>
      <c r="CV58" s="795">
        <f>LOOKUP(CU58,参数表!$A$13:$B$19)</f>
        <v>0</v>
      </c>
      <c r="CW58" s="156">
        <f t="shared" si="55"/>
        <v>0</v>
      </c>
      <c r="CX58" s="156">
        <f t="shared" si="56"/>
        <v>0</v>
      </c>
      <c r="CY58" s="156">
        <f t="shared" si="69"/>
        <v>125.582477754962</v>
      </c>
      <c r="CZ58" s="223">
        <v>4</v>
      </c>
      <c r="DA58" s="746">
        <f t="shared" si="57"/>
        <v>-30.4</v>
      </c>
      <c r="DB58" s="746">
        <f t="shared" si="36"/>
        <v>-30.35</v>
      </c>
      <c r="DC58" s="746">
        <f t="shared" si="58"/>
        <v>-30.35</v>
      </c>
      <c r="DE58" s="134" t="str">
        <f>IF(COUNTIF(DE$7:DE57,C58)&gt;0,"",C58)&amp;""</f>
        <v/>
      </c>
      <c r="DF58" s="138">
        <f t="shared" si="70"/>
        <v>0</v>
      </c>
      <c r="DG58" s="132">
        <f t="shared" si="71"/>
        <v>1</v>
      </c>
      <c r="DH58" s="138">
        <f t="shared" si="72"/>
        <v>0</v>
      </c>
      <c r="DI58" s="132">
        <f t="shared" si="73"/>
        <v>1</v>
      </c>
      <c r="DJ58" s="133"/>
      <c r="DK58" s="133"/>
      <c r="DM58" s="796" t="s">
        <v>4067</v>
      </c>
      <c r="DN58" s="75">
        <v>1073.88</v>
      </c>
    </row>
    <row r="59" ht="15" customHeight="1" spans="1:118">
      <c r="A59" s="785" t="str">
        <f>IF(C59="","",COUNT(A$7:A58)+1)</f>
        <v/>
      </c>
      <c r="B59" s="141"/>
      <c r="C59" s="139"/>
      <c r="D59" s="141"/>
      <c r="E59" s="535"/>
      <c r="F59" s="535"/>
      <c r="G59" s="141"/>
      <c r="H59" s="536"/>
      <c r="I59" s="139"/>
      <c r="J59" s="141"/>
      <c r="K59" s="141"/>
      <c r="L59" s="140"/>
      <c r="M59" s="140"/>
      <c r="N59" s="142"/>
      <c r="O59" s="127"/>
      <c r="P59" s="128"/>
      <c r="Q59" s="128"/>
      <c r="R59" s="129"/>
      <c r="S59" s="143"/>
      <c r="T59" s="143"/>
      <c r="U59" s="143"/>
      <c r="V59" s="144"/>
      <c r="W59" s="144"/>
      <c r="X59" s="144"/>
      <c r="Y59" s="129" t="str">
        <f t="shared" si="60"/>
        <v/>
      </c>
      <c r="Z59" s="129" t="str">
        <f t="shared" si="61"/>
        <v/>
      </c>
      <c r="AA59" s="129" t="str">
        <f t="shared" si="62"/>
        <v/>
      </c>
      <c r="AB59" s="129" t="str">
        <f t="shared" si="63"/>
        <v/>
      </c>
      <c r="AC59" s="521" t="str">
        <f t="shared" si="64"/>
        <v/>
      </c>
      <c r="AD59" s="129" t="str">
        <f t="shared" si="65"/>
        <v/>
      </c>
      <c r="AE59" s="129"/>
      <c r="AF59" s="129">
        <v>0</v>
      </c>
      <c r="AG59" s="129" t="str">
        <f t="shared" si="74"/>
        <v/>
      </c>
      <c r="AH59" s="145"/>
      <c r="BC59" s="78"/>
      <c r="BD59" s="132" t="s">
        <v>4122</v>
      </c>
      <c r="BE59" s="133"/>
      <c r="BF59" s="132" t="str">
        <f>IF(OR(C59="",BE59=""),"",COUNTIF(BE$8:BE59,"√"))</f>
        <v/>
      </c>
      <c r="BG59" s="134" t="str">
        <f t="shared" si="66"/>
        <v/>
      </c>
      <c r="BH59" s="135" t="str">
        <f t="shared" si="20"/>
        <v/>
      </c>
      <c r="BI59" s="135" t="str">
        <f t="shared" si="20"/>
        <v/>
      </c>
      <c r="BJ59" s="136"/>
      <c r="BK59" s="137"/>
      <c r="BL59" s="136"/>
      <c r="BM59" s="136"/>
      <c r="BN59" s="136"/>
      <c r="BO59" s="136"/>
      <c r="BP59" s="137"/>
      <c r="BQ59" s="136"/>
      <c r="BR59" s="137"/>
      <c r="BT59" s="787">
        <f t="shared" si="67"/>
        <v>0</v>
      </c>
      <c r="BU59" s="788">
        <f t="shared" si="42"/>
        <v>0</v>
      </c>
      <c r="BV59" s="787">
        <f t="shared" si="43"/>
        <v>0</v>
      </c>
      <c r="BW59" s="787">
        <v>3001.71</v>
      </c>
      <c r="BX59" s="789">
        <f>IFERROR(LOOKUP(M59,基础数据!A:D),1)</f>
        <v>1</v>
      </c>
      <c r="BY59" s="790">
        <f t="shared" si="44"/>
        <v>3.55771976932645</v>
      </c>
      <c r="BZ59" s="787">
        <f t="shared" ref="BZ59:BZ99" si="75">ROUND(BW59*BY59,-1)</f>
        <v>10680</v>
      </c>
      <c r="CA59" s="797"/>
      <c r="CB59" s="792">
        <f t="shared" si="26"/>
        <v>0.13</v>
      </c>
      <c r="CC59" s="165" t="s">
        <v>2706</v>
      </c>
      <c r="CD59" s="793">
        <v>0</v>
      </c>
      <c r="CE59" s="156">
        <f t="shared" si="68"/>
        <v>0</v>
      </c>
      <c r="CF59" s="156">
        <f t="shared" si="45"/>
        <v>0</v>
      </c>
      <c r="CG59" s="776"/>
      <c r="CH59" s="156">
        <f t="shared" si="46"/>
        <v>0</v>
      </c>
      <c r="CI59" s="156">
        <f t="shared" si="47"/>
        <v>0</v>
      </c>
      <c r="CJ59" s="776"/>
      <c r="CK59" s="156">
        <f t="shared" si="48"/>
        <v>0</v>
      </c>
      <c r="CL59" s="156">
        <f t="shared" si="49"/>
        <v>0</v>
      </c>
      <c r="CM59" s="776"/>
      <c r="CN59" s="156">
        <f t="shared" si="50"/>
        <v>0</v>
      </c>
      <c r="CO59" s="156">
        <f t="shared" si="51"/>
        <v>0</v>
      </c>
      <c r="CP59" s="776"/>
      <c r="CQ59" s="776"/>
      <c r="CR59" s="794">
        <f t="shared" si="52"/>
        <v>0</v>
      </c>
      <c r="CS59" s="156">
        <f t="shared" si="53"/>
        <v>0</v>
      </c>
      <c r="CT59" s="156">
        <f t="shared" si="54"/>
        <v>0</v>
      </c>
      <c r="CU59" s="156">
        <v>0</v>
      </c>
      <c r="CV59" s="795">
        <f>LOOKUP(CU59,参数表!$A$13:$B$19)</f>
        <v>0</v>
      </c>
      <c r="CW59" s="156">
        <f t="shared" si="55"/>
        <v>0</v>
      </c>
      <c r="CX59" s="156">
        <f t="shared" si="56"/>
        <v>0</v>
      </c>
      <c r="CY59" s="156">
        <f t="shared" si="69"/>
        <v>125.582477754962</v>
      </c>
      <c r="CZ59" s="223">
        <v>10</v>
      </c>
      <c r="DA59" s="746">
        <f t="shared" si="57"/>
        <v>-11.56</v>
      </c>
      <c r="DB59" s="746">
        <f t="shared" si="36"/>
        <v>-11.51</v>
      </c>
      <c r="DC59" s="746">
        <f t="shared" si="58"/>
        <v>-11.51</v>
      </c>
      <c r="DE59" s="134" t="str">
        <f>IF(COUNTIF(DE$7:DE58,C59)&gt;0,"",C59)&amp;""</f>
        <v/>
      </c>
      <c r="DF59" s="138">
        <f t="shared" si="70"/>
        <v>0</v>
      </c>
      <c r="DG59" s="132">
        <f t="shared" si="71"/>
        <v>1</v>
      </c>
      <c r="DH59" s="138">
        <f t="shared" si="72"/>
        <v>0</v>
      </c>
      <c r="DI59" s="132">
        <f t="shared" si="73"/>
        <v>1</v>
      </c>
      <c r="DJ59" s="133"/>
      <c r="DK59" s="133"/>
      <c r="DM59" s="796" t="s">
        <v>4123</v>
      </c>
      <c r="DN59" s="75">
        <v>638.45</v>
      </c>
    </row>
    <row r="60" ht="15" customHeight="1" spans="1:118">
      <c r="A60" s="785" t="str">
        <f>IF(C60="","",COUNT(A$7:A59)+1)</f>
        <v/>
      </c>
      <c r="B60" s="141"/>
      <c r="C60" s="139"/>
      <c r="D60" s="141"/>
      <c r="E60" s="535"/>
      <c r="F60" s="535"/>
      <c r="G60" s="141"/>
      <c r="H60" s="536"/>
      <c r="I60" s="139"/>
      <c r="J60" s="141"/>
      <c r="K60" s="141"/>
      <c r="L60" s="140"/>
      <c r="M60" s="140"/>
      <c r="N60" s="142"/>
      <c r="O60" s="127"/>
      <c r="P60" s="128"/>
      <c r="Q60" s="128"/>
      <c r="R60" s="129"/>
      <c r="S60" s="143"/>
      <c r="T60" s="143"/>
      <c r="U60" s="143"/>
      <c r="V60" s="144"/>
      <c r="W60" s="144"/>
      <c r="X60" s="144"/>
      <c r="Y60" s="129" t="str">
        <f t="shared" si="60"/>
        <v/>
      </c>
      <c r="Z60" s="129" t="str">
        <f t="shared" si="61"/>
        <v/>
      </c>
      <c r="AA60" s="129" t="str">
        <f t="shared" si="62"/>
        <v/>
      </c>
      <c r="AB60" s="129" t="str">
        <f t="shared" si="63"/>
        <v/>
      </c>
      <c r="AC60" s="521" t="str">
        <f t="shared" si="64"/>
        <v/>
      </c>
      <c r="AD60" s="129" t="str">
        <f t="shared" si="65"/>
        <v/>
      </c>
      <c r="AE60" s="129"/>
      <c r="AF60" s="129">
        <v>0</v>
      </c>
      <c r="AG60" s="129" t="str">
        <f t="shared" si="74"/>
        <v/>
      </c>
      <c r="AH60" s="145"/>
      <c r="BC60" s="78"/>
      <c r="BD60" s="132" t="s">
        <v>4124</v>
      </c>
      <c r="BE60" s="133"/>
      <c r="BF60" s="132" t="str">
        <f>IF(OR(C60="",BE60=""),"",COUNTIF(BE$8:BE60,"√"))</f>
        <v/>
      </c>
      <c r="BG60" s="134" t="str">
        <f t="shared" si="66"/>
        <v/>
      </c>
      <c r="BH60" s="135" t="str">
        <f t="shared" si="20"/>
        <v/>
      </c>
      <c r="BI60" s="135" t="str">
        <f t="shared" si="20"/>
        <v/>
      </c>
      <c r="BJ60" s="136"/>
      <c r="BK60" s="137"/>
      <c r="BL60" s="136"/>
      <c r="BM60" s="136"/>
      <c r="BN60" s="136"/>
      <c r="BO60" s="136"/>
      <c r="BP60" s="137"/>
      <c r="BQ60" s="136"/>
      <c r="BR60" s="137"/>
      <c r="BT60" s="787">
        <f t="shared" si="67"/>
        <v>0</v>
      </c>
      <c r="BU60" s="788">
        <f t="shared" si="42"/>
        <v>0</v>
      </c>
      <c r="BV60" s="787">
        <f t="shared" si="43"/>
        <v>0</v>
      </c>
      <c r="BW60" s="787">
        <v>2735.04</v>
      </c>
      <c r="BX60" s="789">
        <f>IFERROR(LOOKUP(M60,基础数据!A:D),1)</f>
        <v>1</v>
      </c>
      <c r="BY60" s="790">
        <f t="shared" si="44"/>
        <v>3.55771976932645</v>
      </c>
      <c r="BZ60" s="787">
        <f t="shared" si="75"/>
        <v>9730</v>
      </c>
      <c r="CA60" s="797"/>
      <c r="CB60" s="792">
        <f t="shared" si="26"/>
        <v>0.13</v>
      </c>
      <c r="CC60" s="165" t="s">
        <v>2706</v>
      </c>
      <c r="CD60" s="793">
        <v>0</v>
      </c>
      <c r="CE60" s="156">
        <f t="shared" si="68"/>
        <v>0</v>
      </c>
      <c r="CF60" s="156">
        <f t="shared" si="45"/>
        <v>0</v>
      </c>
      <c r="CG60" s="776"/>
      <c r="CH60" s="156">
        <f t="shared" si="46"/>
        <v>0</v>
      </c>
      <c r="CI60" s="156">
        <f t="shared" si="47"/>
        <v>0</v>
      </c>
      <c r="CJ60" s="776"/>
      <c r="CK60" s="156">
        <f t="shared" si="48"/>
        <v>0</v>
      </c>
      <c r="CL60" s="156">
        <f t="shared" si="49"/>
        <v>0</v>
      </c>
      <c r="CM60" s="776"/>
      <c r="CN60" s="156">
        <f t="shared" si="50"/>
        <v>0</v>
      </c>
      <c r="CO60" s="156">
        <f t="shared" si="51"/>
        <v>0</v>
      </c>
      <c r="CP60" s="776"/>
      <c r="CQ60" s="776"/>
      <c r="CR60" s="794">
        <f t="shared" si="52"/>
        <v>0</v>
      </c>
      <c r="CS60" s="156">
        <f t="shared" si="53"/>
        <v>0</v>
      </c>
      <c r="CT60" s="156">
        <f t="shared" si="54"/>
        <v>0</v>
      </c>
      <c r="CU60" s="156">
        <v>0</v>
      </c>
      <c r="CV60" s="795">
        <f>LOOKUP(CU60,参数表!$A$13:$B$19)</f>
        <v>0</v>
      </c>
      <c r="CW60" s="156">
        <f t="shared" si="55"/>
        <v>0</v>
      </c>
      <c r="CX60" s="156">
        <f t="shared" si="56"/>
        <v>0</v>
      </c>
      <c r="CY60" s="156">
        <f t="shared" si="69"/>
        <v>125.582477754962</v>
      </c>
      <c r="CZ60" s="223">
        <v>10</v>
      </c>
      <c r="DA60" s="746">
        <f t="shared" si="57"/>
        <v>-11.56</v>
      </c>
      <c r="DB60" s="746">
        <f t="shared" si="36"/>
        <v>-11.51</v>
      </c>
      <c r="DC60" s="746">
        <f t="shared" si="58"/>
        <v>-11.51</v>
      </c>
      <c r="DE60" s="134" t="str">
        <f>IF(COUNTIF(DE$7:DE59,C60)&gt;0,"",C60)&amp;""</f>
        <v/>
      </c>
      <c r="DF60" s="138">
        <f t="shared" si="70"/>
        <v>0</v>
      </c>
      <c r="DG60" s="132">
        <f t="shared" si="71"/>
        <v>1</v>
      </c>
      <c r="DH60" s="138">
        <f t="shared" si="72"/>
        <v>0</v>
      </c>
      <c r="DI60" s="132">
        <f t="shared" si="73"/>
        <v>1</v>
      </c>
      <c r="DJ60" s="133"/>
      <c r="DK60" s="133"/>
      <c r="DM60" s="796" t="s">
        <v>4123</v>
      </c>
      <c r="DN60" s="75">
        <v>638.45</v>
      </c>
    </row>
    <row r="61" ht="15" customHeight="1" spans="1:118">
      <c r="A61" s="785" t="str">
        <f>IF(C61="","",COUNT(A$7:A60)+1)</f>
        <v/>
      </c>
      <c r="B61" s="141"/>
      <c r="C61" s="139"/>
      <c r="D61" s="141"/>
      <c r="E61" s="535"/>
      <c r="F61" s="535"/>
      <c r="G61" s="141"/>
      <c r="H61" s="536"/>
      <c r="I61" s="139"/>
      <c r="J61" s="141"/>
      <c r="K61" s="141"/>
      <c r="L61" s="140"/>
      <c r="M61" s="140"/>
      <c r="N61" s="142"/>
      <c r="O61" s="127"/>
      <c r="P61" s="128"/>
      <c r="Q61" s="128"/>
      <c r="R61" s="129"/>
      <c r="S61" s="143"/>
      <c r="T61" s="143"/>
      <c r="U61" s="143"/>
      <c r="V61" s="144"/>
      <c r="W61" s="144"/>
      <c r="X61" s="144"/>
      <c r="Y61" s="129" t="str">
        <f t="shared" si="60"/>
        <v/>
      </c>
      <c r="Z61" s="129" t="str">
        <f t="shared" si="61"/>
        <v/>
      </c>
      <c r="AA61" s="129" t="str">
        <f t="shared" si="62"/>
        <v/>
      </c>
      <c r="AB61" s="129" t="str">
        <f t="shared" si="63"/>
        <v/>
      </c>
      <c r="AC61" s="521" t="str">
        <f t="shared" si="64"/>
        <v/>
      </c>
      <c r="AD61" s="129" t="str">
        <f t="shared" si="65"/>
        <v/>
      </c>
      <c r="AE61" s="129"/>
      <c r="AF61" s="129">
        <v>0</v>
      </c>
      <c r="AG61" s="129" t="str">
        <f t="shared" si="74"/>
        <v/>
      </c>
      <c r="AH61" s="145"/>
      <c r="BC61" s="78"/>
      <c r="BD61" s="132" t="s">
        <v>4125</v>
      </c>
      <c r="BE61" s="133"/>
      <c r="BF61" s="132" t="str">
        <f>IF(OR(C61="",BE61=""),"",COUNTIF(BE$8:BE61,"√"))</f>
        <v/>
      </c>
      <c r="BG61" s="134" t="str">
        <f t="shared" si="66"/>
        <v/>
      </c>
      <c r="BH61" s="135" t="str">
        <f t="shared" si="20"/>
        <v/>
      </c>
      <c r="BI61" s="135" t="str">
        <f t="shared" si="20"/>
        <v/>
      </c>
      <c r="BJ61" s="136"/>
      <c r="BK61" s="137"/>
      <c r="BL61" s="136"/>
      <c r="BM61" s="136"/>
      <c r="BN61" s="136"/>
      <c r="BO61" s="136"/>
      <c r="BP61" s="137"/>
      <c r="BQ61" s="136"/>
      <c r="BR61" s="137"/>
      <c r="BT61" s="787">
        <f t="shared" si="67"/>
        <v>0</v>
      </c>
      <c r="BU61" s="788">
        <f t="shared" si="42"/>
        <v>0</v>
      </c>
      <c r="BV61" s="787">
        <f t="shared" si="43"/>
        <v>0</v>
      </c>
      <c r="BW61" s="787">
        <v>2564.96</v>
      </c>
      <c r="BX61" s="789">
        <f>IFERROR(LOOKUP(M61,基础数据!A:D),1)</f>
        <v>1</v>
      </c>
      <c r="BY61" s="790">
        <f t="shared" si="44"/>
        <v>3.55771976932645</v>
      </c>
      <c r="BZ61" s="787">
        <f t="shared" si="75"/>
        <v>9130</v>
      </c>
      <c r="CA61" s="797"/>
      <c r="CB61" s="792">
        <f t="shared" si="26"/>
        <v>0.13</v>
      </c>
      <c r="CC61" s="165" t="s">
        <v>2706</v>
      </c>
      <c r="CD61" s="793">
        <v>0</v>
      </c>
      <c r="CE61" s="156">
        <f t="shared" si="68"/>
        <v>0</v>
      </c>
      <c r="CF61" s="156">
        <f t="shared" si="45"/>
        <v>0</v>
      </c>
      <c r="CG61" s="776"/>
      <c r="CH61" s="156">
        <f t="shared" si="46"/>
        <v>0</v>
      </c>
      <c r="CI61" s="156">
        <f t="shared" si="47"/>
        <v>0</v>
      </c>
      <c r="CJ61" s="776"/>
      <c r="CK61" s="156">
        <f t="shared" si="48"/>
        <v>0</v>
      </c>
      <c r="CL61" s="156">
        <f t="shared" si="49"/>
        <v>0</v>
      </c>
      <c r="CM61" s="776"/>
      <c r="CN61" s="156">
        <f t="shared" si="50"/>
        <v>0</v>
      </c>
      <c r="CO61" s="156">
        <f t="shared" si="51"/>
        <v>0</v>
      </c>
      <c r="CP61" s="776"/>
      <c r="CQ61" s="776"/>
      <c r="CR61" s="794">
        <f t="shared" si="52"/>
        <v>0</v>
      </c>
      <c r="CS61" s="156">
        <f t="shared" si="53"/>
        <v>0</v>
      </c>
      <c r="CT61" s="156">
        <f t="shared" si="54"/>
        <v>0</v>
      </c>
      <c r="CU61" s="156">
        <v>0</v>
      </c>
      <c r="CV61" s="795">
        <f>LOOKUP(CU61,参数表!$A$13:$B$19)</f>
        <v>0</v>
      </c>
      <c r="CW61" s="156">
        <f t="shared" si="55"/>
        <v>0</v>
      </c>
      <c r="CX61" s="156">
        <f t="shared" si="56"/>
        <v>0</v>
      </c>
      <c r="CY61" s="156">
        <f t="shared" si="69"/>
        <v>125.582477754962</v>
      </c>
      <c r="CZ61" s="223">
        <v>10</v>
      </c>
      <c r="DA61" s="746">
        <f t="shared" si="57"/>
        <v>-11.56</v>
      </c>
      <c r="DB61" s="746">
        <f t="shared" si="36"/>
        <v>-11.51</v>
      </c>
      <c r="DC61" s="746">
        <f t="shared" si="58"/>
        <v>-11.51</v>
      </c>
      <c r="DE61" s="134" t="str">
        <f>IF(COUNTIF(DE$7:DE60,C61)&gt;0,"",C61)&amp;""</f>
        <v/>
      </c>
      <c r="DF61" s="138">
        <f t="shared" si="70"/>
        <v>0</v>
      </c>
      <c r="DG61" s="132">
        <f t="shared" si="71"/>
        <v>1</v>
      </c>
      <c r="DH61" s="138">
        <f t="shared" si="72"/>
        <v>0</v>
      </c>
      <c r="DI61" s="132">
        <f t="shared" si="73"/>
        <v>1</v>
      </c>
      <c r="DJ61" s="133"/>
      <c r="DK61" s="133"/>
      <c r="DM61" s="796" t="s">
        <v>4123</v>
      </c>
      <c r="DN61" s="75">
        <v>638.45</v>
      </c>
    </row>
    <row r="62" ht="15" customHeight="1" spans="1:118">
      <c r="A62" s="785" t="str">
        <f>IF(C62="","",COUNT(A$7:A61)+1)</f>
        <v/>
      </c>
      <c r="B62" s="141"/>
      <c r="C62" s="139"/>
      <c r="D62" s="141"/>
      <c r="E62" s="535"/>
      <c r="F62" s="535"/>
      <c r="G62" s="141"/>
      <c r="H62" s="536"/>
      <c r="I62" s="139"/>
      <c r="J62" s="141"/>
      <c r="K62" s="141"/>
      <c r="L62" s="140"/>
      <c r="M62" s="140"/>
      <c r="N62" s="142"/>
      <c r="O62" s="127"/>
      <c r="P62" s="128"/>
      <c r="Q62" s="128"/>
      <c r="R62" s="129"/>
      <c r="S62" s="143"/>
      <c r="T62" s="143"/>
      <c r="U62" s="143"/>
      <c r="V62" s="144"/>
      <c r="W62" s="144"/>
      <c r="X62" s="144"/>
      <c r="Y62" s="129" t="str">
        <f t="shared" si="60"/>
        <v/>
      </c>
      <c r="Z62" s="129" t="str">
        <f t="shared" si="61"/>
        <v/>
      </c>
      <c r="AA62" s="129" t="str">
        <f t="shared" si="62"/>
        <v/>
      </c>
      <c r="AB62" s="129" t="str">
        <f t="shared" si="63"/>
        <v/>
      </c>
      <c r="AC62" s="521" t="str">
        <f t="shared" si="64"/>
        <v/>
      </c>
      <c r="AD62" s="129" t="str">
        <f t="shared" si="65"/>
        <v/>
      </c>
      <c r="AE62" s="129"/>
      <c r="AF62" s="129">
        <v>0</v>
      </c>
      <c r="AG62" s="129" t="str">
        <f t="shared" si="74"/>
        <v/>
      </c>
      <c r="AH62" s="145"/>
      <c r="BC62" s="78"/>
      <c r="BD62" s="132" t="s">
        <v>4126</v>
      </c>
      <c r="BE62" s="133"/>
      <c r="BF62" s="132" t="str">
        <f>IF(OR(C62="",BE62=""),"",COUNTIF(BE$8:BE62,"√"))</f>
        <v/>
      </c>
      <c r="BG62" s="134" t="str">
        <f t="shared" si="66"/>
        <v/>
      </c>
      <c r="BH62" s="135" t="str">
        <f t="shared" si="20"/>
        <v/>
      </c>
      <c r="BI62" s="135" t="str">
        <f t="shared" si="20"/>
        <v/>
      </c>
      <c r="BJ62" s="136"/>
      <c r="BK62" s="137"/>
      <c r="BL62" s="136"/>
      <c r="BM62" s="136"/>
      <c r="BN62" s="136"/>
      <c r="BO62" s="136"/>
      <c r="BP62" s="137"/>
      <c r="BQ62" s="136"/>
      <c r="BR62" s="137"/>
      <c r="BT62" s="787">
        <f t="shared" si="67"/>
        <v>0</v>
      </c>
      <c r="BU62" s="788">
        <f t="shared" si="42"/>
        <v>0</v>
      </c>
      <c r="BV62" s="787">
        <f t="shared" si="43"/>
        <v>0</v>
      </c>
      <c r="BW62" s="787">
        <v>8615.39</v>
      </c>
      <c r="BX62" s="789">
        <f>IFERROR(LOOKUP(M62,基础数据!A:D),1)</f>
        <v>1</v>
      </c>
      <c r="BY62" s="790">
        <f t="shared" si="44"/>
        <v>3.55771976932645</v>
      </c>
      <c r="BZ62" s="787">
        <f t="shared" si="75"/>
        <v>30650</v>
      </c>
      <c r="CA62" s="797"/>
      <c r="CB62" s="792">
        <f t="shared" si="26"/>
        <v>0.13</v>
      </c>
      <c r="CC62" s="165" t="s">
        <v>2706</v>
      </c>
      <c r="CD62" s="793">
        <v>0</v>
      </c>
      <c r="CE62" s="156">
        <f t="shared" si="68"/>
        <v>0</v>
      </c>
      <c r="CF62" s="156">
        <f t="shared" si="45"/>
        <v>0</v>
      </c>
      <c r="CG62" s="776"/>
      <c r="CH62" s="156">
        <f t="shared" si="46"/>
        <v>0</v>
      </c>
      <c r="CI62" s="156">
        <f t="shared" si="47"/>
        <v>0</v>
      </c>
      <c r="CJ62" s="776"/>
      <c r="CK62" s="156">
        <f t="shared" si="48"/>
        <v>0</v>
      </c>
      <c r="CL62" s="156">
        <f t="shared" si="49"/>
        <v>0</v>
      </c>
      <c r="CM62" s="776"/>
      <c r="CN62" s="156">
        <f t="shared" si="50"/>
        <v>0</v>
      </c>
      <c r="CO62" s="156">
        <f t="shared" si="51"/>
        <v>0</v>
      </c>
      <c r="CP62" s="776"/>
      <c r="CQ62" s="776"/>
      <c r="CR62" s="794">
        <f t="shared" si="52"/>
        <v>0</v>
      </c>
      <c r="CS62" s="156">
        <f t="shared" si="53"/>
        <v>0</v>
      </c>
      <c r="CT62" s="156">
        <f t="shared" si="54"/>
        <v>0</v>
      </c>
      <c r="CU62" s="156">
        <v>0</v>
      </c>
      <c r="CV62" s="795">
        <f>LOOKUP(CU62,参数表!$A$13:$B$19)</f>
        <v>0</v>
      </c>
      <c r="CW62" s="156">
        <f t="shared" si="55"/>
        <v>0</v>
      </c>
      <c r="CX62" s="156">
        <f t="shared" si="56"/>
        <v>0</v>
      </c>
      <c r="CY62" s="156">
        <f t="shared" si="69"/>
        <v>125.582477754962</v>
      </c>
      <c r="CZ62" s="223">
        <v>10</v>
      </c>
      <c r="DA62" s="746">
        <f t="shared" si="57"/>
        <v>-11.56</v>
      </c>
      <c r="DB62" s="746">
        <f t="shared" si="36"/>
        <v>-11.51</v>
      </c>
      <c r="DC62" s="746">
        <f t="shared" si="58"/>
        <v>-11.51</v>
      </c>
      <c r="DE62" s="134" t="str">
        <f>IF(COUNTIF(DE$7:DE61,C62)&gt;0,"",C62)&amp;""</f>
        <v/>
      </c>
      <c r="DF62" s="138">
        <f t="shared" si="70"/>
        <v>0</v>
      </c>
      <c r="DG62" s="132">
        <f t="shared" si="71"/>
        <v>1</v>
      </c>
      <c r="DH62" s="138">
        <f t="shared" si="72"/>
        <v>0</v>
      </c>
      <c r="DI62" s="132">
        <f t="shared" si="73"/>
        <v>1</v>
      </c>
      <c r="DJ62" s="133"/>
      <c r="DK62" s="133"/>
      <c r="DM62" s="796" t="s">
        <v>4123</v>
      </c>
      <c r="DN62" s="75">
        <v>638.45</v>
      </c>
    </row>
    <row r="63" ht="15" customHeight="1" spans="1:118">
      <c r="A63" s="785" t="str">
        <f>IF(C63="","",COUNT(A$7:A62)+1)</f>
        <v/>
      </c>
      <c r="B63" s="141"/>
      <c r="C63" s="139"/>
      <c r="D63" s="141"/>
      <c r="E63" s="535"/>
      <c r="F63" s="535"/>
      <c r="G63" s="141"/>
      <c r="H63" s="536"/>
      <c r="I63" s="139"/>
      <c r="J63" s="141"/>
      <c r="K63" s="141"/>
      <c r="L63" s="140"/>
      <c r="M63" s="140"/>
      <c r="N63" s="142"/>
      <c r="O63" s="127"/>
      <c r="P63" s="128"/>
      <c r="Q63" s="128"/>
      <c r="R63" s="129"/>
      <c r="S63" s="143"/>
      <c r="T63" s="143"/>
      <c r="U63" s="143"/>
      <c r="V63" s="144"/>
      <c r="W63" s="144"/>
      <c r="X63" s="144"/>
      <c r="Y63" s="129" t="str">
        <f t="shared" si="60"/>
        <v/>
      </c>
      <c r="Z63" s="129" t="str">
        <f t="shared" si="61"/>
        <v/>
      </c>
      <c r="AA63" s="129" t="str">
        <f t="shared" si="62"/>
        <v/>
      </c>
      <c r="AB63" s="129" t="str">
        <f t="shared" si="63"/>
        <v/>
      </c>
      <c r="AC63" s="521" t="str">
        <f t="shared" si="64"/>
        <v/>
      </c>
      <c r="AD63" s="129" t="str">
        <f t="shared" si="65"/>
        <v/>
      </c>
      <c r="AE63" s="129"/>
      <c r="AF63" s="129">
        <v>0</v>
      </c>
      <c r="AG63" s="129" t="str">
        <f t="shared" si="74"/>
        <v/>
      </c>
      <c r="AH63" s="145"/>
      <c r="BC63" s="78"/>
      <c r="BD63" s="132" t="s">
        <v>4127</v>
      </c>
      <c r="BE63" s="133"/>
      <c r="BF63" s="132" t="str">
        <f>IF(OR(C63="",BE63=""),"",COUNTIF(BE$8:BE63,"√"))</f>
        <v/>
      </c>
      <c r="BG63" s="134" t="str">
        <f t="shared" si="66"/>
        <v/>
      </c>
      <c r="BH63" s="135" t="str">
        <f t="shared" si="20"/>
        <v/>
      </c>
      <c r="BI63" s="135" t="str">
        <f t="shared" si="20"/>
        <v/>
      </c>
      <c r="BJ63" s="136"/>
      <c r="BK63" s="137"/>
      <c r="BL63" s="136"/>
      <c r="BM63" s="136"/>
      <c r="BN63" s="136"/>
      <c r="BO63" s="136"/>
      <c r="BP63" s="137"/>
      <c r="BQ63" s="136"/>
      <c r="BR63" s="137"/>
      <c r="BT63" s="787">
        <f t="shared" si="67"/>
        <v>0</v>
      </c>
      <c r="BU63" s="788">
        <f t="shared" si="42"/>
        <v>0</v>
      </c>
      <c r="BV63" s="787">
        <f t="shared" si="43"/>
        <v>0</v>
      </c>
      <c r="BW63" s="787">
        <v>82735</v>
      </c>
      <c r="BX63" s="789">
        <f>IFERROR(LOOKUP(M63,基础数据!A:D),1)</f>
        <v>1</v>
      </c>
      <c r="BY63" s="790">
        <f t="shared" si="44"/>
        <v>3.55771976932645</v>
      </c>
      <c r="BZ63" s="787">
        <f t="shared" si="75"/>
        <v>294350</v>
      </c>
      <c r="CA63" s="797"/>
      <c r="CB63" s="792">
        <f t="shared" si="26"/>
        <v>0.13</v>
      </c>
      <c r="CC63" s="165" t="s">
        <v>2706</v>
      </c>
      <c r="CD63" s="793">
        <v>0</v>
      </c>
      <c r="CE63" s="156">
        <f t="shared" si="68"/>
        <v>0</v>
      </c>
      <c r="CF63" s="156">
        <f t="shared" si="45"/>
        <v>0</v>
      </c>
      <c r="CG63" s="776"/>
      <c r="CH63" s="156">
        <f t="shared" si="46"/>
        <v>0</v>
      </c>
      <c r="CI63" s="156">
        <f t="shared" si="47"/>
        <v>0</v>
      </c>
      <c r="CJ63" s="776"/>
      <c r="CK63" s="156">
        <f t="shared" si="48"/>
        <v>0</v>
      </c>
      <c r="CL63" s="156">
        <f t="shared" si="49"/>
        <v>0</v>
      </c>
      <c r="CM63" s="776"/>
      <c r="CN63" s="156">
        <f t="shared" si="50"/>
        <v>0</v>
      </c>
      <c r="CO63" s="156">
        <f t="shared" si="51"/>
        <v>0</v>
      </c>
      <c r="CP63" s="776"/>
      <c r="CQ63" s="776"/>
      <c r="CR63" s="794">
        <f t="shared" si="52"/>
        <v>0</v>
      </c>
      <c r="CS63" s="156">
        <f t="shared" si="53"/>
        <v>0</v>
      </c>
      <c r="CT63" s="156">
        <f t="shared" si="54"/>
        <v>0</v>
      </c>
      <c r="CU63" s="156">
        <v>0</v>
      </c>
      <c r="CV63" s="795">
        <f>LOOKUP(CU63,参数表!$A$13:$B$19)</f>
        <v>0</v>
      </c>
      <c r="CW63" s="156">
        <f t="shared" si="55"/>
        <v>0</v>
      </c>
      <c r="CX63" s="156">
        <f t="shared" si="56"/>
        <v>0</v>
      </c>
      <c r="CY63" s="156">
        <f t="shared" si="69"/>
        <v>125.582477754962</v>
      </c>
      <c r="CZ63" s="223">
        <v>10</v>
      </c>
      <c r="DA63" s="746">
        <f t="shared" si="57"/>
        <v>-11.56</v>
      </c>
      <c r="DB63" s="746">
        <f t="shared" si="36"/>
        <v>-11.51</v>
      </c>
      <c r="DC63" s="746">
        <f t="shared" si="58"/>
        <v>-11.51</v>
      </c>
      <c r="DE63" s="134" t="str">
        <f>IF(COUNTIF(DE$7:DE62,C63)&gt;0,"",C63)&amp;""</f>
        <v/>
      </c>
      <c r="DF63" s="138">
        <f t="shared" si="70"/>
        <v>0</v>
      </c>
      <c r="DG63" s="132">
        <f t="shared" si="71"/>
        <v>1</v>
      </c>
      <c r="DH63" s="138">
        <f t="shared" si="72"/>
        <v>0</v>
      </c>
      <c r="DI63" s="132">
        <f t="shared" si="73"/>
        <v>1</v>
      </c>
      <c r="DJ63" s="133"/>
      <c r="DK63" s="133"/>
      <c r="DM63" s="796" t="s">
        <v>4123</v>
      </c>
      <c r="DN63" s="75">
        <v>638.45</v>
      </c>
    </row>
    <row r="64" ht="15" customHeight="1" spans="1:118">
      <c r="A64" s="785" t="str">
        <f>IF(C64="","",COUNT(A$7:A63)+1)</f>
        <v/>
      </c>
      <c r="B64" s="141"/>
      <c r="C64" s="139"/>
      <c r="D64" s="141"/>
      <c r="E64" s="535"/>
      <c r="F64" s="535"/>
      <c r="G64" s="141"/>
      <c r="H64" s="536"/>
      <c r="I64" s="139"/>
      <c r="J64" s="141"/>
      <c r="K64" s="141"/>
      <c r="L64" s="140"/>
      <c r="M64" s="140"/>
      <c r="N64" s="142"/>
      <c r="O64" s="127"/>
      <c r="P64" s="128"/>
      <c r="Q64" s="128"/>
      <c r="R64" s="129"/>
      <c r="S64" s="143"/>
      <c r="T64" s="143"/>
      <c r="U64" s="143"/>
      <c r="V64" s="144"/>
      <c r="W64" s="144"/>
      <c r="X64" s="144"/>
      <c r="Y64" s="129" t="str">
        <f t="shared" si="60"/>
        <v/>
      </c>
      <c r="Z64" s="129" t="str">
        <f t="shared" si="61"/>
        <v/>
      </c>
      <c r="AA64" s="129" t="str">
        <f t="shared" si="62"/>
        <v/>
      </c>
      <c r="AB64" s="129" t="str">
        <f t="shared" si="63"/>
        <v/>
      </c>
      <c r="AC64" s="521" t="str">
        <f t="shared" si="64"/>
        <v/>
      </c>
      <c r="AD64" s="129" t="str">
        <f t="shared" si="65"/>
        <v/>
      </c>
      <c r="AE64" s="129"/>
      <c r="AF64" s="129">
        <v>0</v>
      </c>
      <c r="AG64" s="129" t="str">
        <f t="shared" si="74"/>
        <v/>
      </c>
      <c r="AH64" s="145"/>
      <c r="BC64" s="78"/>
      <c r="BD64" s="132" t="s">
        <v>4128</v>
      </c>
      <c r="BE64" s="133"/>
      <c r="BF64" s="132" t="str">
        <f>IF(OR(C64="",BE64=""),"",COUNTIF(BE$8:BE64,"√"))</f>
        <v/>
      </c>
      <c r="BG64" s="134" t="str">
        <f t="shared" si="66"/>
        <v/>
      </c>
      <c r="BH64" s="135" t="str">
        <f t="shared" si="20"/>
        <v/>
      </c>
      <c r="BI64" s="135" t="str">
        <f t="shared" si="20"/>
        <v/>
      </c>
      <c r="BJ64" s="136"/>
      <c r="BK64" s="137"/>
      <c r="BL64" s="136"/>
      <c r="BM64" s="136"/>
      <c r="BN64" s="136"/>
      <c r="BO64" s="136"/>
      <c r="BP64" s="137"/>
      <c r="BQ64" s="136"/>
      <c r="BR64" s="137"/>
      <c r="BT64" s="787">
        <f t="shared" si="67"/>
        <v>0</v>
      </c>
      <c r="BU64" s="788">
        <f t="shared" si="42"/>
        <v>0</v>
      </c>
      <c r="BV64" s="787">
        <f t="shared" si="43"/>
        <v>0</v>
      </c>
      <c r="BW64" s="787">
        <v>10683.76</v>
      </c>
      <c r="BX64" s="789">
        <f>IFERROR(LOOKUP(M64,基础数据!A:D),1)</f>
        <v>1</v>
      </c>
      <c r="BY64" s="790">
        <f t="shared" si="44"/>
        <v>3.55771976932645</v>
      </c>
      <c r="BZ64" s="787">
        <f t="shared" si="75"/>
        <v>38010</v>
      </c>
      <c r="CA64" s="797"/>
      <c r="CB64" s="792">
        <f t="shared" si="26"/>
        <v>0.13</v>
      </c>
      <c r="CC64" s="165" t="s">
        <v>2706</v>
      </c>
      <c r="CD64" s="793">
        <v>0</v>
      </c>
      <c r="CE64" s="156">
        <f t="shared" si="68"/>
        <v>0</v>
      </c>
      <c r="CF64" s="156">
        <f t="shared" si="45"/>
        <v>0</v>
      </c>
      <c r="CG64" s="776"/>
      <c r="CH64" s="156">
        <f t="shared" si="46"/>
        <v>0</v>
      </c>
      <c r="CI64" s="156">
        <f t="shared" si="47"/>
        <v>0</v>
      </c>
      <c r="CJ64" s="776"/>
      <c r="CK64" s="156">
        <f t="shared" si="48"/>
        <v>0</v>
      </c>
      <c r="CL64" s="156">
        <f t="shared" si="49"/>
        <v>0</v>
      </c>
      <c r="CM64" s="776"/>
      <c r="CN64" s="156">
        <f t="shared" si="50"/>
        <v>0</v>
      </c>
      <c r="CO64" s="156">
        <f t="shared" si="51"/>
        <v>0</v>
      </c>
      <c r="CP64" s="776"/>
      <c r="CQ64" s="776"/>
      <c r="CR64" s="794">
        <f t="shared" si="52"/>
        <v>0</v>
      </c>
      <c r="CS64" s="156">
        <f t="shared" si="53"/>
        <v>0</v>
      </c>
      <c r="CT64" s="156">
        <f t="shared" si="54"/>
        <v>0</v>
      </c>
      <c r="CU64" s="156">
        <v>0</v>
      </c>
      <c r="CV64" s="795">
        <f>LOOKUP(CU64,参数表!$A$13:$B$19)</f>
        <v>0</v>
      </c>
      <c r="CW64" s="156">
        <f t="shared" si="55"/>
        <v>0</v>
      </c>
      <c r="CX64" s="156">
        <f t="shared" si="56"/>
        <v>0</v>
      </c>
      <c r="CY64" s="156">
        <f t="shared" si="69"/>
        <v>125.582477754962</v>
      </c>
      <c r="CZ64" s="223">
        <v>10</v>
      </c>
      <c r="DA64" s="746">
        <f t="shared" si="57"/>
        <v>-11.56</v>
      </c>
      <c r="DB64" s="746">
        <f t="shared" si="36"/>
        <v>-11.51</v>
      </c>
      <c r="DC64" s="746">
        <f t="shared" si="58"/>
        <v>-11.51</v>
      </c>
      <c r="DE64" s="134" t="str">
        <f>IF(COUNTIF(DE$7:DE63,C64)&gt;0,"",C64)&amp;""</f>
        <v/>
      </c>
      <c r="DF64" s="138">
        <f t="shared" si="70"/>
        <v>0</v>
      </c>
      <c r="DG64" s="132">
        <f t="shared" si="71"/>
        <v>1</v>
      </c>
      <c r="DH64" s="138">
        <f t="shared" si="72"/>
        <v>0</v>
      </c>
      <c r="DI64" s="132">
        <f t="shared" si="73"/>
        <v>1</v>
      </c>
      <c r="DJ64" s="133"/>
      <c r="DK64" s="133"/>
      <c r="DM64" s="796" t="s">
        <v>4123</v>
      </c>
      <c r="DN64" s="75">
        <v>638.45</v>
      </c>
    </row>
    <row r="65" ht="15" customHeight="1" spans="1:118">
      <c r="A65" s="785" t="str">
        <f>IF(C65="","",COUNT(A$7:A64)+1)</f>
        <v/>
      </c>
      <c r="B65" s="141"/>
      <c r="C65" s="139"/>
      <c r="D65" s="141"/>
      <c r="E65" s="535"/>
      <c r="F65" s="535"/>
      <c r="G65" s="141"/>
      <c r="H65" s="536"/>
      <c r="I65" s="139"/>
      <c r="J65" s="141"/>
      <c r="K65" s="141"/>
      <c r="L65" s="140"/>
      <c r="M65" s="140"/>
      <c r="N65" s="142"/>
      <c r="O65" s="127"/>
      <c r="P65" s="128"/>
      <c r="Q65" s="128"/>
      <c r="R65" s="129"/>
      <c r="S65" s="143"/>
      <c r="T65" s="143"/>
      <c r="U65" s="143"/>
      <c r="V65" s="144"/>
      <c r="W65" s="144"/>
      <c r="X65" s="144"/>
      <c r="Y65" s="129" t="str">
        <f t="shared" si="60"/>
        <v/>
      </c>
      <c r="Z65" s="129" t="str">
        <f t="shared" si="61"/>
        <v/>
      </c>
      <c r="AA65" s="129" t="str">
        <f t="shared" si="62"/>
        <v/>
      </c>
      <c r="AB65" s="129" t="str">
        <f t="shared" si="63"/>
        <v/>
      </c>
      <c r="AC65" s="521" t="str">
        <f t="shared" si="64"/>
        <v/>
      </c>
      <c r="AD65" s="129" t="str">
        <f t="shared" si="65"/>
        <v/>
      </c>
      <c r="AE65" s="129"/>
      <c r="AF65" s="129">
        <v>0</v>
      </c>
      <c r="AG65" s="129" t="str">
        <f t="shared" si="74"/>
        <v/>
      </c>
      <c r="AH65" s="145"/>
      <c r="BC65" s="78"/>
      <c r="BD65" s="132" t="s">
        <v>4129</v>
      </c>
      <c r="BE65" s="133"/>
      <c r="BF65" s="132" t="str">
        <f>IF(OR(C65="",BE65=""),"",COUNTIF(BE$8:BE65,"√"))</f>
        <v/>
      </c>
      <c r="BG65" s="134" t="str">
        <f t="shared" si="66"/>
        <v/>
      </c>
      <c r="BH65" s="135" t="str">
        <f t="shared" si="20"/>
        <v/>
      </c>
      <c r="BI65" s="135" t="str">
        <f t="shared" si="20"/>
        <v/>
      </c>
      <c r="BJ65" s="136"/>
      <c r="BK65" s="137"/>
      <c r="BL65" s="136"/>
      <c r="BM65" s="136"/>
      <c r="BN65" s="136"/>
      <c r="BO65" s="136"/>
      <c r="BP65" s="137"/>
      <c r="BQ65" s="136"/>
      <c r="BR65" s="137"/>
      <c r="BT65" s="787">
        <f t="shared" si="67"/>
        <v>0</v>
      </c>
      <c r="BU65" s="788">
        <f t="shared" si="42"/>
        <v>0</v>
      </c>
      <c r="BV65" s="787">
        <f t="shared" si="43"/>
        <v>0</v>
      </c>
      <c r="BW65" s="787">
        <v>34188.03</v>
      </c>
      <c r="BX65" s="789">
        <f>IFERROR(LOOKUP(M65,基础数据!A:D),1)</f>
        <v>1</v>
      </c>
      <c r="BY65" s="790">
        <f t="shared" si="44"/>
        <v>3.55771976932645</v>
      </c>
      <c r="BZ65" s="787">
        <f t="shared" si="75"/>
        <v>121630</v>
      </c>
      <c r="CA65" s="797"/>
      <c r="CB65" s="792">
        <f t="shared" si="26"/>
        <v>0.13</v>
      </c>
      <c r="CC65" s="165" t="s">
        <v>2706</v>
      </c>
      <c r="CD65" s="793">
        <v>0</v>
      </c>
      <c r="CE65" s="156">
        <f t="shared" si="68"/>
        <v>0</v>
      </c>
      <c r="CF65" s="156">
        <f t="shared" si="45"/>
        <v>0</v>
      </c>
      <c r="CG65" s="776"/>
      <c r="CH65" s="156">
        <f t="shared" si="46"/>
        <v>0</v>
      </c>
      <c r="CI65" s="156">
        <f t="shared" si="47"/>
        <v>0</v>
      </c>
      <c r="CJ65" s="776"/>
      <c r="CK65" s="156">
        <f t="shared" si="48"/>
        <v>0</v>
      </c>
      <c r="CL65" s="156">
        <f t="shared" si="49"/>
        <v>0</v>
      </c>
      <c r="CM65" s="776"/>
      <c r="CN65" s="156">
        <f t="shared" si="50"/>
        <v>0</v>
      </c>
      <c r="CO65" s="156">
        <f t="shared" si="51"/>
        <v>0</v>
      </c>
      <c r="CP65" s="776"/>
      <c r="CQ65" s="776"/>
      <c r="CR65" s="794">
        <f t="shared" si="52"/>
        <v>0</v>
      </c>
      <c r="CS65" s="156">
        <f t="shared" si="53"/>
        <v>0</v>
      </c>
      <c r="CT65" s="156">
        <f t="shared" si="54"/>
        <v>0</v>
      </c>
      <c r="CU65" s="156">
        <v>0</v>
      </c>
      <c r="CV65" s="795">
        <f>LOOKUP(CU65,参数表!$A$13:$B$19)</f>
        <v>0</v>
      </c>
      <c r="CW65" s="156">
        <f t="shared" si="55"/>
        <v>0</v>
      </c>
      <c r="CX65" s="156">
        <f t="shared" si="56"/>
        <v>0</v>
      </c>
      <c r="CY65" s="156">
        <f t="shared" si="69"/>
        <v>125.582477754962</v>
      </c>
      <c r="CZ65" s="223">
        <v>10</v>
      </c>
      <c r="DA65" s="746">
        <f t="shared" si="57"/>
        <v>-11.56</v>
      </c>
      <c r="DB65" s="746">
        <f t="shared" si="36"/>
        <v>-11.51</v>
      </c>
      <c r="DC65" s="746">
        <f t="shared" si="58"/>
        <v>-11.51</v>
      </c>
      <c r="DE65" s="134" t="str">
        <f>IF(COUNTIF(DE$7:DE64,C65)&gt;0,"",C65)&amp;""</f>
        <v/>
      </c>
      <c r="DF65" s="138">
        <f t="shared" si="70"/>
        <v>0</v>
      </c>
      <c r="DG65" s="132">
        <f t="shared" si="71"/>
        <v>1</v>
      </c>
      <c r="DH65" s="138">
        <f t="shared" si="72"/>
        <v>0</v>
      </c>
      <c r="DI65" s="132">
        <f t="shared" si="73"/>
        <v>1</v>
      </c>
      <c r="DJ65" s="133"/>
      <c r="DK65" s="133"/>
      <c r="DM65" s="796" t="s">
        <v>4123</v>
      </c>
      <c r="DN65" s="75">
        <v>1068.16</v>
      </c>
    </row>
    <row r="66" ht="15" customHeight="1" spans="1:118">
      <c r="A66" s="785" t="str">
        <f>IF(C66="","",COUNT(A$7:A65)+1)</f>
        <v/>
      </c>
      <c r="B66" s="141"/>
      <c r="C66" s="139"/>
      <c r="D66" s="141"/>
      <c r="E66" s="535"/>
      <c r="F66" s="535"/>
      <c r="G66" s="141"/>
      <c r="H66" s="536"/>
      <c r="I66" s="139"/>
      <c r="J66" s="141"/>
      <c r="K66" s="141"/>
      <c r="L66" s="140"/>
      <c r="M66" s="140"/>
      <c r="N66" s="142"/>
      <c r="O66" s="127"/>
      <c r="P66" s="128"/>
      <c r="Q66" s="128"/>
      <c r="R66" s="129"/>
      <c r="S66" s="143"/>
      <c r="T66" s="143"/>
      <c r="U66" s="143"/>
      <c r="V66" s="144"/>
      <c r="W66" s="144"/>
      <c r="X66" s="144"/>
      <c r="Y66" s="129" t="str">
        <f t="shared" si="60"/>
        <v/>
      </c>
      <c r="Z66" s="129" t="str">
        <f t="shared" si="61"/>
        <v/>
      </c>
      <c r="AA66" s="129" t="str">
        <f t="shared" si="62"/>
        <v/>
      </c>
      <c r="AB66" s="129" t="str">
        <f t="shared" si="63"/>
        <v/>
      </c>
      <c r="AC66" s="521" t="str">
        <f t="shared" si="64"/>
        <v/>
      </c>
      <c r="AD66" s="129" t="str">
        <f t="shared" si="65"/>
        <v/>
      </c>
      <c r="AE66" s="129"/>
      <c r="AF66" s="129">
        <v>0</v>
      </c>
      <c r="AG66" s="129" t="str">
        <f t="shared" si="74"/>
        <v/>
      </c>
      <c r="AH66" s="145"/>
      <c r="BC66" s="78"/>
      <c r="BD66" s="132" t="s">
        <v>4130</v>
      </c>
      <c r="BE66" s="133"/>
      <c r="BF66" s="132" t="str">
        <f>IF(OR(C66="",BE66=""),"",COUNTIF(BE$8:BE66,"√"))</f>
        <v/>
      </c>
      <c r="BG66" s="134" t="str">
        <f t="shared" si="66"/>
        <v/>
      </c>
      <c r="BH66" s="135" t="str">
        <f t="shared" si="20"/>
        <v/>
      </c>
      <c r="BI66" s="135" t="str">
        <f t="shared" si="20"/>
        <v/>
      </c>
      <c r="BJ66" s="136"/>
      <c r="BK66" s="137"/>
      <c r="BL66" s="136"/>
      <c r="BM66" s="136"/>
      <c r="BN66" s="136"/>
      <c r="BO66" s="136"/>
      <c r="BP66" s="137"/>
      <c r="BQ66" s="136"/>
      <c r="BR66" s="137"/>
      <c r="BT66" s="787">
        <f t="shared" si="67"/>
        <v>0</v>
      </c>
      <c r="BU66" s="788">
        <f t="shared" si="42"/>
        <v>0</v>
      </c>
      <c r="BV66" s="787">
        <f t="shared" si="43"/>
        <v>0</v>
      </c>
      <c r="BW66" s="787">
        <v>2051</v>
      </c>
      <c r="BX66" s="789">
        <f>IFERROR(LOOKUP(M66,基础数据!A:D),1)</f>
        <v>1</v>
      </c>
      <c r="BY66" s="790">
        <f t="shared" si="44"/>
        <v>3.55771976932645</v>
      </c>
      <c r="BZ66" s="787">
        <f t="shared" si="75"/>
        <v>7300</v>
      </c>
      <c r="CA66" s="797"/>
      <c r="CB66" s="792">
        <f t="shared" si="26"/>
        <v>0.13</v>
      </c>
      <c r="CC66" s="165" t="s">
        <v>2706</v>
      </c>
      <c r="CD66" s="793">
        <v>0</v>
      </c>
      <c r="CE66" s="156">
        <f t="shared" si="68"/>
        <v>0</v>
      </c>
      <c r="CF66" s="156">
        <f t="shared" si="45"/>
        <v>0</v>
      </c>
      <c r="CG66" s="776"/>
      <c r="CH66" s="156">
        <f t="shared" si="46"/>
        <v>0</v>
      </c>
      <c r="CI66" s="156">
        <f t="shared" si="47"/>
        <v>0</v>
      </c>
      <c r="CJ66" s="776"/>
      <c r="CK66" s="156">
        <f t="shared" si="48"/>
        <v>0</v>
      </c>
      <c r="CL66" s="156">
        <f t="shared" si="49"/>
        <v>0</v>
      </c>
      <c r="CM66" s="776"/>
      <c r="CN66" s="156">
        <f t="shared" si="50"/>
        <v>0</v>
      </c>
      <c r="CO66" s="156">
        <f t="shared" si="51"/>
        <v>0</v>
      </c>
      <c r="CP66" s="776"/>
      <c r="CQ66" s="776"/>
      <c r="CR66" s="794">
        <f t="shared" si="52"/>
        <v>0</v>
      </c>
      <c r="CS66" s="156">
        <f t="shared" si="53"/>
        <v>0</v>
      </c>
      <c r="CT66" s="156">
        <f t="shared" si="54"/>
        <v>0</v>
      </c>
      <c r="CU66" s="156">
        <v>0</v>
      </c>
      <c r="CV66" s="795">
        <f>LOOKUP(CU66,参数表!$A$13:$B$19)</f>
        <v>0</v>
      </c>
      <c r="CW66" s="156">
        <f t="shared" si="55"/>
        <v>0</v>
      </c>
      <c r="CX66" s="156">
        <f t="shared" si="56"/>
        <v>0</v>
      </c>
      <c r="CY66" s="156">
        <f t="shared" si="69"/>
        <v>125.582477754962</v>
      </c>
      <c r="CZ66" s="223">
        <v>10</v>
      </c>
      <c r="DA66" s="746">
        <f t="shared" si="57"/>
        <v>-11.56</v>
      </c>
      <c r="DB66" s="746">
        <f t="shared" si="36"/>
        <v>-11.51</v>
      </c>
      <c r="DC66" s="746">
        <f t="shared" si="58"/>
        <v>-11.51</v>
      </c>
      <c r="DE66" s="134" t="str">
        <f>IF(COUNTIF(DE$7:DE65,C66)&gt;0,"",C66)&amp;""</f>
        <v/>
      </c>
      <c r="DF66" s="138">
        <f t="shared" si="70"/>
        <v>0</v>
      </c>
      <c r="DG66" s="132">
        <f t="shared" si="71"/>
        <v>1</v>
      </c>
      <c r="DH66" s="138">
        <f t="shared" si="72"/>
        <v>0</v>
      </c>
      <c r="DI66" s="132">
        <f t="shared" si="73"/>
        <v>1</v>
      </c>
      <c r="DJ66" s="133"/>
      <c r="DK66" s="133"/>
      <c r="DM66" s="796" t="s">
        <v>4123</v>
      </c>
      <c r="DN66" s="75">
        <v>1068.16</v>
      </c>
    </row>
    <row r="67" ht="15" customHeight="1" spans="1:118">
      <c r="A67" s="785" t="str">
        <f>IF(C67="","",COUNT(A$7:A66)+1)</f>
        <v/>
      </c>
      <c r="B67" s="141"/>
      <c r="C67" s="139"/>
      <c r="D67" s="141"/>
      <c r="E67" s="535"/>
      <c r="F67" s="535"/>
      <c r="G67" s="141"/>
      <c r="H67" s="536"/>
      <c r="I67" s="139"/>
      <c r="J67" s="141"/>
      <c r="K67" s="141"/>
      <c r="L67" s="140"/>
      <c r="M67" s="140"/>
      <c r="N67" s="142"/>
      <c r="O67" s="127"/>
      <c r="P67" s="128"/>
      <c r="Q67" s="128"/>
      <c r="R67" s="129"/>
      <c r="S67" s="143"/>
      <c r="T67" s="143"/>
      <c r="U67" s="143"/>
      <c r="V67" s="144"/>
      <c r="W67" s="144"/>
      <c r="X67" s="144"/>
      <c r="Y67" s="129" t="str">
        <f t="shared" si="60"/>
        <v/>
      </c>
      <c r="Z67" s="129" t="str">
        <f t="shared" si="61"/>
        <v/>
      </c>
      <c r="AA67" s="129" t="str">
        <f t="shared" si="62"/>
        <v/>
      </c>
      <c r="AB67" s="129" t="str">
        <f t="shared" si="63"/>
        <v/>
      </c>
      <c r="AC67" s="521" t="str">
        <f t="shared" si="64"/>
        <v/>
      </c>
      <c r="AD67" s="129" t="str">
        <f t="shared" si="65"/>
        <v/>
      </c>
      <c r="AE67" s="129"/>
      <c r="AF67" s="129">
        <v>0</v>
      </c>
      <c r="AG67" s="129" t="str">
        <f t="shared" si="74"/>
        <v/>
      </c>
      <c r="AH67" s="145"/>
      <c r="BC67" s="78"/>
      <c r="BD67" s="132" t="s">
        <v>4131</v>
      </c>
      <c r="BE67" s="133"/>
      <c r="BF67" s="132" t="str">
        <f>IF(OR(C67="",BE67=""),"",COUNTIF(BE$8:BE67,"√"))</f>
        <v/>
      </c>
      <c r="BG67" s="134" t="str">
        <f t="shared" si="66"/>
        <v/>
      </c>
      <c r="BH67" s="135" t="str">
        <f t="shared" si="20"/>
        <v/>
      </c>
      <c r="BI67" s="135" t="str">
        <f t="shared" si="20"/>
        <v/>
      </c>
      <c r="BJ67" s="136"/>
      <c r="BK67" s="137"/>
      <c r="BL67" s="136"/>
      <c r="BM67" s="136"/>
      <c r="BN67" s="136"/>
      <c r="BO67" s="136"/>
      <c r="BP67" s="137"/>
      <c r="BQ67" s="136"/>
      <c r="BR67" s="137"/>
      <c r="BT67" s="787">
        <f t="shared" si="67"/>
        <v>0</v>
      </c>
      <c r="BU67" s="788">
        <f t="shared" si="42"/>
        <v>0</v>
      </c>
      <c r="BV67" s="787">
        <f t="shared" si="43"/>
        <v>0</v>
      </c>
      <c r="BW67" s="787">
        <v>77876.11</v>
      </c>
      <c r="BX67" s="789">
        <f>IFERROR(LOOKUP(M67,基础数据!A:D),1)</f>
        <v>1</v>
      </c>
      <c r="BY67" s="790">
        <f t="shared" si="44"/>
        <v>3.55771976932645</v>
      </c>
      <c r="BZ67" s="787">
        <f t="shared" si="75"/>
        <v>277060</v>
      </c>
      <c r="CA67" s="797"/>
      <c r="CB67" s="792">
        <f t="shared" si="26"/>
        <v>0.13</v>
      </c>
      <c r="CC67" s="165" t="s">
        <v>2706</v>
      </c>
      <c r="CD67" s="793">
        <v>0</v>
      </c>
      <c r="CE67" s="156">
        <f t="shared" si="68"/>
        <v>0</v>
      </c>
      <c r="CF67" s="156">
        <f t="shared" si="45"/>
        <v>0</v>
      </c>
      <c r="CG67" s="776"/>
      <c r="CH67" s="156">
        <f t="shared" si="46"/>
        <v>0</v>
      </c>
      <c r="CI67" s="156">
        <f t="shared" si="47"/>
        <v>0</v>
      </c>
      <c r="CJ67" s="776"/>
      <c r="CK67" s="156">
        <f t="shared" si="48"/>
        <v>0</v>
      </c>
      <c r="CL67" s="156">
        <f t="shared" si="49"/>
        <v>0</v>
      </c>
      <c r="CM67" s="776"/>
      <c r="CN67" s="156">
        <f t="shared" si="50"/>
        <v>0</v>
      </c>
      <c r="CO67" s="156">
        <f t="shared" si="51"/>
        <v>0</v>
      </c>
      <c r="CP67" s="776"/>
      <c r="CQ67" s="776"/>
      <c r="CR67" s="794">
        <f t="shared" si="52"/>
        <v>0</v>
      </c>
      <c r="CS67" s="156">
        <f t="shared" si="53"/>
        <v>0</v>
      </c>
      <c r="CT67" s="156">
        <f t="shared" si="54"/>
        <v>0</v>
      </c>
      <c r="CU67" s="156">
        <v>0</v>
      </c>
      <c r="CV67" s="795">
        <f>LOOKUP(CU67,参数表!$A$13:$B$19)</f>
        <v>0</v>
      </c>
      <c r="CW67" s="156">
        <f t="shared" si="55"/>
        <v>0</v>
      </c>
      <c r="CX67" s="156">
        <f t="shared" si="56"/>
        <v>0</v>
      </c>
      <c r="CY67" s="156">
        <f t="shared" si="69"/>
        <v>125.582477754962</v>
      </c>
      <c r="CZ67" s="223">
        <v>10</v>
      </c>
      <c r="DA67" s="746">
        <f t="shared" si="57"/>
        <v>-11.56</v>
      </c>
      <c r="DB67" s="746">
        <f t="shared" si="36"/>
        <v>-11.51</v>
      </c>
      <c r="DC67" s="746">
        <f t="shared" si="58"/>
        <v>-11.51</v>
      </c>
      <c r="DE67" s="134" t="str">
        <f>IF(COUNTIF(DE$7:DE66,C67)&gt;0,"",C67)&amp;""</f>
        <v/>
      </c>
      <c r="DF67" s="138">
        <f t="shared" si="70"/>
        <v>0</v>
      </c>
      <c r="DG67" s="132">
        <f t="shared" si="71"/>
        <v>1</v>
      </c>
      <c r="DH67" s="138">
        <f t="shared" si="72"/>
        <v>0</v>
      </c>
      <c r="DI67" s="132">
        <f t="shared" si="73"/>
        <v>1</v>
      </c>
      <c r="DJ67" s="133"/>
      <c r="DK67" s="133"/>
      <c r="DM67" s="796" t="s">
        <v>4123</v>
      </c>
      <c r="DN67" s="75">
        <v>1068.16</v>
      </c>
    </row>
    <row r="68" ht="15" customHeight="1" spans="1:118">
      <c r="A68" s="785" t="str">
        <f>IF(C68="","",COUNT(A$7:A67)+1)</f>
        <v/>
      </c>
      <c r="B68" s="141"/>
      <c r="C68" s="139"/>
      <c r="D68" s="141"/>
      <c r="E68" s="535"/>
      <c r="F68" s="535"/>
      <c r="G68" s="141"/>
      <c r="H68" s="536"/>
      <c r="I68" s="139"/>
      <c r="J68" s="141"/>
      <c r="K68" s="141"/>
      <c r="L68" s="140"/>
      <c r="M68" s="140"/>
      <c r="N68" s="142"/>
      <c r="O68" s="127"/>
      <c r="P68" s="128"/>
      <c r="Q68" s="128"/>
      <c r="R68" s="129"/>
      <c r="S68" s="143"/>
      <c r="T68" s="143"/>
      <c r="U68" s="143"/>
      <c r="V68" s="144"/>
      <c r="W68" s="144"/>
      <c r="X68" s="144"/>
      <c r="Y68" s="129" t="str">
        <f t="shared" si="60"/>
        <v/>
      </c>
      <c r="Z68" s="129" t="str">
        <f t="shared" si="61"/>
        <v/>
      </c>
      <c r="AA68" s="129" t="str">
        <f t="shared" si="62"/>
        <v/>
      </c>
      <c r="AB68" s="129" t="str">
        <f t="shared" si="63"/>
        <v/>
      </c>
      <c r="AC68" s="521" t="str">
        <f t="shared" si="64"/>
        <v/>
      </c>
      <c r="AD68" s="129" t="str">
        <f t="shared" si="65"/>
        <v/>
      </c>
      <c r="AE68" s="129"/>
      <c r="AF68" s="129">
        <v>0</v>
      </c>
      <c r="AG68" s="129" t="str">
        <f t="shared" si="74"/>
        <v/>
      </c>
      <c r="AH68" s="145"/>
      <c r="BC68" s="78"/>
      <c r="BD68" s="132" t="s">
        <v>4132</v>
      </c>
      <c r="BE68" s="133"/>
      <c r="BF68" s="132" t="str">
        <f>IF(OR(C68="",BE68=""),"",COUNTIF(BE$8:BE68,"√"))</f>
        <v/>
      </c>
      <c r="BG68" s="134" t="str">
        <f t="shared" si="66"/>
        <v/>
      </c>
      <c r="BH68" s="135" t="str">
        <f t="shared" si="20"/>
        <v/>
      </c>
      <c r="BI68" s="135" t="str">
        <f t="shared" si="20"/>
        <v/>
      </c>
      <c r="BJ68" s="136"/>
      <c r="BK68" s="137"/>
      <c r="BL68" s="136"/>
      <c r="BM68" s="136"/>
      <c r="BN68" s="136"/>
      <c r="BO68" s="136"/>
      <c r="BP68" s="137"/>
      <c r="BQ68" s="136"/>
      <c r="BR68" s="137"/>
      <c r="BT68" s="787">
        <f t="shared" si="67"/>
        <v>0</v>
      </c>
      <c r="BU68" s="788">
        <f t="shared" si="42"/>
        <v>0</v>
      </c>
      <c r="BV68" s="787">
        <f t="shared" si="43"/>
        <v>0</v>
      </c>
      <c r="BW68" s="787">
        <v>350</v>
      </c>
      <c r="BX68" s="789">
        <f>IFERROR(LOOKUP(M68,基础数据!A:D),1)</f>
        <v>1</v>
      </c>
      <c r="BY68" s="790">
        <f t="shared" si="44"/>
        <v>3.55771976932645</v>
      </c>
      <c r="BZ68" s="787">
        <f t="shared" si="75"/>
        <v>1250</v>
      </c>
      <c r="CA68" s="797"/>
      <c r="CB68" s="792">
        <f t="shared" si="26"/>
        <v>0.13</v>
      </c>
      <c r="CC68" s="165" t="s">
        <v>2706</v>
      </c>
      <c r="CD68" s="793">
        <v>0</v>
      </c>
      <c r="CE68" s="156">
        <f t="shared" si="68"/>
        <v>0</v>
      </c>
      <c r="CF68" s="156">
        <f t="shared" si="45"/>
        <v>0</v>
      </c>
      <c r="CG68" s="776"/>
      <c r="CH68" s="156">
        <f t="shared" si="46"/>
        <v>0</v>
      </c>
      <c r="CI68" s="156">
        <f t="shared" si="47"/>
        <v>0</v>
      </c>
      <c r="CJ68" s="776"/>
      <c r="CK68" s="156">
        <f t="shared" si="48"/>
        <v>0</v>
      </c>
      <c r="CL68" s="156">
        <f t="shared" si="49"/>
        <v>0</v>
      </c>
      <c r="CM68" s="776"/>
      <c r="CN68" s="156">
        <f t="shared" si="50"/>
        <v>0</v>
      </c>
      <c r="CO68" s="156">
        <f t="shared" si="51"/>
        <v>0</v>
      </c>
      <c r="CP68" s="776"/>
      <c r="CQ68" s="776"/>
      <c r="CR68" s="794">
        <f t="shared" si="52"/>
        <v>0</v>
      </c>
      <c r="CS68" s="156">
        <f t="shared" si="53"/>
        <v>0</v>
      </c>
      <c r="CT68" s="156">
        <f t="shared" si="54"/>
        <v>0</v>
      </c>
      <c r="CU68" s="156">
        <v>0</v>
      </c>
      <c r="CV68" s="795">
        <f>LOOKUP(CU68,参数表!$A$13:$B$19)</f>
        <v>0</v>
      </c>
      <c r="CW68" s="156">
        <f t="shared" si="55"/>
        <v>0</v>
      </c>
      <c r="CX68" s="156">
        <f t="shared" si="56"/>
        <v>0</v>
      </c>
      <c r="CY68" s="156">
        <f t="shared" si="69"/>
        <v>125.582477754962</v>
      </c>
      <c r="CZ68" s="223">
        <v>10</v>
      </c>
      <c r="DA68" s="746">
        <f t="shared" si="57"/>
        <v>-11.56</v>
      </c>
      <c r="DB68" s="746">
        <f t="shared" si="36"/>
        <v>-11.51</v>
      </c>
      <c r="DC68" s="746">
        <f t="shared" si="58"/>
        <v>-11.51</v>
      </c>
      <c r="DE68" s="134" t="str">
        <f>IF(COUNTIF(DE$7:DE67,C68)&gt;0,"",C68)&amp;""</f>
        <v/>
      </c>
      <c r="DF68" s="138">
        <f t="shared" si="70"/>
        <v>0</v>
      </c>
      <c r="DG68" s="132">
        <f t="shared" si="71"/>
        <v>1</v>
      </c>
      <c r="DH68" s="138">
        <f t="shared" si="72"/>
        <v>0</v>
      </c>
      <c r="DI68" s="132">
        <f t="shared" si="73"/>
        <v>1</v>
      </c>
      <c r="DJ68" s="133"/>
      <c r="DK68" s="133"/>
      <c r="DM68" s="796" t="s">
        <v>4123</v>
      </c>
      <c r="DN68" s="75">
        <v>1068.16</v>
      </c>
    </row>
    <row r="69" ht="15" customHeight="1" spans="1:118">
      <c r="A69" s="785" t="str">
        <f>IF(C69="","",COUNT(A$7:A68)+1)</f>
        <v/>
      </c>
      <c r="B69" s="141"/>
      <c r="C69" s="139"/>
      <c r="D69" s="141"/>
      <c r="E69" s="535"/>
      <c r="F69" s="535"/>
      <c r="G69" s="141"/>
      <c r="H69" s="536"/>
      <c r="I69" s="139"/>
      <c r="J69" s="141"/>
      <c r="K69" s="141"/>
      <c r="L69" s="140"/>
      <c r="M69" s="140"/>
      <c r="N69" s="142"/>
      <c r="O69" s="127"/>
      <c r="P69" s="128"/>
      <c r="Q69" s="128"/>
      <c r="R69" s="129"/>
      <c r="S69" s="143"/>
      <c r="T69" s="143"/>
      <c r="U69" s="143"/>
      <c r="V69" s="144"/>
      <c r="W69" s="144"/>
      <c r="X69" s="144"/>
      <c r="Y69" s="129" t="str">
        <f t="shared" si="60"/>
        <v/>
      </c>
      <c r="Z69" s="129" t="str">
        <f t="shared" si="61"/>
        <v/>
      </c>
      <c r="AA69" s="129" t="str">
        <f t="shared" si="62"/>
        <v/>
      </c>
      <c r="AB69" s="129" t="str">
        <f t="shared" si="63"/>
        <v/>
      </c>
      <c r="AC69" s="521" t="str">
        <f t="shared" si="64"/>
        <v/>
      </c>
      <c r="AD69" s="129" t="str">
        <f t="shared" si="65"/>
        <v/>
      </c>
      <c r="AE69" s="129"/>
      <c r="AF69" s="129">
        <v>0</v>
      </c>
      <c r="AG69" s="129" t="str">
        <f t="shared" si="74"/>
        <v/>
      </c>
      <c r="AH69" s="145"/>
      <c r="BC69" s="78"/>
      <c r="BD69" s="132" t="s">
        <v>4133</v>
      </c>
      <c r="BE69" s="133"/>
      <c r="BF69" s="132" t="str">
        <f>IF(OR(C69="",BE69=""),"",COUNTIF(BE$8:BE69,"√"))</f>
        <v/>
      </c>
      <c r="BG69" s="134" t="str">
        <f t="shared" si="66"/>
        <v/>
      </c>
      <c r="BH69" s="135" t="str">
        <f t="shared" si="20"/>
        <v/>
      </c>
      <c r="BI69" s="135" t="str">
        <f t="shared" si="20"/>
        <v/>
      </c>
      <c r="BJ69" s="136"/>
      <c r="BK69" s="137"/>
      <c r="BL69" s="136"/>
      <c r="BM69" s="136"/>
      <c r="BN69" s="136"/>
      <c r="BO69" s="136"/>
      <c r="BP69" s="137"/>
      <c r="BQ69" s="136"/>
      <c r="BR69" s="137"/>
      <c r="BT69" s="787">
        <f t="shared" si="67"/>
        <v>0</v>
      </c>
      <c r="BU69" s="788">
        <f t="shared" si="42"/>
        <v>0</v>
      </c>
      <c r="BV69" s="787">
        <f t="shared" si="43"/>
        <v>0</v>
      </c>
      <c r="BW69" s="787">
        <v>290</v>
      </c>
      <c r="BX69" s="789">
        <f>IFERROR(LOOKUP(M69,基础数据!A:D),1)</f>
        <v>1</v>
      </c>
      <c r="BY69" s="790">
        <f t="shared" si="44"/>
        <v>3.55771976932645</v>
      </c>
      <c r="BZ69" s="787">
        <f t="shared" si="75"/>
        <v>1030</v>
      </c>
      <c r="CA69" s="797"/>
      <c r="CB69" s="792">
        <f t="shared" si="26"/>
        <v>0.13</v>
      </c>
      <c r="CC69" s="165" t="s">
        <v>2706</v>
      </c>
      <c r="CD69" s="793">
        <v>0</v>
      </c>
      <c r="CE69" s="156">
        <f t="shared" si="68"/>
        <v>0</v>
      </c>
      <c r="CF69" s="156">
        <f t="shared" si="45"/>
        <v>0</v>
      </c>
      <c r="CG69" s="776"/>
      <c r="CH69" s="156">
        <f t="shared" si="46"/>
        <v>0</v>
      </c>
      <c r="CI69" s="156">
        <f t="shared" si="47"/>
        <v>0</v>
      </c>
      <c r="CJ69" s="776"/>
      <c r="CK69" s="156">
        <f t="shared" si="48"/>
        <v>0</v>
      </c>
      <c r="CL69" s="156">
        <f t="shared" si="49"/>
        <v>0</v>
      </c>
      <c r="CM69" s="776"/>
      <c r="CN69" s="156">
        <f t="shared" si="50"/>
        <v>0</v>
      </c>
      <c r="CO69" s="156">
        <f t="shared" si="51"/>
        <v>0</v>
      </c>
      <c r="CP69" s="776"/>
      <c r="CQ69" s="776"/>
      <c r="CR69" s="794">
        <f t="shared" si="52"/>
        <v>0</v>
      </c>
      <c r="CS69" s="156">
        <f t="shared" si="53"/>
        <v>0</v>
      </c>
      <c r="CT69" s="156">
        <f t="shared" si="54"/>
        <v>0</v>
      </c>
      <c r="CU69" s="156">
        <v>0</v>
      </c>
      <c r="CV69" s="795">
        <f>LOOKUP(CU69,参数表!$A$13:$B$19)</f>
        <v>0</v>
      </c>
      <c r="CW69" s="156">
        <f t="shared" si="55"/>
        <v>0</v>
      </c>
      <c r="CX69" s="156">
        <f t="shared" si="56"/>
        <v>0</v>
      </c>
      <c r="CY69" s="156">
        <f t="shared" si="69"/>
        <v>125.582477754962</v>
      </c>
      <c r="CZ69" s="223">
        <v>10</v>
      </c>
      <c r="DA69" s="746">
        <f t="shared" si="57"/>
        <v>-11.56</v>
      </c>
      <c r="DB69" s="746">
        <f t="shared" si="36"/>
        <v>-11.51</v>
      </c>
      <c r="DC69" s="746">
        <f t="shared" si="58"/>
        <v>-11.51</v>
      </c>
      <c r="DE69" s="134" t="str">
        <f>IF(COUNTIF(DE$7:DE68,C69)&gt;0,"",C69)&amp;""</f>
        <v/>
      </c>
      <c r="DF69" s="138">
        <f t="shared" si="70"/>
        <v>0</v>
      </c>
      <c r="DG69" s="132">
        <f t="shared" si="71"/>
        <v>1</v>
      </c>
      <c r="DH69" s="138">
        <f t="shared" si="72"/>
        <v>0</v>
      </c>
      <c r="DI69" s="132">
        <f t="shared" si="73"/>
        <v>1</v>
      </c>
      <c r="DJ69" s="133"/>
      <c r="DK69" s="133"/>
      <c r="DM69" s="796" t="s">
        <v>4123</v>
      </c>
      <c r="DN69" s="75">
        <v>1068.16</v>
      </c>
    </row>
    <row r="70" ht="15" customHeight="1" spans="1:118">
      <c r="A70" s="785" t="str">
        <f>IF(C70="","",COUNT(A$7:A69)+1)</f>
        <v/>
      </c>
      <c r="B70" s="141"/>
      <c r="C70" s="139"/>
      <c r="D70" s="141"/>
      <c r="E70" s="535"/>
      <c r="F70" s="535"/>
      <c r="G70" s="141"/>
      <c r="H70" s="536"/>
      <c r="I70" s="139"/>
      <c r="J70" s="141"/>
      <c r="K70" s="141"/>
      <c r="L70" s="140"/>
      <c r="M70" s="140"/>
      <c r="N70" s="142"/>
      <c r="O70" s="127"/>
      <c r="P70" s="128"/>
      <c r="Q70" s="128"/>
      <c r="R70" s="129"/>
      <c r="S70" s="143"/>
      <c r="T70" s="143"/>
      <c r="U70" s="143"/>
      <c r="V70" s="144"/>
      <c r="W70" s="144"/>
      <c r="X70" s="144"/>
      <c r="Y70" s="129" t="str">
        <f t="shared" si="60"/>
        <v/>
      </c>
      <c r="Z70" s="129" t="str">
        <f t="shared" si="61"/>
        <v/>
      </c>
      <c r="AA70" s="129" t="str">
        <f t="shared" si="62"/>
        <v/>
      </c>
      <c r="AB70" s="129" t="str">
        <f t="shared" si="63"/>
        <v/>
      </c>
      <c r="AC70" s="521" t="str">
        <f t="shared" si="64"/>
        <v/>
      </c>
      <c r="AD70" s="129" t="str">
        <f t="shared" si="65"/>
        <v/>
      </c>
      <c r="AE70" s="129"/>
      <c r="AF70" s="129">
        <v>0</v>
      </c>
      <c r="AG70" s="129" t="str">
        <f t="shared" si="74"/>
        <v/>
      </c>
      <c r="AH70" s="145"/>
      <c r="BC70" s="78"/>
      <c r="BD70" s="132" t="s">
        <v>4134</v>
      </c>
      <c r="BE70" s="133"/>
      <c r="BF70" s="132" t="str">
        <f>IF(OR(C70="",BE70=""),"",COUNTIF(BE$8:BE70,"√"))</f>
        <v/>
      </c>
      <c r="BG70" s="134" t="str">
        <f t="shared" si="66"/>
        <v/>
      </c>
      <c r="BH70" s="135" t="str">
        <f t="shared" si="20"/>
        <v/>
      </c>
      <c r="BI70" s="135" t="str">
        <f t="shared" si="20"/>
        <v/>
      </c>
      <c r="BJ70" s="136"/>
      <c r="BK70" s="137"/>
      <c r="BL70" s="136"/>
      <c r="BM70" s="136"/>
      <c r="BN70" s="136"/>
      <c r="BO70" s="136"/>
      <c r="BP70" s="137"/>
      <c r="BQ70" s="136"/>
      <c r="BR70" s="137"/>
      <c r="BT70" s="787">
        <f t="shared" si="67"/>
        <v>0</v>
      </c>
      <c r="BU70" s="788">
        <f t="shared" si="42"/>
        <v>0</v>
      </c>
      <c r="BV70" s="787">
        <f t="shared" si="43"/>
        <v>0</v>
      </c>
      <c r="BW70" s="787">
        <v>1080</v>
      </c>
      <c r="BX70" s="789">
        <f>IFERROR(LOOKUP(M70,基础数据!A:D),1)</f>
        <v>1</v>
      </c>
      <c r="BY70" s="790">
        <f t="shared" si="44"/>
        <v>3.55771976932645</v>
      </c>
      <c r="BZ70" s="787">
        <f t="shared" si="75"/>
        <v>3840</v>
      </c>
      <c r="CA70" s="797"/>
      <c r="CB70" s="792">
        <f t="shared" si="26"/>
        <v>0.13</v>
      </c>
      <c r="CC70" s="165" t="s">
        <v>2706</v>
      </c>
      <c r="CD70" s="793">
        <v>0</v>
      </c>
      <c r="CE70" s="156">
        <f t="shared" si="68"/>
        <v>0</v>
      </c>
      <c r="CF70" s="156">
        <f t="shared" si="45"/>
        <v>0</v>
      </c>
      <c r="CG70" s="776"/>
      <c r="CH70" s="156">
        <f t="shared" si="46"/>
        <v>0</v>
      </c>
      <c r="CI70" s="156">
        <f t="shared" si="47"/>
        <v>0</v>
      </c>
      <c r="CJ70" s="776"/>
      <c r="CK70" s="156">
        <f t="shared" si="48"/>
        <v>0</v>
      </c>
      <c r="CL70" s="156">
        <f t="shared" si="49"/>
        <v>0</v>
      </c>
      <c r="CM70" s="776"/>
      <c r="CN70" s="156">
        <f t="shared" si="50"/>
        <v>0</v>
      </c>
      <c r="CO70" s="156">
        <f t="shared" si="51"/>
        <v>0</v>
      </c>
      <c r="CP70" s="776"/>
      <c r="CQ70" s="776"/>
      <c r="CR70" s="794">
        <f t="shared" si="52"/>
        <v>0</v>
      </c>
      <c r="CS70" s="156">
        <f t="shared" si="53"/>
        <v>0</v>
      </c>
      <c r="CT70" s="156">
        <f t="shared" si="54"/>
        <v>0</v>
      </c>
      <c r="CU70" s="156">
        <v>0</v>
      </c>
      <c r="CV70" s="795">
        <f>LOOKUP(CU70,参数表!$A$13:$B$19)</f>
        <v>0</v>
      </c>
      <c r="CW70" s="156">
        <f t="shared" si="55"/>
        <v>0</v>
      </c>
      <c r="CX70" s="156">
        <f t="shared" si="56"/>
        <v>0</v>
      </c>
      <c r="CY70" s="156">
        <f t="shared" si="69"/>
        <v>125.582477754962</v>
      </c>
      <c r="CZ70" s="223">
        <v>10</v>
      </c>
      <c r="DA70" s="746">
        <f t="shared" si="57"/>
        <v>-11.56</v>
      </c>
      <c r="DB70" s="746">
        <f t="shared" si="36"/>
        <v>-11.51</v>
      </c>
      <c r="DC70" s="746">
        <f t="shared" si="58"/>
        <v>-11.51</v>
      </c>
      <c r="DE70" s="134" t="str">
        <f>IF(COUNTIF(DE$7:DE69,C70)&gt;0,"",C70)&amp;""</f>
        <v/>
      </c>
      <c r="DF70" s="138">
        <f t="shared" si="70"/>
        <v>0</v>
      </c>
      <c r="DG70" s="132">
        <f t="shared" si="71"/>
        <v>1</v>
      </c>
      <c r="DH70" s="138">
        <f t="shared" si="72"/>
        <v>0</v>
      </c>
      <c r="DI70" s="132">
        <f t="shared" si="73"/>
        <v>1</v>
      </c>
      <c r="DJ70" s="133"/>
      <c r="DK70" s="133"/>
      <c r="DM70" s="796" t="s">
        <v>4123</v>
      </c>
      <c r="DN70" s="75">
        <v>1068.16</v>
      </c>
    </row>
    <row r="71" ht="15" customHeight="1" spans="1:118">
      <c r="A71" s="785" t="str">
        <f>IF(C71="","",COUNT(A$7:A70)+1)</f>
        <v/>
      </c>
      <c r="B71" s="141"/>
      <c r="C71" s="139"/>
      <c r="D71" s="141"/>
      <c r="E71" s="535"/>
      <c r="F71" s="535"/>
      <c r="G71" s="141"/>
      <c r="H71" s="536"/>
      <c r="I71" s="139"/>
      <c r="J71" s="141"/>
      <c r="K71" s="141"/>
      <c r="L71" s="140"/>
      <c r="M71" s="140"/>
      <c r="N71" s="142"/>
      <c r="O71" s="127"/>
      <c r="P71" s="128"/>
      <c r="Q71" s="128"/>
      <c r="R71" s="129"/>
      <c r="S71" s="143"/>
      <c r="T71" s="143"/>
      <c r="U71" s="143"/>
      <c r="V71" s="144"/>
      <c r="W71" s="144"/>
      <c r="X71" s="144"/>
      <c r="Y71" s="129" t="str">
        <f t="shared" si="60"/>
        <v/>
      </c>
      <c r="Z71" s="129" t="str">
        <f t="shared" si="61"/>
        <v/>
      </c>
      <c r="AA71" s="129" t="str">
        <f t="shared" si="62"/>
        <v/>
      </c>
      <c r="AB71" s="129" t="str">
        <f t="shared" si="63"/>
        <v/>
      </c>
      <c r="AC71" s="521" t="str">
        <f t="shared" si="64"/>
        <v/>
      </c>
      <c r="AD71" s="129" t="str">
        <f t="shared" si="65"/>
        <v/>
      </c>
      <c r="AE71" s="129"/>
      <c r="AF71" s="129">
        <v>0</v>
      </c>
      <c r="AG71" s="129" t="str">
        <f t="shared" si="74"/>
        <v/>
      </c>
      <c r="AH71" s="145"/>
      <c r="BC71" s="78"/>
      <c r="BD71" s="132" t="s">
        <v>4135</v>
      </c>
      <c r="BE71" s="133"/>
      <c r="BF71" s="132" t="str">
        <f>IF(OR(C71="",BE71=""),"",COUNTIF(BE$8:BE71,"√"))</f>
        <v/>
      </c>
      <c r="BG71" s="134" t="str">
        <f t="shared" si="66"/>
        <v/>
      </c>
      <c r="BH71" s="135" t="str">
        <f t="shared" si="20"/>
        <v/>
      </c>
      <c r="BI71" s="135" t="str">
        <f t="shared" si="20"/>
        <v/>
      </c>
      <c r="BJ71" s="136"/>
      <c r="BK71" s="137"/>
      <c r="BL71" s="136"/>
      <c r="BM71" s="136"/>
      <c r="BN71" s="136"/>
      <c r="BO71" s="136"/>
      <c r="BP71" s="137"/>
      <c r="BQ71" s="136"/>
      <c r="BR71" s="137"/>
      <c r="BT71" s="787">
        <f t="shared" si="67"/>
        <v>0</v>
      </c>
      <c r="BU71" s="788">
        <f t="shared" si="42"/>
        <v>0</v>
      </c>
      <c r="BV71" s="787">
        <f t="shared" si="43"/>
        <v>0</v>
      </c>
      <c r="BW71" s="787">
        <v>350</v>
      </c>
      <c r="BX71" s="789">
        <f>IFERROR(LOOKUP(M71,基础数据!A:D),1)</f>
        <v>1</v>
      </c>
      <c r="BY71" s="790">
        <f t="shared" si="44"/>
        <v>3.55771976932645</v>
      </c>
      <c r="BZ71" s="787">
        <f t="shared" si="75"/>
        <v>1250</v>
      </c>
      <c r="CA71" s="797"/>
      <c r="CB71" s="792">
        <f t="shared" si="26"/>
        <v>0.13</v>
      </c>
      <c r="CC71" s="165" t="s">
        <v>2706</v>
      </c>
      <c r="CD71" s="793">
        <v>0</v>
      </c>
      <c r="CE71" s="156">
        <f t="shared" si="68"/>
        <v>0</v>
      </c>
      <c r="CF71" s="156">
        <f t="shared" si="45"/>
        <v>0</v>
      </c>
      <c r="CG71" s="776"/>
      <c r="CH71" s="156">
        <f t="shared" si="46"/>
        <v>0</v>
      </c>
      <c r="CI71" s="156">
        <f t="shared" si="47"/>
        <v>0</v>
      </c>
      <c r="CJ71" s="776"/>
      <c r="CK71" s="156">
        <f t="shared" si="48"/>
        <v>0</v>
      </c>
      <c r="CL71" s="156">
        <f t="shared" si="49"/>
        <v>0</v>
      </c>
      <c r="CM71" s="776"/>
      <c r="CN71" s="156">
        <f t="shared" si="50"/>
        <v>0</v>
      </c>
      <c r="CO71" s="156">
        <f t="shared" si="51"/>
        <v>0</v>
      </c>
      <c r="CP71" s="776"/>
      <c r="CQ71" s="776"/>
      <c r="CR71" s="794">
        <f t="shared" si="52"/>
        <v>0</v>
      </c>
      <c r="CS71" s="156">
        <f t="shared" si="53"/>
        <v>0</v>
      </c>
      <c r="CT71" s="156">
        <f t="shared" si="54"/>
        <v>0</v>
      </c>
      <c r="CU71" s="156">
        <v>0</v>
      </c>
      <c r="CV71" s="795">
        <f>LOOKUP(CU71,参数表!$A$13:$B$19)</f>
        <v>0</v>
      </c>
      <c r="CW71" s="156">
        <f t="shared" si="55"/>
        <v>0</v>
      </c>
      <c r="CX71" s="156">
        <f t="shared" si="56"/>
        <v>0</v>
      </c>
      <c r="CY71" s="156">
        <f t="shared" si="69"/>
        <v>125.582477754962</v>
      </c>
      <c r="CZ71" s="223">
        <v>10</v>
      </c>
      <c r="DA71" s="746">
        <f t="shared" si="57"/>
        <v>-11.56</v>
      </c>
      <c r="DB71" s="746">
        <f t="shared" si="36"/>
        <v>-11.51</v>
      </c>
      <c r="DC71" s="746">
        <f t="shared" si="58"/>
        <v>-11.51</v>
      </c>
      <c r="DE71" s="134" t="str">
        <f>IF(COUNTIF(DE$7:DE70,C71)&gt;0,"",C71)&amp;""</f>
        <v/>
      </c>
      <c r="DF71" s="138">
        <f t="shared" si="70"/>
        <v>0</v>
      </c>
      <c r="DG71" s="132">
        <f t="shared" si="71"/>
        <v>1</v>
      </c>
      <c r="DH71" s="138">
        <f t="shared" si="72"/>
        <v>0</v>
      </c>
      <c r="DI71" s="132">
        <f t="shared" si="73"/>
        <v>1</v>
      </c>
      <c r="DJ71" s="133"/>
      <c r="DK71" s="133"/>
      <c r="DM71" s="796" t="s">
        <v>4123</v>
      </c>
      <c r="DN71" s="75">
        <v>816.39</v>
      </c>
    </row>
    <row r="72" ht="15" customHeight="1" spans="1:118">
      <c r="A72" s="785" t="str">
        <f>IF(C72="","",COUNT(A$7:A71)+1)</f>
        <v/>
      </c>
      <c r="B72" s="141"/>
      <c r="C72" s="139"/>
      <c r="D72" s="141"/>
      <c r="E72" s="535"/>
      <c r="F72" s="535"/>
      <c r="G72" s="141"/>
      <c r="H72" s="536"/>
      <c r="I72" s="139"/>
      <c r="J72" s="141"/>
      <c r="K72" s="141"/>
      <c r="L72" s="140"/>
      <c r="M72" s="140"/>
      <c r="N72" s="142"/>
      <c r="O72" s="127"/>
      <c r="P72" s="128"/>
      <c r="Q72" s="128"/>
      <c r="R72" s="129"/>
      <c r="S72" s="143"/>
      <c r="T72" s="143"/>
      <c r="U72" s="143"/>
      <c r="V72" s="144"/>
      <c r="W72" s="144"/>
      <c r="X72" s="144"/>
      <c r="Y72" s="129" t="str">
        <f t="shared" ref="Y72:Y103" si="76">IF(C72="","",S72+V72)</f>
        <v/>
      </c>
      <c r="Z72" s="129" t="str">
        <f t="shared" ref="Z72:Z103" si="77">IF(C72="","",T72+W72)</f>
        <v/>
      </c>
      <c r="AA72" s="129" t="str">
        <f t="shared" ref="AA72:AA103" si="78">IF(C72="","",U72+X72)</f>
        <v/>
      </c>
      <c r="AB72" s="129" t="str">
        <f t="shared" ref="AB72:AB103" si="79">IF(C72="","",IF($BD$3="是",IF(CC72="成本法",CX72,CE72),""))</f>
        <v/>
      </c>
      <c r="AC72" s="521" t="str">
        <f t="shared" ref="AC72:AC103" si="80">IF(C72="","",IF($BD$3="是",IF(CC72="成本法",MIN(MAX(15,DC72*100),99),""),""))</f>
        <v/>
      </c>
      <c r="AD72" s="129" t="str">
        <f t="shared" ref="AD72:AD108" si="81">IFERROR(IF(AC72="",AB72,ROUND(AB72*AC72/100,0)),"")</f>
        <v/>
      </c>
      <c r="AE72" s="129"/>
      <c r="AF72" s="129">
        <v>0</v>
      </c>
      <c r="AG72" s="129" t="str">
        <f t="shared" si="74"/>
        <v/>
      </c>
      <c r="AH72" s="145"/>
      <c r="BC72" s="78"/>
      <c r="BD72" s="132" t="s">
        <v>4136</v>
      </c>
      <c r="BE72" s="133"/>
      <c r="BF72" s="132" t="str">
        <f>IF(OR(C72="",BE72=""),"",COUNTIF(BE$8:BE72,"√"))</f>
        <v/>
      </c>
      <c r="BG72" s="134" t="str">
        <f t="shared" ref="BG72:BG103" si="82">IF(BE72="","",BD72&amp;"︱"&amp;C72&amp;"︱"&amp;TEXT(S72,"#,##0.00"))</f>
        <v/>
      </c>
      <c r="BH72" s="135" t="str">
        <f t="shared" si="20"/>
        <v/>
      </c>
      <c r="BI72" s="135" t="str">
        <f t="shared" si="20"/>
        <v/>
      </c>
      <c r="BJ72" s="136"/>
      <c r="BK72" s="137"/>
      <c r="BL72" s="136"/>
      <c r="BM72" s="136"/>
      <c r="BN72" s="136"/>
      <c r="BO72" s="136"/>
      <c r="BP72" s="137"/>
      <c r="BQ72" s="136"/>
      <c r="BR72" s="137"/>
      <c r="BT72" s="787">
        <f t="shared" ref="BT72:BT103" si="83">IFERROR(Y72/(1+BS72)/K72,0)</f>
        <v>0</v>
      </c>
      <c r="BU72" s="788">
        <f t="shared" si="42"/>
        <v>0</v>
      </c>
      <c r="BV72" s="787">
        <f t="shared" si="43"/>
        <v>0</v>
      </c>
      <c r="BW72" s="787">
        <v>170</v>
      </c>
      <c r="BX72" s="789">
        <f>IFERROR(LOOKUP(M72,基础数据!A:D),1)</f>
        <v>1</v>
      </c>
      <c r="BY72" s="790">
        <f t="shared" si="44"/>
        <v>3.55771976932645</v>
      </c>
      <c r="BZ72" s="787">
        <f t="shared" si="75"/>
        <v>600</v>
      </c>
      <c r="CA72" s="797"/>
      <c r="CB72" s="792">
        <f t="shared" si="26"/>
        <v>0.13</v>
      </c>
      <c r="CC72" s="165" t="s">
        <v>2706</v>
      </c>
      <c r="CD72" s="793">
        <v>0</v>
      </c>
      <c r="CE72" s="156">
        <f t="shared" ref="CE72:CE103" si="84">ROUND(CD72*K72,2)</f>
        <v>0</v>
      </c>
      <c r="CF72" s="156">
        <f t="shared" si="45"/>
        <v>0</v>
      </c>
      <c r="CG72" s="776"/>
      <c r="CH72" s="156">
        <f t="shared" si="46"/>
        <v>0</v>
      </c>
      <c r="CI72" s="156">
        <f t="shared" si="47"/>
        <v>0</v>
      </c>
      <c r="CJ72" s="776"/>
      <c r="CK72" s="156">
        <f t="shared" si="48"/>
        <v>0</v>
      </c>
      <c r="CL72" s="156">
        <f t="shared" si="49"/>
        <v>0</v>
      </c>
      <c r="CM72" s="776"/>
      <c r="CN72" s="156">
        <f t="shared" si="50"/>
        <v>0</v>
      </c>
      <c r="CO72" s="156">
        <f t="shared" si="51"/>
        <v>0</v>
      </c>
      <c r="CP72" s="776"/>
      <c r="CQ72" s="776"/>
      <c r="CR72" s="794">
        <f t="shared" si="52"/>
        <v>0</v>
      </c>
      <c r="CS72" s="156">
        <f t="shared" si="53"/>
        <v>0</v>
      </c>
      <c r="CT72" s="156">
        <f t="shared" si="54"/>
        <v>0</v>
      </c>
      <c r="CU72" s="156">
        <v>0</v>
      </c>
      <c r="CV72" s="795">
        <f>LOOKUP(CU72,参数表!$A$13:$B$19)</f>
        <v>0</v>
      </c>
      <c r="CW72" s="156">
        <f t="shared" si="55"/>
        <v>0</v>
      </c>
      <c r="CX72" s="156">
        <f t="shared" si="56"/>
        <v>0</v>
      </c>
      <c r="CY72" s="156">
        <f t="shared" ref="CY72:CY103" si="85">(CY$6-M72)/365.25</f>
        <v>125.582477754962</v>
      </c>
      <c r="CZ72" s="223">
        <v>10</v>
      </c>
      <c r="DA72" s="746">
        <f t="shared" si="57"/>
        <v>-11.56</v>
      </c>
      <c r="DB72" s="746">
        <f t="shared" si="36"/>
        <v>-11.51</v>
      </c>
      <c r="DC72" s="746">
        <f t="shared" si="58"/>
        <v>-11.51</v>
      </c>
      <c r="DE72" s="134" t="str">
        <f>IF(COUNTIF(DE$7:DE71,C72)&gt;0,"",C72)&amp;""</f>
        <v/>
      </c>
      <c r="DF72" s="138">
        <f t="shared" ref="DF72:DF103" si="86">SUMIF(C$8:C$134,DE72,Y$8:Y$134)</f>
        <v>0</v>
      </c>
      <c r="DG72" s="132">
        <f t="shared" ref="DG72:DG103" si="87">RANK(DF72,DF$8:DF$134)</f>
        <v>1</v>
      </c>
      <c r="DH72" s="138">
        <f t="shared" ref="DH72:DH103" si="88">SUMIF(C$8:C$134,DE72,AB$8:AB$134)</f>
        <v>0</v>
      </c>
      <c r="DI72" s="132">
        <f t="shared" ref="DI72:DI103" si="89">RANK(DH72,DH$8:DH$134)</f>
        <v>1</v>
      </c>
      <c r="DJ72" s="133"/>
      <c r="DK72" s="133"/>
      <c r="DM72" s="796" t="s">
        <v>4123</v>
      </c>
      <c r="DN72" s="75">
        <v>816.39</v>
      </c>
    </row>
    <row r="73" ht="15" customHeight="1" spans="1:118">
      <c r="A73" s="785" t="str">
        <f>IF(C73="","",COUNT(A$7:A72)+1)</f>
        <v/>
      </c>
      <c r="B73" s="141"/>
      <c r="C73" s="139"/>
      <c r="D73" s="141"/>
      <c r="E73" s="535"/>
      <c r="F73" s="535"/>
      <c r="G73" s="141"/>
      <c r="H73" s="536"/>
      <c r="I73" s="139"/>
      <c r="J73" s="141"/>
      <c r="K73" s="141"/>
      <c r="L73" s="140"/>
      <c r="M73" s="140"/>
      <c r="N73" s="142"/>
      <c r="O73" s="127"/>
      <c r="P73" s="128"/>
      <c r="Q73" s="128"/>
      <c r="R73" s="129"/>
      <c r="S73" s="143"/>
      <c r="T73" s="143"/>
      <c r="U73" s="143"/>
      <c r="V73" s="144"/>
      <c r="W73" s="144"/>
      <c r="X73" s="144"/>
      <c r="Y73" s="129" t="str">
        <f t="shared" si="76"/>
        <v/>
      </c>
      <c r="Z73" s="129" t="str">
        <f t="shared" si="77"/>
        <v/>
      </c>
      <c r="AA73" s="129" t="str">
        <f t="shared" si="78"/>
        <v/>
      </c>
      <c r="AB73" s="129" t="str">
        <f t="shared" si="79"/>
        <v/>
      </c>
      <c r="AC73" s="521" t="str">
        <f t="shared" si="80"/>
        <v/>
      </c>
      <c r="AD73" s="129" t="str">
        <f t="shared" si="81"/>
        <v/>
      </c>
      <c r="AE73" s="129"/>
      <c r="AF73" s="129">
        <v>0</v>
      </c>
      <c r="AG73" s="129" t="str">
        <f t="shared" ref="AG73:AG104" si="90">IFERROR((AD73-(Z73-AA73))/(Z73-AA73)*100,"")</f>
        <v/>
      </c>
      <c r="AH73" s="145"/>
      <c r="BC73" s="78"/>
      <c r="BD73" s="132" t="s">
        <v>4137</v>
      </c>
      <c r="BE73" s="133"/>
      <c r="BF73" s="132" t="str">
        <f>IF(OR(C73="",BE73=""),"",COUNTIF(BE$8:BE73,"√"))</f>
        <v/>
      </c>
      <c r="BG73" s="134" t="str">
        <f t="shared" si="82"/>
        <v/>
      </c>
      <c r="BH73" s="135" t="str">
        <f t="shared" si="20"/>
        <v/>
      </c>
      <c r="BI73" s="135" t="str">
        <f t="shared" si="20"/>
        <v/>
      </c>
      <c r="BJ73" s="136"/>
      <c r="BK73" s="137"/>
      <c r="BL73" s="136"/>
      <c r="BM73" s="136"/>
      <c r="BN73" s="136"/>
      <c r="BO73" s="136"/>
      <c r="BP73" s="137"/>
      <c r="BQ73" s="136"/>
      <c r="BR73" s="137"/>
      <c r="BT73" s="787">
        <f t="shared" si="83"/>
        <v>0</v>
      </c>
      <c r="BU73" s="788">
        <f t="shared" si="42"/>
        <v>0</v>
      </c>
      <c r="BV73" s="787">
        <f t="shared" si="43"/>
        <v>0</v>
      </c>
      <c r="BW73" s="787">
        <v>60</v>
      </c>
      <c r="BX73" s="789">
        <f>IFERROR(LOOKUP(M73,基础数据!A:D),1)</f>
        <v>1</v>
      </c>
      <c r="BY73" s="790">
        <f t="shared" si="44"/>
        <v>3.55771976932645</v>
      </c>
      <c r="BZ73" s="787">
        <f t="shared" si="75"/>
        <v>210</v>
      </c>
      <c r="CA73" s="797"/>
      <c r="CB73" s="792">
        <f t="shared" si="26"/>
        <v>0.13</v>
      </c>
      <c r="CC73" s="165" t="s">
        <v>2706</v>
      </c>
      <c r="CD73" s="793">
        <v>0</v>
      </c>
      <c r="CE73" s="156">
        <f t="shared" si="84"/>
        <v>0</v>
      </c>
      <c r="CF73" s="156">
        <f t="shared" si="45"/>
        <v>0</v>
      </c>
      <c r="CG73" s="776"/>
      <c r="CH73" s="156">
        <f t="shared" si="46"/>
        <v>0</v>
      </c>
      <c r="CI73" s="156">
        <f t="shared" si="47"/>
        <v>0</v>
      </c>
      <c r="CJ73" s="776"/>
      <c r="CK73" s="156">
        <f t="shared" si="48"/>
        <v>0</v>
      </c>
      <c r="CL73" s="156">
        <f t="shared" si="49"/>
        <v>0</v>
      </c>
      <c r="CM73" s="776"/>
      <c r="CN73" s="156">
        <f t="shared" si="50"/>
        <v>0</v>
      </c>
      <c r="CO73" s="156">
        <f t="shared" si="51"/>
        <v>0</v>
      </c>
      <c r="CP73" s="776"/>
      <c r="CQ73" s="776"/>
      <c r="CR73" s="794">
        <f t="shared" si="52"/>
        <v>0</v>
      </c>
      <c r="CS73" s="156">
        <f t="shared" si="53"/>
        <v>0</v>
      </c>
      <c r="CT73" s="156">
        <f t="shared" si="54"/>
        <v>0</v>
      </c>
      <c r="CU73" s="156">
        <v>0</v>
      </c>
      <c r="CV73" s="795">
        <f>LOOKUP(CU73,参数表!$A$13:$B$19)</f>
        <v>0</v>
      </c>
      <c r="CW73" s="156">
        <f t="shared" si="55"/>
        <v>0</v>
      </c>
      <c r="CX73" s="156">
        <f t="shared" si="56"/>
        <v>0</v>
      </c>
      <c r="CY73" s="156">
        <f t="shared" si="85"/>
        <v>125.582477754962</v>
      </c>
      <c r="CZ73" s="223">
        <v>10</v>
      </c>
      <c r="DA73" s="746">
        <f t="shared" si="57"/>
        <v>-11.56</v>
      </c>
      <c r="DB73" s="746">
        <f t="shared" ref="DB73:DB133" si="91">DA73+5%</f>
        <v>-11.51</v>
      </c>
      <c r="DC73" s="746">
        <f t="shared" si="58"/>
        <v>-11.51</v>
      </c>
      <c r="DE73" s="134" t="str">
        <f>IF(COUNTIF(DE$7:DE72,C73)&gt;0,"",C73)&amp;""</f>
        <v/>
      </c>
      <c r="DF73" s="138">
        <f t="shared" si="86"/>
        <v>0</v>
      </c>
      <c r="DG73" s="132">
        <f t="shared" si="87"/>
        <v>1</v>
      </c>
      <c r="DH73" s="138">
        <f t="shared" si="88"/>
        <v>0</v>
      </c>
      <c r="DI73" s="132">
        <f t="shared" si="89"/>
        <v>1</v>
      </c>
      <c r="DJ73" s="133"/>
      <c r="DK73" s="133"/>
      <c r="DM73" s="796" t="s">
        <v>4123</v>
      </c>
      <c r="DN73" s="75">
        <v>816.39</v>
      </c>
    </row>
    <row r="74" ht="15" customHeight="1" spans="1:118">
      <c r="A74" s="785" t="str">
        <f>IF(C74="","",COUNT(A$7:A73)+1)</f>
        <v/>
      </c>
      <c r="B74" s="141"/>
      <c r="C74" s="139"/>
      <c r="D74" s="141"/>
      <c r="E74" s="535"/>
      <c r="F74" s="535"/>
      <c r="G74" s="141"/>
      <c r="H74" s="536"/>
      <c r="I74" s="139"/>
      <c r="J74" s="141"/>
      <c r="K74" s="141"/>
      <c r="L74" s="140"/>
      <c r="M74" s="140"/>
      <c r="N74" s="142"/>
      <c r="O74" s="127"/>
      <c r="P74" s="128"/>
      <c r="Q74" s="128"/>
      <c r="R74" s="129"/>
      <c r="S74" s="143"/>
      <c r="T74" s="143"/>
      <c r="U74" s="143"/>
      <c r="V74" s="144"/>
      <c r="W74" s="144"/>
      <c r="X74" s="144"/>
      <c r="Y74" s="129" t="str">
        <f t="shared" si="76"/>
        <v/>
      </c>
      <c r="Z74" s="129" t="str">
        <f t="shared" si="77"/>
        <v/>
      </c>
      <c r="AA74" s="129" t="str">
        <f t="shared" si="78"/>
        <v/>
      </c>
      <c r="AB74" s="129" t="str">
        <f t="shared" si="79"/>
        <v/>
      </c>
      <c r="AC74" s="521" t="str">
        <f t="shared" si="80"/>
        <v/>
      </c>
      <c r="AD74" s="129" t="str">
        <f t="shared" si="81"/>
        <v/>
      </c>
      <c r="AE74" s="129"/>
      <c r="AF74" s="129">
        <v>0</v>
      </c>
      <c r="AG74" s="129" t="str">
        <f t="shared" si="90"/>
        <v/>
      </c>
      <c r="AH74" s="145"/>
      <c r="BC74" s="78"/>
      <c r="BD74" s="132" t="s">
        <v>4138</v>
      </c>
      <c r="BE74" s="133"/>
      <c r="BF74" s="132" t="str">
        <f>IF(OR(C74="",BE74=""),"",COUNTIF(BE$8:BE74,"√"))</f>
        <v/>
      </c>
      <c r="BG74" s="134" t="str">
        <f t="shared" si="82"/>
        <v/>
      </c>
      <c r="BH74" s="135" t="str">
        <f t="shared" si="20"/>
        <v/>
      </c>
      <c r="BI74" s="135" t="str">
        <f t="shared" si="20"/>
        <v/>
      </c>
      <c r="BJ74" s="136"/>
      <c r="BK74" s="137"/>
      <c r="BL74" s="136"/>
      <c r="BM74" s="136"/>
      <c r="BN74" s="136"/>
      <c r="BO74" s="136"/>
      <c r="BP74" s="137"/>
      <c r="BQ74" s="136"/>
      <c r="BR74" s="137"/>
      <c r="BT74" s="787">
        <f t="shared" si="83"/>
        <v>0</v>
      </c>
      <c r="BU74" s="788">
        <f t="shared" si="42"/>
        <v>0</v>
      </c>
      <c r="BV74" s="787">
        <f t="shared" si="43"/>
        <v>0</v>
      </c>
      <c r="BW74" s="787">
        <v>58620.69</v>
      </c>
      <c r="BX74" s="789">
        <f>IFERROR(LOOKUP(M74,基础数据!A:D),1)</f>
        <v>1</v>
      </c>
      <c r="BY74" s="790">
        <f t="shared" si="44"/>
        <v>3.55771976932645</v>
      </c>
      <c r="BZ74" s="787">
        <f t="shared" si="75"/>
        <v>208560</v>
      </c>
      <c r="CA74" s="797"/>
      <c r="CB74" s="792">
        <f t="shared" si="26"/>
        <v>0.13</v>
      </c>
      <c r="CC74" s="165" t="s">
        <v>2706</v>
      </c>
      <c r="CD74" s="793">
        <v>0</v>
      </c>
      <c r="CE74" s="156">
        <f t="shared" si="84"/>
        <v>0</v>
      </c>
      <c r="CF74" s="156">
        <f t="shared" si="45"/>
        <v>0</v>
      </c>
      <c r="CG74" s="776"/>
      <c r="CH74" s="156">
        <f t="shared" si="46"/>
        <v>0</v>
      </c>
      <c r="CI74" s="156">
        <f t="shared" si="47"/>
        <v>0</v>
      </c>
      <c r="CJ74" s="776"/>
      <c r="CK74" s="156">
        <f t="shared" si="48"/>
        <v>0</v>
      </c>
      <c r="CL74" s="156">
        <f t="shared" si="49"/>
        <v>0</v>
      </c>
      <c r="CM74" s="776"/>
      <c r="CN74" s="156">
        <f t="shared" si="50"/>
        <v>0</v>
      </c>
      <c r="CO74" s="156">
        <f t="shared" si="51"/>
        <v>0</v>
      </c>
      <c r="CP74" s="776"/>
      <c r="CQ74" s="776"/>
      <c r="CR74" s="794">
        <f t="shared" si="52"/>
        <v>0</v>
      </c>
      <c r="CS74" s="156">
        <f t="shared" si="53"/>
        <v>0</v>
      </c>
      <c r="CT74" s="156">
        <f t="shared" si="54"/>
        <v>0</v>
      </c>
      <c r="CU74" s="156">
        <v>0</v>
      </c>
      <c r="CV74" s="795">
        <f>LOOKUP(CU74,参数表!$A$13:$B$19)</f>
        <v>0</v>
      </c>
      <c r="CW74" s="156">
        <f t="shared" si="55"/>
        <v>0</v>
      </c>
      <c r="CX74" s="156">
        <f t="shared" si="56"/>
        <v>0</v>
      </c>
      <c r="CY74" s="156">
        <f t="shared" si="85"/>
        <v>125.582477754962</v>
      </c>
      <c r="CZ74" s="223">
        <v>10</v>
      </c>
      <c r="DA74" s="746">
        <f t="shared" si="57"/>
        <v>-11.56</v>
      </c>
      <c r="DB74" s="746">
        <f t="shared" si="91"/>
        <v>-11.51</v>
      </c>
      <c r="DC74" s="746">
        <f t="shared" si="58"/>
        <v>-11.51</v>
      </c>
      <c r="DE74" s="134" t="str">
        <f>IF(COUNTIF(DE$7:DE73,C74)&gt;0,"",C74)&amp;""</f>
        <v/>
      </c>
      <c r="DF74" s="138">
        <f t="shared" si="86"/>
        <v>0</v>
      </c>
      <c r="DG74" s="132">
        <f t="shared" si="87"/>
        <v>1</v>
      </c>
      <c r="DH74" s="138">
        <f t="shared" si="88"/>
        <v>0</v>
      </c>
      <c r="DI74" s="132">
        <f t="shared" si="89"/>
        <v>1</v>
      </c>
      <c r="DJ74" s="133"/>
      <c r="DK74" s="133"/>
      <c r="DM74" s="796" t="s">
        <v>4123</v>
      </c>
      <c r="DN74" s="75">
        <v>1037.83</v>
      </c>
    </row>
    <row r="75" ht="15" customHeight="1" spans="1:118">
      <c r="A75" s="785" t="str">
        <f>IF(C75="","",COUNT(A$7:A74)+1)</f>
        <v/>
      </c>
      <c r="B75" s="141"/>
      <c r="C75" s="139"/>
      <c r="D75" s="141"/>
      <c r="E75" s="535"/>
      <c r="F75" s="535"/>
      <c r="G75" s="141"/>
      <c r="H75" s="536"/>
      <c r="I75" s="139"/>
      <c r="J75" s="141"/>
      <c r="K75" s="141"/>
      <c r="L75" s="140"/>
      <c r="M75" s="140"/>
      <c r="N75" s="142"/>
      <c r="O75" s="127"/>
      <c r="P75" s="128"/>
      <c r="Q75" s="128"/>
      <c r="R75" s="129"/>
      <c r="S75" s="143"/>
      <c r="T75" s="143"/>
      <c r="U75" s="143"/>
      <c r="V75" s="144"/>
      <c r="W75" s="144"/>
      <c r="X75" s="144"/>
      <c r="Y75" s="129" t="str">
        <f t="shared" si="76"/>
        <v/>
      </c>
      <c r="Z75" s="129" t="str">
        <f t="shared" si="77"/>
        <v/>
      </c>
      <c r="AA75" s="129" t="str">
        <f t="shared" si="78"/>
        <v/>
      </c>
      <c r="AB75" s="129" t="str">
        <f t="shared" si="79"/>
        <v/>
      </c>
      <c r="AC75" s="521" t="str">
        <f t="shared" si="80"/>
        <v/>
      </c>
      <c r="AD75" s="129" t="str">
        <f t="shared" si="81"/>
        <v/>
      </c>
      <c r="AE75" s="129"/>
      <c r="AF75" s="129">
        <v>0</v>
      </c>
      <c r="AG75" s="129" t="str">
        <f t="shared" si="90"/>
        <v/>
      </c>
      <c r="AH75" s="145"/>
      <c r="BC75" s="78"/>
      <c r="BD75" s="132" t="s">
        <v>4139</v>
      </c>
      <c r="BE75" s="133"/>
      <c r="BF75" s="132" t="str">
        <f>IF(OR(C75="",BE75=""),"",COUNTIF(BE$8:BE75,"√"))</f>
        <v/>
      </c>
      <c r="BG75" s="134" t="str">
        <f t="shared" si="82"/>
        <v/>
      </c>
      <c r="BH75" s="135" t="str">
        <f t="shared" si="20"/>
        <v/>
      </c>
      <c r="BI75" s="135" t="str">
        <f t="shared" si="20"/>
        <v/>
      </c>
      <c r="BJ75" s="136"/>
      <c r="BK75" s="137"/>
      <c r="BL75" s="136"/>
      <c r="BM75" s="136"/>
      <c r="BN75" s="136"/>
      <c r="BO75" s="136"/>
      <c r="BP75" s="137"/>
      <c r="BQ75" s="136"/>
      <c r="BR75" s="137"/>
      <c r="BT75" s="787">
        <f t="shared" si="83"/>
        <v>0</v>
      </c>
      <c r="BU75" s="788">
        <f t="shared" si="42"/>
        <v>0</v>
      </c>
      <c r="BV75" s="787">
        <f t="shared" si="43"/>
        <v>0</v>
      </c>
      <c r="BW75" s="787">
        <v>870</v>
      </c>
      <c r="BX75" s="789">
        <f>IFERROR(LOOKUP(M75,基础数据!A:D),1)</f>
        <v>1</v>
      </c>
      <c r="BY75" s="790">
        <f t="shared" si="44"/>
        <v>3.55771976932645</v>
      </c>
      <c r="BZ75" s="787">
        <f t="shared" si="75"/>
        <v>3100</v>
      </c>
      <c r="CA75" s="797"/>
      <c r="CB75" s="792">
        <f t="shared" si="26"/>
        <v>0.13</v>
      </c>
      <c r="CC75" s="165" t="s">
        <v>2706</v>
      </c>
      <c r="CD75" s="793">
        <v>0</v>
      </c>
      <c r="CE75" s="156">
        <f t="shared" si="84"/>
        <v>0</v>
      </c>
      <c r="CF75" s="156">
        <f t="shared" si="45"/>
        <v>0</v>
      </c>
      <c r="CG75" s="776"/>
      <c r="CH75" s="156">
        <f t="shared" si="46"/>
        <v>0</v>
      </c>
      <c r="CI75" s="156">
        <f t="shared" si="47"/>
        <v>0</v>
      </c>
      <c r="CJ75" s="776"/>
      <c r="CK75" s="156">
        <f t="shared" si="48"/>
        <v>0</v>
      </c>
      <c r="CL75" s="156">
        <f t="shared" si="49"/>
        <v>0</v>
      </c>
      <c r="CM75" s="776"/>
      <c r="CN75" s="156">
        <f t="shared" si="50"/>
        <v>0</v>
      </c>
      <c r="CO75" s="156">
        <f t="shared" si="51"/>
        <v>0</v>
      </c>
      <c r="CP75" s="776"/>
      <c r="CQ75" s="776"/>
      <c r="CR75" s="794">
        <f t="shared" si="52"/>
        <v>0</v>
      </c>
      <c r="CS75" s="156">
        <f t="shared" si="53"/>
        <v>0</v>
      </c>
      <c r="CT75" s="156">
        <f t="shared" si="54"/>
        <v>0</v>
      </c>
      <c r="CU75" s="156">
        <v>0</v>
      </c>
      <c r="CV75" s="795">
        <f>LOOKUP(CU75,参数表!$A$13:$B$19)</f>
        <v>0</v>
      </c>
      <c r="CW75" s="156">
        <f t="shared" si="55"/>
        <v>0</v>
      </c>
      <c r="CX75" s="156">
        <f t="shared" si="56"/>
        <v>0</v>
      </c>
      <c r="CY75" s="156">
        <f t="shared" si="85"/>
        <v>125.582477754962</v>
      </c>
      <c r="CZ75" s="223">
        <v>10</v>
      </c>
      <c r="DA75" s="746">
        <f t="shared" si="57"/>
        <v>-11.56</v>
      </c>
      <c r="DB75" s="746">
        <f t="shared" si="91"/>
        <v>-11.51</v>
      </c>
      <c r="DC75" s="746">
        <f t="shared" si="58"/>
        <v>-11.51</v>
      </c>
      <c r="DE75" s="134" t="str">
        <f>IF(COUNTIF(DE$7:DE74,C75)&gt;0,"",C75)&amp;""</f>
        <v/>
      </c>
      <c r="DF75" s="138">
        <f t="shared" si="86"/>
        <v>0</v>
      </c>
      <c r="DG75" s="132">
        <f t="shared" si="87"/>
        <v>1</v>
      </c>
      <c r="DH75" s="138">
        <f t="shared" si="88"/>
        <v>0</v>
      </c>
      <c r="DI75" s="132">
        <f t="shared" si="89"/>
        <v>1</v>
      </c>
      <c r="DJ75" s="133"/>
      <c r="DK75" s="133"/>
      <c r="DM75" s="796" t="s">
        <v>4123</v>
      </c>
      <c r="DN75" s="75">
        <v>1037.83</v>
      </c>
    </row>
    <row r="76" ht="15" customHeight="1" spans="1:118">
      <c r="A76" s="785" t="str">
        <f>IF(C76="","",COUNT(A$7:A75)+1)</f>
        <v/>
      </c>
      <c r="B76" s="141"/>
      <c r="C76" s="139"/>
      <c r="D76" s="141"/>
      <c r="E76" s="535"/>
      <c r="F76" s="535"/>
      <c r="G76" s="141"/>
      <c r="H76" s="536"/>
      <c r="I76" s="139"/>
      <c r="J76" s="141"/>
      <c r="K76" s="141"/>
      <c r="L76" s="140"/>
      <c r="M76" s="140"/>
      <c r="N76" s="142"/>
      <c r="O76" s="127"/>
      <c r="P76" s="128"/>
      <c r="Q76" s="128"/>
      <c r="R76" s="129"/>
      <c r="S76" s="143"/>
      <c r="T76" s="143"/>
      <c r="U76" s="143"/>
      <c r="V76" s="144"/>
      <c r="W76" s="144"/>
      <c r="X76" s="144"/>
      <c r="Y76" s="129" t="str">
        <f t="shared" si="76"/>
        <v/>
      </c>
      <c r="Z76" s="129" t="str">
        <f t="shared" si="77"/>
        <v/>
      </c>
      <c r="AA76" s="129" t="str">
        <f t="shared" si="78"/>
        <v/>
      </c>
      <c r="AB76" s="129" t="str">
        <f t="shared" si="79"/>
        <v/>
      </c>
      <c r="AC76" s="521" t="str">
        <f t="shared" si="80"/>
        <v/>
      </c>
      <c r="AD76" s="129" t="str">
        <f t="shared" si="81"/>
        <v/>
      </c>
      <c r="AE76" s="129"/>
      <c r="AF76" s="129">
        <v>0</v>
      </c>
      <c r="AG76" s="129" t="str">
        <f t="shared" si="90"/>
        <v/>
      </c>
      <c r="AH76" s="145"/>
      <c r="BC76" s="78"/>
      <c r="BD76" s="132" t="s">
        <v>4140</v>
      </c>
      <c r="BE76" s="133"/>
      <c r="BF76" s="132" t="str">
        <f>IF(OR(C76="",BE76=""),"",COUNTIF(BE$8:BE76,"√"))</f>
        <v/>
      </c>
      <c r="BG76" s="134" t="str">
        <f t="shared" si="82"/>
        <v/>
      </c>
      <c r="BH76" s="135" t="str">
        <f t="shared" si="20"/>
        <v/>
      </c>
      <c r="BI76" s="135" t="str">
        <f t="shared" si="20"/>
        <v/>
      </c>
      <c r="BJ76" s="136"/>
      <c r="BK76" s="137"/>
      <c r="BL76" s="136"/>
      <c r="BM76" s="136"/>
      <c r="BN76" s="136"/>
      <c r="BO76" s="136"/>
      <c r="BP76" s="137"/>
      <c r="BQ76" s="136"/>
      <c r="BR76" s="137"/>
      <c r="BT76" s="787">
        <f t="shared" si="83"/>
        <v>0</v>
      </c>
      <c r="BU76" s="788">
        <f t="shared" si="42"/>
        <v>0</v>
      </c>
      <c r="BV76" s="787">
        <f t="shared" si="43"/>
        <v>0</v>
      </c>
      <c r="BW76" s="787">
        <v>5630</v>
      </c>
      <c r="BX76" s="789">
        <f>IFERROR(LOOKUP(M76,基础数据!A:D),1)</f>
        <v>1</v>
      </c>
      <c r="BY76" s="790">
        <f t="shared" si="44"/>
        <v>3.55771976932645</v>
      </c>
      <c r="BZ76" s="787">
        <f t="shared" si="75"/>
        <v>20030</v>
      </c>
      <c r="CA76" s="797"/>
      <c r="CB76" s="792">
        <f t="shared" si="26"/>
        <v>0.13</v>
      </c>
      <c r="CC76" s="165" t="s">
        <v>2706</v>
      </c>
      <c r="CD76" s="793">
        <v>0</v>
      </c>
      <c r="CE76" s="156">
        <f t="shared" si="84"/>
        <v>0</v>
      </c>
      <c r="CF76" s="156">
        <f t="shared" si="45"/>
        <v>0</v>
      </c>
      <c r="CG76" s="776"/>
      <c r="CH76" s="156">
        <f t="shared" si="46"/>
        <v>0</v>
      </c>
      <c r="CI76" s="156">
        <f t="shared" si="47"/>
        <v>0</v>
      </c>
      <c r="CJ76" s="776"/>
      <c r="CK76" s="156">
        <f t="shared" si="48"/>
        <v>0</v>
      </c>
      <c r="CL76" s="156">
        <f t="shared" si="49"/>
        <v>0</v>
      </c>
      <c r="CM76" s="776"/>
      <c r="CN76" s="156">
        <f t="shared" si="50"/>
        <v>0</v>
      </c>
      <c r="CO76" s="156">
        <f t="shared" si="51"/>
        <v>0</v>
      </c>
      <c r="CP76" s="776"/>
      <c r="CQ76" s="776"/>
      <c r="CR76" s="794">
        <f t="shared" si="52"/>
        <v>0</v>
      </c>
      <c r="CS76" s="156">
        <f t="shared" si="53"/>
        <v>0</v>
      </c>
      <c r="CT76" s="156">
        <f t="shared" si="54"/>
        <v>0</v>
      </c>
      <c r="CU76" s="156">
        <v>0</v>
      </c>
      <c r="CV76" s="795">
        <f>LOOKUP(CU76,参数表!$A$13:$B$19)</f>
        <v>0</v>
      </c>
      <c r="CW76" s="156">
        <f t="shared" si="55"/>
        <v>0</v>
      </c>
      <c r="CX76" s="156">
        <f t="shared" si="56"/>
        <v>0</v>
      </c>
      <c r="CY76" s="156">
        <f t="shared" si="85"/>
        <v>125.582477754962</v>
      </c>
      <c r="CZ76" s="223">
        <v>10</v>
      </c>
      <c r="DA76" s="746">
        <f t="shared" si="57"/>
        <v>-11.56</v>
      </c>
      <c r="DB76" s="746">
        <f t="shared" si="91"/>
        <v>-11.51</v>
      </c>
      <c r="DC76" s="746">
        <f t="shared" si="58"/>
        <v>-11.51</v>
      </c>
      <c r="DE76" s="134" t="str">
        <f>IF(COUNTIF(DE$7:DE75,C76)&gt;0,"",C76)&amp;""</f>
        <v/>
      </c>
      <c r="DF76" s="138">
        <f t="shared" si="86"/>
        <v>0</v>
      </c>
      <c r="DG76" s="132">
        <f t="shared" si="87"/>
        <v>1</v>
      </c>
      <c r="DH76" s="138">
        <f t="shared" si="88"/>
        <v>0</v>
      </c>
      <c r="DI76" s="132">
        <f t="shared" si="89"/>
        <v>1</v>
      </c>
      <c r="DJ76" s="133"/>
      <c r="DK76" s="133"/>
      <c r="DM76" s="796" t="s">
        <v>4123</v>
      </c>
      <c r="DN76" s="75">
        <v>1037.83</v>
      </c>
    </row>
    <row r="77" ht="15" customHeight="1" spans="1:118">
      <c r="A77" s="785" t="str">
        <f>IF(C77="","",COUNT(A$7:A76)+1)</f>
        <v/>
      </c>
      <c r="B77" s="141"/>
      <c r="C77" s="139"/>
      <c r="D77" s="141"/>
      <c r="E77" s="535"/>
      <c r="F77" s="535"/>
      <c r="G77" s="141"/>
      <c r="H77" s="536"/>
      <c r="I77" s="139"/>
      <c r="J77" s="141"/>
      <c r="K77" s="141"/>
      <c r="L77" s="140"/>
      <c r="M77" s="140"/>
      <c r="N77" s="142"/>
      <c r="O77" s="127"/>
      <c r="P77" s="128"/>
      <c r="Q77" s="128"/>
      <c r="R77" s="129"/>
      <c r="S77" s="143"/>
      <c r="T77" s="143"/>
      <c r="U77" s="143"/>
      <c r="V77" s="144"/>
      <c r="W77" s="144"/>
      <c r="X77" s="144"/>
      <c r="Y77" s="129" t="str">
        <f t="shared" si="76"/>
        <v/>
      </c>
      <c r="Z77" s="129" t="str">
        <f t="shared" si="77"/>
        <v/>
      </c>
      <c r="AA77" s="129" t="str">
        <f t="shared" si="78"/>
        <v/>
      </c>
      <c r="AB77" s="129" t="str">
        <f t="shared" si="79"/>
        <v/>
      </c>
      <c r="AC77" s="521" t="str">
        <f t="shared" si="80"/>
        <v/>
      </c>
      <c r="AD77" s="129" t="str">
        <f t="shared" si="81"/>
        <v/>
      </c>
      <c r="AE77" s="129"/>
      <c r="AF77" s="129">
        <v>0</v>
      </c>
      <c r="AG77" s="129" t="str">
        <f t="shared" si="90"/>
        <v/>
      </c>
      <c r="AH77" s="145"/>
      <c r="BC77" s="78"/>
      <c r="BD77" s="132" t="s">
        <v>4141</v>
      </c>
      <c r="BE77" s="133"/>
      <c r="BF77" s="132" t="str">
        <f>IF(OR(C77="",BE77=""),"",COUNTIF(BE$8:BE77,"√"))</f>
        <v/>
      </c>
      <c r="BG77" s="134" t="str">
        <f t="shared" si="82"/>
        <v/>
      </c>
      <c r="BH77" s="135" t="str">
        <f t="shared" si="20"/>
        <v/>
      </c>
      <c r="BI77" s="135" t="str">
        <f t="shared" si="20"/>
        <v/>
      </c>
      <c r="BJ77" s="136"/>
      <c r="BK77" s="137"/>
      <c r="BL77" s="136"/>
      <c r="BM77" s="136"/>
      <c r="BN77" s="136"/>
      <c r="BO77" s="136"/>
      <c r="BP77" s="137"/>
      <c r="BQ77" s="136"/>
      <c r="BR77" s="137"/>
      <c r="BT77" s="787">
        <f t="shared" si="83"/>
        <v>0</v>
      </c>
      <c r="BU77" s="788">
        <f t="shared" si="42"/>
        <v>0</v>
      </c>
      <c r="BV77" s="787">
        <f t="shared" si="43"/>
        <v>0</v>
      </c>
      <c r="BW77" s="787">
        <v>3840</v>
      </c>
      <c r="BX77" s="789">
        <f>IFERROR(LOOKUP(M77,基础数据!A:D),1)</f>
        <v>1</v>
      </c>
      <c r="BY77" s="790">
        <f t="shared" si="44"/>
        <v>3.55771976932645</v>
      </c>
      <c r="BZ77" s="787">
        <f t="shared" si="75"/>
        <v>13660</v>
      </c>
      <c r="CA77" s="797"/>
      <c r="CB77" s="792">
        <f t="shared" si="26"/>
        <v>0.13</v>
      </c>
      <c r="CC77" s="165" t="s">
        <v>2706</v>
      </c>
      <c r="CD77" s="793">
        <v>0</v>
      </c>
      <c r="CE77" s="156">
        <f t="shared" si="84"/>
        <v>0</v>
      </c>
      <c r="CF77" s="156">
        <f t="shared" si="45"/>
        <v>0</v>
      </c>
      <c r="CG77" s="776"/>
      <c r="CH77" s="156">
        <f t="shared" si="46"/>
        <v>0</v>
      </c>
      <c r="CI77" s="156">
        <f t="shared" si="47"/>
        <v>0</v>
      </c>
      <c r="CJ77" s="776"/>
      <c r="CK77" s="156">
        <f t="shared" si="48"/>
        <v>0</v>
      </c>
      <c r="CL77" s="156">
        <f t="shared" si="49"/>
        <v>0</v>
      </c>
      <c r="CM77" s="776"/>
      <c r="CN77" s="156">
        <f t="shared" si="50"/>
        <v>0</v>
      </c>
      <c r="CO77" s="156">
        <f t="shared" si="51"/>
        <v>0</v>
      </c>
      <c r="CP77" s="776"/>
      <c r="CQ77" s="776"/>
      <c r="CR77" s="794">
        <f t="shared" si="52"/>
        <v>0</v>
      </c>
      <c r="CS77" s="156">
        <f t="shared" si="53"/>
        <v>0</v>
      </c>
      <c r="CT77" s="156">
        <f t="shared" si="54"/>
        <v>0</v>
      </c>
      <c r="CU77" s="156">
        <v>0</v>
      </c>
      <c r="CV77" s="795">
        <f>LOOKUP(CU77,参数表!$A$13:$B$19)</f>
        <v>0</v>
      </c>
      <c r="CW77" s="156">
        <f t="shared" si="55"/>
        <v>0</v>
      </c>
      <c r="CX77" s="156">
        <f t="shared" si="56"/>
        <v>0</v>
      </c>
      <c r="CY77" s="156">
        <f t="shared" si="85"/>
        <v>125.582477754962</v>
      </c>
      <c r="CZ77" s="223">
        <v>10</v>
      </c>
      <c r="DA77" s="746">
        <f t="shared" si="57"/>
        <v>-11.56</v>
      </c>
      <c r="DB77" s="746">
        <f t="shared" si="91"/>
        <v>-11.51</v>
      </c>
      <c r="DC77" s="746">
        <f t="shared" si="58"/>
        <v>-11.51</v>
      </c>
      <c r="DE77" s="134" t="str">
        <f>IF(COUNTIF(DE$7:DE76,C77)&gt;0,"",C77)&amp;""</f>
        <v/>
      </c>
      <c r="DF77" s="138">
        <f t="shared" si="86"/>
        <v>0</v>
      </c>
      <c r="DG77" s="132">
        <f t="shared" si="87"/>
        <v>1</v>
      </c>
      <c r="DH77" s="138">
        <f t="shared" si="88"/>
        <v>0</v>
      </c>
      <c r="DI77" s="132">
        <f t="shared" si="89"/>
        <v>1</v>
      </c>
      <c r="DJ77" s="133"/>
      <c r="DK77" s="133"/>
      <c r="DM77" s="796" t="s">
        <v>4123</v>
      </c>
      <c r="DN77" s="75">
        <v>928.51</v>
      </c>
    </row>
    <row r="78" ht="15" customHeight="1" spans="1:118">
      <c r="A78" s="785" t="str">
        <f>IF(C78="","",COUNT(A$7:A77)+1)</f>
        <v/>
      </c>
      <c r="B78" s="141"/>
      <c r="C78" s="139"/>
      <c r="D78" s="141"/>
      <c r="E78" s="535"/>
      <c r="F78" s="535"/>
      <c r="G78" s="141"/>
      <c r="H78" s="536"/>
      <c r="I78" s="139"/>
      <c r="J78" s="141"/>
      <c r="K78" s="141"/>
      <c r="L78" s="140"/>
      <c r="M78" s="140"/>
      <c r="N78" s="142"/>
      <c r="O78" s="127"/>
      <c r="P78" s="128"/>
      <c r="Q78" s="128"/>
      <c r="R78" s="129"/>
      <c r="S78" s="143"/>
      <c r="T78" s="143"/>
      <c r="U78" s="143"/>
      <c r="V78" s="144"/>
      <c r="W78" s="144"/>
      <c r="X78" s="144"/>
      <c r="Y78" s="129" t="str">
        <f t="shared" si="76"/>
        <v/>
      </c>
      <c r="Z78" s="129" t="str">
        <f t="shared" si="77"/>
        <v/>
      </c>
      <c r="AA78" s="129" t="str">
        <f t="shared" si="78"/>
        <v/>
      </c>
      <c r="AB78" s="129" t="str">
        <f t="shared" si="79"/>
        <v/>
      </c>
      <c r="AC78" s="521" t="str">
        <f t="shared" si="80"/>
        <v/>
      </c>
      <c r="AD78" s="129" t="str">
        <f t="shared" si="81"/>
        <v/>
      </c>
      <c r="AE78" s="129"/>
      <c r="AF78" s="129">
        <v>0</v>
      </c>
      <c r="AG78" s="129" t="str">
        <f t="shared" si="90"/>
        <v/>
      </c>
      <c r="AH78" s="145"/>
      <c r="BC78" s="78"/>
      <c r="BD78" s="132" t="s">
        <v>4142</v>
      </c>
      <c r="BE78" s="133"/>
      <c r="BF78" s="132" t="str">
        <f>IF(OR(C78="",BE78=""),"",COUNTIF(BE$8:BE78,"√"))</f>
        <v/>
      </c>
      <c r="BG78" s="134" t="str">
        <f t="shared" si="82"/>
        <v/>
      </c>
      <c r="BH78" s="135" t="str">
        <f t="shared" si="20"/>
        <v/>
      </c>
      <c r="BI78" s="135" t="str">
        <f t="shared" si="20"/>
        <v/>
      </c>
      <c r="BJ78" s="136"/>
      <c r="BK78" s="137"/>
      <c r="BL78" s="136"/>
      <c r="BM78" s="136"/>
      <c r="BN78" s="136"/>
      <c r="BO78" s="136"/>
      <c r="BP78" s="137"/>
      <c r="BQ78" s="136"/>
      <c r="BR78" s="137"/>
      <c r="BT78" s="787">
        <f t="shared" si="83"/>
        <v>0</v>
      </c>
      <c r="BU78" s="788">
        <f t="shared" si="42"/>
        <v>0</v>
      </c>
      <c r="BV78" s="787">
        <f t="shared" si="43"/>
        <v>0</v>
      </c>
      <c r="BW78" s="787">
        <v>1810</v>
      </c>
      <c r="BX78" s="789">
        <f>IFERROR(LOOKUP(M78,基础数据!A:D),1)</f>
        <v>1</v>
      </c>
      <c r="BY78" s="790">
        <f t="shared" si="44"/>
        <v>3.55771976932645</v>
      </c>
      <c r="BZ78" s="787">
        <f t="shared" si="75"/>
        <v>6440</v>
      </c>
      <c r="CA78" s="797"/>
      <c r="CB78" s="792">
        <f t="shared" si="26"/>
        <v>0.13</v>
      </c>
      <c r="CC78" s="165" t="s">
        <v>2706</v>
      </c>
      <c r="CD78" s="793">
        <v>0</v>
      </c>
      <c r="CE78" s="156">
        <f t="shared" si="84"/>
        <v>0</v>
      </c>
      <c r="CF78" s="156">
        <f t="shared" si="45"/>
        <v>0</v>
      </c>
      <c r="CG78" s="776"/>
      <c r="CH78" s="156">
        <f t="shared" si="46"/>
        <v>0</v>
      </c>
      <c r="CI78" s="156">
        <f t="shared" si="47"/>
        <v>0</v>
      </c>
      <c r="CJ78" s="776"/>
      <c r="CK78" s="156">
        <f t="shared" si="48"/>
        <v>0</v>
      </c>
      <c r="CL78" s="156">
        <f t="shared" si="49"/>
        <v>0</v>
      </c>
      <c r="CM78" s="776"/>
      <c r="CN78" s="156">
        <f t="shared" si="50"/>
        <v>0</v>
      </c>
      <c r="CO78" s="156">
        <f t="shared" si="51"/>
        <v>0</v>
      </c>
      <c r="CP78" s="776"/>
      <c r="CQ78" s="776"/>
      <c r="CR78" s="794">
        <f t="shared" si="52"/>
        <v>0</v>
      </c>
      <c r="CS78" s="156">
        <f t="shared" si="53"/>
        <v>0</v>
      </c>
      <c r="CT78" s="156">
        <f t="shared" si="54"/>
        <v>0</v>
      </c>
      <c r="CU78" s="156">
        <v>0</v>
      </c>
      <c r="CV78" s="795">
        <f>LOOKUP(CU78,参数表!$A$13:$B$19)</f>
        <v>0</v>
      </c>
      <c r="CW78" s="156">
        <f t="shared" si="55"/>
        <v>0</v>
      </c>
      <c r="CX78" s="156">
        <f t="shared" si="56"/>
        <v>0</v>
      </c>
      <c r="CY78" s="156">
        <f t="shared" si="85"/>
        <v>125.582477754962</v>
      </c>
      <c r="CZ78" s="223">
        <v>10</v>
      </c>
      <c r="DA78" s="746">
        <f t="shared" si="57"/>
        <v>-11.56</v>
      </c>
      <c r="DB78" s="746">
        <f t="shared" si="91"/>
        <v>-11.51</v>
      </c>
      <c r="DC78" s="746">
        <f t="shared" si="58"/>
        <v>-11.51</v>
      </c>
      <c r="DE78" s="134" t="str">
        <f>IF(COUNTIF(DE$7:DE77,C78)&gt;0,"",C78)&amp;""</f>
        <v/>
      </c>
      <c r="DF78" s="138">
        <f t="shared" si="86"/>
        <v>0</v>
      </c>
      <c r="DG78" s="132">
        <f t="shared" si="87"/>
        <v>1</v>
      </c>
      <c r="DH78" s="138">
        <f t="shared" si="88"/>
        <v>0</v>
      </c>
      <c r="DI78" s="132">
        <f t="shared" si="89"/>
        <v>1</v>
      </c>
      <c r="DJ78" s="133"/>
      <c r="DK78" s="133"/>
      <c r="DM78" s="796" t="s">
        <v>4123</v>
      </c>
      <c r="DN78" s="75">
        <v>928.51</v>
      </c>
    </row>
    <row r="79" ht="15" customHeight="1" spans="1:118">
      <c r="A79" s="785" t="str">
        <f>IF(C79="","",COUNT(A$7:A78)+1)</f>
        <v/>
      </c>
      <c r="B79" s="141"/>
      <c r="C79" s="139"/>
      <c r="D79" s="141"/>
      <c r="E79" s="535"/>
      <c r="F79" s="535"/>
      <c r="G79" s="141"/>
      <c r="H79" s="536"/>
      <c r="I79" s="139"/>
      <c r="J79" s="141"/>
      <c r="K79" s="141"/>
      <c r="L79" s="140"/>
      <c r="M79" s="140"/>
      <c r="N79" s="142"/>
      <c r="O79" s="127"/>
      <c r="P79" s="128"/>
      <c r="Q79" s="128"/>
      <c r="R79" s="129"/>
      <c r="S79" s="143"/>
      <c r="T79" s="143"/>
      <c r="U79" s="143"/>
      <c r="V79" s="144"/>
      <c r="W79" s="144"/>
      <c r="X79" s="144"/>
      <c r="Y79" s="129" t="str">
        <f t="shared" si="76"/>
        <v/>
      </c>
      <c r="Z79" s="129" t="str">
        <f t="shared" si="77"/>
        <v/>
      </c>
      <c r="AA79" s="129" t="str">
        <f t="shared" si="78"/>
        <v/>
      </c>
      <c r="AB79" s="129" t="str">
        <f t="shared" si="79"/>
        <v/>
      </c>
      <c r="AC79" s="521" t="str">
        <f t="shared" si="80"/>
        <v/>
      </c>
      <c r="AD79" s="129" t="str">
        <f t="shared" si="81"/>
        <v/>
      </c>
      <c r="AE79" s="129"/>
      <c r="AF79" s="129">
        <v>0</v>
      </c>
      <c r="AG79" s="129" t="str">
        <f t="shared" si="90"/>
        <v/>
      </c>
      <c r="AH79" s="145"/>
      <c r="BC79" s="78"/>
      <c r="BD79" s="132" t="s">
        <v>4143</v>
      </c>
      <c r="BE79" s="133"/>
      <c r="BF79" s="132" t="str">
        <f>IF(OR(C79="",BE79=""),"",COUNTIF(BE$8:BE79,"√"))</f>
        <v/>
      </c>
      <c r="BG79" s="134" t="str">
        <f t="shared" si="82"/>
        <v/>
      </c>
      <c r="BH79" s="135" t="str">
        <f t="shared" si="20"/>
        <v/>
      </c>
      <c r="BI79" s="135" t="str">
        <f t="shared" si="20"/>
        <v/>
      </c>
      <c r="BJ79" s="136"/>
      <c r="BK79" s="137"/>
      <c r="BL79" s="136"/>
      <c r="BM79" s="136"/>
      <c r="BN79" s="136"/>
      <c r="BO79" s="136"/>
      <c r="BP79" s="137"/>
      <c r="BQ79" s="136"/>
      <c r="BR79" s="137"/>
      <c r="BT79" s="787">
        <f t="shared" si="83"/>
        <v>0</v>
      </c>
      <c r="BU79" s="788">
        <f t="shared" si="42"/>
        <v>0</v>
      </c>
      <c r="BV79" s="787">
        <f t="shared" si="43"/>
        <v>0</v>
      </c>
      <c r="BW79" s="787">
        <v>1310</v>
      </c>
      <c r="BX79" s="789">
        <f>IFERROR(LOOKUP(M79,基础数据!A:D),1)</f>
        <v>1</v>
      </c>
      <c r="BY79" s="790">
        <f t="shared" si="44"/>
        <v>3.55771976932645</v>
      </c>
      <c r="BZ79" s="787">
        <f t="shared" si="75"/>
        <v>4660</v>
      </c>
      <c r="CA79" s="797"/>
      <c r="CB79" s="792">
        <f t="shared" si="26"/>
        <v>0.13</v>
      </c>
      <c r="CC79" s="165" t="s">
        <v>2706</v>
      </c>
      <c r="CD79" s="793">
        <v>0</v>
      </c>
      <c r="CE79" s="156">
        <f t="shared" si="84"/>
        <v>0</v>
      </c>
      <c r="CF79" s="156">
        <f t="shared" si="45"/>
        <v>0</v>
      </c>
      <c r="CG79" s="776"/>
      <c r="CH79" s="156">
        <f t="shared" si="46"/>
        <v>0</v>
      </c>
      <c r="CI79" s="156">
        <f t="shared" si="47"/>
        <v>0</v>
      </c>
      <c r="CJ79" s="776"/>
      <c r="CK79" s="156">
        <f t="shared" si="48"/>
        <v>0</v>
      </c>
      <c r="CL79" s="156">
        <f t="shared" si="49"/>
        <v>0</v>
      </c>
      <c r="CM79" s="776"/>
      <c r="CN79" s="156">
        <f t="shared" si="50"/>
        <v>0</v>
      </c>
      <c r="CO79" s="156">
        <f t="shared" si="51"/>
        <v>0</v>
      </c>
      <c r="CP79" s="776"/>
      <c r="CQ79" s="776"/>
      <c r="CR79" s="794">
        <f t="shared" si="52"/>
        <v>0</v>
      </c>
      <c r="CS79" s="156">
        <f t="shared" si="53"/>
        <v>0</v>
      </c>
      <c r="CT79" s="156">
        <f t="shared" si="54"/>
        <v>0</v>
      </c>
      <c r="CU79" s="156">
        <v>0</v>
      </c>
      <c r="CV79" s="795">
        <f>LOOKUP(CU79,参数表!$A$13:$B$19)</f>
        <v>0</v>
      </c>
      <c r="CW79" s="156">
        <f t="shared" si="55"/>
        <v>0</v>
      </c>
      <c r="CX79" s="156">
        <f t="shared" si="56"/>
        <v>0</v>
      </c>
      <c r="CY79" s="156">
        <f t="shared" si="85"/>
        <v>125.582477754962</v>
      </c>
      <c r="CZ79" s="223">
        <v>10</v>
      </c>
      <c r="DA79" s="746">
        <f t="shared" si="57"/>
        <v>-11.56</v>
      </c>
      <c r="DB79" s="746">
        <f t="shared" si="91"/>
        <v>-11.51</v>
      </c>
      <c r="DC79" s="746">
        <f t="shared" si="58"/>
        <v>-11.51</v>
      </c>
      <c r="DE79" s="134" t="str">
        <f>IF(COUNTIF(DE$7:DE78,C79)&gt;0,"",C79)&amp;""</f>
        <v/>
      </c>
      <c r="DF79" s="138">
        <f t="shared" si="86"/>
        <v>0</v>
      </c>
      <c r="DG79" s="132">
        <f t="shared" si="87"/>
        <v>1</v>
      </c>
      <c r="DH79" s="138">
        <f t="shared" si="88"/>
        <v>0</v>
      </c>
      <c r="DI79" s="132">
        <f t="shared" si="89"/>
        <v>1</v>
      </c>
      <c r="DJ79" s="133"/>
      <c r="DK79" s="133"/>
      <c r="DM79" s="796" t="s">
        <v>4123</v>
      </c>
      <c r="DN79" s="75">
        <v>928.52</v>
      </c>
    </row>
    <row r="80" ht="15" customHeight="1" spans="1:118">
      <c r="A80" s="785" t="str">
        <f>IF(C80="","",COUNT(A$7:A79)+1)</f>
        <v/>
      </c>
      <c r="B80" s="141"/>
      <c r="C80" s="139"/>
      <c r="D80" s="141"/>
      <c r="E80" s="535"/>
      <c r="F80" s="535"/>
      <c r="G80" s="141"/>
      <c r="H80" s="536"/>
      <c r="I80" s="139"/>
      <c r="J80" s="141"/>
      <c r="K80" s="141"/>
      <c r="L80" s="140"/>
      <c r="M80" s="140"/>
      <c r="N80" s="142"/>
      <c r="O80" s="127"/>
      <c r="P80" s="128"/>
      <c r="Q80" s="128"/>
      <c r="R80" s="129"/>
      <c r="S80" s="143"/>
      <c r="T80" s="143"/>
      <c r="U80" s="143"/>
      <c r="V80" s="144"/>
      <c r="W80" s="144"/>
      <c r="X80" s="144"/>
      <c r="Y80" s="129" t="str">
        <f t="shared" si="76"/>
        <v/>
      </c>
      <c r="Z80" s="129" t="str">
        <f t="shared" si="77"/>
        <v/>
      </c>
      <c r="AA80" s="129" t="str">
        <f t="shared" si="78"/>
        <v/>
      </c>
      <c r="AB80" s="129" t="str">
        <f t="shared" si="79"/>
        <v/>
      </c>
      <c r="AC80" s="521" t="str">
        <f t="shared" si="80"/>
        <v/>
      </c>
      <c r="AD80" s="129" t="str">
        <f t="shared" si="81"/>
        <v/>
      </c>
      <c r="AE80" s="129"/>
      <c r="AF80" s="129">
        <v>0</v>
      </c>
      <c r="AG80" s="129" t="str">
        <f t="shared" si="90"/>
        <v/>
      </c>
      <c r="AH80" s="145"/>
      <c r="BC80" s="78"/>
      <c r="BD80" s="132" t="s">
        <v>4144</v>
      </c>
      <c r="BE80" s="133"/>
      <c r="BF80" s="132" t="str">
        <f>IF(OR(C80="",BE80=""),"",COUNTIF(BE$8:BE80,"√"))</f>
        <v/>
      </c>
      <c r="BG80" s="134" t="str">
        <f t="shared" si="82"/>
        <v/>
      </c>
      <c r="BH80" s="135" t="str">
        <f t="shared" si="20"/>
        <v/>
      </c>
      <c r="BI80" s="135" t="str">
        <f t="shared" si="20"/>
        <v/>
      </c>
      <c r="BJ80" s="136"/>
      <c r="BK80" s="137"/>
      <c r="BL80" s="136"/>
      <c r="BM80" s="136"/>
      <c r="BN80" s="136"/>
      <c r="BO80" s="136"/>
      <c r="BP80" s="137"/>
      <c r="BQ80" s="136"/>
      <c r="BR80" s="137"/>
      <c r="BT80" s="787">
        <f t="shared" si="83"/>
        <v>0</v>
      </c>
      <c r="BU80" s="788">
        <f t="shared" si="42"/>
        <v>0</v>
      </c>
      <c r="BV80" s="787">
        <f t="shared" si="43"/>
        <v>0</v>
      </c>
      <c r="BW80" s="787">
        <v>1270</v>
      </c>
      <c r="BX80" s="789">
        <f>IFERROR(LOOKUP(M80,基础数据!A:D),1)</f>
        <v>1</v>
      </c>
      <c r="BY80" s="790">
        <f t="shared" si="44"/>
        <v>3.55771976932645</v>
      </c>
      <c r="BZ80" s="787">
        <f t="shared" si="75"/>
        <v>4520</v>
      </c>
      <c r="CA80" s="797"/>
      <c r="CB80" s="792">
        <f t="shared" si="26"/>
        <v>0.13</v>
      </c>
      <c r="CC80" s="165" t="s">
        <v>2706</v>
      </c>
      <c r="CD80" s="793">
        <v>0</v>
      </c>
      <c r="CE80" s="156">
        <f t="shared" si="84"/>
        <v>0</v>
      </c>
      <c r="CF80" s="156">
        <f t="shared" si="45"/>
        <v>0</v>
      </c>
      <c r="CG80" s="776"/>
      <c r="CH80" s="156">
        <f t="shared" si="46"/>
        <v>0</v>
      </c>
      <c r="CI80" s="156">
        <f t="shared" si="47"/>
        <v>0</v>
      </c>
      <c r="CJ80" s="776"/>
      <c r="CK80" s="156">
        <f t="shared" si="48"/>
        <v>0</v>
      </c>
      <c r="CL80" s="156">
        <f t="shared" si="49"/>
        <v>0</v>
      </c>
      <c r="CM80" s="776"/>
      <c r="CN80" s="156">
        <f t="shared" si="50"/>
        <v>0</v>
      </c>
      <c r="CO80" s="156">
        <f t="shared" si="51"/>
        <v>0</v>
      </c>
      <c r="CP80" s="776"/>
      <c r="CQ80" s="776"/>
      <c r="CR80" s="794">
        <f t="shared" si="52"/>
        <v>0</v>
      </c>
      <c r="CS80" s="156">
        <f t="shared" si="53"/>
        <v>0</v>
      </c>
      <c r="CT80" s="156">
        <f t="shared" si="54"/>
        <v>0</v>
      </c>
      <c r="CU80" s="156">
        <v>0</v>
      </c>
      <c r="CV80" s="795">
        <f>LOOKUP(CU80,参数表!$A$13:$B$19)</f>
        <v>0</v>
      </c>
      <c r="CW80" s="156">
        <f t="shared" si="55"/>
        <v>0</v>
      </c>
      <c r="CX80" s="156">
        <f t="shared" si="56"/>
        <v>0</v>
      </c>
      <c r="CY80" s="156">
        <f t="shared" si="85"/>
        <v>125.582477754962</v>
      </c>
      <c r="CZ80" s="223">
        <v>10</v>
      </c>
      <c r="DA80" s="746">
        <f t="shared" si="57"/>
        <v>-11.56</v>
      </c>
      <c r="DB80" s="746">
        <f t="shared" si="91"/>
        <v>-11.51</v>
      </c>
      <c r="DC80" s="746">
        <f t="shared" si="58"/>
        <v>-11.51</v>
      </c>
      <c r="DE80" s="134" t="str">
        <f>IF(COUNTIF(DE$7:DE79,C80)&gt;0,"",C80)&amp;""</f>
        <v/>
      </c>
      <c r="DF80" s="138">
        <f t="shared" si="86"/>
        <v>0</v>
      </c>
      <c r="DG80" s="132">
        <f t="shared" si="87"/>
        <v>1</v>
      </c>
      <c r="DH80" s="138">
        <f t="shared" si="88"/>
        <v>0</v>
      </c>
      <c r="DI80" s="132">
        <f t="shared" si="89"/>
        <v>1</v>
      </c>
      <c r="DJ80" s="133"/>
      <c r="DK80" s="133"/>
      <c r="DM80" s="796" t="s">
        <v>4123</v>
      </c>
      <c r="DN80" s="75">
        <v>1131.29</v>
      </c>
    </row>
    <row r="81" ht="15" customHeight="1" spans="1:118">
      <c r="A81" s="785" t="str">
        <f>IF(C81="","",COUNT(A$7:A80)+1)</f>
        <v/>
      </c>
      <c r="B81" s="141"/>
      <c r="C81" s="139"/>
      <c r="D81" s="141"/>
      <c r="E81" s="535"/>
      <c r="F81" s="535"/>
      <c r="G81" s="141"/>
      <c r="H81" s="536"/>
      <c r="I81" s="139"/>
      <c r="J81" s="141"/>
      <c r="K81" s="141"/>
      <c r="L81" s="140"/>
      <c r="M81" s="140"/>
      <c r="N81" s="142"/>
      <c r="O81" s="127"/>
      <c r="P81" s="128"/>
      <c r="Q81" s="128"/>
      <c r="R81" s="129"/>
      <c r="S81" s="143"/>
      <c r="T81" s="143"/>
      <c r="U81" s="143"/>
      <c r="V81" s="144"/>
      <c r="W81" s="144"/>
      <c r="X81" s="144"/>
      <c r="Y81" s="129" t="str">
        <f t="shared" si="76"/>
        <v/>
      </c>
      <c r="Z81" s="129" t="str">
        <f t="shared" si="77"/>
        <v/>
      </c>
      <c r="AA81" s="129" t="str">
        <f t="shared" si="78"/>
        <v/>
      </c>
      <c r="AB81" s="129" t="str">
        <f t="shared" si="79"/>
        <v/>
      </c>
      <c r="AC81" s="521" t="str">
        <f t="shared" si="80"/>
        <v/>
      </c>
      <c r="AD81" s="129" t="str">
        <f t="shared" si="81"/>
        <v/>
      </c>
      <c r="AE81" s="129"/>
      <c r="AF81" s="129">
        <v>0</v>
      </c>
      <c r="AG81" s="129" t="str">
        <f t="shared" si="90"/>
        <v/>
      </c>
      <c r="AH81" s="145"/>
      <c r="BC81" s="78"/>
      <c r="BD81" s="132" t="s">
        <v>4145</v>
      </c>
      <c r="BE81" s="133"/>
      <c r="BF81" s="132" t="str">
        <f>IF(OR(C81="",BE81=""),"",COUNTIF(BE$8:BE81,"√"))</f>
        <v/>
      </c>
      <c r="BG81" s="134" t="str">
        <f t="shared" si="82"/>
        <v/>
      </c>
      <c r="BH81" s="135" t="str">
        <f t="shared" si="20"/>
        <v/>
      </c>
      <c r="BI81" s="135" t="str">
        <f t="shared" si="20"/>
        <v/>
      </c>
      <c r="BJ81" s="136"/>
      <c r="BK81" s="137"/>
      <c r="BL81" s="136"/>
      <c r="BM81" s="136"/>
      <c r="BN81" s="136"/>
      <c r="BO81" s="136"/>
      <c r="BP81" s="137"/>
      <c r="BQ81" s="136"/>
      <c r="BR81" s="137"/>
      <c r="BT81" s="787">
        <f t="shared" si="83"/>
        <v>0</v>
      </c>
      <c r="BU81" s="788">
        <f t="shared" si="42"/>
        <v>0</v>
      </c>
      <c r="BV81" s="787">
        <f t="shared" si="43"/>
        <v>0</v>
      </c>
      <c r="BW81" s="787">
        <v>74270</v>
      </c>
      <c r="BX81" s="789">
        <f>IFERROR(LOOKUP(M81,基础数据!A:D),1)</f>
        <v>1</v>
      </c>
      <c r="BY81" s="790">
        <f t="shared" si="44"/>
        <v>3.55771976932645</v>
      </c>
      <c r="BZ81" s="787">
        <f t="shared" si="75"/>
        <v>264230</v>
      </c>
      <c r="CA81" s="797"/>
      <c r="CB81" s="792">
        <f t="shared" si="26"/>
        <v>0.13</v>
      </c>
      <c r="CC81" s="165" t="s">
        <v>2706</v>
      </c>
      <c r="CD81" s="793">
        <v>0</v>
      </c>
      <c r="CE81" s="156">
        <f t="shared" si="84"/>
        <v>0</v>
      </c>
      <c r="CF81" s="156">
        <f t="shared" si="45"/>
        <v>0</v>
      </c>
      <c r="CG81" s="776"/>
      <c r="CH81" s="156">
        <f t="shared" si="46"/>
        <v>0</v>
      </c>
      <c r="CI81" s="156">
        <f t="shared" si="47"/>
        <v>0</v>
      </c>
      <c r="CJ81" s="776"/>
      <c r="CK81" s="156">
        <f t="shared" si="48"/>
        <v>0</v>
      </c>
      <c r="CL81" s="156">
        <f t="shared" si="49"/>
        <v>0</v>
      </c>
      <c r="CM81" s="776"/>
      <c r="CN81" s="156">
        <f t="shared" si="50"/>
        <v>0</v>
      </c>
      <c r="CO81" s="156">
        <f t="shared" si="51"/>
        <v>0</v>
      </c>
      <c r="CP81" s="776"/>
      <c r="CQ81" s="776"/>
      <c r="CR81" s="794">
        <f t="shared" si="52"/>
        <v>0</v>
      </c>
      <c r="CS81" s="156">
        <f t="shared" si="53"/>
        <v>0</v>
      </c>
      <c r="CT81" s="156">
        <f t="shared" si="54"/>
        <v>0</v>
      </c>
      <c r="CU81" s="156">
        <v>0</v>
      </c>
      <c r="CV81" s="795">
        <f>LOOKUP(CU81,参数表!$A$13:$B$19)</f>
        <v>0</v>
      </c>
      <c r="CW81" s="156">
        <f t="shared" si="55"/>
        <v>0</v>
      </c>
      <c r="CX81" s="156">
        <f t="shared" si="56"/>
        <v>0</v>
      </c>
      <c r="CY81" s="156">
        <f t="shared" si="85"/>
        <v>125.582477754962</v>
      </c>
      <c r="CZ81" s="223">
        <v>10</v>
      </c>
      <c r="DA81" s="746">
        <f t="shared" si="57"/>
        <v>-11.56</v>
      </c>
      <c r="DB81" s="746">
        <f t="shared" si="91"/>
        <v>-11.51</v>
      </c>
      <c r="DC81" s="746">
        <f t="shared" si="58"/>
        <v>-11.51</v>
      </c>
      <c r="DE81" s="134" t="str">
        <f>IF(COUNTIF(DE$7:DE80,C81)&gt;0,"",C81)&amp;""</f>
        <v/>
      </c>
      <c r="DF81" s="138">
        <f t="shared" si="86"/>
        <v>0</v>
      </c>
      <c r="DG81" s="132">
        <f t="shared" si="87"/>
        <v>1</v>
      </c>
      <c r="DH81" s="138">
        <f t="shared" si="88"/>
        <v>0</v>
      </c>
      <c r="DI81" s="132">
        <f t="shared" si="89"/>
        <v>1</v>
      </c>
      <c r="DJ81" s="133"/>
      <c r="DK81" s="133"/>
      <c r="DM81" s="796" t="s">
        <v>4123</v>
      </c>
      <c r="DN81" s="75">
        <v>1131.29</v>
      </c>
    </row>
    <row r="82" ht="15" customHeight="1" spans="1:118">
      <c r="A82" s="785" t="str">
        <f>IF(C82="","",COUNT(A$7:A81)+1)</f>
        <v/>
      </c>
      <c r="B82" s="141"/>
      <c r="C82" s="139"/>
      <c r="D82" s="141"/>
      <c r="E82" s="535"/>
      <c r="F82" s="535"/>
      <c r="G82" s="141"/>
      <c r="H82" s="536"/>
      <c r="I82" s="139"/>
      <c r="J82" s="141"/>
      <c r="K82" s="141"/>
      <c r="L82" s="140"/>
      <c r="M82" s="140"/>
      <c r="N82" s="142"/>
      <c r="O82" s="127"/>
      <c r="P82" s="128"/>
      <c r="Q82" s="128"/>
      <c r="R82" s="129"/>
      <c r="S82" s="143"/>
      <c r="T82" s="143"/>
      <c r="U82" s="143"/>
      <c r="V82" s="144"/>
      <c r="W82" s="144"/>
      <c r="X82" s="144"/>
      <c r="Y82" s="129" t="str">
        <f t="shared" si="76"/>
        <v/>
      </c>
      <c r="Z82" s="129" t="str">
        <f t="shared" si="77"/>
        <v/>
      </c>
      <c r="AA82" s="129" t="str">
        <f t="shared" si="78"/>
        <v/>
      </c>
      <c r="AB82" s="129" t="str">
        <f t="shared" si="79"/>
        <v/>
      </c>
      <c r="AC82" s="521" t="str">
        <f t="shared" si="80"/>
        <v/>
      </c>
      <c r="AD82" s="129" t="str">
        <f t="shared" si="81"/>
        <v/>
      </c>
      <c r="AE82" s="129"/>
      <c r="AF82" s="129">
        <v>0</v>
      </c>
      <c r="AG82" s="129" t="str">
        <f t="shared" si="90"/>
        <v/>
      </c>
      <c r="AH82" s="145"/>
      <c r="BC82" s="78"/>
      <c r="BD82" s="132" t="s">
        <v>4146</v>
      </c>
      <c r="BE82" s="133"/>
      <c r="BF82" s="132" t="str">
        <f>IF(OR(C82="",BE82=""),"",COUNTIF(BE$8:BE82,"√"))</f>
        <v/>
      </c>
      <c r="BG82" s="134" t="str">
        <f t="shared" si="82"/>
        <v/>
      </c>
      <c r="BH82" s="135" t="str">
        <f t="shared" si="20"/>
        <v/>
      </c>
      <c r="BI82" s="135" t="str">
        <f t="shared" si="20"/>
        <v/>
      </c>
      <c r="BJ82" s="136"/>
      <c r="BK82" s="137"/>
      <c r="BL82" s="136"/>
      <c r="BM82" s="136"/>
      <c r="BN82" s="136"/>
      <c r="BO82" s="136"/>
      <c r="BP82" s="137"/>
      <c r="BQ82" s="136"/>
      <c r="BR82" s="137"/>
      <c r="BT82" s="787">
        <f t="shared" si="83"/>
        <v>0</v>
      </c>
      <c r="BU82" s="788">
        <f t="shared" si="42"/>
        <v>0</v>
      </c>
      <c r="BV82" s="787">
        <f t="shared" si="43"/>
        <v>0</v>
      </c>
      <c r="BW82" s="787">
        <v>82370</v>
      </c>
      <c r="BX82" s="789">
        <f>IFERROR(LOOKUP(M82,基础数据!A:D),1)</f>
        <v>1</v>
      </c>
      <c r="BY82" s="790">
        <f t="shared" si="44"/>
        <v>3.55771976932645</v>
      </c>
      <c r="BZ82" s="787">
        <f t="shared" si="75"/>
        <v>293050</v>
      </c>
      <c r="CA82" s="797"/>
      <c r="CB82" s="792">
        <f t="shared" si="26"/>
        <v>0.13</v>
      </c>
      <c r="CC82" s="165" t="s">
        <v>2706</v>
      </c>
      <c r="CD82" s="793">
        <v>0</v>
      </c>
      <c r="CE82" s="156">
        <f t="shared" si="84"/>
        <v>0</v>
      </c>
      <c r="CF82" s="156">
        <f t="shared" si="45"/>
        <v>0</v>
      </c>
      <c r="CG82" s="776"/>
      <c r="CH82" s="156">
        <f t="shared" si="46"/>
        <v>0</v>
      </c>
      <c r="CI82" s="156">
        <f t="shared" si="47"/>
        <v>0</v>
      </c>
      <c r="CJ82" s="776"/>
      <c r="CK82" s="156">
        <f t="shared" si="48"/>
        <v>0</v>
      </c>
      <c r="CL82" s="156">
        <f t="shared" si="49"/>
        <v>0</v>
      </c>
      <c r="CM82" s="776"/>
      <c r="CN82" s="156">
        <f t="shared" si="50"/>
        <v>0</v>
      </c>
      <c r="CO82" s="156">
        <f t="shared" si="51"/>
        <v>0</v>
      </c>
      <c r="CP82" s="776"/>
      <c r="CQ82" s="776"/>
      <c r="CR82" s="794">
        <f t="shared" si="52"/>
        <v>0</v>
      </c>
      <c r="CS82" s="156">
        <f t="shared" si="53"/>
        <v>0</v>
      </c>
      <c r="CT82" s="156">
        <f t="shared" si="54"/>
        <v>0</v>
      </c>
      <c r="CU82" s="156">
        <v>0</v>
      </c>
      <c r="CV82" s="795">
        <f>LOOKUP(CU82,参数表!$A$13:$B$19)</f>
        <v>0</v>
      </c>
      <c r="CW82" s="156">
        <f t="shared" si="55"/>
        <v>0</v>
      </c>
      <c r="CX82" s="156">
        <f t="shared" si="56"/>
        <v>0</v>
      </c>
      <c r="CY82" s="156">
        <f t="shared" si="85"/>
        <v>125.582477754962</v>
      </c>
      <c r="CZ82" s="223">
        <v>10</v>
      </c>
      <c r="DA82" s="746">
        <f t="shared" si="57"/>
        <v>-11.56</v>
      </c>
      <c r="DB82" s="746">
        <f t="shared" si="91"/>
        <v>-11.51</v>
      </c>
      <c r="DC82" s="746">
        <f t="shared" si="58"/>
        <v>-11.51</v>
      </c>
      <c r="DE82" s="134" t="str">
        <f>IF(COUNTIF(DE$7:DE81,C82)&gt;0,"",C82)&amp;""</f>
        <v/>
      </c>
      <c r="DF82" s="138">
        <f t="shared" si="86"/>
        <v>0</v>
      </c>
      <c r="DG82" s="132">
        <f t="shared" si="87"/>
        <v>1</v>
      </c>
      <c r="DH82" s="138">
        <f t="shared" si="88"/>
        <v>0</v>
      </c>
      <c r="DI82" s="132">
        <f t="shared" si="89"/>
        <v>1</v>
      </c>
      <c r="DJ82" s="133"/>
      <c r="DK82" s="133"/>
      <c r="DM82" s="796" t="s">
        <v>4123</v>
      </c>
      <c r="DN82" s="75">
        <v>1131.3</v>
      </c>
    </row>
    <row r="83" ht="15" customHeight="1" spans="1:118">
      <c r="A83" s="785" t="str">
        <f>IF(C83="","",COUNT(A$7:A82)+1)</f>
        <v/>
      </c>
      <c r="B83" s="141"/>
      <c r="C83" s="139"/>
      <c r="D83" s="141"/>
      <c r="E83" s="535"/>
      <c r="F83" s="535"/>
      <c r="G83" s="141"/>
      <c r="H83" s="536"/>
      <c r="I83" s="139"/>
      <c r="J83" s="141"/>
      <c r="K83" s="141"/>
      <c r="L83" s="140"/>
      <c r="M83" s="140"/>
      <c r="N83" s="142"/>
      <c r="O83" s="127"/>
      <c r="P83" s="128"/>
      <c r="Q83" s="128"/>
      <c r="R83" s="129"/>
      <c r="S83" s="143"/>
      <c r="T83" s="143"/>
      <c r="U83" s="143"/>
      <c r="V83" s="144"/>
      <c r="W83" s="144"/>
      <c r="X83" s="144"/>
      <c r="Y83" s="129" t="str">
        <f t="shared" si="76"/>
        <v/>
      </c>
      <c r="Z83" s="129" t="str">
        <f t="shared" si="77"/>
        <v/>
      </c>
      <c r="AA83" s="129" t="str">
        <f t="shared" si="78"/>
        <v/>
      </c>
      <c r="AB83" s="129" t="str">
        <f t="shared" si="79"/>
        <v/>
      </c>
      <c r="AC83" s="521" t="str">
        <f t="shared" si="80"/>
        <v/>
      </c>
      <c r="AD83" s="129" t="str">
        <f t="shared" si="81"/>
        <v/>
      </c>
      <c r="AE83" s="129"/>
      <c r="AF83" s="129">
        <v>0</v>
      </c>
      <c r="AG83" s="129" t="str">
        <f t="shared" si="90"/>
        <v/>
      </c>
      <c r="AH83" s="145"/>
      <c r="BC83" s="78"/>
      <c r="BD83" s="132" t="s">
        <v>4147</v>
      </c>
      <c r="BE83" s="133"/>
      <c r="BF83" s="132" t="str">
        <f>IF(OR(C83="",BE83=""),"",COUNTIF(BE$8:BE83,"√"))</f>
        <v/>
      </c>
      <c r="BG83" s="134" t="str">
        <f t="shared" si="82"/>
        <v/>
      </c>
      <c r="BH83" s="135" t="str">
        <f t="shared" si="20"/>
        <v/>
      </c>
      <c r="BI83" s="135" t="str">
        <f t="shared" si="20"/>
        <v/>
      </c>
      <c r="BJ83" s="136"/>
      <c r="BK83" s="137"/>
      <c r="BL83" s="136"/>
      <c r="BM83" s="136"/>
      <c r="BN83" s="136"/>
      <c r="BO83" s="136"/>
      <c r="BP83" s="137"/>
      <c r="BQ83" s="136"/>
      <c r="BR83" s="137"/>
      <c r="BT83" s="787">
        <f t="shared" si="83"/>
        <v>0</v>
      </c>
      <c r="BU83" s="788">
        <f t="shared" si="42"/>
        <v>0</v>
      </c>
      <c r="BV83" s="787">
        <f t="shared" si="43"/>
        <v>0</v>
      </c>
      <c r="BW83" s="787">
        <v>3205.13</v>
      </c>
      <c r="BX83" s="789">
        <f>IFERROR(LOOKUP(M83,基础数据!A:D),1)</f>
        <v>1</v>
      </c>
      <c r="BY83" s="790">
        <f t="shared" si="44"/>
        <v>3.55771976932645</v>
      </c>
      <c r="BZ83" s="787">
        <f t="shared" si="75"/>
        <v>11400</v>
      </c>
      <c r="CA83" s="791">
        <v>17809844932</v>
      </c>
      <c r="CB83" s="792">
        <f t="shared" si="26"/>
        <v>0.13</v>
      </c>
      <c r="CC83" s="165" t="s">
        <v>230</v>
      </c>
      <c r="CD83" s="793">
        <v>0</v>
      </c>
      <c r="CE83" s="156">
        <f t="shared" si="84"/>
        <v>0</v>
      </c>
      <c r="CF83" s="156">
        <f t="shared" si="45"/>
        <v>0</v>
      </c>
      <c r="CG83" s="776"/>
      <c r="CH83" s="156">
        <f t="shared" si="46"/>
        <v>0</v>
      </c>
      <c r="CI83" s="156">
        <f t="shared" si="47"/>
        <v>0</v>
      </c>
      <c r="CJ83" s="776"/>
      <c r="CK83" s="156">
        <f t="shared" si="48"/>
        <v>0</v>
      </c>
      <c r="CL83" s="156">
        <f t="shared" si="49"/>
        <v>0</v>
      </c>
      <c r="CM83" s="776"/>
      <c r="CN83" s="156">
        <f t="shared" si="50"/>
        <v>0</v>
      </c>
      <c r="CO83" s="156">
        <f t="shared" si="51"/>
        <v>0</v>
      </c>
      <c r="CP83" s="776"/>
      <c r="CQ83" s="776"/>
      <c r="CR83" s="794">
        <f t="shared" si="52"/>
        <v>0</v>
      </c>
      <c r="CS83" s="156">
        <f t="shared" si="53"/>
        <v>0</v>
      </c>
      <c r="CT83" s="156">
        <f t="shared" si="54"/>
        <v>0</v>
      </c>
      <c r="CU83" s="156">
        <v>0</v>
      </c>
      <c r="CV83" s="795">
        <f>LOOKUP(CU83,参数表!$A$13:$B$19)</f>
        <v>0</v>
      </c>
      <c r="CW83" s="156">
        <f t="shared" si="55"/>
        <v>0</v>
      </c>
      <c r="CX83" s="156">
        <f t="shared" si="56"/>
        <v>0</v>
      </c>
      <c r="CY83" s="156">
        <f t="shared" si="85"/>
        <v>125.582477754962</v>
      </c>
      <c r="CZ83" s="223">
        <v>4</v>
      </c>
      <c r="DA83" s="746">
        <f t="shared" si="57"/>
        <v>-30.4</v>
      </c>
      <c r="DB83" s="746">
        <f t="shared" si="91"/>
        <v>-30.35</v>
      </c>
      <c r="DC83" s="746">
        <f t="shared" si="58"/>
        <v>-30.35</v>
      </c>
      <c r="DE83" s="134" t="str">
        <f>IF(COUNTIF(DE$7:DE82,C83)&gt;0,"",C83)&amp;""</f>
        <v/>
      </c>
      <c r="DF83" s="138">
        <f t="shared" si="86"/>
        <v>0</v>
      </c>
      <c r="DG83" s="132">
        <f t="shared" si="87"/>
        <v>1</v>
      </c>
      <c r="DH83" s="138">
        <f t="shared" si="88"/>
        <v>0</v>
      </c>
      <c r="DI83" s="132">
        <f t="shared" si="89"/>
        <v>1</v>
      </c>
      <c r="DJ83" s="133"/>
      <c r="DK83" s="133"/>
      <c r="DM83" s="796" t="s">
        <v>4067</v>
      </c>
      <c r="DN83" s="75">
        <v>849.81</v>
      </c>
    </row>
    <row r="84" ht="15" customHeight="1" spans="1:118">
      <c r="A84" s="785" t="str">
        <f>IF(C84="","",COUNT(A$7:A83)+1)</f>
        <v/>
      </c>
      <c r="B84" s="141"/>
      <c r="C84" s="139"/>
      <c r="D84" s="141"/>
      <c r="E84" s="535"/>
      <c r="F84" s="535"/>
      <c r="G84" s="141"/>
      <c r="H84" s="536"/>
      <c r="I84" s="139"/>
      <c r="J84" s="141"/>
      <c r="K84" s="141"/>
      <c r="L84" s="140"/>
      <c r="M84" s="140"/>
      <c r="N84" s="142"/>
      <c r="O84" s="127"/>
      <c r="P84" s="128"/>
      <c r="Q84" s="128"/>
      <c r="R84" s="129"/>
      <c r="S84" s="143"/>
      <c r="T84" s="143"/>
      <c r="U84" s="143"/>
      <c r="V84" s="144"/>
      <c r="W84" s="144"/>
      <c r="X84" s="144"/>
      <c r="Y84" s="129" t="str">
        <f t="shared" si="76"/>
        <v/>
      </c>
      <c r="Z84" s="129" t="str">
        <f t="shared" si="77"/>
        <v/>
      </c>
      <c r="AA84" s="129" t="str">
        <f t="shared" si="78"/>
        <v/>
      </c>
      <c r="AB84" s="129" t="str">
        <f t="shared" si="79"/>
        <v/>
      </c>
      <c r="AC84" s="521" t="str">
        <f t="shared" si="80"/>
        <v/>
      </c>
      <c r="AD84" s="129" t="str">
        <f t="shared" si="81"/>
        <v/>
      </c>
      <c r="AE84" s="129"/>
      <c r="AF84" s="129">
        <v>0</v>
      </c>
      <c r="AG84" s="129" t="str">
        <f t="shared" si="90"/>
        <v/>
      </c>
      <c r="AH84" s="145"/>
      <c r="BC84" s="78"/>
      <c r="BD84" s="132" t="s">
        <v>4148</v>
      </c>
      <c r="BE84" s="133"/>
      <c r="BF84" s="132" t="str">
        <f>IF(OR(C84="",BE84=""),"",COUNTIF(BE$8:BE84,"√"))</f>
        <v/>
      </c>
      <c r="BG84" s="134" t="str">
        <f t="shared" si="82"/>
        <v/>
      </c>
      <c r="BH84" s="135" t="str">
        <f t="shared" si="20"/>
        <v/>
      </c>
      <c r="BI84" s="135" t="str">
        <f t="shared" si="20"/>
        <v/>
      </c>
      <c r="BJ84" s="136"/>
      <c r="BK84" s="137"/>
      <c r="BL84" s="136"/>
      <c r="BM84" s="136"/>
      <c r="BN84" s="136"/>
      <c r="BO84" s="136"/>
      <c r="BP84" s="137"/>
      <c r="BQ84" s="136"/>
      <c r="BR84" s="137"/>
      <c r="BT84" s="787">
        <f t="shared" si="83"/>
        <v>0</v>
      </c>
      <c r="BU84" s="788">
        <f t="shared" si="42"/>
        <v>0</v>
      </c>
      <c r="BV84" s="787">
        <f t="shared" si="43"/>
        <v>0</v>
      </c>
      <c r="BW84" s="787">
        <v>3205.13</v>
      </c>
      <c r="BX84" s="789">
        <f>IFERROR(LOOKUP(M84,基础数据!A:D),1)</f>
        <v>1</v>
      </c>
      <c r="BY84" s="790">
        <f t="shared" si="44"/>
        <v>3.55771976932645</v>
      </c>
      <c r="BZ84" s="787">
        <f t="shared" si="75"/>
        <v>11400</v>
      </c>
      <c r="CA84" s="791">
        <v>17809844932</v>
      </c>
      <c r="CB84" s="792">
        <f t="shared" si="26"/>
        <v>0.13</v>
      </c>
      <c r="CC84" s="165" t="s">
        <v>230</v>
      </c>
      <c r="CD84" s="793">
        <v>0</v>
      </c>
      <c r="CE84" s="156">
        <f t="shared" si="84"/>
        <v>0</v>
      </c>
      <c r="CF84" s="156">
        <f t="shared" si="45"/>
        <v>0</v>
      </c>
      <c r="CG84" s="776"/>
      <c r="CH84" s="156">
        <f t="shared" si="46"/>
        <v>0</v>
      </c>
      <c r="CI84" s="156">
        <f t="shared" si="47"/>
        <v>0</v>
      </c>
      <c r="CJ84" s="776"/>
      <c r="CK84" s="156">
        <f t="shared" si="48"/>
        <v>0</v>
      </c>
      <c r="CL84" s="156">
        <f t="shared" si="49"/>
        <v>0</v>
      </c>
      <c r="CM84" s="776"/>
      <c r="CN84" s="156">
        <f t="shared" si="50"/>
        <v>0</v>
      </c>
      <c r="CO84" s="156">
        <f t="shared" si="51"/>
        <v>0</v>
      </c>
      <c r="CP84" s="776"/>
      <c r="CQ84" s="776"/>
      <c r="CR84" s="794">
        <f t="shared" si="52"/>
        <v>0</v>
      </c>
      <c r="CS84" s="156">
        <f t="shared" si="53"/>
        <v>0</v>
      </c>
      <c r="CT84" s="156">
        <f t="shared" si="54"/>
        <v>0</v>
      </c>
      <c r="CU84" s="156">
        <v>0</v>
      </c>
      <c r="CV84" s="795">
        <f>LOOKUP(CU84,参数表!$A$13:$B$19)</f>
        <v>0</v>
      </c>
      <c r="CW84" s="156">
        <f t="shared" si="55"/>
        <v>0</v>
      </c>
      <c r="CX84" s="156">
        <f t="shared" si="56"/>
        <v>0</v>
      </c>
      <c r="CY84" s="156">
        <f t="shared" si="85"/>
        <v>125.582477754962</v>
      </c>
      <c r="CZ84" s="223">
        <v>4</v>
      </c>
      <c r="DA84" s="746">
        <f t="shared" si="57"/>
        <v>-30.4</v>
      </c>
      <c r="DB84" s="746">
        <f t="shared" si="91"/>
        <v>-30.35</v>
      </c>
      <c r="DC84" s="746">
        <f t="shared" si="58"/>
        <v>-30.35</v>
      </c>
      <c r="DE84" s="134" t="str">
        <f>IF(COUNTIF(DE$7:DE83,C84)&gt;0,"",C84)&amp;""</f>
        <v/>
      </c>
      <c r="DF84" s="138">
        <f t="shared" si="86"/>
        <v>0</v>
      </c>
      <c r="DG84" s="132">
        <f t="shared" si="87"/>
        <v>1</v>
      </c>
      <c r="DH84" s="138">
        <f t="shared" si="88"/>
        <v>0</v>
      </c>
      <c r="DI84" s="132">
        <f t="shared" si="89"/>
        <v>1</v>
      </c>
      <c r="DJ84" s="133"/>
      <c r="DK84" s="133"/>
      <c r="DM84" s="796" t="s">
        <v>4067</v>
      </c>
      <c r="DN84" s="75">
        <v>849.81</v>
      </c>
    </row>
    <row r="85" ht="15" customHeight="1" spans="1:118">
      <c r="A85" s="785" t="str">
        <f>IF(C85="","",COUNT(A$7:A84)+1)</f>
        <v/>
      </c>
      <c r="B85" s="141"/>
      <c r="C85" s="139"/>
      <c r="D85" s="141"/>
      <c r="E85" s="535"/>
      <c r="F85" s="535"/>
      <c r="G85" s="141"/>
      <c r="H85" s="536"/>
      <c r="I85" s="139"/>
      <c r="J85" s="141"/>
      <c r="K85" s="141"/>
      <c r="L85" s="140"/>
      <c r="M85" s="140"/>
      <c r="N85" s="142"/>
      <c r="O85" s="127"/>
      <c r="P85" s="128"/>
      <c r="Q85" s="128"/>
      <c r="R85" s="129"/>
      <c r="S85" s="143"/>
      <c r="T85" s="143"/>
      <c r="U85" s="143"/>
      <c r="V85" s="144"/>
      <c r="W85" s="144"/>
      <c r="X85" s="144"/>
      <c r="Y85" s="129" t="str">
        <f t="shared" si="76"/>
        <v/>
      </c>
      <c r="Z85" s="129" t="str">
        <f t="shared" si="77"/>
        <v/>
      </c>
      <c r="AA85" s="129" t="str">
        <f t="shared" si="78"/>
        <v/>
      </c>
      <c r="AB85" s="129" t="str">
        <f t="shared" si="79"/>
        <v/>
      </c>
      <c r="AC85" s="521" t="str">
        <f t="shared" si="80"/>
        <v/>
      </c>
      <c r="AD85" s="129" t="str">
        <f t="shared" si="81"/>
        <v/>
      </c>
      <c r="AE85" s="129"/>
      <c r="AF85" s="129">
        <v>0</v>
      </c>
      <c r="AG85" s="129" t="str">
        <f t="shared" si="90"/>
        <v/>
      </c>
      <c r="AH85" s="145"/>
      <c r="BC85" s="78"/>
      <c r="BD85" s="132" t="s">
        <v>4149</v>
      </c>
      <c r="BE85" s="133"/>
      <c r="BF85" s="132" t="str">
        <f>IF(OR(C85="",BE85=""),"",COUNTIF(BE$8:BE85,"√"))</f>
        <v/>
      </c>
      <c r="BG85" s="134" t="str">
        <f t="shared" si="82"/>
        <v/>
      </c>
      <c r="BH85" s="135" t="str">
        <f t="shared" si="20"/>
        <v/>
      </c>
      <c r="BI85" s="135" t="str">
        <f t="shared" si="20"/>
        <v/>
      </c>
      <c r="BJ85" s="136"/>
      <c r="BK85" s="137"/>
      <c r="BL85" s="136"/>
      <c r="BM85" s="136"/>
      <c r="BN85" s="136"/>
      <c r="BO85" s="136"/>
      <c r="BP85" s="137"/>
      <c r="BQ85" s="136"/>
      <c r="BR85" s="137"/>
      <c r="BT85" s="787">
        <f t="shared" si="83"/>
        <v>0</v>
      </c>
      <c r="BU85" s="788">
        <f t="shared" si="42"/>
        <v>0</v>
      </c>
      <c r="BV85" s="787">
        <f t="shared" si="43"/>
        <v>0</v>
      </c>
      <c r="BW85" s="787">
        <v>3205.13</v>
      </c>
      <c r="BX85" s="789">
        <f>IFERROR(LOOKUP(M85,基础数据!A:D),1)</f>
        <v>1</v>
      </c>
      <c r="BY85" s="790">
        <f t="shared" si="44"/>
        <v>3.55771976932645</v>
      </c>
      <c r="BZ85" s="787">
        <f t="shared" si="75"/>
        <v>11400</v>
      </c>
      <c r="CA85" s="791">
        <v>17809844932</v>
      </c>
      <c r="CB85" s="792">
        <f t="shared" si="26"/>
        <v>0.13</v>
      </c>
      <c r="CC85" s="165" t="s">
        <v>230</v>
      </c>
      <c r="CD85" s="793">
        <v>0</v>
      </c>
      <c r="CE85" s="156">
        <f t="shared" si="84"/>
        <v>0</v>
      </c>
      <c r="CF85" s="156">
        <f t="shared" si="45"/>
        <v>0</v>
      </c>
      <c r="CG85" s="776"/>
      <c r="CH85" s="156">
        <f t="shared" si="46"/>
        <v>0</v>
      </c>
      <c r="CI85" s="156">
        <f t="shared" si="47"/>
        <v>0</v>
      </c>
      <c r="CJ85" s="776"/>
      <c r="CK85" s="156">
        <f t="shared" si="48"/>
        <v>0</v>
      </c>
      <c r="CL85" s="156">
        <f t="shared" si="49"/>
        <v>0</v>
      </c>
      <c r="CM85" s="776"/>
      <c r="CN85" s="156">
        <f t="shared" si="50"/>
        <v>0</v>
      </c>
      <c r="CO85" s="156">
        <f t="shared" si="51"/>
        <v>0</v>
      </c>
      <c r="CP85" s="776"/>
      <c r="CQ85" s="776"/>
      <c r="CR85" s="794">
        <f t="shared" si="52"/>
        <v>0</v>
      </c>
      <c r="CS85" s="156">
        <f t="shared" si="53"/>
        <v>0</v>
      </c>
      <c r="CT85" s="156">
        <f t="shared" si="54"/>
        <v>0</v>
      </c>
      <c r="CU85" s="156">
        <v>0</v>
      </c>
      <c r="CV85" s="795">
        <f>LOOKUP(CU85,参数表!$A$13:$B$19)</f>
        <v>0</v>
      </c>
      <c r="CW85" s="156">
        <f t="shared" si="55"/>
        <v>0</v>
      </c>
      <c r="CX85" s="156">
        <f t="shared" si="56"/>
        <v>0</v>
      </c>
      <c r="CY85" s="156">
        <f t="shared" si="85"/>
        <v>125.582477754962</v>
      </c>
      <c r="CZ85" s="223">
        <v>4</v>
      </c>
      <c r="DA85" s="746">
        <f t="shared" si="57"/>
        <v>-30.4</v>
      </c>
      <c r="DB85" s="746">
        <f t="shared" si="91"/>
        <v>-30.35</v>
      </c>
      <c r="DC85" s="746">
        <f t="shared" si="58"/>
        <v>-30.35</v>
      </c>
      <c r="DE85" s="134" t="str">
        <f>IF(COUNTIF(DE$7:DE84,C85)&gt;0,"",C85)&amp;""</f>
        <v/>
      </c>
      <c r="DF85" s="138">
        <f t="shared" si="86"/>
        <v>0</v>
      </c>
      <c r="DG85" s="132">
        <f t="shared" si="87"/>
        <v>1</v>
      </c>
      <c r="DH85" s="138">
        <f t="shared" si="88"/>
        <v>0</v>
      </c>
      <c r="DI85" s="132">
        <f t="shared" si="89"/>
        <v>1</v>
      </c>
      <c r="DJ85" s="133"/>
      <c r="DK85" s="133"/>
      <c r="DM85" s="796" t="s">
        <v>4067</v>
      </c>
      <c r="DN85" s="75">
        <v>849.8</v>
      </c>
    </row>
    <row r="86" ht="15" customHeight="1" spans="1:118">
      <c r="A86" s="785" t="str">
        <f>IF(C86="","",COUNT(A$7:A85)+1)</f>
        <v/>
      </c>
      <c r="B86" s="141"/>
      <c r="C86" s="139"/>
      <c r="D86" s="141"/>
      <c r="E86" s="535"/>
      <c r="F86" s="535"/>
      <c r="G86" s="141"/>
      <c r="H86" s="536"/>
      <c r="I86" s="139"/>
      <c r="J86" s="141"/>
      <c r="K86" s="141"/>
      <c r="L86" s="140"/>
      <c r="M86" s="140"/>
      <c r="N86" s="142"/>
      <c r="O86" s="127"/>
      <c r="P86" s="128"/>
      <c r="Q86" s="128"/>
      <c r="R86" s="129"/>
      <c r="S86" s="143"/>
      <c r="T86" s="143"/>
      <c r="U86" s="143"/>
      <c r="V86" s="144"/>
      <c r="W86" s="144"/>
      <c r="X86" s="144"/>
      <c r="Y86" s="129" t="str">
        <f t="shared" si="76"/>
        <v/>
      </c>
      <c r="Z86" s="129" t="str">
        <f t="shared" si="77"/>
        <v/>
      </c>
      <c r="AA86" s="129" t="str">
        <f t="shared" si="78"/>
        <v/>
      </c>
      <c r="AB86" s="129" t="str">
        <f t="shared" si="79"/>
        <v/>
      </c>
      <c r="AC86" s="521" t="str">
        <f t="shared" si="80"/>
        <v/>
      </c>
      <c r="AD86" s="129" t="str">
        <f t="shared" si="81"/>
        <v/>
      </c>
      <c r="AE86" s="129"/>
      <c r="AF86" s="129">
        <v>0</v>
      </c>
      <c r="AG86" s="129" t="str">
        <f t="shared" si="90"/>
        <v/>
      </c>
      <c r="AH86" s="145"/>
      <c r="BC86" s="78"/>
      <c r="BD86" s="132" t="s">
        <v>4150</v>
      </c>
      <c r="BE86" s="133"/>
      <c r="BF86" s="132" t="str">
        <f>IF(OR(C86="",BE86=""),"",COUNTIF(BE$8:BE86,"√"))</f>
        <v/>
      </c>
      <c r="BG86" s="134" t="str">
        <f t="shared" si="82"/>
        <v/>
      </c>
      <c r="BH86" s="135" t="str">
        <f t="shared" si="20"/>
        <v/>
      </c>
      <c r="BI86" s="135" t="str">
        <f t="shared" si="20"/>
        <v/>
      </c>
      <c r="BJ86" s="136"/>
      <c r="BK86" s="137"/>
      <c r="BL86" s="136"/>
      <c r="BM86" s="136"/>
      <c r="BN86" s="136"/>
      <c r="BO86" s="136"/>
      <c r="BP86" s="137"/>
      <c r="BQ86" s="136"/>
      <c r="BR86" s="137"/>
      <c r="BT86" s="787">
        <f t="shared" si="83"/>
        <v>0</v>
      </c>
      <c r="BU86" s="788">
        <f t="shared" si="42"/>
        <v>0</v>
      </c>
      <c r="BV86" s="787">
        <f t="shared" si="43"/>
        <v>0</v>
      </c>
      <c r="BW86" s="787">
        <v>3600</v>
      </c>
      <c r="BX86" s="789">
        <f>IFERROR(LOOKUP(M86,基础数据!A:D),1)</f>
        <v>1</v>
      </c>
      <c r="BY86" s="790">
        <f t="shared" si="44"/>
        <v>3.55771976932645</v>
      </c>
      <c r="BZ86" s="787">
        <f t="shared" si="75"/>
        <v>12810</v>
      </c>
      <c r="CA86" s="797"/>
      <c r="CB86" s="792">
        <f t="shared" si="26"/>
        <v>0.13</v>
      </c>
      <c r="CC86" s="165" t="s">
        <v>2706</v>
      </c>
      <c r="CD86" s="793">
        <v>0</v>
      </c>
      <c r="CE86" s="156">
        <f t="shared" si="84"/>
        <v>0</v>
      </c>
      <c r="CF86" s="156">
        <f t="shared" si="45"/>
        <v>0</v>
      </c>
      <c r="CG86" s="776"/>
      <c r="CH86" s="156">
        <f t="shared" si="46"/>
        <v>0</v>
      </c>
      <c r="CI86" s="156">
        <f t="shared" si="47"/>
        <v>0</v>
      </c>
      <c r="CJ86" s="776"/>
      <c r="CK86" s="156">
        <f t="shared" si="48"/>
        <v>0</v>
      </c>
      <c r="CL86" s="156">
        <f t="shared" si="49"/>
        <v>0</v>
      </c>
      <c r="CM86" s="776"/>
      <c r="CN86" s="156">
        <f t="shared" si="50"/>
        <v>0</v>
      </c>
      <c r="CO86" s="156">
        <f t="shared" si="51"/>
        <v>0</v>
      </c>
      <c r="CP86" s="776"/>
      <c r="CQ86" s="776"/>
      <c r="CR86" s="794">
        <f t="shared" si="52"/>
        <v>0</v>
      </c>
      <c r="CS86" s="156">
        <f t="shared" si="53"/>
        <v>0</v>
      </c>
      <c r="CT86" s="156">
        <f t="shared" si="54"/>
        <v>0</v>
      </c>
      <c r="CU86" s="156">
        <v>0</v>
      </c>
      <c r="CV86" s="795">
        <f>LOOKUP(CU86,参数表!$A$13:$B$19)</f>
        <v>0</v>
      </c>
      <c r="CW86" s="156">
        <f t="shared" si="55"/>
        <v>0</v>
      </c>
      <c r="CX86" s="156">
        <f t="shared" si="56"/>
        <v>0</v>
      </c>
      <c r="CY86" s="156">
        <f t="shared" si="85"/>
        <v>125.582477754962</v>
      </c>
      <c r="CZ86" s="223">
        <v>10</v>
      </c>
      <c r="DA86" s="746">
        <f t="shared" si="57"/>
        <v>-11.56</v>
      </c>
      <c r="DB86" s="746">
        <f t="shared" si="91"/>
        <v>-11.51</v>
      </c>
      <c r="DC86" s="746">
        <f t="shared" si="58"/>
        <v>-11.51</v>
      </c>
      <c r="DE86" s="134" t="str">
        <f>IF(COUNTIF(DE$7:DE85,C86)&gt;0,"",C86)&amp;""</f>
        <v/>
      </c>
      <c r="DF86" s="138">
        <f t="shared" si="86"/>
        <v>0</v>
      </c>
      <c r="DG86" s="132">
        <f t="shared" si="87"/>
        <v>1</v>
      </c>
      <c r="DH86" s="138">
        <f t="shared" si="88"/>
        <v>0</v>
      </c>
      <c r="DI86" s="132">
        <f t="shared" si="89"/>
        <v>1</v>
      </c>
      <c r="DJ86" s="133"/>
      <c r="DK86" s="133"/>
      <c r="DM86" s="796" t="s">
        <v>4123</v>
      </c>
      <c r="DN86" s="75">
        <v>1423.7</v>
      </c>
    </row>
    <row r="87" ht="15" customHeight="1" spans="1:118">
      <c r="A87" s="785" t="str">
        <f>IF(C87="","",COUNT(A$7:A86)+1)</f>
        <v/>
      </c>
      <c r="B87" s="141"/>
      <c r="C87" s="139"/>
      <c r="D87" s="141"/>
      <c r="E87" s="535"/>
      <c r="F87" s="535"/>
      <c r="G87" s="141"/>
      <c r="H87" s="536"/>
      <c r="I87" s="139"/>
      <c r="J87" s="141"/>
      <c r="K87" s="141"/>
      <c r="L87" s="140"/>
      <c r="M87" s="140"/>
      <c r="N87" s="142"/>
      <c r="O87" s="127"/>
      <c r="P87" s="128"/>
      <c r="Q87" s="128"/>
      <c r="R87" s="129"/>
      <c r="S87" s="143"/>
      <c r="T87" s="143"/>
      <c r="U87" s="143"/>
      <c r="V87" s="144"/>
      <c r="W87" s="144"/>
      <c r="X87" s="144"/>
      <c r="Y87" s="129" t="str">
        <f t="shared" si="76"/>
        <v/>
      </c>
      <c r="Z87" s="129" t="str">
        <f t="shared" si="77"/>
        <v/>
      </c>
      <c r="AA87" s="129" t="str">
        <f t="shared" si="78"/>
        <v/>
      </c>
      <c r="AB87" s="129" t="str">
        <f t="shared" si="79"/>
        <v/>
      </c>
      <c r="AC87" s="521" t="str">
        <f t="shared" si="80"/>
        <v/>
      </c>
      <c r="AD87" s="129" t="str">
        <f t="shared" si="81"/>
        <v/>
      </c>
      <c r="AE87" s="129"/>
      <c r="AF87" s="129">
        <v>0</v>
      </c>
      <c r="AG87" s="129" t="str">
        <f t="shared" si="90"/>
        <v/>
      </c>
      <c r="AH87" s="145"/>
      <c r="BC87" s="78"/>
      <c r="BD87" s="132" t="s">
        <v>4151</v>
      </c>
      <c r="BE87" s="133"/>
      <c r="BF87" s="132" t="str">
        <f>IF(OR(C87="",BE87=""),"",COUNTIF(BE$8:BE87,"√"))</f>
        <v/>
      </c>
      <c r="BG87" s="134" t="str">
        <f t="shared" si="82"/>
        <v/>
      </c>
      <c r="BH87" s="135" t="str">
        <f t="shared" si="20"/>
        <v/>
      </c>
      <c r="BI87" s="135" t="str">
        <f t="shared" si="20"/>
        <v/>
      </c>
      <c r="BJ87" s="136"/>
      <c r="BK87" s="137"/>
      <c r="BL87" s="136"/>
      <c r="BM87" s="136"/>
      <c r="BN87" s="136"/>
      <c r="BO87" s="136"/>
      <c r="BP87" s="137"/>
      <c r="BQ87" s="136"/>
      <c r="BR87" s="137"/>
      <c r="BT87" s="787">
        <f t="shared" si="83"/>
        <v>0</v>
      </c>
      <c r="BU87" s="788">
        <f t="shared" si="42"/>
        <v>0</v>
      </c>
      <c r="BV87" s="787">
        <f t="shared" si="43"/>
        <v>0</v>
      </c>
      <c r="BW87" s="787">
        <v>5900</v>
      </c>
      <c r="BX87" s="789">
        <f>IFERROR(LOOKUP(M87,基础数据!A:D),1)</f>
        <v>1</v>
      </c>
      <c r="BY87" s="790">
        <f t="shared" si="44"/>
        <v>3.55771976932645</v>
      </c>
      <c r="BZ87" s="787">
        <f t="shared" si="75"/>
        <v>20990</v>
      </c>
      <c r="CA87" s="797"/>
      <c r="CB87" s="792">
        <f t="shared" si="26"/>
        <v>0.13</v>
      </c>
      <c r="CC87" s="165" t="s">
        <v>2706</v>
      </c>
      <c r="CD87" s="793">
        <v>0</v>
      </c>
      <c r="CE87" s="156">
        <f t="shared" si="84"/>
        <v>0</v>
      </c>
      <c r="CF87" s="156">
        <f t="shared" si="45"/>
        <v>0</v>
      </c>
      <c r="CG87" s="776"/>
      <c r="CH87" s="156">
        <f t="shared" si="46"/>
        <v>0</v>
      </c>
      <c r="CI87" s="156">
        <f t="shared" si="47"/>
        <v>0</v>
      </c>
      <c r="CJ87" s="776"/>
      <c r="CK87" s="156">
        <f t="shared" si="48"/>
        <v>0</v>
      </c>
      <c r="CL87" s="156">
        <f t="shared" si="49"/>
        <v>0</v>
      </c>
      <c r="CM87" s="776"/>
      <c r="CN87" s="156">
        <f t="shared" si="50"/>
        <v>0</v>
      </c>
      <c r="CO87" s="156">
        <f t="shared" si="51"/>
        <v>0</v>
      </c>
      <c r="CP87" s="776"/>
      <c r="CQ87" s="776"/>
      <c r="CR87" s="794">
        <f t="shared" si="52"/>
        <v>0</v>
      </c>
      <c r="CS87" s="156">
        <f t="shared" si="53"/>
        <v>0</v>
      </c>
      <c r="CT87" s="156">
        <f t="shared" si="54"/>
        <v>0</v>
      </c>
      <c r="CU87" s="156">
        <v>0</v>
      </c>
      <c r="CV87" s="795">
        <f>LOOKUP(CU87,参数表!$A$13:$B$19)</f>
        <v>0</v>
      </c>
      <c r="CW87" s="156">
        <f t="shared" si="55"/>
        <v>0</v>
      </c>
      <c r="CX87" s="156">
        <f t="shared" si="56"/>
        <v>0</v>
      </c>
      <c r="CY87" s="156">
        <f t="shared" si="85"/>
        <v>125.582477754962</v>
      </c>
      <c r="CZ87" s="223">
        <v>7</v>
      </c>
      <c r="DA87" s="746">
        <f t="shared" si="57"/>
        <v>-16.94</v>
      </c>
      <c r="DB87" s="746">
        <f t="shared" si="91"/>
        <v>-16.89</v>
      </c>
      <c r="DC87" s="746">
        <f t="shared" si="58"/>
        <v>-16.89</v>
      </c>
      <c r="DE87" s="134" t="str">
        <f>IF(COUNTIF(DE$7:DE86,C87)&gt;0,"",C87)&amp;""</f>
        <v/>
      </c>
      <c r="DF87" s="138">
        <f t="shared" si="86"/>
        <v>0</v>
      </c>
      <c r="DG87" s="132">
        <f t="shared" si="87"/>
        <v>1</v>
      </c>
      <c r="DH87" s="138">
        <f t="shared" si="88"/>
        <v>0</v>
      </c>
      <c r="DI87" s="132">
        <f t="shared" si="89"/>
        <v>1</v>
      </c>
      <c r="DJ87" s="133"/>
      <c r="DK87" s="133"/>
      <c r="DM87" s="796" t="s">
        <v>4078</v>
      </c>
      <c r="DN87" s="75">
        <v>312.69</v>
      </c>
    </row>
    <row r="88" ht="15" customHeight="1" spans="1:118">
      <c r="A88" s="785" t="str">
        <f>IF(C88="","",COUNT(A$7:A87)+1)</f>
        <v/>
      </c>
      <c r="B88" s="141"/>
      <c r="C88" s="798"/>
      <c r="D88" s="141"/>
      <c r="E88" s="535"/>
      <c r="F88" s="535"/>
      <c r="G88" s="141"/>
      <c r="H88" s="536"/>
      <c r="I88" s="139"/>
      <c r="J88" s="141"/>
      <c r="K88" s="141"/>
      <c r="L88" s="140"/>
      <c r="M88" s="140"/>
      <c r="N88" s="142"/>
      <c r="O88" s="127"/>
      <c r="P88" s="128"/>
      <c r="Q88" s="128"/>
      <c r="R88" s="129"/>
      <c r="S88" s="143"/>
      <c r="T88" s="143"/>
      <c r="U88" s="143"/>
      <c r="V88" s="144"/>
      <c r="W88" s="144"/>
      <c r="X88" s="144"/>
      <c r="Y88" s="129" t="str">
        <f t="shared" si="76"/>
        <v/>
      </c>
      <c r="Z88" s="129" t="str">
        <f t="shared" si="77"/>
        <v/>
      </c>
      <c r="AA88" s="129" t="str">
        <f t="shared" si="78"/>
        <v/>
      </c>
      <c r="AB88" s="129" t="str">
        <f t="shared" si="79"/>
        <v/>
      </c>
      <c r="AC88" s="521" t="str">
        <f t="shared" si="80"/>
        <v/>
      </c>
      <c r="AD88" s="129" t="str">
        <f t="shared" si="81"/>
        <v/>
      </c>
      <c r="AE88" s="129"/>
      <c r="AF88" s="129">
        <v>0</v>
      </c>
      <c r="AG88" s="129" t="str">
        <f t="shared" si="90"/>
        <v/>
      </c>
      <c r="AH88" s="145"/>
      <c r="BC88" s="78"/>
      <c r="BD88" s="132" t="s">
        <v>4152</v>
      </c>
      <c r="BE88" s="133"/>
      <c r="BF88" s="132" t="str">
        <f>IF(OR(C88="",BE88=""),"",COUNTIF(BE$8:BE88,"√"))</f>
        <v/>
      </c>
      <c r="BG88" s="134" t="str">
        <f t="shared" si="82"/>
        <v/>
      </c>
      <c r="BH88" s="135" t="str">
        <f t="shared" si="20"/>
        <v/>
      </c>
      <c r="BI88" s="135" t="str">
        <f t="shared" si="20"/>
        <v/>
      </c>
      <c r="BJ88" s="136"/>
      <c r="BK88" s="137"/>
      <c r="BL88" s="136"/>
      <c r="BM88" s="136"/>
      <c r="BN88" s="136"/>
      <c r="BO88" s="136"/>
      <c r="BP88" s="137"/>
      <c r="BQ88" s="136"/>
      <c r="BR88" s="137"/>
      <c r="BT88" s="787">
        <f t="shared" si="83"/>
        <v>0</v>
      </c>
      <c r="BU88" s="788">
        <f t="shared" si="42"/>
        <v>0</v>
      </c>
      <c r="BV88" s="787">
        <f t="shared" si="43"/>
        <v>0</v>
      </c>
      <c r="BW88" s="787">
        <v>60300</v>
      </c>
      <c r="BX88" s="789">
        <f>IFERROR(LOOKUP(M88,基础数据!A:D),1)</f>
        <v>1</v>
      </c>
      <c r="BY88" s="790">
        <f t="shared" si="44"/>
        <v>3.55771976932645</v>
      </c>
      <c r="BZ88" s="787">
        <f t="shared" si="75"/>
        <v>214530</v>
      </c>
      <c r="CA88" s="797"/>
      <c r="CB88" s="792">
        <f t="shared" si="26"/>
        <v>0.13</v>
      </c>
      <c r="CC88" s="165" t="s">
        <v>2706</v>
      </c>
      <c r="CD88" s="793">
        <v>0</v>
      </c>
      <c r="CE88" s="156">
        <f t="shared" si="84"/>
        <v>0</v>
      </c>
      <c r="CF88" s="156">
        <f t="shared" si="45"/>
        <v>0</v>
      </c>
      <c r="CG88" s="776"/>
      <c r="CH88" s="156">
        <f t="shared" si="46"/>
        <v>0</v>
      </c>
      <c r="CI88" s="156">
        <f t="shared" si="47"/>
        <v>0</v>
      </c>
      <c r="CJ88" s="776"/>
      <c r="CK88" s="156">
        <f t="shared" si="48"/>
        <v>0</v>
      </c>
      <c r="CL88" s="156">
        <f t="shared" si="49"/>
        <v>0</v>
      </c>
      <c r="CM88" s="776"/>
      <c r="CN88" s="156">
        <f t="shared" si="50"/>
        <v>0</v>
      </c>
      <c r="CO88" s="156">
        <f t="shared" si="51"/>
        <v>0</v>
      </c>
      <c r="CP88" s="776"/>
      <c r="CQ88" s="776"/>
      <c r="CR88" s="794">
        <f t="shared" si="52"/>
        <v>0</v>
      </c>
      <c r="CS88" s="156">
        <f t="shared" si="53"/>
        <v>0</v>
      </c>
      <c r="CT88" s="156">
        <f t="shared" si="54"/>
        <v>0</v>
      </c>
      <c r="CU88" s="156">
        <v>0</v>
      </c>
      <c r="CV88" s="795">
        <f>LOOKUP(CU88,参数表!$A$13:$B$19)</f>
        <v>0</v>
      </c>
      <c r="CW88" s="156">
        <f t="shared" si="55"/>
        <v>0</v>
      </c>
      <c r="CX88" s="156">
        <f t="shared" si="56"/>
        <v>0</v>
      </c>
      <c r="CY88" s="156">
        <f t="shared" si="85"/>
        <v>125.582477754962</v>
      </c>
      <c r="CZ88" s="223">
        <v>7</v>
      </c>
      <c r="DA88" s="746">
        <f t="shared" si="57"/>
        <v>-16.94</v>
      </c>
      <c r="DB88" s="746">
        <f t="shared" si="91"/>
        <v>-16.89</v>
      </c>
      <c r="DC88" s="746">
        <f t="shared" si="58"/>
        <v>-16.89</v>
      </c>
      <c r="DE88" s="134" t="str">
        <f>IF(COUNTIF(DE$7:DE87,C88)&gt;0,"",C88)&amp;""</f>
        <v/>
      </c>
      <c r="DF88" s="138">
        <f t="shared" si="86"/>
        <v>0</v>
      </c>
      <c r="DG88" s="132">
        <f t="shared" si="87"/>
        <v>1</v>
      </c>
      <c r="DH88" s="138">
        <f t="shared" si="88"/>
        <v>0</v>
      </c>
      <c r="DI88" s="132">
        <f t="shared" si="89"/>
        <v>1</v>
      </c>
      <c r="DJ88" s="133"/>
      <c r="DK88" s="133"/>
      <c r="DM88" s="796" t="s">
        <v>4078</v>
      </c>
      <c r="DN88" s="75">
        <v>637.03</v>
      </c>
    </row>
    <row r="89" ht="15" customHeight="1" spans="1:118">
      <c r="A89" s="785" t="str">
        <f>IF(C89="","",COUNT(A$7:A88)+1)</f>
        <v/>
      </c>
      <c r="B89" s="141"/>
      <c r="C89" s="139"/>
      <c r="D89" s="141"/>
      <c r="E89" s="535"/>
      <c r="F89" s="535"/>
      <c r="G89" s="141"/>
      <c r="H89" s="536"/>
      <c r="I89" s="139"/>
      <c r="J89" s="141"/>
      <c r="K89" s="141"/>
      <c r="L89" s="140"/>
      <c r="M89" s="140"/>
      <c r="N89" s="142"/>
      <c r="O89" s="127"/>
      <c r="P89" s="128"/>
      <c r="Q89" s="128"/>
      <c r="R89" s="129"/>
      <c r="S89" s="143"/>
      <c r="T89" s="143"/>
      <c r="U89" s="143"/>
      <c r="V89" s="144"/>
      <c r="W89" s="144"/>
      <c r="X89" s="144"/>
      <c r="Y89" s="129" t="str">
        <f t="shared" si="76"/>
        <v/>
      </c>
      <c r="Z89" s="129" t="str">
        <f t="shared" si="77"/>
        <v/>
      </c>
      <c r="AA89" s="129" t="str">
        <f t="shared" si="78"/>
        <v/>
      </c>
      <c r="AB89" s="129" t="str">
        <f t="shared" si="79"/>
        <v/>
      </c>
      <c r="AC89" s="521" t="str">
        <f t="shared" si="80"/>
        <v/>
      </c>
      <c r="AD89" s="129" t="str">
        <f t="shared" si="81"/>
        <v/>
      </c>
      <c r="AE89" s="129"/>
      <c r="AF89" s="129">
        <v>0</v>
      </c>
      <c r="AG89" s="129" t="str">
        <f t="shared" si="90"/>
        <v/>
      </c>
      <c r="AH89" s="145"/>
      <c r="BC89" s="78"/>
      <c r="BD89" s="132" t="s">
        <v>4153</v>
      </c>
      <c r="BE89" s="133"/>
      <c r="BF89" s="132" t="str">
        <f>IF(OR(C89="",BE89=""),"",COUNTIF(BE$8:BE89,"√"))</f>
        <v/>
      </c>
      <c r="BG89" s="134" t="str">
        <f t="shared" si="82"/>
        <v/>
      </c>
      <c r="BH89" s="135" t="str">
        <f t="shared" si="20"/>
        <v/>
      </c>
      <c r="BI89" s="135" t="str">
        <f t="shared" si="20"/>
        <v/>
      </c>
      <c r="BJ89" s="136"/>
      <c r="BK89" s="137"/>
      <c r="BL89" s="136"/>
      <c r="BM89" s="136"/>
      <c r="BN89" s="136"/>
      <c r="BO89" s="136"/>
      <c r="BP89" s="137"/>
      <c r="BQ89" s="136"/>
      <c r="BR89" s="137"/>
      <c r="BT89" s="787">
        <f t="shared" si="83"/>
        <v>0</v>
      </c>
      <c r="BU89" s="788">
        <f t="shared" si="42"/>
        <v>0</v>
      </c>
      <c r="BV89" s="787">
        <f t="shared" si="43"/>
        <v>0</v>
      </c>
      <c r="BW89" s="787">
        <v>4690</v>
      </c>
      <c r="BX89" s="789">
        <f>IFERROR(LOOKUP(M89,基础数据!A:D),1)</f>
        <v>1</v>
      </c>
      <c r="BY89" s="790">
        <f t="shared" si="44"/>
        <v>3.55771976932645</v>
      </c>
      <c r="BZ89" s="787">
        <f t="shared" si="75"/>
        <v>16690</v>
      </c>
      <c r="CA89" s="791">
        <v>17809844932</v>
      </c>
      <c r="CB89" s="792">
        <f t="shared" si="26"/>
        <v>0.13</v>
      </c>
      <c r="CC89" s="165" t="s">
        <v>230</v>
      </c>
      <c r="CD89" s="793">
        <v>0</v>
      </c>
      <c r="CE89" s="156">
        <f t="shared" si="84"/>
        <v>0</v>
      </c>
      <c r="CF89" s="156">
        <f t="shared" si="45"/>
        <v>0</v>
      </c>
      <c r="CG89" s="776"/>
      <c r="CH89" s="156">
        <f t="shared" si="46"/>
        <v>0</v>
      </c>
      <c r="CI89" s="156">
        <f t="shared" si="47"/>
        <v>0</v>
      </c>
      <c r="CJ89" s="776"/>
      <c r="CK89" s="156">
        <f t="shared" si="48"/>
        <v>0</v>
      </c>
      <c r="CL89" s="156">
        <f t="shared" si="49"/>
        <v>0</v>
      </c>
      <c r="CM89" s="776"/>
      <c r="CN89" s="156">
        <f t="shared" si="50"/>
        <v>0</v>
      </c>
      <c r="CO89" s="156">
        <f t="shared" si="51"/>
        <v>0</v>
      </c>
      <c r="CP89" s="776"/>
      <c r="CQ89" s="776"/>
      <c r="CR89" s="794">
        <f t="shared" si="52"/>
        <v>0</v>
      </c>
      <c r="CS89" s="156">
        <f t="shared" si="53"/>
        <v>0</v>
      </c>
      <c r="CT89" s="156">
        <f t="shared" si="54"/>
        <v>0</v>
      </c>
      <c r="CU89" s="156">
        <v>0</v>
      </c>
      <c r="CV89" s="795">
        <f>LOOKUP(CU89,参数表!$A$13:$B$19)</f>
        <v>0</v>
      </c>
      <c r="CW89" s="156">
        <f t="shared" si="55"/>
        <v>0</v>
      </c>
      <c r="CX89" s="156">
        <f t="shared" si="56"/>
        <v>0</v>
      </c>
      <c r="CY89" s="156">
        <f t="shared" si="85"/>
        <v>125.582477754962</v>
      </c>
      <c r="CZ89" s="223">
        <v>4</v>
      </c>
      <c r="DA89" s="746">
        <f t="shared" si="57"/>
        <v>-30.4</v>
      </c>
      <c r="DB89" s="746">
        <f t="shared" si="91"/>
        <v>-30.35</v>
      </c>
      <c r="DC89" s="746">
        <f t="shared" si="58"/>
        <v>-30.35</v>
      </c>
      <c r="DE89" s="134" t="str">
        <f>IF(COUNTIF(DE$7:DE88,C89)&gt;0,"",C89)&amp;""</f>
        <v/>
      </c>
      <c r="DF89" s="138">
        <f t="shared" si="86"/>
        <v>0</v>
      </c>
      <c r="DG89" s="132">
        <f t="shared" si="87"/>
        <v>1</v>
      </c>
      <c r="DH89" s="138">
        <f t="shared" si="88"/>
        <v>0</v>
      </c>
      <c r="DI89" s="132">
        <f t="shared" si="89"/>
        <v>1</v>
      </c>
      <c r="DJ89" s="133"/>
      <c r="DK89" s="133"/>
      <c r="DM89" s="796" t="s">
        <v>4067</v>
      </c>
      <c r="DN89" s="75">
        <v>1087.71</v>
      </c>
    </row>
    <row r="90" ht="15" customHeight="1" spans="1:118">
      <c r="A90" s="785" t="str">
        <f>IF(C90="","",COUNT(A$7:A89)+1)</f>
        <v/>
      </c>
      <c r="B90" s="141"/>
      <c r="C90" s="139"/>
      <c r="D90" s="141"/>
      <c r="E90" s="535"/>
      <c r="F90" s="535"/>
      <c r="G90" s="141"/>
      <c r="H90" s="536"/>
      <c r="I90" s="139"/>
      <c r="J90" s="141"/>
      <c r="K90" s="141"/>
      <c r="L90" s="140"/>
      <c r="M90" s="140"/>
      <c r="N90" s="142"/>
      <c r="O90" s="127"/>
      <c r="P90" s="128"/>
      <c r="Q90" s="128"/>
      <c r="R90" s="129"/>
      <c r="S90" s="143"/>
      <c r="T90" s="143"/>
      <c r="U90" s="143"/>
      <c r="V90" s="144"/>
      <c r="W90" s="144"/>
      <c r="X90" s="144"/>
      <c r="Y90" s="129" t="str">
        <f t="shared" si="76"/>
        <v/>
      </c>
      <c r="Z90" s="129" t="str">
        <f t="shared" si="77"/>
        <v/>
      </c>
      <c r="AA90" s="129" t="str">
        <f t="shared" si="78"/>
        <v/>
      </c>
      <c r="AB90" s="129" t="str">
        <f t="shared" si="79"/>
        <v/>
      </c>
      <c r="AC90" s="521" t="str">
        <f t="shared" si="80"/>
        <v/>
      </c>
      <c r="AD90" s="129" t="str">
        <f t="shared" si="81"/>
        <v/>
      </c>
      <c r="AE90" s="129"/>
      <c r="AF90" s="129">
        <v>0</v>
      </c>
      <c r="AG90" s="129" t="str">
        <f t="shared" si="90"/>
        <v/>
      </c>
      <c r="AH90" s="145"/>
      <c r="BC90" s="78"/>
      <c r="BD90" s="132" t="s">
        <v>4154</v>
      </c>
      <c r="BE90" s="133"/>
      <c r="BF90" s="132" t="str">
        <f>IF(OR(C90="",BE90=""),"",COUNTIF(BE$8:BE90,"√"))</f>
        <v/>
      </c>
      <c r="BG90" s="134" t="str">
        <f t="shared" si="82"/>
        <v/>
      </c>
      <c r="BH90" s="135" t="str">
        <f t="shared" si="20"/>
        <v/>
      </c>
      <c r="BI90" s="135" t="str">
        <f t="shared" si="20"/>
        <v/>
      </c>
      <c r="BJ90" s="136"/>
      <c r="BK90" s="137"/>
      <c r="BL90" s="136"/>
      <c r="BM90" s="136"/>
      <c r="BN90" s="136"/>
      <c r="BO90" s="136"/>
      <c r="BP90" s="137"/>
      <c r="BQ90" s="136"/>
      <c r="BR90" s="137"/>
      <c r="BT90" s="787">
        <f t="shared" si="83"/>
        <v>0</v>
      </c>
      <c r="BU90" s="788">
        <f t="shared" ref="BU90:BU133" si="92">(1-1/(SUM(1,CG90,CJ90,CM90)*SUM(1,CP90)*SUM(1,CU90*CV90/2)))</f>
        <v>0</v>
      </c>
      <c r="BV90" s="787">
        <f t="shared" ref="BV90:BV133" si="93">IF(AND(BS90=0,BS90=""),BT90/(1+BU90)*BU90,0)</f>
        <v>0</v>
      </c>
      <c r="BW90" s="787">
        <v>15020</v>
      </c>
      <c r="BX90" s="789">
        <f>IFERROR(LOOKUP(M90,基础数据!A:D),1)</f>
        <v>1</v>
      </c>
      <c r="BY90" s="790">
        <f t="shared" ref="BY90:BY133" si="94">BX$6/BX90</f>
        <v>3.55771976932645</v>
      </c>
      <c r="BZ90" s="787">
        <f t="shared" si="75"/>
        <v>53440</v>
      </c>
      <c r="CA90" s="791">
        <v>17809844932</v>
      </c>
      <c r="CB90" s="792">
        <f t="shared" si="26"/>
        <v>0.13</v>
      </c>
      <c r="CC90" s="165" t="s">
        <v>230</v>
      </c>
      <c r="CD90" s="793">
        <v>0</v>
      </c>
      <c r="CE90" s="156">
        <f t="shared" si="84"/>
        <v>0</v>
      </c>
      <c r="CF90" s="156">
        <f t="shared" ref="CF90:CF133" si="95">ROUND(CE90/(1+CF$6)*CF$6,2)</f>
        <v>0</v>
      </c>
      <c r="CG90" s="776"/>
      <c r="CH90" s="156">
        <f t="shared" ref="CH90:CH133" si="96">ROUND(CE90*CG90,2)</f>
        <v>0</v>
      </c>
      <c r="CI90" s="156">
        <f t="shared" ref="CI90:CI133" si="97">ROUND(CH90/(1+CI$6)*CI$6,2)</f>
        <v>0</v>
      </c>
      <c r="CJ90" s="776"/>
      <c r="CK90" s="156">
        <f t="shared" ref="CK90:CK133" si="98">ROUND(CE90*CJ90,2)</f>
        <v>0</v>
      </c>
      <c r="CL90" s="156">
        <f t="shared" ref="CL90:CL133" si="99">ROUND(CK90/(1+CL$6)*CL$6,2)</f>
        <v>0</v>
      </c>
      <c r="CM90" s="776"/>
      <c r="CN90" s="156">
        <f t="shared" ref="CN90:CN133" si="100">ROUND(CE90*CM90,2)</f>
        <v>0</v>
      </c>
      <c r="CO90" s="156">
        <f t="shared" ref="CO90:CO133" si="101">ROUND(CN90/(1+CO$6)*CO$6,2)</f>
        <v>0</v>
      </c>
      <c r="CP90" s="776"/>
      <c r="CQ90" s="776"/>
      <c r="CR90" s="794">
        <f t="shared" ref="CR90:CR133" si="102">(CP90-CQ90)/1.06+CQ90</f>
        <v>0</v>
      </c>
      <c r="CS90" s="156">
        <f t="shared" ref="CS90:CS133" si="103">ROUND(SUM(CE90,CH90,CK90,CN90)*CP90,2)</f>
        <v>0</v>
      </c>
      <c r="CT90" s="156">
        <f t="shared" ref="CT90:CT133" si="104">ROUND(SUM(CE90,CH90,CK90,CN90)*CR90,2)</f>
        <v>0</v>
      </c>
      <c r="CU90" s="156">
        <v>0</v>
      </c>
      <c r="CV90" s="795">
        <f>LOOKUP(CU90,参数表!$A$13:$B$19)</f>
        <v>0</v>
      </c>
      <c r="CW90" s="156">
        <f t="shared" ref="CW90:CW133" si="105">ROUND(SUM(CE90,CH90,CK90,CN90,CS90)*CU90*CV90/2,2)</f>
        <v>0</v>
      </c>
      <c r="CX90" s="156">
        <f t="shared" ref="CX90:CX133" si="106">ROUND(SUM(CE90,CH90,CK90,CN90,CT90,CW90)-SUM(CF90,CI90,CL90,CO90),-2)</f>
        <v>0</v>
      </c>
      <c r="CY90" s="156">
        <f t="shared" si="85"/>
        <v>125.582477754962</v>
      </c>
      <c r="CZ90" s="223">
        <v>4</v>
      </c>
      <c r="DA90" s="746">
        <f t="shared" ref="DA90:DA133" si="107">IFERROR(ROUND(1-CY90/CZ90,2),0)</f>
        <v>-30.4</v>
      </c>
      <c r="DB90" s="746">
        <f t="shared" si="91"/>
        <v>-30.35</v>
      </c>
      <c r="DC90" s="746">
        <f t="shared" ref="DC90:DC133" si="108">ROUND(IF(ABS(DB90-DA90)&gt;5%,DB90,DA90*DA$6+DB90*DB$6),2)</f>
        <v>-30.35</v>
      </c>
      <c r="DE90" s="134" t="str">
        <f>IF(COUNTIF(DE$7:DE89,C90)&gt;0,"",C90)&amp;""</f>
        <v/>
      </c>
      <c r="DF90" s="138">
        <f t="shared" si="86"/>
        <v>0</v>
      </c>
      <c r="DG90" s="132">
        <f t="shared" si="87"/>
        <v>1</v>
      </c>
      <c r="DH90" s="138">
        <f t="shared" si="88"/>
        <v>0</v>
      </c>
      <c r="DI90" s="132">
        <f t="shared" si="89"/>
        <v>1</v>
      </c>
      <c r="DJ90" s="133"/>
      <c r="DK90" s="133"/>
      <c r="DM90" s="796" t="s">
        <v>4067</v>
      </c>
      <c r="DN90" s="75">
        <v>1057.91</v>
      </c>
    </row>
    <row r="91" ht="15" customHeight="1" spans="1:118">
      <c r="A91" s="785" t="str">
        <f>IF(C91="","",COUNT(A$7:A90)+1)</f>
        <v/>
      </c>
      <c r="B91" s="141"/>
      <c r="C91" s="139"/>
      <c r="D91" s="141"/>
      <c r="E91" s="535"/>
      <c r="F91" s="535"/>
      <c r="G91" s="141"/>
      <c r="H91" s="536"/>
      <c r="I91" s="139"/>
      <c r="J91" s="141"/>
      <c r="K91" s="141"/>
      <c r="L91" s="140"/>
      <c r="M91" s="140"/>
      <c r="N91" s="142"/>
      <c r="O91" s="127"/>
      <c r="P91" s="128"/>
      <c r="Q91" s="128"/>
      <c r="R91" s="129"/>
      <c r="S91" s="143"/>
      <c r="T91" s="143"/>
      <c r="U91" s="143"/>
      <c r="V91" s="144"/>
      <c r="W91" s="144"/>
      <c r="X91" s="144"/>
      <c r="Y91" s="129" t="str">
        <f t="shared" si="76"/>
        <v/>
      </c>
      <c r="Z91" s="129" t="str">
        <f t="shared" si="77"/>
        <v/>
      </c>
      <c r="AA91" s="129" t="str">
        <f t="shared" si="78"/>
        <v/>
      </c>
      <c r="AB91" s="129" t="str">
        <f t="shared" si="79"/>
        <v/>
      </c>
      <c r="AC91" s="521" t="str">
        <f t="shared" si="80"/>
        <v/>
      </c>
      <c r="AD91" s="129" t="str">
        <f t="shared" si="81"/>
        <v/>
      </c>
      <c r="AE91" s="129"/>
      <c r="AF91" s="129">
        <v>0</v>
      </c>
      <c r="AG91" s="129" t="str">
        <f t="shared" si="90"/>
        <v/>
      </c>
      <c r="AH91" s="145"/>
      <c r="BC91" s="78"/>
      <c r="BD91" s="132" t="s">
        <v>4155</v>
      </c>
      <c r="BE91" s="133"/>
      <c r="BF91" s="132" t="str">
        <f>IF(OR(C91="",BE91=""),"",COUNTIF(BE$8:BE91,"√"))</f>
        <v/>
      </c>
      <c r="BG91" s="134" t="str">
        <f t="shared" si="82"/>
        <v/>
      </c>
      <c r="BH91" s="135" t="str">
        <f t="shared" si="20"/>
        <v/>
      </c>
      <c r="BI91" s="135" t="str">
        <f t="shared" si="20"/>
        <v/>
      </c>
      <c r="BJ91" s="136"/>
      <c r="BK91" s="137"/>
      <c r="BL91" s="136"/>
      <c r="BM91" s="136"/>
      <c r="BN91" s="136"/>
      <c r="BO91" s="136"/>
      <c r="BP91" s="137"/>
      <c r="BQ91" s="136"/>
      <c r="BR91" s="137"/>
      <c r="BT91" s="787">
        <f t="shared" si="83"/>
        <v>0</v>
      </c>
      <c r="BU91" s="788">
        <f t="shared" si="92"/>
        <v>0</v>
      </c>
      <c r="BV91" s="787">
        <f t="shared" si="93"/>
        <v>0</v>
      </c>
      <c r="BW91" s="787">
        <v>900</v>
      </c>
      <c r="BX91" s="789">
        <f>IFERROR(LOOKUP(M91,基础数据!A:D),1)</f>
        <v>1</v>
      </c>
      <c r="BY91" s="790">
        <f t="shared" si="94"/>
        <v>3.55771976932645</v>
      </c>
      <c r="BZ91" s="787">
        <f t="shared" si="75"/>
        <v>3200</v>
      </c>
      <c r="CA91" s="797"/>
      <c r="CB91" s="792">
        <f t="shared" si="26"/>
        <v>0.13</v>
      </c>
      <c r="CC91" s="165" t="s">
        <v>2706</v>
      </c>
      <c r="CD91" s="793">
        <v>0</v>
      </c>
      <c r="CE91" s="156">
        <f t="shared" si="84"/>
        <v>0</v>
      </c>
      <c r="CF91" s="156">
        <f t="shared" si="95"/>
        <v>0</v>
      </c>
      <c r="CG91" s="776"/>
      <c r="CH91" s="156">
        <f t="shared" si="96"/>
        <v>0</v>
      </c>
      <c r="CI91" s="156">
        <f t="shared" si="97"/>
        <v>0</v>
      </c>
      <c r="CJ91" s="776"/>
      <c r="CK91" s="156">
        <f t="shared" si="98"/>
        <v>0</v>
      </c>
      <c r="CL91" s="156">
        <f t="shared" si="99"/>
        <v>0</v>
      </c>
      <c r="CM91" s="776"/>
      <c r="CN91" s="156">
        <f t="shared" si="100"/>
        <v>0</v>
      </c>
      <c r="CO91" s="156">
        <f t="shared" si="101"/>
        <v>0</v>
      </c>
      <c r="CP91" s="776"/>
      <c r="CQ91" s="776"/>
      <c r="CR91" s="794">
        <f t="shared" si="102"/>
        <v>0</v>
      </c>
      <c r="CS91" s="156">
        <f t="shared" si="103"/>
        <v>0</v>
      </c>
      <c r="CT91" s="156">
        <f t="shared" si="104"/>
        <v>0</v>
      </c>
      <c r="CU91" s="156">
        <v>0</v>
      </c>
      <c r="CV91" s="795">
        <f>LOOKUP(CU91,参数表!$A$13:$B$19)</f>
        <v>0</v>
      </c>
      <c r="CW91" s="156">
        <f t="shared" si="105"/>
        <v>0</v>
      </c>
      <c r="CX91" s="156">
        <f t="shared" si="106"/>
        <v>0</v>
      </c>
      <c r="CY91" s="156">
        <f t="shared" si="85"/>
        <v>125.582477754962</v>
      </c>
      <c r="CZ91" s="223">
        <v>7</v>
      </c>
      <c r="DA91" s="746">
        <f t="shared" si="107"/>
        <v>-16.94</v>
      </c>
      <c r="DB91" s="746">
        <f t="shared" si="91"/>
        <v>-16.89</v>
      </c>
      <c r="DC91" s="746">
        <f t="shared" si="108"/>
        <v>-16.89</v>
      </c>
      <c r="DE91" s="134" t="str">
        <f>IF(COUNTIF(DE$7:DE90,C91)&gt;0,"",C91)&amp;""</f>
        <v/>
      </c>
      <c r="DF91" s="138">
        <f t="shared" si="86"/>
        <v>0</v>
      </c>
      <c r="DG91" s="132">
        <f t="shared" si="87"/>
        <v>1</v>
      </c>
      <c r="DH91" s="138">
        <f t="shared" si="88"/>
        <v>0</v>
      </c>
      <c r="DI91" s="132">
        <f t="shared" si="89"/>
        <v>1</v>
      </c>
      <c r="DJ91" s="133"/>
      <c r="DK91" s="133"/>
      <c r="DM91" s="796" t="s">
        <v>4078</v>
      </c>
      <c r="DN91" s="75">
        <v>344.82</v>
      </c>
    </row>
    <row r="92" ht="15" customHeight="1" spans="1:118">
      <c r="A92" s="785" t="str">
        <f>IF(C92="","",COUNT(A$7:A91)+1)</f>
        <v/>
      </c>
      <c r="B92" s="141"/>
      <c r="C92" s="139"/>
      <c r="D92" s="141"/>
      <c r="E92" s="535"/>
      <c r="F92" s="535"/>
      <c r="G92" s="141"/>
      <c r="H92" s="536"/>
      <c r="I92" s="139"/>
      <c r="J92" s="141"/>
      <c r="K92" s="141"/>
      <c r="L92" s="140"/>
      <c r="M92" s="140"/>
      <c r="N92" s="142"/>
      <c r="O92" s="127"/>
      <c r="P92" s="128"/>
      <c r="Q92" s="128"/>
      <c r="R92" s="129"/>
      <c r="S92" s="143"/>
      <c r="T92" s="143"/>
      <c r="U92" s="143"/>
      <c r="V92" s="144"/>
      <c r="W92" s="144"/>
      <c r="X92" s="144"/>
      <c r="Y92" s="129" t="str">
        <f t="shared" si="76"/>
        <v/>
      </c>
      <c r="Z92" s="129" t="str">
        <f t="shared" si="77"/>
        <v/>
      </c>
      <c r="AA92" s="129" t="str">
        <f t="shared" si="78"/>
        <v/>
      </c>
      <c r="AB92" s="129" t="str">
        <f t="shared" si="79"/>
        <v/>
      </c>
      <c r="AC92" s="521" t="str">
        <f t="shared" si="80"/>
        <v/>
      </c>
      <c r="AD92" s="129" t="str">
        <f t="shared" si="81"/>
        <v/>
      </c>
      <c r="AE92" s="129"/>
      <c r="AF92" s="129">
        <v>0</v>
      </c>
      <c r="AG92" s="129" t="str">
        <f t="shared" si="90"/>
        <v/>
      </c>
      <c r="AH92" s="145"/>
      <c r="BC92" s="78"/>
      <c r="BD92" s="132" t="s">
        <v>4156</v>
      </c>
      <c r="BE92" s="133"/>
      <c r="BF92" s="132" t="str">
        <f>IF(OR(C92="",BE92=""),"",COUNTIF(BE$8:BE92,"√"))</f>
        <v/>
      </c>
      <c r="BG92" s="134" t="str">
        <f t="shared" si="82"/>
        <v/>
      </c>
      <c r="BH92" s="135" t="str">
        <f t="shared" si="20"/>
        <v/>
      </c>
      <c r="BI92" s="135" t="str">
        <f t="shared" si="20"/>
        <v/>
      </c>
      <c r="BJ92" s="136"/>
      <c r="BK92" s="137"/>
      <c r="BL92" s="136"/>
      <c r="BM92" s="136"/>
      <c r="BN92" s="136"/>
      <c r="BO92" s="136"/>
      <c r="BP92" s="137"/>
      <c r="BQ92" s="136"/>
      <c r="BR92" s="137"/>
      <c r="BT92" s="787">
        <f t="shared" si="83"/>
        <v>0</v>
      </c>
      <c r="BU92" s="788">
        <f t="shared" si="92"/>
        <v>0</v>
      </c>
      <c r="BV92" s="787">
        <f t="shared" si="93"/>
        <v>0</v>
      </c>
      <c r="BW92" s="787">
        <v>60080</v>
      </c>
      <c r="BX92" s="789">
        <f>IFERROR(LOOKUP(M92,基础数据!A:D),1)</f>
        <v>1</v>
      </c>
      <c r="BY92" s="790">
        <f t="shared" si="94"/>
        <v>3.55771976932645</v>
      </c>
      <c r="BZ92" s="787">
        <f t="shared" si="75"/>
        <v>213750</v>
      </c>
      <c r="CA92" s="797"/>
      <c r="CB92" s="792">
        <f t="shared" si="26"/>
        <v>0.13</v>
      </c>
      <c r="CC92" s="165" t="s">
        <v>2706</v>
      </c>
      <c r="CD92" s="793">
        <v>0</v>
      </c>
      <c r="CE92" s="156">
        <f t="shared" si="84"/>
        <v>0</v>
      </c>
      <c r="CF92" s="156">
        <f t="shared" si="95"/>
        <v>0</v>
      </c>
      <c r="CG92" s="776"/>
      <c r="CH92" s="156">
        <f t="shared" si="96"/>
        <v>0</v>
      </c>
      <c r="CI92" s="156">
        <f t="shared" si="97"/>
        <v>0</v>
      </c>
      <c r="CJ92" s="776"/>
      <c r="CK92" s="156">
        <f t="shared" si="98"/>
        <v>0</v>
      </c>
      <c r="CL92" s="156">
        <f t="shared" si="99"/>
        <v>0</v>
      </c>
      <c r="CM92" s="776"/>
      <c r="CN92" s="156">
        <f t="shared" si="100"/>
        <v>0</v>
      </c>
      <c r="CO92" s="156">
        <f t="shared" si="101"/>
        <v>0</v>
      </c>
      <c r="CP92" s="776"/>
      <c r="CQ92" s="776"/>
      <c r="CR92" s="794">
        <f t="shared" si="102"/>
        <v>0</v>
      </c>
      <c r="CS92" s="156">
        <f t="shared" si="103"/>
        <v>0</v>
      </c>
      <c r="CT92" s="156">
        <f t="shared" si="104"/>
        <v>0</v>
      </c>
      <c r="CU92" s="156">
        <v>0</v>
      </c>
      <c r="CV92" s="795">
        <f>LOOKUP(CU92,参数表!$A$13:$B$19)</f>
        <v>0</v>
      </c>
      <c r="CW92" s="156">
        <f t="shared" si="105"/>
        <v>0</v>
      </c>
      <c r="CX92" s="156">
        <f t="shared" si="106"/>
        <v>0</v>
      </c>
      <c r="CY92" s="156">
        <f t="shared" si="85"/>
        <v>125.582477754962</v>
      </c>
      <c r="CZ92" s="223">
        <v>7</v>
      </c>
      <c r="DA92" s="746">
        <f t="shared" si="107"/>
        <v>-16.94</v>
      </c>
      <c r="DB92" s="746">
        <f t="shared" si="91"/>
        <v>-16.89</v>
      </c>
      <c r="DC92" s="746">
        <f t="shared" si="108"/>
        <v>-16.89</v>
      </c>
      <c r="DE92" s="134" t="str">
        <f>IF(COUNTIF(DE$7:DE91,C92)&gt;0,"",C92)&amp;""</f>
        <v/>
      </c>
      <c r="DF92" s="138">
        <f t="shared" si="86"/>
        <v>0</v>
      </c>
      <c r="DG92" s="132">
        <f t="shared" si="87"/>
        <v>1</v>
      </c>
      <c r="DH92" s="138">
        <f t="shared" si="88"/>
        <v>0</v>
      </c>
      <c r="DI92" s="132">
        <f t="shared" si="89"/>
        <v>1</v>
      </c>
      <c r="DJ92" s="133"/>
      <c r="DK92" s="133"/>
      <c r="DM92" s="796" t="s">
        <v>4078</v>
      </c>
      <c r="DN92" s="75">
        <v>344.82</v>
      </c>
    </row>
    <row r="93" ht="15" customHeight="1" spans="1:118">
      <c r="A93" s="785" t="str">
        <f>IF(C93="","",COUNT(A$7:A92)+1)</f>
        <v/>
      </c>
      <c r="B93" s="141"/>
      <c r="C93" s="139"/>
      <c r="D93" s="141"/>
      <c r="E93" s="535"/>
      <c r="F93" s="535"/>
      <c r="G93" s="141"/>
      <c r="H93" s="536"/>
      <c r="I93" s="139"/>
      <c r="J93" s="141"/>
      <c r="K93" s="141"/>
      <c r="L93" s="140"/>
      <c r="M93" s="140"/>
      <c r="N93" s="142"/>
      <c r="O93" s="127"/>
      <c r="P93" s="128"/>
      <c r="Q93" s="128"/>
      <c r="R93" s="129"/>
      <c r="S93" s="143"/>
      <c r="T93" s="143"/>
      <c r="U93" s="143"/>
      <c r="V93" s="144"/>
      <c r="W93" s="144"/>
      <c r="X93" s="144"/>
      <c r="Y93" s="129" t="str">
        <f t="shared" si="76"/>
        <v/>
      </c>
      <c r="Z93" s="129" t="str">
        <f t="shared" si="77"/>
        <v/>
      </c>
      <c r="AA93" s="129" t="str">
        <f t="shared" si="78"/>
        <v/>
      </c>
      <c r="AB93" s="129" t="str">
        <f t="shared" si="79"/>
        <v/>
      </c>
      <c r="AC93" s="521" t="str">
        <f t="shared" si="80"/>
        <v/>
      </c>
      <c r="AD93" s="129" t="str">
        <f t="shared" si="81"/>
        <v/>
      </c>
      <c r="AE93" s="129"/>
      <c r="AF93" s="129">
        <v>0</v>
      </c>
      <c r="AG93" s="129" t="str">
        <f t="shared" si="90"/>
        <v/>
      </c>
      <c r="AH93" s="145"/>
      <c r="BC93" s="78"/>
      <c r="BD93" s="132" t="s">
        <v>4157</v>
      </c>
      <c r="BE93" s="133"/>
      <c r="BF93" s="132" t="str">
        <f>IF(OR(C93="",BE93=""),"",COUNTIF(BE$8:BE93,"√"))</f>
        <v/>
      </c>
      <c r="BG93" s="134" t="str">
        <f t="shared" si="82"/>
        <v/>
      </c>
      <c r="BH93" s="135" t="str">
        <f t="shared" si="20"/>
        <v/>
      </c>
      <c r="BI93" s="135" t="str">
        <f t="shared" si="20"/>
        <v/>
      </c>
      <c r="BJ93" s="136"/>
      <c r="BK93" s="137"/>
      <c r="BL93" s="136"/>
      <c r="BM93" s="136"/>
      <c r="BN93" s="136"/>
      <c r="BO93" s="136"/>
      <c r="BP93" s="137"/>
      <c r="BQ93" s="136"/>
      <c r="BR93" s="137"/>
      <c r="BT93" s="787">
        <f t="shared" si="83"/>
        <v>0</v>
      </c>
      <c r="BU93" s="788">
        <f t="shared" si="92"/>
        <v>0</v>
      </c>
      <c r="BV93" s="787">
        <f t="shared" si="93"/>
        <v>0</v>
      </c>
      <c r="BW93" s="787">
        <v>39450</v>
      </c>
      <c r="BX93" s="789">
        <f>IFERROR(LOOKUP(M93,基础数据!A:D),1)</f>
        <v>1</v>
      </c>
      <c r="BY93" s="790">
        <f t="shared" si="94"/>
        <v>3.55771976932645</v>
      </c>
      <c r="BZ93" s="787">
        <f t="shared" si="75"/>
        <v>140350</v>
      </c>
      <c r="CA93" s="791">
        <v>17809844932</v>
      </c>
      <c r="CB93" s="792">
        <f t="shared" si="26"/>
        <v>0.13</v>
      </c>
      <c r="CC93" s="165" t="s">
        <v>230</v>
      </c>
      <c r="CD93" s="793">
        <v>0</v>
      </c>
      <c r="CE93" s="156">
        <f t="shared" si="84"/>
        <v>0</v>
      </c>
      <c r="CF93" s="156">
        <f t="shared" si="95"/>
        <v>0</v>
      </c>
      <c r="CG93" s="776"/>
      <c r="CH93" s="156">
        <f t="shared" si="96"/>
        <v>0</v>
      </c>
      <c r="CI93" s="156">
        <f t="shared" si="97"/>
        <v>0</v>
      </c>
      <c r="CJ93" s="776"/>
      <c r="CK93" s="156">
        <f t="shared" si="98"/>
        <v>0</v>
      </c>
      <c r="CL93" s="156">
        <f t="shared" si="99"/>
        <v>0</v>
      </c>
      <c r="CM93" s="776"/>
      <c r="CN93" s="156">
        <f t="shared" si="100"/>
        <v>0</v>
      </c>
      <c r="CO93" s="156">
        <f t="shared" si="101"/>
        <v>0</v>
      </c>
      <c r="CP93" s="776"/>
      <c r="CQ93" s="776"/>
      <c r="CR93" s="794">
        <f t="shared" si="102"/>
        <v>0</v>
      </c>
      <c r="CS93" s="156">
        <f t="shared" si="103"/>
        <v>0</v>
      </c>
      <c r="CT93" s="156">
        <f t="shared" si="104"/>
        <v>0</v>
      </c>
      <c r="CU93" s="156">
        <v>0</v>
      </c>
      <c r="CV93" s="795">
        <f>LOOKUP(CU93,参数表!$A$13:$B$19)</f>
        <v>0</v>
      </c>
      <c r="CW93" s="156">
        <f t="shared" si="105"/>
        <v>0</v>
      </c>
      <c r="CX93" s="156">
        <f t="shared" si="106"/>
        <v>0</v>
      </c>
      <c r="CY93" s="156">
        <f t="shared" si="85"/>
        <v>125.582477754962</v>
      </c>
      <c r="CZ93" s="223">
        <v>4</v>
      </c>
      <c r="DA93" s="746">
        <f t="shared" si="107"/>
        <v>-30.4</v>
      </c>
      <c r="DB93" s="746">
        <f t="shared" si="91"/>
        <v>-30.35</v>
      </c>
      <c r="DC93" s="746">
        <f t="shared" si="108"/>
        <v>-30.35</v>
      </c>
      <c r="DE93" s="134" t="str">
        <f>IF(COUNTIF(DE$7:DE92,C93)&gt;0,"",C93)&amp;""</f>
        <v/>
      </c>
      <c r="DF93" s="138">
        <f t="shared" si="86"/>
        <v>0</v>
      </c>
      <c r="DG93" s="132">
        <f t="shared" si="87"/>
        <v>1</v>
      </c>
      <c r="DH93" s="138">
        <f t="shared" si="88"/>
        <v>0</v>
      </c>
      <c r="DI93" s="132">
        <f t="shared" si="89"/>
        <v>1</v>
      </c>
      <c r="DJ93" s="133"/>
      <c r="DK93" s="133"/>
      <c r="DM93" s="796" t="s">
        <v>4067</v>
      </c>
      <c r="DN93" s="75">
        <v>1057.9</v>
      </c>
    </row>
    <row r="94" ht="15" customHeight="1" spans="1:118">
      <c r="A94" s="785" t="str">
        <f>IF(C94="","",COUNT(A$7:A93)+1)</f>
        <v/>
      </c>
      <c r="B94" s="141"/>
      <c r="C94" s="139"/>
      <c r="D94" s="141"/>
      <c r="E94" s="535"/>
      <c r="F94" s="535"/>
      <c r="G94" s="141"/>
      <c r="H94" s="536"/>
      <c r="I94" s="139"/>
      <c r="J94" s="141"/>
      <c r="K94" s="141"/>
      <c r="L94" s="140"/>
      <c r="M94" s="140"/>
      <c r="N94" s="142"/>
      <c r="O94" s="127"/>
      <c r="P94" s="128"/>
      <c r="Q94" s="128"/>
      <c r="R94" s="129"/>
      <c r="S94" s="143"/>
      <c r="T94" s="143"/>
      <c r="U94" s="143"/>
      <c r="V94" s="144"/>
      <c r="W94" s="144"/>
      <c r="X94" s="144"/>
      <c r="Y94" s="129" t="str">
        <f t="shared" si="76"/>
        <v/>
      </c>
      <c r="Z94" s="129" t="str">
        <f t="shared" si="77"/>
        <v/>
      </c>
      <c r="AA94" s="129" t="str">
        <f t="shared" si="78"/>
        <v/>
      </c>
      <c r="AB94" s="129" t="str">
        <f t="shared" si="79"/>
        <v/>
      </c>
      <c r="AC94" s="521" t="str">
        <f t="shared" si="80"/>
        <v/>
      </c>
      <c r="AD94" s="129" t="str">
        <f t="shared" si="81"/>
        <v/>
      </c>
      <c r="AE94" s="129"/>
      <c r="AF94" s="129">
        <v>0</v>
      </c>
      <c r="AG94" s="129" t="str">
        <f t="shared" si="90"/>
        <v/>
      </c>
      <c r="AH94" s="145"/>
      <c r="BC94" s="78"/>
      <c r="BD94" s="132" t="s">
        <v>4158</v>
      </c>
      <c r="BE94" s="133"/>
      <c r="BF94" s="132" t="str">
        <f>IF(OR(C94="",BE94=""),"",COUNTIF(BE$8:BE94,"√"))</f>
        <v/>
      </c>
      <c r="BG94" s="134" t="str">
        <f t="shared" si="82"/>
        <v/>
      </c>
      <c r="BH94" s="135" t="str">
        <f t="shared" si="20"/>
        <v/>
      </c>
      <c r="BI94" s="135" t="str">
        <f t="shared" si="20"/>
        <v/>
      </c>
      <c r="BJ94" s="136"/>
      <c r="BK94" s="137"/>
      <c r="BL94" s="136"/>
      <c r="BM94" s="136"/>
      <c r="BN94" s="136"/>
      <c r="BO94" s="136"/>
      <c r="BP94" s="137"/>
      <c r="BQ94" s="136"/>
      <c r="BR94" s="137"/>
      <c r="BT94" s="787">
        <f t="shared" si="83"/>
        <v>0</v>
      </c>
      <c r="BU94" s="788">
        <f t="shared" si="92"/>
        <v>0</v>
      </c>
      <c r="BV94" s="787">
        <f t="shared" si="93"/>
        <v>0</v>
      </c>
      <c r="BW94" s="787">
        <v>5630</v>
      </c>
      <c r="BX94" s="789">
        <f>IFERROR(LOOKUP(M94,基础数据!A:D),1)</f>
        <v>1</v>
      </c>
      <c r="BY94" s="790">
        <f t="shared" si="94"/>
        <v>3.55771976932645</v>
      </c>
      <c r="BZ94" s="787">
        <f t="shared" si="75"/>
        <v>20030</v>
      </c>
      <c r="CA94" s="797"/>
      <c r="CB94" s="792">
        <f t="shared" si="26"/>
        <v>0.13</v>
      </c>
      <c r="CC94" s="165" t="s">
        <v>2706</v>
      </c>
      <c r="CD94" s="793">
        <v>0</v>
      </c>
      <c r="CE94" s="156">
        <f t="shared" si="84"/>
        <v>0</v>
      </c>
      <c r="CF94" s="156">
        <f t="shared" si="95"/>
        <v>0</v>
      </c>
      <c r="CG94" s="776"/>
      <c r="CH94" s="156">
        <f t="shared" si="96"/>
        <v>0</v>
      </c>
      <c r="CI94" s="156">
        <f t="shared" si="97"/>
        <v>0</v>
      </c>
      <c r="CJ94" s="776"/>
      <c r="CK94" s="156">
        <f t="shared" si="98"/>
        <v>0</v>
      </c>
      <c r="CL94" s="156">
        <f t="shared" si="99"/>
        <v>0</v>
      </c>
      <c r="CM94" s="776"/>
      <c r="CN94" s="156">
        <f t="shared" si="100"/>
        <v>0</v>
      </c>
      <c r="CO94" s="156">
        <f t="shared" si="101"/>
        <v>0</v>
      </c>
      <c r="CP94" s="776"/>
      <c r="CQ94" s="776"/>
      <c r="CR94" s="794">
        <f t="shared" si="102"/>
        <v>0</v>
      </c>
      <c r="CS94" s="156">
        <f t="shared" si="103"/>
        <v>0</v>
      </c>
      <c r="CT94" s="156">
        <f t="shared" si="104"/>
        <v>0</v>
      </c>
      <c r="CU94" s="156">
        <v>0</v>
      </c>
      <c r="CV94" s="795">
        <f>LOOKUP(CU94,参数表!$A$13:$B$19)</f>
        <v>0</v>
      </c>
      <c r="CW94" s="156">
        <f t="shared" si="105"/>
        <v>0</v>
      </c>
      <c r="CX94" s="156">
        <f t="shared" si="106"/>
        <v>0</v>
      </c>
      <c r="CY94" s="156">
        <f t="shared" si="85"/>
        <v>125.582477754962</v>
      </c>
      <c r="CZ94" s="223">
        <v>7</v>
      </c>
      <c r="DA94" s="746">
        <f t="shared" si="107"/>
        <v>-16.94</v>
      </c>
      <c r="DB94" s="746">
        <f t="shared" si="91"/>
        <v>-16.89</v>
      </c>
      <c r="DC94" s="746">
        <f t="shared" si="108"/>
        <v>-16.89</v>
      </c>
      <c r="DE94" s="134" t="str">
        <f>IF(COUNTIF(DE$7:DE93,C94)&gt;0,"",C94)&amp;""</f>
        <v/>
      </c>
      <c r="DF94" s="138">
        <f t="shared" si="86"/>
        <v>0</v>
      </c>
      <c r="DG94" s="132">
        <f t="shared" si="87"/>
        <v>1</v>
      </c>
      <c r="DH94" s="138">
        <f t="shared" si="88"/>
        <v>0</v>
      </c>
      <c r="DI94" s="132">
        <f t="shared" si="89"/>
        <v>1</v>
      </c>
      <c r="DJ94" s="133"/>
      <c r="DK94" s="133"/>
      <c r="DM94" s="796" t="s">
        <v>4078</v>
      </c>
      <c r="DN94" s="75">
        <v>344.82</v>
      </c>
    </row>
    <row r="95" ht="15" customHeight="1" spans="1:118">
      <c r="A95" s="785" t="str">
        <f>IF(C95="","",COUNT(A$7:A94)+1)</f>
        <v/>
      </c>
      <c r="B95" s="141"/>
      <c r="C95" s="139"/>
      <c r="D95" s="141"/>
      <c r="E95" s="535"/>
      <c r="F95" s="535"/>
      <c r="G95" s="141"/>
      <c r="H95" s="536"/>
      <c r="I95" s="139"/>
      <c r="J95" s="141"/>
      <c r="K95" s="141"/>
      <c r="L95" s="140"/>
      <c r="M95" s="140"/>
      <c r="N95" s="142"/>
      <c r="O95" s="127"/>
      <c r="P95" s="128"/>
      <c r="Q95" s="128"/>
      <c r="R95" s="129"/>
      <c r="S95" s="143"/>
      <c r="T95" s="143"/>
      <c r="U95" s="143"/>
      <c r="V95" s="144"/>
      <c r="W95" s="144"/>
      <c r="X95" s="144"/>
      <c r="Y95" s="129" t="str">
        <f t="shared" si="76"/>
        <v/>
      </c>
      <c r="Z95" s="129" t="str">
        <f t="shared" si="77"/>
        <v/>
      </c>
      <c r="AA95" s="129" t="str">
        <f t="shared" si="78"/>
        <v/>
      </c>
      <c r="AB95" s="129" t="str">
        <f t="shared" si="79"/>
        <v/>
      </c>
      <c r="AC95" s="521" t="str">
        <f t="shared" si="80"/>
        <v/>
      </c>
      <c r="AD95" s="129" t="str">
        <f t="shared" si="81"/>
        <v/>
      </c>
      <c r="AE95" s="129"/>
      <c r="AF95" s="129">
        <v>0</v>
      </c>
      <c r="AG95" s="129" t="str">
        <f t="shared" si="90"/>
        <v/>
      </c>
      <c r="AH95" s="145"/>
      <c r="BC95" s="78"/>
      <c r="BD95" s="132" t="s">
        <v>4159</v>
      </c>
      <c r="BE95" s="133"/>
      <c r="BF95" s="132" t="str">
        <f>IF(OR(C95="",BE95=""),"",COUNTIF(BE$8:BE95,"√"))</f>
        <v/>
      </c>
      <c r="BG95" s="134" t="str">
        <f t="shared" si="82"/>
        <v/>
      </c>
      <c r="BH95" s="135" t="str">
        <f t="shared" si="20"/>
        <v/>
      </c>
      <c r="BI95" s="135" t="str">
        <f t="shared" si="20"/>
        <v/>
      </c>
      <c r="BJ95" s="136"/>
      <c r="BK95" s="137"/>
      <c r="BL95" s="136"/>
      <c r="BM95" s="136"/>
      <c r="BN95" s="136"/>
      <c r="BO95" s="136"/>
      <c r="BP95" s="137"/>
      <c r="BQ95" s="136"/>
      <c r="BR95" s="137"/>
      <c r="BT95" s="787">
        <f t="shared" si="83"/>
        <v>0</v>
      </c>
      <c r="BU95" s="788">
        <f t="shared" si="92"/>
        <v>0</v>
      </c>
      <c r="BV95" s="787">
        <f t="shared" si="93"/>
        <v>0</v>
      </c>
      <c r="BW95" s="787">
        <v>6260</v>
      </c>
      <c r="BX95" s="789">
        <f>IFERROR(LOOKUP(M95,基础数据!A:D),1)</f>
        <v>1</v>
      </c>
      <c r="BY95" s="790">
        <f t="shared" si="94"/>
        <v>3.55771976932645</v>
      </c>
      <c r="BZ95" s="787">
        <f t="shared" si="75"/>
        <v>22270</v>
      </c>
      <c r="CA95" s="797"/>
      <c r="CB95" s="792">
        <f t="shared" si="26"/>
        <v>0.13</v>
      </c>
      <c r="CC95" s="165" t="s">
        <v>2706</v>
      </c>
      <c r="CD95" s="793">
        <v>0</v>
      </c>
      <c r="CE95" s="156">
        <f t="shared" si="84"/>
        <v>0</v>
      </c>
      <c r="CF95" s="156">
        <f t="shared" si="95"/>
        <v>0</v>
      </c>
      <c r="CG95" s="776"/>
      <c r="CH95" s="156">
        <f t="shared" si="96"/>
        <v>0</v>
      </c>
      <c r="CI95" s="156">
        <f t="shared" si="97"/>
        <v>0</v>
      </c>
      <c r="CJ95" s="776"/>
      <c r="CK95" s="156">
        <f t="shared" si="98"/>
        <v>0</v>
      </c>
      <c r="CL95" s="156">
        <f t="shared" si="99"/>
        <v>0</v>
      </c>
      <c r="CM95" s="776"/>
      <c r="CN95" s="156">
        <f t="shared" si="100"/>
        <v>0</v>
      </c>
      <c r="CO95" s="156">
        <f t="shared" si="101"/>
        <v>0</v>
      </c>
      <c r="CP95" s="776"/>
      <c r="CQ95" s="776"/>
      <c r="CR95" s="794">
        <f t="shared" si="102"/>
        <v>0</v>
      </c>
      <c r="CS95" s="156">
        <f t="shared" si="103"/>
        <v>0</v>
      </c>
      <c r="CT95" s="156">
        <f t="shared" si="104"/>
        <v>0</v>
      </c>
      <c r="CU95" s="156">
        <v>0</v>
      </c>
      <c r="CV95" s="795">
        <f>LOOKUP(CU95,参数表!$A$13:$B$19)</f>
        <v>0</v>
      </c>
      <c r="CW95" s="156">
        <f t="shared" si="105"/>
        <v>0</v>
      </c>
      <c r="CX95" s="156">
        <f t="shared" si="106"/>
        <v>0</v>
      </c>
      <c r="CY95" s="156">
        <f t="shared" si="85"/>
        <v>125.582477754962</v>
      </c>
      <c r="CZ95" s="223">
        <v>7</v>
      </c>
      <c r="DA95" s="746">
        <f t="shared" si="107"/>
        <v>-16.94</v>
      </c>
      <c r="DB95" s="746">
        <f t="shared" si="91"/>
        <v>-16.89</v>
      </c>
      <c r="DC95" s="746">
        <f t="shared" si="108"/>
        <v>-16.89</v>
      </c>
      <c r="DE95" s="134" t="str">
        <f>IF(COUNTIF(DE$7:DE94,C95)&gt;0,"",C95)&amp;""</f>
        <v/>
      </c>
      <c r="DF95" s="138">
        <f t="shared" si="86"/>
        <v>0</v>
      </c>
      <c r="DG95" s="132">
        <f t="shared" si="87"/>
        <v>1</v>
      </c>
      <c r="DH95" s="138">
        <f t="shared" si="88"/>
        <v>0</v>
      </c>
      <c r="DI95" s="132">
        <f t="shared" si="89"/>
        <v>1</v>
      </c>
      <c r="DJ95" s="133"/>
      <c r="DK95" s="133"/>
      <c r="DM95" s="796" t="s">
        <v>4078</v>
      </c>
      <c r="DN95" s="75">
        <v>287.7</v>
      </c>
    </row>
    <row r="96" ht="15" customHeight="1" spans="1:118">
      <c r="A96" s="785" t="str">
        <f>IF(C96="","",COUNT(A$7:A95)+1)</f>
        <v/>
      </c>
      <c r="B96" s="141"/>
      <c r="C96" s="139"/>
      <c r="D96" s="141"/>
      <c r="E96" s="535"/>
      <c r="F96" s="535"/>
      <c r="G96" s="141"/>
      <c r="H96" s="536"/>
      <c r="I96" s="139"/>
      <c r="J96" s="141"/>
      <c r="K96" s="141"/>
      <c r="L96" s="140"/>
      <c r="M96" s="140"/>
      <c r="N96" s="142"/>
      <c r="O96" s="127"/>
      <c r="P96" s="128"/>
      <c r="Q96" s="128"/>
      <c r="R96" s="129"/>
      <c r="S96" s="143"/>
      <c r="T96" s="143"/>
      <c r="U96" s="143"/>
      <c r="V96" s="144"/>
      <c r="W96" s="144"/>
      <c r="X96" s="144"/>
      <c r="Y96" s="129" t="str">
        <f t="shared" si="76"/>
        <v/>
      </c>
      <c r="Z96" s="129" t="str">
        <f t="shared" si="77"/>
        <v/>
      </c>
      <c r="AA96" s="129" t="str">
        <f t="shared" si="78"/>
        <v/>
      </c>
      <c r="AB96" s="129" t="str">
        <f t="shared" si="79"/>
        <v/>
      </c>
      <c r="AC96" s="521" t="str">
        <f t="shared" si="80"/>
        <v/>
      </c>
      <c r="AD96" s="129" t="str">
        <f t="shared" si="81"/>
        <v/>
      </c>
      <c r="AE96" s="129"/>
      <c r="AF96" s="129">
        <v>0</v>
      </c>
      <c r="AG96" s="129" t="str">
        <f t="shared" si="90"/>
        <v/>
      </c>
      <c r="AH96" s="145"/>
      <c r="BC96" s="78"/>
      <c r="BD96" s="132" t="s">
        <v>4160</v>
      </c>
      <c r="BE96" s="133"/>
      <c r="BF96" s="132" t="str">
        <f>IF(OR(C96="",BE96=""),"",COUNTIF(BE$8:BE96,"√"))</f>
        <v/>
      </c>
      <c r="BG96" s="134" t="str">
        <f t="shared" si="82"/>
        <v/>
      </c>
      <c r="BH96" s="135" t="str">
        <f t="shared" si="20"/>
        <v/>
      </c>
      <c r="BI96" s="135" t="str">
        <f t="shared" si="20"/>
        <v/>
      </c>
      <c r="BJ96" s="136"/>
      <c r="BK96" s="137"/>
      <c r="BL96" s="136"/>
      <c r="BM96" s="136"/>
      <c r="BN96" s="136"/>
      <c r="BO96" s="136"/>
      <c r="BP96" s="137"/>
      <c r="BQ96" s="136"/>
      <c r="BR96" s="137"/>
      <c r="BT96" s="787">
        <f t="shared" si="83"/>
        <v>0</v>
      </c>
      <c r="BU96" s="788">
        <f t="shared" si="92"/>
        <v>0</v>
      </c>
      <c r="BV96" s="787">
        <f t="shared" si="93"/>
        <v>0</v>
      </c>
      <c r="BW96" s="787">
        <v>6260</v>
      </c>
      <c r="BX96" s="789">
        <f>IFERROR(LOOKUP(M96,基础数据!A:D),1)</f>
        <v>1</v>
      </c>
      <c r="BY96" s="790">
        <f t="shared" si="94"/>
        <v>3.55771976932645</v>
      </c>
      <c r="BZ96" s="787">
        <f t="shared" si="75"/>
        <v>22270</v>
      </c>
      <c r="CA96" s="791">
        <v>17809844932</v>
      </c>
      <c r="CB96" s="792">
        <f t="shared" si="26"/>
        <v>0.13</v>
      </c>
      <c r="CC96" s="165" t="s">
        <v>230</v>
      </c>
      <c r="CD96" s="793">
        <v>0</v>
      </c>
      <c r="CE96" s="156">
        <f t="shared" si="84"/>
        <v>0</v>
      </c>
      <c r="CF96" s="156">
        <f t="shared" si="95"/>
        <v>0</v>
      </c>
      <c r="CG96" s="776"/>
      <c r="CH96" s="156">
        <f t="shared" si="96"/>
        <v>0</v>
      </c>
      <c r="CI96" s="156">
        <f t="shared" si="97"/>
        <v>0</v>
      </c>
      <c r="CJ96" s="776"/>
      <c r="CK96" s="156">
        <f t="shared" si="98"/>
        <v>0</v>
      </c>
      <c r="CL96" s="156">
        <f t="shared" si="99"/>
        <v>0</v>
      </c>
      <c r="CM96" s="776"/>
      <c r="CN96" s="156">
        <f t="shared" si="100"/>
        <v>0</v>
      </c>
      <c r="CO96" s="156">
        <f t="shared" si="101"/>
        <v>0</v>
      </c>
      <c r="CP96" s="776"/>
      <c r="CQ96" s="776"/>
      <c r="CR96" s="794">
        <f t="shared" si="102"/>
        <v>0</v>
      </c>
      <c r="CS96" s="156">
        <f t="shared" si="103"/>
        <v>0</v>
      </c>
      <c r="CT96" s="156">
        <f t="shared" si="104"/>
        <v>0</v>
      </c>
      <c r="CU96" s="156">
        <v>0</v>
      </c>
      <c r="CV96" s="795">
        <f>LOOKUP(CU96,参数表!$A$13:$B$19)</f>
        <v>0</v>
      </c>
      <c r="CW96" s="156">
        <f t="shared" si="105"/>
        <v>0</v>
      </c>
      <c r="CX96" s="156">
        <f t="shared" si="106"/>
        <v>0</v>
      </c>
      <c r="CY96" s="156">
        <f t="shared" si="85"/>
        <v>125.582477754962</v>
      </c>
      <c r="CZ96" s="223">
        <v>4</v>
      </c>
      <c r="DA96" s="746">
        <f t="shared" si="107"/>
        <v>-30.4</v>
      </c>
      <c r="DB96" s="746">
        <f t="shared" si="91"/>
        <v>-30.35</v>
      </c>
      <c r="DC96" s="746">
        <f t="shared" si="108"/>
        <v>-30.35</v>
      </c>
      <c r="DE96" s="134" t="str">
        <f>IF(COUNTIF(DE$7:DE95,C96)&gt;0,"",C96)&amp;""</f>
        <v/>
      </c>
      <c r="DF96" s="138">
        <f t="shared" si="86"/>
        <v>0</v>
      </c>
      <c r="DG96" s="132">
        <f t="shared" si="87"/>
        <v>1</v>
      </c>
      <c r="DH96" s="138">
        <f t="shared" si="88"/>
        <v>0</v>
      </c>
      <c r="DI96" s="132">
        <f t="shared" si="89"/>
        <v>1</v>
      </c>
      <c r="DJ96" s="133"/>
      <c r="DK96" s="133"/>
      <c r="DM96" s="796" t="s">
        <v>4067</v>
      </c>
      <c r="DN96" s="75">
        <v>1057.9</v>
      </c>
    </row>
    <row r="97" ht="15" customHeight="1" spans="1:118">
      <c r="A97" s="785" t="str">
        <f>IF(C97="","",COUNT(A$7:A96)+1)</f>
        <v/>
      </c>
      <c r="B97" s="141"/>
      <c r="C97" s="139"/>
      <c r="D97" s="141"/>
      <c r="E97" s="535"/>
      <c r="F97" s="535"/>
      <c r="G97" s="141"/>
      <c r="H97" s="536"/>
      <c r="I97" s="139"/>
      <c r="J97" s="141"/>
      <c r="K97" s="141"/>
      <c r="L97" s="140"/>
      <c r="M97" s="140"/>
      <c r="N97" s="142"/>
      <c r="O97" s="127"/>
      <c r="P97" s="128"/>
      <c r="Q97" s="128"/>
      <c r="R97" s="129"/>
      <c r="S97" s="143"/>
      <c r="T97" s="143"/>
      <c r="U97" s="143"/>
      <c r="V97" s="144"/>
      <c r="W97" s="144"/>
      <c r="X97" s="144"/>
      <c r="Y97" s="129" t="str">
        <f t="shared" si="76"/>
        <v/>
      </c>
      <c r="Z97" s="129" t="str">
        <f t="shared" si="77"/>
        <v/>
      </c>
      <c r="AA97" s="129" t="str">
        <f t="shared" si="78"/>
        <v/>
      </c>
      <c r="AB97" s="129" t="str">
        <f t="shared" si="79"/>
        <v/>
      </c>
      <c r="AC97" s="521" t="str">
        <f t="shared" si="80"/>
        <v/>
      </c>
      <c r="AD97" s="129" t="str">
        <f t="shared" si="81"/>
        <v/>
      </c>
      <c r="AE97" s="129"/>
      <c r="AF97" s="129">
        <v>0</v>
      </c>
      <c r="AG97" s="129" t="str">
        <f t="shared" si="90"/>
        <v/>
      </c>
      <c r="AH97" s="145"/>
      <c r="BC97" s="78"/>
      <c r="BD97" s="132" t="s">
        <v>4161</v>
      </c>
      <c r="BE97" s="133"/>
      <c r="BF97" s="132" t="str">
        <f>IF(OR(C97="",BE97=""),"",COUNTIF(BE$8:BE97,"√"))</f>
        <v/>
      </c>
      <c r="BG97" s="134" t="str">
        <f t="shared" si="82"/>
        <v/>
      </c>
      <c r="BH97" s="135" t="str">
        <f t="shared" si="20"/>
        <v/>
      </c>
      <c r="BI97" s="135" t="str">
        <f t="shared" si="20"/>
        <v/>
      </c>
      <c r="BJ97" s="136"/>
      <c r="BK97" s="137"/>
      <c r="BL97" s="136"/>
      <c r="BM97" s="136"/>
      <c r="BN97" s="136"/>
      <c r="BO97" s="136"/>
      <c r="BP97" s="137"/>
      <c r="BQ97" s="136"/>
      <c r="BR97" s="137"/>
      <c r="BT97" s="787">
        <f t="shared" si="83"/>
        <v>0</v>
      </c>
      <c r="BU97" s="788">
        <f t="shared" si="92"/>
        <v>0</v>
      </c>
      <c r="BV97" s="787">
        <f t="shared" si="93"/>
        <v>0</v>
      </c>
      <c r="BW97" s="787">
        <v>3750</v>
      </c>
      <c r="BX97" s="789">
        <f>IFERROR(LOOKUP(M97,基础数据!A:D),1)</f>
        <v>1</v>
      </c>
      <c r="BY97" s="790">
        <f t="shared" si="94"/>
        <v>3.55771976932645</v>
      </c>
      <c r="BZ97" s="787">
        <f t="shared" si="75"/>
        <v>13340</v>
      </c>
      <c r="CA97" s="797"/>
      <c r="CB97" s="792">
        <f t="shared" si="26"/>
        <v>0.13</v>
      </c>
      <c r="CC97" s="165" t="s">
        <v>2706</v>
      </c>
      <c r="CD97" s="793">
        <v>0</v>
      </c>
      <c r="CE97" s="156">
        <f t="shared" si="84"/>
        <v>0</v>
      </c>
      <c r="CF97" s="156">
        <f t="shared" si="95"/>
        <v>0</v>
      </c>
      <c r="CG97" s="776"/>
      <c r="CH97" s="156">
        <f t="shared" si="96"/>
        <v>0</v>
      </c>
      <c r="CI97" s="156">
        <f t="shared" si="97"/>
        <v>0</v>
      </c>
      <c r="CJ97" s="776"/>
      <c r="CK97" s="156">
        <f t="shared" si="98"/>
        <v>0</v>
      </c>
      <c r="CL97" s="156">
        <f t="shared" si="99"/>
        <v>0</v>
      </c>
      <c r="CM97" s="776"/>
      <c r="CN97" s="156">
        <f t="shared" si="100"/>
        <v>0</v>
      </c>
      <c r="CO97" s="156">
        <f t="shared" si="101"/>
        <v>0</v>
      </c>
      <c r="CP97" s="776"/>
      <c r="CQ97" s="776"/>
      <c r="CR97" s="794">
        <f t="shared" si="102"/>
        <v>0</v>
      </c>
      <c r="CS97" s="156">
        <f t="shared" si="103"/>
        <v>0</v>
      </c>
      <c r="CT97" s="156">
        <f t="shared" si="104"/>
        <v>0</v>
      </c>
      <c r="CU97" s="156">
        <v>0</v>
      </c>
      <c r="CV97" s="795">
        <f>LOOKUP(CU97,参数表!$A$13:$B$19)</f>
        <v>0</v>
      </c>
      <c r="CW97" s="156">
        <f t="shared" si="105"/>
        <v>0</v>
      </c>
      <c r="CX97" s="156">
        <f t="shared" si="106"/>
        <v>0</v>
      </c>
      <c r="CY97" s="156">
        <f t="shared" si="85"/>
        <v>125.582477754962</v>
      </c>
      <c r="CZ97" s="223">
        <v>7</v>
      </c>
      <c r="DA97" s="746">
        <f t="shared" si="107"/>
        <v>-16.94</v>
      </c>
      <c r="DB97" s="746">
        <f t="shared" si="91"/>
        <v>-16.89</v>
      </c>
      <c r="DC97" s="746">
        <f t="shared" si="108"/>
        <v>-16.89</v>
      </c>
      <c r="DE97" s="134" t="str">
        <f>IF(COUNTIF(DE$7:DE96,C97)&gt;0,"",C97)&amp;""</f>
        <v/>
      </c>
      <c r="DF97" s="138">
        <f t="shared" si="86"/>
        <v>0</v>
      </c>
      <c r="DG97" s="132">
        <f t="shared" si="87"/>
        <v>1</v>
      </c>
      <c r="DH97" s="138">
        <f t="shared" si="88"/>
        <v>0</v>
      </c>
      <c r="DI97" s="132">
        <f t="shared" si="89"/>
        <v>1</v>
      </c>
      <c r="DJ97" s="133"/>
      <c r="DK97" s="133"/>
      <c r="DM97" s="796" t="s">
        <v>4078</v>
      </c>
      <c r="DN97" s="75">
        <v>344.82</v>
      </c>
    </row>
    <row r="98" ht="15" customHeight="1" spans="1:118">
      <c r="A98" s="785" t="str">
        <f>IF(C98="","",COUNT(A$7:A97)+1)</f>
        <v/>
      </c>
      <c r="B98" s="141"/>
      <c r="C98" s="139"/>
      <c r="D98" s="141"/>
      <c r="E98" s="535"/>
      <c r="F98" s="535"/>
      <c r="G98" s="141"/>
      <c r="H98" s="536"/>
      <c r="I98" s="139"/>
      <c r="J98" s="141"/>
      <c r="K98" s="141"/>
      <c r="L98" s="140"/>
      <c r="M98" s="140"/>
      <c r="N98" s="142"/>
      <c r="O98" s="127"/>
      <c r="P98" s="128"/>
      <c r="Q98" s="128"/>
      <c r="R98" s="129"/>
      <c r="S98" s="143"/>
      <c r="T98" s="143"/>
      <c r="U98" s="143"/>
      <c r="V98" s="144"/>
      <c r="W98" s="144"/>
      <c r="X98" s="144"/>
      <c r="Y98" s="129" t="str">
        <f t="shared" si="76"/>
        <v/>
      </c>
      <c r="Z98" s="129" t="str">
        <f t="shared" si="77"/>
        <v/>
      </c>
      <c r="AA98" s="129" t="str">
        <f t="shared" si="78"/>
        <v/>
      </c>
      <c r="AB98" s="129" t="str">
        <f t="shared" si="79"/>
        <v/>
      </c>
      <c r="AC98" s="521" t="str">
        <f t="shared" si="80"/>
        <v/>
      </c>
      <c r="AD98" s="129" t="str">
        <f t="shared" si="81"/>
        <v/>
      </c>
      <c r="AE98" s="129"/>
      <c r="AF98" s="129">
        <v>0</v>
      </c>
      <c r="AG98" s="129" t="str">
        <f t="shared" si="90"/>
        <v/>
      </c>
      <c r="AH98" s="145"/>
      <c r="BC98" s="78"/>
      <c r="BD98" s="132" t="s">
        <v>4162</v>
      </c>
      <c r="BE98" s="133"/>
      <c r="BF98" s="132" t="str">
        <f>IF(OR(C98="",BE98=""),"",COUNTIF(BE$8:BE98,"√"))</f>
        <v/>
      </c>
      <c r="BG98" s="134" t="str">
        <f t="shared" si="82"/>
        <v/>
      </c>
      <c r="BH98" s="135" t="str">
        <f t="shared" si="20"/>
        <v/>
      </c>
      <c r="BI98" s="135" t="str">
        <f t="shared" si="20"/>
        <v/>
      </c>
      <c r="BJ98" s="136"/>
      <c r="BK98" s="137"/>
      <c r="BL98" s="136"/>
      <c r="BM98" s="136"/>
      <c r="BN98" s="136"/>
      <c r="BO98" s="136"/>
      <c r="BP98" s="137"/>
      <c r="BQ98" s="136"/>
      <c r="BR98" s="137"/>
      <c r="BT98" s="787">
        <f t="shared" si="83"/>
        <v>0</v>
      </c>
      <c r="BU98" s="788">
        <f t="shared" si="92"/>
        <v>0</v>
      </c>
      <c r="BV98" s="787">
        <f t="shared" si="93"/>
        <v>0</v>
      </c>
      <c r="BW98" s="787">
        <v>3440</v>
      </c>
      <c r="BX98" s="789">
        <f>IFERROR(LOOKUP(M98,基础数据!A:D),1)</f>
        <v>1</v>
      </c>
      <c r="BY98" s="790">
        <f t="shared" si="94"/>
        <v>3.55771976932645</v>
      </c>
      <c r="BZ98" s="787">
        <f t="shared" si="75"/>
        <v>12240</v>
      </c>
      <c r="CA98" s="791">
        <v>17809844932</v>
      </c>
      <c r="CB98" s="792">
        <f t="shared" si="26"/>
        <v>0.13</v>
      </c>
      <c r="CC98" s="165" t="s">
        <v>230</v>
      </c>
      <c r="CD98" s="793">
        <v>0</v>
      </c>
      <c r="CE98" s="156">
        <f t="shared" si="84"/>
        <v>0</v>
      </c>
      <c r="CF98" s="156">
        <f t="shared" si="95"/>
        <v>0</v>
      </c>
      <c r="CG98" s="776"/>
      <c r="CH98" s="156">
        <f t="shared" si="96"/>
        <v>0</v>
      </c>
      <c r="CI98" s="156">
        <f t="shared" si="97"/>
        <v>0</v>
      </c>
      <c r="CJ98" s="776"/>
      <c r="CK98" s="156">
        <f t="shared" si="98"/>
        <v>0</v>
      </c>
      <c r="CL98" s="156">
        <f t="shared" si="99"/>
        <v>0</v>
      </c>
      <c r="CM98" s="776"/>
      <c r="CN98" s="156">
        <f t="shared" si="100"/>
        <v>0</v>
      </c>
      <c r="CO98" s="156">
        <f t="shared" si="101"/>
        <v>0</v>
      </c>
      <c r="CP98" s="776"/>
      <c r="CQ98" s="776"/>
      <c r="CR98" s="794">
        <f t="shared" si="102"/>
        <v>0</v>
      </c>
      <c r="CS98" s="156">
        <f t="shared" si="103"/>
        <v>0</v>
      </c>
      <c r="CT98" s="156">
        <f t="shared" si="104"/>
        <v>0</v>
      </c>
      <c r="CU98" s="156">
        <v>0</v>
      </c>
      <c r="CV98" s="795">
        <f>LOOKUP(CU98,参数表!$A$13:$B$19)</f>
        <v>0</v>
      </c>
      <c r="CW98" s="156">
        <f t="shared" si="105"/>
        <v>0</v>
      </c>
      <c r="CX98" s="156">
        <f t="shared" si="106"/>
        <v>0</v>
      </c>
      <c r="CY98" s="156">
        <f t="shared" si="85"/>
        <v>125.582477754962</v>
      </c>
      <c r="CZ98" s="223">
        <v>4</v>
      </c>
      <c r="DA98" s="746">
        <f t="shared" si="107"/>
        <v>-30.4</v>
      </c>
      <c r="DB98" s="746">
        <f t="shared" si="91"/>
        <v>-30.35</v>
      </c>
      <c r="DC98" s="746">
        <f t="shared" si="108"/>
        <v>-30.35</v>
      </c>
      <c r="DE98" s="134" t="str">
        <f>IF(COUNTIF(DE$7:DE97,C98)&gt;0,"",C98)&amp;""</f>
        <v/>
      </c>
      <c r="DF98" s="138">
        <f t="shared" si="86"/>
        <v>0</v>
      </c>
      <c r="DG98" s="132">
        <f t="shared" si="87"/>
        <v>1</v>
      </c>
      <c r="DH98" s="138">
        <f t="shared" si="88"/>
        <v>0</v>
      </c>
      <c r="DI98" s="132">
        <f t="shared" si="89"/>
        <v>1</v>
      </c>
      <c r="DJ98" s="133"/>
      <c r="DK98" s="133"/>
      <c r="DM98" s="796" t="s">
        <v>4067</v>
      </c>
      <c r="DN98" s="75">
        <v>161.64</v>
      </c>
    </row>
    <row r="99" ht="15" customHeight="1" spans="1:118">
      <c r="A99" s="785" t="str">
        <f>IF(C99="","",COUNT(A$7:A98)+1)</f>
        <v/>
      </c>
      <c r="B99" s="141"/>
      <c r="C99" s="139"/>
      <c r="D99" s="141"/>
      <c r="E99" s="535"/>
      <c r="F99" s="535"/>
      <c r="G99" s="141"/>
      <c r="H99" s="536"/>
      <c r="I99" s="139"/>
      <c r="J99" s="141"/>
      <c r="K99" s="141"/>
      <c r="L99" s="140"/>
      <c r="M99" s="140"/>
      <c r="N99" s="142"/>
      <c r="O99" s="127"/>
      <c r="P99" s="128"/>
      <c r="Q99" s="128"/>
      <c r="R99" s="129"/>
      <c r="S99" s="143"/>
      <c r="T99" s="143"/>
      <c r="U99" s="143"/>
      <c r="V99" s="144"/>
      <c r="W99" s="144"/>
      <c r="X99" s="144"/>
      <c r="Y99" s="129" t="str">
        <f t="shared" si="76"/>
        <v/>
      </c>
      <c r="Z99" s="129" t="str">
        <f t="shared" si="77"/>
        <v/>
      </c>
      <c r="AA99" s="129" t="str">
        <f t="shared" si="78"/>
        <v/>
      </c>
      <c r="AB99" s="129" t="str">
        <f t="shared" si="79"/>
        <v/>
      </c>
      <c r="AC99" s="521" t="str">
        <f t="shared" si="80"/>
        <v/>
      </c>
      <c r="AD99" s="129" t="str">
        <f t="shared" si="81"/>
        <v/>
      </c>
      <c r="AE99" s="129"/>
      <c r="AF99" s="129">
        <v>0</v>
      </c>
      <c r="AG99" s="129" t="str">
        <f t="shared" si="90"/>
        <v/>
      </c>
      <c r="AH99" s="145"/>
      <c r="BC99" s="78"/>
      <c r="BD99" s="132" t="s">
        <v>4163</v>
      </c>
      <c r="BE99" s="133"/>
      <c r="BF99" s="132" t="str">
        <f>IF(OR(C99="",BE99=""),"",COUNTIF(BE$8:BE99,"√"))</f>
        <v/>
      </c>
      <c r="BG99" s="134" t="str">
        <f t="shared" si="82"/>
        <v/>
      </c>
      <c r="BH99" s="135" t="str">
        <f t="shared" si="20"/>
        <v/>
      </c>
      <c r="BI99" s="135" t="str">
        <f t="shared" si="20"/>
        <v/>
      </c>
      <c r="BJ99" s="136"/>
      <c r="BK99" s="137"/>
      <c r="BL99" s="136"/>
      <c r="BM99" s="136"/>
      <c r="BN99" s="136"/>
      <c r="BO99" s="136"/>
      <c r="BP99" s="137"/>
      <c r="BQ99" s="136"/>
      <c r="BR99" s="137"/>
      <c r="BT99" s="787">
        <f t="shared" si="83"/>
        <v>0</v>
      </c>
      <c r="BU99" s="788">
        <f t="shared" si="92"/>
        <v>0</v>
      </c>
      <c r="BV99" s="787">
        <f t="shared" si="93"/>
        <v>0</v>
      </c>
      <c r="BW99" s="787">
        <f t="shared" ref="BW99:BW133" si="109">IF(BK99=0,BT99-BV99,BK99)</f>
        <v>0</v>
      </c>
      <c r="BX99" s="789">
        <f>IFERROR(LOOKUP(M99,基础数据!A:D),1)</f>
        <v>1</v>
      </c>
      <c r="BY99" s="790">
        <f t="shared" si="94"/>
        <v>3.55771976932645</v>
      </c>
      <c r="BZ99" s="787">
        <f t="shared" si="75"/>
        <v>0</v>
      </c>
      <c r="CA99" s="797"/>
      <c r="CB99" s="792">
        <f t="shared" si="26"/>
        <v>0.13</v>
      </c>
      <c r="CC99" s="165" t="s">
        <v>2706</v>
      </c>
      <c r="CD99" s="793">
        <v>0</v>
      </c>
      <c r="CE99" s="156">
        <f t="shared" si="84"/>
        <v>0</v>
      </c>
      <c r="CF99" s="156">
        <f t="shared" si="95"/>
        <v>0</v>
      </c>
      <c r="CG99" s="776"/>
      <c r="CH99" s="156">
        <f t="shared" si="96"/>
        <v>0</v>
      </c>
      <c r="CI99" s="156">
        <f t="shared" si="97"/>
        <v>0</v>
      </c>
      <c r="CJ99" s="776"/>
      <c r="CK99" s="156">
        <f t="shared" si="98"/>
        <v>0</v>
      </c>
      <c r="CL99" s="156">
        <f t="shared" si="99"/>
        <v>0</v>
      </c>
      <c r="CM99" s="776"/>
      <c r="CN99" s="156">
        <f t="shared" si="100"/>
        <v>0</v>
      </c>
      <c r="CO99" s="156">
        <f t="shared" si="101"/>
        <v>0</v>
      </c>
      <c r="CP99" s="776"/>
      <c r="CQ99" s="776"/>
      <c r="CR99" s="794">
        <f t="shared" si="102"/>
        <v>0</v>
      </c>
      <c r="CS99" s="156">
        <f t="shared" si="103"/>
        <v>0</v>
      </c>
      <c r="CT99" s="156">
        <f t="shared" si="104"/>
        <v>0</v>
      </c>
      <c r="CU99" s="156">
        <v>0</v>
      </c>
      <c r="CV99" s="795">
        <f>LOOKUP(CU99,参数表!$A$13:$B$19)</f>
        <v>0</v>
      </c>
      <c r="CW99" s="156">
        <f t="shared" si="105"/>
        <v>0</v>
      </c>
      <c r="CX99" s="156">
        <f t="shared" si="106"/>
        <v>0</v>
      </c>
      <c r="CY99" s="156">
        <f t="shared" si="85"/>
        <v>125.582477754962</v>
      </c>
      <c r="CZ99" s="223">
        <v>7</v>
      </c>
      <c r="DA99" s="746">
        <f t="shared" si="107"/>
        <v>-16.94</v>
      </c>
      <c r="DB99" s="746">
        <f t="shared" si="91"/>
        <v>-16.89</v>
      </c>
      <c r="DC99" s="746">
        <f t="shared" si="108"/>
        <v>-16.89</v>
      </c>
      <c r="DE99" s="134" t="str">
        <f>IF(COUNTIF(DE$7:DE98,C99)&gt;0,"",C99)&amp;""</f>
        <v/>
      </c>
      <c r="DF99" s="138">
        <f t="shared" si="86"/>
        <v>0</v>
      </c>
      <c r="DG99" s="132">
        <f t="shared" si="87"/>
        <v>1</v>
      </c>
      <c r="DH99" s="138">
        <f t="shared" si="88"/>
        <v>0</v>
      </c>
      <c r="DI99" s="132">
        <f t="shared" si="89"/>
        <v>1</v>
      </c>
      <c r="DJ99" s="133"/>
      <c r="DK99" s="133"/>
      <c r="DM99" s="796" t="s">
        <v>4078</v>
      </c>
      <c r="DN99" s="75">
        <v>70.04</v>
      </c>
    </row>
    <row r="100" ht="15" customHeight="1" spans="1:118">
      <c r="A100" s="785" t="str">
        <f>IF(C100="","",COUNT(A$7:A99)+1)</f>
        <v/>
      </c>
      <c r="B100" s="141"/>
      <c r="C100" s="139"/>
      <c r="D100" s="141"/>
      <c r="E100" s="535"/>
      <c r="F100" s="535"/>
      <c r="G100" s="141"/>
      <c r="H100" s="536"/>
      <c r="I100" s="139"/>
      <c r="J100" s="141"/>
      <c r="K100" s="141"/>
      <c r="L100" s="140"/>
      <c r="M100" s="140"/>
      <c r="N100" s="142"/>
      <c r="O100" s="127"/>
      <c r="P100" s="128"/>
      <c r="Q100" s="128"/>
      <c r="R100" s="129"/>
      <c r="S100" s="143"/>
      <c r="T100" s="143"/>
      <c r="U100" s="143"/>
      <c r="V100" s="144"/>
      <c r="W100" s="144"/>
      <c r="X100" s="144"/>
      <c r="Y100" s="129" t="str">
        <f t="shared" si="76"/>
        <v/>
      </c>
      <c r="Z100" s="129" t="str">
        <f t="shared" si="77"/>
        <v/>
      </c>
      <c r="AA100" s="129" t="str">
        <f t="shared" si="78"/>
        <v/>
      </c>
      <c r="AB100" s="129" t="str">
        <f t="shared" si="79"/>
        <v/>
      </c>
      <c r="AC100" s="521" t="str">
        <f t="shared" si="80"/>
        <v/>
      </c>
      <c r="AD100" s="129" t="str">
        <f t="shared" si="81"/>
        <v/>
      </c>
      <c r="AE100" s="129"/>
      <c r="AF100" s="129">
        <v>0</v>
      </c>
      <c r="AG100" s="129" t="str">
        <f t="shared" si="90"/>
        <v/>
      </c>
      <c r="AH100" s="145"/>
      <c r="BC100" s="78"/>
      <c r="BD100" s="132" t="s">
        <v>4164</v>
      </c>
      <c r="BE100" s="133"/>
      <c r="BF100" s="132" t="str">
        <f>IF(OR(C100="",BE100=""),"",COUNTIF(BE$8:BE100,"√"))</f>
        <v/>
      </c>
      <c r="BG100" s="134" t="str">
        <f t="shared" si="82"/>
        <v/>
      </c>
      <c r="BH100" s="135" t="str">
        <f t="shared" si="20"/>
        <v/>
      </c>
      <c r="BI100" s="135" t="str">
        <f t="shared" si="20"/>
        <v/>
      </c>
      <c r="BJ100" s="136"/>
      <c r="BK100" s="137"/>
      <c r="BL100" s="136"/>
      <c r="BM100" s="136"/>
      <c r="BN100" s="136"/>
      <c r="BO100" s="136"/>
      <c r="BP100" s="137"/>
      <c r="BQ100" s="136"/>
      <c r="BR100" s="137"/>
      <c r="BT100" s="787">
        <f t="shared" si="83"/>
        <v>0</v>
      </c>
      <c r="BU100" s="788">
        <f t="shared" si="92"/>
        <v>0</v>
      </c>
      <c r="BV100" s="787">
        <f t="shared" si="93"/>
        <v>0</v>
      </c>
      <c r="BW100" s="787">
        <f t="shared" si="109"/>
        <v>0</v>
      </c>
      <c r="BX100" s="789">
        <f>IFERROR(LOOKUP(M100,基础数据!A:D),1)</f>
        <v>1</v>
      </c>
      <c r="BY100" s="790">
        <f t="shared" si="94"/>
        <v>3.55771976932645</v>
      </c>
      <c r="BZ100" s="787">
        <f t="shared" ref="BZ100:BZ133" si="110">ROUND(BW100*BY100,-1)</f>
        <v>0</v>
      </c>
      <c r="CA100" s="800" t="s">
        <v>4165</v>
      </c>
      <c r="CB100" s="792">
        <f t="shared" si="26"/>
        <v>0.13</v>
      </c>
      <c r="CC100" s="165" t="s">
        <v>230</v>
      </c>
      <c r="CD100" s="793">
        <v>0</v>
      </c>
      <c r="CE100" s="156">
        <f t="shared" si="84"/>
        <v>0</v>
      </c>
      <c r="CF100" s="156">
        <f t="shared" si="95"/>
        <v>0</v>
      </c>
      <c r="CG100" s="776"/>
      <c r="CH100" s="156">
        <f t="shared" si="96"/>
        <v>0</v>
      </c>
      <c r="CI100" s="156">
        <f t="shared" si="97"/>
        <v>0</v>
      </c>
      <c r="CJ100" s="776"/>
      <c r="CK100" s="156">
        <f t="shared" si="98"/>
        <v>0</v>
      </c>
      <c r="CL100" s="156">
        <f t="shared" si="99"/>
        <v>0</v>
      </c>
      <c r="CM100" s="776"/>
      <c r="CN100" s="156">
        <f t="shared" si="100"/>
        <v>0</v>
      </c>
      <c r="CO100" s="156">
        <f t="shared" si="101"/>
        <v>0</v>
      </c>
      <c r="CP100" s="776"/>
      <c r="CQ100" s="776"/>
      <c r="CR100" s="794">
        <f t="shared" si="102"/>
        <v>0</v>
      </c>
      <c r="CS100" s="156">
        <f t="shared" si="103"/>
        <v>0</v>
      </c>
      <c r="CT100" s="156">
        <f t="shared" si="104"/>
        <v>0</v>
      </c>
      <c r="CU100" s="156">
        <v>0</v>
      </c>
      <c r="CV100" s="795">
        <f>LOOKUP(CU100,参数表!$A$13:$B$19)</f>
        <v>0</v>
      </c>
      <c r="CW100" s="156">
        <f t="shared" si="105"/>
        <v>0</v>
      </c>
      <c r="CX100" s="156">
        <f t="shared" si="106"/>
        <v>0</v>
      </c>
      <c r="CY100" s="156">
        <f t="shared" si="85"/>
        <v>125.582477754962</v>
      </c>
      <c r="CZ100" s="223">
        <v>4</v>
      </c>
      <c r="DA100" s="746">
        <f t="shared" si="107"/>
        <v>-30.4</v>
      </c>
      <c r="DB100" s="746">
        <f t="shared" si="91"/>
        <v>-30.35</v>
      </c>
      <c r="DC100" s="746">
        <f t="shared" si="108"/>
        <v>-30.35</v>
      </c>
      <c r="DE100" s="134" t="str">
        <f>IF(COUNTIF(DE$7:DE99,C100)&gt;0,"",C100)&amp;""</f>
        <v/>
      </c>
      <c r="DF100" s="138">
        <f t="shared" si="86"/>
        <v>0</v>
      </c>
      <c r="DG100" s="132">
        <f t="shared" si="87"/>
        <v>1</v>
      </c>
      <c r="DH100" s="138">
        <f t="shared" si="88"/>
        <v>0</v>
      </c>
      <c r="DI100" s="132">
        <f t="shared" si="89"/>
        <v>1</v>
      </c>
      <c r="DJ100" s="133"/>
      <c r="DK100" s="133"/>
      <c r="DM100" s="796" t="s">
        <v>4067</v>
      </c>
      <c r="DN100" s="75">
        <v>3223.82</v>
      </c>
    </row>
    <row r="101" ht="15" customHeight="1" spans="1:118">
      <c r="A101" s="785" t="str">
        <f>IF(C101="","",COUNT(A$7:A100)+1)</f>
        <v/>
      </c>
      <c r="B101" s="141"/>
      <c r="C101" s="139"/>
      <c r="D101" s="141"/>
      <c r="E101" s="535"/>
      <c r="F101" s="535"/>
      <c r="G101" s="141"/>
      <c r="H101" s="536"/>
      <c r="I101" s="139"/>
      <c r="J101" s="141"/>
      <c r="K101" s="141"/>
      <c r="L101" s="140"/>
      <c r="M101" s="140"/>
      <c r="N101" s="142"/>
      <c r="O101" s="127"/>
      <c r="P101" s="128"/>
      <c r="Q101" s="128"/>
      <c r="R101" s="129"/>
      <c r="S101" s="143"/>
      <c r="T101" s="143"/>
      <c r="U101" s="143"/>
      <c r="V101" s="144"/>
      <c r="W101" s="144"/>
      <c r="X101" s="144"/>
      <c r="Y101" s="129" t="str">
        <f t="shared" si="76"/>
        <v/>
      </c>
      <c r="Z101" s="129" t="str">
        <f t="shared" si="77"/>
        <v/>
      </c>
      <c r="AA101" s="129" t="str">
        <f t="shared" si="78"/>
        <v/>
      </c>
      <c r="AB101" s="129" t="str">
        <f t="shared" si="79"/>
        <v/>
      </c>
      <c r="AC101" s="521" t="str">
        <f t="shared" si="80"/>
        <v/>
      </c>
      <c r="AD101" s="129" t="str">
        <f t="shared" si="81"/>
        <v/>
      </c>
      <c r="AE101" s="129"/>
      <c r="AF101" s="129">
        <v>0</v>
      </c>
      <c r="AG101" s="129" t="str">
        <f t="shared" si="90"/>
        <v/>
      </c>
      <c r="AH101" s="145"/>
      <c r="BC101" s="78"/>
      <c r="BD101" s="132" t="s">
        <v>4166</v>
      </c>
      <c r="BE101" s="133"/>
      <c r="BF101" s="132" t="str">
        <f>IF(OR(C101="",BE101=""),"",COUNTIF(BE$8:BE101,"√"))</f>
        <v/>
      </c>
      <c r="BG101" s="134" t="str">
        <f t="shared" si="82"/>
        <v/>
      </c>
      <c r="BH101" s="135" t="str">
        <f t="shared" si="20"/>
        <v/>
      </c>
      <c r="BI101" s="135" t="str">
        <f t="shared" si="20"/>
        <v/>
      </c>
      <c r="BJ101" s="136"/>
      <c r="BK101" s="137"/>
      <c r="BL101" s="136"/>
      <c r="BM101" s="136"/>
      <c r="BN101" s="136"/>
      <c r="BO101" s="136"/>
      <c r="BP101" s="137"/>
      <c r="BQ101" s="136"/>
      <c r="BR101" s="137"/>
      <c r="BT101" s="787">
        <f t="shared" si="83"/>
        <v>0</v>
      </c>
      <c r="BU101" s="788">
        <f t="shared" si="92"/>
        <v>0</v>
      </c>
      <c r="BV101" s="787">
        <f t="shared" si="93"/>
        <v>0</v>
      </c>
      <c r="BW101" s="787">
        <v>58620.69</v>
      </c>
      <c r="BX101" s="789">
        <f>IFERROR(LOOKUP(M101,基础数据!A:D),1)</f>
        <v>1</v>
      </c>
      <c r="BY101" s="790">
        <f t="shared" si="94"/>
        <v>3.55771976932645</v>
      </c>
      <c r="BZ101" s="787">
        <f t="shared" si="110"/>
        <v>208560</v>
      </c>
      <c r="CA101" s="797"/>
      <c r="CB101" s="792">
        <f t="shared" si="26"/>
        <v>0.13</v>
      </c>
      <c r="CC101" s="165" t="s">
        <v>2706</v>
      </c>
      <c r="CD101" s="793">
        <v>0</v>
      </c>
      <c r="CE101" s="156">
        <f t="shared" si="84"/>
        <v>0</v>
      </c>
      <c r="CF101" s="156">
        <f t="shared" si="95"/>
        <v>0</v>
      </c>
      <c r="CG101" s="776"/>
      <c r="CH101" s="156">
        <f t="shared" si="96"/>
        <v>0</v>
      </c>
      <c r="CI101" s="156">
        <f t="shared" si="97"/>
        <v>0</v>
      </c>
      <c r="CJ101" s="776"/>
      <c r="CK101" s="156">
        <f t="shared" si="98"/>
        <v>0</v>
      </c>
      <c r="CL101" s="156">
        <f t="shared" si="99"/>
        <v>0</v>
      </c>
      <c r="CM101" s="776"/>
      <c r="CN101" s="156">
        <f t="shared" si="100"/>
        <v>0</v>
      </c>
      <c r="CO101" s="156">
        <f t="shared" si="101"/>
        <v>0</v>
      </c>
      <c r="CP101" s="776"/>
      <c r="CQ101" s="776"/>
      <c r="CR101" s="794">
        <f t="shared" si="102"/>
        <v>0</v>
      </c>
      <c r="CS101" s="156">
        <f t="shared" si="103"/>
        <v>0</v>
      </c>
      <c r="CT101" s="156">
        <f t="shared" si="104"/>
        <v>0</v>
      </c>
      <c r="CU101" s="156">
        <v>0</v>
      </c>
      <c r="CV101" s="795">
        <f>LOOKUP(CU101,参数表!$A$13:$B$19)</f>
        <v>0</v>
      </c>
      <c r="CW101" s="156">
        <f t="shared" si="105"/>
        <v>0</v>
      </c>
      <c r="CX101" s="156">
        <f t="shared" si="106"/>
        <v>0</v>
      </c>
      <c r="CY101" s="156">
        <f t="shared" si="85"/>
        <v>125.582477754962</v>
      </c>
      <c r="CZ101" s="223">
        <v>10</v>
      </c>
      <c r="DA101" s="746">
        <f t="shared" si="107"/>
        <v>-11.56</v>
      </c>
      <c r="DB101" s="746">
        <f t="shared" si="91"/>
        <v>-11.51</v>
      </c>
      <c r="DC101" s="746">
        <f t="shared" si="108"/>
        <v>-11.51</v>
      </c>
      <c r="DE101" s="134" t="str">
        <f>IF(COUNTIF(DE$7:DE100,C101)&gt;0,"",C101)&amp;""</f>
        <v/>
      </c>
      <c r="DF101" s="138">
        <f t="shared" si="86"/>
        <v>0</v>
      </c>
      <c r="DG101" s="132">
        <f t="shared" si="87"/>
        <v>1</v>
      </c>
      <c r="DH101" s="138">
        <f t="shared" si="88"/>
        <v>0</v>
      </c>
      <c r="DI101" s="132">
        <f t="shared" si="89"/>
        <v>1</v>
      </c>
      <c r="DJ101" s="133"/>
      <c r="DK101" s="133"/>
      <c r="DM101" s="796" t="s">
        <v>4167</v>
      </c>
      <c r="DN101" s="75">
        <v>0.02</v>
      </c>
    </row>
    <row r="102" ht="15" customHeight="1" spans="1:118">
      <c r="A102" s="785" t="str">
        <f>IF(C102="","",COUNT(A$7:A101)+1)</f>
        <v/>
      </c>
      <c r="B102" s="141"/>
      <c r="C102" s="139"/>
      <c r="D102" s="141"/>
      <c r="E102" s="535"/>
      <c r="F102" s="535"/>
      <c r="G102" s="141"/>
      <c r="H102" s="536"/>
      <c r="I102" s="139"/>
      <c r="J102" s="141"/>
      <c r="K102" s="141"/>
      <c r="L102" s="140"/>
      <c r="M102" s="140"/>
      <c r="N102" s="142"/>
      <c r="O102" s="127"/>
      <c r="P102" s="128"/>
      <c r="Q102" s="128"/>
      <c r="R102" s="129"/>
      <c r="S102" s="143"/>
      <c r="T102" s="143"/>
      <c r="U102" s="143"/>
      <c r="V102" s="144"/>
      <c r="W102" s="144"/>
      <c r="X102" s="144"/>
      <c r="Y102" s="129" t="str">
        <f t="shared" si="76"/>
        <v/>
      </c>
      <c r="Z102" s="129" t="str">
        <f t="shared" si="77"/>
        <v/>
      </c>
      <c r="AA102" s="129" t="str">
        <f t="shared" si="78"/>
        <v/>
      </c>
      <c r="AB102" s="129" t="str">
        <f t="shared" si="79"/>
        <v/>
      </c>
      <c r="AC102" s="521" t="str">
        <f t="shared" si="80"/>
        <v/>
      </c>
      <c r="AD102" s="129" t="str">
        <f t="shared" si="81"/>
        <v/>
      </c>
      <c r="AE102" s="129"/>
      <c r="AF102" s="129">
        <v>0</v>
      </c>
      <c r="AG102" s="129" t="str">
        <f t="shared" si="90"/>
        <v/>
      </c>
      <c r="AH102" s="145"/>
      <c r="BC102" s="78"/>
      <c r="BD102" s="132" t="s">
        <v>4168</v>
      </c>
      <c r="BE102" s="133"/>
      <c r="BF102" s="132" t="str">
        <f>IF(OR(C102="",BE102=""),"",COUNTIF(BE$8:BE102,"√"))</f>
        <v/>
      </c>
      <c r="BG102" s="134" t="str">
        <f t="shared" si="82"/>
        <v/>
      </c>
      <c r="BH102" s="135" t="str">
        <f t="shared" si="20"/>
        <v/>
      </c>
      <c r="BI102" s="135" t="str">
        <f t="shared" si="20"/>
        <v/>
      </c>
      <c r="BJ102" s="136"/>
      <c r="BK102" s="137"/>
      <c r="BL102" s="136"/>
      <c r="BM102" s="136"/>
      <c r="BN102" s="136"/>
      <c r="BO102" s="136"/>
      <c r="BP102" s="137"/>
      <c r="BQ102" s="136"/>
      <c r="BR102" s="137"/>
      <c r="BT102" s="787">
        <f t="shared" si="83"/>
        <v>0</v>
      </c>
      <c r="BU102" s="788">
        <f t="shared" si="92"/>
        <v>0</v>
      </c>
      <c r="BV102" s="787">
        <f t="shared" si="93"/>
        <v>0</v>
      </c>
      <c r="BW102" s="787">
        <v>6128.21</v>
      </c>
      <c r="BX102" s="789">
        <f>IFERROR(LOOKUP(M102,基础数据!A:D),1)</f>
        <v>1</v>
      </c>
      <c r="BY102" s="790">
        <f t="shared" si="94"/>
        <v>3.55771976932645</v>
      </c>
      <c r="BZ102" s="787">
        <f t="shared" si="110"/>
        <v>21800</v>
      </c>
      <c r="CA102" s="799" t="s">
        <v>4169</v>
      </c>
      <c r="CB102" s="792">
        <f t="shared" si="26"/>
        <v>0.13</v>
      </c>
      <c r="CC102" s="165" t="s">
        <v>2706</v>
      </c>
      <c r="CD102" s="793">
        <v>0</v>
      </c>
      <c r="CE102" s="156">
        <f t="shared" si="84"/>
        <v>0</v>
      </c>
      <c r="CF102" s="156">
        <f t="shared" si="95"/>
        <v>0</v>
      </c>
      <c r="CG102" s="776"/>
      <c r="CH102" s="156">
        <f t="shared" si="96"/>
        <v>0</v>
      </c>
      <c r="CI102" s="156">
        <f t="shared" si="97"/>
        <v>0</v>
      </c>
      <c r="CJ102" s="776"/>
      <c r="CK102" s="156">
        <f t="shared" si="98"/>
        <v>0</v>
      </c>
      <c r="CL102" s="156">
        <f t="shared" si="99"/>
        <v>0</v>
      </c>
      <c r="CM102" s="776"/>
      <c r="CN102" s="156">
        <f t="shared" si="100"/>
        <v>0</v>
      </c>
      <c r="CO102" s="156">
        <f t="shared" si="101"/>
        <v>0</v>
      </c>
      <c r="CP102" s="776"/>
      <c r="CQ102" s="776"/>
      <c r="CR102" s="794">
        <f t="shared" si="102"/>
        <v>0</v>
      </c>
      <c r="CS102" s="156">
        <f t="shared" si="103"/>
        <v>0</v>
      </c>
      <c r="CT102" s="156">
        <f t="shared" si="104"/>
        <v>0</v>
      </c>
      <c r="CU102" s="156">
        <v>0</v>
      </c>
      <c r="CV102" s="795">
        <f>LOOKUP(CU102,参数表!$A$13:$B$19)</f>
        <v>0</v>
      </c>
      <c r="CW102" s="156">
        <f t="shared" si="105"/>
        <v>0</v>
      </c>
      <c r="CX102" s="156">
        <f t="shared" si="106"/>
        <v>0</v>
      </c>
      <c r="CY102" s="156">
        <f t="shared" si="85"/>
        <v>125.582477754962</v>
      </c>
      <c r="CZ102" s="223">
        <v>10</v>
      </c>
      <c r="DA102" s="746">
        <f t="shared" si="107"/>
        <v>-11.56</v>
      </c>
      <c r="DB102" s="746">
        <f t="shared" si="91"/>
        <v>-11.51</v>
      </c>
      <c r="DC102" s="746">
        <f t="shared" si="108"/>
        <v>-11.51</v>
      </c>
      <c r="DE102" s="134" t="str">
        <f>IF(COUNTIF(DE$7:DE101,C102)&gt;0,"",C102)&amp;""</f>
        <v/>
      </c>
      <c r="DF102" s="138">
        <f t="shared" si="86"/>
        <v>0</v>
      </c>
      <c r="DG102" s="132">
        <f t="shared" si="87"/>
        <v>1</v>
      </c>
      <c r="DH102" s="138">
        <f t="shared" si="88"/>
        <v>0</v>
      </c>
      <c r="DI102" s="132">
        <f t="shared" si="89"/>
        <v>1</v>
      </c>
      <c r="DJ102" s="133"/>
      <c r="DK102" s="133"/>
      <c r="DM102" s="796" t="s">
        <v>4170</v>
      </c>
      <c r="DN102" s="75">
        <v>1129.83</v>
      </c>
    </row>
    <row r="103" ht="15" customHeight="1" spans="1:118">
      <c r="A103" s="785" t="str">
        <f>IF(C103="","",COUNT(A$7:A102)+1)</f>
        <v/>
      </c>
      <c r="B103" s="141"/>
      <c r="C103" s="139"/>
      <c r="D103" s="141"/>
      <c r="E103" s="535"/>
      <c r="F103" s="535"/>
      <c r="G103" s="141"/>
      <c r="H103" s="536"/>
      <c r="I103" s="139"/>
      <c r="J103" s="141"/>
      <c r="K103" s="141"/>
      <c r="L103" s="140"/>
      <c r="M103" s="140"/>
      <c r="N103" s="142"/>
      <c r="O103" s="127"/>
      <c r="P103" s="128"/>
      <c r="Q103" s="128"/>
      <c r="R103" s="129"/>
      <c r="S103" s="143"/>
      <c r="T103" s="143"/>
      <c r="U103" s="143"/>
      <c r="V103" s="144"/>
      <c r="W103" s="144"/>
      <c r="X103" s="144"/>
      <c r="Y103" s="129" t="str">
        <f t="shared" si="76"/>
        <v/>
      </c>
      <c r="Z103" s="129" t="str">
        <f t="shared" si="77"/>
        <v/>
      </c>
      <c r="AA103" s="129" t="str">
        <f t="shared" si="78"/>
        <v/>
      </c>
      <c r="AB103" s="129" t="str">
        <f t="shared" si="79"/>
        <v/>
      </c>
      <c r="AC103" s="521" t="str">
        <f t="shared" si="80"/>
        <v/>
      </c>
      <c r="AD103" s="129" t="str">
        <f t="shared" si="81"/>
        <v/>
      </c>
      <c r="AE103" s="129"/>
      <c r="AF103" s="129">
        <v>0</v>
      </c>
      <c r="AG103" s="129" t="str">
        <f t="shared" si="90"/>
        <v/>
      </c>
      <c r="AH103" s="145"/>
      <c r="BC103" s="78"/>
      <c r="BD103" s="132" t="s">
        <v>4171</v>
      </c>
      <c r="BE103" s="133"/>
      <c r="BF103" s="132" t="str">
        <f>IF(OR(C103="",BE103=""),"",COUNTIF(BE$8:BE103,"√"))</f>
        <v/>
      </c>
      <c r="BG103" s="134" t="str">
        <f t="shared" si="82"/>
        <v/>
      </c>
      <c r="BH103" s="135" t="str">
        <f t="shared" si="20"/>
        <v/>
      </c>
      <c r="BI103" s="135" t="str">
        <f t="shared" si="20"/>
        <v/>
      </c>
      <c r="BJ103" s="136"/>
      <c r="BK103" s="137"/>
      <c r="BL103" s="136"/>
      <c r="BM103" s="136"/>
      <c r="BN103" s="136"/>
      <c r="BO103" s="136"/>
      <c r="BP103" s="137"/>
      <c r="BQ103" s="136"/>
      <c r="BR103" s="137"/>
      <c r="BT103" s="787">
        <f t="shared" si="83"/>
        <v>0</v>
      </c>
      <c r="BU103" s="788">
        <f t="shared" si="92"/>
        <v>0</v>
      </c>
      <c r="BV103" s="787">
        <f t="shared" si="93"/>
        <v>0</v>
      </c>
      <c r="BW103" s="787">
        <v>52764.96</v>
      </c>
      <c r="BX103" s="789">
        <f>IFERROR(LOOKUP(M103,基础数据!A:D),1)</f>
        <v>1</v>
      </c>
      <c r="BY103" s="790">
        <f t="shared" si="94"/>
        <v>3.55771976932645</v>
      </c>
      <c r="BZ103" s="787">
        <f t="shared" si="110"/>
        <v>187720</v>
      </c>
      <c r="CA103" s="797"/>
      <c r="CB103" s="792">
        <f t="shared" si="26"/>
        <v>0.13</v>
      </c>
      <c r="CC103" s="165" t="s">
        <v>2706</v>
      </c>
      <c r="CD103" s="793">
        <v>0</v>
      </c>
      <c r="CE103" s="156">
        <f t="shared" si="84"/>
        <v>0</v>
      </c>
      <c r="CF103" s="156">
        <f t="shared" si="95"/>
        <v>0</v>
      </c>
      <c r="CG103" s="776"/>
      <c r="CH103" s="156">
        <f t="shared" si="96"/>
        <v>0</v>
      </c>
      <c r="CI103" s="156">
        <f t="shared" si="97"/>
        <v>0</v>
      </c>
      <c r="CJ103" s="776"/>
      <c r="CK103" s="156">
        <f t="shared" si="98"/>
        <v>0</v>
      </c>
      <c r="CL103" s="156">
        <f t="shared" si="99"/>
        <v>0</v>
      </c>
      <c r="CM103" s="776"/>
      <c r="CN103" s="156">
        <f t="shared" si="100"/>
        <v>0</v>
      </c>
      <c r="CO103" s="156">
        <f t="shared" si="101"/>
        <v>0</v>
      </c>
      <c r="CP103" s="776"/>
      <c r="CQ103" s="776"/>
      <c r="CR103" s="794">
        <f t="shared" si="102"/>
        <v>0</v>
      </c>
      <c r="CS103" s="156">
        <f t="shared" si="103"/>
        <v>0</v>
      </c>
      <c r="CT103" s="156">
        <f t="shared" si="104"/>
        <v>0</v>
      </c>
      <c r="CU103" s="156">
        <v>0</v>
      </c>
      <c r="CV103" s="795">
        <f>LOOKUP(CU103,参数表!$A$13:$B$19)</f>
        <v>0</v>
      </c>
      <c r="CW103" s="156">
        <f t="shared" si="105"/>
        <v>0</v>
      </c>
      <c r="CX103" s="156">
        <f t="shared" si="106"/>
        <v>0</v>
      </c>
      <c r="CY103" s="156">
        <f t="shared" si="85"/>
        <v>125.582477754962</v>
      </c>
      <c r="CZ103" s="223">
        <v>10</v>
      </c>
      <c r="DA103" s="746">
        <f t="shared" si="107"/>
        <v>-11.56</v>
      </c>
      <c r="DB103" s="746">
        <f t="shared" si="91"/>
        <v>-11.51</v>
      </c>
      <c r="DC103" s="746">
        <f t="shared" si="108"/>
        <v>-11.51</v>
      </c>
      <c r="DE103" s="134" t="str">
        <f>IF(COUNTIF(DE$7:DE102,C103)&gt;0,"",C103)&amp;""</f>
        <v/>
      </c>
      <c r="DF103" s="138">
        <f t="shared" si="86"/>
        <v>0</v>
      </c>
      <c r="DG103" s="132">
        <f t="shared" si="87"/>
        <v>1</v>
      </c>
      <c r="DH103" s="138">
        <f t="shared" si="88"/>
        <v>0</v>
      </c>
      <c r="DI103" s="132">
        <f t="shared" si="89"/>
        <v>1</v>
      </c>
      <c r="DJ103" s="133"/>
      <c r="DK103" s="133"/>
      <c r="DM103" s="796" t="s">
        <v>4167</v>
      </c>
      <c r="DN103" s="75">
        <v>15214.08</v>
      </c>
    </row>
    <row r="104" ht="15" customHeight="1" spans="1:118">
      <c r="A104" s="785" t="str">
        <f>IF(C104="","",COUNT(A$7:A103)+1)</f>
        <v/>
      </c>
      <c r="B104" s="141"/>
      <c r="C104" s="798"/>
      <c r="D104" s="141"/>
      <c r="E104" s="535"/>
      <c r="F104" s="535"/>
      <c r="G104" s="141"/>
      <c r="H104" s="536"/>
      <c r="I104" s="798"/>
      <c r="J104" s="141"/>
      <c r="K104" s="141"/>
      <c r="L104" s="140"/>
      <c r="M104" s="140"/>
      <c r="N104" s="142"/>
      <c r="O104" s="127"/>
      <c r="P104" s="128"/>
      <c r="Q104" s="128"/>
      <c r="R104" s="129"/>
      <c r="S104" s="143"/>
      <c r="T104" s="143"/>
      <c r="U104" s="143"/>
      <c r="V104" s="144"/>
      <c r="W104" s="144"/>
      <c r="X104" s="144"/>
      <c r="Y104" s="129" t="str">
        <f t="shared" ref="Y104:Y134" si="111">IF(C104="","",S104+V104)</f>
        <v/>
      </c>
      <c r="Z104" s="129" t="str">
        <f t="shared" ref="Z104:Z134" si="112">IF(C104="","",T104+W104)</f>
        <v/>
      </c>
      <c r="AA104" s="129" t="str">
        <f t="shared" ref="AA104:AA134" si="113">IF(C104="","",U104+X104)</f>
        <v/>
      </c>
      <c r="AB104" s="129" t="str">
        <f t="shared" ref="AB104:AB134" si="114">IF(C104="","",IF($BD$3="是",IF(CC104="成本法",CX104,CE104),""))</f>
        <v/>
      </c>
      <c r="AC104" s="521" t="str">
        <f t="shared" ref="AC104:AC134" si="115">IF(C104="","",IF($BD$3="是",IF(CC104="成本法",MIN(MAX(15,DC104*100),99),""),""))</f>
        <v/>
      </c>
      <c r="AD104" s="129" t="str">
        <f t="shared" si="81"/>
        <v/>
      </c>
      <c r="AE104" s="129">
        <f>CN104*0.5</f>
        <v>0</v>
      </c>
      <c r="AF104" s="129">
        <v>0</v>
      </c>
      <c r="AG104" s="129" t="str">
        <f t="shared" si="90"/>
        <v/>
      </c>
      <c r="AH104" s="145"/>
      <c r="BC104" s="78"/>
      <c r="BD104" s="132" t="s">
        <v>4172</v>
      </c>
      <c r="BE104" s="133"/>
      <c r="BF104" s="132" t="str">
        <f>IF(OR(C104="",BE104=""),"",COUNTIF(BE$8:BE104,"√"))</f>
        <v/>
      </c>
      <c r="BG104" s="134" t="str">
        <f t="shared" ref="BG104:BG134" si="116">IF(BE104="","",BD104&amp;"︱"&amp;C104&amp;"︱"&amp;TEXT(S104,"#,##0.00"))</f>
        <v/>
      </c>
      <c r="BH104" s="135" t="str">
        <f t="shared" si="20"/>
        <v/>
      </c>
      <c r="BI104" s="135" t="str">
        <f t="shared" si="20"/>
        <v/>
      </c>
      <c r="BJ104" s="136"/>
      <c r="BK104" s="137"/>
      <c r="BL104" s="136"/>
      <c r="BM104" s="136"/>
      <c r="BN104" s="136"/>
      <c r="BO104" s="136"/>
      <c r="BP104" s="137"/>
      <c r="BQ104" s="136"/>
      <c r="BR104" s="137"/>
      <c r="BT104" s="787">
        <f t="shared" ref="BT104:BT134" si="117">IFERROR(Y104/(1+BS104)/K104,0)</f>
        <v>0</v>
      </c>
      <c r="BU104" s="788">
        <f t="shared" si="92"/>
        <v>0.0909090909090909</v>
      </c>
      <c r="BV104" s="787">
        <f t="shared" si="93"/>
        <v>0</v>
      </c>
      <c r="BW104" s="787">
        <v>363247.86</v>
      </c>
      <c r="BX104" s="789">
        <f>IFERROR(LOOKUP(M104,基础数据!A:D),1)</f>
        <v>1</v>
      </c>
      <c r="BY104" s="790">
        <f t="shared" si="94"/>
        <v>3.55771976932645</v>
      </c>
      <c r="BZ104" s="787">
        <f t="shared" si="110"/>
        <v>1292330</v>
      </c>
      <c r="CA104" s="799" t="s">
        <v>4173</v>
      </c>
      <c r="CB104" s="792">
        <f t="shared" si="26"/>
        <v>0.13</v>
      </c>
      <c r="CC104" s="165" t="s">
        <v>2706</v>
      </c>
      <c r="CD104" s="793">
        <v>0</v>
      </c>
      <c r="CE104" s="156">
        <f t="shared" ref="CE104:CE134" si="118">ROUND(CD104*K104,2)</f>
        <v>0</v>
      </c>
      <c r="CF104" s="156">
        <f t="shared" si="95"/>
        <v>0</v>
      </c>
      <c r="CG104" s="776"/>
      <c r="CH104" s="156">
        <f t="shared" si="96"/>
        <v>0</v>
      </c>
      <c r="CI104" s="156">
        <f t="shared" si="97"/>
        <v>0</v>
      </c>
      <c r="CJ104" s="776"/>
      <c r="CK104" s="156">
        <f t="shared" si="98"/>
        <v>0</v>
      </c>
      <c r="CL104" s="156">
        <f t="shared" si="99"/>
        <v>0</v>
      </c>
      <c r="CM104" s="776">
        <v>0.1</v>
      </c>
      <c r="CN104" s="156">
        <f t="shared" si="100"/>
        <v>0</v>
      </c>
      <c r="CO104" s="156">
        <f t="shared" si="101"/>
        <v>0</v>
      </c>
      <c r="CP104" s="776"/>
      <c r="CQ104" s="776"/>
      <c r="CR104" s="794">
        <f t="shared" si="102"/>
        <v>0</v>
      </c>
      <c r="CS104" s="156">
        <f t="shared" si="103"/>
        <v>0</v>
      </c>
      <c r="CT104" s="156">
        <f t="shared" si="104"/>
        <v>0</v>
      </c>
      <c r="CU104" s="156"/>
      <c r="CV104" s="795">
        <f>LOOKUP(CU104,参数表!$A$13:$B$19)</f>
        <v>0</v>
      </c>
      <c r="CW104" s="156">
        <f t="shared" si="105"/>
        <v>0</v>
      </c>
      <c r="CX104" s="156">
        <f>ROUND(SUM(CE104,CH104,CK104,CT104,CW104)-SUM(CF104,CI104,CL104),-2)</f>
        <v>0</v>
      </c>
      <c r="CY104" s="156">
        <f t="shared" ref="CY104:CY134" si="119">(CY$6-M104)/365.25</f>
        <v>125.582477754962</v>
      </c>
      <c r="CZ104" s="223">
        <v>16</v>
      </c>
      <c r="DA104" s="746">
        <f t="shared" si="107"/>
        <v>-6.85</v>
      </c>
      <c r="DB104" s="746">
        <f t="shared" si="91"/>
        <v>-6.8</v>
      </c>
      <c r="DC104" s="746">
        <f t="shared" si="108"/>
        <v>-6.82</v>
      </c>
      <c r="DE104" s="134" t="str">
        <f>IF(COUNTIF(DE$7:DE103,C104)&gt;0,"",C104)&amp;""</f>
        <v/>
      </c>
      <c r="DF104" s="138">
        <f t="shared" ref="DF104:DF134" si="120">SUMIF(C$8:C$134,DE104,Y$8:Y$134)</f>
        <v>0</v>
      </c>
      <c r="DG104" s="132">
        <f t="shared" ref="DG104:DG134" si="121">RANK(DF104,DF$8:DF$134)</f>
        <v>1</v>
      </c>
      <c r="DH104" s="138">
        <f t="shared" ref="DH104:DH134" si="122">SUMIF(C$8:C$134,DE104,AB$8:AB$134)</f>
        <v>0</v>
      </c>
      <c r="DI104" s="132">
        <f t="shared" ref="DI104:DI134" si="123">RANK(DH104,DH$8:DH$134)</f>
        <v>1</v>
      </c>
      <c r="DJ104" s="133"/>
      <c r="DK104" s="133"/>
      <c r="DM104" s="796" t="s">
        <v>4174</v>
      </c>
      <c r="DN104" s="657">
        <v>308222.95</v>
      </c>
    </row>
    <row r="105" ht="15" customHeight="1" spans="1:118">
      <c r="A105" s="785" t="str">
        <f>IF(C105="","",COUNT(A$7:A104)+1)</f>
        <v/>
      </c>
      <c r="B105" s="141"/>
      <c r="C105" s="139"/>
      <c r="D105" s="141"/>
      <c r="E105" s="535"/>
      <c r="F105" s="535"/>
      <c r="G105" s="141"/>
      <c r="H105" s="536"/>
      <c r="I105" s="139"/>
      <c r="J105" s="141"/>
      <c r="K105" s="141"/>
      <c r="L105" s="140"/>
      <c r="M105" s="140"/>
      <c r="N105" s="142"/>
      <c r="O105" s="127"/>
      <c r="P105" s="128"/>
      <c r="Q105" s="128"/>
      <c r="R105" s="129"/>
      <c r="S105" s="143"/>
      <c r="T105" s="143"/>
      <c r="U105" s="143"/>
      <c r="V105" s="144"/>
      <c r="W105" s="144"/>
      <c r="X105" s="144"/>
      <c r="Y105" s="129" t="str">
        <f t="shared" si="111"/>
        <v/>
      </c>
      <c r="Z105" s="129" t="str">
        <f t="shared" si="112"/>
        <v/>
      </c>
      <c r="AA105" s="129" t="str">
        <f t="shared" si="113"/>
        <v/>
      </c>
      <c r="AB105" s="129" t="str">
        <f t="shared" si="114"/>
        <v/>
      </c>
      <c r="AC105" s="521" t="str">
        <f t="shared" si="115"/>
        <v/>
      </c>
      <c r="AD105" s="129" t="str">
        <f t="shared" si="81"/>
        <v/>
      </c>
      <c r="AE105" s="129"/>
      <c r="AF105" s="129">
        <v>0</v>
      </c>
      <c r="AG105" s="129" t="str">
        <f t="shared" ref="AG105:AG136" si="124">IFERROR((AD105-(Z105-AA105))/(Z105-AA105)*100,"")</f>
        <v/>
      </c>
      <c r="AH105" s="145"/>
      <c r="BC105" s="78"/>
      <c r="BD105" s="132" t="s">
        <v>4175</v>
      </c>
      <c r="BE105" s="133"/>
      <c r="BF105" s="132" t="str">
        <f>IF(OR(C105="",BE105=""),"",COUNTIF(BE$8:BE105,"√"))</f>
        <v/>
      </c>
      <c r="BG105" s="134" t="str">
        <f t="shared" si="116"/>
        <v/>
      </c>
      <c r="BH105" s="135" t="str">
        <f t="shared" si="20"/>
        <v/>
      </c>
      <c r="BI105" s="135" t="str">
        <f t="shared" si="20"/>
        <v/>
      </c>
      <c r="BJ105" s="136"/>
      <c r="BK105" s="137"/>
      <c r="BL105" s="136"/>
      <c r="BM105" s="136"/>
      <c r="BN105" s="136"/>
      <c r="BO105" s="136"/>
      <c r="BP105" s="137"/>
      <c r="BQ105" s="136"/>
      <c r="BR105" s="137"/>
      <c r="BT105" s="787">
        <f t="shared" si="117"/>
        <v>0</v>
      </c>
      <c r="BU105" s="788">
        <f t="shared" si="92"/>
        <v>0</v>
      </c>
      <c r="BV105" s="787">
        <f t="shared" si="93"/>
        <v>0</v>
      </c>
      <c r="BW105" s="787">
        <f t="shared" si="109"/>
        <v>0</v>
      </c>
      <c r="BX105" s="789">
        <f>IFERROR(LOOKUP(M105,基础数据!A:D),1)</f>
        <v>1</v>
      </c>
      <c r="BY105" s="790">
        <f t="shared" si="94"/>
        <v>3.55771976932645</v>
      </c>
      <c r="BZ105" s="787">
        <f t="shared" si="110"/>
        <v>0</v>
      </c>
      <c r="CA105" s="797"/>
      <c r="CB105" s="792">
        <f t="shared" si="26"/>
        <v>0.13</v>
      </c>
      <c r="CC105" s="165" t="s">
        <v>2706</v>
      </c>
      <c r="CD105" s="793">
        <v>0</v>
      </c>
      <c r="CE105" s="156">
        <f t="shared" si="118"/>
        <v>0</v>
      </c>
      <c r="CF105" s="156">
        <f t="shared" si="95"/>
        <v>0</v>
      </c>
      <c r="CG105" s="776"/>
      <c r="CH105" s="156">
        <f t="shared" si="96"/>
        <v>0</v>
      </c>
      <c r="CI105" s="156">
        <f t="shared" si="97"/>
        <v>0</v>
      </c>
      <c r="CJ105" s="776"/>
      <c r="CK105" s="156">
        <f t="shared" si="98"/>
        <v>0</v>
      </c>
      <c r="CL105" s="156">
        <f t="shared" si="99"/>
        <v>0</v>
      </c>
      <c r="CM105" s="776"/>
      <c r="CN105" s="156">
        <f t="shared" si="100"/>
        <v>0</v>
      </c>
      <c r="CO105" s="156">
        <f t="shared" si="101"/>
        <v>0</v>
      </c>
      <c r="CP105" s="776"/>
      <c r="CQ105" s="776"/>
      <c r="CR105" s="794">
        <f t="shared" si="102"/>
        <v>0</v>
      </c>
      <c r="CS105" s="156">
        <f t="shared" si="103"/>
        <v>0</v>
      </c>
      <c r="CT105" s="156">
        <f t="shared" si="104"/>
        <v>0</v>
      </c>
      <c r="CU105" s="156">
        <v>0</v>
      </c>
      <c r="CV105" s="795">
        <f>LOOKUP(CU105,参数表!$A$13:$B$19)</f>
        <v>0</v>
      </c>
      <c r="CW105" s="156">
        <f t="shared" si="105"/>
        <v>0</v>
      </c>
      <c r="CX105" s="156">
        <f t="shared" si="106"/>
        <v>0</v>
      </c>
      <c r="CY105" s="156">
        <f t="shared" si="119"/>
        <v>125.582477754962</v>
      </c>
      <c r="CZ105" s="223">
        <v>12</v>
      </c>
      <c r="DA105" s="746">
        <f t="shared" si="107"/>
        <v>-9.47</v>
      </c>
      <c r="DB105" s="746">
        <f t="shared" si="91"/>
        <v>-9.42</v>
      </c>
      <c r="DC105" s="746">
        <f t="shared" si="108"/>
        <v>-9.42</v>
      </c>
      <c r="DE105" s="134" t="str">
        <f>IF(COUNTIF(DE$7:DE104,C105)&gt;0,"",C105)&amp;""</f>
        <v/>
      </c>
      <c r="DF105" s="138">
        <f t="shared" si="120"/>
        <v>0</v>
      </c>
      <c r="DG105" s="132">
        <f t="shared" si="121"/>
        <v>1</v>
      </c>
      <c r="DH105" s="138">
        <f t="shared" si="122"/>
        <v>0</v>
      </c>
      <c r="DI105" s="132">
        <f t="shared" si="123"/>
        <v>1</v>
      </c>
      <c r="DJ105" s="133"/>
      <c r="DK105" s="133"/>
      <c r="DM105" s="75" t="s">
        <v>4176</v>
      </c>
      <c r="DN105" s="75">
        <v>5046.79</v>
      </c>
    </row>
    <row r="106" ht="15" customHeight="1" spans="1:118">
      <c r="A106" s="785" t="str">
        <f>IF(C106="","",COUNT(A$7:A105)+1)</f>
        <v/>
      </c>
      <c r="B106" s="141"/>
      <c r="C106" s="139"/>
      <c r="D106" s="141"/>
      <c r="E106" s="535"/>
      <c r="F106" s="535"/>
      <c r="G106" s="141"/>
      <c r="H106" s="536"/>
      <c r="I106" s="139"/>
      <c r="J106" s="141"/>
      <c r="K106" s="141"/>
      <c r="L106" s="140"/>
      <c r="M106" s="140"/>
      <c r="N106" s="142"/>
      <c r="O106" s="127"/>
      <c r="P106" s="128"/>
      <c r="Q106" s="128"/>
      <c r="R106" s="129"/>
      <c r="S106" s="143"/>
      <c r="T106" s="143"/>
      <c r="U106" s="143"/>
      <c r="V106" s="144"/>
      <c r="W106" s="144"/>
      <c r="X106" s="144"/>
      <c r="Y106" s="129" t="str">
        <f t="shared" si="111"/>
        <v/>
      </c>
      <c r="Z106" s="129" t="str">
        <f t="shared" si="112"/>
        <v/>
      </c>
      <c r="AA106" s="129" t="str">
        <f t="shared" si="113"/>
        <v/>
      </c>
      <c r="AB106" s="129" t="str">
        <f t="shared" si="114"/>
        <v/>
      </c>
      <c r="AC106" s="521" t="str">
        <f t="shared" si="115"/>
        <v/>
      </c>
      <c r="AD106" s="129" t="str">
        <f t="shared" si="81"/>
        <v/>
      </c>
      <c r="AE106" s="129"/>
      <c r="AF106" s="129">
        <v>0</v>
      </c>
      <c r="AG106" s="129" t="str">
        <f t="shared" si="124"/>
        <v/>
      </c>
      <c r="AH106" s="145"/>
      <c r="BC106" s="78"/>
      <c r="BD106" s="132" t="s">
        <v>4177</v>
      </c>
      <c r="BE106" s="133"/>
      <c r="BF106" s="132" t="str">
        <f>IF(OR(C106="",BE106=""),"",COUNTIF(BE$8:BE106,"√"))</f>
        <v/>
      </c>
      <c r="BG106" s="134" t="str">
        <f t="shared" si="116"/>
        <v/>
      </c>
      <c r="BH106" s="135" t="str">
        <f t="shared" si="20"/>
        <v/>
      </c>
      <c r="BI106" s="135" t="str">
        <f t="shared" si="20"/>
        <v/>
      </c>
      <c r="BJ106" s="136"/>
      <c r="BK106" s="137"/>
      <c r="BL106" s="136"/>
      <c r="BM106" s="136"/>
      <c r="BN106" s="136"/>
      <c r="BO106" s="136"/>
      <c r="BP106" s="137"/>
      <c r="BQ106" s="136"/>
      <c r="BR106" s="137"/>
      <c r="BT106" s="787">
        <f t="shared" si="117"/>
        <v>0</v>
      </c>
      <c r="BU106" s="788">
        <f t="shared" si="92"/>
        <v>0</v>
      </c>
      <c r="BV106" s="787">
        <f t="shared" si="93"/>
        <v>0</v>
      </c>
      <c r="BW106" s="787">
        <v>5042.74</v>
      </c>
      <c r="BX106" s="789">
        <f>IFERROR(LOOKUP(M106,基础数据!A:D),1)</f>
        <v>1</v>
      </c>
      <c r="BY106" s="790">
        <f t="shared" si="94"/>
        <v>3.55771976932645</v>
      </c>
      <c r="BZ106" s="787">
        <f t="shared" si="110"/>
        <v>17940</v>
      </c>
      <c r="CA106" s="799" t="s">
        <v>4169</v>
      </c>
      <c r="CB106" s="792">
        <f t="shared" si="26"/>
        <v>0.13</v>
      </c>
      <c r="CC106" s="165" t="s">
        <v>2706</v>
      </c>
      <c r="CD106" s="793">
        <v>0</v>
      </c>
      <c r="CE106" s="156">
        <f t="shared" si="118"/>
        <v>0</v>
      </c>
      <c r="CF106" s="156">
        <f t="shared" si="95"/>
        <v>0</v>
      </c>
      <c r="CG106" s="776"/>
      <c r="CH106" s="156">
        <f t="shared" si="96"/>
        <v>0</v>
      </c>
      <c r="CI106" s="156">
        <f t="shared" si="97"/>
        <v>0</v>
      </c>
      <c r="CJ106" s="776"/>
      <c r="CK106" s="156">
        <f t="shared" si="98"/>
        <v>0</v>
      </c>
      <c r="CL106" s="156">
        <f t="shared" si="99"/>
        <v>0</v>
      </c>
      <c r="CM106" s="776"/>
      <c r="CN106" s="156">
        <f t="shared" si="100"/>
        <v>0</v>
      </c>
      <c r="CO106" s="156">
        <f t="shared" si="101"/>
        <v>0</v>
      </c>
      <c r="CP106" s="776"/>
      <c r="CQ106" s="776"/>
      <c r="CR106" s="794">
        <f t="shared" si="102"/>
        <v>0</v>
      </c>
      <c r="CS106" s="156">
        <f t="shared" si="103"/>
        <v>0</v>
      </c>
      <c r="CT106" s="156">
        <f t="shared" si="104"/>
        <v>0</v>
      </c>
      <c r="CU106" s="156">
        <v>0</v>
      </c>
      <c r="CV106" s="795">
        <f>LOOKUP(CU106,参数表!$A$13:$B$19)</f>
        <v>0</v>
      </c>
      <c r="CW106" s="156">
        <f t="shared" si="105"/>
        <v>0</v>
      </c>
      <c r="CX106" s="156">
        <f t="shared" si="106"/>
        <v>0</v>
      </c>
      <c r="CY106" s="156">
        <f t="shared" si="119"/>
        <v>125.582477754962</v>
      </c>
      <c r="CZ106" s="223">
        <v>10</v>
      </c>
      <c r="DA106" s="746">
        <f t="shared" si="107"/>
        <v>-11.56</v>
      </c>
      <c r="DB106" s="746">
        <f t="shared" si="91"/>
        <v>-11.51</v>
      </c>
      <c r="DC106" s="746">
        <f t="shared" si="108"/>
        <v>-11.51</v>
      </c>
      <c r="DE106" s="134" t="str">
        <f>IF(COUNTIF(DE$7:DE105,C106)&gt;0,"",C106)&amp;""</f>
        <v/>
      </c>
      <c r="DF106" s="138">
        <f t="shared" si="120"/>
        <v>0</v>
      </c>
      <c r="DG106" s="132">
        <f t="shared" si="121"/>
        <v>1</v>
      </c>
      <c r="DH106" s="138">
        <f t="shared" si="122"/>
        <v>0</v>
      </c>
      <c r="DI106" s="132">
        <f t="shared" si="123"/>
        <v>1</v>
      </c>
      <c r="DJ106" s="133"/>
      <c r="DK106" s="133"/>
      <c r="DM106" s="796" t="s">
        <v>4170</v>
      </c>
      <c r="DN106" s="75">
        <v>1770.86</v>
      </c>
    </row>
    <row r="107" ht="15" customHeight="1" spans="1:118">
      <c r="A107" s="785" t="str">
        <f>IF(C107="","",COUNT(A$7:A106)+1)</f>
        <v/>
      </c>
      <c r="B107" s="141"/>
      <c r="C107" s="139"/>
      <c r="D107" s="141"/>
      <c r="E107" s="535"/>
      <c r="F107" s="535"/>
      <c r="G107" s="141"/>
      <c r="H107" s="536"/>
      <c r="I107" s="139"/>
      <c r="J107" s="141"/>
      <c r="K107" s="141"/>
      <c r="L107" s="140"/>
      <c r="M107" s="140"/>
      <c r="N107" s="142"/>
      <c r="O107" s="127"/>
      <c r="P107" s="128"/>
      <c r="Q107" s="128"/>
      <c r="R107" s="129"/>
      <c r="S107" s="143"/>
      <c r="T107" s="143"/>
      <c r="U107" s="143"/>
      <c r="V107" s="144"/>
      <c r="W107" s="144"/>
      <c r="X107" s="144"/>
      <c r="Y107" s="129" t="str">
        <f t="shared" si="111"/>
        <v/>
      </c>
      <c r="Z107" s="129" t="str">
        <f t="shared" si="112"/>
        <v/>
      </c>
      <c r="AA107" s="129" t="str">
        <f t="shared" si="113"/>
        <v/>
      </c>
      <c r="AB107" s="129" t="str">
        <f t="shared" si="114"/>
        <v/>
      </c>
      <c r="AC107" s="521" t="str">
        <f t="shared" si="115"/>
        <v/>
      </c>
      <c r="AD107" s="129" t="str">
        <f t="shared" si="81"/>
        <v/>
      </c>
      <c r="AE107" s="129"/>
      <c r="AF107" s="129">
        <v>0</v>
      </c>
      <c r="AG107" s="129" t="str">
        <f t="shared" si="124"/>
        <v/>
      </c>
      <c r="AH107" s="145"/>
      <c r="BC107" s="78"/>
      <c r="BD107" s="132" t="s">
        <v>4178</v>
      </c>
      <c r="BE107" s="133"/>
      <c r="BF107" s="132" t="str">
        <f>IF(OR(C107="",BE107=""),"",COUNTIF(BE$8:BE107,"√"))</f>
        <v/>
      </c>
      <c r="BG107" s="134" t="str">
        <f t="shared" si="116"/>
        <v/>
      </c>
      <c r="BH107" s="135" t="str">
        <f t="shared" si="20"/>
        <v/>
      </c>
      <c r="BI107" s="135" t="str">
        <f t="shared" si="20"/>
        <v/>
      </c>
      <c r="BJ107" s="136"/>
      <c r="BK107" s="137"/>
      <c r="BL107" s="136"/>
      <c r="BM107" s="136"/>
      <c r="BN107" s="136"/>
      <c r="BO107" s="136"/>
      <c r="BP107" s="137"/>
      <c r="BQ107" s="136"/>
      <c r="BR107" s="137"/>
      <c r="BT107" s="787">
        <f t="shared" si="117"/>
        <v>0</v>
      </c>
      <c r="BU107" s="788">
        <f t="shared" si="92"/>
        <v>0</v>
      </c>
      <c r="BV107" s="787">
        <f t="shared" si="93"/>
        <v>0</v>
      </c>
      <c r="BW107" s="787">
        <f t="shared" si="109"/>
        <v>0</v>
      </c>
      <c r="BX107" s="789">
        <f>IFERROR(LOOKUP(M107,基础数据!A:D),1)</f>
        <v>1</v>
      </c>
      <c r="BY107" s="790">
        <f t="shared" si="94"/>
        <v>3.55771976932645</v>
      </c>
      <c r="BZ107" s="787">
        <f t="shared" si="110"/>
        <v>0</v>
      </c>
      <c r="CA107" s="797"/>
      <c r="CB107" s="792">
        <f t="shared" si="26"/>
        <v>0.13</v>
      </c>
      <c r="CC107" s="165" t="s">
        <v>2706</v>
      </c>
      <c r="CD107" s="793">
        <v>0</v>
      </c>
      <c r="CE107" s="156">
        <f t="shared" si="118"/>
        <v>0</v>
      </c>
      <c r="CF107" s="156">
        <f t="shared" si="95"/>
        <v>0</v>
      </c>
      <c r="CG107" s="776"/>
      <c r="CH107" s="156">
        <f t="shared" si="96"/>
        <v>0</v>
      </c>
      <c r="CI107" s="156">
        <f t="shared" si="97"/>
        <v>0</v>
      </c>
      <c r="CJ107" s="776"/>
      <c r="CK107" s="156">
        <f t="shared" si="98"/>
        <v>0</v>
      </c>
      <c r="CL107" s="156">
        <f t="shared" si="99"/>
        <v>0</v>
      </c>
      <c r="CM107" s="776"/>
      <c r="CN107" s="156">
        <f t="shared" si="100"/>
        <v>0</v>
      </c>
      <c r="CO107" s="156">
        <f t="shared" si="101"/>
        <v>0</v>
      </c>
      <c r="CP107" s="776"/>
      <c r="CQ107" s="776"/>
      <c r="CR107" s="794">
        <f t="shared" si="102"/>
        <v>0</v>
      </c>
      <c r="CS107" s="156">
        <f t="shared" si="103"/>
        <v>0</v>
      </c>
      <c r="CT107" s="156">
        <f t="shared" si="104"/>
        <v>0</v>
      </c>
      <c r="CU107" s="156"/>
      <c r="CV107" s="795">
        <f>LOOKUP(CU107,参数表!$A$13:$B$19)</f>
        <v>0</v>
      </c>
      <c r="CW107" s="156">
        <f t="shared" si="105"/>
        <v>0</v>
      </c>
      <c r="CX107" s="156">
        <f t="shared" si="106"/>
        <v>0</v>
      </c>
      <c r="CY107" s="156">
        <f t="shared" si="119"/>
        <v>125.582477754962</v>
      </c>
      <c r="CZ107" s="223">
        <v>12</v>
      </c>
      <c r="DA107" s="746">
        <f t="shared" si="107"/>
        <v>-9.47</v>
      </c>
      <c r="DB107" s="746">
        <f t="shared" si="91"/>
        <v>-9.42</v>
      </c>
      <c r="DC107" s="746">
        <f t="shared" si="108"/>
        <v>-9.42</v>
      </c>
      <c r="DE107" s="134" t="str">
        <f>IF(COUNTIF(DE$7:DE106,C107)&gt;0,"",C107)&amp;""</f>
        <v/>
      </c>
      <c r="DF107" s="138">
        <f t="shared" si="120"/>
        <v>0</v>
      </c>
      <c r="DG107" s="132">
        <f t="shared" si="121"/>
        <v>1</v>
      </c>
      <c r="DH107" s="138">
        <f t="shared" si="122"/>
        <v>0</v>
      </c>
      <c r="DI107" s="132">
        <f t="shared" si="123"/>
        <v>1</v>
      </c>
      <c r="DJ107" s="133"/>
      <c r="DK107" s="133"/>
      <c r="DM107" s="75" t="s">
        <v>4179</v>
      </c>
      <c r="DN107" s="75">
        <v>2218.32</v>
      </c>
    </row>
    <row r="108" ht="15" customHeight="1" spans="1:118">
      <c r="A108" s="785" t="str">
        <f>IF(C108="","",COUNT(A$7:A107)+1)</f>
        <v/>
      </c>
      <c r="B108" s="141"/>
      <c r="C108" s="139"/>
      <c r="D108" s="141"/>
      <c r="E108" s="535"/>
      <c r="F108" s="535"/>
      <c r="G108" s="141"/>
      <c r="H108" s="536"/>
      <c r="I108" s="139"/>
      <c r="J108" s="141"/>
      <c r="K108" s="141"/>
      <c r="L108" s="140"/>
      <c r="M108" s="140"/>
      <c r="N108" s="142"/>
      <c r="O108" s="127"/>
      <c r="P108" s="128"/>
      <c r="Q108" s="128"/>
      <c r="R108" s="129"/>
      <c r="S108" s="143"/>
      <c r="T108" s="143"/>
      <c r="U108" s="143"/>
      <c r="V108" s="144"/>
      <c r="W108" s="144"/>
      <c r="X108" s="144"/>
      <c r="Y108" s="129" t="str">
        <f t="shared" si="111"/>
        <v/>
      </c>
      <c r="Z108" s="129" t="str">
        <f t="shared" si="112"/>
        <v/>
      </c>
      <c r="AA108" s="129" t="str">
        <f t="shared" si="113"/>
        <v/>
      </c>
      <c r="AB108" s="129" t="str">
        <f t="shared" si="114"/>
        <v/>
      </c>
      <c r="AC108" s="521" t="str">
        <f t="shared" si="115"/>
        <v/>
      </c>
      <c r="AD108" s="129" t="str">
        <f t="shared" si="81"/>
        <v/>
      </c>
      <c r="AE108" s="129"/>
      <c r="AF108" s="129">
        <v>0</v>
      </c>
      <c r="AG108" s="129" t="str">
        <f t="shared" si="124"/>
        <v/>
      </c>
      <c r="AH108" s="145"/>
      <c r="BC108" s="78"/>
      <c r="BD108" s="132" t="s">
        <v>4180</v>
      </c>
      <c r="BE108" s="133"/>
      <c r="BF108" s="132" t="str">
        <f>IF(OR(C108="",BE108=""),"",COUNTIF(BE$8:BE108,"√"))</f>
        <v/>
      </c>
      <c r="BG108" s="134" t="str">
        <f t="shared" si="116"/>
        <v/>
      </c>
      <c r="BH108" s="135" t="str">
        <f t="shared" si="20"/>
        <v/>
      </c>
      <c r="BI108" s="135" t="str">
        <f t="shared" si="20"/>
        <v/>
      </c>
      <c r="BJ108" s="136"/>
      <c r="BK108" s="137"/>
      <c r="BL108" s="136"/>
      <c r="BM108" s="136"/>
      <c r="BN108" s="136"/>
      <c r="BO108" s="136"/>
      <c r="BP108" s="137"/>
      <c r="BQ108" s="136"/>
      <c r="BR108" s="137"/>
      <c r="BT108" s="787">
        <f t="shared" si="117"/>
        <v>0</v>
      </c>
      <c r="BU108" s="788">
        <f t="shared" si="92"/>
        <v>0</v>
      </c>
      <c r="BV108" s="787">
        <f t="shared" si="93"/>
        <v>0</v>
      </c>
      <c r="BW108" s="787">
        <f t="shared" si="109"/>
        <v>0</v>
      </c>
      <c r="BX108" s="789">
        <f>IFERROR(LOOKUP(M108,基础数据!A:D),1)</f>
        <v>1</v>
      </c>
      <c r="BY108" s="790">
        <f t="shared" si="94"/>
        <v>3.55771976932645</v>
      </c>
      <c r="BZ108" s="787">
        <f t="shared" si="110"/>
        <v>0</v>
      </c>
      <c r="CA108" s="797"/>
      <c r="CB108" s="792">
        <f t="shared" si="26"/>
        <v>0.13</v>
      </c>
      <c r="CC108" s="165" t="s">
        <v>2706</v>
      </c>
      <c r="CD108" s="793">
        <v>0</v>
      </c>
      <c r="CE108" s="156">
        <f t="shared" si="118"/>
        <v>0</v>
      </c>
      <c r="CF108" s="156">
        <f t="shared" si="95"/>
        <v>0</v>
      </c>
      <c r="CG108" s="776"/>
      <c r="CH108" s="156">
        <f t="shared" si="96"/>
        <v>0</v>
      </c>
      <c r="CI108" s="156">
        <f t="shared" si="97"/>
        <v>0</v>
      </c>
      <c r="CJ108" s="776"/>
      <c r="CK108" s="156">
        <f t="shared" si="98"/>
        <v>0</v>
      </c>
      <c r="CL108" s="156">
        <f t="shared" si="99"/>
        <v>0</v>
      </c>
      <c r="CM108" s="776"/>
      <c r="CN108" s="156">
        <f t="shared" si="100"/>
        <v>0</v>
      </c>
      <c r="CO108" s="156">
        <f t="shared" si="101"/>
        <v>0</v>
      </c>
      <c r="CP108" s="776"/>
      <c r="CQ108" s="776"/>
      <c r="CR108" s="794">
        <f t="shared" si="102"/>
        <v>0</v>
      </c>
      <c r="CS108" s="156">
        <f t="shared" si="103"/>
        <v>0</v>
      </c>
      <c r="CT108" s="156">
        <f t="shared" si="104"/>
        <v>0</v>
      </c>
      <c r="CU108" s="156">
        <v>0</v>
      </c>
      <c r="CV108" s="795">
        <f>LOOKUP(CU108,参数表!$A$13:$B$19)</f>
        <v>0</v>
      </c>
      <c r="CW108" s="156">
        <f t="shared" si="105"/>
        <v>0</v>
      </c>
      <c r="CX108" s="156">
        <f t="shared" si="106"/>
        <v>0</v>
      </c>
      <c r="CY108" s="156">
        <f t="shared" si="119"/>
        <v>125.582477754962</v>
      </c>
      <c r="CZ108" s="223">
        <v>12</v>
      </c>
      <c r="DA108" s="746">
        <f t="shared" si="107"/>
        <v>-9.47</v>
      </c>
      <c r="DB108" s="746">
        <f t="shared" si="91"/>
        <v>-9.42</v>
      </c>
      <c r="DC108" s="746">
        <f t="shared" si="108"/>
        <v>-9.42</v>
      </c>
      <c r="DE108" s="134" t="str">
        <f>IF(COUNTIF(DE$7:DE107,C108)&gt;0,"",C108)&amp;""</f>
        <v/>
      </c>
      <c r="DF108" s="138">
        <f t="shared" si="120"/>
        <v>0</v>
      </c>
      <c r="DG108" s="132">
        <f t="shared" si="121"/>
        <v>1</v>
      </c>
      <c r="DH108" s="138">
        <f t="shared" si="122"/>
        <v>0</v>
      </c>
      <c r="DI108" s="132">
        <f t="shared" si="123"/>
        <v>1</v>
      </c>
      <c r="DJ108" s="133"/>
      <c r="DK108" s="133"/>
      <c r="DM108" s="75" t="s">
        <v>4179</v>
      </c>
      <c r="DN108" s="75">
        <v>2053.7</v>
      </c>
    </row>
    <row r="109" ht="15" customHeight="1" spans="1:118">
      <c r="A109" s="785" t="str">
        <f>IF(C109="","",COUNT(A$7:A108)+1)</f>
        <v/>
      </c>
      <c r="B109" s="141"/>
      <c r="C109" s="798"/>
      <c r="D109" s="141"/>
      <c r="E109" s="535"/>
      <c r="F109" s="535"/>
      <c r="G109" s="141"/>
      <c r="H109" s="536"/>
      <c r="I109" s="139"/>
      <c r="J109" s="141"/>
      <c r="K109" s="141"/>
      <c r="L109" s="140"/>
      <c r="M109" s="140"/>
      <c r="N109" s="142"/>
      <c r="O109" s="127"/>
      <c r="P109" s="128"/>
      <c r="Q109" s="128"/>
      <c r="R109" s="129"/>
      <c r="S109" s="143"/>
      <c r="T109" s="143"/>
      <c r="U109" s="143"/>
      <c r="V109" s="144"/>
      <c r="W109" s="144"/>
      <c r="X109" s="144"/>
      <c r="Y109" s="129" t="str">
        <f t="shared" si="111"/>
        <v/>
      </c>
      <c r="Z109" s="129" t="str">
        <f t="shared" si="112"/>
        <v/>
      </c>
      <c r="AA109" s="129" t="str">
        <f t="shared" si="113"/>
        <v/>
      </c>
      <c r="AB109" s="129" t="str">
        <f t="shared" si="114"/>
        <v/>
      </c>
      <c r="AC109" s="521" t="str">
        <f t="shared" si="115"/>
        <v/>
      </c>
      <c r="AD109" s="129" t="str">
        <f t="shared" ref="AD109:AD110" si="125">IFERROR(IF(AC109="",AB109,ROUND(AB109*AC109/100,0)),"")</f>
        <v/>
      </c>
      <c r="AE109" s="129">
        <f t="shared" ref="AE109:AE110" si="126">CN109*0.5</f>
        <v>0</v>
      </c>
      <c r="AF109" s="129">
        <v>0</v>
      </c>
      <c r="AG109" s="129" t="str">
        <f t="shared" si="124"/>
        <v/>
      </c>
      <c r="AH109" s="145"/>
      <c r="BC109" s="78"/>
      <c r="BD109" s="132" t="s">
        <v>4181</v>
      </c>
      <c r="BE109" s="133"/>
      <c r="BF109" s="132" t="str">
        <f>IF(OR(C109="",BE109=""),"",COUNTIF(BE$8:BE109,"√"))</f>
        <v/>
      </c>
      <c r="BG109" s="134" t="str">
        <f t="shared" si="116"/>
        <v/>
      </c>
      <c r="BH109" s="135" t="str">
        <f t="shared" si="20"/>
        <v/>
      </c>
      <c r="BI109" s="135" t="str">
        <f t="shared" si="20"/>
        <v/>
      </c>
      <c r="BJ109" s="136"/>
      <c r="BK109" s="137"/>
      <c r="BL109" s="136"/>
      <c r="BM109" s="136"/>
      <c r="BN109" s="136"/>
      <c r="BO109" s="136"/>
      <c r="BP109" s="137"/>
      <c r="BQ109" s="136"/>
      <c r="BR109" s="137"/>
      <c r="BT109" s="787">
        <f t="shared" si="117"/>
        <v>0</v>
      </c>
      <c r="BU109" s="788">
        <f t="shared" si="92"/>
        <v>0.166666666666667</v>
      </c>
      <c r="BV109" s="787">
        <f t="shared" si="93"/>
        <v>0</v>
      </c>
      <c r="BW109" s="787">
        <v>228421</v>
      </c>
      <c r="BX109" s="789">
        <f>IFERROR(LOOKUP(M109,基础数据!A:D),1)</f>
        <v>1</v>
      </c>
      <c r="BY109" s="790">
        <f t="shared" si="94"/>
        <v>3.55771976932645</v>
      </c>
      <c r="BZ109" s="787">
        <f t="shared" si="110"/>
        <v>812660</v>
      </c>
      <c r="CA109" s="797"/>
      <c r="CB109" s="792">
        <f t="shared" si="26"/>
        <v>0.13</v>
      </c>
      <c r="CC109" s="165" t="s">
        <v>2706</v>
      </c>
      <c r="CD109" s="793">
        <v>0</v>
      </c>
      <c r="CE109" s="156">
        <f t="shared" si="118"/>
        <v>0</v>
      </c>
      <c r="CF109" s="156">
        <f t="shared" si="95"/>
        <v>0</v>
      </c>
      <c r="CG109" s="776"/>
      <c r="CH109" s="156">
        <f t="shared" si="96"/>
        <v>0</v>
      </c>
      <c r="CI109" s="156">
        <f t="shared" si="97"/>
        <v>0</v>
      </c>
      <c r="CJ109" s="776"/>
      <c r="CK109" s="156">
        <f t="shared" si="98"/>
        <v>0</v>
      </c>
      <c r="CL109" s="156">
        <f t="shared" si="99"/>
        <v>0</v>
      </c>
      <c r="CM109" s="776">
        <v>0.2</v>
      </c>
      <c r="CN109" s="156">
        <f t="shared" si="100"/>
        <v>0</v>
      </c>
      <c r="CO109" s="156">
        <f t="shared" si="101"/>
        <v>0</v>
      </c>
      <c r="CP109" s="776"/>
      <c r="CQ109" s="776"/>
      <c r="CR109" s="794">
        <f t="shared" si="102"/>
        <v>0</v>
      </c>
      <c r="CS109" s="156">
        <f t="shared" si="103"/>
        <v>0</v>
      </c>
      <c r="CT109" s="156">
        <f t="shared" si="104"/>
        <v>0</v>
      </c>
      <c r="CU109" s="156"/>
      <c r="CV109" s="795">
        <f>LOOKUP(CU109,参数表!$A$13:$B$19)</f>
        <v>0</v>
      </c>
      <c r="CW109" s="156">
        <f t="shared" si="105"/>
        <v>0</v>
      </c>
      <c r="CX109" s="156">
        <f t="shared" ref="CX109:CX110" si="127">ROUND(SUM(CE109,CH109,CK109,CT109,CW109)-SUM(CF109,CI109,CL109),-2)</f>
        <v>0</v>
      </c>
      <c r="CY109" s="156">
        <f t="shared" si="119"/>
        <v>125.582477754962</v>
      </c>
      <c r="CZ109" s="223">
        <v>12</v>
      </c>
      <c r="DA109" s="746">
        <f t="shared" si="107"/>
        <v>-9.47</v>
      </c>
      <c r="DB109" s="746">
        <f t="shared" si="91"/>
        <v>-9.42</v>
      </c>
      <c r="DC109" s="746">
        <f t="shared" si="108"/>
        <v>-9.42</v>
      </c>
      <c r="DE109" s="134" t="str">
        <f>IF(COUNTIF(DE$7:DE108,C109)&gt;0,"",C109)&amp;""</f>
        <v/>
      </c>
      <c r="DF109" s="138">
        <f t="shared" si="120"/>
        <v>0</v>
      </c>
      <c r="DG109" s="132">
        <f t="shared" si="121"/>
        <v>1</v>
      </c>
      <c r="DH109" s="138">
        <f t="shared" si="122"/>
        <v>0</v>
      </c>
      <c r="DI109" s="132">
        <f t="shared" si="123"/>
        <v>1</v>
      </c>
      <c r="DJ109" s="133"/>
      <c r="DK109" s="133"/>
      <c r="DM109" s="75" t="s">
        <v>4176</v>
      </c>
      <c r="DN109" s="657">
        <v>106933.48</v>
      </c>
    </row>
    <row r="110" ht="15" customHeight="1" spans="1:118">
      <c r="A110" s="785" t="str">
        <f>IF(C110="","",COUNT(A$7:A109)+1)</f>
        <v/>
      </c>
      <c r="B110" s="141"/>
      <c r="C110" s="139"/>
      <c r="D110" s="141"/>
      <c r="E110" s="535"/>
      <c r="F110" s="535"/>
      <c r="G110" s="141"/>
      <c r="H110" s="536"/>
      <c r="I110" s="798"/>
      <c r="J110" s="141"/>
      <c r="K110" s="141"/>
      <c r="L110" s="140"/>
      <c r="M110" s="140"/>
      <c r="N110" s="142"/>
      <c r="O110" s="127"/>
      <c r="P110" s="128"/>
      <c r="Q110" s="128"/>
      <c r="R110" s="129"/>
      <c r="S110" s="143"/>
      <c r="T110" s="143"/>
      <c r="U110" s="143"/>
      <c r="V110" s="144"/>
      <c r="W110" s="144"/>
      <c r="X110" s="144"/>
      <c r="Y110" s="129" t="str">
        <f t="shared" si="111"/>
        <v/>
      </c>
      <c r="Z110" s="129" t="str">
        <f t="shared" si="112"/>
        <v/>
      </c>
      <c r="AA110" s="129" t="str">
        <f t="shared" si="113"/>
        <v/>
      </c>
      <c r="AB110" s="129" t="str">
        <f t="shared" si="114"/>
        <v/>
      </c>
      <c r="AC110" s="521" t="str">
        <f t="shared" si="115"/>
        <v/>
      </c>
      <c r="AD110" s="129" t="str">
        <f t="shared" si="125"/>
        <v/>
      </c>
      <c r="AE110" s="129">
        <f t="shared" si="126"/>
        <v>0</v>
      </c>
      <c r="AF110" s="129">
        <v>0</v>
      </c>
      <c r="AG110" s="129" t="str">
        <f t="shared" si="124"/>
        <v/>
      </c>
      <c r="AH110" s="145"/>
      <c r="BC110" s="78"/>
      <c r="BD110" s="132" t="s">
        <v>4182</v>
      </c>
      <c r="BE110" s="133"/>
      <c r="BF110" s="132" t="str">
        <f>IF(OR(C110="",BE110=""),"",COUNTIF(BE$8:BE110,"√"))</f>
        <v/>
      </c>
      <c r="BG110" s="134" t="str">
        <f t="shared" si="116"/>
        <v/>
      </c>
      <c r="BH110" s="135" t="str">
        <f t="shared" si="20"/>
        <v/>
      </c>
      <c r="BI110" s="135" t="str">
        <f t="shared" si="20"/>
        <v/>
      </c>
      <c r="BJ110" s="136"/>
      <c r="BK110" s="137"/>
      <c r="BL110" s="136"/>
      <c r="BM110" s="136"/>
      <c r="BN110" s="136"/>
      <c r="BO110" s="136"/>
      <c r="BP110" s="137"/>
      <c r="BQ110" s="136"/>
      <c r="BR110" s="137"/>
      <c r="BT110" s="787">
        <f t="shared" si="117"/>
        <v>0</v>
      </c>
      <c r="BU110" s="788">
        <f t="shared" si="92"/>
        <v>0.137931034482759</v>
      </c>
      <c r="BV110" s="787">
        <f t="shared" si="93"/>
        <v>0</v>
      </c>
      <c r="BW110" s="787">
        <v>122988</v>
      </c>
      <c r="BX110" s="789">
        <f>IFERROR(LOOKUP(M110,基础数据!A:D),1)</f>
        <v>1</v>
      </c>
      <c r="BY110" s="790">
        <f t="shared" si="94"/>
        <v>3.55771976932645</v>
      </c>
      <c r="BZ110" s="787">
        <f t="shared" si="110"/>
        <v>437560</v>
      </c>
      <c r="CA110" s="797"/>
      <c r="CB110" s="792">
        <f t="shared" si="26"/>
        <v>0.13</v>
      </c>
      <c r="CC110" s="165" t="s">
        <v>2706</v>
      </c>
      <c r="CD110" s="793">
        <v>0</v>
      </c>
      <c r="CE110" s="156">
        <f t="shared" si="118"/>
        <v>0</v>
      </c>
      <c r="CF110" s="156">
        <f t="shared" si="95"/>
        <v>0</v>
      </c>
      <c r="CG110" s="776"/>
      <c r="CH110" s="156">
        <f t="shared" si="96"/>
        <v>0</v>
      </c>
      <c r="CI110" s="156">
        <f t="shared" si="97"/>
        <v>0</v>
      </c>
      <c r="CJ110" s="776"/>
      <c r="CK110" s="156">
        <f t="shared" si="98"/>
        <v>0</v>
      </c>
      <c r="CL110" s="156">
        <f t="shared" si="99"/>
        <v>0</v>
      </c>
      <c r="CM110" s="776">
        <v>0.16</v>
      </c>
      <c r="CN110" s="156">
        <f t="shared" si="100"/>
        <v>0</v>
      </c>
      <c r="CO110" s="156">
        <f t="shared" si="101"/>
        <v>0</v>
      </c>
      <c r="CP110" s="776"/>
      <c r="CQ110" s="776"/>
      <c r="CR110" s="794">
        <f t="shared" si="102"/>
        <v>0</v>
      </c>
      <c r="CS110" s="156">
        <f t="shared" si="103"/>
        <v>0</v>
      </c>
      <c r="CT110" s="156">
        <f t="shared" si="104"/>
        <v>0</v>
      </c>
      <c r="CU110" s="156"/>
      <c r="CV110" s="795">
        <f>LOOKUP(CU110,参数表!$A$13:$B$19)</f>
        <v>0</v>
      </c>
      <c r="CW110" s="156">
        <f t="shared" si="105"/>
        <v>0</v>
      </c>
      <c r="CX110" s="156">
        <f t="shared" si="127"/>
        <v>0</v>
      </c>
      <c r="CY110" s="156">
        <f t="shared" si="119"/>
        <v>125.582477754962</v>
      </c>
      <c r="CZ110" s="223">
        <v>16</v>
      </c>
      <c r="DA110" s="746">
        <f t="shared" si="107"/>
        <v>-6.85</v>
      </c>
      <c r="DB110" s="746">
        <f t="shared" si="91"/>
        <v>-6.8</v>
      </c>
      <c r="DC110" s="746">
        <f t="shared" si="108"/>
        <v>-6.82</v>
      </c>
      <c r="DE110" s="134" t="str">
        <f>IF(COUNTIF(DE$7:DE109,C110)&gt;0,"",C110)&amp;""</f>
        <v/>
      </c>
      <c r="DF110" s="138">
        <f t="shared" si="120"/>
        <v>0</v>
      </c>
      <c r="DG110" s="132">
        <f t="shared" si="121"/>
        <v>1</v>
      </c>
      <c r="DH110" s="138">
        <f t="shared" si="122"/>
        <v>0</v>
      </c>
      <c r="DI110" s="132">
        <f t="shared" si="123"/>
        <v>1</v>
      </c>
      <c r="DJ110" s="133"/>
      <c r="DK110" s="133"/>
      <c r="DM110" s="796" t="s">
        <v>4183</v>
      </c>
      <c r="DN110" s="657">
        <v>105332.8</v>
      </c>
    </row>
    <row r="111" ht="15" customHeight="1" spans="1:118">
      <c r="A111" s="785" t="str">
        <f>IF(C111="","",COUNT(A$7:A110)+1)</f>
        <v/>
      </c>
      <c r="B111" s="141"/>
      <c r="C111" s="139"/>
      <c r="D111" s="141"/>
      <c r="E111" s="535"/>
      <c r="F111" s="535"/>
      <c r="G111" s="141"/>
      <c r="H111" s="536"/>
      <c r="I111" s="139"/>
      <c r="J111" s="141"/>
      <c r="K111" s="141"/>
      <c r="L111" s="140"/>
      <c r="M111" s="140"/>
      <c r="N111" s="142"/>
      <c r="O111" s="127"/>
      <c r="P111" s="128"/>
      <c r="Q111" s="128"/>
      <c r="R111" s="129"/>
      <c r="S111" s="143"/>
      <c r="T111" s="143"/>
      <c r="U111" s="143"/>
      <c r="V111" s="144"/>
      <c r="W111" s="144"/>
      <c r="X111" s="144"/>
      <c r="Y111" s="129" t="str">
        <f t="shared" si="111"/>
        <v/>
      </c>
      <c r="Z111" s="129" t="str">
        <f t="shared" si="112"/>
        <v/>
      </c>
      <c r="AA111" s="129" t="str">
        <f t="shared" si="113"/>
        <v/>
      </c>
      <c r="AB111" s="129" t="str">
        <f t="shared" si="114"/>
        <v/>
      </c>
      <c r="AC111" s="521" t="str">
        <f t="shared" si="115"/>
        <v/>
      </c>
      <c r="AD111" s="129" t="str">
        <f t="shared" ref="AD111:AD120" si="128">IFERROR(IF(AC111="",AB111,ROUND(AB111*AC111/100,0)),"")</f>
        <v/>
      </c>
      <c r="AE111" s="129"/>
      <c r="AF111" s="129">
        <v>0</v>
      </c>
      <c r="AG111" s="129" t="str">
        <f t="shared" si="124"/>
        <v/>
      </c>
      <c r="AH111" s="145"/>
      <c r="BC111" s="78"/>
      <c r="BD111" s="132" t="s">
        <v>4184</v>
      </c>
      <c r="BE111" s="133"/>
      <c r="BF111" s="132" t="str">
        <f>IF(OR(C111="",BE111=""),"",COUNTIF(BE$8:BE111,"√"))</f>
        <v/>
      </c>
      <c r="BG111" s="134" t="str">
        <f t="shared" si="116"/>
        <v/>
      </c>
      <c r="BH111" s="135" t="str">
        <f t="shared" si="20"/>
        <v/>
      </c>
      <c r="BI111" s="135" t="str">
        <f t="shared" si="20"/>
        <v/>
      </c>
      <c r="BJ111" s="136"/>
      <c r="BK111" s="137"/>
      <c r="BL111" s="136"/>
      <c r="BM111" s="136"/>
      <c r="BN111" s="136"/>
      <c r="BO111" s="136"/>
      <c r="BP111" s="137"/>
      <c r="BQ111" s="136"/>
      <c r="BR111" s="137"/>
      <c r="BT111" s="787">
        <f t="shared" si="117"/>
        <v>0</v>
      </c>
      <c r="BU111" s="788">
        <f t="shared" si="92"/>
        <v>0</v>
      </c>
      <c r="BV111" s="787">
        <f t="shared" si="93"/>
        <v>0</v>
      </c>
      <c r="BW111" s="787">
        <f t="shared" si="109"/>
        <v>0</v>
      </c>
      <c r="BX111" s="789">
        <f>IFERROR(LOOKUP(M111,基础数据!A:D),1)</f>
        <v>1</v>
      </c>
      <c r="BY111" s="790">
        <f t="shared" si="94"/>
        <v>3.55771976932645</v>
      </c>
      <c r="BZ111" s="787">
        <f t="shared" si="110"/>
        <v>0</v>
      </c>
      <c r="CA111" s="797"/>
      <c r="CB111" s="792">
        <f t="shared" si="26"/>
        <v>0.13</v>
      </c>
      <c r="CC111" s="165" t="s">
        <v>2706</v>
      </c>
      <c r="CD111" s="793">
        <v>0</v>
      </c>
      <c r="CE111" s="156">
        <f t="shared" si="118"/>
        <v>0</v>
      </c>
      <c r="CF111" s="156">
        <f t="shared" si="95"/>
        <v>0</v>
      </c>
      <c r="CG111" s="776"/>
      <c r="CH111" s="156">
        <f t="shared" si="96"/>
        <v>0</v>
      </c>
      <c r="CI111" s="156">
        <f t="shared" si="97"/>
        <v>0</v>
      </c>
      <c r="CJ111" s="776"/>
      <c r="CK111" s="156">
        <f t="shared" si="98"/>
        <v>0</v>
      </c>
      <c r="CL111" s="156">
        <f t="shared" si="99"/>
        <v>0</v>
      </c>
      <c r="CM111" s="776"/>
      <c r="CN111" s="156">
        <f t="shared" si="100"/>
        <v>0</v>
      </c>
      <c r="CO111" s="156">
        <f t="shared" si="101"/>
        <v>0</v>
      </c>
      <c r="CP111" s="776"/>
      <c r="CQ111" s="776"/>
      <c r="CR111" s="794">
        <f t="shared" si="102"/>
        <v>0</v>
      </c>
      <c r="CS111" s="156">
        <f t="shared" si="103"/>
        <v>0</v>
      </c>
      <c r="CT111" s="156">
        <f t="shared" si="104"/>
        <v>0</v>
      </c>
      <c r="CU111" s="156">
        <v>0</v>
      </c>
      <c r="CV111" s="795">
        <f>LOOKUP(CU111,参数表!$A$13:$B$19)</f>
        <v>0</v>
      </c>
      <c r="CW111" s="156">
        <f t="shared" si="105"/>
        <v>0</v>
      </c>
      <c r="CX111" s="156">
        <f t="shared" si="106"/>
        <v>0</v>
      </c>
      <c r="CY111" s="156">
        <f t="shared" si="119"/>
        <v>125.582477754962</v>
      </c>
      <c r="CZ111" s="223">
        <v>12</v>
      </c>
      <c r="DA111" s="746">
        <f t="shared" si="107"/>
        <v>-9.47</v>
      </c>
      <c r="DB111" s="746">
        <f t="shared" si="91"/>
        <v>-9.42</v>
      </c>
      <c r="DC111" s="746">
        <f t="shared" si="108"/>
        <v>-9.42</v>
      </c>
      <c r="DE111" s="134" t="str">
        <f>IF(COUNTIF(DE$7:DE110,C111)&gt;0,"",C111)&amp;""</f>
        <v/>
      </c>
      <c r="DF111" s="138">
        <f t="shared" si="120"/>
        <v>0</v>
      </c>
      <c r="DG111" s="132">
        <f t="shared" si="121"/>
        <v>1</v>
      </c>
      <c r="DH111" s="138">
        <f t="shared" si="122"/>
        <v>0</v>
      </c>
      <c r="DI111" s="132">
        <f t="shared" si="123"/>
        <v>1</v>
      </c>
      <c r="DJ111" s="133"/>
      <c r="DK111" s="133"/>
      <c r="DM111" s="796" t="s">
        <v>4185</v>
      </c>
      <c r="DN111" s="75">
        <v>1635.28</v>
      </c>
    </row>
    <row r="112" ht="15" customHeight="1" spans="1:118">
      <c r="A112" s="785" t="str">
        <f>IF(C112="","",COUNT(A$7:A111)+1)</f>
        <v/>
      </c>
      <c r="B112" s="141"/>
      <c r="C112" s="139"/>
      <c r="D112" s="141"/>
      <c r="E112" s="535"/>
      <c r="F112" s="535"/>
      <c r="G112" s="141"/>
      <c r="H112" s="536"/>
      <c r="I112" s="139"/>
      <c r="J112" s="141"/>
      <c r="K112" s="141"/>
      <c r="L112" s="140"/>
      <c r="M112" s="140"/>
      <c r="N112" s="142"/>
      <c r="O112" s="127"/>
      <c r="P112" s="128"/>
      <c r="Q112" s="128"/>
      <c r="R112" s="129"/>
      <c r="S112" s="143"/>
      <c r="T112" s="143"/>
      <c r="U112" s="143"/>
      <c r="V112" s="144"/>
      <c r="W112" s="144"/>
      <c r="X112" s="144"/>
      <c r="Y112" s="129" t="str">
        <f t="shared" si="111"/>
        <v/>
      </c>
      <c r="Z112" s="129" t="str">
        <f t="shared" si="112"/>
        <v/>
      </c>
      <c r="AA112" s="129" t="str">
        <f t="shared" si="113"/>
        <v/>
      </c>
      <c r="AB112" s="129" t="str">
        <f t="shared" si="114"/>
        <v/>
      </c>
      <c r="AC112" s="521" t="str">
        <f t="shared" si="115"/>
        <v/>
      </c>
      <c r="AD112" s="129" t="str">
        <f t="shared" si="128"/>
        <v/>
      </c>
      <c r="AE112" s="129"/>
      <c r="AF112" s="129">
        <v>0</v>
      </c>
      <c r="AG112" s="129" t="str">
        <f t="shared" si="124"/>
        <v/>
      </c>
      <c r="AH112" s="145"/>
      <c r="BC112" s="78"/>
      <c r="BD112" s="132" t="s">
        <v>4186</v>
      </c>
      <c r="BE112" s="133"/>
      <c r="BF112" s="132" t="str">
        <f>IF(OR(C112="",BE112=""),"",COUNTIF(BE$8:BE112,"√"))</f>
        <v/>
      </c>
      <c r="BG112" s="134" t="str">
        <f t="shared" si="116"/>
        <v/>
      </c>
      <c r="BH112" s="135" t="str">
        <f t="shared" si="20"/>
        <v/>
      </c>
      <c r="BI112" s="135" t="str">
        <f t="shared" si="20"/>
        <v/>
      </c>
      <c r="BJ112" s="136"/>
      <c r="BK112" s="137"/>
      <c r="BL112" s="136"/>
      <c r="BM112" s="136"/>
      <c r="BN112" s="136"/>
      <c r="BO112" s="136"/>
      <c r="BP112" s="137"/>
      <c r="BQ112" s="136"/>
      <c r="BR112" s="137"/>
      <c r="BT112" s="787">
        <f t="shared" si="117"/>
        <v>0</v>
      </c>
      <c r="BU112" s="788">
        <f t="shared" si="92"/>
        <v>0</v>
      </c>
      <c r="BV112" s="787">
        <f t="shared" si="93"/>
        <v>0</v>
      </c>
      <c r="BW112" s="787">
        <f t="shared" si="109"/>
        <v>0</v>
      </c>
      <c r="BX112" s="789">
        <f>IFERROR(LOOKUP(M112,基础数据!A:D),1)</f>
        <v>1</v>
      </c>
      <c r="BY112" s="790">
        <f t="shared" si="94"/>
        <v>3.55771976932645</v>
      </c>
      <c r="BZ112" s="787">
        <f t="shared" si="110"/>
        <v>0</v>
      </c>
      <c r="CA112" s="797"/>
      <c r="CB112" s="792">
        <f t="shared" si="26"/>
        <v>0.13</v>
      </c>
      <c r="CC112" s="165" t="s">
        <v>2706</v>
      </c>
      <c r="CD112" s="793">
        <v>0</v>
      </c>
      <c r="CE112" s="156">
        <f t="shared" si="118"/>
        <v>0</v>
      </c>
      <c r="CF112" s="156">
        <f t="shared" si="95"/>
        <v>0</v>
      </c>
      <c r="CG112" s="776"/>
      <c r="CH112" s="156">
        <f t="shared" si="96"/>
        <v>0</v>
      </c>
      <c r="CI112" s="156">
        <f t="shared" si="97"/>
        <v>0</v>
      </c>
      <c r="CJ112" s="776"/>
      <c r="CK112" s="156">
        <f t="shared" si="98"/>
        <v>0</v>
      </c>
      <c r="CL112" s="156">
        <f t="shared" si="99"/>
        <v>0</v>
      </c>
      <c r="CM112" s="776"/>
      <c r="CN112" s="156">
        <f t="shared" si="100"/>
        <v>0</v>
      </c>
      <c r="CO112" s="156">
        <f t="shared" si="101"/>
        <v>0</v>
      </c>
      <c r="CP112" s="776"/>
      <c r="CQ112" s="776"/>
      <c r="CR112" s="794">
        <f t="shared" si="102"/>
        <v>0</v>
      </c>
      <c r="CS112" s="156">
        <f t="shared" si="103"/>
        <v>0</v>
      </c>
      <c r="CT112" s="156">
        <f t="shared" si="104"/>
        <v>0</v>
      </c>
      <c r="CU112" s="156">
        <v>0</v>
      </c>
      <c r="CV112" s="795">
        <f>LOOKUP(CU112,参数表!$A$13:$B$19)</f>
        <v>0</v>
      </c>
      <c r="CW112" s="156">
        <f t="shared" si="105"/>
        <v>0</v>
      </c>
      <c r="CX112" s="156">
        <f t="shared" si="106"/>
        <v>0</v>
      </c>
      <c r="CY112" s="156">
        <f t="shared" si="119"/>
        <v>125.582477754962</v>
      </c>
      <c r="CZ112" s="223">
        <v>12</v>
      </c>
      <c r="DA112" s="746">
        <f t="shared" si="107"/>
        <v>-9.47</v>
      </c>
      <c r="DB112" s="746">
        <f t="shared" si="91"/>
        <v>-9.42</v>
      </c>
      <c r="DC112" s="746">
        <f t="shared" si="108"/>
        <v>-9.42</v>
      </c>
      <c r="DE112" s="134" t="str">
        <f>IF(COUNTIF(DE$7:DE111,C112)&gt;0,"",C112)&amp;""</f>
        <v/>
      </c>
      <c r="DF112" s="138">
        <f t="shared" si="120"/>
        <v>0</v>
      </c>
      <c r="DG112" s="132">
        <f t="shared" si="121"/>
        <v>1</v>
      </c>
      <c r="DH112" s="138">
        <f t="shared" si="122"/>
        <v>0</v>
      </c>
      <c r="DI112" s="132">
        <f t="shared" si="123"/>
        <v>1</v>
      </c>
      <c r="DJ112" s="133"/>
      <c r="DK112" s="133"/>
      <c r="DM112" s="796" t="s">
        <v>4185</v>
      </c>
      <c r="DN112" s="75">
        <v>1635.28</v>
      </c>
    </row>
    <row r="113" ht="15" customHeight="1" spans="1:118">
      <c r="A113" s="785" t="str">
        <f>IF(C113="","",COUNT(A$7:A112)+1)</f>
        <v/>
      </c>
      <c r="B113" s="141"/>
      <c r="C113" s="139"/>
      <c r="D113" s="141"/>
      <c r="E113" s="535"/>
      <c r="F113" s="535"/>
      <c r="G113" s="141"/>
      <c r="H113" s="536"/>
      <c r="I113" s="139"/>
      <c r="J113" s="141"/>
      <c r="K113" s="141"/>
      <c r="L113" s="140"/>
      <c r="M113" s="140"/>
      <c r="N113" s="142"/>
      <c r="O113" s="127"/>
      <c r="P113" s="128"/>
      <c r="Q113" s="128"/>
      <c r="R113" s="129"/>
      <c r="S113" s="143"/>
      <c r="T113" s="143"/>
      <c r="U113" s="143"/>
      <c r="V113" s="144"/>
      <c r="W113" s="144"/>
      <c r="X113" s="144"/>
      <c r="Y113" s="129" t="str">
        <f t="shared" si="111"/>
        <v/>
      </c>
      <c r="Z113" s="129" t="str">
        <f t="shared" si="112"/>
        <v/>
      </c>
      <c r="AA113" s="129" t="str">
        <f t="shared" si="113"/>
        <v/>
      </c>
      <c r="AB113" s="129" t="str">
        <f t="shared" si="114"/>
        <v/>
      </c>
      <c r="AC113" s="521" t="str">
        <f t="shared" si="115"/>
        <v/>
      </c>
      <c r="AD113" s="129" t="str">
        <f t="shared" si="128"/>
        <v/>
      </c>
      <c r="AE113" s="129"/>
      <c r="AF113" s="129">
        <v>0</v>
      </c>
      <c r="AG113" s="129" t="str">
        <f t="shared" si="124"/>
        <v/>
      </c>
      <c r="AH113" s="145"/>
      <c r="BC113" s="78"/>
      <c r="BD113" s="132" t="s">
        <v>4187</v>
      </c>
      <c r="BE113" s="133"/>
      <c r="BF113" s="132" t="str">
        <f>IF(OR(C113="",BE113=""),"",COUNTIF(BE$8:BE113,"√"))</f>
        <v/>
      </c>
      <c r="BG113" s="134" t="str">
        <f t="shared" si="116"/>
        <v/>
      </c>
      <c r="BH113" s="135" t="str">
        <f t="shared" si="20"/>
        <v/>
      </c>
      <c r="BI113" s="135" t="str">
        <f t="shared" si="20"/>
        <v/>
      </c>
      <c r="BJ113" s="136"/>
      <c r="BK113" s="137"/>
      <c r="BL113" s="136"/>
      <c r="BM113" s="136"/>
      <c r="BN113" s="136"/>
      <c r="BO113" s="136"/>
      <c r="BP113" s="137"/>
      <c r="BQ113" s="136"/>
      <c r="BR113" s="137"/>
      <c r="BT113" s="787">
        <f t="shared" si="117"/>
        <v>0</v>
      </c>
      <c r="BU113" s="788">
        <f t="shared" si="92"/>
        <v>0</v>
      </c>
      <c r="BV113" s="787">
        <f t="shared" si="93"/>
        <v>0</v>
      </c>
      <c r="BW113" s="787">
        <f t="shared" si="109"/>
        <v>0</v>
      </c>
      <c r="BX113" s="789">
        <f>IFERROR(LOOKUP(M113,基础数据!A:D),1)</f>
        <v>1</v>
      </c>
      <c r="BY113" s="790">
        <f t="shared" si="94"/>
        <v>3.55771976932645</v>
      </c>
      <c r="BZ113" s="787">
        <f t="shared" si="110"/>
        <v>0</v>
      </c>
      <c r="CA113" s="797"/>
      <c r="CB113" s="792">
        <f t="shared" si="26"/>
        <v>0.13</v>
      </c>
      <c r="CC113" s="165" t="s">
        <v>2706</v>
      </c>
      <c r="CD113" s="793">
        <v>0</v>
      </c>
      <c r="CE113" s="156">
        <f t="shared" si="118"/>
        <v>0</v>
      </c>
      <c r="CF113" s="156">
        <f t="shared" si="95"/>
        <v>0</v>
      </c>
      <c r="CG113" s="776"/>
      <c r="CH113" s="156">
        <f t="shared" si="96"/>
        <v>0</v>
      </c>
      <c r="CI113" s="156">
        <f t="shared" si="97"/>
        <v>0</v>
      </c>
      <c r="CJ113" s="776"/>
      <c r="CK113" s="156">
        <f t="shared" si="98"/>
        <v>0</v>
      </c>
      <c r="CL113" s="156">
        <f t="shared" si="99"/>
        <v>0</v>
      </c>
      <c r="CM113" s="776"/>
      <c r="CN113" s="156">
        <f t="shared" si="100"/>
        <v>0</v>
      </c>
      <c r="CO113" s="156">
        <f t="shared" si="101"/>
        <v>0</v>
      </c>
      <c r="CP113" s="776"/>
      <c r="CQ113" s="776"/>
      <c r="CR113" s="794">
        <f t="shared" si="102"/>
        <v>0</v>
      </c>
      <c r="CS113" s="156">
        <f t="shared" si="103"/>
        <v>0</v>
      </c>
      <c r="CT113" s="156">
        <f t="shared" si="104"/>
        <v>0</v>
      </c>
      <c r="CU113" s="156">
        <v>0</v>
      </c>
      <c r="CV113" s="795">
        <f>LOOKUP(CU113,参数表!$A$13:$B$19)</f>
        <v>0</v>
      </c>
      <c r="CW113" s="156">
        <f t="shared" si="105"/>
        <v>0</v>
      </c>
      <c r="CX113" s="156">
        <f t="shared" si="106"/>
        <v>0</v>
      </c>
      <c r="CY113" s="156">
        <f t="shared" si="119"/>
        <v>125.582477754962</v>
      </c>
      <c r="CZ113" s="223">
        <v>12</v>
      </c>
      <c r="DA113" s="746">
        <f t="shared" si="107"/>
        <v>-9.47</v>
      </c>
      <c r="DB113" s="746">
        <f t="shared" si="91"/>
        <v>-9.42</v>
      </c>
      <c r="DC113" s="746">
        <f t="shared" si="108"/>
        <v>-9.42</v>
      </c>
      <c r="DE113" s="134" t="str">
        <f>IF(COUNTIF(DE$7:DE112,C113)&gt;0,"",C113)&amp;""</f>
        <v/>
      </c>
      <c r="DF113" s="138">
        <f t="shared" si="120"/>
        <v>0</v>
      </c>
      <c r="DG113" s="132">
        <f t="shared" si="121"/>
        <v>1</v>
      </c>
      <c r="DH113" s="138">
        <f t="shared" si="122"/>
        <v>0</v>
      </c>
      <c r="DI113" s="132">
        <f t="shared" si="123"/>
        <v>1</v>
      </c>
      <c r="DJ113" s="133"/>
      <c r="DK113" s="133"/>
      <c r="DM113" s="75" t="s">
        <v>4179</v>
      </c>
      <c r="DN113" s="75">
        <v>1574.37</v>
      </c>
    </row>
    <row r="114" ht="15" customHeight="1" spans="1:118">
      <c r="A114" s="785" t="str">
        <f>IF(C114="","",COUNT(A$7:A113)+1)</f>
        <v/>
      </c>
      <c r="B114" s="141"/>
      <c r="C114" s="139"/>
      <c r="D114" s="141"/>
      <c r="E114" s="535"/>
      <c r="F114" s="535"/>
      <c r="G114" s="141"/>
      <c r="H114" s="536"/>
      <c r="I114" s="139"/>
      <c r="J114" s="141"/>
      <c r="K114" s="141"/>
      <c r="L114" s="140"/>
      <c r="M114" s="140"/>
      <c r="N114" s="142"/>
      <c r="O114" s="127"/>
      <c r="P114" s="128"/>
      <c r="Q114" s="128"/>
      <c r="R114" s="129"/>
      <c r="S114" s="143"/>
      <c r="T114" s="143"/>
      <c r="U114" s="143"/>
      <c r="V114" s="144"/>
      <c r="W114" s="144"/>
      <c r="X114" s="144"/>
      <c r="Y114" s="129" t="str">
        <f t="shared" si="111"/>
        <v/>
      </c>
      <c r="Z114" s="129" t="str">
        <f t="shared" si="112"/>
        <v/>
      </c>
      <c r="AA114" s="129" t="str">
        <f t="shared" si="113"/>
        <v/>
      </c>
      <c r="AB114" s="129" t="str">
        <f t="shared" si="114"/>
        <v/>
      </c>
      <c r="AC114" s="521" t="str">
        <f t="shared" si="115"/>
        <v/>
      </c>
      <c r="AD114" s="129" t="str">
        <f t="shared" si="128"/>
        <v/>
      </c>
      <c r="AE114" s="129"/>
      <c r="AF114" s="129">
        <v>0</v>
      </c>
      <c r="AG114" s="129" t="str">
        <f t="shared" si="124"/>
        <v/>
      </c>
      <c r="AH114" s="145"/>
      <c r="BC114" s="78"/>
      <c r="BD114" s="132" t="s">
        <v>4188</v>
      </c>
      <c r="BE114" s="133"/>
      <c r="BF114" s="132" t="str">
        <f>IF(OR(C114="",BE114=""),"",COUNTIF(BE$8:BE114,"√"))</f>
        <v/>
      </c>
      <c r="BG114" s="134" t="str">
        <f t="shared" si="116"/>
        <v/>
      </c>
      <c r="BH114" s="135" t="str">
        <f t="shared" si="20"/>
        <v/>
      </c>
      <c r="BI114" s="135" t="str">
        <f t="shared" si="20"/>
        <v/>
      </c>
      <c r="BJ114" s="136"/>
      <c r="BK114" s="137"/>
      <c r="BL114" s="136"/>
      <c r="BM114" s="136"/>
      <c r="BN114" s="136"/>
      <c r="BO114" s="136"/>
      <c r="BP114" s="137"/>
      <c r="BQ114" s="136"/>
      <c r="BR114" s="137"/>
      <c r="BT114" s="787">
        <f t="shared" si="117"/>
        <v>0</v>
      </c>
      <c r="BU114" s="788">
        <f t="shared" si="92"/>
        <v>0</v>
      </c>
      <c r="BV114" s="787">
        <f t="shared" si="93"/>
        <v>0</v>
      </c>
      <c r="BW114" s="787">
        <f t="shared" si="109"/>
        <v>0</v>
      </c>
      <c r="BX114" s="789">
        <f>IFERROR(LOOKUP(M114,基础数据!A:D),1)</f>
        <v>1</v>
      </c>
      <c r="BY114" s="790">
        <f t="shared" si="94"/>
        <v>3.55771976932645</v>
      </c>
      <c r="BZ114" s="787">
        <f t="shared" si="110"/>
        <v>0</v>
      </c>
      <c r="CA114" s="797"/>
      <c r="CB114" s="792">
        <f t="shared" si="26"/>
        <v>0.13</v>
      </c>
      <c r="CC114" s="165" t="s">
        <v>2706</v>
      </c>
      <c r="CD114" s="793">
        <v>0</v>
      </c>
      <c r="CE114" s="156">
        <f t="shared" si="118"/>
        <v>0</v>
      </c>
      <c r="CF114" s="156">
        <f t="shared" si="95"/>
        <v>0</v>
      </c>
      <c r="CG114" s="776"/>
      <c r="CH114" s="156">
        <f t="shared" si="96"/>
        <v>0</v>
      </c>
      <c r="CI114" s="156">
        <f t="shared" si="97"/>
        <v>0</v>
      </c>
      <c r="CJ114" s="776"/>
      <c r="CK114" s="156">
        <f t="shared" si="98"/>
        <v>0</v>
      </c>
      <c r="CL114" s="156">
        <f t="shared" si="99"/>
        <v>0</v>
      </c>
      <c r="CM114" s="776"/>
      <c r="CN114" s="156">
        <f t="shared" si="100"/>
        <v>0</v>
      </c>
      <c r="CO114" s="156">
        <f t="shared" si="101"/>
        <v>0</v>
      </c>
      <c r="CP114" s="776"/>
      <c r="CQ114" s="776"/>
      <c r="CR114" s="794">
        <f t="shared" si="102"/>
        <v>0</v>
      </c>
      <c r="CS114" s="156">
        <f t="shared" si="103"/>
        <v>0</v>
      </c>
      <c r="CT114" s="156">
        <f t="shared" si="104"/>
        <v>0</v>
      </c>
      <c r="CU114" s="156">
        <v>0</v>
      </c>
      <c r="CV114" s="795">
        <f>LOOKUP(CU114,参数表!$A$13:$B$19)</f>
        <v>0</v>
      </c>
      <c r="CW114" s="156">
        <f t="shared" si="105"/>
        <v>0</v>
      </c>
      <c r="CX114" s="156">
        <f t="shared" si="106"/>
        <v>0</v>
      </c>
      <c r="CY114" s="156">
        <f t="shared" si="119"/>
        <v>125.582477754962</v>
      </c>
      <c r="CZ114" s="223">
        <v>12</v>
      </c>
      <c r="DA114" s="746">
        <f t="shared" si="107"/>
        <v>-9.47</v>
      </c>
      <c r="DB114" s="746">
        <f t="shared" si="91"/>
        <v>-9.42</v>
      </c>
      <c r="DC114" s="746">
        <f t="shared" si="108"/>
        <v>-9.42</v>
      </c>
      <c r="DE114" s="134" t="str">
        <f>IF(COUNTIF(DE$7:DE113,C114)&gt;0,"",C114)&amp;""</f>
        <v/>
      </c>
      <c r="DF114" s="138">
        <f t="shared" si="120"/>
        <v>0</v>
      </c>
      <c r="DG114" s="132">
        <f t="shared" si="121"/>
        <v>1</v>
      </c>
      <c r="DH114" s="138">
        <f t="shared" si="122"/>
        <v>0</v>
      </c>
      <c r="DI114" s="132">
        <f t="shared" si="123"/>
        <v>1</v>
      </c>
      <c r="DJ114" s="133"/>
      <c r="DK114" s="133"/>
      <c r="DM114" s="75" t="s">
        <v>4179</v>
      </c>
      <c r="DN114" s="75">
        <v>4699.38</v>
      </c>
    </row>
    <row r="115" ht="15" customHeight="1" spans="1:118">
      <c r="A115" s="785" t="str">
        <f>IF(C115="","",COUNT(A$7:A114)+1)</f>
        <v/>
      </c>
      <c r="B115" s="141"/>
      <c r="C115" s="139"/>
      <c r="D115" s="141"/>
      <c r="E115" s="535"/>
      <c r="F115" s="535"/>
      <c r="G115" s="141"/>
      <c r="H115" s="536"/>
      <c r="I115" s="139"/>
      <c r="J115" s="141"/>
      <c r="K115" s="141"/>
      <c r="L115" s="140"/>
      <c r="M115" s="140"/>
      <c r="N115" s="142"/>
      <c r="O115" s="127"/>
      <c r="P115" s="128"/>
      <c r="Q115" s="128"/>
      <c r="R115" s="129"/>
      <c r="S115" s="143"/>
      <c r="T115" s="143"/>
      <c r="U115" s="143"/>
      <c r="V115" s="144"/>
      <c r="W115" s="144"/>
      <c r="X115" s="144"/>
      <c r="Y115" s="129" t="str">
        <f t="shared" si="111"/>
        <v/>
      </c>
      <c r="Z115" s="129" t="str">
        <f t="shared" si="112"/>
        <v/>
      </c>
      <c r="AA115" s="129" t="str">
        <f t="shared" si="113"/>
        <v/>
      </c>
      <c r="AB115" s="129" t="str">
        <f t="shared" si="114"/>
        <v/>
      </c>
      <c r="AC115" s="521" t="str">
        <f t="shared" si="115"/>
        <v/>
      </c>
      <c r="AD115" s="129" t="str">
        <f t="shared" si="128"/>
        <v/>
      </c>
      <c r="AE115" s="129"/>
      <c r="AF115" s="129">
        <v>0</v>
      </c>
      <c r="AG115" s="129" t="str">
        <f t="shared" si="124"/>
        <v/>
      </c>
      <c r="AH115" s="145"/>
      <c r="BC115" s="78"/>
      <c r="BD115" s="132" t="s">
        <v>4189</v>
      </c>
      <c r="BE115" s="133"/>
      <c r="BF115" s="132" t="str">
        <f>IF(OR(C115="",BE115=""),"",COUNTIF(BE$8:BE115,"√"))</f>
        <v/>
      </c>
      <c r="BG115" s="134" t="str">
        <f t="shared" si="116"/>
        <v/>
      </c>
      <c r="BH115" s="135" t="str">
        <f t="shared" si="20"/>
        <v/>
      </c>
      <c r="BI115" s="135" t="str">
        <f t="shared" si="20"/>
        <v/>
      </c>
      <c r="BJ115" s="136"/>
      <c r="BK115" s="137"/>
      <c r="BL115" s="136"/>
      <c r="BM115" s="136"/>
      <c r="BN115" s="136"/>
      <c r="BO115" s="136"/>
      <c r="BP115" s="137"/>
      <c r="BQ115" s="136"/>
      <c r="BR115" s="137"/>
      <c r="BT115" s="787">
        <f t="shared" si="117"/>
        <v>0</v>
      </c>
      <c r="BU115" s="788">
        <f t="shared" si="92"/>
        <v>0</v>
      </c>
      <c r="BV115" s="787">
        <f t="shared" si="93"/>
        <v>0</v>
      </c>
      <c r="BW115" s="787">
        <f t="shared" si="109"/>
        <v>0</v>
      </c>
      <c r="BX115" s="789">
        <f>IFERROR(LOOKUP(M115,基础数据!A:D),1)</f>
        <v>1</v>
      </c>
      <c r="BY115" s="790">
        <f t="shared" si="94"/>
        <v>3.55771976932645</v>
      </c>
      <c r="BZ115" s="787">
        <f t="shared" si="110"/>
        <v>0</v>
      </c>
      <c r="CA115" s="797"/>
      <c r="CB115" s="792">
        <f t="shared" si="26"/>
        <v>0.13</v>
      </c>
      <c r="CC115" s="165" t="s">
        <v>2706</v>
      </c>
      <c r="CD115" s="793">
        <v>0</v>
      </c>
      <c r="CE115" s="156">
        <f t="shared" si="118"/>
        <v>0</v>
      </c>
      <c r="CF115" s="156">
        <f t="shared" si="95"/>
        <v>0</v>
      </c>
      <c r="CG115" s="776"/>
      <c r="CH115" s="156">
        <f t="shared" si="96"/>
        <v>0</v>
      </c>
      <c r="CI115" s="156">
        <f t="shared" si="97"/>
        <v>0</v>
      </c>
      <c r="CJ115" s="776"/>
      <c r="CK115" s="156">
        <f t="shared" si="98"/>
        <v>0</v>
      </c>
      <c r="CL115" s="156">
        <f t="shared" si="99"/>
        <v>0</v>
      </c>
      <c r="CM115" s="776"/>
      <c r="CN115" s="156">
        <f t="shared" si="100"/>
        <v>0</v>
      </c>
      <c r="CO115" s="156">
        <f t="shared" si="101"/>
        <v>0</v>
      </c>
      <c r="CP115" s="776"/>
      <c r="CQ115" s="776"/>
      <c r="CR115" s="794">
        <f t="shared" si="102"/>
        <v>0</v>
      </c>
      <c r="CS115" s="156">
        <f t="shared" si="103"/>
        <v>0</v>
      </c>
      <c r="CT115" s="156">
        <f t="shared" si="104"/>
        <v>0</v>
      </c>
      <c r="CU115" s="156">
        <v>0</v>
      </c>
      <c r="CV115" s="795">
        <f>LOOKUP(CU115,参数表!$A$13:$B$19)</f>
        <v>0</v>
      </c>
      <c r="CW115" s="156">
        <f t="shared" si="105"/>
        <v>0</v>
      </c>
      <c r="CX115" s="156">
        <f t="shared" si="106"/>
        <v>0</v>
      </c>
      <c r="CY115" s="156">
        <f t="shared" si="119"/>
        <v>125.582477754962</v>
      </c>
      <c r="CZ115" s="223">
        <v>12</v>
      </c>
      <c r="DA115" s="746">
        <f t="shared" si="107"/>
        <v>-9.47</v>
      </c>
      <c r="DB115" s="746">
        <f t="shared" si="91"/>
        <v>-9.42</v>
      </c>
      <c r="DC115" s="746">
        <f t="shared" si="108"/>
        <v>-9.42</v>
      </c>
      <c r="DE115" s="134" t="str">
        <f>IF(COUNTIF(DE$7:DE114,C115)&gt;0,"",C115)&amp;""</f>
        <v/>
      </c>
      <c r="DF115" s="138">
        <f t="shared" si="120"/>
        <v>0</v>
      </c>
      <c r="DG115" s="132">
        <f t="shared" si="121"/>
        <v>1</v>
      </c>
      <c r="DH115" s="138">
        <f t="shared" si="122"/>
        <v>0</v>
      </c>
      <c r="DI115" s="132">
        <f t="shared" si="123"/>
        <v>1</v>
      </c>
      <c r="DJ115" s="133"/>
      <c r="DK115" s="133"/>
      <c r="DM115" s="75" t="s">
        <v>4179</v>
      </c>
      <c r="DN115" s="75">
        <v>7655.44</v>
      </c>
    </row>
    <row r="116" ht="15" customHeight="1" spans="1:118">
      <c r="A116" s="785" t="str">
        <f>IF(C116="","",COUNT(A$7:A115)+1)</f>
        <v/>
      </c>
      <c r="B116" s="141"/>
      <c r="C116" s="798"/>
      <c r="D116" s="141"/>
      <c r="E116" s="535"/>
      <c r="F116" s="535"/>
      <c r="G116" s="141"/>
      <c r="H116" s="536"/>
      <c r="I116" s="139"/>
      <c r="J116" s="141"/>
      <c r="K116" s="141"/>
      <c r="L116" s="140"/>
      <c r="M116" s="140"/>
      <c r="N116" s="142"/>
      <c r="O116" s="127"/>
      <c r="P116" s="128"/>
      <c r="Q116" s="128"/>
      <c r="R116" s="129"/>
      <c r="S116" s="143"/>
      <c r="T116" s="143"/>
      <c r="U116" s="143"/>
      <c r="V116" s="144"/>
      <c r="W116" s="144"/>
      <c r="X116" s="144"/>
      <c r="Y116" s="129" t="str">
        <f t="shared" si="111"/>
        <v/>
      </c>
      <c r="Z116" s="129" t="str">
        <f t="shared" si="112"/>
        <v/>
      </c>
      <c r="AA116" s="129" t="str">
        <f t="shared" si="113"/>
        <v/>
      </c>
      <c r="AB116" s="129" t="str">
        <f t="shared" si="114"/>
        <v/>
      </c>
      <c r="AC116" s="521" t="str">
        <f t="shared" si="115"/>
        <v/>
      </c>
      <c r="AD116" s="129" t="str">
        <f t="shared" si="128"/>
        <v/>
      </c>
      <c r="AE116" s="129"/>
      <c r="AF116" s="129">
        <v>0</v>
      </c>
      <c r="AG116" s="129" t="str">
        <f t="shared" si="124"/>
        <v/>
      </c>
      <c r="AH116" s="145"/>
      <c r="BC116" s="78"/>
      <c r="BD116" s="132" t="s">
        <v>4190</v>
      </c>
      <c r="BE116" s="133"/>
      <c r="BF116" s="132" t="str">
        <f>IF(OR(C116="",BE116=""),"",COUNTIF(BE$8:BE116,"√"))</f>
        <v/>
      </c>
      <c r="BG116" s="134" t="str">
        <f t="shared" si="116"/>
        <v/>
      </c>
      <c r="BH116" s="135" t="str">
        <f t="shared" si="20"/>
        <v/>
      </c>
      <c r="BI116" s="135" t="str">
        <f t="shared" si="20"/>
        <v/>
      </c>
      <c r="BJ116" s="136"/>
      <c r="BK116" s="137"/>
      <c r="BL116" s="136"/>
      <c r="BM116" s="136"/>
      <c r="BN116" s="136"/>
      <c r="BO116" s="136"/>
      <c r="BP116" s="137"/>
      <c r="BQ116" s="136"/>
      <c r="BR116" s="137"/>
      <c r="BT116" s="787">
        <f t="shared" si="117"/>
        <v>0</v>
      </c>
      <c r="BU116" s="788">
        <f t="shared" si="92"/>
        <v>0</v>
      </c>
      <c r="BV116" s="787">
        <f t="shared" si="93"/>
        <v>0</v>
      </c>
      <c r="BW116" s="787">
        <f t="shared" si="109"/>
        <v>0</v>
      </c>
      <c r="BX116" s="789">
        <f>IFERROR(LOOKUP(M116,基础数据!A:D),1)</f>
        <v>1</v>
      </c>
      <c r="BY116" s="790">
        <f t="shared" si="94"/>
        <v>3.55771976932645</v>
      </c>
      <c r="BZ116" s="787">
        <f t="shared" si="110"/>
        <v>0</v>
      </c>
      <c r="CA116" s="797"/>
      <c r="CB116" s="792">
        <f t="shared" si="26"/>
        <v>0.13</v>
      </c>
      <c r="CC116" s="165" t="s">
        <v>2706</v>
      </c>
      <c r="CD116" s="793">
        <v>0</v>
      </c>
      <c r="CE116" s="156">
        <f t="shared" si="118"/>
        <v>0</v>
      </c>
      <c r="CF116" s="156">
        <f t="shared" si="95"/>
        <v>0</v>
      </c>
      <c r="CG116" s="776"/>
      <c r="CH116" s="156">
        <f t="shared" si="96"/>
        <v>0</v>
      </c>
      <c r="CI116" s="156">
        <f t="shared" si="97"/>
        <v>0</v>
      </c>
      <c r="CJ116" s="776"/>
      <c r="CK116" s="156">
        <f t="shared" si="98"/>
        <v>0</v>
      </c>
      <c r="CL116" s="156">
        <f t="shared" si="99"/>
        <v>0</v>
      </c>
      <c r="CM116" s="776"/>
      <c r="CN116" s="156">
        <f t="shared" si="100"/>
        <v>0</v>
      </c>
      <c r="CO116" s="156">
        <f t="shared" si="101"/>
        <v>0</v>
      </c>
      <c r="CP116" s="776"/>
      <c r="CQ116" s="776"/>
      <c r="CR116" s="794">
        <f t="shared" si="102"/>
        <v>0</v>
      </c>
      <c r="CS116" s="156">
        <f t="shared" si="103"/>
        <v>0</v>
      </c>
      <c r="CT116" s="156">
        <f t="shared" si="104"/>
        <v>0</v>
      </c>
      <c r="CU116" s="156">
        <v>0</v>
      </c>
      <c r="CV116" s="795">
        <f>LOOKUP(CU116,参数表!$A$13:$B$19)</f>
        <v>0</v>
      </c>
      <c r="CW116" s="156">
        <f t="shared" si="105"/>
        <v>0</v>
      </c>
      <c r="CX116" s="156">
        <f t="shared" si="106"/>
        <v>0</v>
      </c>
      <c r="CY116" s="156">
        <f t="shared" si="119"/>
        <v>125.582477754962</v>
      </c>
      <c r="CZ116" s="223">
        <v>10</v>
      </c>
      <c r="DA116" s="746">
        <f t="shared" si="107"/>
        <v>-11.56</v>
      </c>
      <c r="DB116" s="746">
        <f t="shared" si="91"/>
        <v>-11.51</v>
      </c>
      <c r="DC116" s="746">
        <f t="shared" si="108"/>
        <v>-11.51</v>
      </c>
      <c r="DE116" s="134" t="str">
        <f>IF(COUNTIF(DE$7:DE115,C116)&gt;0,"",C116)&amp;""</f>
        <v/>
      </c>
      <c r="DF116" s="138">
        <f t="shared" si="120"/>
        <v>0</v>
      </c>
      <c r="DG116" s="132">
        <f t="shared" si="121"/>
        <v>1</v>
      </c>
      <c r="DH116" s="138">
        <f t="shared" si="122"/>
        <v>0</v>
      </c>
      <c r="DI116" s="132">
        <f t="shared" si="123"/>
        <v>1</v>
      </c>
      <c r="DJ116" s="133"/>
      <c r="DK116" s="133"/>
      <c r="DM116" s="796" t="s">
        <v>4100</v>
      </c>
      <c r="DN116" s="75">
        <v>73876.08</v>
      </c>
    </row>
    <row r="117" ht="15" customHeight="1" spans="1:118">
      <c r="A117" s="785" t="str">
        <f>IF(C117="","",COUNT(A$7:A116)+1)</f>
        <v/>
      </c>
      <c r="B117" s="141"/>
      <c r="C117" s="139"/>
      <c r="D117" s="141"/>
      <c r="E117" s="535"/>
      <c r="F117" s="535"/>
      <c r="G117" s="141"/>
      <c r="H117" s="536"/>
      <c r="I117" s="139"/>
      <c r="J117" s="141"/>
      <c r="K117" s="141"/>
      <c r="L117" s="140"/>
      <c r="M117" s="140"/>
      <c r="N117" s="142"/>
      <c r="O117" s="127"/>
      <c r="P117" s="128"/>
      <c r="Q117" s="128"/>
      <c r="R117" s="129"/>
      <c r="S117" s="143"/>
      <c r="T117" s="143"/>
      <c r="U117" s="143"/>
      <c r="V117" s="144"/>
      <c r="W117" s="144"/>
      <c r="X117" s="144"/>
      <c r="Y117" s="129" t="str">
        <f t="shared" si="111"/>
        <v/>
      </c>
      <c r="Z117" s="129" t="str">
        <f t="shared" si="112"/>
        <v/>
      </c>
      <c r="AA117" s="129" t="str">
        <f t="shared" si="113"/>
        <v/>
      </c>
      <c r="AB117" s="129" t="str">
        <f t="shared" si="114"/>
        <v/>
      </c>
      <c r="AC117" s="521" t="str">
        <f t="shared" si="115"/>
        <v/>
      </c>
      <c r="AD117" s="129" t="str">
        <f t="shared" si="128"/>
        <v/>
      </c>
      <c r="AE117" s="129"/>
      <c r="AF117" s="129">
        <v>0</v>
      </c>
      <c r="AG117" s="129" t="str">
        <f t="shared" si="124"/>
        <v/>
      </c>
      <c r="AH117" s="145"/>
      <c r="BC117" s="78"/>
      <c r="BD117" s="132" t="s">
        <v>4191</v>
      </c>
      <c r="BE117" s="133"/>
      <c r="BF117" s="132" t="str">
        <f>IF(OR(C117="",BE117=""),"",COUNTIF(BE$8:BE117,"√"))</f>
        <v/>
      </c>
      <c r="BG117" s="134" t="str">
        <f t="shared" si="116"/>
        <v/>
      </c>
      <c r="BH117" s="135" t="str">
        <f t="shared" si="20"/>
        <v/>
      </c>
      <c r="BI117" s="135" t="str">
        <f t="shared" si="20"/>
        <v/>
      </c>
      <c r="BJ117" s="136"/>
      <c r="BK117" s="137"/>
      <c r="BL117" s="136"/>
      <c r="BM117" s="136"/>
      <c r="BN117" s="136"/>
      <c r="BO117" s="136"/>
      <c r="BP117" s="137"/>
      <c r="BQ117" s="136"/>
      <c r="BR117" s="137"/>
      <c r="BT117" s="787">
        <f t="shared" si="117"/>
        <v>0</v>
      </c>
      <c r="BU117" s="788">
        <f t="shared" si="92"/>
        <v>0</v>
      </c>
      <c r="BV117" s="787">
        <f t="shared" si="93"/>
        <v>0</v>
      </c>
      <c r="BW117" s="787">
        <f t="shared" si="109"/>
        <v>0</v>
      </c>
      <c r="BX117" s="789">
        <f>IFERROR(LOOKUP(M117,基础数据!A:D),1)</f>
        <v>1</v>
      </c>
      <c r="BY117" s="790">
        <f t="shared" si="94"/>
        <v>3.55771976932645</v>
      </c>
      <c r="BZ117" s="787">
        <f t="shared" si="110"/>
        <v>0</v>
      </c>
      <c r="CA117" s="797"/>
      <c r="CB117" s="792">
        <f t="shared" si="26"/>
        <v>0.13</v>
      </c>
      <c r="CC117" s="165" t="s">
        <v>2706</v>
      </c>
      <c r="CD117" s="793">
        <v>0</v>
      </c>
      <c r="CE117" s="156">
        <f t="shared" si="118"/>
        <v>0</v>
      </c>
      <c r="CF117" s="156">
        <f t="shared" si="95"/>
        <v>0</v>
      </c>
      <c r="CG117" s="776"/>
      <c r="CH117" s="156">
        <f t="shared" si="96"/>
        <v>0</v>
      </c>
      <c r="CI117" s="156">
        <f t="shared" si="97"/>
        <v>0</v>
      </c>
      <c r="CJ117" s="776"/>
      <c r="CK117" s="156">
        <f t="shared" si="98"/>
        <v>0</v>
      </c>
      <c r="CL117" s="156">
        <f t="shared" si="99"/>
        <v>0</v>
      </c>
      <c r="CM117" s="776"/>
      <c r="CN117" s="156">
        <f t="shared" si="100"/>
        <v>0</v>
      </c>
      <c r="CO117" s="156">
        <f t="shared" si="101"/>
        <v>0</v>
      </c>
      <c r="CP117" s="776"/>
      <c r="CQ117" s="776"/>
      <c r="CR117" s="794">
        <f t="shared" si="102"/>
        <v>0</v>
      </c>
      <c r="CS117" s="156">
        <f t="shared" si="103"/>
        <v>0</v>
      </c>
      <c r="CT117" s="156">
        <f t="shared" si="104"/>
        <v>0</v>
      </c>
      <c r="CU117" s="156">
        <v>0</v>
      </c>
      <c r="CV117" s="795">
        <f>LOOKUP(CU117,参数表!$A$13:$B$19)</f>
        <v>0</v>
      </c>
      <c r="CW117" s="156">
        <f t="shared" si="105"/>
        <v>0</v>
      </c>
      <c r="CX117" s="156">
        <f t="shared" si="106"/>
        <v>0</v>
      </c>
      <c r="CY117" s="156">
        <f t="shared" si="119"/>
        <v>125.582477754962</v>
      </c>
      <c r="CZ117" s="223">
        <v>10</v>
      </c>
      <c r="DA117" s="746">
        <f t="shared" si="107"/>
        <v>-11.56</v>
      </c>
      <c r="DB117" s="746">
        <f t="shared" si="91"/>
        <v>-11.51</v>
      </c>
      <c r="DC117" s="746">
        <f t="shared" si="108"/>
        <v>-11.51</v>
      </c>
      <c r="DE117" s="134" t="str">
        <f>IF(COUNTIF(DE$7:DE116,C117)&gt;0,"",C117)&amp;""</f>
        <v/>
      </c>
      <c r="DF117" s="138">
        <f t="shared" si="120"/>
        <v>0</v>
      </c>
      <c r="DG117" s="132">
        <f t="shared" si="121"/>
        <v>1</v>
      </c>
      <c r="DH117" s="138">
        <f t="shared" si="122"/>
        <v>0</v>
      </c>
      <c r="DI117" s="132">
        <f t="shared" si="123"/>
        <v>1</v>
      </c>
      <c r="DJ117" s="133"/>
      <c r="DK117" s="133"/>
      <c r="DM117" s="796" t="s">
        <v>4100</v>
      </c>
      <c r="DN117" s="75">
        <v>6183.15</v>
      </c>
    </row>
    <row r="118" ht="15" customHeight="1" spans="1:118">
      <c r="A118" s="785" t="str">
        <f>IF(C118="","",COUNT(A$7:A117)+1)</f>
        <v/>
      </c>
      <c r="B118" s="141"/>
      <c r="C118" s="139"/>
      <c r="D118" s="141"/>
      <c r="E118" s="535"/>
      <c r="F118" s="535"/>
      <c r="G118" s="141"/>
      <c r="H118" s="536"/>
      <c r="I118" s="139"/>
      <c r="J118" s="141"/>
      <c r="K118" s="141"/>
      <c r="L118" s="140"/>
      <c r="M118" s="140"/>
      <c r="N118" s="142"/>
      <c r="O118" s="127"/>
      <c r="P118" s="128"/>
      <c r="Q118" s="128"/>
      <c r="R118" s="129"/>
      <c r="S118" s="143"/>
      <c r="T118" s="143"/>
      <c r="U118" s="143"/>
      <c r="V118" s="144"/>
      <c r="W118" s="144"/>
      <c r="X118" s="144"/>
      <c r="Y118" s="129" t="str">
        <f t="shared" si="111"/>
        <v/>
      </c>
      <c r="Z118" s="129" t="str">
        <f t="shared" si="112"/>
        <v/>
      </c>
      <c r="AA118" s="129" t="str">
        <f t="shared" si="113"/>
        <v/>
      </c>
      <c r="AB118" s="129" t="str">
        <f t="shared" si="114"/>
        <v/>
      </c>
      <c r="AC118" s="521" t="str">
        <f t="shared" si="115"/>
        <v/>
      </c>
      <c r="AD118" s="129" t="str">
        <f t="shared" si="128"/>
        <v/>
      </c>
      <c r="AE118" s="129"/>
      <c r="AF118" s="129">
        <v>0</v>
      </c>
      <c r="AG118" s="129" t="str">
        <f t="shared" si="124"/>
        <v/>
      </c>
      <c r="AH118" s="145"/>
      <c r="BC118" s="78"/>
      <c r="BD118" s="132" t="s">
        <v>4192</v>
      </c>
      <c r="BE118" s="133"/>
      <c r="BF118" s="132" t="str">
        <f>IF(OR(C118="",BE118=""),"",COUNTIF(BE$8:BE118,"√"))</f>
        <v/>
      </c>
      <c r="BG118" s="134" t="str">
        <f t="shared" si="116"/>
        <v/>
      </c>
      <c r="BH118" s="135" t="str">
        <f t="shared" si="20"/>
        <v/>
      </c>
      <c r="BI118" s="135" t="str">
        <f t="shared" si="20"/>
        <v/>
      </c>
      <c r="BJ118" s="136"/>
      <c r="BK118" s="137"/>
      <c r="BL118" s="136"/>
      <c r="BM118" s="136"/>
      <c r="BN118" s="136"/>
      <c r="BO118" s="136"/>
      <c r="BP118" s="137"/>
      <c r="BQ118" s="136"/>
      <c r="BR118" s="137"/>
      <c r="BT118" s="787">
        <f t="shared" si="117"/>
        <v>0</v>
      </c>
      <c r="BU118" s="788">
        <f t="shared" si="92"/>
        <v>0</v>
      </c>
      <c r="BV118" s="787">
        <f t="shared" si="93"/>
        <v>0</v>
      </c>
      <c r="BW118" s="787">
        <f t="shared" si="109"/>
        <v>0</v>
      </c>
      <c r="BX118" s="789">
        <f>IFERROR(LOOKUP(M118,基础数据!A:D),1)</f>
        <v>1</v>
      </c>
      <c r="BY118" s="790">
        <f t="shared" si="94"/>
        <v>3.55771976932645</v>
      </c>
      <c r="BZ118" s="787">
        <f t="shared" si="110"/>
        <v>0</v>
      </c>
      <c r="CA118" s="797"/>
      <c r="CB118" s="792">
        <f t="shared" si="26"/>
        <v>0.13</v>
      </c>
      <c r="CC118" s="165" t="s">
        <v>2706</v>
      </c>
      <c r="CD118" s="793">
        <v>0</v>
      </c>
      <c r="CE118" s="156">
        <f t="shared" si="118"/>
        <v>0</v>
      </c>
      <c r="CF118" s="156">
        <f t="shared" si="95"/>
        <v>0</v>
      </c>
      <c r="CG118" s="776"/>
      <c r="CH118" s="156">
        <f t="shared" si="96"/>
        <v>0</v>
      </c>
      <c r="CI118" s="156">
        <f t="shared" si="97"/>
        <v>0</v>
      </c>
      <c r="CJ118" s="776"/>
      <c r="CK118" s="156">
        <f t="shared" si="98"/>
        <v>0</v>
      </c>
      <c r="CL118" s="156">
        <f t="shared" si="99"/>
        <v>0</v>
      </c>
      <c r="CM118" s="776"/>
      <c r="CN118" s="156">
        <f t="shared" si="100"/>
        <v>0</v>
      </c>
      <c r="CO118" s="156">
        <f t="shared" si="101"/>
        <v>0</v>
      </c>
      <c r="CP118" s="776"/>
      <c r="CQ118" s="776"/>
      <c r="CR118" s="794">
        <f t="shared" si="102"/>
        <v>0</v>
      </c>
      <c r="CS118" s="156">
        <f t="shared" si="103"/>
        <v>0</v>
      </c>
      <c r="CT118" s="156">
        <f t="shared" si="104"/>
        <v>0</v>
      </c>
      <c r="CU118" s="156">
        <v>0</v>
      </c>
      <c r="CV118" s="795">
        <f>LOOKUP(CU118,参数表!$A$13:$B$19)</f>
        <v>0</v>
      </c>
      <c r="CW118" s="156">
        <f t="shared" si="105"/>
        <v>0</v>
      </c>
      <c r="CX118" s="156">
        <f t="shared" si="106"/>
        <v>0</v>
      </c>
      <c r="CY118" s="156">
        <f t="shared" si="119"/>
        <v>125.582477754962</v>
      </c>
      <c r="CZ118" s="223">
        <v>10</v>
      </c>
      <c r="DA118" s="746">
        <f t="shared" si="107"/>
        <v>-11.56</v>
      </c>
      <c r="DB118" s="746">
        <f t="shared" si="91"/>
        <v>-11.51</v>
      </c>
      <c r="DC118" s="746">
        <f t="shared" si="108"/>
        <v>-11.51</v>
      </c>
      <c r="DE118" s="134" t="str">
        <f>IF(COUNTIF(DE$7:DE117,C118)&gt;0,"",C118)&amp;""</f>
        <v/>
      </c>
      <c r="DF118" s="138">
        <f t="shared" si="120"/>
        <v>0</v>
      </c>
      <c r="DG118" s="132">
        <f t="shared" si="121"/>
        <v>1</v>
      </c>
      <c r="DH118" s="138">
        <f t="shared" si="122"/>
        <v>0</v>
      </c>
      <c r="DI118" s="132">
        <f t="shared" si="123"/>
        <v>1</v>
      </c>
      <c r="DJ118" s="133"/>
      <c r="DK118" s="133"/>
      <c r="DM118" s="796" t="s">
        <v>4100</v>
      </c>
      <c r="DN118" s="75">
        <v>21236.68</v>
      </c>
    </row>
    <row r="119" ht="15" customHeight="1" spans="1:118">
      <c r="A119" s="785" t="str">
        <f>IF(C119="","",COUNT(A$7:A118)+1)</f>
        <v/>
      </c>
      <c r="B119" s="141"/>
      <c r="C119" s="139"/>
      <c r="D119" s="141"/>
      <c r="E119" s="535"/>
      <c r="F119" s="535"/>
      <c r="G119" s="141"/>
      <c r="H119" s="536"/>
      <c r="I119" s="139"/>
      <c r="J119" s="141"/>
      <c r="K119" s="141"/>
      <c r="L119" s="140"/>
      <c r="M119" s="140"/>
      <c r="N119" s="142"/>
      <c r="O119" s="127"/>
      <c r="P119" s="128"/>
      <c r="Q119" s="128"/>
      <c r="R119" s="129"/>
      <c r="S119" s="143"/>
      <c r="T119" s="143"/>
      <c r="U119" s="143"/>
      <c r="V119" s="144"/>
      <c r="W119" s="144"/>
      <c r="X119" s="144"/>
      <c r="Y119" s="129" t="str">
        <f t="shared" si="111"/>
        <v/>
      </c>
      <c r="Z119" s="129" t="str">
        <f t="shared" si="112"/>
        <v/>
      </c>
      <c r="AA119" s="129" t="str">
        <f t="shared" si="113"/>
        <v/>
      </c>
      <c r="AB119" s="129" t="str">
        <f t="shared" si="114"/>
        <v/>
      </c>
      <c r="AC119" s="521" t="str">
        <f t="shared" si="115"/>
        <v/>
      </c>
      <c r="AD119" s="129" t="str">
        <f t="shared" si="128"/>
        <v/>
      </c>
      <c r="AE119" s="129"/>
      <c r="AF119" s="129">
        <v>0</v>
      </c>
      <c r="AG119" s="129" t="str">
        <f t="shared" si="124"/>
        <v/>
      </c>
      <c r="AH119" s="145"/>
      <c r="BC119" s="78"/>
      <c r="BD119" s="132" t="s">
        <v>4193</v>
      </c>
      <c r="BE119" s="133"/>
      <c r="BF119" s="132" t="str">
        <f>IF(OR(C119="",BE119=""),"",COUNTIF(BE$8:BE119,"√"))</f>
        <v/>
      </c>
      <c r="BG119" s="134" t="str">
        <f t="shared" si="116"/>
        <v/>
      </c>
      <c r="BH119" s="135" t="str">
        <f t="shared" si="20"/>
        <v/>
      </c>
      <c r="BI119" s="135" t="str">
        <f t="shared" si="20"/>
        <v/>
      </c>
      <c r="BJ119" s="136"/>
      <c r="BK119" s="137"/>
      <c r="BL119" s="136"/>
      <c r="BM119" s="136"/>
      <c r="BN119" s="136"/>
      <c r="BO119" s="136"/>
      <c r="BP119" s="137"/>
      <c r="BQ119" s="136"/>
      <c r="BR119" s="137"/>
      <c r="BT119" s="787">
        <f t="shared" si="117"/>
        <v>0</v>
      </c>
      <c r="BU119" s="788">
        <f t="shared" si="92"/>
        <v>0</v>
      </c>
      <c r="BV119" s="787">
        <f t="shared" si="93"/>
        <v>0</v>
      </c>
      <c r="BW119" s="787">
        <f t="shared" si="109"/>
        <v>0</v>
      </c>
      <c r="BX119" s="789">
        <f>IFERROR(LOOKUP(M119,基础数据!A:D),1)</f>
        <v>1</v>
      </c>
      <c r="BY119" s="790">
        <f t="shared" si="94"/>
        <v>3.55771976932645</v>
      </c>
      <c r="BZ119" s="787">
        <f t="shared" si="110"/>
        <v>0</v>
      </c>
      <c r="CA119" s="797"/>
      <c r="CB119" s="792">
        <f t="shared" si="26"/>
        <v>0.13</v>
      </c>
      <c r="CC119" s="165" t="s">
        <v>2706</v>
      </c>
      <c r="CD119" s="793">
        <v>0</v>
      </c>
      <c r="CE119" s="156">
        <f t="shared" si="118"/>
        <v>0</v>
      </c>
      <c r="CF119" s="156">
        <f t="shared" si="95"/>
        <v>0</v>
      </c>
      <c r="CG119" s="776"/>
      <c r="CH119" s="156">
        <f t="shared" si="96"/>
        <v>0</v>
      </c>
      <c r="CI119" s="156">
        <f t="shared" si="97"/>
        <v>0</v>
      </c>
      <c r="CJ119" s="776"/>
      <c r="CK119" s="156">
        <f t="shared" si="98"/>
        <v>0</v>
      </c>
      <c r="CL119" s="156">
        <f t="shared" si="99"/>
        <v>0</v>
      </c>
      <c r="CM119" s="776"/>
      <c r="CN119" s="156">
        <f t="shared" si="100"/>
        <v>0</v>
      </c>
      <c r="CO119" s="156">
        <f t="shared" si="101"/>
        <v>0</v>
      </c>
      <c r="CP119" s="776"/>
      <c r="CQ119" s="776"/>
      <c r="CR119" s="794">
        <f t="shared" si="102"/>
        <v>0</v>
      </c>
      <c r="CS119" s="156">
        <f t="shared" si="103"/>
        <v>0</v>
      </c>
      <c r="CT119" s="156">
        <f t="shared" si="104"/>
        <v>0</v>
      </c>
      <c r="CU119" s="156">
        <v>0</v>
      </c>
      <c r="CV119" s="795">
        <f>LOOKUP(CU119,参数表!$A$13:$B$19)</f>
        <v>0</v>
      </c>
      <c r="CW119" s="156">
        <f t="shared" si="105"/>
        <v>0</v>
      </c>
      <c r="CX119" s="156">
        <f t="shared" si="106"/>
        <v>0</v>
      </c>
      <c r="CY119" s="156">
        <f t="shared" si="119"/>
        <v>125.582477754962</v>
      </c>
      <c r="CZ119" s="223">
        <v>10</v>
      </c>
      <c r="DA119" s="746">
        <f t="shared" si="107"/>
        <v>-11.56</v>
      </c>
      <c r="DB119" s="746">
        <f t="shared" si="91"/>
        <v>-11.51</v>
      </c>
      <c r="DC119" s="746">
        <f t="shared" si="108"/>
        <v>-11.51</v>
      </c>
      <c r="DE119" s="134" t="str">
        <f>IF(COUNTIF(DE$7:DE118,C119)&gt;0,"",C119)&amp;""</f>
        <v/>
      </c>
      <c r="DF119" s="138">
        <f t="shared" si="120"/>
        <v>0</v>
      </c>
      <c r="DG119" s="132">
        <f t="shared" si="121"/>
        <v>1</v>
      </c>
      <c r="DH119" s="138">
        <f t="shared" si="122"/>
        <v>0</v>
      </c>
      <c r="DI119" s="132">
        <f t="shared" si="123"/>
        <v>1</v>
      </c>
      <c r="DJ119" s="133"/>
      <c r="DK119" s="133"/>
      <c r="DM119" s="796" t="s">
        <v>4100</v>
      </c>
      <c r="DN119" s="75">
        <v>1214.21</v>
      </c>
    </row>
    <row r="120" ht="15" customHeight="1" spans="1:118">
      <c r="A120" s="785" t="str">
        <f>IF(C120="","",COUNT(A$7:A119)+1)</f>
        <v/>
      </c>
      <c r="B120" s="141"/>
      <c r="C120" s="139"/>
      <c r="D120" s="141"/>
      <c r="E120" s="535"/>
      <c r="F120" s="535"/>
      <c r="G120" s="141"/>
      <c r="H120" s="536"/>
      <c r="I120" s="139"/>
      <c r="J120" s="141"/>
      <c r="K120" s="141"/>
      <c r="L120" s="140"/>
      <c r="M120" s="140"/>
      <c r="N120" s="142"/>
      <c r="O120" s="127"/>
      <c r="P120" s="128"/>
      <c r="Q120" s="128"/>
      <c r="R120" s="129"/>
      <c r="S120" s="143"/>
      <c r="T120" s="143"/>
      <c r="U120" s="143"/>
      <c r="V120" s="144"/>
      <c r="W120" s="144"/>
      <c r="X120" s="144"/>
      <c r="Y120" s="129" t="str">
        <f t="shared" si="111"/>
        <v/>
      </c>
      <c r="Z120" s="129" t="str">
        <f t="shared" si="112"/>
        <v/>
      </c>
      <c r="AA120" s="129" t="str">
        <f t="shared" si="113"/>
        <v/>
      </c>
      <c r="AB120" s="129" t="str">
        <f t="shared" si="114"/>
        <v/>
      </c>
      <c r="AC120" s="521" t="str">
        <f t="shared" si="115"/>
        <v/>
      </c>
      <c r="AD120" s="129" t="str">
        <f t="shared" si="128"/>
        <v/>
      </c>
      <c r="AE120" s="129">
        <f>CN120*0.5</f>
        <v>0</v>
      </c>
      <c r="AF120" s="129">
        <v>0</v>
      </c>
      <c r="AG120" s="129" t="str">
        <f t="shared" si="124"/>
        <v/>
      </c>
      <c r="AH120" s="145"/>
      <c r="BC120" s="78"/>
      <c r="BD120" s="132" t="s">
        <v>4194</v>
      </c>
      <c r="BE120" s="133"/>
      <c r="BF120" s="132" t="str">
        <f>IF(OR(C120="",BE120=""),"",COUNTIF(BE$8:BE120,"√"))</f>
        <v/>
      </c>
      <c r="BG120" s="134" t="str">
        <f t="shared" si="116"/>
        <v/>
      </c>
      <c r="BH120" s="135" t="str">
        <f t="shared" si="20"/>
        <v/>
      </c>
      <c r="BI120" s="135" t="str">
        <f t="shared" si="20"/>
        <v/>
      </c>
      <c r="BJ120" s="136"/>
      <c r="BK120" s="137"/>
      <c r="BL120" s="136"/>
      <c r="BM120" s="136"/>
      <c r="BN120" s="136"/>
      <c r="BO120" s="136"/>
      <c r="BP120" s="137"/>
      <c r="BQ120" s="136"/>
      <c r="BR120" s="137"/>
      <c r="BT120" s="787">
        <f t="shared" si="117"/>
        <v>0</v>
      </c>
      <c r="BU120" s="788">
        <f t="shared" si="92"/>
        <v>0.0909090909090909</v>
      </c>
      <c r="BV120" s="787">
        <f t="shared" si="93"/>
        <v>0</v>
      </c>
      <c r="BW120" s="787">
        <v>77876.11</v>
      </c>
      <c r="BX120" s="789">
        <f>IFERROR(LOOKUP(M120,基础数据!A:D),1)</f>
        <v>1</v>
      </c>
      <c r="BY120" s="790">
        <f t="shared" si="94"/>
        <v>3.55771976932645</v>
      </c>
      <c r="BZ120" s="787">
        <f t="shared" si="110"/>
        <v>277060</v>
      </c>
      <c r="CA120" s="797"/>
      <c r="CB120" s="792">
        <f t="shared" si="26"/>
        <v>0.13</v>
      </c>
      <c r="CC120" s="165" t="s">
        <v>2706</v>
      </c>
      <c r="CD120" s="793">
        <v>0</v>
      </c>
      <c r="CE120" s="156">
        <f t="shared" si="118"/>
        <v>0</v>
      </c>
      <c r="CF120" s="156">
        <f t="shared" si="95"/>
        <v>0</v>
      </c>
      <c r="CG120" s="776"/>
      <c r="CH120" s="156">
        <f t="shared" si="96"/>
        <v>0</v>
      </c>
      <c r="CI120" s="156">
        <f t="shared" si="97"/>
        <v>0</v>
      </c>
      <c r="CJ120" s="776"/>
      <c r="CK120" s="156">
        <f t="shared" si="98"/>
        <v>0</v>
      </c>
      <c r="CL120" s="156">
        <f t="shared" si="99"/>
        <v>0</v>
      </c>
      <c r="CM120" s="776">
        <v>0.1</v>
      </c>
      <c r="CN120" s="156">
        <f t="shared" si="100"/>
        <v>0</v>
      </c>
      <c r="CO120" s="156">
        <f t="shared" si="101"/>
        <v>0</v>
      </c>
      <c r="CP120" s="776"/>
      <c r="CQ120" s="776"/>
      <c r="CR120" s="794">
        <f t="shared" si="102"/>
        <v>0</v>
      </c>
      <c r="CS120" s="156">
        <f t="shared" si="103"/>
        <v>0</v>
      </c>
      <c r="CT120" s="156">
        <f t="shared" si="104"/>
        <v>0</v>
      </c>
      <c r="CU120" s="156">
        <v>0</v>
      </c>
      <c r="CV120" s="795">
        <f>LOOKUP(CU120,参数表!$A$13:$B$19)</f>
        <v>0</v>
      </c>
      <c r="CW120" s="156">
        <f t="shared" si="105"/>
        <v>0</v>
      </c>
      <c r="CX120" s="156">
        <f>ROUND(SUM(CE120,CH120,CK120,CT120,CW120)-SUM(CF120,CI120,CL120),-2)</f>
        <v>0</v>
      </c>
      <c r="CY120" s="156">
        <f t="shared" si="119"/>
        <v>125.582477754962</v>
      </c>
      <c r="CZ120" s="223">
        <v>10</v>
      </c>
      <c r="DA120" s="746">
        <f t="shared" si="107"/>
        <v>-11.56</v>
      </c>
      <c r="DB120" s="746">
        <f t="shared" si="91"/>
        <v>-11.51</v>
      </c>
      <c r="DC120" s="746">
        <f t="shared" si="108"/>
        <v>-11.51</v>
      </c>
      <c r="DE120" s="134" t="str">
        <f>IF(COUNTIF(DE$7:DE119,C120)&gt;0,"",C120)&amp;""</f>
        <v/>
      </c>
      <c r="DF120" s="138">
        <f t="shared" si="120"/>
        <v>0</v>
      </c>
      <c r="DG120" s="132">
        <f t="shared" si="121"/>
        <v>1</v>
      </c>
      <c r="DH120" s="138">
        <f t="shared" si="122"/>
        <v>0</v>
      </c>
      <c r="DI120" s="132">
        <f t="shared" si="123"/>
        <v>1</v>
      </c>
      <c r="DJ120" s="133"/>
      <c r="DK120" s="133"/>
      <c r="DM120" s="796" t="s">
        <v>4195</v>
      </c>
      <c r="DN120" s="657">
        <v>64825.7</v>
      </c>
    </row>
    <row r="121" ht="15" customHeight="1" spans="1:118">
      <c r="A121" s="785" t="str">
        <f>IF(C121="","",COUNT(A$7:A120)+1)</f>
        <v/>
      </c>
      <c r="B121" s="141"/>
      <c r="C121" s="798"/>
      <c r="D121" s="141"/>
      <c r="E121" s="535"/>
      <c r="F121" s="535"/>
      <c r="G121" s="141"/>
      <c r="H121" s="536"/>
      <c r="I121" s="139"/>
      <c r="J121" s="141"/>
      <c r="K121" s="141"/>
      <c r="L121" s="140"/>
      <c r="M121" s="140"/>
      <c r="N121" s="142"/>
      <c r="O121" s="127"/>
      <c r="P121" s="128"/>
      <c r="Q121" s="128"/>
      <c r="R121" s="129"/>
      <c r="S121" s="143"/>
      <c r="T121" s="143"/>
      <c r="U121" s="143"/>
      <c r="V121" s="144"/>
      <c r="W121" s="144"/>
      <c r="X121" s="144"/>
      <c r="Y121" s="129" t="str">
        <f t="shared" si="111"/>
        <v/>
      </c>
      <c r="Z121" s="129" t="str">
        <f t="shared" si="112"/>
        <v/>
      </c>
      <c r="AA121" s="129" t="str">
        <f t="shared" si="113"/>
        <v/>
      </c>
      <c r="AB121" s="129" t="str">
        <f t="shared" si="114"/>
        <v/>
      </c>
      <c r="AC121" s="521" t="str">
        <f t="shared" si="115"/>
        <v/>
      </c>
      <c r="AD121" s="129" t="str">
        <f t="shared" ref="AD121:AD134" si="129">IFERROR(IF(AC121="",AB121,ROUND(AB121*AC121/100,0)),"")</f>
        <v/>
      </c>
      <c r="AE121" s="129"/>
      <c r="AF121" s="129">
        <v>0</v>
      </c>
      <c r="AG121" s="129" t="str">
        <f t="shared" si="124"/>
        <v/>
      </c>
      <c r="AH121" s="145"/>
      <c r="BC121" s="78"/>
      <c r="BD121" s="132" t="s">
        <v>4196</v>
      </c>
      <c r="BE121" s="133"/>
      <c r="BF121" s="132" t="str">
        <f>IF(OR(C121="",BE121=""),"",COUNTIF(BE$8:BE121,"√"))</f>
        <v/>
      </c>
      <c r="BG121" s="134" t="str">
        <f t="shared" si="116"/>
        <v/>
      </c>
      <c r="BH121" s="135" t="str">
        <f t="shared" si="20"/>
        <v/>
      </c>
      <c r="BI121" s="135" t="str">
        <f t="shared" si="20"/>
        <v/>
      </c>
      <c r="BJ121" s="136"/>
      <c r="BK121" s="137"/>
      <c r="BL121" s="136"/>
      <c r="BM121" s="136"/>
      <c r="BN121" s="136"/>
      <c r="BO121" s="136"/>
      <c r="BP121" s="137"/>
      <c r="BQ121" s="136"/>
      <c r="BR121" s="137"/>
      <c r="BT121" s="787">
        <f t="shared" si="117"/>
        <v>0</v>
      </c>
      <c r="BU121" s="788">
        <f t="shared" si="92"/>
        <v>0</v>
      </c>
      <c r="BV121" s="787">
        <f t="shared" si="93"/>
        <v>0</v>
      </c>
      <c r="BW121" s="787">
        <f t="shared" si="109"/>
        <v>0</v>
      </c>
      <c r="BX121" s="789">
        <f>IFERROR(LOOKUP(M121,基础数据!A:D),1)</f>
        <v>1</v>
      </c>
      <c r="BY121" s="790">
        <f t="shared" si="94"/>
        <v>3.55771976932645</v>
      </c>
      <c r="BZ121" s="787">
        <f t="shared" si="110"/>
        <v>0</v>
      </c>
      <c r="CA121" s="797"/>
      <c r="CB121" s="792">
        <f t="shared" si="26"/>
        <v>0.13</v>
      </c>
      <c r="CC121" s="165" t="s">
        <v>2706</v>
      </c>
      <c r="CD121" s="793">
        <v>0</v>
      </c>
      <c r="CE121" s="156">
        <f t="shared" si="118"/>
        <v>0</v>
      </c>
      <c r="CF121" s="156">
        <f t="shared" si="95"/>
        <v>0</v>
      </c>
      <c r="CG121" s="776"/>
      <c r="CH121" s="156">
        <f t="shared" si="96"/>
        <v>0</v>
      </c>
      <c r="CI121" s="156">
        <f t="shared" si="97"/>
        <v>0</v>
      </c>
      <c r="CJ121" s="776"/>
      <c r="CK121" s="156">
        <f t="shared" si="98"/>
        <v>0</v>
      </c>
      <c r="CL121" s="156">
        <f t="shared" si="99"/>
        <v>0</v>
      </c>
      <c r="CM121" s="776"/>
      <c r="CN121" s="156">
        <f t="shared" si="100"/>
        <v>0</v>
      </c>
      <c r="CO121" s="156">
        <f t="shared" si="101"/>
        <v>0</v>
      </c>
      <c r="CP121" s="776"/>
      <c r="CQ121" s="776"/>
      <c r="CR121" s="794">
        <f t="shared" si="102"/>
        <v>0</v>
      </c>
      <c r="CS121" s="156">
        <f t="shared" si="103"/>
        <v>0</v>
      </c>
      <c r="CT121" s="156">
        <f t="shared" si="104"/>
        <v>0</v>
      </c>
      <c r="CU121" s="156">
        <v>0</v>
      </c>
      <c r="CV121" s="795">
        <f>LOOKUP(CU121,参数表!$A$13:$B$19)</f>
        <v>0</v>
      </c>
      <c r="CW121" s="156">
        <f t="shared" si="105"/>
        <v>0</v>
      </c>
      <c r="CX121" s="156">
        <f t="shared" si="106"/>
        <v>0</v>
      </c>
      <c r="CY121" s="156">
        <f t="shared" si="119"/>
        <v>125.582477754962</v>
      </c>
      <c r="CZ121" s="223">
        <v>10</v>
      </c>
      <c r="DA121" s="746">
        <f t="shared" si="107"/>
        <v>-11.56</v>
      </c>
      <c r="DB121" s="746">
        <f t="shared" si="91"/>
        <v>-11.51</v>
      </c>
      <c r="DC121" s="746">
        <f t="shared" si="108"/>
        <v>-11.51</v>
      </c>
      <c r="DE121" s="134" t="str">
        <f>IF(COUNTIF(DE$7:DE120,C121)&gt;0,"",C121)&amp;""</f>
        <v/>
      </c>
      <c r="DF121" s="138">
        <f t="shared" si="120"/>
        <v>0</v>
      </c>
      <c r="DG121" s="132">
        <f t="shared" si="121"/>
        <v>1</v>
      </c>
      <c r="DH121" s="138">
        <f t="shared" si="122"/>
        <v>0</v>
      </c>
      <c r="DI121" s="132">
        <f t="shared" si="123"/>
        <v>1</v>
      </c>
      <c r="DJ121" s="133"/>
      <c r="DK121" s="133"/>
      <c r="DM121" s="796" t="s">
        <v>4100</v>
      </c>
      <c r="DN121" s="75">
        <v>39570.4</v>
      </c>
    </row>
    <row r="122" ht="15" customHeight="1" spans="1:118">
      <c r="A122" s="785" t="str">
        <f>IF(C122="","",COUNT(A$7:A121)+1)</f>
        <v/>
      </c>
      <c r="B122" s="141"/>
      <c r="C122" s="139"/>
      <c r="D122" s="141"/>
      <c r="E122" s="535"/>
      <c r="F122" s="535"/>
      <c r="G122" s="141"/>
      <c r="H122" s="536"/>
      <c r="I122" s="139"/>
      <c r="J122" s="141"/>
      <c r="K122" s="141"/>
      <c r="L122" s="140"/>
      <c r="M122" s="140"/>
      <c r="N122" s="142"/>
      <c r="O122" s="127"/>
      <c r="P122" s="128"/>
      <c r="Q122" s="128"/>
      <c r="R122" s="129"/>
      <c r="S122" s="143"/>
      <c r="T122" s="143"/>
      <c r="U122" s="143"/>
      <c r="V122" s="144"/>
      <c r="W122" s="144"/>
      <c r="X122" s="144"/>
      <c r="Y122" s="129" t="str">
        <f t="shared" si="111"/>
        <v/>
      </c>
      <c r="Z122" s="129" t="str">
        <f t="shared" si="112"/>
        <v/>
      </c>
      <c r="AA122" s="129" t="str">
        <f t="shared" si="113"/>
        <v/>
      </c>
      <c r="AB122" s="129" t="str">
        <f t="shared" si="114"/>
        <v/>
      </c>
      <c r="AC122" s="521" t="str">
        <f t="shared" si="115"/>
        <v/>
      </c>
      <c r="AD122" s="129" t="str">
        <f t="shared" si="129"/>
        <v/>
      </c>
      <c r="AE122" s="129"/>
      <c r="AF122" s="129">
        <v>0</v>
      </c>
      <c r="AG122" s="129" t="str">
        <f t="shared" si="124"/>
        <v/>
      </c>
      <c r="AH122" s="145"/>
      <c r="BC122" s="78"/>
      <c r="BD122" s="132" t="s">
        <v>4197</v>
      </c>
      <c r="BE122" s="133"/>
      <c r="BF122" s="132" t="str">
        <f>IF(OR(C122="",BE122=""),"",COUNTIF(BE$8:BE122,"√"))</f>
        <v/>
      </c>
      <c r="BG122" s="134" t="str">
        <f t="shared" si="116"/>
        <v/>
      </c>
      <c r="BH122" s="135" t="str">
        <f t="shared" si="20"/>
        <v/>
      </c>
      <c r="BI122" s="135" t="str">
        <f t="shared" si="20"/>
        <v/>
      </c>
      <c r="BJ122" s="136"/>
      <c r="BK122" s="137"/>
      <c r="BL122" s="136"/>
      <c r="BM122" s="136"/>
      <c r="BN122" s="136"/>
      <c r="BO122" s="136"/>
      <c r="BP122" s="137"/>
      <c r="BQ122" s="136"/>
      <c r="BR122" s="137"/>
      <c r="BT122" s="787">
        <f t="shared" si="117"/>
        <v>0</v>
      </c>
      <c r="BU122" s="788">
        <f t="shared" si="92"/>
        <v>0</v>
      </c>
      <c r="BV122" s="787">
        <f t="shared" si="93"/>
        <v>0</v>
      </c>
      <c r="BW122" s="787">
        <f t="shared" si="109"/>
        <v>0</v>
      </c>
      <c r="BX122" s="789">
        <f>IFERROR(LOOKUP(M122,基础数据!A:D),1)</f>
        <v>1</v>
      </c>
      <c r="BY122" s="790">
        <f t="shared" si="94"/>
        <v>3.55771976932645</v>
      </c>
      <c r="BZ122" s="787">
        <f t="shared" si="110"/>
        <v>0</v>
      </c>
      <c r="CA122" s="799" t="s">
        <v>4198</v>
      </c>
      <c r="CB122" s="792">
        <f t="shared" si="26"/>
        <v>0.13</v>
      </c>
      <c r="CC122" s="165" t="s">
        <v>2706</v>
      </c>
      <c r="CD122" s="793">
        <v>0</v>
      </c>
      <c r="CE122" s="156">
        <f t="shared" si="118"/>
        <v>0</v>
      </c>
      <c r="CF122" s="156">
        <f t="shared" si="95"/>
        <v>0</v>
      </c>
      <c r="CG122" s="776"/>
      <c r="CH122" s="156">
        <f t="shared" si="96"/>
        <v>0</v>
      </c>
      <c r="CI122" s="156">
        <f t="shared" si="97"/>
        <v>0</v>
      </c>
      <c r="CJ122" s="776"/>
      <c r="CK122" s="156">
        <f t="shared" si="98"/>
        <v>0</v>
      </c>
      <c r="CL122" s="156">
        <f t="shared" si="99"/>
        <v>0</v>
      </c>
      <c r="CM122" s="776"/>
      <c r="CN122" s="156">
        <f t="shared" si="100"/>
        <v>0</v>
      </c>
      <c r="CO122" s="156">
        <f t="shared" si="101"/>
        <v>0</v>
      </c>
      <c r="CP122" s="776"/>
      <c r="CQ122" s="776"/>
      <c r="CR122" s="794">
        <f t="shared" si="102"/>
        <v>0</v>
      </c>
      <c r="CS122" s="156">
        <f t="shared" si="103"/>
        <v>0</v>
      </c>
      <c r="CT122" s="156">
        <f t="shared" si="104"/>
        <v>0</v>
      </c>
      <c r="CU122" s="156">
        <v>0</v>
      </c>
      <c r="CV122" s="795">
        <f>LOOKUP(CU122,参数表!$A$13:$B$19)</f>
        <v>0</v>
      </c>
      <c r="CW122" s="156">
        <f t="shared" si="105"/>
        <v>0</v>
      </c>
      <c r="CX122" s="156">
        <f t="shared" si="106"/>
        <v>0</v>
      </c>
      <c r="CY122" s="156">
        <f t="shared" si="119"/>
        <v>125.582477754962</v>
      </c>
      <c r="CZ122" s="223">
        <v>4</v>
      </c>
      <c r="DA122" s="746">
        <f t="shared" si="107"/>
        <v>-30.4</v>
      </c>
      <c r="DB122" s="746">
        <f t="shared" si="91"/>
        <v>-30.35</v>
      </c>
      <c r="DC122" s="746">
        <f t="shared" si="108"/>
        <v>-30.35</v>
      </c>
      <c r="DE122" s="134" t="str">
        <f>IF(COUNTIF(DE$7:DE121,C122)&gt;0,"",C122)&amp;""</f>
        <v/>
      </c>
      <c r="DF122" s="138">
        <f t="shared" si="120"/>
        <v>0</v>
      </c>
      <c r="DG122" s="132">
        <f t="shared" si="121"/>
        <v>1</v>
      </c>
      <c r="DH122" s="138">
        <f t="shared" si="122"/>
        <v>0</v>
      </c>
      <c r="DI122" s="132">
        <f t="shared" si="123"/>
        <v>1</v>
      </c>
      <c r="DJ122" s="133"/>
      <c r="DK122" s="133"/>
      <c r="DM122" s="796" t="s">
        <v>4067</v>
      </c>
      <c r="DN122" s="75">
        <v>5088.49</v>
      </c>
    </row>
    <row r="123" ht="15" customHeight="1" spans="1:118">
      <c r="A123" s="785" t="str">
        <f>IF(C123="","",COUNT(A$7:A122)+1)</f>
        <v/>
      </c>
      <c r="B123" s="141"/>
      <c r="C123" s="139"/>
      <c r="D123" s="141"/>
      <c r="E123" s="535"/>
      <c r="F123" s="535"/>
      <c r="G123" s="141"/>
      <c r="H123" s="536"/>
      <c r="I123" s="139"/>
      <c r="J123" s="141"/>
      <c r="K123" s="141"/>
      <c r="L123" s="140"/>
      <c r="M123" s="140"/>
      <c r="N123" s="142"/>
      <c r="O123" s="127"/>
      <c r="P123" s="128"/>
      <c r="Q123" s="128"/>
      <c r="R123" s="129"/>
      <c r="S123" s="143"/>
      <c r="T123" s="143"/>
      <c r="U123" s="143"/>
      <c r="V123" s="144"/>
      <c r="W123" s="144"/>
      <c r="X123" s="144"/>
      <c r="Y123" s="129" t="str">
        <f t="shared" si="111"/>
        <v/>
      </c>
      <c r="Z123" s="129" t="str">
        <f t="shared" si="112"/>
        <v/>
      </c>
      <c r="AA123" s="129" t="str">
        <f t="shared" si="113"/>
        <v/>
      </c>
      <c r="AB123" s="129" t="str">
        <f t="shared" si="114"/>
        <v/>
      </c>
      <c r="AC123" s="521" t="str">
        <f t="shared" si="115"/>
        <v/>
      </c>
      <c r="AD123" s="129" t="str">
        <f t="shared" si="129"/>
        <v/>
      </c>
      <c r="AE123" s="129"/>
      <c r="AF123" s="129">
        <v>0</v>
      </c>
      <c r="AG123" s="129" t="str">
        <f t="shared" si="124"/>
        <v/>
      </c>
      <c r="AH123" s="145"/>
      <c r="BC123" s="78"/>
      <c r="BD123" s="132" t="s">
        <v>4199</v>
      </c>
      <c r="BE123" s="133"/>
      <c r="BF123" s="132" t="str">
        <f>IF(OR(C123="",BE123=""),"",COUNTIF(BE$8:BE123,"√"))</f>
        <v/>
      </c>
      <c r="BG123" s="134" t="str">
        <f t="shared" si="116"/>
        <v/>
      </c>
      <c r="BH123" s="135" t="str">
        <f t="shared" si="20"/>
        <v/>
      </c>
      <c r="BI123" s="135" t="str">
        <f t="shared" si="20"/>
        <v/>
      </c>
      <c r="BJ123" s="136"/>
      <c r="BK123" s="137"/>
      <c r="BL123" s="136"/>
      <c r="BM123" s="136"/>
      <c r="BN123" s="136"/>
      <c r="BO123" s="136"/>
      <c r="BP123" s="137"/>
      <c r="BQ123" s="136"/>
      <c r="BR123" s="137"/>
      <c r="BT123" s="787">
        <f t="shared" si="117"/>
        <v>0</v>
      </c>
      <c r="BU123" s="788">
        <f t="shared" si="92"/>
        <v>0</v>
      </c>
      <c r="BV123" s="787">
        <f t="shared" si="93"/>
        <v>0</v>
      </c>
      <c r="BW123" s="787">
        <f t="shared" si="109"/>
        <v>0</v>
      </c>
      <c r="BX123" s="789">
        <f>IFERROR(LOOKUP(M123,基础数据!A:D),1)</f>
        <v>1</v>
      </c>
      <c r="BY123" s="790">
        <f t="shared" si="94"/>
        <v>3.55771976932645</v>
      </c>
      <c r="BZ123" s="787">
        <f t="shared" si="110"/>
        <v>0</v>
      </c>
      <c r="CA123" s="799" t="s">
        <v>4198</v>
      </c>
      <c r="CB123" s="792">
        <f t="shared" si="26"/>
        <v>0.13</v>
      </c>
      <c r="CC123" s="165" t="s">
        <v>2706</v>
      </c>
      <c r="CD123" s="793">
        <v>0</v>
      </c>
      <c r="CE123" s="156">
        <f t="shared" si="118"/>
        <v>0</v>
      </c>
      <c r="CF123" s="156">
        <f t="shared" si="95"/>
        <v>0</v>
      </c>
      <c r="CG123" s="776"/>
      <c r="CH123" s="156">
        <f t="shared" si="96"/>
        <v>0</v>
      </c>
      <c r="CI123" s="156">
        <f t="shared" si="97"/>
        <v>0</v>
      </c>
      <c r="CJ123" s="776"/>
      <c r="CK123" s="156">
        <f t="shared" si="98"/>
        <v>0</v>
      </c>
      <c r="CL123" s="156">
        <f t="shared" si="99"/>
        <v>0</v>
      </c>
      <c r="CM123" s="776"/>
      <c r="CN123" s="156">
        <f t="shared" si="100"/>
        <v>0</v>
      </c>
      <c r="CO123" s="156">
        <f t="shared" si="101"/>
        <v>0</v>
      </c>
      <c r="CP123" s="776"/>
      <c r="CQ123" s="776"/>
      <c r="CR123" s="794">
        <f t="shared" si="102"/>
        <v>0</v>
      </c>
      <c r="CS123" s="156">
        <f t="shared" si="103"/>
        <v>0</v>
      </c>
      <c r="CT123" s="156">
        <f t="shared" si="104"/>
        <v>0</v>
      </c>
      <c r="CU123" s="156">
        <v>0</v>
      </c>
      <c r="CV123" s="795">
        <f>LOOKUP(CU123,参数表!$A$13:$B$19)</f>
        <v>0</v>
      </c>
      <c r="CW123" s="156">
        <f t="shared" si="105"/>
        <v>0</v>
      </c>
      <c r="CX123" s="156">
        <f t="shared" si="106"/>
        <v>0</v>
      </c>
      <c r="CY123" s="156">
        <f t="shared" si="119"/>
        <v>125.582477754962</v>
      </c>
      <c r="CZ123" s="223">
        <v>4</v>
      </c>
      <c r="DA123" s="746">
        <f t="shared" si="107"/>
        <v>-30.4</v>
      </c>
      <c r="DB123" s="746">
        <f t="shared" si="91"/>
        <v>-30.35</v>
      </c>
      <c r="DC123" s="746">
        <f t="shared" si="108"/>
        <v>-30.35</v>
      </c>
      <c r="DE123" s="134" t="str">
        <f>IF(COUNTIF(DE$7:DE122,C123)&gt;0,"",C123)&amp;""</f>
        <v/>
      </c>
      <c r="DF123" s="138">
        <f t="shared" si="120"/>
        <v>0</v>
      </c>
      <c r="DG123" s="132">
        <f t="shared" si="121"/>
        <v>1</v>
      </c>
      <c r="DH123" s="138">
        <f t="shared" si="122"/>
        <v>0</v>
      </c>
      <c r="DI123" s="132">
        <f t="shared" si="123"/>
        <v>1</v>
      </c>
      <c r="DJ123" s="133"/>
      <c r="DK123" s="133"/>
      <c r="DM123" s="796" t="s">
        <v>4067</v>
      </c>
      <c r="DN123" s="75">
        <v>5088.49</v>
      </c>
    </row>
    <row r="124" ht="15" customHeight="1" spans="1:118">
      <c r="A124" s="785" t="str">
        <f>IF(C124="","",COUNT(A$7:A123)+1)</f>
        <v/>
      </c>
      <c r="B124" s="141"/>
      <c r="C124" s="139"/>
      <c r="D124" s="141"/>
      <c r="E124" s="535"/>
      <c r="F124" s="535"/>
      <c r="G124" s="141"/>
      <c r="H124" s="536"/>
      <c r="I124" s="139"/>
      <c r="J124" s="141"/>
      <c r="K124" s="141"/>
      <c r="L124" s="140"/>
      <c r="M124" s="140"/>
      <c r="N124" s="142"/>
      <c r="O124" s="127"/>
      <c r="P124" s="128"/>
      <c r="Q124" s="128"/>
      <c r="R124" s="129"/>
      <c r="S124" s="143"/>
      <c r="T124" s="143"/>
      <c r="U124" s="143"/>
      <c r="V124" s="144"/>
      <c r="W124" s="144"/>
      <c r="X124" s="144"/>
      <c r="Y124" s="129" t="str">
        <f t="shared" si="111"/>
        <v/>
      </c>
      <c r="Z124" s="129" t="str">
        <f t="shared" si="112"/>
        <v/>
      </c>
      <c r="AA124" s="129" t="str">
        <f t="shared" si="113"/>
        <v/>
      </c>
      <c r="AB124" s="129" t="str">
        <f t="shared" si="114"/>
        <v/>
      </c>
      <c r="AC124" s="521" t="str">
        <f t="shared" si="115"/>
        <v/>
      </c>
      <c r="AD124" s="129" t="str">
        <f t="shared" si="129"/>
        <v/>
      </c>
      <c r="AE124" s="129"/>
      <c r="AF124" s="129">
        <v>0</v>
      </c>
      <c r="AG124" s="129" t="str">
        <f t="shared" si="124"/>
        <v/>
      </c>
      <c r="AH124" s="145"/>
      <c r="BC124" s="78"/>
      <c r="BD124" s="132" t="s">
        <v>4200</v>
      </c>
      <c r="BE124" s="133"/>
      <c r="BF124" s="132" t="str">
        <f>IF(OR(C124="",BE124=""),"",COUNTIF(BE$8:BE124,"√"))</f>
        <v/>
      </c>
      <c r="BG124" s="134" t="str">
        <f t="shared" si="116"/>
        <v/>
      </c>
      <c r="BH124" s="135" t="str">
        <f t="shared" si="20"/>
        <v/>
      </c>
      <c r="BI124" s="135" t="str">
        <f t="shared" si="20"/>
        <v/>
      </c>
      <c r="BJ124" s="136"/>
      <c r="BK124" s="137"/>
      <c r="BL124" s="136"/>
      <c r="BM124" s="136"/>
      <c r="BN124" s="136"/>
      <c r="BO124" s="136"/>
      <c r="BP124" s="137"/>
      <c r="BQ124" s="136"/>
      <c r="BR124" s="137"/>
      <c r="BT124" s="787">
        <f t="shared" si="117"/>
        <v>0</v>
      </c>
      <c r="BU124" s="788">
        <f t="shared" si="92"/>
        <v>0</v>
      </c>
      <c r="BV124" s="787">
        <f t="shared" si="93"/>
        <v>0</v>
      </c>
      <c r="BW124" s="787">
        <f t="shared" si="109"/>
        <v>0</v>
      </c>
      <c r="BX124" s="789">
        <f>IFERROR(LOOKUP(M124,基础数据!A:D),1)</f>
        <v>1</v>
      </c>
      <c r="BY124" s="790">
        <f t="shared" si="94"/>
        <v>3.55771976932645</v>
      </c>
      <c r="BZ124" s="787">
        <f t="shared" si="110"/>
        <v>0</v>
      </c>
      <c r="CA124" s="799" t="s">
        <v>4198</v>
      </c>
      <c r="CB124" s="792">
        <f t="shared" si="26"/>
        <v>0.13</v>
      </c>
      <c r="CC124" s="165" t="s">
        <v>2706</v>
      </c>
      <c r="CD124" s="793">
        <v>0</v>
      </c>
      <c r="CE124" s="156">
        <f t="shared" si="118"/>
        <v>0</v>
      </c>
      <c r="CF124" s="156">
        <f t="shared" si="95"/>
        <v>0</v>
      </c>
      <c r="CG124" s="776"/>
      <c r="CH124" s="156">
        <f t="shared" si="96"/>
        <v>0</v>
      </c>
      <c r="CI124" s="156">
        <f t="shared" si="97"/>
        <v>0</v>
      </c>
      <c r="CJ124" s="776"/>
      <c r="CK124" s="156">
        <f t="shared" si="98"/>
        <v>0</v>
      </c>
      <c r="CL124" s="156">
        <f t="shared" si="99"/>
        <v>0</v>
      </c>
      <c r="CM124" s="776"/>
      <c r="CN124" s="156">
        <f t="shared" si="100"/>
        <v>0</v>
      </c>
      <c r="CO124" s="156">
        <f t="shared" si="101"/>
        <v>0</v>
      </c>
      <c r="CP124" s="776"/>
      <c r="CQ124" s="776"/>
      <c r="CR124" s="794">
        <f t="shared" si="102"/>
        <v>0</v>
      </c>
      <c r="CS124" s="156">
        <f t="shared" si="103"/>
        <v>0</v>
      </c>
      <c r="CT124" s="156">
        <f t="shared" si="104"/>
        <v>0</v>
      </c>
      <c r="CU124" s="156">
        <v>0</v>
      </c>
      <c r="CV124" s="795">
        <f>LOOKUP(CU124,参数表!$A$13:$B$19)</f>
        <v>0</v>
      </c>
      <c r="CW124" s="156">
        <f t="shared" si="105"/>
        <v>0</v>
      </c>
      <c r="CX124" s="156">
        <f t="shared" si="106"/>
        <v>0</v>
      </c>
      <c r="CY124" s="156">
        <f t="shared" si="119"/>
        <v>125.582477754962</v>
      </c>
      <c r="CZ124" s="223">
        <v>4</v>
      </c>
      <c r="DA124" s="746">
        <f t="shared" si="107"/>
        <v>-30.4</v>
      </c>
      <c r="DB124" s="746">
        <f t="shared" si="91"/>
        <v>-30.35</v>
      </c>
      <c r="DC124" s="746">
        <f t="shared" si="108"/>
        <v>-30.35</v>
      </c>
      <c r="DE124" s="134" t="str">
        <f>IF(COUNTIF(DE$7:DE123,C124)&gt;0,"",C124)&amp;""</f>
        <v/>
      </c>
      <c r="DF124" s="138">
        <f t="shared" si="120"/>
        <v>0</v>
      </c>
      <c r="DG124" s="132">
        <f t="shared" si="121"/>
        <v>1</v>
      </c>
      <c r="DH124" s="138">
        <f t="shared" si="122"/>
        <v>0</v>
      </c>
      <c r="DI124" s="132">
        <f t="shared" si="123"/>
        <v>1</v>
      </c>
      <c r="DJ124" s="133"/>
      <c r="DK124" s="133"/>
      <c r="DM124" s="796" t="s">
        <v>4067</v>
      </c>
      <c r="DN124" s="75">
        <v>5088.49</v>
      </c>
    </row>
    <row r="125" ht="15" customHeight="1" spans="1:118">
      <c r="A125" s="785" t="str">
        <f>IF(C125="","",COUNT(A$7:A124)+1)</f>
        <v/>
      </c>
      <c r="B125" s="141"/>
      <c r="C125" s="139"/>
      <c r="D125" s="141"/>
      <c r="E125" s="535"/>
      <c r="F125" s="535"/>
      <c r="G125" s="141"/>
      <c r="H125" s="536"/>
      <c r="I125" s="139"/>
      <c r="J125" s="141"/>
      <c r="K125" s="141"/>
      <c r="L125" s="140"/>
      <c r="M125" s="140"/>
      <c r="N125" s="142"/>
      <c r="O125" s="127"/>
      <c r="P125" s="128"/>
      <c r="Q125" s="128"/>
      <c r="R125" s="129"/>
      <c r="S125" s="143"/>
      <c r="T125" s="143"/>
      <c r="U125" s="143"/>
      <c r="V125" s="144"/>
      <c r="W125" s="144"/>
      <c r="X125" s="144"/>
      <c r="Y125" s="129" t="str">
        <f t="shared" si="111"/>
        <v/>
      </c>
      <c r="Z125" s="129" t="str">
        <f t="shared" si="112"/>
        <v/>
      </c>
      <c r="AA125" s="129" t="str">
        <f t="shared" si="113"/>
        <v/>
      </c>
      <c r="AB125" s="129" t="str">
        <f t="shared" si="114"/>
        <v/>
      </c>
      <c r="AC125" s="521" t="str">
        <f t="shared" si="115"/>
        <v/>
      </c>
      <c r="AD125" s="129" t="str">
        <f t="shared" si="129"/>
        <v/>
      </c>
      <c r="AE125" s="129"/>
      <c r="AF125" s="129">
        <v>0</v>
      </c>
      <c r="AG125" s="129" t="str">
        <f t="shared" si="124"/>
        <v/>
      </c>
      <c r="AH125" s="145"/>
      <c r="BC125" s="78"/>
      <c r="BD125" s="132" t="s">
        <v>4201</v>
      </c>
      <c r="BE125" s="133"/>
      <c r="BF125" s="132" t="str">
        <f>IF(OR(C125="",BE125=""),"",COUNTIF(BE$8:BE125,"√"))</f>
        <v/>
      </c>
      <c r="BG125" s="134" t="str">
        <f t="shared" si="116"/>
        <v/>
      </c>
      <c r="BH125" s="135" t="str">
        <f t="shared" si="20"/>
        <v/>
      </c>
      <c r="BI125" s="135" t="str">
        <f t="shared" si="20"/>
        <v/>
      </c>
      <c r="BJ125" s="136"/>
      <c r="BK125" s="137"/>
      <c r="BL125" s="136"/>
      <c r="BM125" s="136"/>
      <c r="BN125" s="136"/>
      <c r="BO125" s="136"/>
      <c r="BP125" s="137"/>
      <c r="BQ125" s="136"/>
      <c r="BR125" s="137"/>
      <c r="BT125" s="787">
        <f t="shared" si="117"/>
        <v>0</v>
      </c>
      <c r="BU125" s="788">
        <f t="shared" si="92"/>
        <v>0</v>
      </c>
      <c r="BV125" s="787">
        <f t="shared" si="93"/>
        <v>0</v>
      </c>
      <c r="BW125" s="787">
        <f t="shared" si="109"/>
        <v>0</v>
      </c>
      <c r="BX125" s="789">
        <f>IFERROR(LOOKUP(M125,基础数据!A:D),1)</f>
        <v>1</v>
      </c>
      <c r="BY125" s="790">
        <f t="shared" si="94"/>
        <v>3.55771976932645</v>
      </c>
      <c r="BZ125" s="787">
        <f t="shared" si="110"/>
        <v>0</v>
      </c>
      <c r="CA125" s="799" t="s">
        <v>4198</v>
      </c>
      <c r="CB125" s="792">
        <f t="shared" si="26"/>
        <v>0.13</v>
      </c>
      <c r="CC125" s="165" t="s">
        <v>2706</v>
      </c>
      <c r="CD125" s="793">
        <v>0</v>
      </c>
      <c r="CE125" s="156">
        <f t="shared" si="118"/>
        <v>0</v>
      </c>
      <c r="CF125" s="156">
        <f t="shared" si="95"/>
        <v>0</v>
      </c>
      <c r="CG125" s="776"/>
      <c r="CH125" s="156">
        <f t="shared" si="96"/>
        <v>0</v>
      </c>
      <c r="CI125" s="156">
        <f t="shared" si="97"/>
        <v>0</v>
      </c>
      <c r="CJ125" s="776"/>
      <c r="CK125" s="156">
        <f t="shared" si="98"/>
        <v>0</v>
      </c>
      <c r="CL125" s="156">
        <f t="shared" si="99"/>
        <v>0</v>
      </c>
      <c r="CM125" s="776"/>
      <c r="CN125" s="156">
        <f t="shared" si="100"/>
        <v>0</v>
      </c>
      <c r="CO125" s="156">
        <f t="shared" si="101"/>
        <v>0</v>
      </c>
      <c r="CP125" s="776"/>
      <c r="CQ125" s="776"/>
      <c r="CR125" s="794">
        <f t="shared" si="102"/>
        <v>0</v>
      </c>
      <c r="CS125" s="156">
        <f t="shared" si="103"/>
        <v>0</v>
      </c>
      <c r="CT125" s="156">
        <f t="shared" si="104"/>
        <v>0</v>
      </c>
      <c r="CU125" s="156">
        <v>0</v>
      </c>
      <c r="CV125" s="795">
        <f>LOOKUP(CU125,参数表!$A$13:$B$19)</f>
        <v>0</v>
      </c>
      <c r="CW125" s="156">
        <f t="shared" si="105"/>
        <v>0</v>
      </c>
      <c r="CX125" s="156">
        <f t="shared" si="106"/>
        <v>0</v>
      </c>
      <c r="CY125" s="156">
        <f t="shared" si="119"/>
        <v>125.582477754962</v>
      </c>
      <c r="CZ125" s="223">
        <v>4</v>
      </c>
      <c r="DA125" s="746">
        <f t="shared" si="107"/>
        <v>-30.4</v>
      </c>
      <c r="DB125" s="746">
        <f t="shared" si="91"/>
        <v>-30.35</v>
      </c>
      <c r="DC125" s="746">
        <f t="shared" si="108"/>
        <v>-30.35</v>
      </c>
      <c r="DE125" s="134" t="str">
        <f>IF(COUNTIF(DE$7:DE124,C125)&gt;0,"",C125)&amp;""</f>
        <v/>
      </c>
      <c r="DF125" s="138">
        <f t="shared" si="120"/>
        <v>0</v>
      </c>
      <c r="DG125" s="132">
        <f t="shared" si="121"/>
        <v>1</v>
      </c>
      <c r="DH125" s="138">
        <f t="shared" si="122"/>
        <v>0</v>
      </c>
      <c r="DI125" s="132">
        <f t="shared" si="123"/>
        <v>1</v>
      </c>
      <c r="DJ125" s="133"/>
      <c r="DK125" s="133"/>
      <c r="DM125" s="796" t="s">
        <v>4067</v>
      </c>
      <c r="DN125" s="75">
        <v>5088.49</v>
      </c>
    </row>
    <row r="126" ht="15" customHeight="1" spans="1:118">
      <c r="A126" s="785" t="str">
        <f>IF(C126="","",COUNT(A$7:A125)+1)</f>
        <v/>
      </c>
      <c r="B126" s="141"/>
      <c r="C126" s="139"/>
      <c r="D126" s="141"/>
      <c r="E126" s="535"/>
      <c r="F126" s="535"/>
      <c r="G126" s="141"/>
      <c r="H126" s="536"/>
      <c r="I126" s="139"/>
      <c r="J126" s="141"/>
      <c r="K126" s="141"/>
      <c r="L126" s="140"/>
      <c r="M126" s="140"/>
      <c r="N126" s="142"/>
      <c r="O126" s="127"/>
      <c r="P126" s="128"/>
      <c r="Q126" s="128"/>
      <c r="R126" s="129"/>
      <c r="S126" s="143"/>
      <c r="T126" s="143"/>
      <c r="U126" s="143"/>
      <c r="V126" s="144"/>
      <c r="W126" s="144"/>
      <c r="X126" s="144"/>
      <c r="Y126" s="129" t="str">
        <f t="shared" si="111"/>
        <v/>
      </c>
      <c r="Z126" s="129" t="str">
        <f t="shared" si="112"/>
        <v/>
      </c>
      <c r="AA126" s="129" t="str">
        <f t="shared" si="113"/>
        <v/>
      </c>
      <c r="AB126" s="129" t="str">
        <f t="shared" si="114"/>
        <v/>
      </c>
      <c r="AC126" s="521" t="str">
        <f t="shared" si="115"/>
        <v/>
      </c>
      <c r="AD126" s="129" t="str">
        <f t="shared" si="129"/>
        <v/>
      </c>
      <c r="AE126" s="129"/>
      <c r="AF126" s="129">
        <v>0</v>
      </c>
      <c r="AG126" s="129" t="str">
        <f t="shared" si="124"/>
        <v/>
      </c>
      <c r="AH126" s="145"/>
      <c r="BC126" s="78"/>
      <c r="BD126" s="132" t="s">
        <v>4202</v>
      </c>
      <c r="BE126" s="133"/>
      <c r="BF126" s="132" t="str">
        <f>IF(OR(C126="",BE126=""),"",COUNTIF(BE$8:BE126,"√"))</f>
        <v/>
      </c>
      <c r="BG126" s="134" t="str">
        <f t="shared" si="116"/>
        <v/>
      </c>
      <c r="BH126" s="135" t="str">
        <f t="shared" si="20"/>
        <v/>
      </c>
      <c r="BI126" s="135" t="str">
        <f t="shared" si="20"/>
        <v/>
      </c>
      <c r="BJ126" s="136"/>
      <c r="BK126" s="137"/>
      <c r="BL126" s="136"/>
      <c r="BM126" s="136"/>
      <c r="BN126" s="136"/>
      <c r="BO126" s="136"/>
      <c r="BP126" s="137"/>
      <c r="BQ126" s="136"/>
      <c r="BR126" s="137"/>
      <c r="BT126" s="787">
        <f t="shared" si="117"/>
        <v>0</v>
      </c>
      <c r="BU126" s="788">
        <f t="shared" si="92"/>
        <v>0</v>
      </c>
      <c r="BV126" s="787">
        <f t="shared" si="93"/>
        <v>0</v>
      </c>
      <c r="BW126" s="787">
        <f t="shared" si="109"/>
        <v>0</v>
      </c>
      <c r="BX126" s="789">
        <f>IFERROR(LOOKUP(M126,基础数据!A:D),1)</f>
        <v>1</v>
      </c>
      <c r="BY126" s="790">
        <f t="shared" si="94"/>
        <v>3.55771976932645</v>
      </c>
      <c r="BZ126" s="787">
        <f t="shared" si="110"/>
        <v>0</v>
      </c>
      <c r="CA126" s="799" t="s">
        <v>4203</v>
      </c>
      <c r="CB126" s="792">
        <f t="shared" si="26"/>
        <v>0.13</v>
      </c>
      <c r="CC126" s="165" t="s">
        <v>2706</v>
      </c>
      <c r="CD126" s="793">
        <v>0</v>
      </c>
      <c r="CE126" s="156">
        <f t="shared" si="118"/>
        <v>0</v>
      </c>
      <c r="CF126" s="156">
        <f t="shared" si="95"/>
        <v>0</v>
      </c>
      <c r="CG126" s="776"/>
      <c r="CH126" s="156">
        <f t="shared" si="96"/>
        <v>0</v>
      </c>
      <c r="CI126" s="156">
        <f t="shared" si="97"/>
        <v>0</v>
      </c>
      <c r="CJ126" s="776"/>
      <c r="CK126" s="156">
        <f t="shared" si="98"/>
        <v>0</v>
      </c>
      <c r="CL126" s="156">
        <f t="shared" si="99"/>
        <v>0</v>
      </c>
      <c r="CM126" s="776"/>
      <c r="CN126" s="156">
        <f t="shared" si="100"/>
        <v>0</v>
      </c>
      <c r="CO126" s="156">
        <f t="shared" si="101"/>
        <v>0</v>
      </c>
      <c r="CP126" s="776"/>
      <c r="CQ126" s="776"/>
      <c r="CR126" s="794">
        <f t="shared" si="102"/>
        <v>0</v>
      </c>
      <c r="CS126" s="156">
        <f t="shared" si="103"/>
        <v>0</v>
      </c>
      <c r="CT126" s="156">
        <f t="shared" si="104"/>
        <v>0</v>
      </c>
      <c r="CU126" s="156">
        <v>0</v>
      </c>
      <c r="CV126" s="795">
        <f>LOOKUP(CU126,参数表!$A$13:$B$19)</f>
        <v>0</v>
      </c>
      <c r="CW126" s="156">
        <f t="shared" si="105"/>
        <v>0</v>
      </c>
      <c r="CX126" s="156">
        <f t="shared" si="106"/>
        <v>0</v>
      </c>
      <c r="CY126" s="156">
        <f t="shared" si="119"/>
        <v>125.582477754962</v>
      </c>
      <c r="CZ126" s="223">
        <v>6</v>
      </c>
      <c r="DA126" s="746">
        <f t="shared" si="107"/>
        <v>-19.93</v>
      </c>
      <c r="DB126" s="746">
        <f t="shared" si="91"/>
        <v>-19.88</v>
      </c>
      <c r="DC126" s="746">
        <f t="shared" si="108"/>
        <v>-19.88</v>
      </c>
      <c r="DE126" s="134" t="str">
        <f>IF(COUNTIF(DE$7:DE125,C126)&gt;0,"",C126)&amp;""</f>
        <v/>
      </c>
      <c r="DF126" s="138">
        <f t="shared" si="120"/>
        <v>0</v>
      </c>
      <c r="DG126" s="132">
        <f t="shared" si="121"/>
        <v>1</v>
      </c>
      <c r="DH126" s="138">
        <f t="shared" si="122"/>
        <v>0</v>
      </c>
      <c r="DI126" s="132">
        <f t="shared" si="123"/>
        <v>1</v>
      </c>
      <c r="DJ126" s="133"/>
      <c r="DK126" s="133"/>
      <c r="DM126" s="796" t="s">
        <v>4097</v>
      </c>
      <c r="DN126" s="75">
        <v>13982.3</v>
      </c>
    </row>
    <row r="127" ht="15" customHeight="1" spans="1:118">
      <c r="A127" s="785" t="str">
        <f>IF(C127="","",COUNT(A$7:A126)+1)</f>
        <v/>
      </c>
      <c r="B127" s="141"/>
      <c r="C127" s="139"/>
      <c r="D127" s="141"/>
      <c r="E127" s="535"/>
      <c r="F127" s="535"/>
      <c r="G127" s="141"/>
      <c r="H127" s="536"/>
      <c r="I127" s="139"/>
      <c r="J127" s="141"/>
      <c r="K127" s="141"/>
      <c r="L127" s="140"/>
      <c r="M127" s="140"/>
      <c r="N127" s="142"/>
      <c r="O127" s="127"/>
      <c r="P127" s="128"/>
      <c r="Q127" s="128"/>
      <c r="R127" s="129"/>
      <c r="S127" s="143"/>
      <c r="T127" s="143"/>
      <c r="U127" s="143"/>
      <c r="V127" s="144"/>
      <c r="W127" s="144"/>
      <c r="X127" s="144"/>
      <c r="Y127" s="129" t="str">
        <f t="shared" si="111"/>
        <v/>
      </c>
      <c r="Z127" s="129" t="str">
        <f t="shared" si="112"/>
        <v/>
      </c>
      <c r="AA127" s="129" t="str">
        <f t="shared" si="113"/>
        <v/>
      </c>
      <c r="AB127" s="129" t="str">
        <f t="shared" si="114"/>
        <v/>
      </c>
      <c r="AC127" s="521" t="str">
        <f t="shared" si="115"/>
        <v/>
      </c>
      <c r="AD127" s="129" t="str">
        <f t="shared" si="129"/>
        <v/>
      </c>
      <c r="AE127" s="129"/>
      <c r="AF127" s="129">
        <v>0</v>
      </c>
      <c r="AG127" s="129" t="str">
        <f t="shared" si="124"/>
        <v/>
      </c>
      <c r="AH127" s="145"/>
      <c r="BC127" s="78"/>
      <c r="BD127" s="132" t="s">
        <v>4204</v>
      </c>
      <c r="BE127" s="133"/>
      <c r="BF127" s="132" t="str">
        <f>IF(OR(C127="",BE127=""),"",COUNTIF(BE$8:BE127,"√"))</f>
        <v/>
      </c>
      <c r="BG127" s="134" t="str">
        <f t="shared" si="116"/>
        <v/>
      </c>
      <c r="BH127" s="135" t="str">
        <f t="shared" si="20"/>
        <v/>
      </c>
      <c r="BI127" s="135" t="str">
        <f t="shared" si="20"/>
        <v/>
      </c>
      <c r="BJ127" s="136"/>
      <c r="BK127" s="137"/>
      <c r="BL127" s="136"/>
      <c r="BM127" s="136"/>
      <c r="BN127" s="136"/>
      <c r="BO127" s="136"/>
      <c r="BP127" s="137"/>
      <c r="BQ127" s="136"/>
      <c r="BR127" s="137"/>
      <c r="BT127" s="787">
        <f t="shared" si="117"/>
        <v>0</v>
      </c>
      <c r="BU127" s="788">
        <f t="shared" si="92"/>
        <v>0</v>
      </c>
      <c r="BV127" s="787">
        <f t="shared" si="93"/>
        <v>0</v>
      </c>
      <c r="BW127" s="787">
        <f t="shared" si="109"/>
        <v>0</v>
      </c>
      <c r="BX127" s="789">
        <f>IFERROR(LOOKUP(M127,基础数据!A:D),1)</f>
        <v>1</v>
      </c>
      <c r="BY127" s="790">
        <f t="shared" si="94"/>
        <v>3.55771976932645</v>
      </c>
      <c r="BZ127" s="787">
        <f t="shared" si="110"/>
        <v>0</v>
      </c>
      <c r="CA127" s="799" t="s">
        <v>4205</v>
      </c>
      <c r="CB127" s="792">
        <f t="shared" si="26"/>
        <v>0.13</v>
      </c>
      <c r="CC127" s="165" t="s">
        <v>2706</v>
      </c>
      <c r="CD127" s="793">
        <v>0</v>
      </c>
      <c r="CE127" s="156">
        <f t="shared" si="118"/>
        <v>0</v>
      </c>
      <c r="CF127" s="156">
        <f t="shared" si="95"/>
        <v>0</v>
      </c>
      <c r="CG127" s="776"/>
      <c r="CH127" s="156">
        <f t="shared" si="96"/>
        <v>0</v>
      </c>
      <c r="CI127" s="156">
        <f t="shared" si="97"/>
        <v>0</v>
      </c>
      <c r="CJ127" s="776"/>
      <c r="CK127" s="156">
        <f t="shared" si="98"/>
        <v>0</v>
      </c>
      <c r="CL127" s="156">
        <f t="shared" si="99"/>
        <v>0</v>
      </c>
      <c r="CM127" s="776"/>
      <c r="CN127" s="156">
        <f t="shared" si="100"/>
        <v>0</v>
      </c>
      <c r="CO127" s="156">
        <f t="shared" si="101"/>
        <v>0</v>
      </c>
      <c r="CP127" s="776"/>
      <c r="CQ127" s="776"/>
      <c r="CR127" s="794">
        <f t="shared" si="102"/>
        <v>0</v>
      </c>
      <c r="CS127" s="156">
        <f t="shared" si="103"/>
        <v>0</v>
      </c>
      <c r="CT127" s="156">
        <f t="shared" si="104"/>
        <v>0</v>
      </c>
      <c r="CU127" s="156">
        <v>0</v>
      </c>
      <c r="CV127" s="795">
        <f>LOOKUP(CU127,参数表!$A$13:$B$19)</f>
        <v>0</v>
      </c>
      <c r="CW127" s="156">
        <f t="shared" si="105"/>
        <v>0</v>
      </c>
      <c r="CX127" s="156">
        <f t="shared" si="106"/>
        <v>0</v>
      </c>
      <c r="CY127" s="156">
        <f t="shared" si="119"/>
        <v>125.582477754962</v>
      </c>
      <c r="CZ127" s="223">
        <v>7</v>
      </c>
      <c r="DA127" s="746">
        <f t="shared" si="107"/>
        <v>-16.94</v>
      </c>
      <c r="DB127" s="746">
        <f t="shared" si="91"/>
        <v>-16.89</v>
      </c>
      <c r="DC127" s="746">
        <f t="shared" si="108"/>
        <v>-16.89</v>
      </c>
      <c r="DE127" s="134" t="str">
        <f>IF(COUNTIF(DE$7:DE126,C127)&gt;0,"",C127)&amp;""</f>
        <v/>
      </c>
      <c r="DF127" s="138">
        <f t="shared" si="120"/>
        <v>0</v>
      </c>
      <c r="DG127" s="132">
        <f t="shared" si="121"/>
        <v>1</v>
      </c>
      <c r="DH127" s="138">
        <f t="shared" si="122"/>
        <v>0</v>
      </c>
      <c r="DI127" s="132">
        <f t="shared" si="123"/>
        <v>1</v>
      </c>
      <c r="DJ127" s="133"/>
      <c r="DK127" s="133"/>
      <c r="DM127" s="796" t="s">
        <v>4078</v>
      </c>
      <c r="DN127" s="75">
        <v>1460.17</v>
      </c>
    </row>
    <row r="128" ht="15" customHeight="1" spans="1:118">
      <c r="A128" s="785" t="str">
        <f>IF(C128="","",COUNT(A$7:A127)+1)</f>
        <v/>
      </c>
      <c r="B128" s="141"/>
      <c r="C128" s="139"/>
      <c r="D128" s="141"/>
      <c r="E128" s="535"/>
      <c r="F128" s="535"/>
      <c r="G128" s="141"/>
      <c r="H128" s="536"/>
      <c r="I128" s="139"/>
      <c r="J128" s="141"/>
      <c r="K128" s="141"/>
      <c r="L128" s="140"/>
      <c r="M128" s="140"/>
      <c r="N128" s="142"/>
      <c r="O128" s="127"/>
      <c r="P128" s="128"/>
      <c r="Q128" s="128"/>
      <c r="R128" s="129"/>
      <c r="S128" s="143"/>
      <c r="T128" s="143"/>
      <c r="U128" s="143"/>
      <c r="V128" s="144"/>
      <c r="W128" s="144"/>
      <c r="X128" s="144"/>
      <c r="Y128" s="129" t="str">
        <f t="shared" si="111"/>
        <v/>
      </c>
      <c r="Z128" s="129" t="str">
        <f t="shared" si="112"/>
        <v/>
      </c>
      <c r="AA128" s="129" t="str">
        <f t="shared" si="113"/>
        <v/>
      </c>
      <c r="AB128" s="129" t="str">
        <f t="shared" si="114"/>
        <v/>
      </c>
      <c r="AC128" s="521" t="str">
        <f t="shared" si="115"/>
        <v/>
      </c>
      <c r="AD128" s="129" t="str">
        <f t="shared" si="129"/>
        <v/>
      </c>
      <c r="AE128" s="129"/>
      <c r="AF128" s="129">
        <v>0</v>
      </c>
      <c r="AG128" s="129" t="str">
        <f t="shared" si="124"/>
        <v/>
      </c>
      <c r="AH128" s="145"/>
      <c r="BC128" s="78"/>
      <c r="BD128" s="132" t="s">
        <v>4206</v>
      </c>
      <c r="BE128" s="133"/>
      <c r="BF128" s="132" t="str">
        <f>IF(OR(C128="",BE128=""),"",COUNTIF(BE$8:BE128,"√"))</f>
        <v/>
      </c>
      <c r="BG128" s="134" t="str">
        <f t="shared" si="116"/>
        <v/>
      </c>
      <c r="BH128" s="135" t="str">
        <f t="shared" si="20"/>
        <v/>
      </c>
      <c r="BI128" s="135" t="str">
        <f t="shared" si="20"/>
        <v/>
      </c>
      <c r="BJ128" s="136"/>
      <c r="BK128" s="137"/>
      <c r="BL128" s="136"/>
      <c r="BM128" s="136"/>
      <c r="BN128" s="136"/>
      <c r="BO128" s="136"/>
      <c r="BP128" s="137"/>
      <c r="BQ128" s="136"/>
      <c r="BR128" s="137"/>
      <c r="BT128" s="787">
        <f t="shared" si="117"/>
        <v>0</v>
      </c>
      <c r="BU128" s="788">
        <f t="shared" si="92"/>
        <v>0</v>
      </c>
      <c r="BV128" s="787">
        <f t="shared" si="93"/>
        <v>0</v>
      </c>
      <c r="BW128" s="787">
        <f t="shared" si="109"/>
        <v>0</v>
      </c>
      <c r="BX128" s="789">
        <f>IFERROR(LOOKUP(M128,基础数据!A:D),1)</f>
        <v>1</v>
      </c>
      <c r="BY128" s="790">
        <f t="shared" si="94"/>
        <v>3.55771976932645</v>
      </c>
      <c r="BZ128" s="787">
        <f t="shared" si="110"/>
        <v>0</v>
      </c>
      <c r="CA128" s="799" t="s">
        <v>4205</v>
      </c>
      <c r="CB128" s="792">
        <f t="shared" si="26"/>
        <v>0.13</v>
      </c>
      <c r="CC128" s="165" t="s">
        <v>2706</v>
      </c>
      <c r="CD128" s="793">
        <f>ROUND(BZ128*(1+CB128),-1)</f>
        <v>0</v>
      </c>
      <c r="CE128" s="156">
        <f t="shared" si="118"/>
        <v>0</v>
      </c>
      <c r="CF128" s="156">
        <f t="shared" si="95"/>
        <v>0</v>
      </c>
      <c r="CG128" s="776"/>
      <c r="CH128" s="156">
        <f t="shared" si="96"/>
        <v>0</v>
      </c>
      <c r="CI128" s="156">
        <f t="shared" si="97"/>
        <v>0</v>
      </c>
      <c r="CJ128" s="776"/>
      <c r="CK128" s="156">
        <f t="shared" si="98"/>
        <v>0</v>
      </c>
      <c r="CL128" s="156">
        <f t="shared" si="99"/>
        <v>0</v>
      </c>
      <c r="CM128" s="776"/>
      <c r="CN128" s="156">
        <f t="shared" si="100"/>
        <v>0</v>
      </c>
      <c r="CO128" s="156">
        <f t="shared" si="101"/>
        <v>0</v>
      </c>
      <c r="CP128" s="776"/>
      <c r="CQ128" s="776"/>
      <c r="CR128" s="794">
        <f t="shared" si="102"/>
        <v>0</v>
      </c>
      <c r="CS128" s="156">
        <f t="shared" si="103"/>
        <v>0</v>
      </c>
      <c r="CT128" s="156">
        <f t="shared" si="104"/>
        <v>0</v>
      </c>
      <c r="CU128" s="156">
        <v>0</v>
      </c>
      <c r="CV128" s="795">
        <f>LOOKUP(CU128,参数表!$A$13:$B$19)</f>
        <v>0</v>
      </c>
      <c r="CW128" s="156">
        <f t="shared" si="105"/>
        <v>0</v>
      </c>
      <c r="CX128" s="156">
        <f t="shared" si="106"/>
        <v>0</v>
      </c>
      <c r="CY128" s="156">
        <f t="shared" si="119"/>
        <v>125.582477754962</v>
      </c>
      <c r="CZ128" s="223">
        <v>7</v>
      </c>
      <c r="DA128" s="746">
        <f t="shared" si="107"/>
        <v>-16.94</v>
      </c>
      <c r="DB128" s="746">
        <f t="shared" si="91"/>
        <v>-16.89</v>
      </c>
      <c r="DC128" s="746">
        <f t="shared" si="108"/>
        <v>-16.89</v>
      </c>
      <c r="DE128" s="134" t="str">
        <f>IF(COUNTIF(DE$7:DE127,C128)&gt;0,"",C128)&amp;""</f>
        <v/>
      </c>
      <c r="DF128" s="138">
        <f t="shared" si="120"/>
        <v>0</v>
      </c>
      <c r="DG128" s="132">
        <f t="shared" si="121"/>
        <v>1</v>
      </c>
      <c r="DH128" s="138">
        <f t="shared" si="122"/>
        <v>0</v>
      </c>
      <c r="DI128" s="132">
        <f t="shared" si="123"/>
        <v>1</v>
      </c>
      <c r="DJ128" s="133"/>
      <c r="DK128" s="133"/>
      <c r="DM128" s="796" t="s">
        <v>4078</v>
      </c>
      <c r="DN128" s="75">
        <v>1460.17</v>
      </c>
    </row>
    <row r="129" ht="15" customHeight="1" spans="1:118">
      <c r="A129" s="785" t="str">
        <f>IF(C129="","",COUNT(A$7:A128)+1)</f>
        <v/>
      </c>
      <c r="B129" s="141"/>
      <c r="C129" s="139"/>
      <c r="D129" s="141"/>
      <c r="E129" s="535"/>
      <c r="F129" s="535"/>
      <c r="G129" s="141"/>
      <c r="H129" s="536"/>
      <c r="I129" s="139"/>
      <c r="J129" s="141"/>
      <c r="K129" s="141"/>
      <c r="L129" s="140"/>
      <c r="M129" s="140"/>
      <c r="N129" s="142"/>
      <c r="O129" s="127"/>
      <c r="P129" s="128"/>
      <c r="Q129" s="128"/>
      <c r="R129" s="129"/>
      <c r="S129" s="143"/>
      <c r="T129" s="143"/>
      <c r="U129" s="143"/>
      <c r="V129" s="144"/>
      <c r="W129" s="144"/>
      <c r="X129" s="144"/>
      <c r="Y129" s="129" t="str">
        <f t="shared" si="111"/>
        <v/>
      </c>
      <c r="Z129" s="129" t="str">
        <f t="shared" si="112"/>
        <v/>
      </c>
      <c r="AA129" s="129" t="str">
        <f t="shared" si="113"/>
        <v/>
      </c>
      <c r="AB129" s="129" t="str">
        <f t="shared" si="114"/>
        <v/>
      </c>
      <c r="AC129" s="521" t="str">
        <f t="shared" si="115"/>
        <v/>
      </c>
      <c r="AD129" s="129" t="str">
        <f t="shared" si="129"/>
        <v/>
      </c>
      <c r="AE129" s="129"/>
      <c r="AF129" s="129">
        <v>0</v>
      </c>
      <c r="AG129" s="129" t="str">
        <f t="shared" si="124"/>
        <v/>
      </c>
      <c r="AH129" s="145"/>
      <c r="BC129" s="78"/>
      <c r="BD129" s="132" t="s">
        <v>4207</v>
      </c>
      <c r="BE129" s="133"/>
      <c r="BF129" s="132" t="str">
        <f>IF(OR(C129="",BE129=""),"",COUNTIF(BE$8:BE129,"√"))</f>
        <v/>
      </c>
      <c r="BG129" s="134" t="str">
        <f t="shared" si="116"/>
        <v/>
      </c>
      <c r="BH129" s="135" t="str">
        <f t="shared" si="20"/>
        <v/>
      </c>
      <c r="BI129" s="135" t="str">
        <f t="shared" si="20"/>
        <v/>
      </c>
      <c r="BJ129" s="136"/>
      <c r="BK129" s="137"/>
      <c r="BL129" s="136"/>
      <c r="BM129" s="136"/>
      <c r="BN129" s="136"/>
      <c r="BO129" s="136"/>
      <c r="BP129" s="137"/>
      <c r="BQ129" s="136"/>
      <c r="BR129" s="137"/>
      <c r="BT129" s="787">
        <f t="shared" si="117"/>
        <v>0</v>
      </c>
      <c r="BU129" s="788">
        <f t="shared" si="92"/>
        <v>0</v>
      </c>
      <c r="BV129" s="787">
        <f t="shared" si="93"/>
        <v>0</v>
      </c>
      <c r="BW129" s="787">
        <f t="shared" si="109"/>
        <v>0</v>
      </c>
      <c r="BX129" s="789">
        <f>IFERROR(LOOKUP(M129,基础数据!A:D),1)</f>
        <v>1</v>
      </c>
      <c r="BY129" s="790">
        <f t="shared" si="94"/>
        <v>3.55771976932645</v>
      </c>
      <c r="BZ129" s="787">
        <f t="shared" si="110"/>
        <v>0</v>
      </c>
      <c r="CA129" s="797"/>
      <c r="CB129" s="792">
        <f t="shared" si="26"/>
        <v>0.13</v>
      </c>
      <c r="CC129" s="165" t="s">
        <v>2706</v>
      </c>
      <c r="CD129" s="793">
        <f t="shared" ref="CD129:CD134" si="130">ROUND(BZ129*(1+CB129),-1)</f>
        <v>0</v>
      </c>
      <c r="CE129" s="156">
        <f t="shared" si="118"/>
        <v>0</v>
      </c>
      <c r="CF129" s="156">
        <f t="shared" si="95"/>
        <v>0</v>
      </c>
      <c r="CG129" s="776"/>
      <c r="CH129" s="156">
        <f t="shared" si="96"/>
        <v>0</v>
      </c>
      <c r="CI129" s="156">
        <f t="shared" si="97"/>
        <v>0</v>
      </c>
      <c r="CJ129" s="776"/>
      <c r="CK129" s="156">
        <f t="shared" si="98"/>
        <v>0</v>
      </c>
      <c r="CL129" s="156">
        <f t="shared" si="99"/>
        <v>0</v>
      </c>
      <c r="CM129" s="776"/>
      <c r="CN129" s="156">
        <f t="shared" si="100"/>
        <v>0</v>
      </c>
      <c r="CO129" s="156">
        <f t="shared" si="101"/>
        <v>0</v>
      </c>
      <c r="CP129" s="776"/>
      <c r="CQ129" s="776"/>
      <c r="CR129" s="794">
        <f t="shared" si="102"/>
        <v>0</v>
      </c>
      <c r="CS129" s="156">
        <f t="shared" si="103"/>
        <v>0</v>
      </c>
      <c r="CT129" s="156">
        <f t="shared" si="104"/>
        <v>0</v>
      </c>
      <c r="CU129" s="156">
        <v>0</v>
      </c>
      <c r="CV129" s="795">
        <f>LOOKUP(CU129,参数表!$A$13:$B$19)</f>
        <v>0</v>
      </c>
      <c r="CW129" s="156">
        <f t="shared" si="105"/>
        <v>0</v>
      </c>
      <c r="CX129" s="156">
        <f t="shared" si="106"/>
        <v>0</v>
      </c>
      <c r="CY129" s="156">
        <f t="shared" si="119"/>
        <v>125.582477754962</v>
      </c>
      <c r="CZ129" s="223">
        <v>10</v>
      </c>
      <c r="DA129" s="746">
        <f t="shared" si="107"/>
        <v>-11.56</v>
      </c>
      <c r="DB129" s="746">
        <f t="shared" si="91"/>
        <v>-11.51</v>
      </c>
      <c r="DC129" s="746">
        <f t="shared" si="108"/>
        <v>-11.51</v>
      </c>
      <c r="DE129" s="134" t="str">
        <f>IF(COUNTIF(DE$7:DE128,C129)&gt;0,"",C129)&amp;""</f>
        <v/>
      </c>
      <c r="DF129" s="138">
        <f t="shared" si="120"/>
        <v>0</v>
      </c>
      <c r="DG129" s="132">
        <f t="shared" si="121"/>
        <v>1</v>
      </c>
      <c r="DH129" s="138">
        <f t="shared" si="122"/>
        <v>0</v>
      </c>
      <c r="DI129" s="132">
        <f t="shared" si="123"/>
        <v>1</v>
      </c>
      <c r="DJ129" s="133"/>
      <c r="DK129" s="133"/>
      <c r="DM129" s="796" t="s">
        <v>4123</v>
      </c>
      <c r="DN129" s="75">
        <v>6053.09</v>
      </c>
    </row>
    <row r="130" ht="15.6" spans="1:118">
      <c r="A130" s="785" t="str">
        <f>IF(C130="","",COUNT(A$7:A129)+1)</f>
        <v/>
      </c>
      <c r="B130" s="141"/>
      <c r="C130" s="139"/>
      <c r="D130" s="141"/>
      <c r="E130" s="535"/>
      <c r="F130" s="535"/>
      <c r="G130" s="141"/>
      <c r="H130" s="536"/>
      <c r="I130" s="139"/>
      <c r="J130" s="141"/>
      <c r="K130" s="141"/>
      <c r="L130" s="140"/>
      <c r="M130" s="140"/>
      <c r="N130" s="142"/>
      <c r="O130" s="127"/>
      <c r="P130" s="128"/>
      <c r="Q130" s="128"/>
      <c r="R130" s="129"/>
      <c r="S130" s="143"/>
      <c r="T130" s="143"/>
      <c r="U130" s="143"/>
      <c r="V130" s="144"/>
      <c r="W130" s="144"/>
      <c r="X130" s="144"/>
      <c r="Y130" s="129" t="str">
        <f t="shared" si="111"/>
        <v/>
      </c>
      <c r="Z130" s="129" t="str">
        <f t="shared" si="112"/>
        <v/>
      </c>
      <c r="AA130" s="129" t="str">
        <f t="shared" si="113"/>
        <v/>
      </c>
      <c r="AB130" s="129" t="str">
        <f t="shared" si="114"/>
        <v/>
      </c>
      <c r="AC130" s="521" t="str">
        <f t="shared" si="115"/>
        <v/>
      </c>
      <c r="AD130" s="129" t="str">
        <f t="shared" si="129"/>
        <v/>
      </c>
      <c r="AE130" s="129"/>
      <c r="AF130" s="129">
        <v>0</v>
      </c>
      <c r="AG130" s="129" t="str">
        <f t="shared" si="124"/>
        <v/>
      </c>
      <c r="AH130" s="145"/>
      <c r="BC130" s="78"/>
      <c r="BD130" s="132" t="s">
        <v>4208</v>
      </c>
      <c r="BE130" s="133"/>
      <c r="BF130" s="132" t="str">
        <f>IF(OR(C130="",BE130=""),"",COUNTIF(BE$8:BE130,"√"))</f>
        <v/>
      </c>
      <c r="BG130" s="134" t="str">
        <f t="shared" si="116"/>
        <v/>
      </c>
      <c r="BH130" s="135" t="str">
        <f t="shared" si="20"/>
        <v/>
      </c>
      <c r="BI130" s="135" t="str">
        <f t="shared" si="20"/>
        <v/>
      </c>
      <c r="BJ130" s="136"/>
      <c r="BK130" s="137"/>
      <c r="BL130" s="136"/>
      <c r="BM130" s="136"/>
      <c r="BN130" s="136"/>
      <c r="BO130" s="136"/>
      <c r="BP130" s="137"/>
      <c r="BQ130" s="136"/>
      <c r="BR130" s="137"/>
      <c r="BT130" s="787">
        <f t="shared" si="117"/>
        <v>0</v>
      </c>
      <c r="BU130" s="788">
        <f t="shared" si="92"/>
        <v>0</v>
      </c>
      <c r="BV130" s="787">
        <f t="shared" si="93"/>
        <v>0</v>
      </c>
      <c r="BW130" s="787">
        <f t="shared" si="109"/>
        <v>0</v>
      </c>
      <c r="BX130" s="789">
        <f>IFERROR(LOOKUP(M130,基础数据!A:D),1)</f>
        <v>1</v>
      </c>
      <c r="BY130" s="790">
        <f t="shared" si="94"/>
        <v>3.55771976932645</v>
      </c>
      <c r="BZ130" s="787">
        <f t="shared" si="110"/>
        <v>0</v>
      </c>
      <c r="CA130" s="797"/>
      <c r="CB130" s="792">
        <f t="shared" si="26"/>
        <v>0.13</v>
      </c>
      <c r="CC130" s="165" t="s">
        <v>2706</v>
      </c>
      <c r="CD130" s="793">
        <f t="shared" si="130"/>
        <v>0</v>
      </c>
      <c r="CE130" s="156">
        <f t="shared" si="118"/>
        <v>0</v>
      </c>
      <c r="CF130" s="156">
        <f t="shared" si="95"/>
        <v>0</v>
      </c>
      <c r="CG130" s="776"/>
      <c r="CH130" s="156">
        <f t="shared" si="96"/>
        <v>0</v>
      </c>
      <c r="CI130" s="156">
        <f t="shared" si="97"/>
        <v>0</v>
      </c>
      <c r="CJ130" s="776"/>
      <c r="CK130" s="156">
        <f t="shared" si="98"/>
        <v>0</v>
      </c>
      <c r="CL130" s="156">
        <f t="shared" si="99"/>
        <v>0</v>
      </c>
      <c r="CM130" s="776"/>
      <c r="CN130" s="156">
        <f t="shared" si="100"/>
        <v>0</v>
      </c>
      <c r="CO130" s="156">
        <f t="shared" si="101"/>
        <v>0</v>
      </c>
      <c r="CP130" s="776"/>
      <c r="CQ130" s="776"/>
      <c r="CR130" s="794">
        <f t="shared" si="102"/>
        <v>0</v>
      </c>
      <c r="CS130" s="156">
        <f t="shared" si="103"/>
        <v>0</v>
      </c>
      <c r="CT130" s="156">
        <f t="shared" si="104"/>
        <v>0</v>
      </c>
      <c r="CU130" s="156">
        <v>0</v>
      </c>
      <c r="CV130" s="795">
        <f>LOOKUP(CU130,参数表!$A$13:$B$19)</f>
        <v>0</v>
      </c>
      <c r="CW130" s="156">
        <f t="shared" si="105"/>
        <v>0</v>
      </c>
      <c r="CX130" s="156">
        <f t="shared" si="106"/>
        <v>0</v>
      </c>
      <c r="CY130" s="156">
        <f t="shared" si="119"/>
        <v>125.582477754962</v>
      </c>
      <c r="CZ130" s="223">
        <v>10</v>
      </c>
      <c r="DA130" s="746">
        <f t="shared" si="107"/>
        <v>-11.56</v>
      </c>
      <c r="DB130" s="746">
        <f t="shared" si="91"/>
        <v>-11.51</v>
      </c>
      <c r="DC130" s="746">
        <f t="shared" si="108"/>
        <v>-11.51</v>
      </c>
      <c r="DE130" s="134" t="str">
        <f>IF(COUNTIF(DE$7:DE129,C130)&gt;0,"",C130)&amp;""</f>
        <v/>
      </c>
      <c r="DF130" s="138">
        <f t="shared" si="120"/>
        <v>0</v>
      </c>
      <c r="DG130" s="132">
        <f t="shared" si="121"/>
        <v>1</v>
      </c>
      <c r="DH130" s="138">
        <f t="shared" si="122"/>
        <v>0</v>
      </c>
      <c r="DI130" s="132">
        <f t="shared" si="123"/>
        <v>1</v>
      </c>
      <c r="DJ130" s="133"/>
      <c r="DK130" s="133"/>
      <c r="DM130" s="796" t="s">
        <v>4123</v>
      </c>
      <c r="DN130" s="75">
        <v>6725.66</v>
      </c>
    </row>
    <row r="131" ht="15" customHeight="1" spans="1:118">
      <c r="A131" s="785" t="str">
        <f>IF(C131="","",COUNT(A$7:A130)+1)</f>
        <v/>
      </c>
      <c r="B131" s="141"/>
      <c r="C131" s="139"/>
      <c r="D131" s="141"/>
      <c r="E131" s="535"/>
      <c r="F131" s="535"/>
      <c r="G131" s="141"/>
      <c r="H131" s="536"/>
      <c r="I131" s="139"/>
      <c r="J131" s="141"/>
      <c r="K131" s="141"/>
      <c r="L131" s="140"/>
      <c r="M131" s="140"/>
      <c r="N131" s="142"/>
      <c r="O131" s="127"/>
      <c r="P131" s="128"/>
      <c r="Q131" s="128"/>
      <c r="R131" s="129"/>
      <c r="S131" s="143"/>
      <c r="T131" s="143"/>
      <c r="U131" s="143"/>
      <c r="V131" s="144"/>
      <c r="W131" s="144"/>
      <c r="X131" s="144"/>
      <c r="Y131" s="129" t="str">
        <f t="shared" si="111"/>
        <v/>
      </c>
      <c r="Z131" s="129" t="str">
        <f t="shared" si="112"/>
        <v/>
      </c>
      <c r="AA131" s="129" t="str">
        <f t="shared" si="113"/>
        <v/>
      </c>
      <c r="AB131" s="129" t="str">
        <f t="shared" si="114"/>
        <v/>
      </c>
      <c r="AC131" s="521" t="str">
        <f t="shared" si="115"/>
        <v/>
      </c>
      <c r="AD131" s="129" t="str">
        <f t="shared" si="129"/>
        <v/>
      </c>
      <c r="AE131" s="129"/>
      <c r="AF131" s="129">
        <v>0</v>
      </c>
      <c r="AG131" s="129" t="str">
        <f t="shared" si="124"/>
        <v/>
      </c>
      <c r="AH131" s="145"/>
      <c r="BC131" s="78"/>
      <c r="BD131" s="132" t="s">
        <v>4209</v>
      </c>
      <c r="BE131" s="133"/>
      <c r="BF131" s="132" t="str">
        <f>IF(OR(C131="",BE131=""),"",COUNTIF(BE$8:BE131,"√"))</f>
        <v/>
      </c>
      <c r="BG131" s="134" t="str">
        <f t="shared" si="116"/>
        <v/>
      </c>
      <c r="BH131" s="135" t="str">
        <f t="shared" si="20"/>
        <v/>
      </c>
      <c r="BI131" s="135" t="str">
        <f t="shared" si="20"/>
        <v/>
      </c>
      <c r="BJ131" s="136"/>
      <c r="BK131" s="137"/>
      <c r="BL131" s="136"/>
      <c r="BM131" s="136"/>
      <c r="BN131" s="136"/>
      <c r="BO131" s="136"/>
      <c r="BP131" s="137"/>
      <c r="BQ131" s="136"/>
      <c r="BR131" s="137"/>
      <c r="BT131" s="787">
        <f t="shared" si="117"/>
        <v>0</v>
      </c>
      <c r="BU131" s="788">
        <f t="shared" si="92"/>
        <v>0</v>
      </c>
      <c r="BV131" s="787">
        <f t="shared" si="93"/>
        <v>0</v>
      </c>
      <c r="BW131" s="787">
        <f t="shared" si="109"/>
        <v>0</v>
      </c>
      <c r="BX131" s="789">
        <f>IFERROR(LOOKUP(M131,基础数据!A:D),1)</f>
        <v>1</v>
      </c>
      <c r="BY131" s="790">
        <f t="shared" si="94"/>
        <v>3.55771976932645</v>
      </c>
      <c r="BZ131" s="787">
        <f t="shared" si="110"/>
        <v>0</v>
      </c>
      <c r="CA131" s="797"/>
      <c r="CB131" s="792">
        <f t="shared" si="26"/>
        <v>0.13</v>
      </c>
      <c r="CC131" s="165" t="s">
        <v>2706</v>
      </c>
      <c r="CD131" s="793">
        <f t="shared" si="130"/>
        <v>0</v>
      </c>
      <c r="CE131" s="156">
        <f t="shared" si="118"/>
        <v>0</v>
      </c>
      <c r="CF131" s="156">
        <f t="shared" si="95"/>
        <v>0</v>
      </c>
      <c r="CG131" s="776"/>
      <c r="CH131" s="156">
        <f t="shared" si="96"/>
        <v>0</v>
      </c>
      <c r="CI131" s="156">
        <f t="shared" si="97"/>
        <v>0</v>
      </c>
      <c r="CJ131" s="776"/>
      <c r="CK131" s="156">
        <f t="shared" si="98"/>
        <v>0</v>
      </c>
      <c r="CL131" s="156">
        <f t="shared" si="99"/>
        <v>0</v>
      </c>
      <c r="CM131" s="776"/>
      <c r="CN131" s="156">
        <f t="shared" si="100"/>
        <v>0</v>
      </c>
      <c r="CO131" s="156">
        <f t="shared" si="101"/>
        <v>0</v>
      </c>
      <c r="CP131" s="776"/>
      <c r="CQ131" s="776"/>
      <c r="CR131" s="794">
        <f t="shared" si="102"/>
        <v>0</v>
      </c>
      <c r="CS131" s="156">
        <f t="shared" si="103"/>
        <v>0</v>
      </c>
      <c r="CT131" s="156">
        <f t="shared" si="104"/>
        <v>0</v>
      </c>
      <c r="CU131" s="156">
        <v>0</v>
      </c>
      <c r="CV131" s="795">
        <f>LOOKUP(CU131,参数表!$A$13:$B$19)</f>
        <v>0</v>
      </c>
      <c r="CW131" s="156">
        <f t="shared" si="105"/>
        <v>0</v>
      </c>
      <c r="CX131" s="156">
        <f t="shared" si="106"/>
        <v>0</v>
      </c>
      <c r="CY131" s="156">
        <f t="shared" si="119"/>
        <v>125.582477754962</v>
      </c>
      <c r="CZ131" s="223">
        <v>10</v>
      </c>
      <c r="DA131" s="746">
        <f t="shared" si="107"/>
        <v>-11.56</v>
      </c>
      <c r="DB131" s="746">
        <f t="shared" si="91"/>
        <v>-11.51</v>
      </c>
      <c r="DC131" s="746">
        <f t="shared" si="108"/>
        <v>-11.51</v>
      </c>
      <c r="DE131" s="134" t="str">
        <f>IF(COUNTIF(DE$7:DE130,C131)&gt;0,"",C131)&amp;""</f>
        <v/>
      </c>
      <c r="DF131" s="138">
        <f t="shared" si="120"/>
        <v>0</v>
      </c>
      <c r="DG131" s="132">
        <f t="shared" si="121"/>
        <v>1</v>
      </c>
      <c r="DH131" s="138">
        <f t="shared" si="122"/>
        <v>0</v>
      </c>
      <c r="DI131" s="132">
        <f t="shared" si="123"/>
        <v>1</v>
      </c>
      <c r="DJ131" s="133"/>
      <c r="DK131" s="133"/>
      <c r="DM131" s="796" t="s">
        <v>4123</v>
      </c>
      <c r="DN131" s="75">
        <v>6725.66</v>
      </c>
    </row>
    <row r="132" ht="15" customHeight="1" spans="1:118">
      <c r="A132" s="785" t="str">
        <f>IF(C132="","",COUNT(A$7:A131)+1)</f>
        <v/>
      </c>
      <c r="B132" s="141"/>
      <c r="C132" s="139"/>
      <c r="D132" s="141"/>
      <c r="E132" s="535"/>
      <c r="F132" s="535"/>
      <c r="G132" s="141"/>
      <c r="H132" s="536"/>
      <c r="I132" s="139"/>
      <c r="J132" s="141"/>
      <c r="K132" s="141"/>
      <c r="L132" s="140"/>
      <c r="M132" s="140"/>
      <c r="N132" s="142"/>
      <c r="O132" s="127"/>
      <c r="P132" s="128"/>
      <c r="Q132" s="128"/>
      <c r="R132" s="129"/>
      <c r="S132" s="143"/>
      <c r="T132" s="143"/>
      <c r="U132" s="143"/>
      <c r="V132" s="144"/>
      <c r="W132" s="144"/>
      <c r="X132" s="144"/>
      <c r="Y132" s="129" t="str">
        <f t="shared" si="111"/>
        <v/>
      </c>
      <c r="Z132" s="129" t="str">
        <f t="shared" si="112"/>
        <v/>
      </c>
      <c r="AA132" s="129" t="str">
        <f t="shared" si="113"/>
        <v/>
      </c>
      <c r="AB132" s="129" t="str">
        <f t="shared" si="114"/>
        <v/>
      </c>
      <c r="AC132" s="521" t="str">
        <f t="shared" si="115"/>
        <v/>
      </c>
      <c r="AD132" s="129" t="str">
        <f t="shared" si="129"/>
        <v/>
      </c>
      <c r="AE132" s="129"/>
      <c r="AF132" s="129">
        <v>0</v>
      </c>
      <c r="AG132" s="129" t="str">
        <f t="shared" si="124"/>
        <v/>
      </c>
      <c r="AH132" s="145"/>
      <c r="BC132" s="78"/>
      <c r="BD132" s="132" t="s">
        <v>4210</v>
      </c>
      <c r="BE132" s="133"/>
      <c r="BF132" s="132" t="str">
        <f>IF(OR(C132="",BE132=""),"",COUNTIF(BE$8:BE132,"√"))</f>
        <v/>
      </c>
      <c r="BG132" s="134" t="str">
        <f t="shared" si="116"/>
        <v/>
      </c>
      <c r="BH132" s="135" t="str">
        <f t="shared" si="20"/>
        <v/>
      </c>
      <c r="BI132" s="135" t="str">
        <f t="shared" si="20"/>
        <v/>
      </c>
      <c r="BJ132" s="136"/>
      <c r="BK132" s="137"/>
      <c r="BL132" s="136"/>
      <c r="BM132" s="136"/>
      <c r="BN132" s="136"/>
      <c r="BO132" s="136"/>
      <c r="BP132" s="137"/>
      <c r="BQ132" s="136"/>
      <c r="BR132" s="137"/>
      <c r="BT132" s="787">
        <f t="shared" si="117"/>
        <v>0</v>
      </c>
      <c r="BU132" s="788">
        <f t="shared" si="92"/>
        <v>0</v>
      </c>
      <c r="BV132" s="787">
        <f t="shared" si="93"/>
        <v>0</v>
      </c>
      <c r="BW132" s="787">
        <f t="shared" si="109"/>
        <v>0</v>
      </c>
      <c r="BX132" s="789">
        <f>IFERROR(LOOKUP(M132,基础数据!A:D),1)</f>
        <v>1</v>
      </c>
      <c r="BY132" s="790">
        <f t="shared" si="94"/>
        <v>3.55771976932645</v>
      </c>
      <c r="BZ132" s="787">
        <f t="shared" si="110"/>
        <v>0</v>
      </c>
      <c r="CA132" s="797"/>
      <c r="CB132" s="792">
        <f t="shared" si="26"/>
        <v>0.13</v>
      </c>
      <c r="CC132" s="165" t="s">
        <v>2706</v>
      </c>
      <c r="CD132" s="793">
        <f t="shared" si="130"/>
        <v>0</v>
      </c>
      <c r="CE132" s="156">
        <f t="shared" si="118"/>
        <v>0</v>
      </c>
      <c r="CF132" s="156">
        <f t="shared" si="95"/>
        <v>0</v>
      </c>
      <c r="CG132" s="776"/>
      <c r="CH132" s="156">
        <f t="shared" si="96"/>
        <v>0</v>
      </c>
      <c r="CI132" s="156">
        <f t="shared" si="97"/>
        <v>0</v>
      </c>
      <c r="CJ132" s="776"/>
      <c r="CK132" s="156">
        <f t="shared" si="98"/>
        <v>0</v>
      </c>
      <c r="CL132" s="156">
        <f t="shared" si="99"/>
        <v>0</v>
      </c>
      <c r="CM132" s="776"/>
      <c r="CN132" s="156">
        <f t="shared" si="100"/>
        <v>0</v>
      </c>
      <c r="CO132" s="156">
        <f t="shared" si="101"/>
        <v>0</v>
      </c>
      <c r="CP132" s="776"/>
      <c r="CQ132" s="776"/>
      <c r="CR132" s="794">
        <f t="shared" si="102"/>
        <v>0</v>
      </c>
      <c r="CS132" s="156">
        <f t="shared" si="103"/>
        <v>0</v>
      </c>
      <c r="CT132" s="156">
        <f t="shared" si="104"/>
        <v>0</v>
      </c>
      <c r="CU132" s="156">
        <v>0</v>
      </c>
      <c r="CV132" s="795">
        <f>LOOKUP(CU132,参数表!$A$13:$B$19)</f>
        <v>0</v>
      </c>
      <c r="CW132" s="156">
        <f t="shared" si="105"/>
        <v>0</v>
      </c>
      <c r="CX132" s="156">
        <f t="shared" si="106"/>
        <v>0</v>
      </c>
      <c r="CY132" s="156">
        <f t="shared" si="119"/>
        <v>125.582477754962</v>
      </c>
      <c r="CZ132" s="223">
        <v>10</v>
      </c>
      <c r="DA132" s="746">
        <f t="shared" si="107"/>
        <v>-11.56</v>
      </c>
      <c r="DB132" s="746">
        <f t="shared" si="91"/>
        <v>-11.51</v>
      </c>
      <c r="DC132" s="746">
        <f t="shared" si="108"/>
        <v>-11.51</v>
      </c>
      <c r="DE132" s="134" t="str">
        <f>IF(COUNTIF(DE$7:DE131,C132)&gt;0,"",C132)&amp;""</f>
        <v/>
      </c>
      <c r="DF132" s="138">
        <f t="shared" si="120"/>
        <v>0</v>
      </c>
      <c r="DG132" s="132">
        <f t="shared" si="121"/>
        <v>1</v>
      </c>
      <c r="DH132" s="138">
        <f t="shared" si="122"/>
        <v>0</v>
      </c>
      <c r="DI132" s="132">
        <f t="shared" si="123"/>
        <v>1</v>
      </c>
      <c r="DJ132" s="133"/>
      <c r="DK132" s="133"/>
      <c r="DM132" s="796" t="s">
        <v>4123</v>
      </c>
      <c r="DN132" s="75">
        <v>4035.39</v>
      </c>
    </row>
    <row r="133" ht="15" customHeight="1" spans="1:118">
      <c r="A133" s="785" t="str">
        <f>IF(C133="","",COUNT(A$7:A132)+1)</f>
        <v/>
      </c>
      <c r="B133" s="141"/>
      <c r="C133" s="139"/>
      <c r="D133" s="141"/>
      <c r="E133" s="535"/>
      <c r="F133" s="535"/>
      <c r="G133" s="141"/>
      <c r="H133" s="536"/>
      <c r="I133" s="139"/>
      <c r="J133" s="141"/>
      <c r="K133" s="141"/>
      <c r="L133" s="140"/>
      <c r="M133" s="140"/>
      <c r="N133" s="142"/>
      <c r="O133" s="127"/>
      <c r="P133" s="128"/>
      <c r="Q133" s="128"/>
      <c r="R133" s="129"/>
      <c r="S133" s="143"/>
      <c r="T133" s="143"/>
      <c r="U133" s="143"/>
      <c r="V133" s="144"/>
      <c r="W133" s="144"/>
      <c r="X133" s="144"/>
      <c r="Y133" s="129" t="str">
        <f t="shared" si="111"/>
        <v/>
      </c>
      <c r="Z133" s="129" t="str">
        <f t="shared" si="112"/>
        <v/>
      </c>
      <c r="AA133" s="129" t="str">
        <f t="shared" si="113"/>
        <v/>
      </c>
      <c r="AB133" s="129" t="str">
        <f t="shared" si="114"/>
        <v/>
      </c>
      <c r="AC133" s="521" t="str">
        <f t="shared" si="115"/>
        <v/>
      </c>
      <c r="AD133" s="129" t="str">
        <f t="shared" si="129"/>
        <v/>
      </c>
      <c r="AE133" s="129"/>
      <c r="AF133" s="129">
        <v>0</v>
      </c>
      <c r="AG133" s="129" t="str">
        <f t="shared" si="124"/>
        <v/>
      </c>
      <c r="AH133" s="145"/>
      <c r="BC133" s="78"/>
      <c r="BD133" s="132" t="s">
        <v>4211</v>
      </c>
      <c r="BE133" s="133"/>
      <c r="BF133" s="132" t="str">
        <f>IF(OR(C133="",BE133=""),"",COUNTIF(BE$8:BE133,"√"))</f>
        <v/>
      </c>
      <c r="BG133" s="134" t="str">
        <f t="shared" si="116"/>
        <v/>
      </c>
      <c r="BH133" s="135" t="str">
        <f t="shared" si="20"/>
        <v/>
      </c>
      <c r="BI133" s="135" t="str">
        <f t="shared" ref="BI133" si="131">IF($B133="","",IF(BI$5=0,"OK","出错"))</f>
        <v/>
      </c>
      <c r="BJ133" s="136"/>
      <c r="BK133" s="137"/>
      <c r="BL133" s="136"/>
      <c r="BM133" s="136"/>
      <c r="BN133" s="136"/>
      <c r="BO133" s="136"/>
      <c r="BP133" s="137"/>
      <c r="BQ133" s="136"/>
      <c r="BR133" s="137"/>
      <c r="BT133" s="787">
        <f t="shared" si="117"/>
        <v>0</v>
      </c>
      <c r="BU133" s="788">
        <f t="shared" si="92"/>
        <v>0</v>
      </c>
      <c r="BV133" s="787">
        <f t="shared" si="93"/>
        <v>0</v>
      </c>
      <c r="BW133" s="787">
        <f t="shared" si="109"/>
        <v>0</v>
      </c>
      <c r="BX133" s="789">
        <f>IFERROR(LOOKUP(M133,基础数据!A:D),1)</f>
        <v>1</v>
      </c>
      <c r="BY133" s="790">
        <f t="shared" si="94"/>
        <v>3.55771976932645</v>
      </c>
      <c r="BZ133" s="787">
        <f t="shared" si="110"/>
        <v>0</v>
      </c>
      <c r="CA133" s="797"/>
      <c r="CB133" s="792">
        <f t="shared" si="26"/>
        <v>0.13</v>
      </c>
      <c r="CC133" s="165" t="s">
        <v>2706</v>
      </c>
      <c r="CD133" s="793">
        <f t="shared" si="130"/>
        <v>0</v>
      </c>
      <c r="CE133" s="156">
        <f t="shared" si="118"/>
        <v>0</v>
      </c>
      <c r="CF133" s="156">
        <f t="shared" si="95"/>
        <v>0</v>
      </c>
      <c r="CG133" s="776"/>
      <c r="CH133" s="156">
        <f t="shared" si="96"/>
        <v>0</v>
      </c>
      <c r="CI133" s="156">
        <f t="shared" si="97"/>
        <v>0</v>
      </c>
      <c r="CJ133" s="776"/>
      <c r="CK133" s="156">
        <f t="shared" si="98"/>
        <v>0</v>
      </c>
      <c r="CL133" s="156">
        <f t="shared" si="99"/>
        <v>0</v>
      </c>
      <c r="CM133" s="776"/>
      <c r="CN133" s="156">
        <f t="shared" si="100"/>
        <v>0</v>
      </c>
      <c r="CO133" s="156">
        <f t="shared" si="101"/>
        <v>0</v>
      </c>
      <c r="CP133" s="776"/>
      <c r="CQ133" s="776"/>
      <c r="CR133" s="794">
        <f t="shared" si="102"/>
        <v>0</v>
      </c>
      <c r="CS133" s="156">
        <f t="shared" si="103"/>
        <v>0</v>
      </c>
      <c r="CT133" s="156">
        <f t="shared" si="104"/>
        <v>0</v>
      </c>
      <c r="CU133" s="156">
        <v>0</v>
      </c>
      <c r="CV133" s="795">
        <f>LOOKUP(CU133,参数表!$A$13:$B$19)</f>
        <v>0</v>
      </c>
      <c r="CW133" s="156">
        <f t="shared" si="105"/>
        <v>0</v>
      </c>
      <c r="CX133" s="156">
        <f t="shared" si="106"/>
        <v>0</v>
      </c>
      <c r="CY133" s="156">
        <f t="shared" si="119"/>
        <v>125.582477754962</v>
      </c>
      <c r="CZ133" s="223">
        <v>10</v>
      </c>
      <c r="DA133" s="746">
        <f t="shared" si="107"/>
        <v>-11.56</v>
      </c>
      <c r="DB133" s="746">
        <f t="shared" si="91"/>
        <v>-11.51</v>
      </c>
      <c r="DC133" s="746">
        <f t="shared" si="108"/>
        <v>-11.51</v>
      </c>
      <c r="DE133" s="134" t="str">
        <f>IF(COUNTIF(DE$7:DE132,C133)&gt;0,"",C133)&amp;""</f>
        <v/>
      </c>
      <c r="DF133" s="138">
        <f t="shared" si="120"/>
        <v>0</v>
      </c>
      <c r="DG133" s="132">
        <f t="shared" si="121"/>
        <v>1</v>
      </c>
      <c r="DH133" s="138">
        <f t="shared" si="122"/>
        <v>0</v>
      </c>
      <c r="DI133" s="132">
        <f t="shared" si="123"/>
        <v>1</v>
      </c>
      <c r="DJ133" s="133"/>
      <c r="DK133" s="133"/>
      <c r="DM133" s="796" t="s">
        <v>4123</v>
      </c>
      <c r="DN133" s="75">
        <v>3699.11</v>
      </c>
    </row>
    <row r="134" ht="15" customHeight="1" spans="1:118">
      <c r="A134" s="785" t="str">
        <f>IF(C134="","",COUNT(A$7:A133)+1)</f>
        <v/>
      </c>
      <c r="B134" s="126"/>
      <c r="C134" s="124"/>
      <c r="D134" s="126"/>
      <c r="E134" s="124"/>
      <c r="F134" s="124"/>
      <c r="G134" s="126"/>
      <c r="H134" s="533"/>
      <c r="I134" s="124"/>
      <c r="J134" s="126"/>
      <c r="K134" s="126"/>
      <c r="L134" s="125"/>
      <c r="M134" s="125"/>
      <c r="N134" s="127"/>
      <c r="O134" s="127" t="str">
        <f>IFERROR(VLOOKUP(N134,参数表!$H$2:$I$50,2,FALSE),"")</f>
        <v/>
      </c>
      <c r="P134" s="128" t="str">
        <f>IFERROR(IF(OR(N134="人民币",N134=""),"",Y134/O134),"")</f>
        <v/>
      </c>
      <c r="Q134" s="128" t="str">
        <f>IFERROR(IF(OR(N134="人民币",N134=""),"",Z134/O134),"")</f>
        <v/>
      </c>
      <c r="R134" s="129" t="str">
        <f>IFERROR(IF(OR(N134="人民币",N134=""),"",AA134/O134),"")</f>
        <v/>
      </c>
      <c r="S134" s="129"/>
      <c r="T134" s="129"/>
      <c r="U134" s="129"/>
      <c r="V134" s="130"/>
      <c r="W134" s="130"/>
      <c r="X134" s="130"/>
      <c r="Y134" s="129" t="str">
        <f t="shared" si="111"/>
        <v/>
      </c>
      <c r="Z134" s="129" t="str">
        <f t="shared" si="112"/>
        <v/>
      </c>
      <c r="AA134" s="129" t="str">
        <f t="shared" si="113"/>
        <v/>
      </c>
      <c r="AB134" s="129" t="str">
        <f t="shared" si="114"/>
        <v/>
      </c>
      <c r="AC134" s="521" t="str">
        <f t="shared" si="115"/>
        <v/>
      </c>
      <c r="AD134" s="129" t="str">
        <f t="shared" si="129"/>
        <v/>
      </c>
      <c r="AE134" s="129"/>
      <c r="AF134" s="129"/>
      <c r="AG134" s="129" t="str">
        <f t="shared" si="124"/>
        <v/>
      </c>
      <c r="AH134" s="131"/>
      <c r="BC134" s="78"/>
      <c r="BD134" s="132" t="s">
        <v>4212</v>
      </c>
      <c r="BE134" s="133"/>
      <c r="BF134" s="132" t="str">
        <f>IF(OR(C134="",BE134=""),"",COUNTIF(BE$8:BE134,"√"))</f>
        <v/>
      </c>
      <c r="BG134" s="134" t="str">
        <f t="shared" si="116"/>
        <v/>
      </c>
      <c r="BH134" s="135" t="str">
        <f t="shared" si="20"/>
        <v/>
      </c>
      <c r="BI134" s="135" t="str">
        <f t="shared" si="20"/>
        <v/>
      </c>
      <c r="BJ134" s="136"/>
      <c r="BK134" s="137"/>
      <c r="BL134" s="136"/>
      <c r="BM134" s="136"/>
      <c r="BN134" s="136"/>
      <c r="BO134" s="136"/>
      <c r="BP134" s="137"/>
      <c r="BQ134" s="136"/>
      <c r="BR134" s="137"/>
      <c r="BT134" s="787">
        <f t="shared" si="117"/>
        <v>0</v>
      </c>
      <c r="BU134" s="788">
        <f t="shared" si="21"/>
        <v>0</v>
      </c>
      <c r="BV134" s="787">
        <f t="shared" si="22"/>
        <v>0</v>
      </c>
      <c r="BW134" s="787">
        <f t="shared" si="23"/>
        <v>0</v>
      </c>
      <c r="BX134" s="789">
        <f>IFERROR(LOOKUP(M134,基础数据!A:D),1)</f>
        <v>1</v>
      </c>
      <c r="BY134" s="790">
        <f t="shared" si="24"/>
        <v>3.55771976932645</v>
      </c>
      <c r="BZ134" s="787">
        <f t="shared" si="25"/>
        <v>0</v>
      </c>
      <c r="CA134" s="797"/>
      <c r="CB134" s="792">
        <f t="shared" si="26"/>
        <v>0.13</v>
      </c>
      <c r="CC134" s="165" t="s">
        <v>2706</v>
      </c>
      <c r="CD134" s="793">
        <f t="shared" si="130"/>
        <v>0</v>
      </c>
      <c r="CE134" s="156">
        <f t="shared" si="118"/>
        <v>0</v>
      </c>
      <c r="CF134" s="156">
        <f t="shared" si="9"/>
        <v>0</v>
      </c>
      <c r="CG134" s="776"/>
      <c r="CH134" s="156">
        <f t="shared" si="27"/>
        <v>0</v>
      </c>
      <c r="CI134" s="156">
        <f t="shared" si="10"/>
        <v>0</v>
      </c>
      <c r="CJ134" s="776"/>
      <c r="CK134" s="156">
        <f t="shared" si="28"/>
        <v>0</v>
      </c>
      <c r="CL134" s="156">
        <f t="shared" si="11"/>
        <v>0</v>
      </c>
      <c r="CM134" s="776"/>
      <c r="CN134" s="156">
        <f t="shared" si="29"/>
        <v>0</v>
      </c>
      <c r="CO134" s="156">
        <f t="shared" si="12"/>
        <v>0</v>
      </c>
      <c r="CP134" s="776"/>
      <c r="CQ134" s="776"/>
      <c r="CR134" s="794">
        <f t="shared" si="30"/>
        <v>0</v>
      </c>
      <c r="CS134" s="156">
        <f t="shared" si="31"/>
        <v>0</v>
      </c>
      <c r="CT134" s="156">
        <f t="shared" si="32"/>
        <v>0</v>
      </c>
      <c r="CU134" s="156">
        <v>0</v>
      </c>
      <c r="CV134" s="795">
        <f>LOOKUP(CU134,参数表!$A$13:$B$19)</f>
        <v>0</v>
      </c>
      <c r="CW134" s="156">
        <f t="shared" si="33"/>
        <v>0</v>
      </c>
      <c r="CX134" s="156">
        <f t="shared" si="34"/>
        <v>0</v>
      </c>
      <c r="CY134" s="156">
        <f t="shared" si="119"/>
        <v>125.582477754962</v>
      </c>
      <c r="CZ134" s="223">
        <v>12</v>
      </c>
      <c r="DA134" s="746">
        <f t="shared" si="35"/>
        <v>-9.47</v>
      </c>
      <c r="DB134" s="746">
        <f t="shared" ref="DB134" si="132">DA134</f>
        <v>-9.47</v>
      </c>
      <c r="DC134" s="746">
        <f t="shared" si="14"/>
        <v>-9.47</v>
      </c>
      <c r="DE134" s="134" t="str">
        <f>IF(COUNTIF(DE$7:DE133,C134)&gt;0,"",C134)&amp;""</f>
        <v/>
      </c>
      <c r="DF134" s="138">
        <f t="shared" si="120"/>
        <v>0</v>
      </c>
      <c r="DG134" s="132">
        <f t="shared" si="121"/>
        <v>1</v>
      </c>
      <c r="DH134" s="138">
        <f t="shared" si="122"/>
        <v>0</v>
      </c>
      <c r="DI134" s="132">
        <f t="shared" si="123"/>
        <v>1</v>
      </c>
      <c r="DJ134" s="133"/>
      <c r="DK134" s="133"/>
    </row>
    <row r="135" s="73" customFormat="1" ht="15" customHeight="1" spans="1:118">
      <c r="A135" s="221" t="s">
        <v>1954</v>
      </c>
      <c r="B135" s="493"/>
      <c r="C135" s="493"/>
      <c r="D135" s="149"/>
      <c r="E135" s="221"/>
      <c r="F135" s="221"/>
      <c r="G135" s="149"/>
      <c r="H135" s="149"/>
      <c r="I135" s="221"/>
      <c r="J135" s="149"/>
      <c r="K135" s="149"/>
      <c r="L135" s="356"/>
      <c r="M135" s="356"/>
      <c r="N135" s="152"/>
      <c r="O135" s="152"/>
      <c r="P135" s="152"/>
      <c r="Q135" s="152"/>
      <c r="R135" s="152"/>
      <c r="S135" s="152">
        <f>SUM(S8:S134)</f>
        <v>0</v>
      </c>
      <c r="T135" s="152">
        <f>SUM(T8:T134)</f>
        <v>0</v>
      </c>
      <c r="U135" s="152">
        <f>SUM(U8:U134)</f>
        <v>0</v>
      </c>
      <c r="V135" s="153"/>
      <c r="W135" s="153"/>
      <c r="X135" s="153"/>
      <c r="Y135" s="152">
        <f>SUM(Y8:Y134)</f>
        <v>0</v>
      </c>
      <c r="Z135" s="152">
        <f>SUM(Z8:Z134)</f>
        <v>0</v>
      </c>
      <c r="AA135" s="152">
        <f>SUM(AA8:AA134)</f>
        <v>0</v>
      </c>
      <c r="AB135" s="152">
        <f>SUM(AB8:AB134)</f>
        <v>0</v>
      </c>
      <c r="AC135" s="525"/>
      <c r="AD135" s="152">
        <f>SUM(AD8:AD134)</f>
        <v>0</v>
      </c>
      <c r="AE135" s="152">
        <f>SUM(AE8:AE134)</f>
        <v>0</v>
      </c>
      <c r="AF135" s="152">
        <f>SUM(AF8:AF134)</f>
        <v>0</v>
      </c>
      <c r="AG135" s="152" t="str">
        <f t="shared" si="124"/>
        <v/>
      </c>
      <c r="AH135" s="151"/>
      <c r="BF135" s="801"/>
      <c r="BJ135" s="72"/>
      <c r="BL135" s="72"/>
      <c r="BM135" s="72"/>
      <c r="BN135" s="72"/>
      <c r="BO135" s="72"/>
      <c r="BQ135" s="72"/>
      <c r="CB135" s="72"/>
      <c r="CC135" s="72"/>
      <c r="DD135" s="111"/>
      <c r="DE135" s="119"/>
      <c r="DF135" s="77"/>
      <c r="DG135" s="77"/>
      <c r="DH135" s="77"/>
      <c r="DI135" s="119"/>
      <c r="DJ135" s="119"/>
      <c r="DK135" s="119"/>
      <c r="DL135" s="111"/>
    </row>
    <row r="136" ht="15" customHeight="1" spans="1:118">
      <c r="A136" s="124" t="s">
        <v>3434</v>
      </c>
      <c r="B136" s="124"/>
      <c r="C136" s="124"/>
      <c r="D136" s="126"/>
      <c r="E136" s="124"/>
      <c r="F136" s="124"/>
      <c r="G136" s="126"/>
      <c r="H136" s="126"/>
      <c r="I136" s="131"/>
      <c r="J136" s="126"/>
      <c r="K136" s="126"/>
      <c r="L136" s="125"/>
      <c r="M136" s="125"/>
      <c r="N136" s="129"/>
      <c r="O136" s="129"/>
      <c r="P136" s="129"/>
      <c r="Q136" s="129"/>
      <c r="R136" s="129"/>
      <c r="S136" s="129"/>
      <c r="T136" s="129">
        <f>U135</f>
        <v>0</v>
      </c>
      <c r="U136" s="129"/>
      <c r="V136" s="130"/>
      <c r="W136" s="130"/>
      <c r="X136" s="130"/>
      <c r="Y136" s="129"/>
      <c r="Z136" s="129">
        <f>AA135</f>
        <v>0</v>
      </c>
      <c r="AA136" s="129"/>
      <c r="AB136" s="129"/>
      <c r="AC136" s="521"/>
      <c r="AD136" s="129"/>
      <c r="AE136" s="129"/>
      <c r="AF136" s="129"/>
      <c r="AG136" s="129" t="str">
        <f t="shared" si="124"/>
        <v/>
      </c>
      <c r="AH136" s="131"/>
    </row>
    <row r="137" s="73" customFormat="1" ht="15" customHeight="1" spans="1:118">
      <c r="A137" s="221" t="s">
        <v>1957</v>
      </c>
      <c r="B137" s="221"/>
      <c r="C137" s="221"/>
      <c r="D137" s="149"/>
      <c r="E137" s="149"/>
      <c r="F137" s="149"/>
      <c r="G137" s="149"/>
      <c r="H137" s="149"/>
      <c r="I137" s="149"/>
      <c r="J137" s="149"/>
      <c r="K137" s="149"/>
      <c r="L137" s="356"/>
      <c r="M137" s="356"/>
      <c r="N137" s="152"/>
      <c r="O137" s="152"/>
      <c r="P137" s="152"/>
      <c r="Q137" s="152"/>
      <c r="R137" s="152"/>
      <c r="S137" s="152">
        <f>S135-S136</f>
        <v>0</v>
      </c>
      <c r="T137" s="152">
        <f>T135-T136</f>
        <v>0</v>
      </c>
      <c r="U137" s="152"/>
      <c r="V137" s="153"/>
      <c r="W137" s="153"/>
      <c r="X137" s="153"/>
      <c r="Y137" s="152">
        <f>Y135-Y136</f>
        <v>0</v>
      </c>
      <c r="Z137" s="152">
        <f>Z135-Z136</f>
        <v>0</v>
      </c>
      <c r="AA137" s="152"/>
      <c r="AB137" s="152">
        <f>AB135-AB136</f>
        <v>0</v>
      </c>
      <c r="AC137" s="525"/>
      <c r="AD137" s="152">
        <f>AD135-AD136</f>
        <v>0</v>
      </c>
      <c r="AE137" s="152"/>
      <c r="AF137" s="152">
        <f>AF135-AF136</f>
        <v>0</v>
      </c>
      <c r="AG137" s="152" t="str">
        <f t="shared" ref="AG137" si="133">IFERROR((AD137-(Z137-AA137))/(Z137-AA137)*100,"")</f>
        <v/>
      </c>
      <c r="AH137" s="151"/>
      <c r="BF137" s="801"/>
      <c r="BJ137" s="72"/>
      <c r="BL137" s="72"/>
      <c r="BM137" s="72"/>
      <c r="BN137" s="72"/>
      <c r="BO137" s="72"/>
      <c r="BQ137" s="72"/>
      <c r="CB137" s="72"/>
      <c r="CC137" s="72"/>
      <c r="DD137" s="77"/>
      <c r="DE137" s="78"/>
      <c r="DF137" s="77"/>
      <c r="DG137" s="78"/>
      <c r="DH137" s="78"/>
      <c r="DI137" s="78"/>
      <c r="DJ137" s="78"/>
      <c r="DK137" s="78"/>
      <c r="DL137" s="77"/>
    </row>
    <row r="138" customHeight="1" spans="1:118">
      <c r="A138" s="102" t="str">
        <f>参数表!F$6</f>
        <v>产权持有单位填表人：贾广东</v>
      </c>
      <c r="B138" s="286"/>
      <c r="C138" s="154"/>
      <c r="D138" s="154"/>
      <c r="E138" s="154"/>
      <c r="F138" s="154"/>
      <c r="G138" s="286"/>
      <c r="H138" s="286"/>
      <c r="I138" s="154"/>
      <c r="J138" s="95"/>
      <c r="K138" s="95"/>
      <c r="L138" s="95"/>
      <c r="M138" s="95"/>
      <c r="N138" s="103"/>
      <c r="O138" s="103"/>
      <c r="P138" s="103"/>
      <c r="Q138" s="103"/>
      <c r="R138" s="103"/>
      <c r="S138" s="103"/>
      <c r="T138" s="103"/>
      <c r="U138" s="103"/>
      <c r="V138" s="104"/>
      <c r="W138" s="104"/>
      <c r="X138" s="104"/>
      <c r="Y138" s="103"/>
      <c r="Z138" s="103"/>
      <c r="AA138" s="103"/>
      <c r="AB138" s="103"/>
      <c r="AC138" s="103"/>
      <c r="AD138" s="156" t="str">
        <f>"评估人员："&amp;封面!$G$26</f>
        <v>评估人员：栗祥宁</v>
      </c>
      <c r="AE138" s="156"/>
      <c r="AF138" s="156"/>
      <c r="AG138" s="103"/>
      <c r="AH138" s="103"/>
    </row>
    <row r="139" customHeight="1" spans="1:118">
      <c r="A139" s="102" t="str">
        <f>参数表!F$7</f>
        <v>填表日期：2025年9月20日</v>
      </c>
      <c r="B139" s="286"/>
      <c r="C139" s="154"/>
      <c r="D139" s="154"/>
      <c r="E139" s="154"/>
      <c r="F139" s="154"/>
      <c r="G139" s="286"/>
      <c r="H139" s="286"/>
      <c r="I139" s="154"/>
      <c r="J139" s="95"/>
      <c r="K139" s="95"/>
      <c r="L139" s="95"/>
      <c r="M139" s="95"/>
      <c r="N139" s="103"/>
      <c r="O139" s="103"/>
      <c r="P139" s="103"/>
      <c r="Q139" s="103"/>
      <c r="R139" s="103"/>
      <c r="S139" s="103"/>
      <c r="T139" s="103"/>
      <c r="U139" s="103"/>
      <c r="V139" s="104"/>
      <c r="W139" s="104"/>
      <c r="X139" s="104"/>
      <c r="Y139" s="103"/>
      <c r="Z139" s="103"/>
      <c r="AA139" s="103"/>
      <c r="AB139" s="103"/>
      <c r="AC139" s="103"/>
      <c r="AD139" s="103"/>
      <c r="AE139" s="103"/>
      <c r="AF139" s="103"/>
      <c r="AG139" s="103"/>
      <c r="AH139" s="103"/>
    </row>
    <row r="140" customHeight="1" outlineLevel="1" spans="1:118">
      <c r="A140" s="157"/>
      <c r="B140" s="286" t="s">
        <v>1673</v>
      </c>
      <c r="C140" s="158"/>
      <c r="D140" s="158"/>
      <c r="E140" s="158"/>
      <c r="F140" s="158"/>
      <c r="G140" s="228"/>
      <c r="H140" s="228"/>
      <c r="I140" s="158"/>
      <c r="N140" s="176"/>
      <c r="O140" s="176"/>
      <c r="P140" s="176"/>
      <c r="Q140" s="176"/>
      <c r="R140" s="176"/>
      <c r="S140" s="159">
        <f>SUMIF($BC8:$BC134,$BC140,S8:S134)</f>
        <v>0</v>
      </c>
      <c r="T140" s="159">
        <f>SUMIF($BC8:$BC134,$BC140,T8:T134)</f>
        <v>0</v>
      </c>
      <c r="U140" s="159">
        <f>SUMIF($BC8:$BC134,$BC140,U8:U134)</f>
        <v>0</v>
      </c>
      <c r="V140" s="202"/>
      <c r="W140" s="202"/>
      <c r="X140" s="202"/>
      <c r="Y140" s="159">
        <f>SUMIF($BC8:$BC134,$BC140,Y8:Y134)</f>
        <v>0</v>
      </c>
      <c r="Z140" s="159">
        <f>SUMIF($BC8:$BC134,$BC140,Z8:Z134)</f>
        <v>0</v>
      </c>
      <c r="AA140" s="159">
        <f>SUMIF($BC8:$BC134,$BC140,AA8:AA134)</f>
        <v>0</v>
      </c>
      <c r="AB140" s="159">
        <f>SUMIF($BC8:$BC134,$BC140,AB8:AB134)</f>
        <v>0</v>
      </c>
      <c r="AC140" s="176"/>
      <c r="AD140" s="159">
        <f>SUMIF($BC8:$BC134,$BC140,AD8:AD134)</f>
        <v>0</v>
      </c>
      <c r="AE140" s="159"/>
      <c r="AF140" s="159"/>
      <c r="BC140" s="161" t="s">
        <v>1674</v>
      </c>
      <c r="BJ140" s="95" t="s">
        <v>1675</v>
      </c>
      <c r="BL140" s="95" t="s">
        <v>1675</v>
      </c>
      <c r="BM140" s="95" t="s">
        <v>1675</v>
      </c>
      <c r="BN140" s="95" t="s">
        <v>1675</v>
      </c>
      <c r="BO140" s="95" t="s">
        <v>1675</v>
      </c>
      <c r="BQ140" s="95" t="s">
        <v>1675</v>
      </c>
    </row>
    <row r="141" customHeight="1" outlineLevel="1" spans="1:118">
      <c r="A141" s="157"/>
      <c r="B141" s="286" t="s">
        <v>1676</v>
      </c>
      <c r="C141" s="158"/>
      <c r="D141" s="158"/>
      <c r="E141" s="158"/>
      <c r="F141" s="158"/>
      <c r="G141" s="228"/>
      <c r="H141" s="228"/>
      <c r="I141" s="158"/>
      <c r="N141" s="176"/>
      <c r="O141" s="176"/>
      <c r="P141" s="176"/>
      <c r="Q141" s="176"/>
      <c r="R141" s="176"/>
      <c r="S141" s="159">
        <f>S135-S140</f>
        <v>0</v>
      </c>
      <c r="T141" s="159">
        <f>T135-T140</f>
        <v>0</v>
      </c>
      <c r="U141" s="159">
        <f>U135-U140</f>
        <v>0</v>
      </c>
      <c r="V141" s="202"/>
      <c r="W141" s="202"/>
      <c r="X141" s="202"/>
      <c r="Y141" s="159">
        <f>Y135-Y140</f>
        <v>0</v>
      </c>
      <c r="Z141" s="159">
        <f>Z135-Z140</f>
        <v>0</v>
      </c>
      <c r="AA141" s="159">
        <f>AA135-AA140</f>
        <v>0</v>
      </c>
      <c r="AB141" s="159">
        <f>AB135-AB140</f>
        <v>0</v>
      </c>
      <c r="AC141" s="176"/>
      <c r="AD141" s="159">
        <f>AD135-AD140</f>
        <v>0</v>
      </c>
      <c r="AE141" s="159"/>
      <c r="AF141" s="159"/>
      <c r="BC141" s="161" t="s">
        <v>1677</v>
      </c>
      <c r="BJ141" s="95" t="s">
        <v>1678</v>
      </c>
      <c r="BL141" s="95" t="s">
        <v>1678</v>
      </c>
      <c r="BM141" s="95" t="s">
        <v>1678</v>
      </c>
      <c r="BN141" s="95" t="s">
        <v>1678</v>
      </c>
      <c r="BO141" s="95" t="s">
        <v>1678</v>
      </c>
      <c r="BQ141" s="95" t="s">
        <v>1678</v>
      </c>
    </row>
    <row r="142" customHeight="1" spans="1:118">
      <c r="A142" s="157"/>
      <c r="B142" s="228"/>
      <c r="C142" s="158"/>
      <c r="D142" s="158"/>
      <c r="E142" s="158"/>
      <c r="F142" s="158"/>
      <c r="G142" s="228"/>
      <c r="H142" s="228"/>
      <c r="I142" s="158"/>
    </row>
    <row r="143" customHeight="1" spans="1:118">
      <c r="A143" s="157"/>
      <c r="B143" s="228"/>
      <c r="C143" s="158"/>
      <c r="D143" s="158"/>
      <c r="E143" s="158"/>
      <c r="F143" s="158"/>
      <c r="G143" s="228"/>
      <c r="H143" s="228"/>
      <c r="I143" s="158"/>
      <c r="S143" s="75">
        <f>S137+车辆!U14</f>
        <v>0</v>
      </c>
    </row>
    <row r="144" customHeight="1" spans="1:118">
      <c r="A144" s="157"/>
      <c r="B144" s="228"/>
      <c r="C144" s="158"/>
      <c r="D144" s="158"/>
      <c r="E144" s="158"/>
      <c r="F144" s="158"/>
      <c r="G144" s="228"/>
      <c r="H144" s="228"/>
      <c r="I144" s="158"/>
    </row>
    <row r="145" customHeight="1" spans="1:56">
      <c r="A145" s="157"/>
      <c r="B145" s="228"/>
      <c r="C145" s="158"/>
      <c r="D145" s="158"/>
      <c r="E145" s="158"/>
      <c r="F145" s="158"/>
      <c r="G145" s="228"/>
      <c r="H145" s="228"/>
      <c r="I145" s="158"/>
    </row>
    <row r="146" customHeight="1" spans="1:56">
      <c r="A146" s="157"/>
      <c r="B146" s="228"/>
      <c r="C146" s="157" t="e">
        <f>A133+在库周转!#REF!+车辆!A8</f>
        <v>#VALUE!</v>
      </c>
      <c r="D146" s="158"/>
      <c r="E146" s="158"/>
      <c r="F146" s="158"/>
      <c r="G146" s="228"/>
      <c r="H146" s="228"/>
      <c r="I146" s="158"/>
    </row>
    <row r="153" customHeight="1" spans="1:56">
      <c r="AH153" s="802">
        <v>0.0795</v>
      </c>
    </row>
    <row r="154" customHeight="1" spans="1:56">
      <c r="AH154" s="802">
        <v>1.5</v>
      </c>
      <c r="BD154" s="75">
        <v>10000</v>
      </c>
    </row>
    <row r="155" customHeight="1" spans="1:56">
      <c r="AH155" s="75">
        <v>50000</v>
      </c>
    </row>
    <row r="156" customHeight="1" spans="1:56">
      <c r="AH156" s="75">
        <f>AH155*AH153</f>
        <v>3975</v>
      </c>
    </row>
    <row r="157" customHeight="1" spans="1:56">
      <c r="AH157" s="75">
        <f>AH156*AH154</f>
        <v>5962.5</v>
      </c>
    </row>
  </sheetData>
  <sheetProtection autoFilter="0"/>
  <autoFilter xmlns:etc="http://www.wps.cn/officeDocument/2017/etCustomData" ref="A7:DN141" etc:filterBottomFollowUsedRange="0">
    <extLst/>
  </autoFilter>
  <mergeCells count="39">
    <mergeCell ref="A2:AH2"/>
    <mergeCell ref="A3:AH3"/>
    <mergeCell ref="N6:R6"/>
    <mergeCell ref="S6:U6"/>
    <mergeCell ref="V6:X6"/>
    <mergeCell ref="Y6:AA6"/>
    <mergeCell ref="AB6:AF6"/>
    <mergeCell ref="DJ8:DL8"/>
    <mergeCell ref="DJ9:DL9"/>
    <mergeCell ref="DK15:DL15"/>
    <mergeCell ref="A135:C135"/>
    <mergeCell ref="A136:C136"/>
    <mergeCell ref="A137:C137"/>
    <mergeCell ref="A6:A7"/>
    <mergeCell ref="B6:B7"/>
    <mergeCell ref="C6:C7"/>
    <mergeCell ref="D6:D7"/>
    <mergeCell ref="E6:E7"/>
    <mergeCell ref="F6:F7"/>
    <mergeCell ref="G6:G7"/>
    <mergeCell ref="H6:H7"/>
    <mergeCell ref="I6:I7"/>
    <mergeCell ref="J6:J7"/>
    <mergeCell ref="K6:K7"/>
    <mergeCell ref="L6:L7"/>
    <mergeCell ref="M6:M7"/>
    <mergeCell ref="AG6:AG7"/>
    <mergeCell ref="AH6:AH7"/>
    <mergeCell ref="BH6:BH7"/>
    <mergeCell ref="BI6:BI7"/>
    <mergeCell ref="BJ6:BJ7"/>
    <mergeCell ref="BK6:BK7"/>
    <mergeCell ref="BL6:BL7"/>
    <mergeCell ref="BM6:BM7"/>
    <mergeCell ref="BN6:BN7"/>
    <mergeCell ref="BO6:BO7"/>
    <mergeCell ref="BP6:BP7"/>
    <mergeCell ref="BQ6:BQ7"/>
    <mergeCell ref="BR6:BR7"/>
  </mergeCells>
  <conditionalFormatting sqref="BK8:BK134">
    <cfRule type="expression" dxfId="5" priority="5" stopIfTrue="1">
      <formula>AND(BJ8="有",BK8="")</formula>
    </cfRule>
  </conditionalFormatting>
  <conditionalFormatting sqref="BP8:BP134">
    <cfRule type="expression" dxfId="5" priority="7" stopIfTrue="1">
      <formula>AND(BO8="无",BP8="")</formula>
    </cfRule>
  </conditionalFormatting>
  <conditionalFormatting sqref="BH8:BI134">
    <cfRule type="containsText" dxfId="6" priority="1" stopIfTrue="1" operator="between" text="出错">
      <formula>NOT(ISERROR(SEARCH("出错",BH8)))</formula>
    </cfRule>
  </conditionalFormatting>
  <conditionalFormatting sqref="BJ9:BK133 BJ134:BO134 BJ8:BJ133 BL8:BO133 BQ8:BQ134">
    <cfRule type="expression" dxfId="5" priority="8" stopIfTrue="1">
      <formula>AND($B8&lt;&gt;"",BJ8="")</formula>
    </cfRule>
  </conditionalFormatting>
  <dataValidations count="5">
    <dataValidation type="list" allowBlank="1" showInputMessage="1" showErrorMessage="1" sqref="N8:N134">
      <formula1>OFFSET(参数表!$H$2:$H$50,,,COUNTA(参数表!$H$2:$H$50))</formula1>
    </dataValidation>
    <dataValidation type="list" allowBlank="1" showInputMessage="1" showErrorMessage="1" sqref="BC8:BC134 BC140:BC141">
      <formula1>"是,否"</formula1>
    </dataValidation>
    <dataValidation type="list" allowBlank="1" showInputMessage="1" showErrorMessage="1" sqref="BE8:BE134">
      <formula1>"  ,√"</formula1>
    </dataValidation>
    <dataValidation type="list" allowBlank="1" showInputMessage="1" showErrorMessage="1" sqref="BJ8:BJ134 BQ8:BQ134 BL8:BO134">
      <formula1>BJ$140:BJ$141</formula1>
    </dataValidation>
    <dataValidation type="list" allowBlank="1" showInputMessage="1" showErrorMessage="1" sqref="CC8:CC134">
      <formula1>"成本法,收益法,市场法"</formula1>
    </dataValidation>
  </dataValidations>
  <hyperlinks>
    <hyperlink ref="A1" location="索引目录!E38" display="返回索引页"/>
    <hyperlink ref="B1" location="固定资产汇总!B23" display="返回"/>
    <hyperlink ref="CA122" r:id="rId3" location="crumb-wrap" display="https://item.jd.com/100078705623.html#crumb-wrap"/>
    <hyperlink ref="CA123" r:id="rId3" location="crumb-wrap" display="https://item.jd.com/100078705623.html#crumb-wrap"/>
    <hyperlink ref="CA124" r:id="rId3" location="crumb-wrap" display="https://item.jd.com/100078705623.html#crumb-wrap"/>
    <hyperlink ref="CA125" r:id="rId3" location="crumb-wrap" display="https://item.jd.com/100078705623.html#crumb-wrap"/>
    <hyperlink ref="CA126" r:id="rId4" display="https://item.jd.com/100111352241.html"/>
    <hyperlink ref="CA127" r:id="rId5" location="crumb-wrap" display="https://item.jd.com/10095346588543.html#crumb-wrap"/>
    <hyperlink ref="CA128" r:id="rId5" location="crumb-wrap" display="https://item.jd.com/10095346588543.html#crumb-wrap"/>
    <hyperlink ref="CA104" r:id="rId6" display="https://detail.1688.com/offer/521696759215.html?spm=a261b.2187593.0.0.1c904507X39D2V"/>
    <hyperlink ref="CA44" r:id="rId7" display="https://i-item.jd.com/10123820447637.html"/>
    <hyperlink ref="CA102" r:id="rId8" display="https://detail.1688.com/offer/824909345582.html?spm=a261b.2187593.0.0.548317e9ywsAOu"/>
    <hyperlink ref="CA106" r:id="rId8" display="https://detail.1688.com/offer/824909345582.html?spm=a261b.2187593.0.0.548317e9ywsAOu"/>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3"/>
  <dimension ref="A1:CQ25"/>
  <sheetViews>
    <sheetView workbookViewId="0">
      <pane xSplit="5" ySplit="8" topLeftCell="F9" activePane="bottomRight" state="frozen"/>
      <selection/>
      <selection pane="topRight"/>
      <selection pane="bottomLeft"/>
      <selection pane="bottomRight" activeCell="Z10" sqref="C8:Z10"/>
    </sheetView>
  </sheetViews>
  <sheetFormatPr defaultColWidth="9" defaultRowHeight="15.75" customHeight="1"/>
  <cols>
    <col min="1" max="1" width="4.7" style="74" customWidth="1"/>
    <col min="2" max="2" width="4.7" style="688" hidden="1" customWidth="1"/>
    <col min="3" max="3" width="13.5" style="165" customWidth="1"/>
    <col min="4" max="4" width="10.3" style="75" hidden="1" customWidth="1" outlineLevel="1"/>
    <col min="5" max="5" width="8.6" style="75" customWidth="1" collapsed="1"/>
    <col min="6" max="6" width="8.6" style="75" customWidth="1"/>
    <col min="7" max="7" width="8" style="75" hidden="1" customWidth="1" outlineLevel="1"/>
    <col min="8" max="8" width="5.3" style="165" hidden="1" customWidth="1" outlineLevel="1"/>
    <col min="9" max="9" width="5" style="165" hidden="1" customWidth="1" outlineLevel="1"/>
    <col min="10" max="10" width="8.6" style="75" customWidth="1" collapsed="1"/>
    <col min="11" max="14" width="4.7" style="165" customWidth="1"/>
    <col min="15" max="15" width="6.6" style="75" customWidth="1"/>
    <col min="16" max="17" width="4.6" style="75" customWidth="1" outlineLevel="1"/>
    <col min="18" max="20" width="6.1" style="75" customWidth="1" outlineLevel="1"/>
    <col min="21" max="22" width="10.7" style="75" customWidth="1" outlineLevel="1"/>
    <col min="23" max="23" width="7.7" style="75" customWidth="1" outlineLevel="1"/>
    <col min="24" max="26" width="10.7" style="75" customWidth="1" outlineLevel="1"/>
    <col min="27" max="28" width="9.7" style="75" customWidth="1"/>
    <col min="29" max="29" width="7.6" style="75" customWidth="1"/>
    <col min="30" max="30" width="9.7" style="75" customWidth="1"/>
    <col min="31" max="31" width="5.7" style="75" customWidth="1"/>
    <col min="32" max="32" width="9.7" style="75" customWidth="1"/>
    <col min="33" max="33" width="5.6" style="75" customWidth="1"/>
    <col min="34" max="34" width="5.7" style="75" customWidth="1"/>
    <col min="35" max="52" width="9" style="75" hidden="1" customWidth="1" outlineLevel="1"/>
    <col min="53" max="53" width="14.7" style="75" customWidth="1" collapsed="1"/>
    <col min="54" max="54" width="6.7" style="75" customWidth="1"/>
    <col min="55" max="56" width="5.1" style="75" customWidth="1"/>
    <col min="57" max="57" width="8.7" style="75" customWidth="1"/>
    <col min="58" max="59" width="10.5" style="75" customWidth="1"/>
    <col min="60" max="60" width="4.7" style="165" customWidth="1"/>
    <col min="61" max="61" width="11.5" style="75" customWidth="1"/>
    <col min="62" max="65" width="4.7" style="165" customWidth="1"/>
    <col min="66" max="66" width="10.3" style="75" customWidth="1"/>
    <col min="67" max="67" width="4.7" style="165" customWidth="1"/>
    <col min="68" max="69" width="9" style="75"/>
    <col min="70" max="86" width="8.7" style="158" customWidth="1"/>
    <col min="87" max="87" width="1.6" style="77" customWidth="1"/>
    <col min="88" max="88" width="10.6" style="78" customWidth="1"/>
    <col min="89" max="89" width="10.6" style="77" customWidth="1"/>
    <col min="90" max="90" width="4.6" style="78" customWidth="1"/>
    <col min="91" max="91" width="10.6" style="78" customWidth="1"/>
    <col min="92" max="93" width="4.6" style="78" customWidth="1"/>
    <col min="94" max="94" width="10.6" style="78" customWidth="1"/>
    <col min="95" max="95" width="5" style="77" customWidth="1"/>
    <col min="96" max="16384" width="9" style="75"/>
  </cols>
  <sheetData>
    <row r="1" s="86" customFormat="1" ht="13.8" spans="1:95">
      <c r="A1" s="203" t="s">
        <v>1591</v>
      </c>
      <c r="B1" s="689"/>
      <c r="C1" s="495" t="s">
        <v>1592</v>
      </c>
      <c r="D1" s="204"/>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BA1" s="84" t="str">
        <f>参数表!BA1</f>
        <v>注意：补充特殊事项、作价等均从BA列开始填写</v>
      </c>
      <c r="BB1" s="85"/>
      <c r="BH1" s="82"/>
      <c r="BJ1" s="82"/>
      <c r="BK1" s="82"/>
      <c r="BL1" s="82"/>
      <c r="BM1" s="82"/>
      <c r="BO1" s="82"/>
      <c r="CI1" s="87"/>
      <c r="CJ1" s="88"/>
      <c r="CK1" s="87"/>
      <c r="CL1" s="88"/>
      <c r="CM1" s="88"/>
      <c r="CN1" s="88"/>
      <c r="CO1" s="88"/>
      <c r="CP1" s="88"/>
      <c r="CQ1" s="87"/>
    </row>
    <row r="2" s="71" customFormat="1" ht="30" customHeight="1" spans="1:95">
      <c r="A2" s="89" t="s">
        <v>4213</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BA2" s="90" t="str">
        <f>参数表!BA2</f>
        <v>评估基准日：</v>
      </c>
      <c r="BB2" s="91" t="str">
        <f>参数表!BB2</f>
        <v>2025年7月31日</v>
      </c>
      <c r="BH2" s="171"/>
      <c r="BJ2" s="171"/>
      <c r="BK2" s="171"/>
      <c r="BL2" s="171"/>
      <c r="BM2" s="171"/>
      <c r="BO2" s="171"/>
      <c r="BR2" s="235"/>
      <c r="BS2" s="235"/>
      <c r="BT2" s="235"/>
      <c r="BU2" s="235"/>
      <c r="BV2" s="235"/>
      <c r="BW2" s="235"/>
      <c r="BX2" s="235"/>
      <c r="BY2" s="235"/>
      <c r="BZ2" s="235"/>
      <c r="CA2" s="235"/>
      <c r="CB2" s="235"/>
      <c r="CC2" s="235"/>
      <c r="CD2" s="235"/>
      <c r="CE2" s="235"/>
      <c r="CF2" s="235"/>
      <c r="CG2" s="235"/>
      <c r="CH2" s="235"/>
      <c r="CI2" s="92"/>
      <c r="CJ2" s="93"/>
      <c r="CK2" s="92"/>
      <c r="CL2" s="93"/>
      <c r="CM2" s="93"/>
      <c r="CN2" s="93"/>
      <c r="CO2" s="93"/>
      <c r="CP2" s="93"/>
      <c r="CQ2" s="92"/>
    </row>
    <row r="3" ht="15" customHeight="1" spans="1:95">
      <c r="A3" s="94" t="str">
        <f>参数表!F5</f>
        <v>评估基准日：2025年7月31日</v>
      </c>
      <c r="B3" s="94"/>
      <c r="C3" s="94"/>
      <c r="D3" s="94"/>
      <c r="E3" s="94"/>
      <c r="F3" s="94"/>
      <c r="G3" s="94"/>
      <c r="H3" s="94"/>
      <c r="I3" s="94"/>
      <c r="J3" s="94"/>
      <c r="K3" s="94"/>
      <c r="L3" s="94"/>
      <c r="M3" s="94"/>
      <c r="N3" s="95"/>
      <c r="O3" s="95"/>
      <c r="P3" s="95"/>
      <c r="Q3" s="95"/>
      <c r="R3" s="95"/>
      <c r="S3" s="95"/>
      <c r="T3" s="95"/>
      <c r="U3" s="95"/>
      <c r="V3" s="95"/>
      <c r="W3" s="95"/>
      <c r="X3" s="95"/>
      <c r="Y3" s="95"/>
      <c r="Z3" s="95"/>
      <c r="AA3" s="95"/>
      <c r="AB3" s="95"/>
      <c r="AC3" s="95"/>
      <c r="AD3" s="95"/>
      <c r="AE3" s="95"/>
      <c r="AF3" s="95"/>
      <c r="AG3" s="95"/>
      <c r="AH3" s="95"/>
      <c r="BA3" s="90" t="str">
        <f>参数表!BA3</f>
        <v>是否显示评估值：</v>
      </c>
      <c r="BB3" s="90" t="str">
        <f>参数表!BB3</f>
        <v>是</v>
      </c>
      <c r="CI3" s="92"/>
      <c r="CJ3" s="93"/>
      <c r="CK3" s="92"/>
      <c r="CL3" s="93"/>
      <c r="CM3" s="93"/>
      <c r="CN3" s="93"/>
      <c r="CO3" s="93"/>
      <c r="CP3" s="93"/>
      <c r="CQ3" s="92"/>
    </row>
    <row r="4" ht="15" customHeight="1" spans="1:95">
      <c r="A4" s="96"/>
      <c r="B4" s="96"/>
      <c r="C4" s="94"/>
      <c r="D4" s="94"/>
      <c r="E4" s="94"/>
      <c r="F4" s="94"/>
      <c r="G4" s="94"/>
      <c r="H4" s="94"/>
      <c r="I4" s="94"/>
      <c r="J4" s="94"/>
      <c r="K4" s="94"/>
      <c r="L4" s="94"/>
      <c r="M4" s="94"/>
      <c r="N4" s="95"/>
      <c r="O4" s="98"/>
      <c r="P4" s="94"/>
      <c r="Q4" s="94"/>
      <c r="R4" s="94"/>
      <c r="S4" s="94"/>
      <c r="T4" s="94"/>
      <c r="U4" s="95"/>
      <c r="V4" s="95"/>
      <c r="W4" s="95"/>
      <c r="X4" s="95"/>
      <c r="Y4" s="95"/>
      <c r="Z4" s="95"/>
      <c r="AA4" s="95"/>
      <c r="AB4" s="95"/>
      <c r="AC4" s="95"/>
      <c r="AD4" s="95"/>
      <c r="AE4" s="95"/>
      <c r="AF4" s="95"/>
      <c r="AG4" s="95"/>
      <c r="AH4" s="98" t="str">
        <f>"表"&amp;$BA4</f>
        <v>表4-10-7</v>
      </c>
      <c r="BA4" s="274" t="str">
        <f>固定资产总!A17</f>
        <v>4-10-7</v>
      </c>
      <c r="BB4" s="100">
        <f>MAX(COUNTA(A8:A13),COUNTA(C8:C13),COUNTA(U8:U13),COUNTA(V8:V13))</f>
        <v>6</v>
      </c>
      <c r="BC4" s="101">
        <f>ROW(A7)+1</f>
        <v>8</v>
      </c>
      <c r="BD4" s="77"/>
      <c r="BE4" s="77"/>
      <c r="CK4" s="78"/>
    </row>
    <row r="5" ht="15" customHeight="1" spans="1:95">
      <c r="A5" s="102" t="str">
        <f>参数表!F3</f>
        <v>产权持有单位:中煤第五建设有限公司</v>
      </c>
      <c r="B5" s="96"/>
      <c r="C5" s="95"/>
      <c r="D5" s="103"/>
      <c r="E5" s="103"/>
      <c r="F5" s="103"/>
      <c r="G5" s="103"/>
      <c r="H5" s="95"/>
      <c r="I5" s="95"/>
      <c r="J5" s="103"/>
      <c r="K5" s="95"/>
      <c r="L5" s="95"/>
      <c r="M5" s="95"/>
      <c r="N5" s="95"/>
      <c r="O5" s="103"/>
      <c r="P5" s="103"/>
      <c r="Q5" s="103"/>
      <c r="R5" s="103"/>
      <c r="S5" s="103"/>
      <c r="T5" s="103"/>
      <c r="U5" s="103"/>
      <c r="V5" s="103"/>
      <c r="W5" s="103"/>
      <c r="X5" s="103"/>
      <c r="Y5" s="103"/>
      <c r="Z5" s="103"/>
      <c r="AA5" s="103"/>
      <c r="AB5" s="103"/>
      <c r="AC5" s="103"/>
      <c r="AD5" s="103"/>
      <c r="AE5" s="103"/>
      <c r="AF5" s="103"/>
      <c r="AG5" s="103"/>
      <c r="AH5" s="98" t="s">
        <v>236</v>
      </c>
      <c r="BA5" s="103"/>
      <c r="BB5" s="105" t="str">
        <f ca="1">判断表!C72</f>
        <v>中煤第五建设有限公司第三工程处拟处置实物资产项目\[0000-3基础法明细表.xlsx]车辆</v>
      </c>
      <c r="BC5" s="106">
        <f>IFERROR(SUMIF(BC8:BC13,"√",AA8:AA13)/AA14,0)</f>
        <v>0</v>
      </c>
      <c r="BD5" s="107"/>
      <c r="BE5" s="107"/>
      <c r="BF5" s="108">
        <f>房屋!BF5</f>
        <v>0</v>
      </c>
      <c r="BG5" s="108">
        <f>房屋!BG5</f>
        <v>0</v>
      </c>
      <c r="BH5" s="109"/>
      <c r="BI5" s="109"/>
      <c r="BJ5" s="109"/>
      <c r="BK5" s="109"/>
      <c r="BL5" s="109"/>
      <c r="BM5" s="109"/>
      <c r="BN5" s="110"/>
      <c r="BO5" s="109"/>
      <c r="CK5" s="78"/>
    </row>
    <row r="6" s="72" customFormat="1" ht="15" customHeight="1" spans="1:95">
      <c r="A6" s="112" t="s">
        <v>305</v>
      </c>
      <c r="B6" s="118" t="s">
        <v>4036</v>
      </c>
      <c r="C6" s="193" t="s">
        <v>4214</v>
      </c>
      <c r="D6" s="210" t="s">
        <v>3671</v>
      </c>
      <c r="E6" s="118" t="s">
        <v>4215</v>
      </c>
      <c r="F6" s="118" t="s">
        <v>2175</v>
      </c>
      <c r="G6" s="528" t="s">
        <v>3686</v>
      </c>
      <c r="H6" s="193" t="s">
        <v>3688</v>
      </c>
      <c r="I6" s="529" t="s">
        <v>3689</v>
      </c>
      <c r="J6" s="118" t="s">
        <v>4039</v>
      </c>
      <c r="K6" s="118" t="s">
        <v>2176</v>
      </c>
      <c r="L6" s="118" t="s">
        <v>1637</v>
      </c>
      <c r="M6" s="118" t="s">
        <v>4040</v>
      </c>
      <c r="N6" s="118" t="s">
        <v>2750</v>
      </c>
      <c r="O6" s="118" t="s">
        <v>4216</v>
      </c>
      <c r="P6" s="511" t="s">
        <v>1964</v>
      </c>
      <c r="Q6" s="512"/>
      <c r="R6" s="512"/>
      <c r="S6" s="512"/>
      <c r="T6" s="513"/>
      <c r="U6" s="514" t="s">
        <v>1549</v>
      </c>
      <c r="V6" s="189"/>
      <c r="W6" s="190"/>
      <c r="X6" s="515" t="s">
        <v>1634</v>
      </c>
      <c r="Y6" s="516"/>
      <c r="Z6" s="517"/>
      <c r="AA6" s="514" t="s">
        <v>1523</v>
      </c>
      <c r="AB6" s="189"/>
      <c r="AC6" s="190"/>
      <c r="AD6" s="113" t="s">
        <v>1550</v>
      </c>
      <c r="AE6" s="113"/>
      <c r="AF6" s="113"/>
      <c r="AG6" s="118" t="s">
        <v>1551</v>
      </c>
      <c r="AH6" s="118" t="s">
        <v>308</v>
      </c>
      <c r="BA6" s="191"/>
      <c r="BB6" s="100"/>
      <c r="BC6" s="100"/>
      <c r="BD6" s="100"/>
      <c r="BE6" s="100"/>
      <c r="BF6" s="192" t="s">
        <v>1639</v>
      </c>
      <c r="BG6" s="192" t="s">
        <v>1640</v>
      </c>
      <c r="BH6" s="118" t="s">
        <v>1748</v>
      </c>
      <c r="BI6" s="118" t="s">
        <v>4217</v>
      </c>
      <c r="BJ6" s="118" t="s">
        <v>3695</v>
      </c>
      <c r="BK6" s="118" t="s">
        <v>1712</v>
      </c>
      <c r="BL6" s="118" t="s">
        <v>3696</v>
      </c>
      <c r="BM6" s="118" t="s">
        <v>1641</v>
      </c>
      <c r="BN6" s="118" t="s">
        <v>2209</v>
      </c>
      <c r="BO6" s="118" t="s">
        <v>3697</v>
      </c>
      <c r="BP6" s="118" t="s">
        <v>1644</v>
      </c>
      <c r="BQ6" s="191"/>
      <c r="BR6" s="191" t="s">
        <v>3698</v>
      </c>
      <c r="BS6" s="185"/>
      <c r="BT6" s="185"/>
      <c r="BU6" s="766">
        <f>参数表!$E$16</f>
        <v>0</v>
      </c>
      <c r="BV6" s="766"/>
      <c r="BW6" s="766"/>
      <c r="BX6" s="766"/>
      <c r="BY6" s="185"/>
      <c r="BZ6" s="530" t="str">
        <f>BB2</f>
        <v>2025年7月31日</v>
      </c>
      <c r="CA6" s="185"/>
      <c r="CB6" s="767"/>
      <c r="CC6" s="185"/>
      <c r="CD6" s="185"/>
      <c r="CE6" s="767"/>
      <c r="CF6" s="768">
        <v>0.4</v>
      </c>
      <c r="CG6" s="768">
        <v>0.6</v>
      </c>
      <c r="CH6" s="767"/>
      <c r="CI6" s="111"/>
      <c r="CJ6" s="78"/>
      <c r="CK6" s="78"/>
      <c r="CL6" s="78"/>
      <c r="CM6" s="78"/>
      <c r="CN6" s="78"/>
      <c r="CO6" s="78"/>
      <c r="CP6" s="194"/>
      <c r="CQ6" s="111"/>
    </row>
    <row r="7" s="72" customFormat="1" ht="15" customHeight="1" spans="1:95">
      <c r="A7" s="195"/>
      <c r="B7" s="149"/>
      <c r="C7" s="695"/>
      <c r="D7" s="769"/>
      <c r="E7" s="149"/>
      <c r="F7" s="149"/>
      <c r="G7" s="531"/>
      <c r="H7" s="198"/>
      <c r="I7" s="532"/>
      <c r="J7" s="149"/>
      <c r="K7" s="113"/>
      <c r="L7" s="113"/>
      <c r="M7" s="113"/>
      <c r="N7" s="113"/>
      <c r="O7" s="113"/>
      <c r="P7" s="519" t="s">
        <v>1968</v>
      </c>
      <c r="Q7" s="519" t="s">
        <v>1969</v>
      </c>
      <c r="R7" s="519" t="s">
        <v>3699</v>
      </c>
      <c r="S7" s="519" t="s">
        <v>3700</v>
      </c>
      <c r="T7" s="149" t="s">
        <v>3701</v>
      </c>
      <c r="U7" s="113" t="s">
        <v>1556</v>
      </c>
      <c r="V7" s="113" t="s">
        <v>1557</v>
      </c>
      <c r="W7" s="113" t="s">
        <v>3702</v>
      </c>
      <c r="X7" s="117" t="s">
        <v>3703</v>
      </c>
      <c r="Y7" s="117" t="s">
        <v>3704</v>
      </c>
      <c r="Z7" s="117" t="s">
        <v>3705</v>
      </c>
      <c r="AA7" s="113" t="s">
        <v>1556</v>
      </c>
      <c r="AB7" s="113" t="s">
        <v>1557</v>
      </c>
      <c r="AC7" s="113" t="s">
        <v>3702</v>
      </c>
      <c r="AD7" s="113" t="s">
        <v>1556</v>
      </c>
      <c r="AE7" s="149" t="s">
        <v>2753</v>
      </c>
      <c r="AF7" s="113" t="s">
        <v>1557</v>
      </c>
      <c r="AG7" s="113"/>
      <c r="AH7" s="113"/>
      <c r="BA7" s="100" t="s">
        <v>1545</v>
      </c>
      <c r="BB7" s="100" t="s">
        <v>1635</v>
      </c>
      <c r="BC7" s="100" t="s">
        <v>1636</v>
      </c>
      <c r="BD7" s="100" t="s">
        <v>1637</v>
      </c>
      <c r="BE7" s="100" t="s">
        <v>1638</v>
      </c>
      <c r="BF7" s="197"/>
      <c r="BG7" s="197"/>
      <c r="BH7" s="118"/>
      <c r="BI7" s="118"/>
      <c r="BJ7" s="118"/>
      <c r="BK7" s="118"/>
      <c r="BL7" s="118"/>
      <c r="BM7" s="118"/>
      <c r="BN7" s="118"/>
      <c r="BO7" s="118"/>
      <c r="BP7" s="118"/>
      <c r="BQ7" s="520" t="s">
        <v>2667</v>
      </c>
      <c r="BR7" s="184" t="s">
        <v>2210</v>
      </c>
      <c r="BS7" s="184" t="s">
        <v>2767</v>
      </c>
      <c r="BT7" s="184" t="s">
        <v>4218</v>
      </c>
      <c r="BU7" s="184" t="s">
        <v>2757</v>
      </c>
      <c r="BV7" s="184" t="s">
        <v>4219</v>
      </c>
      <c r="BW7" s="184" t="s">
        <v>4220</v>
      </c>
      <c r="BX7" s="184" t="s">
        <v>4221</v>
      </c>
      <c r="BY7" s="184" t="s">
        <v>4222</v>
      </c>
      <c r="BZ7" s="184" t="s">
        <v>2761</v>
      </c>
      <c r="CA7" s="184" t="s">
        <v>2763</v>
      </c>
      <c r="CB7" s="770" t="s">
        <v>3718</v>
      </c>
      <c r="CC7" s="184" t="s">
        <v>4223</v>
      </c>
      <c r="CD7" s="184" t="s">
        <v>4224</v>
      </c>
      <c r="CE7" s="770" t="s">
        <v>4225</v>
      </c>
      <c r="CF7" s="770" t="s">
        <v>4226</v>
      </c>
      <c r="CG7" s="770" t="s">
        <v>3719</v>
      </c>
      <c r="CH7" s="770" t="s">
        <v>3720</v>
      </c>
      <c r="CI7" s="119"/>
      <c r="CJ7" s="120" t="s">
        <v>1645</v>
      </c>
      <c r="CK7" s="121" t="s">
        <v>1646</v>
      </c>
      <c r="CL7" s="121" t="s">
        <v>1647</v>
      </c>
      <c r="CM7" s="121" t="s">
        <v>1648</v>
      </c>
      <c r="CN7" s="121" t="s">
        <v>1647</v>
      </c>
      <c r="CO7" s="121" t="s">
        <v>1647</v>
      </c>
      <c r="CP7" s="121" t="s">
        <v>1649</v>
      </c>
      <c r="CQ7" s="122" t="s">
        <v>1650</v>
      </c>
    </row>
    <row r="8" ht="15" customHeight="1" spans="1:95">
      <c r="A8" s="123" t="str">
        <f>IF(E8="","",COUNT(A$7:A7)+1)</f>
        <v/>
      </c>
      <c r="B8" s="123"/>
      <c r="C8" s="126"/>
      <c r="D8" s="771"/>
      <c r="E8" s="772"/>
      <c r="F8" s="124"/>
      <c r="G8" s="124"/>
      <c r="H8" s="126"/>
      <c r="I8" s="533"/>
      <c r="J8" s="772"/>
      <c r="K8" s="771"/>
      <c r="L8" s="126"/>
      <c r="M8" s="125"/>
      <c r="N8" s="125"/>
      <c r="O8" s="199"/>
      <c r="P8" s="127"/>
      <c r="Q8" s="127"/>
      <c r="R8" s="128"/>
      <c r="S8" s="128"/>
      <c r="T8" s="129"/>
      <c r="U8" s="129"/>
      <c r="V8" s="129"/>
      <c r="W8" s="129"/>
      <c r="X8" s="130"/>
      <c r="Y8" s="130"/>
      <c r="Z8" s="130"/>
      <c r="AA8" s="129" t="str">
        <f>IF(E8="","",U8+X8)</f>
        <v/>
      </c>
      <c r="AB8" s="129" t="str">
        <f>IF(E8="","",V8+Y8)</f>
        <v/>
      </c>
      <c r="AC8" s="129" t="str">
        <f>IF(E8="","",W8+Z8)</f>
        <v/>
      </c>
      <c r="AD8" s="129" t="str">
        <f t="shared" ref="AD8:AD13" si="0">IF(E8="","",IF($BB$3="是",IF(BQ8="成本法",BY8,BT8),""))</f>
        <v/>
      </c>
      <c r="AE8" s="521" t="str">
        <f>IF(E8="","",IF($BB$3="是",IF(BQ8="成本法",MIN(MAX(15,CH8*100),99),""),""))</f>
        <v/>
      </c>
      <c r="AF8" s="129" t="str">
        <f>IFERROR(IF(AE8="",AD8,ROUND(AD8*AE8/100,0)),"")</f>
        <v/>
      </c>
      <c r="AG8" s="129" t="str">
        <f>IFERROR((AF8-(AB8-AC8))/(AB8-AC8)*100,"")</f>
        <v/>
      </c>
      <c r="AH8" s="131"/>
      <c r="BA8" s="78"/>
      <c r="BB8" s="132" t="s">
        <v>4227</v>
      </c>
      <c r="BC8" s="133"/>
      <c r="BD8" s="132" t="str">
        <f>IF(OR(E8="",BC8=""),"",COUNTIF(BC$8:BC8,"√"))</f>
        <v/>
      </c>
      <c r="BE8" s="134" t="str">
        <f t="shared" ref="BE8:BE13" si="1">IF(BC8="","",BB8&amp;"︱"&amp;E8&amp;"︱"&amp;TEXT(U8,"#,##0.00"))</f>
        <v/>
      </c>
      <c r="BF8" s="135" t="str">
        <f>IF($C8="","",IF(BF$5=0,"OK","出错"))</f>
        <v/>
      </c>
      <c r="BG8" s="135" t="str">
        <f>IF($C8="","",IF(BG$5=0,"OK","出错"))</f>
        <v/>
      </c>
      <c r="BH8" s="136"/>
      <c r="BI8" s="137"/>
      <c r="BJ8" s="136"/>
      <c r="BK8" s="136"/>
      <c r="BL8" s="136"/>
      <c r="BM8" s="136"/>
      <c r="BN8" s="137"/>
      <c r="BO8" s="136"/>
      <c r="BP8" s="137"/>
      <c r="BQ8" s="165" t="s">
        <v>2706</v>
      </c>
      <c r="BR8" s="534">
        <v>81800</v>
      </c>
      <c r="BS8" s="773" t="s">
        <v>4228</v>
      </c>
      <c r="BT8" s="522">
        <f t="shared" ref="BT8:BT13" si="2">ROUND(BR8*L8,2)</f>
        <v>0</v>
      </c>
      <c r="BU8" s="522">
        <f t="shared" ref="BU8:BU13" si="3">ROUND(BT8/(1+BU$6)*BU$6,2)</f>
        <v>0</v>
      </c>
      <c r="BV8" s="523">
        <v>0.1</v>
      </c>
      <c r="BW8" s="522">
        <f>ROUND((BT8-BU8)*BV8,2)</f>
        <v>0</v>
      </c>
      <c r="BX8" s="534">
        <v>300</v>
      </c>
      <c r="BY8" s="522">
        <f>ROUND(SUM(BT8,BW8:BX8)-BU8,-2)</f>
        <v>300</v>
      </c>
      <c r="BZ8" s="522">
        <f t="shared" ref="BZ8:BZ13" si="4">(BZ$6-N8)/365.25</f>
        <v>125.582477754962</v>
      </c>
      <c r="CA8" s="676">
        <v>15</v>
      </c>
      <c r="CB8" s="774">
        <f>IFERROR(1-BZ8/CA8,0)</f>
        <v>-7.37216518366416</v>
      </c>
      <c r="CC8" s="522">
        <f t="shared" ref="CC8:CC13" si="5">O8</f>
        <v>0</v>
      </c>
      <c r="CD8" s="676">
        <v>600000</v>
      </c>
      <c r="CE8" s="774">
        <f>IFERROR(1-CC8/CD8,0)</f>
        <v>1</v>
      </c>
      <c r="CF8" s="774">
        <f>IF(CE8=0,CB8,MIN(CB8,CE8))</f>
        <v>-7.37216518366416</v>
      </c>
      <c r="CG8" s="774">
        <f>CF8+5%</f>
        <v>-7.32216518366416</v>
      </c>
      <c r="CH8" s="774">
        <f t="shared" ref="CH8:CH13" si="6">ROUND(IF(ABS(CG8-CF8)&gt;5%,CG8,CF8*CF$6+CG8*CG$6),2)</f>
        <v>-7.34</v>
      </c>
      <c r="CJ8" s="134" t="str">
        <f>IF(COUNTIF(CJ$7:CJ7,E8)&gt;0,"",E8)&amp;""</f>
        <v/>
      </c>
      <c r="CK8" s="138">
        <f t="shared" ref="CK8:CK13" si="7">SUMIF(E$8:E$13,CJ8,AA$8:AA$13)</f>
        <v>0</v>
      </c>
      <c r="CL8" s="132">
        <f t="shared" ref="CL8:CL13" si="8">RANK(CK8,CK$8:CK$13)</f>
        <v>1</v>
      </c>
      <c r="CM8" s="138">
        <f t="shared" ref="CM8:CM13" si="9">SUMIF(E$8:E$13,CJ8,AD$8:AD$13)</f>
        <v>0</v>
      </c>
      <c r="CN8" s="132">
        <f t="shared" ref="CN8:CN13" si="10">RANK(CM8,CM$8:CM$13)</f>
        <v>1</v>
      </c>
      <c r="CO8" s="138">
        <f>SUM(CK8:CK13)</f>
        <v>0</v>
      </c>
      <c r="CP8" s="138"/>
      <c r="CQ8" s="138"/>
    </row>
    <row r="9" ht="15" customHeight="1" spans="1:95">
      <c r="A9" s="123" t="str">
        <f>IF(E9="","",COUNT(A$7:A8)+1)</f>
        <v/>
      </c>
      <c r="B9" s="141"/>
      <c r="C9" s="141"/>
      <c r="D9" s="141"/>
      <c r="E9" s="139"/>
      <c r="F9" s="139"/>
      <c r="G9" s="535"/>
      <c r="H9" s="141"/>
      <c r="I9" s="536"/>
      <c r="J9" s="139"/>
      <c r="K9" s="141"/>
      <c r="L9" s="141"/>
      <c r="M9" s="140"/>
      <c r="N9" s="140"/>
      <c r="O9" s="200"/>
      <c r="P9" s="142"/>
      <c r="Q9" s="127"/>
      <c r="R9" s="128"/>
      <c r="S9" s="128"/>
      <c r="T9" s="129"/>
      <c r="U9" s="143"/>
      <c r="V9" s="143"/>
      <c r="W9" s="143"/>
      <c r="X9" s="143"/>
      <c r="Y9" s="143"/>
      <c r="Z9" s="143"/>
      <c r="AA9" s="129" t="str">
        <f t="shared" ref="AA9:AA13" si="11">IF(E9="","",U9+X9)</f>
        <v/>
      </c>
      <c r="AB9" s="129" t="str">
        <f t="shared" ref="AB9:AB13" si="12">IF(E9="","",V9+Y9)</f>
        <v/>
      </c>
      <c r="AC9" s="129" t="str">
        <f t="shared" ref="AC9:AC13" si="13">IF(E9="","",W9+Z9)</f>
        <v/>
      </c>
      <c r="AD9" s="129" t="str">
        <f t="shared" si="0"/>
        <v/>
      </c>
      <c r="AE9" s="521" t="str">
        <f t="shared" ref="AE9:AE13" si="14">IF(E9="","",IF($BB$3="是",IF(BQ9="成本法",MIN(MAX(15,CH9*100),99),""),""))</f>
        <v/>
      </c>
      <c r="AF9" s="129" t="str">
        <f t="shared" ref="AF9:AF13" si="15">IFERROR(IF(AE9="",AD9,ROUND(AD9*AE9/100,0)),"")</f>
        <v/>
      </c>
      <c r="AG9" s="129" t="str">
        <f t="shared" ref="AG9:AG16" si="16">IFERROR((AF9-(AB9-AC9))/(AB9-AC9)*100,"")</f>
        <v/>
      </c>
      <c r="AH9" s="145"/>
      <c r="BA9" s="78"/>
      <c r="BB9" s="132" t="s">
        <v>4229</v>
      </c>
      <c r="BC9" s="133"/>
      <c r="BD9" s="132" t="str">
        <f>IF(OR(E9="",BC9=""),"",COUNTIF(BC$8:BC9,"√"))</f>
        <v/>
      </c>
      <c r="BE9" s="134" t="str">
        <f t="shared" si="1"/>
        <v/>
      </c>
      <c r="BF9" s="135" t="str">
        <f t="shared" ref="BF9:BG13" si="17">IF($C9="","",IF(BF$5=0,"OK","出错"))</f>
        <v/>
      </c>
      <c r="BG9" s="135" t="str">
        <f t="shared" si="17"/>
        <v/>
      </c>
      <c r="BH9" s="136"/>
      <c r="BI9" s="137"/>
      <c r="BJ9" s="136"/>
      <c r="BK9" s="136"/>
      <c r="BL9" s="136"/>
      <c r="BM9" s="136"/>
      <c r="BN9" s="137"/>
      <c r="BO9" s="136"/>
      <c r="BP9" s="137"/>
      <c r="BQ9" s="165" t="s">
        <v>2706</v>
      </c>
      <c r="BR9" s="534"/>
      <c r="BS9" s="534"/>
      <c r="BT9" s="522">
        <f t="shared" si="2"/>
        <v>0</v>
      </c>
      <c r="BU9" s="522">
        <f t="shared" si="3"/>
        <v>0</v>
      </c>
      <c r="BV9" s="523">
        <v>0.1</v>
      </c>
      <c r="BW9" s="522">
        <f t="shared" ref="BW9:BW13" si="18">ROUND((BT9-BU9)*BV9,2)</f>
        <v>0</v>
      </c>
      <c r="BX9" s="534"/>
      <c r="BY9" s="522">
        <f t="shared" ref="BY9:BY13" si="19">ROUND(SUM(BT9,BW9:BX9)-BU9,-2)</f>
        <v>0</v>
      </c>
      <c r="BZ9" s="522">
        <f t="shared" si="4"/>
        <v>125.582477754962</v>
      </c>
      <c r="CA9" s="676"/>
      <c r="CB9" s="774">
        <f t="shared" ref="CB9:CB13" si="20">IFERROR(1-BZ9/CA9,0)</f>
        <v>0</v>
      </c>
      <c r="CC9" s="522">
        <f t="shared" si="5"/>
        <v>0</v>
      </c>
      <c r="CD9" s="676"/>
      <c r="CE9" s="774">
        <f t="shared" ref="CE9:CE13" si="21">IFERROR(1-CC9/CD9,0)</f>
        <v>0</v>
      </c>
      <c r="CF9" s="774">
        <f t="shared" ref="CF9:CF13" si="22">IF(CE9=0,CB9,MIN(CB9,CE9))</f>
        <v>0</v>
      </c>
      <c r="CG9" s="774">
        <f t="shared" ref="CG9:CG13" si="23">CF9</f>
        <v>0</v>
      </c>
      <c r="CH9" s="774">
        <f t="shared" si="6"/>
        <v>0</v>
      </c>
      <c r="CJ9" s="134" t="str">
        <f>IF(COUNTIF(CJ$7:CJ8,E9)&gt;0,"",E9)&amp;""</f>
        <v/>
      </c>
      <c r="CK9" s="138">
        <f t="shared" si="7"/>
        <v>0</v>
      </c>
      <c r="CL9" s="132">
        <f t="shared" si="8"/>
        <v>1</v>
      </c>
      <c r="CM9" s="138">
        <f t="shared" si="9"/>
        <v>0</v>
      </c>
      <c r="CN9" s="132">
        <f t="shared" si="10"/>
        <v>1</v>
      </c>
      <c r="CO9" s="138">
        <f>SUM(CM8:CM13)</f>
        <v>0</v>
      </c>
      <c r="CP9" s="138"/>
      <c r="CQ9" s="138"/>
    </row>
    <row r="10" ht="15" customHeight="1" spans="1:95">
      <c r="A10" s="123" t="str">
        <f>IF(E10="","",COUNT(A$7:A9)+1)</f>
        <v/>
      </c>
      <c r="B10" s="141"/>
      <c r="C10" s="141"/>
      <c r="D10" s="141"/>
      <c r="E10" s="139"/>
      <c r="F10" s="139"/>
      <c r="G10" s="535"/>
      <c r="H10" s="141"/>
      <c r="I10" s="536"/>
      <c r="J10" s="139"/>
      <c r="K10" s="141"/>
      <c r="L10" s="141"/>
      <c r="M10" s="140"/>
      <c r="N10" s="140"/>
      <c r="O10" s="200"/>
      <c r="P10" s="142"/>
      <c r="Q10" s="127"/>
      <c r="R10" s="128"/>
      <c r="S10" s="128"/>
      <c r="T10" s="129"/>
      <c r="U10" s="143"/>
      <c r="V10" s="143"/>
      <c r="W10" s="143"/>
      <c r="X10" s="143"/>
      <c r="Y10" s="143"/>
      <c r="Z10" s="143"/>
      <c r="AA10" s="129" t="str">
        <f t="shared" si="11"/>
        <v/>
      </c>
      <c r="AB10" s="129" t="str">
        <f t="shared" si="12"/>
        <v/>
      </c>
      <c r="AC10" s="129" t="str">
        <f t="shared" si="13"/>
        <v/>
      </c>
      <c r="AD10" s="129" t="str">
        <f t="shared" si="0"/>
        <v/>
      </c>
      <c r="AE10" s="521" t="str">
        <f t="shared" si="14"/>
        <v/>
      </c>
      <c r="AF10" s="129" t="str">
        <f t="shared" si="15"/>
        <v/>
      </c>
      <c r="AG10" s="129" t="str">
        <f t="shared" si="16"/>
        <v/>
      </c>
      <c r="AH10" s="145"/>
      <c r="BA10" s="78"/>
      <c r="BB10" s="132" t="s">
        <v>4230</v>
      </c>
      <c r="BC10" s="133"/>
      <c r="BD10" s="132" t="str">
        <f>IF(OR(E10="",BC10=""),"",COUNTIF(BC$8:BC10,"√"))</f>
        <v/>
      </c>
      <c r="BE10" s="134" t="str">
        <f t="shared" si="1"/>
        <v/>
      </c>
      <c r="BF10" s="135" t="str">
        <f t="shared" si="17"/>
        <v/>
      </c>
      <c r="BG10" s="135" t="str">
        <f t="shared" si="17"/>
        <v/>
      </c>
      <c r="BH10" s="136"/>
      <c r="BI10" s="137"/>
      <c r="BJ10" s="136"/>
      <c r="BK10" s="136"/>
      <c r="BL10" s="136"/>
      <c r="BM10" s="136"/>
      <c r="BN10" s="137"/>
      <c r="BO10" s="136"/>
      <c r="BP10" s="137"/>
      <c r="BQ10" s="165" t="s">
        <v>2706</v>
      </c>
      <c r="BR10" s="534"/>
      <c r="BS10" s="534"/>
      <c r="BT10" s="522">
        <f t="shared" si="2"/>
        <v>0</v>
      </c>
      <c r="BU10" s="522">
        <f t="shared" si="3"/>
        <v>0</v>
      </c>
      <c r="BV10" s="523">
        <v>0.1</v>
      </c>
      <c r="BW10" s="522">
        <f t="shared" si="18"/>
        <v>0</v>
      </c>
      <c r="BX10" s="534"/>
      <c r="BY10" s="522">
        <f t="shared" si="19"/>
        <v>0</v>
      </c>
      <c r="BZ10" s="522">
        <f t="shared" si="4"/>
        <v>125.582477754962</v>
      </c>
      <c r="CA10" s="676"/>
      <c r="CB10" s="774">
        <f t="shared" si="20"/>
        <v>0</v>
      </c>
      <c r="CC10" s="522">
        <f t="shared" si="5"/>
        <v>0</v>
      </c>
      <c r="CD10" s="676"/>
      <c r="CE10" s="774">
        <f t="shared" si="21"/>
        <v>0</v>
      </c>
      <c r="CF10" s="774">
        <f t="shared" si="22"/>
        <v>0</v>
      </c>
      <c r="CG10" s="774">
        <f t="shared" si="23"/>
        <v>0</v>
      </c>
      <c r="CH10" s="774">
        <f t="shared" si="6"/>
        <v>0</v>
      </c>
      <c r="CJ10" s="134" t="str">
        <f>IF(COUNTIF(CJ$7:CJ9,E10)&gt;0,"",E10)&amp;""</f>
        <v/>
      </c>
      <c r="CK10" s="138">
        <f t="shared" si="7"/>
        <v>0</v>
      </c>
      <c r="CL10" s="132">
        <f t="shared" si="8"/>
        <v>1</v>
      </c>
      <c r="CM10" s="138">
        <f t="shared" si="9"/>
        <v>0</v>
      </c>
      <c r="CN10" s="132">
        <f t="shared" si="10"/>
        <v>1</v>
      </c>
      <c r="CO10" s="132">
        <v>1</v>
      </c>
      <c r="CP10" s="134" t="str">
        <f>IFERROR(INDEX(CJ$8:CJ$13,MATCH(CO10,IF(CO$8=0,CN$8:CN$13,CL$8:CL$13),0))&amp;"","")</f>
        <v/>
      </c>
      <c r="CQ10" s="146" t="str">
        <f>IF(CP11="","",IF(CP12="","和","、"))</f>
        <v/>
      </c>
    </row>
    <row r="11" ht="15" customHeight="1" spans="1:95">
      <c r="A11" s="123" t="str">
        <f>IF(E11="","",COUNT(A$7:A10)+1)</f>
        <v/>
      </c>
      <c r="B11" s="141"/>
      <c r="C11" s="141"/>
      <c r="D11" s="141"/>
      <c r="E11" s="139"/>
      <c r="F11" s="139"/>
      <c r="G11" s="535"/>
      <c r="H11" s="141"/>
      <c r="I11" s="536"/>
      <c r="J11" s="139"/>
      <c r="K11" s="141"/>
      <c r="L11" s="141"/>
      <c r="M11" s="140"/>
      <c r="N11" s="140"/>
      <c r="O11" s="200"/>
      <c r="P11" s="142"/>
      <c r="Q11" s="127" t="str">
        <f>IFERROR(VLOOKUP(P11,参数表!$H$2:$I$50,2,FALSE),"")</f>
        <v/>
      </c>
      <c r="R11" s="128" t="str">
        <f t="shared" ref="R11:R13" si="24">IFERROR(IF(OR(P11="人民币",P11=""),"",AA11/Q11),"")</f>
        <v/>
      </c>
      <c r="S11" s="128" t="str">
        <f t="shared" ref="S11:S13" si="25">IFERROR(IF(OR(P11="人民币",P11=""),"",AB11/Q11),"")</f>
        <v/>
      </c>
      <c r="T11" s="129" t="str">
        <f t="shared" ref="T11:T13" si="26">IFERROR(IF(OR(P11="人民币",P11=""),"",AC11/Q11),"")</f>
        <v/>
      </c>
      <c r="U11" s="143"/>
      <c r="V11" s="143"/>
      <c r="W11" s="143"/>
      <c r="X11" s="143"/>
      <c r="Y11" s="143"/>
      <c r="Z11" s="143"/>
      <c r="AA11" s="129" t="str">
        <f t="shared" si="11"/>
        <v/>
      </c>
      <c r="AB11" s="129" t="str">
        <f t="shared" si="12"/>
        <v/>
      </c>
      <c r="AC11" s="129" t="str">
        <f t="shared" si="13"/>
        <v/>
      </c>
      <c r="AD11" s="129" t="str">
        <f t="shared" si="0"/>
        <v/>
      </c>
      <c r="AE11" s="521" t="str">
        <f t="shared" si="14"/>
        <v/>
      </c>
      <c r="AF11" s="129" t="str">
        <f t="shared" si="15"/>
        <v/>
      </c>
      <c r="AG11" s="129" t="str">
        <f t="shared" si="16"/>
        <v/>
      </c>
      <c r="AH11" s="145"/>
      <c r="BA11" s="78"/>
      <c r="BB11" s="132" t="s">
        <v>4231</v>
      </c>
      <c r="BC11" s="133"/>
      <c r="BD11" s="132" t="str">
        <f>IF(OR(E11="",BC11=""),"",COUNTIF(BC$8:BC11,"√"))</f>
        <v/>
      </c>
      <c r="BE11" s="134" t="str">
        <f t="shared" si="1"/>
        <v/>
      </c>
      <c r="BF11" s="135" t="str">
        <f t="shared" si="17"/>
        <v/>
      </c>
      <c r="BG11" s="135" t="str">
        <f t="shared" si="17"/>
        <v/>
      </c>
      <c r="BH11" s="136"/>
      <c r="BI11" s="137"/>
      <c r="BJ11" s="136"/>
      <c r="BK11" s="136"/>
      <c r="BL11" s="136"/>
      <c r="BM11" s="136"/>
      <c r="BN11" s="137"/>
      <c r="BO11" s="136"/>
      <c r="BP11" s="137"/>
      <c r="BQ11" s="165" t="s">
        <v>2706</v>
      </c>
      <c r="BR11" s="534"/>
      <c r="BS11" s="534"/>
      <c r="BT11" s="522">
        <f t="shared" si="2"/>
        <v>0</v>
      </c>
      <c r="BU11" s="522">
        <f t="shared" si="3"/>
        <v>0</v>
      </c>
      <c r="BV11" s="523">
        <v>0.1</v>
      </c>
      <c r="BW11" s="522">
        <f t="shared" si="18"/>
        <v>0</v>
      </c>
      <c r="BX11" s="534"/>
      <c r="BY11" s="522">
        <f t="shared" si="19"/>
        <v>0</v>
      </c>
      <c r="BZ11" s="522">
        <f t="shared" si="4"/>
        <v>125.582477754962</v>
      </c>
      <c r="CA11" s="676"/>
      <c r="CB11" s="774">
        <f t="shared" si="20"/>
        <v>0</v>
      </c>
      <c r="CC11" s="522">
        <f t="shared" si="5"/>
        <v>0</v>
      </c>
      <c r="CD11" s="676"/>
      <c r="CE11" s="774">
        <f t="shared" si="21"/>
        <v>0</v>
      </c>
      <c r="CF11" s="774">
        <f t="shared" si="22"/>
        <v>0</v>
      </c>
      <c r="CG11" s="774">
        <f t="shared" si="23"/>
        <v>0</v>
      </c>
      <c r="CH11" s="774">
        <f t="shared" si="6"/>
        <v>0</v>
      </c>
      <c r="CJ11" s="134" t="str">
        <f>IF(COUNTIF(CJ$7:CJ10,E11)&gt;0,"",E11)&amp;""</f>
        <v/>
      </c>
      <c r="CK11" s="138">
        <f t="shared" si="7"/>
        <v>0</v>
      </c>
      <c r="CL11" s="132">
        <f t="shared" si="8"/>
        <v>1</v>
      </c>
      <c r="CM11" s="138">
        <f t="shared" si="9"/>
        <v>0</v>
      </c>
      <c r="CN11" s="132">
        <f t="shared" si="10"/>
        <v>1</v>
      </c>
      <c r="CO11" s="132">
        <v>2</v>
      </c>
      <c r="CP11" s="134" t="str">
        <f>IFERROR(INDEX(CJ$8:CJ$13,MATCH(CO11,IF(CO$8=0,CN$8:CN$13,CL$8:CL$13),0))&amp;"","")</f>
        <v/>
      </c>
      <c r="CQ11" s="146" t="str">
        <f>IF(CP12="","",IF(#REF!="","和","、"))</f>
        <v/>
      </c>
    </row>
    <row r="12" ht="15" customHeight="1" spans="1:95">
      <c r="A12" s="123" t="str">
        <f>IF(E12="","",COUNT(A$7:A11)+1)</f>
        <v/>
      </c>
      <c r="B12" s="141"/>
      <c r="C12" s="141"/>
      <c r="D12" s="141"/>
      <c r="E12" s="139"/>
      <c r="F12" s="139"/>
      <c r="G12" s="535"/>
      <c r="H12" s="141"/>
      <c r="I12" s="536"/>
      <c r="J12" s="139"/>
      <c r="K12" s="141"/>
      <c r="L12" s="141"/>
      <c r="M12" s="140"/>
      <c r="N12" s="140"/>
      <c r="O12" s="200"/>
      <c r="P12" s="142"/>
      <c r="Q12" s="127" t="str">
        <f>IFERROR(VLOOKUP(P12,参数表!$H$2:$I$50,2,FALSE),"")</f>
        <v/>
      </c>
      <c r="R12" s="128" t="str">
        <f t="shared" si="24"/>
        <v/>
      </c>
      <c r="S12" s="128" t="str">
        <f t="shared" si="25"/>
        <v/>
      </c>
      <c r="T12" s="129" t="str">
        <f t="shared" si="26"/>
        <v/>
      </c>
      <c r="U12" s="143"/>
      <c r="V12" s="143"/>
      <c r="W12" s="143"/>
      <c r="X12" s="143"/>
      <c r="Y12" s="143"/>
      <c r="Z12" s="143"/>
      <c r="AA12" s="129" t="str">
        <f t="shared" si="11"/>
        <v/>
      </c>
      <c r="AB12" s="129" t="str">
        <f t="shared" si="12"/>
        <v/>
      </c>
      <c r="AC12" s="129" t="str">
        <f t="shared" si="13"/>
        <v/>
      </c>
      <c r="AD12" s="129" t="str">
        <f t="shared" si="0"/>
        <v/>
      </c>
      <c r="AE12" s="521" t="str">
        <f t="shared" si="14"/>
        <v/>
      </c>
      <c r="AF12" s="129" t="str">
        <f t="shared" si="15"/>
        <v/>
      </c>
      <c r="AG12" s="129" t="str">
        <f t="shared" si="16"/>
        <v/>
      </c>
      <c r="AH12" s="145"/>
      <c r="BA12" s="78"/>
      <c r="BB12" s="132" t="s">
        <v>4232</v>
      </c>
      <c r="BC12" s="133"/>
      <c r="BD12" s="132" t="str">
        <f>IF(OR(E12="",BC12=""),"",COUNTIF(BC$8:BC12,"√"))</f>
        <v/>
      </c>
      <c r="BE12" s="134" t="str">
        <f t="shared" si="1"/>
        <v/>
      </c>
      <c r="BF12" s="135" t="str">
        <f t="shared" si="17"/>
        <v/>
      </c>
      <c r="BG12" s="135" t="str">
        <f t="shared" si="17"/>
        <v/>
      </c>
      <c r="BH12" s="136"/>
      <c r="BI12" s="137"/>
      <c r="BJ12" s="136"/>
      <c r="BK12" s="136"/>
      <c r="BL12" s="136"/>
      <c r="BM12" s="136"/>
      <c r="BN12" s="137"/>
      <c r="BO12" s="136"/>
      <c r="BP12" s="137"/>
      <c r="BQ12" s="165" t="s">
        <v>2706</v>
      </c>
      <c r="BR12" s="534"/>
      <c r="BS12" s="534"/>
      <c r="BT12" s="522">
        <f t="shared" si="2"/>
        <v>0</v>
      </c>
      <c r="BU12" s="522">
        <f t="shared" si="3"/>
        <v>0</v>
      </c>
      <c r="BV12" s="523">
        <v>0.1</v>
      </c>
      <c r="BW12" s="522">
        <f t="shared" si="18"/>
        <v>0</v>
      </c>
      <c r="BX12" s="534"/>
      <c r="BY12" s="522">
        <f t="shared" si="19"/>
        <v>0</v>
      </c>
      <c r="BZ12" s="522">
        <f t="shared" si="4"/>
        <v>125.582477754962</v>
      </c>
      <c r="CA12" s="676"/>
      <c r="CB12" s="774">
        <f t="shared" si="20"/>
        <v>0</v>
      </c>
      <c r="CC12" s="522">
        <f t="shared" si="5"/>
        <v>0</v>
      </c>
      <c r="CD12" s="676"/>
      <c r="CE12" s="774">
        <f t="shared" si="21"/>
        <v>0</v>
      </c>
      <c r="CF12" s="774">
        <f t="shared" si="22"/>
        <v>0</v>
      </c>
      <c r="CG12" s="774">
        <f t="shared" si="23"/>
        <v>0</v>
      </c>
      <c r="CH12" s="774">
        <f t="shared" si="6"/>
        <v>0</v>
      </c>
      <c r="CJ12" s="134" t="str">
        <f>IF(COUNTIF(CJ$7:CJ11,E12)&gt;0,"",E12)&amp;""</f>
        <v/>
      </c>
      <c r="CK12" s="138">
        <f t="shared" si="7"/>
        <v>0</v>
      </c>
      <c r="CL12" s="132">
        <f t="shared" si="8"/>
        <v>1</v>
      </c>
      <c r="CM12" s="138">
        <f t="shared" si="9"/>
        <v>0</v>
      </c>
      <c r="CN12" s="132">
        <f t="shared" si="10"/>
        <v>1</v>
      </c>
      <c r="CO12" s="132">
        <v>3</v>
      </c>
      <c r="CP12" s="134" t="str">
        <f>IFERROR(INDEX(CJ$8:CJ$13,MATCH(CO12,IF(CO$8=0,CN$8:CN$13,CL$8:CL$13),0))&amp;"","")</f>
        <v/>
      </c>
      <c r="CQ12" s="146" t="e">
        <f>IF(#REF!="","",IF(#REF!="","和","、"))</f>
        <v>#REF!</v>
      </c>
    </row>
    <row r="13" ht="15" customHeight="1" spans="1:95">
      <c r="A13" s="123" t="str">
        <f>IF(E13="","",COUNT(A$7:A12)+1)</f>
        <v/>
      </c>
      <c r="B13" s="123"/>
      <c r="C13" s="126"/>
      <c r="D13" s="126"/>
      <c r="E13" s="124"/>
      <c r="F13" s="124"/>
      <c r="G13" s="124"/>
      <c r="H13" s="126"/>
      <c r="I13" s="533"/>
      <c r="J13" s="124"/>
      <c r="K13" s="126"/>
      <c r="L13" s="126"/>
      <c r="M13" s="125"/>
      <c r="N13" s="125"/>
      <c r="O13" s="199"/>
      <c r="P13" s="127"/>
      <c r="Q13" s="127" t="str">
        <f>IFERROR(VLOOKUP(P13,参数表!$H$2:$I$50,2,FALSE),"")</f>
        <v/>
      </c>
      <c r="R13" s="128" t="str">
        <f t="shared" si="24"/>
        <v/>
      </c>
      <c r="S13" s="128" t="str">
        <f t="shared" si="25"/>
        <v/>
      </c>
      <c r="T13" s="129" t="str">
        <f t="shared" si="26"/>
        <v/>
      </c>
      <c r="U13" s="129"/>
      <c r="V13" s="129"/>
      <c r="W13" s="129"/>
      <c r="X13" s="129"/>
      <c r="Y13" s="129"/>
      <c r="Z13" s="129"/>
      <c r="AA13" s="129" t="str">
        <f t="shared" si="11"/>
        <v/>
      </c>
      <c r="AB13" s="129" t="str">
        <f t="shared" si="12"/>
        <v/>
      </c>
      <c r="AC13" s="129" t="str">
        <f t="shared" si="13"/>
        <v/>
      </c>
      <c r="AD13" s="129" t="str">
        <f t="shared" si="0"/>
        <v/>
      </c>
      <c r="AE13" s="521" t="str">
        <f t="shared" si="14"/>
        <v/>
      </c>
      <c r="AF13" s="129" t="str">
        <f t="shared" si="15"/>
        <v/>
      </c>
      <c r="AG13" s="129" t="str">
        <f t="shared" si="16"/>
        <v/>
      </c>
      <c r="AH13" s="131"/>
      <c r="BA13" s="78"/>
      <c r="BB13" s="132" t="s">
        <v>4233</v>
      </c>
      <c r="BC13" s="133"/>
      <c r="BD13" s="132" t="str">
        <f>IF(OR(E13="",BC13=""),"",COUNTIF(BC$8:BC13,"√"))</f>
        <v/>
      </c>
      <c r="BE13" s="134" t="str">
        <f t="shared" si="1"/>
        <v/>
      </c>
      <c r="BF13" s="135" t="str">
        <f t="shared" si="17"/>
        <v/>
      </c>
      <c r="BG13" s="135" t="str">
        <f t="shared" si="17"/>
        <v/>
      </c>
      <c r="BH13" s="136"/>
      <c r="BI13" s="137"/>
      <c r="BJ13" s="136"/>
      <c r="BK13" s="136"/>
      <c r="BL13" s="136"/>
      <c r="BM13" s="136"/>
      <c r="BN13" s="137"/>
      <c r="BO13" s="136"/>
      <c r="BP13" s="137"/>
      <c r="BQ13" s="165" t="s">
        <v>2706</v>
      </c>
      <c r="BR13" s="534"/>
      <c r="BS13" s="534"/>
      <c r="BT13" s="522">
        <f t="shared" si="2"/>
        <v>0</v>
      </c>
      <c r="BU13" s="522">
        <f t="shared" si="3"/>
        <v>0</v>
      </c>
      <c r="BV13" s="523">
        <v>0.1</v>
      </c>
      <c r="BW13" s="522">
        <f t="shared" si="18"/>
        <v>0</v>
      </c>
      <c r="BX13" s="534"/>
      <c r="BY13" s="522">
        <f t="shared" si="19"/>
        <v>0</v>
      </c>
      <c r="BZ13" s="522">
        <f t="shared" si="4"/>
        <v>125.582477754962</v>
      </c>
      <c r="CA13" s="676"/>
      <c r="CB13" s="774">
        <f t="shared" si="20"/>
        <v>0</v>
      </c>
      <c r="CC13" s="522">
        <f t="shared" si="5"/>
        <v>0</v>
      </c>
      <c r="CD13" s="676"/>
      <c r="CE13" s="774">
        <f t="shared" si="21"/>
        <v>0</v>
      </c>
      <c r="CF13" s="774">
        <f t="shared" si="22"/>
        <v>0</v>
      </c>
      <c r="CG13" s="774">
        <f t="shared" si="23"/>
        <v>0</v>
      </c>
      <c r="CH13" s="774">
        <f t="shared" si="6"/>
        <v>0</v>
      </c>
      <c r="CJ13" s="134" t="str">
        <f>IF(COUNTIF(CJ$7:CJ12,E13)&gt;0,"",E13)&amp;""</f>
        <v/>
      </c>
      <c r="CK13" s="138">
        <f t="shared" si="7"/>
        <v>0</v>
      </c>
      <c r="CL13" s="132">
        <f t="shared" si="8"/>
        <v>1</v>
      </c>
      <c r="CM13" s="138">
        <f t="shared" si="9"/>
        <v>0</v>
      </c>
      <c r="CN13" s="132">
        <f t="shared" si="10"/>
        <v>1</v>
      </c>
      <c r="CO13" s="133"/>
      <c r="CP13" s="133"/>
    </row>
    <row r="14" s="73" customFormat="1" ht="15" customHeight="1" spans="1:95">
      <c r="A14" s="221" t="s">
        <v>1954</v>
      </c>
      <c r="B14" s="221"/>
      <c r="C14" s="493"/>
      <c r="D14" s="493"/>
      <c r="E14" s="493"/>
      <c r="F14" s="149"/>
      <c r="G14" s="221"/>
      <c r="H14" s="149"/>
      <c r="I14" s="149"/>
      <c r="J14" s="221"/>
      <c r="K14" s="149"/>
      <c r="L14" s="149"/>
      <c r="M14" s="356"/>
      <c r="N14" s="356"/>
      <c r="O14" s="201"/>
      <c r="P14" s="152"/>
      <c r="Q14" s="152"/>
      <c r="R14" s="152"/>
      <c r="S14" s="152"/>
      <c r="T14" s="152"/>
      <c r="U14" s="152">
        <f>SUM(U8:U13)</f>
        <v>0</v>
      </c>
      <c r="V14" s="152">
        <f>SUM(V8:V13)</f>
        <v>0</v>
      </c>
      <c r="W14" s="152">
        <f>SUM(W8:W13)</f>
        <v>0</v>
      </c>
      <c r="X14" s="152"/>
      <c r="Y14" s="152"/>
      <c r="Z14" s="152"/>
      <c r="AA14" s="152">
        <f>SUM(AA8:AA13)</f>
        <v>0</v>
      </c>
      <c r="AB14" s="152">
        <f>SUM(AB8:AB13)</f>
        <v>0</v>
      </c>
      <c r="AC14" s="152">
        <f>SUM(AC8:AC13)</f>
        <v>0</v>
      </c>
      <c r="AD14" s="152">
        <f>SUM(AD8:AD13)</f>
        <v>0</v>
      </c>
      <c r="AE14" s="525"/>
      <c r="AF14" s="152">
        <f>SUM(AF8:AF13)</f>
        <v>0</v>
      </c>
      <c r="AG14" s="152" t="str">
        <f t="shared" si="16"/>
        <v/>
      </c>
      <c r="AH14" s="151"/>
      <c r="BH14" s="72"/>
      <c r="BJ14" s="72"/>
      <c r="BK14" s="72"/>
      <c r="BL14" s="72"/>
      <c r="BM14" s="72"/>
      <c r="BO14" s="72"/>
      <c r="BR14" s="247"/>
      <c r="BS14" s="247"/>
      <c r="BT14" s="247"/>
      <c r="BU14" s="247"/>
      <c r="BV14" s="247"/>
      <c r="BW14" s="247"/>
      <c r="BX14" s="247"/>
      <c r="BY14" s="247"/>
      <c r="BZ14" s="247"/>
      <c r="CA14" s="247"/>
      <c r="CB14" s="247"/>
      <c r="CC14" s="247"/>
      <c r="CD14" s="247"/>
      <c r="CE14" s="247"/>
      <c r="CF14" s="247"/>
      <c r="CG14" s="247"/>
      <c r="CH14" s="247"/>
      <c r="CI14" s="111"/>
      <c r="CJ14" s="119"/>
      <c r="CK14" s="77"/>
      <c r="CL14" s="77"/>
      <c r="CM14" s="77"/>
      <c r="CN14" s="119"/>
      <c r="CO14" s="119"/>
      <c r="CP14" s="119"/>
      <c r="CQ14" s="111"/>
    </row>
    <row r="15" ht="15" customHeight="1" spans="1:95">
      <c r="A15" s="124" t="s">
        <v>3434</v>
      </c>
      <c r="B15" s="124"/>
      <c r="C15" s="124"/>
      <c r="D15" s="124"/>
      <c r="E15" s="124"/>
      <c r="F15" s="775"/>
      <c r="G15" s="124"/>
      <c r="H15" s="126"/>
      <c r="I15" s="126"/>
      <c r="J15" s="124"/>
      <c r="K15" s="126"/>
      <c r="L15" s="126"/>
      <c r="M15" s="125"/>
      <c r="N15" s="125"/>
      <c r="O15" s="199"/>
      <c r="P15" s="129"/>
      <c r="Q15" s="129"/>
      <c r="R15" s="129"/>
      <c r="S15" s="129"/>
      <c r="T15" s="129"/>
      <c r="U15" s="129"/>
      <c r="V15" s="129">
        <f>W14</f>
        <v>0</v>
      </c>
      <c r="W15" s="129"/>
      <c r="X15" s="129"/>
      <c r="Y15" s="129"/>
      <c r="Z15" s="129"/>
      <c r="AA15" s="129"/>
      <c r="AB15" s="129">
        <f>AC14</f>
        <v>0</v>
      </c>
      <c r="AC15" s="129"/>
      <c r="AD15" s="129"/>
      <c r="AE15" s="521"/>
      <c r="AF15" s="129"/>
      <c r="AG15" s="129" t="str">
        <f t="shared" si="16"/>
        <v/>
      </c>
      <c r="AH15" s="131"/>
    </row>
    <row r="16" s="73" customFormat="1" ht="15" customHeight="1" spans="1:95">
      <c r="A16" s="221" t="s">
        <v>1957</v>
      </c>
      <c r="B16" s="221"/>
      <c r="C16" s="221"/>
      <c r="D16" s="221"/>
      <c r="E16" s="221"/>
      <c r="F16" s="149"/>
      <c r="G16" s="221"/>
      <c r="H16" s="149"/>
      <c r="I16" s="149"/>
      <c r="J16" s="221"/>
      <c r="K16" s="149"/>
      <c r="L16" s="149"/>
      <c r="M16" s="356"/>
      <c r="N16" s="356"/>
      <c r="O16" s="149"/>
      <c r="P16" s="152"/>
      <c r="Q16" s="152"/>
      <c r="R16" s="152"/>
      <c r="S16" s="152"/>
      <c r="T16" s="152"/>
      <c r="U16" s="152">
        <f>U14-U15</f>
        <v>0</v>
      </c>
      <c r="V16" s="152">
        <f>V14-V15</f>
        <v>0</v>
      </c>
      <c r="W16" s="152"/>
      <c r="X16" s="152"/>
      <c r="Y16" s="152"/>
      <c r="Z16" s="152"/>
      <c r="AA16" s="152">
        <f>AA14-AA15</f>
        <v>0</v>
      </c>
      <c r="AB16" s="152">
        <f>AB14-AB15</f>
        <v>0</v>
      </c>
      <c r="AC16" s="152"/>
      <c r="AD16" s="152">
        <f>AD14-AD15</f>
        <v>0</v>
      </c>
      <c r="AE16" s="525"/>
      <c r="AF16" s="152">
        <f>AF14-AF15</f>
        <v>0</v>
      </c>
      <c r="AG16" s="152" t="str">
        <f t="shared" si="16"/>
        <v/>
      </c>
      <c r="AH16" s="151"/>
      <c r="BH16" s="72"/>
      <c r="BJ16" s="72"/>
      <c r="BK16" s="72"/>
      <c r="BL16" s="72"/>
      <c r="BM16" s="72"/>
      <c r="BO16" s="72"/>
      <c r="BR16" s="247"/>
      <c r="BS16" s="247"/>
      <c r="BT16" s="247"/>
      <c r="BU16" s="247"/>
      <c r="BV16" s="247"/>
      <c r="BW16" s="247"/>
      <c r="BX16" s="247"/>
      <c r="BY16" s="247" t="s">
        <v>1538</v>
      </c>
      <c r="BZ16" s="247"/>
      <c r="CA16" s="247"/>
      <c r="CB16" s="247"/>
      <c r="CC16" s="247"/>
      <c r="CD16" s="247"/>
      <c r="CE16" s="247"/>
      <c r="CF16" s="247"/>
      <c r="CG16" s="247"/>
      <c r="CH16" s="247"/>
      <c r="CI16" s="77"/>
      <c r="CJ16" s="78"/>
      <c r="CK16" s="77"/>
      <c r="CL16" s="78"/>
      <c r="CM16" s="78"/>
      <c r="CN16" s="78"/>
      <c r="CO16" s="78"/>
      <c r="CP16" s="78"/>
      <c r="CQ16" s="77"/>
    </row>
    <row r="17" customHeight="1" spans="1:67">
      <c r="A17" s="102" t="str">
        <f>参数表!F$6</f>
        <v>产权持有单位填表人：贾广东</v>
      </c>
      <c r="B17" s="96"/>
      <c r="C17" s="286"/>
      <c r="D17" s="154"/>
      <c r="E17" s="154"/>
      <c r="F17" s="154"/>
      <c r="G17" s="154"/>
      <c r="H17" s="286"/>
      <c r="I17" s="286"/>
      <c r="J17" s="154"/>
      <c r="K17" s="95"/>
      <c r="L17" s="95"/>
      <c r="M17" s="95"/>
      <c r="N17" s="95"/>
      <c r="O17" s="103"/>
      <c r="P17" s="103"/>
      <c r="Q17" s="103"/>
      <c r="R17" s="103"/>
      <c r="S17" s="103"/>
      <c r="T17" s="103"/>
      <c r="U17" s="103"/>
      <c r="V17" s="103"/>
      <c r="W17" s="103"/>
      <c r="X17" s="103"/>
      <c r="Y17" s="103"/>
      <c r="Z17" s="103"/>
      <c r="AA17" s="103"/>
      <c r="AB17" s="103"/>
      <c r="AC17" s="103"/>
      <c r="AD17" s="103"/>
      <c r="AE17" s="103"/>
      <c r="AF17" s="156" t="str">
        <f>"评估人员："&amp;封面!$G$26</f>
        <v>评估人员：栗祥宁</v>
      </c>
      <c r="AG17" s="103"/>
      <c r="AH17" s="103"/>
    </row>
    <row r="18" customHeight="1" spans="1:67">
      <c r="A18" s="102" t="str">
        <f>参数表!F$7</f>
        <v>填表日期：2025年9月20日</v>
      </c>
      <c r="B18" s="96"/>
      <c r="C18" s="286"/>
      <c r="D18" s="154"/>
      <c r="E18" s="154"/>
      <c r="F18" s="154"/>
      <c r="G18" s="154"/>
      <c r="H18" s="286"/>
      <c r="I18" s="286"/>
      <c r="J18" s="154"/>
      <c r="K18" s="95"/>
      <c r="L18" s="95"/>
      <c r="M18" s="95"/>
      <c r="N18" s="95"/>
      <c r="O18" s="103"/>
      <c r="P18" s="103"/>
      <c r="Q18" s="103"/>
      <c r="R18" s="103"/>
      <c r="S18" s="103"/>
      <c r="T18" s="103"/>
      <c r="U18" s="103"/>
      <c r="V18" s="103"/>
      <c r="W18" s="103"/>
      <c r="X18" s="103"/>
      <c r="Y18" s="103"/>
      <c r="Z18" s="103"/>
      <c r="AA18" s="103"/>
      <c r="AB18" s="103"/>
      <c r="AC18" s="103"/>
      <c r="AD18" s="103"/>
      <c r="AE18" s="103"/>
      <c r="AF18" s="103"/>
      <c r="AG18" s="103"/>
      <c r="AH18" s="103"/>
    </row>
    <row r="19" hidden="1" customHeight="1" outlineLevel="1" spans="1:67">
      <c r="A19" s="157"/>
      <c r="B19" s="696"/>
      <c r="C19" s="228"/>
      <c r="D19" s="158"/>
      <c r="E19" s="154" t="s">
        <v>1673</v>
      </c>
      <c r="F19" s="158"/>
      <c r="G19" s="158"/>
      <c r="H19" s="228"/>
      <c r="I19" s="228"/>
      <c r="J19" s="158"/>
      <c r="P19" s="176"/>
      <c r="Q19" s="176"/>
      <c r="R19" s="176"/>
      <c r="S19" s="176"/>
      <c r="T19" s="176"/>
      <c r="U19" s="159">
        <f>SUMIF($BA8:$BA13,$BA19,U8:U13)</f>
        <v>0</v>
      </c>
      <c r="V19" s="159">
        <f>SUMIF($BA8:$BA13,$BA19,V8:V13)</f>
        <v>0</v>
      </c>
      <c r="W19" s="159">
        <f>SUMIF($BA8:$BA13,$BA19,W8:W13)</f>
        <v>0</v>
      </c>
      <c r="X19" s="176"/>
      <c r="Y19" s="176"/>
      <c r="Z19" s="176"/>
      <c r="AA19" s="159">
        <f>SUMIF($BA8:$BA13,$BA19,AA8:AA13)</f>
        <v>0</v>
      </c>
      <c r="AB19" s="159">
        <f>SUMIF($BA8:$BA13,$BA19,AB8:AB13)</f>
        <v>0</v>
      </c>
      <c r="AC19" s="159">
        <f>SUMIF($BA8:$BA13,$BA19,AC8:AC13)</f>
        <v>0</v>
      </c>
      <c r="AD19" s="159">
        <f>SUMIF($BA8:$BA13,$BA19,AD8:AD13)</f>
        <v>0</v>
      </c>
      <c r="AE19" s="176"/>
      <c r="AF19" s="159">
        <f>SUMIF($BA8:$BA13,$BA19,AF8:AF13)</f>
        <v>0</v>
      </c>
      <c r="BA19" s="161" t="s">
        <v>1674</v>
      </c>
      <c r="BH19" s="95" t="s">
        <v>1675</v>
      </c>
      <c r="BJ19" s="95" t="s">
        <v>1675</v>
      </c>
      <c r="BK19" s="95" t="s">
        <v>1675</v>
      </c>
      <c r="BL19" s="95" t="s">
        <v>1675</v>
      </c>
      <c r="BM19" s="95" t="s">
        <v>1675</v>
      </c>
      <c r="BO19" s="95" t="s">
        <v>1675</v>
      </c>
    </row>
    <row r="20" hidden="1" customHeight="1" outlineLevel="1" spans="1:67">
      <c r="A20" s="157"/>
      <c r="B20" s="696"/>
      <c r="C20" s="228"/>
      <c r="D20" s="158"/>
      <c r="E20" s="154" t="s">
        <v>1676</v>
      </c>
      <c r="F20" s="158"/>
      <c r="G20" s="158"/>
      <c r="H20" s="228"/>
      <c r="I20" s="228"/>
      <c r="J20" s="158"/>
      <c r="P20" s="176"/>
      <c r="Q20" s="176"/>
      <c r="R20" s="176"/>
      <c r="S20" s="176"/>
      <c r="T20" s="176"/>
      <c r="U20" s="159">
        <f>U14-U19</f>
        <v>0</v>
      </c>
      <c r="V20" s="159">
        <f>V14-V19</f>
        <v>0</v>
      </c>
      <c r="W20" s="159">
        <f>W14-W19</f>
        <v>0</v>
      </c>
      <c r="X20" s="176"/>
      <c r="Y20" s="176"/>
      <c r="Z20" s="176"/>
      <c r="AA20" s="159">
        <f>AA14-AA19</f>
        <v>0</v>
      </c>
      <c r="AB20" s="159">
        <f>AB14-AB19</f>
        <v>0</v>
      </c>
      <c r="AC20" s="159">
        <f>AC14-AC19</f>
        <v>0</v>
      </c>
      <c r="AD20" s="159">
        <f>AD14-AD19</f>
        <v>0</v>
      </c>
      <c r="AE20" s="176"/>
      <c r="AF20" s="159">
        <f>AF14-AF19</f>
        <v>0</v>
      </c>
      <c r="BA20" s="161" t="s">
        <v>1677</v>
      </c>
      <c r="BH20" s="95" t="s">
        <v>1678</v>
      </c>
      <c r="BJ20" s="95" t="s">
        <v>1678</v>
      </c>
      <c r="BK20" s="95" t="s">
        <v>1678</v>
      </c>
      <c r="BL20" s="95" t="s">
        <v>1678</v>
      </c>
      <c r="BM20" s="95" t="s">
        <v>1678</v>
      </c>
      <c r="BO20" s="95" t="s">
        <v>1678</v>
      </c>
    </row>
    <row r="21" customHeight="1" collapsed="1" spans="1:67">
      <c r="A21" s="157"/>
      <c r="B21" s="696"/>
      <c r="C21" s="228"/>
      <c r="D21" s="158"/>
      <c r="E21" s="158"/>
      <c r="F21" s="158"/>
      <c r="G21" s="158"/>
      <c r="H21" s="228"/>
      <c r="I21" s="228"/>
      <c r="J21" s="158"/>
    </row>
    <row r="22" customHeight="1" spans="1:67">
      <c r="A22" s="157"/>
      <c r="B22" s="696"/>
      <c r="C22" s="228"/>
      <c r="D22" s="158"/>
      <c r="E22" s="158"/>
      <c r="F22" s="158"/>
      <c r="G22" s="158"/>
      <c r="H22" s="228"/>
      <c r="I22" s="228"/>
      <c r="J22" s="158"/>
    </row>
    <row r="23" customHeight="1" spans="1:67">
      <c r="A23" s="157"/>
      <c r="B23" s="696"/>
      <c r="C23" s="228"/>
      <c r="D23" s="158"/>
      <c r="E23" s="158"/>
      <c r="F23" s="158"/>
      <c r="G23" s="158"/>
      <c r="H23" s="228"/>
      <c r="I23" s="228"/>
      <c r="J23" s="158"/>
    </row>
    <row r="24" customHeight="1" spans="1:67">
      <c r="A24" s="157"/>
      <c r="B24" s="696"/>
      <c r="C24" s="228"/>
      <c r="D24" s="158"/>
      <c r="E24" s="158"/>
      <c r="F24" s="158"/>
      <c r="G24" s="158"/>
      <c r="H24" s="228"/>
      <c r="I24" s="228"/>
      <c r="J24" s="158"/>
    </row>
    <row r="25" customHeight="1" spans="1:67">
      <c r="A25" s="157"/>
      <c r="B25" s="696"/>
      <c r="C25" s="228"/>
      <c r="D25" s="158"/>
      <c r="E25" s="158"/>
      <c r="F25" s="158"/>
      <c r="G25" s="158"/>
      <c r="H25" s="228"/>
      <c r="I25" s="228"/>
      <c r="J25" s="158"/>
    </row>
  </sheetData>
  <sheetProtection autoFilter="0"/>
  <mergeCells count="40">
    <mergeCell ref="A2:AH2"/>
    <mergeCell ref="A3:AH3"/>
    <mergeCell ref="P6:T6"/>
    <mergeCell ref="U6:W6"/>
    <mergeCell ref="X6:Z6"/>
    <mergeCell ref="AA6:AC6"/>
    <mergeCell ref="AD6:AF6"/>
    <mergeCell ref="CO8:CQ8"/>
    <mergeCell ref="CO9:CQ9"/>
    <mergeCell ref="A14:E14"/>
    <mergeCell ref="A15:E15"/>
    <mergeCell ref="A16:E16"/>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AG6:AG7"/>
    <mergeCell ref="AH6:AH7"/>
    <mergeCell ref="BF6:BF7"/>
    <mergeCell ref="BG6:BG7"/>
    <mergeCell ref="BH6:BH7"/>
    <mergeCell ref="BI6:BI7"/>
    <mergeCell ref="BJ6:BJ7"/>
    <mergeCell ref="BK6:BK7"/>
    <mergeCell ref="BL6:BL7"/>
    <mergeCell ref="BM6:BM7"/>
    <mergeCell ref="BN6:BN7"/>
    <mergeCell ref="BO6:BO7"/>
    <mergeCell ref="BP6:BP7"/>
  </mergeCells>
  <conditionalFormatting sqref="BI8:BI13">
    <cfRule type="expression" dxfId="5" priority="7" stopIfTrue="1">
      <formula>AND(BH8="有",BI8="")</formula>
    </cfRule>
  </conditionalFormatting>
  <conditionalFormatting sqref="BN8:BN13">
    <cfRule type="expression" dxfId="5" priority="9" stopIfTrue="1">
      <formula>AND(BM8="无",BN8="")</formula>
    </cfRule>
  </conditionalFormatting>
  <conditionalFormatting sqref="BF8:BG13">
    <cfRule type="containsText" dxfId="6" priority="1" stopIfTrue="1" operator="between" text="出错">
      <formula>NOT(ISERROR(SEARCH("出错",BF8)))</formula>
    </cfRule>
  </conditionalFormatting>
  <conditionalFormatting sqref="BN9:BN12 BH13:BO13 BH9:BI12 BH8:BH12 BJ8:BM12 BO8:BO12">
    <cfRule type="expression" dxfId="5" priority="10" stopIfTrue="1">
      <formula>AND($C8&lt;&gt;"",BH8="")</formula>
    </cfRule>
  </conditionalFormatting>
  <dataValidations count="5">
    <dataValidation type="list" allowBlank="1" showInputMessage="1" showErrorMessage="1" sqref="P8:P13">
      <formula1>OFFSET(参数表!$H$2:$H$50,,,COUNTA(参数表!$H$2:$H$50))</formula1>
    </dataValidation>
    <dataValidation type="list" allowBlank="1" showInputMessage="1" showErrorMessage="1" sqref="BA8:BA13 BA19:BA20">
      <formula1>"是,否"</formula1>
    </dataValidation>
    <dataValidation type="list" allowBlank="1" showInputMessage="1" showErrorMessage="1" sqref="BC8:BC13">
      <formula1>"  ,√"</formula1>
    </dataValidation>
    <dataValidation type="list" allowBlank="1" showInputMessage="1" showErrorMessage="1" sqref="BH8:BH13 BO8:BO13 BJ8:BM13">
      <formula1>BH$19:BH$20</formula1>
    </dataValidation>
    <dataValidation type="list" allowBlank="1" showInputMessage="1" showErrorMessage="1" sqref="BQ8:BQ13">
      <formula1>"成本法,收益法,市场法"</formula1>
    </dataValidation>
  </dataValidations>
  <hyperlinks>
    <hyperlink ref="A1" location="索引目录!E39" display="返回索引页"/>
    <hyperlink ref="C1" location="固定资产汇总!B26" display="返回"/>
    <hyperlink ref="BS8" r:id="rId3" display="https://product.360che.com/m146/36693_param.html"/>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6"/>
  <sheetViews>
    <sheetView workbookViewId="0">
      <selection activeCell="R16" sqref="R16"/>
    </sheetView>
  </sheetViews>
  <sheetFormatPr defaultColWidth="9" defaultRowHeight="15.6" outlineLevelRow="5"/>
  <cols>
    <col min="4" max="4" width="10.1" customWidth="1"/>
  </cols>
  <sheetData>
    <row r="1" spans="1:15">
      <c r="A1" s="747"/>
      <c r="B1" s="747"/>
      <c r="C1" s="747"/>
      <c r="D1" s="747"/>
      <c r="E1" s="747"/>
      <c r="F1" s="748" t="s">
        <v>4234</v>
      </c>
      <c r="G1" s="747" t="s">
        <v>4235</v>
      </c>
      <c r="H1" s="747"/>
      <c r="I1" s="747"/>
      <c r="J1" s="747"/>
      <c r="K1" s="747"/>
      <c r="L1" s="747"/>
      <c r="M1" s="747"/>
      <c r="N1" s="747"/>
      <c r="O1" s="747"/>
    </row>
    <row r="2" spans="1:15">
      <c r="A2" s="749" t="s">
        <v>2239</v>
      </c>
      <c r="B2" s="750" t="s">
        <v>4236</v>
      </c>
      <c r="C2" s="751" t="s">
        <v>4237</v>
      </c>
      <c r="D2" s="752" t="s">
        <v>4238</v>
      </c>
      <c r="E2" s="752" t="s">
        <v>4239</v>
      </c>
      <c r="F2" s="752" t="s">
        <v>4240</v>
      </c>
      <c r="G2" s="752" t="s">
        <v>4241</v>
      </c>
      <c r="H2" s="752" t="s">
        <v>4242</v>
      </c>
      <c r="I2" s="753" t="s">
        <v>4243</v>
      </c>
      <c r="J2" s="751" t="s">
        <v>4244</v>
      </c>
      <c r="K2" s="752"/>
      <c r="L2" s="254"/>
      <c r="M2" s="254" t="s">
        <v>4245</v>
      </c>
      <c r="N2" s="254"/>
      <c r="O2" s="747"/>
    </row>
    <row r="3" spans="1:15">
      <c r="A3" s="754"/>
      <c r="B3" s="229">
        <v>1</v>
      </c>
      <c r="C3" s="755"/>
      <c r="D3" s="756">
        <v>42095</v>
      </c>
      <c r="E3" s="229">
        <v>150000</v>
      </c>
      <c r="F3" s="757">
        <f>100/100</f>
        <v>1</v>
      </c>
      <c r="G3" s="757">
        <f>100/105</f>
        <v>0.952380952380952</v>
      </c>
      <c r="H3" s="757">
        <f>100/120</f>
        <v>0.833333333333333</v>
      </c>
      <c r="I3" s="757">
        <f>100/105</f>
        <v>0.952380952380952</v>
      </c>
      <c r="J3" s="758">
        <f>100/96</f>
        <v>1.04166666666667</v>
      </c>
      <c r="K3" s="755">
        <f>C3*F3*G3*H3*I3*J3</f>
        <v>0</v>
      </c>
      <c r="L3" s="759"/>
      <c r="M3" s="749" t="s">
        <v>4246</v>
      </c>
      <c r="N3" s="757">
        <v>13617.8</v>
      </c>
      <c r="O3" s="747"/>
    </row>
    <row r="4" spans="1:15">
      <c r="A4" s="760"/>
      <c r="B4" s="229">
        <v>2</v>
      </c>
      <c r="C4" s="755"/>
      <c r="D4" s="756">
        <v>42156</v>
      </c>
      <c r="E4" s="229">
        <v>113000</v>
      </c>
      <c r="F4" s="757">
        <f>100/100</f>
        <v>1</v>
      </c>
      <c r="G4" s="757">
        <f>100/107</f>
        <v>0.934579439252336</v>
      </c>
      <c r="H4" s="757">
        <f>100/120</f>
        <v>0.833333333333333</v>
      </c>
      <c r="I4" s="757">
        <f>100/105</f>
        <v>0.952380952380952</v>
      </c>
      <c r="J4" s="758">
        <f>100/95</f>
        <v>1.05263157894737</v>
      </c>
      <c r="K4" s="755">
        <f>C4*F4*G4*H4*I4*J4</f>
        <v>0</v>
      </c>
      <c r="L4" s="759"/>
      <c r="M4" s="749" t="s">
        <v>4247</v>
      </c>
      <c r="N4" s="757">
        <v>20059</v>
      </c>
      <c r="O4" s="747"/>
    </row>
    <row r="5" spans="1:15">
      <c r="A5" s="760"/>
      <c r="B5" s="229">
        <v>3</v>
      </c>
      <c r="C5" s="755"/>
      <c r="D5" s="756">
        <v>42125</v>
      </c>
      <c r="E5" s="229">
        <v>139000</v>
      </c>
      <c r="F5" s="757">
        <f>100/100</f>
        <v>1</v>
      </c>
      <c r="G5" s="757">
        <f>100/106</f>
        <v>0.943396226415094</v>
      </c>
      <c r="H5" s="757">
        <f>100/120</f>
        <v>0.833333333333333</v>
      </c>
      <c r="I5" s="757">
        <f>100/105</f>
        <v>0.952380952380952</v>
      </c>
      <c r="J5" s="758">
        <f>100/97</f>
        <v>1.03092783505155</v>
      </c>
      <c r="K5" s="755">
        <f>C5*F5*G5*H5*I5*J5</f>
        <v>0</v>
      </c>
      <c r="L5" s="761" t="e">
        <f>K5/K4</f>
        <v>#DIV/0!</v>
      </c>
      <c r="M5" s="749" t="s">
        <v>4248</v>
      </c>
      <c r="N5" s="757">
        <v>12928.47</v>
      </c>
      <c r="O5" s="747"/>
    </row>
    <row r="6" spans="1:15">
      <c r="A6" s="229"/>
      <c r="B6" s="229"/>
      <c r="C6" s="229"/>
      <c r="D6" s="762">
        <f>车辆!M8</f>
        <v>0</v>
      </c>
      <c r="E6" s="229">
        <f>车辆!O8</f>
        <v>0</v>
      </c>
      <c r="F6" s="763"/>
      <c r="G6" s="763"/>
      <c r="H6" s="763"/>
      <c r="I6" s="764" t="s">
        <v>4249</v>
      </c>
      <c r="J6" s="764"/>
      <c r="K6" s="765">
        <f>ROUND(AVERAGEA(K3:K5)/1.03,-2)</f>
        <v>0</v>
      </c>
      <c r="L6" s="229"/>
      <c r="M6" s="229" t="s">
        <v>4250</v>
      </c>
      <c r="N6" s="757">
        <v>4841.78</v>
      </c>
      <c r="O6" s="747" t="e">
        <f>(K3-K5)/K5</f>
        <v>#DIV/0!</v>
      </c>
    </row>
  </sheetData>
  <mergeCells count="1">
    <mergeCell ref="M2:N2"/>
  </mergeCells>
  <pageMargins left="0.7" right="0.7" top="0.75" bottom="0.75" header="0.3" footer="0.3"/>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4"/>
  <dimension ref="A1:CH39"/>
  <sheetViews>
    <sheetView workbookViewId="0">
      <pane xSplit="3" ySplit="8" topLeftCell="D9" activePane="bottomRight" state="frozen"/>
      <selection/>
      <selection pane="topRight"/>
      <selection pane="bottomLeft"/>
      <selection pane="bottomRight" activeCell="E45" sqref="E45"/>
    </sheetView>
  </sheetViews>
  <sheetFormatPr defaultColWidth="9" defaultRowHeight="15.75" customHeight="1"/>
  <cols>
    <col min="1" max="1" width="4.7" style="74" customWidth="1"/>
    <col min="2" max="2" width="5.1" style="165" customWidth="1"/>
    <col min="3" max="4" width="9.7" style="75" customWidth="1"/>
    <col min="5" max="5" width="8" style="75" customWidth="1" outlineLevel="1"/>
    <col min="6" max="7" width="4.7" style="165" customWidth="1" outlineLevel="1"/>
    <col min="8" max="8" width="9.7" style="75" customWidth="1"/>
    <col min="9" max="12" width="4.7" style="165" customWidth="1"/>
    <col min="13" max="14" width="4.6" style="75" customWidth="1" outlineLevel="1"/>
    <col min="15" max="17" width="6.1" style="75" customWidth="1" outlineLevel="1"/>
    <col min="18" max="19" width="10.7" style="75" customWidth="1" outlineLevel="1"/>
    <col min="20" max="20" width="7.7" style="75" customWidth="1" outlineLevel="1"/>
    <col min="21" max="23" width="10.7" style="75" customWidth="1" outlineLevel="1"/>
    <col min="24" max="25" width="9.7" style="75" customWidth="1"/>
    <col min="26" max="26" width="7.8" style="75" customWidth="1"/>
    <col min="27" max="27" width="9.7" style="75" customWidth="1"/>
    <col min="28" max="28" width="5.7" style="75" customWidth="1"/>
    <col min="29" max="29" width="9.7" style="75" customWidth="1"/>
    <col min="30" max="30" width="4.2" style="75" customWidth="1"/>
    <col min="31" max="31" width="4.7" style="75" customWidth="1"/>
    <col min="32" max="52" width="9" style="75" hidden="1" customWidth="1" outlineLevel="1"/>
    <col min="53" max="53" width="14.7" style="75" customWidth="1" collapsed="1"/>
    <col min="54" max="54" width="6.7" style="75" customWidth="1"/>
    <col min="55" max="56" width="5.1" style="75" customWidth="1"/>
    <col min="57" max="57" width="8.7" style="75" customWidth="1"/>
    <col min="58" max="59" width="10.5" style="75" customWidth="1"/>
    <col min="60" max="60" width="4.7" style="165" customWidth="1"/>
    <col min="61" max="61" width="11.5" style="75" customWidth="1"/>
    <col min="62" max="65" width="4.7" style="165" customWidth="1"/>
    <col min="66" max="66" width="10.3" style="75" customWidth="1"/>
    <col min="67" max="67" width="4.7" style="165" customWidth="1"/>
    <col min="68" max="77" width="9" style="75"/>
    <col min="78" max="78" width="1.6" style="77" customWidth="1"/>
    <col min="79" max="79" width="10.6" style="78" customWidth="1"/>
    <col min="80" max="80" width="10.6" style="77" customWidth="1"/>
    <col min="81" max="81" width="4.6" style="78" customWidth="1"/>
    <col min="82" max="82" width="10.6" style="78" customWidth="1"/>
    <col min="83" max="84" width="4.6" style="78" customWidth="1"/>
    <col min="85" max="85" width="10.6" style="78" customWidth="1"/>
    <col min="86" max="86" width="5" style="77" customWidth="1"/>
    <col min="87" max="16384" width="9" style="75"/>
  </cols>
  <sheetData>
    <row r="1" s="86" customFormat="1" ht="13.8" spans="1:86">
      <c r="A1" s="203" t="s">
        <v>1591</v>
      </c>
      <c r="B1" s="495" t="s">
        <v>1592</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BA1" s="84" t="str">
        <f>参数表!BA1</f>
        <v>注意：补充特殊事项、作价等均从BA列开始填写</v>
      </c>
      <c r="BB1" s="85"/>
      <c r="BH1" s="82"/>
      <c r="BJ1" s="82"/>
      <c r="BK1" s="82"/>
      <c r="BL1" s="82"/>
      <c r="BM1" s="82"/>
      <c r="BO1" s="82"/>
      <c r="BZ1" s="87"/>
      <c r="CA1" s="88"/>
      <c r="CB1" s="87"/>
      <c r="CC1" s="88"/>
      <c r="CD1" s="88"/>
      <c r="CE1" s="88"/>
      <c r="CF1" s="88"/>
      <c r="CG1" s="88"/>
      <c r="CH1" s="87"/>
    </row>
    <row r="2" s="71" customFormat="1" ht="30" customHeight="1" spans="1:86">
      <c r="A2" s="89" t="s">
        <v>4251</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BA2" s="90" t="str">
        <f>参数表!BA2</f>
        <v>评估基准日：</v>
      </c>
      <c r="BB2" s="91" t="str">
        <f>参数表!BB2</f>
        <v>2025年7月31日</v>
      </c>
      <c r="BH2" s="171"/>
      <c r="BJ2" s="171"/>
      <c r="BK2" s="171"/>
      <c r="BL2" s="171"/>
      <c r="BM2" s="171"/>
      <c r="BO2" s="171"/>
      <c r="BZ2" s="92"/>
      <c r="CA2" s="93"/>
      <c r="CB2" s="92"/>
      <c r="CC2" s="93"/>
      <c r="CD2" s="93"/>
      <c r="CE2" s="93"/>
      <c r="CF2" s="93"/>
      <c r="CG2" s="93"/>
      <c r="CH2" s="92"/>
    </row>
    <row r="3" ht="15" customHeight="1" spans="1:86">
      <c r="A3" s="94" t="str">
        <f>参数表!F5</f>
        <v>评估基准日：2025年7月31日</v>
      </c>
      <c r="B3" s="94"/>
      <c r="C3" s="94"/>
      <c r="D3" s="94"/>
      <c r="E3" s="94"/>
      <c r="F3" s="94"/>
      <c r="G3" s="94"/>
      <c r="H3" s="94"/>
      <c r="I3" s="94"/>
      <c r="J3" s="94"/>
      <c r="K3" s="95"/>
      <c r="L3" s="95"/>
      <c r="M3" s="95"/>
      <c r="N3" s="95"/>
      <c r="O3" s="95"/>
      <c r="P3" s="95"/>
      <c r="Q3" s="95"/>
      <c r="R3" s="95"/>
      <c r="S3" s="95"/>
      <c r="T3" s="95"/>
      <c r="U3" s="95"/>
      <c r="V3" s="95"/>
      <c r="W3" s="95"/>
      <c r="X3" s="95"/>
      <c r="Y3" s="95"/>
      <c r="Z3" s="95"/>
      <c r="AA3" s="95"/>
      <c r="AB3" s="95"/>
      <c r="AC3" s="95"/>
      <c r="AD3" s="95"/>
      <c r="AE3" s="95"/>
      <c r="BA3" s="90" t="str">
        <f>参数表!BA3</f>
        <v>是否显示评估值：</v>
      </c>
      <c r="BB3" s="90" t="str">
        <f>参数表!BB3</f>
        <v>是</v>
      </c>
      <c r="BZ3" s="92"/>
      <c r="CA3" s="93"/>
      <c r="CB3" s="92"/>
      <c r="CC3" s="93"/>
      <c r="CD3" s="93"/>
      <c r="CE3" s="93"/>
      <c r="CF3" s="93"/>
      <c r="CG3" s="93"/>
      <c r="CH3" s="92"/>
    </row>
    <row r="4" ht="15" customHeight="1" spans="1:86">
      <c r="A4" s="96"/>
      <c r="B4" s="94"/>
      <c r="C4" s="94"/>
      <c r="D4" s="94"/>
      <c r="E4" s="94"/>
      <c r="F4" s="94"/>
      <c r="G4" s="94"/>
      <c r="H4" s="94"/>
      <c r="I4" s="94"/>
      <c r="J4" s="94"/>
      <c r="K4" s="95"/>
      <c r="L4" s="95"/>
      <c r="M4" s="94"/>
      <c r="N4" s="94"/>
      <c r="O4" s="94"/>
      <c r="P4" s="94"/>
      <c r="Q4" s="94"/>
      <c r="R4" s="98"/>
      <c r="S4" s="95"/>
      <c r="T4" s="95"/>
      <c r="U4" s="95"/>
      <c r="V4" s="95"/>
      <c r="W4" s="95"/>
      <c r="X4" s="95"/>
      <c r="Y4" s="95"/>
      <c r="Z4" s="95"/>
      <c r="AA4" s="95"/>
      <c r="AB4" s="95"/>
      <c r="AC4" s="95"/>
      <c r="AD4" s="95"/>
      <c r="AE4" s="98" t="str">
        <f>"表"&amp;$BA4</f>
        <v>表4-10-8</v>
      </c>
      <c r="BA4" s="274" t="str">
        <f>固定资产总!A18</f>
        <v>4-10-8</v>
      </c>
      <c r="BB4" s="100">
        <f>MAX(COUNTA(A8:A27),COUNTA(B8:B27),COUNTA(R8:R27),COUNTA(S8:S27))</f>
        <v>20</v>
      </c>
      <c r="BC4" s="101">
        <f>ROW(A7)+1</f>
        <v>8</v>
      </c>
      <c r="BD4" s="77"/>
      <c r="BE4" s="77"/>
      <c r="CB4" s="78"/>
    </row>
    <row r="5" ht="15" customHeight="1" spans="1:86">
      <c r="A5" s="102" t="str">
        <f>参数表!F3</f>
        <v>产权持有单位:中煤第五建设有限公司</v>
      </c>
      <c r="B5" s="95"/>
      <c r="C5" s="103"/>
      <c r="D5" s="103"/>
      <c r="E5" s="103"/>
      <c r="F5" s="95"/>
      <c r="G5" s="95"/>
      <c r="H5" s="103"/>
      <c r="I5" s="95"/>
      <c r="J5" s="95"/>
      <c r="K5" s="95"/>
      <c r="L5" s="95"/>
      <c r="M5" s="103"/>
      <c r="N5" s="103"/>
      <c r="O5" s="103"/>
      <c r="P5" s="103"/>
      <c r="Q5" s="103"/>
      <c r="R5" s="103"/>
      <c r="S5" s="103"/>
      <c r="T5" s="103"/>
      <c r="U5" s="103"/>
      <c r="V5" s="103"/>
      <c r="W5" s="103"/>
      <c r="X5" s="103"/>
      <c r="Y5" s="103"/>
      <c r="Z5" s="103"/>
      <c r="AA5" s="103"/>
      <c r="AB5" s="103"/>
      <c r="AC5" s="103"/>
      <c r="AD5" s="103"/>
      <c r="AE5" s="98" t="s">
        <v>236</v>
      </c>
      <c r="BA5" s="103"/>
      <c r="BB5" s="105" t="str">
        <f ca="1">判断表!C73</f>
        <v>中煤第五建设有限公司第三工程处拟处置实物资产项目\[0000-3基础法明细表.xlsx]电子</v>
      </c>
      <c r="BC5" s="106">
        <f>IFERROR(SUMIF(BC8:BC27,"√",X8:X27)/X28,0)</f>
        <v>0</v>
      </c>
      <c r="BD5" s="107"/>
      <c r="BE5" s="107"/>
      <c r="BF5" s="108">
        <f>房屋!BF5</f>
        <v>0</v>
      </c>
      <c r="BG5" s="108">
        <f>房屋!BG5</f>
        <v>0</v>
      </c>
      <c r="BH5" s="109"/>
      <c r="BI5" s="109"/>
      <c r="BJ5" s="109"/>
      <c r="BK5" s="109"/>
      <c r="BL5" s="109"/>
      <c r="BM5" s="109"/>
      <c r="BN5" s="110"/>
      <c r="BO5" s="109"/>
      <c r="CB5" s="78"/>
    </row>
    <row r="6" s="72" customFormat="1" ht="15" customHeight="1" spans="1:86">
      <c r="A6" s="112" t="s">
        <v>305</v>
      </c>
      <c r="B6" s="118" t="s">
        <v>4036</v>
      </c>
      <c r="C6" s="118" t="s">
        <v>4037</v>
      </c>
      <c r="D6" s="118" t="s">
        <v>2175</v>
      </c>
      <c r="E6" s="528" t="s">
        <v>3686</v>
      </c>
      <c r="F6" s="193" t="s">
        <v>3688</v>
      </c>
      <c r="G6" s="529" t="s">
        <v>3689</v>
      </c>
      <c r="H6" s="118" t="s">
        <v>4039</v>
      </c>
      <c r="I6" s="118" t="s">
        <v>2176</v>
      </c>
      <c r="J6" s="118" t="s">
        <v>1637</v>
      </c>
      <c r="K6" s="118" t="s">
        <v>4040</v>
      </c>
      <c r="L6" s="118" t="s">
        <v>2750</v>
      </c>
      <c r="M6" s="511" t="s">
        <v>1964</v>
      </c>
      <c r="N6" s="512"/>
      <c r="O6" s="512"/>
      <c r="P6" s="512"/>
      <c r="Q6" s="513"/>
      <c r="R6" s="514" t="s">
        <v>1549</v>
      </c>
      <c r="S6" s="189"/>
      <c r="T6" s="190"/>
      <c r="U6" s="515" t="s">
        <v>1634</v>
      </c>
      <c r="V6" s="516"/>
      <c r="W6" s="517"/>
      <c r="X6" s="514" t="s">
        <v>1523</v>
      </c>
      <c r="Y6" s="189"/>
      <c r="Z6" s="190"/>
      <c r="AA6" s="113" t="s">
        <v>1550</v>
      </c>
      <c r="AB6" s="113"/>
      <c r="AC6" s="113"/>
      <c r="AD6" s="118" t="s">
        <v>1551</v>
      </c>
      <c r="AE6" s="118" t="s">
        <v>308</v>
      </c>
      <c r="BA6" s="191"/>
      <c r="BB6" s="100"/>
      <c r="BC6" s="100"/>
      <c r="BD6" s="100"/>
      <c r="BE6" s="100"/>
      <c r="BF6" s="192" t="s">
        <v>1639</v>
      </c>
      <c r="BG6" s="192" t="s">
        <v>1640</v>
      </c>
      <c r="BH6" s="118" t="s">
        <v>1748</v>
      </c>
      <c r="BI6" s="118" t="s">
        <v>4217</v>
      </c>
      <c r="BJ6" s="118" t="s">
        <v>3695</v>
      </c>
      <c r="BK6" s="118" t="s">
        <v>1712</v>
      </c>
      <c r="BL6" s="118" t="s">
        <v>3696</v>
      </c>
      <c r="BM6" s="118" t="s">
        <v>1641</v>
      </c>
      <c r="BN6" s="118" t="s">
        <v>2209</v>
      </c>
      <c r="BO6" s="118" t="s">
        <v>3697</v>
      </c>
      <c r="BP6" s="118" t="s">
        <v>1644</v>
      </c>
      <c r="BQ6" s="191"/>
      <c r="BR6" s="191" t="s">
        <v>3698</v>
      </c>
      <c r="BS6" s="191"/>
      <c r="BT6" s="191"/>
      <c r="BU6" s="743">
        <f>参数表!$E$16</f>
        <v>0</v>
      </c>
      <c r="BV6" s="743"/>
      <c r="BW6" s="642" t="str">
        <f>$BB$2</f>
        <v>2025年7月31日</v>
      </c>
      <c r="BX6" s="191"/>
      <c r="BY6" s="744"/>
      <c r="BZ6" s="111"/>
      <c r="CA6" s="78"/>
      <c r="CB6" s="78"/>
      <c r="CC6" s="78"/>
      <c r="CD6" s="78"/>
      <c r="CE6" s="78"/>
      <c r="CF6" s="78"/>
      <c r="CG6" s="78"/>
      <c r="CH6" s="111"/>
    </row>
    <row r="7" s="72" customFormat="1" ht="15" customHeight="1" spans="1:86">
      <c r="A7" s="195"/>
      <c r="B7" s="149"/>
      <c r="C7" s="149"/>
      <c r="D7" s="149"/>
      <c r="E7" s="531"/>
      <c r="F7" s="198"/>
      <c r="G7" s="532"/>
      <c r="H7" s="149"/>
      <c r="I7" s="113"/>
      <c r="J7" s="113"/>
      <c r="K7" s="113"/>
      <c r="L7" s="113"/>
      <c r="M7" s="519" t="s">
        <v>1968</v>
      </c>
      <c r="N7" s="519" t="s">
        <v>1969</v>
      </c>
      <c r="O7" s="519" t="s">
        <v>3699</v>
      </c>
      <c r="P7" s="519" t="s">
        <v>3700</v>
      </c>
      <c r="Q7" s="149" t="s">
        <v>3701</v>
      </c>
      <c r="R7" s="113" t="s">
        <v>1556</v>
      </c>
      <c r="S7" s="113" t="s">
        <v>1557</v>
      </c>
      <c r="T7" s="113" t="s">
        <v>3702</v>
      </c>
      <c r="U7" s="117" t="s">
        <v>3703</v>
      </c>
      <c r="V7" s="117" t="s">
        <v>3704</v>
      </c>
      <c r="W7" s="117" t="s">
        <v>3705</v>
      </c>
      <c r="X7" s="113" t="s">
        <v>1556</v>
      </c>
      <c r="Y7" s="113" t="s">
        <v>1557</v>
      </c>
      <c r="Z7" s="113" t="s">
        <v>3702</v>
      </c>
      <c r="AA7" s="113" t="s">
        <v>1556</v>
      </c>
      <c r="AB7" s="149" t="s">
        <v>2753</v>
      </c>
      <c r="AC7" s="113" t="s">
        <v>1557</v>
      </c>
      <c r="AD7" s="113"/>
      <c r="AE7" s="113"/>
      <c r="BA7" s="100" t="s">
        <v>1545</v>
      </c>
      <c r="BB7" s="100" t="s">
        <v>1635</v>
      </c>
      <c r="BC7" s="100" t="s">
        <v>1636</v>
      </c>
      <c r="BD7" s="100" t="s">
        <v>1637</v>
      </c>
      <c r="BE7" s="100" t="s">
        <v>1638</v>
      </c>
      <c r="BF7" s="197"/>
      <c r="BG7" s="197"/>
      <c r="BH7" s="118"/>
      <c r="BI7" s="118"/>
      <c r="BJ7" s="118"/>
      <c r="BK7" s="118"/>
      <c r="BL7" s="118"/>
      <c r="BM7" s="118"/>
      <c r="BN7" s="118"/>
      <c r="BO7" s="118"/>
      <c r="BP7" s="118"/>
      <c r="BQ7" s="520" t="s">
        <v>2667</v>
      </c>
      <c r="BR7" s="184" t="s">
        <v>2756</v>
      </c>
      <c r="BS7" s="184" t="s">
        <v>2767</v>
      </c>
      <c r="BT7" s="184" t="s">
        <v>4052</v>
      </c>
      <c r="BU7" s="184" t="s">
        <v>2757</v>
      </c>
      <c r="BV7" s="184" t="s">
        <v>4222</v>
      </c>
      <c r="BW7" s="184" t="s">
        <v>2761</v>
      </c>
      <c r="BX7" s="184" t="s">
        <v>2763</v>
      </c>
      <c r="BY7" s="745" t="s">
        <v>4252</v>
      </c>
      <c r="BZ7" s="119"/>
      <c r="CA7" s="120" t="s">
        <v>1645</v>
      </c>
      <c r="CB7" s="121" t="s">
        <v>1646</v>
      </c>
      <c r="CC7" s="121" t="s">
        <v>1647</v>
      </c>
      <c r="CD7" s="121" t="s">
        <v>1648</v>
      </c>
      <c r="CE7" s="121" t="s">
        <v>1647</v>
      </c>
      <c r="CF7" s="121" t="s">
        <v>1647</v>
      </c>
      <c r="CG7" s="121" t="s">
        <v>1649</v>
      </c>
      <c r="CH7" s="122" t="s">
        <v>1650</v>
      </c>
    </row>
    <row r="8" ht="15" customHeight="1" spans="1:86">
      <c r="A8" s="123" t="str">
        <f>IF(C8="","",COUNT(A$7:A7)+1)</f>
        <v/>
      </c>
      <c r="B8" s="126"/>
      <c r="C8" s="124"/>
      <c r="D8" s="126"/>
      <c r="E8" s="124"/>
      <c r="F8" s="126"/>
      <c r="G8" s="533"/>
      <c r="H8" s="124"/>
      <c r="I8" s="126"/>
      <c r="J8" s="126"/>
      <c r="K8" s="125"/>
      <c r="L8" s="125"/>
      <c r="M8" s="127"/>
      <c r="N8" s="127" t="str">
        <f>IFERROR(VLOOKUP(M8,参数表!$H$2:$I$50,2,FALSE),"")</f>
        <v/>
      </c>
      <c r="O8" s="128" t="str">
        <f>IFERROR(IF(OR(M8="人民币",M8=""),"",X8/N8),"")</f>
        <v/>
      </c>
      <c r="P8" s="128" t="str">
        <f>IFERROR(IF(OR(M8="人民币",M8=""),"",Y8/N8),"")</f>
        <v/>
      </c>
      <c r="Q8" s="129" t="str">
        <f>IFERROR(IF(OR(M8="人民币",M8=""),"",Z8/N8),"")</f>
        <v/>
      </c>
      <c r="R8" s="129"/>
      <c r="S8" s="129"/>
      <c r="T8" s="129"/>
      <c r="U8" s="130"/>
      <c r="V8" s="130"/>
      <c r="W8" s="130"/>
      <c r="X8" s="129" t="str">
        <f t="shared" ref="X8:X27" si="0">IF(C8="","",R8+U8)</f>
        <v/>
      </c>
      <c r="Y8" s="129" t="str">
        <f t="shared" ref="Y8:Y27" si="1">IF(C8="","",S8+V8)</f>
        <v/>
      </c>
      <c r="Z8" s="129" t="str">
        <f t="shared" ref="Z8:Z27" si="2">IF(C8="","",T8+W8)</f>
        <v/>
      </c>
      <c r="AA8" s="129" t="str">
        <f t="shared" ref="AA8:AA27" si="3">IF(C8="","",IF($BB$3="是",IF(BQ8="成本法",BV8,BT8),""))</f>
        <v/>
      </c>
      <c r="AB8" s="521" t="str">
        <f t="shared" ref="AB8:AB27" si="4">IF(C8="","",IF($BB$3="是",IF(BQ8="成本法",MIN(MAX(15,BY8*100),99),""),""))</f>
        <v/>
      </c>
      <c r="AC8" s="129" t="str">
        <f>IFERROR(IF(AB8="",AA8,ROUND(AA8*AB8/100,0)),"")</f>
        <v/>
      </c>
      <c r="AD8" s="129" t="str">
        <f>IFERROR((AC8-(Y8-Z8))/(Y8-Z8)*100,"")</f>
        <v/>
      </c>
      <c r="AE8" s="131"/>
      <c r="BA8" s="78"/>
      <c r="BB8" s="132" t="s">
        <v>4253</v>
      </c>
      <c r="BC8" s="133"/>
      <c r="BD8" s="132" t="str">
        <f>IF(OR(C8="",BC8=""),"",COUNTIF(BC$8:BC8,"√"))</f>
        <v/>
      </c>
      <c r="BE8" s="134" t="str">
        <f t="shared" ref="BE8:BE27" si="5">IF(BC8="","",BB8&amp;"︱"&amp;C8&amp;"︱"&amp;TEXT(R8,"#,##0.00"))</f>
        <v/>
      </c>
      <c r="BF8" s="135" t="str">
        <f>IF($B8="","",IF(BF$5=0,"OK","出错"))</f>
        <v/>
      </c>
      <c r="BG8" s="135" t="str">
        <f>IF($B8="","",IF(BG$5=0,"OK","出错"))</f>
        <v/>
      </c>
      <c r="BH8" s="136"/>
      <c r="BI8" s="137"/>
      <c r="BJ8" s="136"/>
      <c r="BK8" s="136"/>
      <c r="BL8" s="136"/>
      <c r="BM8" s="136"/>
      <c r="BN8" s="137"/>
      <c r="BO8" s="136"/>
      <c r="BP8" s="137"/>
      <c r="BQ8" s="165" t="s">
        <v>2706</v>
      </c>
      <c r="BR8" s="272"/>
      <c r="BS8" s="272"/>
      <c r="BT8" s="156">
        <f t="shared" ref="BT8:BT27" si="6">ROUND(BR8*J8,2)</f>
        <v>0</v>
      </c>
      <c r="BU8" s="156">
        <f t="shared" ref="BU8:BU27" si="7">ROUND(BT8/(1+BU$6)*BU$6,2)</f>
        <v>0</v>
      </c>
      <c r="BV8" s="156">
        <f>ROUND(BT8-BU8,-2)</f>
        <v>0</v>
      </c>
      <c r="BW8" s="156">
        <f t="shared" ref="BW8:BW27" si="8">(BW$6-L8)/365.25</f>
        <v>125.582477754962</v>
      </c>
      <c r="BX8" s="272"/>
      <c r="BY8" s="746">
        <f>IFERROR(ROUND(1-BW8/BX8,2),0)</f>
        <v>0</v>
      </c>
      <c r="CA8" s="134" t="str">
        <f>IF(COUNTIF(CA$7:CA7,C8)&gt;0,"",C8)&amp;""</f>
        <v/>
      </c>
      <c r="CB8" s="138">
        <f>SUMIF(C$8:C$27,CA8,X$8:X$27)</f>
        <v>0</v>
      </c>
      <c r="CC8" s="132">
        <f t="shared" ref="CC8" si="9">RANK(CB8,CB$8:CB$27)</f>
        <v>1</v>
      </c>
      <c r="CD8" s="138">
        <f>SUMIF(C$8:C$27,CA8,A$8:A$27)</f>
        <v>0</v>
      </c>
      <c r="CE8" s="132">
        <f>RANK(CD8,CD$8:CD$27)</f>
        <v>1</v>
      </c>
      <c r="CF8" s="138">
        <f>SUM(CB8:CB27)</f>
        <v>0</v>
      </c>
      <c r="CG8" s="138"/>
      <c r="CH8" s="138"/>
    </row>
    <row r="9" ht="15" customHeight="1" spans="1:86">
      <c r="A9" s="123" t="str">
        <f>IF(C9="","",COUNT(A$7:A8)+1)</f>
        <v/>
      </c>
      <c r="B9" s="141"/>
      <c r="C9" s="139"/>
      <c r="D9" s="139"/>
      <c r="E9" s="535"/>
      <c r="F9" s="141"/>
      <c r="G9" s="536"/>
      <c r="H9" s="139"/>
      <c r="I9" s="141"/>
      <c r="J9" s="141"/>
      <c r="K9" s="140"/>
      <c r="L9" s="140"/>
      <c r="M9" s="142"/>
      <c r="N9" s="127" t="str">
        <f>IFERROR(VLOOKUP(M9,参数表!$H$2:$I$50,2,FALSE),"")</f>
        <v/>
      </c>
      <c r="O9" s="128" t="str">
        <f t="shared" ref="O9:O27" si="10">IFERROR(IF(OR(M9="人民币",M9=""),"",X9/N9),"")</f>
        <v/>
      </c>
      <c r="P9" s="128" t="str">
        <f t="shared" ref="P9:P27" si="11">IFERROR(IF(OR(M9="人民币",M9=""),"",Y9/N9),"")</f>
        <v/>
      </c>
      <c r="Q9" s="129" t="str">
        <f t="shared" ref="Q9:Q27" si="12">IFERROR(IF(OR(M9="人民币",M9=""),"",Z9/N9),"")</f>
        <v/>
      </c>
      <c r="R9" s="143"/>
      <c r="S9" s="143"/>
      <c r="T9" s="143"/>
      <c r="U9" s="143"/>
      <c r="V9" s="143"/>
      <c r="W9" s="143"/>
      <c r="X9" s="129" t="str">
        <f t="shared" si="0"/>
        <v/>
      </c>
      <c r="Y9" s="129" t="str">
        <f t="shared" si="1"/>
        <v/>
      </c>
      <c r="Z9" s="129" t="str">
        <f t="shared" si="2"/>
        <v/>
      </c>
      <c r="AA9" s="129" t="str">
        <f t="shared" si="3"/>
        <v/>
      </c>
      <c r="AB9" s="521" t="str">
        <f t="shared" si="4"/>
        <v/>
      </c>
      <c r="AC9" s="129" t="str">
        <f t="shared" ref="AC9:AC27" si="13">IFERROR(IF(AB9="",AA9,ROUND(AA9*AB9/100,0)),"")</f>
        <v/>
      </c>
      <c r="AD9" s="129" t="str">
        <f t="shared" ref="AD9:AD30" si="14">IFERROR((AC9-(Y9-Z9))/(Y9-Z9)*100,"")</f>
        <v/>
      </c>
      <c r="AE9" s="145"/>
      <c r="BA9" s="78"/>
      <c r="BB9" s="132" t="s">
        <v>4254</v>
      </c>
      <c r="BC9" s="133"/>
      <c r="BD9" s="132" t="str">
        <f>IF(OR(C9="",BC9=""),"",COUNTIF(BC$8:BC9,"√"))</f>
        <v/>
      </c>
      <c r="BE9" s="134" t="str">
        <f t="shared" si="5"/>
        <v/>
      </c>
      <c r="BF9" s="135" t="str">
        <f t="shared" ref="BF9:BG27" si="15">IF($B9="","",IF(BF$5=0,"OK","出错"))</f>
        <v/>
      </c>
      <c r="BG9" s="135" t="str">
        <f t="shared" si="15"/>
        <v/>
      </c>
      <c r="BH9" s="136"/>
      <c r="BI9" s="137"/>
      <c r="BJ9" s="136"/>
      <c r="BK9" s="136"/>
      <c r="BL9" s="136"/>
      <c r="BM9" s="136"/>
      <c r="BN9" s="137"/>
      <c r="BO9" s="136"/>
      <c r="BP9" s="137"/>
      <c r="BQ9" s="165" t="s">
        <v>2706</v>
      </c>
      <c r="BT9" s="156">
        <f t="shared" si="6"/>
        <v>0</v>
      </c>
      <c r="BU9" s="156">
        <f t="shared" si="7"/>
        <v>0</v>
      </c>
      <c r="BV9" s="156">
        <f t="shared" ref="BV9:BV27" si="16">ROUND(BT9-BU9,-2)</f>
        <v>0</v>
      </c>
      <c r="BW9" s="156">
        <f t="shared" si="8"/>
        <v>125.582477754962</v>
      </c>
      <c r="BX9" s="272"/>
      <c r="BY9" s="746">
        <f t="shared" ref="BY9:BY27" si="17">IFERROR(ROUND(1-BW9/BX9,2),0)</f>
        <v>0</v>
      </c>
      <c r="CA9" s="134" t="str">
        <f>IF(COUNTIF(CA$7:CA8,C9)&gt;0,"",C9)&amp;""</f>
        <v/>
      </c>
      <c r="CB9" s="138">
        <f t="shared" ref="CB9:CB27" si="18">SUMIF(C$8:C$27,CA9,X$8:X$27)</f>
        <v>0</v>
      </c>
      <c r="CC9" s="132">
        <f t="shared" ref="CC9:CC27" si="19">RANK(CB9,CB$8:CB$27)</f>
        <v>1</v>
      </c>
      <c r="CD9" s="138">
        <f t="shared" ref="CD9:CD27" si="20">SUMIF(C$8:C$27,CA9,A$8:A$27)</f>
        <v>0</v>
      </c>
      <c r="CE9" s="132">
        <f t="shared" ref="CE9:CE27" si="21">RANK(CD9,CD$8:CD$27)</f>
        <v>1</v>
      </c>
      <c r="CF9" s="138">
        <f>SUM(CD8:CD27)</f>
        <v>0</v>
      </c>
      <c r="CG9" s="138"/>
      <c r="CH9" s="138"/>
    </row>
    <row r="10" ht="15" customHeight="1" spans="1:86">
      <c r="A10" s="123" t="str">
        <f>IF(C10="","",COUNT(A$7:A9)+1)</f>
        <v/>
      </c>
      <c r="B10" s="141"/>
      <c r="C10" s="139"/>
      <c r="D10" s="139"/>
      <c r="E10" s="535"/>
      <c r="F10" s="141"/>
      <c r="G10" s="536"/>
      <c r="H10" s="139"/>
      <c r="I10" s="141"/>
      <c r="J10" s="141"/>
      <c r="K10" s="140"/>
      <c r="L10" s="140"/>
      <c r="M10" s="142"/>
      <c r="N10" s="127" t="str">
        <f>IFERROR(VLOOKUP(M10,参数表!$H$2:$I$50,2,FALSE),"")</f>
        <v/>
      </c>
      <c r="O10" s="128" t="str">
        <f t="shared" si="10"/>
        <v/>
      </c>
      <c r="P10" s="128" t="str">
        <f t="shared" si="11"/>
        <v/>
      </c>
      <c r="Q10" s="129" t="str">
        <f t="shared" si="12"/>
        <v/>
      </c>
      <c r="R10" s="143"/>
      <c r="S10" s="143"/>
      <c r="T10" s="143"/>
      <c r="U10" s="143"/>
      <c r="V10" s="143"/>
      <c r="W10" s="143"/>
      <c r="X10" s="129" t="str">
        <f t="shared" si="0"/>
        <v/>
      </c>
      <c r="Y10" s="129" t="str">
        <f t="shared" si="1"/>
        <v/>
      </c>
      <c r="Z10" s="129" t="str">
        <f t="shared" si="2"/>
        <v/>
      </c>
      <c r="AA10" s="129" t="str">
        <f t="shared" si="3"/>
        <v/>
      </c>
      <c r="AB10" s="521" t="str">
        <f t="shared" si="4"/>
        <v/>
      </c>
      <c r="AC10" s="129" t="str">
        <f t="shared" si="13"/>
        <v/>
      </c>
      <c r="AD10" s="129" t="str">
        <f t="shared" si="14"/>
        <v/>
      </c>
      <c r="AE10" s="145"/>
      <c r="BA10" s="78"/>
      <c r="BB10" s="132" t="s">
        <v>4255</v>
      </c>
      <c r="BC10" s="133"/>
      <c r="BD10" s="132" t="str">
        <f>IF(OR(C10="",BC10=""),"",COUNTIF(BC$8:BC10,"√"))</f>
        <v/>
      </c>
      <c r="BE10" s="134" t="str">
        <f t="shared" si="5"/>
        <v/>
      </c>
      <c r="BF10" s="135" t="str">
        <f t="shared" si="15"/>
        <v/>
      </c>
      <c r="BG10" s="135" t="str">
        <f t="shared" si="15"/>
        <v/>
      </c>
      <c r="BH10" s="136"/>
      <c r="BI10" s="137"/>
      <c r="BJ10" s="136"/>
      <c r="BK10" s="136"/>
      <c r="BL10" s="136"/>
      <c r="BM10" s="136"/>
      <c r="BN10" s="137"/>
      <c r="BO10" s="136"/>
      <c r="BP10" s="137"/>
      <c r="BQ10" s="165" t="s">
        <v>2706</v>
      </c>
      <c r="BT10" s="156">
        <f t="shared" si="6"/>
        <v>0</v>
      </c>
      <c r="BU10" s="156">
        <f t="shared" si="7"/>
        <v>0</v>
      </c>
      <c r="BV10" s="156">
        <f t="shared" si="16"/>
        <v>0</v>
      </c>
      <c r="BW10" s="156">
        <f t="shared" si="8"/>
        <v>125.582477754962</v>
      </c>
      <c r="BX10" s="272"/>
      <c r="BY10" s="746">
        <f t="shared" si="17"/>
        <v>0</v>
      </c>
      <c r="CA10" s="134" t="str">
        <f>IF(COUNTIF(CA$7:CA9,C10)&gt;0,"",C10)&amp;""</f>
        <v/>
      </c>
      <c r="CB10" s="138">
        <f t="shared" si="18"/>
        <v>0</v>
      </c>
      <c r="CC10" s="132">
        <f t="shared" si="19"/>
        <v>1</v>
      </c>
      <c r="CD10" s="138">
        <f t="shared" si="20"/>
        <v>0</v>
      </c>
      <c r="CE10" s="132">
        <f t="shared" si="21"/>
        <v>1</v>
      </c>
      <c r="CF10" s="132">
        <v>1</v>
      </c>
      <c r="CG10" s="134" t="str">
        <f>IFERROR(INDEX(CA$8:CA$27,MATCH(CF10,IF(CF$8=0,CE$8:CE$27,CC$8:CC$27),0))&amp;"","")</f>
        <v/>
      </c>
      <c r="CH10" s="146" t="str">
        <f>IF(CG11="","",IF(CG12="","和","、"))</f>
        <v/>
      </c>
    </row>
    <row r="11" ht="15" customHeight="1" spans="1:86">
      <c r="A11" s="123" t="str">
        <f>IF(C11="","",COUNT(A$7:A10)+1)</f>
        <v/>
      </c>
      <c r="B11" s="141"/>
      <c r="C11" s="139"/>
      <c r="D11" s="139"/>
      <c r="E11" s="535"/>
      <c r="F11" s="141"/>
      <c r="G11" s="536"/>
      <c r="H11" s="139"/>
      <c r="I11" s="141"/>
      <c r="J11" s="141"/>
      <c r="K11" s="140"/>
      <c r="L11" s="140"/>
      <c r="M11" s="142"/>
      <c r="N11" s="127" t="str">
        <f>IFERROR(VLOOKUP(M11,参数表!$H$2:$I$50,2,FALSE),"")</f>
        <v/>
      </c>
      <c r="O11" s="128" t="str">
        <f t="shared" si="10"/>
        <v/>
      </c>
      <c r="P11" s="128" t="str">
        <f t="shared" si="11"/>
        <v/>
      </c>
      <c r="Q11" s="129" t="str">
        <f t="shared" si="12"/>
        <v/>
      </c>
      <c r="R11" s="143"/>
      <c r="S11" s="143"/>
      <c r="T11" s="143"/>
      <c r="U11" s="143"/>
      <c r="V11" s="143"/>
      <c r="W11" s="143"/>
      <c r="X11" s="129" t="str">
        <f t="shared" si="0"/>
        <v/>
      </c>
      <c r="Y11" s="129" t="str">
        <f t="shared" si="1"/>
        <v/>
      </c>
      <c r="Z11" s="129" t="str">
        <f t="shared" si="2"/>
        <v/>
      </c>
      <c r="AA11" s="129" t="str">
        <f t="shared" si="3"/>
        <v/>
      </c>
      <c r="AB11" s="521" t="str">
        <f t="shared" si="4"/>
        <v/>
      </c>
      <c r="AC11" s="129" t="str">
        <f t="shared" si="13"/>
        <v/>
      </c>
      <c r="AD11" s="129" t="str">
        <f t="shared" si="14"/>
        <v/>
      </c>
      <c r="AE11" s="145"/>
      <c r="BA11" s="78"/>
      <c r="BB11" s="132" t="s">
        <v>4256</v>
      </c>
      <c r="BC11" s="133"/>
      <c r="BD11" s="132" t="str">
        <f>IF(OR(C11="",BC11=""),"",COUNTIF(BC$8:BC11,"√"))</f>
        <v/>
      </c>
      <c r="BE11" s="134" t="str">
        <f t="shared" si="5"/>
        <v/>
      </c>
      <c r="BF11" s="135" t="str">
        <f t="shared" si="15"/>
        <v/>
      </c>
      <c r="BG11" s="135" t="str">
        <f t="shared" si="15"/>
        <v/>
      </c>
      <c r="BH11" s="136"/>
      <c r="BI11" s="137"/>
      <c r="BJ11" s="136"/>
      <c r="BK11" s="136"/>
      <c r="BL11" s="136"/>
      <c r="BM11" s="136"/>
      <c r="BN11" s="137"/>
      <c r="BO11" s="136"/>
      <c r="BP11" s="137"/>
      <c r="BQ11" s="165" t="s">
        <v>2706</v>
      </c>
      <c r="BT11" s="156">
        <f t="shared" si="6"/>
        <v>0</v>
      </c>
      <c r="BU11" s="156">
        <f t="shared" si="7"/>
        <v>0</v>
      </c>
      <c r="BV11" s="156">
        <f t="shared" si="16"/>
        <v>0</v>
      </c>
      <c r="BW11" s="156">
        <f t="shared" si="8"/>
        <v>125.582477754962</v>
      </c>
      <c r="BX11" s="272"/>
      <c r="BY11" s="746">
        <f t="shared" si="17"/>
        <v>0</v>
      </c>
      <c r="CA11" s="134" t="str">
        <f>IF(COUNTIF(CA$7:CA10,C11)&gt;0,"",C11)&amp;""</f>
        <v/>
      </c>
      <c r="CB11" s="138">
        <f t="shared" si="18"/>
        <v>0</v>
      </c>
      <c r="CC11" s="132">
        <f t="shared" si="19"/>
        <v>1</v>
      </c>
      <c r="CD11" s="138">
        <f t="shared" si="20"/>
        <v>0</v>
      </c>
      <c r="CE11" s="132">
        <f t="shared" si="21"/>
        <v>1</v>
      </c>
      <c r="CF11" s="132">
        <v>2</v>
      </c>
      <c r="CG11" s="134" t="str">
        <f t="shared" ref="CG11:CG14" si="22">IFERROR(INDEX(CA$8:CA$27,MATCH(CF11,IF(CF$8=0,CE$8:CE$27,CC$8:CC$27),0))&amp;"","")</f>
        <v/>
      </c>
      <c r="CH11" s="146" t="str">
        <f t="shared" ref="CH11:CH12" si="23">IF(CG12="","",IF(CG13="","和","、"))</f>
        <v/>
      </c>
    </row>
    <row r="12" ht="15" customHeight="1" spans="1:86">
      <c r="A12" s="123" t="str">
        <f>IF(C12="","",COUNT(A$7:A11)+1)</f>
        <v/>
      </c>
      <c r="B12" s="141"/>
      <c r="C12" s="139"/>
      <c r="D12" s="139"/>
      <c r="E12" s="535"/>
      <c r="F12" s="141"/>
      <c r="G12" s="536"/>
      <c r="H12" s="139"/>
      <c r="I12" s="141"/>
      <c r="J12" s="141"/>
      <c r="K12" s="140"/>
      <c r="L12" s="140"/>
      <c r="M12" s="142"/>
      <c r="N12" s="127" t="str">
        <f>IFERROR(VLOOKUP(M12,参数表!$H$2:$I$50,2,FALSE),"")</f>
        <v/>
      </c>
      <c r="O12" s="128" t="str">
        <f t="shared" si="10"/>
        <v/>
      </c>
      <c r="P12" s="128" t="str">
        <f t="shared" si="11"/>
        <v/>
      </c>
      <c r="Q12" s="129" t="str">
        <f t="shared" si="12"/>
        <v/>
      </c>
      <c r="R12" s="143"/>
      <c r="S12" s="143"/>
      <c r="T12" s="143"/>
      <c r="U12" s="143"/>
      <c r="V12" s="143"/>
      <c r="W12" s="143"/>
      <c r="X12" s="129" t="str">
        <f t="shared" si="0"/>
        <v/>
      </c>
      <c r="Y12" s="129" t="str">
        <f t="shared" si="1"/>
        <v/>
      </c>
      <c r="Z12" s="129" t="str">
        <f t="shared" si="2"/>
        <v/>
      </c>
      <c r="AA12" s="129" t="str">
        <f t="shared" si="3"/>
        <v/>
      </c>
      <c r="AB12" s="521" t="str">
        <f t="shared" si="4"/>
        <v/>
      </c>
      <c r="AC12" s="129" t="str">
        <f t="shared" si="13"/>
        <v/>
      </c>
      <c r="AD12" s="129" t="str">
        <f t="shared" si="14"/>
        <v/>
      </c>
      <c r="AE12" s="145"/>
      <c r="BA12" s="78"/>
      <c r="BB12" s="132" t="s">
        <v>4257</v>
      </c>
      <c r="BC12" s="133"/>
      <c r="BD12" s="132" t="str">
        <f>IF(OR(C12="",BC12=""),"",COUNTIF(BC$8:BC12,"√"))</f>
        <v/>
      </c>
      <c r="BE12" s="134" t="str">
        <f t="shared" si="5"/>
        <v/>
      </c>
      <c r="BF12" s="135" t="str">
        <f t="shared" si="15"/>
        <v/>
      </c>
      <c r="BG12" s="135" t="str">
        <f t="shared" si="15"/>
        <v/>
      </c>
      <c r="BH12" s="136"/>
      <c r="BI12" s="137"/>
      <c r="BJ12" s="136"/>
      <c r="BK12" s="136"/>
      <c r="BL12" s="136"/>
      <c r="BM12" s="136"/>
      <c r="BN12" s="137"/>
      <c r="BO12" s="136"/>
      <c r="BP12" s="137"/>
      <c r="BQ12" s="165" t="s">
        <v>2706</v>
      </c>
      <c r="BT12" s="156">
        <f t="shared" si="6"/>
        <v>0</v>
      </c>
      <c r="BU12" s="156">
        <f t="shared" si="7"/>
        <v>0</v>
      </c>
      <c r="BV12" s="156">
        <f t="shared" si="16"/>
        <v>0</v>
      </c>
      <c r="BW12" s="156">
        <f t="shared" si="8"/>
        <v>125.582477754962</v>
      </c>
      <c r="BX12" s="272"/>
      <c r="BY12" s="746">
        <f t="shared" si="17"/>
        <v>0</v>
      </c>
      <c r="CA12" s="134" t="str">
        <f>IF(COUNTIF(CA$7:CA11,C12)&gt;0,"",C12)&amp;""</f>
        <v/>
      </c>
      <c r="CB12" s="138">
        <f t="shared" si="18"/>
        <v>0</v>
      </c>
      <c r="CC12" s="132">
        <f t="shared" si="19"/>
        <v>1</v>
      </c>
      <c r="CD12" s="138">
        <f t="shared" si="20"/>
        <v>0</v>
      </c>
      <c r="CE12" s="132">
        <f t="shared" si="21"/>
        <v>1</v>
      </c>
      <c r="CF12" s="132">
        <v>3</v>
      </c>
      <c r="CG12" s="134" t="str">
        <f t="shared" si="22"/>
        <v/>
      </c>
      <c r="CH12" s="146" t="str">
        <f t="shared" si="23"/>
        <v/>
      </c>
    </row>
    <row r="13" ht="15" customHeight="1" spans="1:86">
      <c r="A13" s="123" t="str">
        <f>IF(C13="","",COUNT(A$7:A12)+1)</f>
        <v/>
      </c>
      <c r="B13" s="141"/>
      <c r="C13" s="139"/>
      <c r="D13" s="139"/>
      <c r="E13" s="535"/>
      <c r="F13" s="141"/>
      <c r="G13" s="536"/>
      <c r="H13" s="139"/>
      <c r="I13" s="141"/>
      <c r="J13" s="141"/>
      <c r="K13" s="140"/>
      <c r="L13" s="140"/>
      <c r="M13" s="142"/>
      <c r="N13" s="127" t="str">
        <f>IFERROR(VLOOKUP(M13,参数表!$H$2:$I$50,2,FALSE),"")</f>
        <v/>
      </c>
      <c r="O13" s="128" t="str">
        <f t="shared" si="10"/>
        <v/>
      </c>
      <c r="P13" s="128" t="str">
        <f t="shared" si="11"/>
        <v/>
      </c>
      <c r="Q13" s="129" t="str">
        <f t="shared" si="12"/>
        <v/>
      </c>
      <c r="R13" s="143"/>
      <c r="S13" s="143"/>
      <c r="T13" s="143"/>
      <c r="U13" s="143"/>
      <c r="V13" s="143"/>
      <c r="W13" s="143"/>
      <c r="X13" s="129" t="str">
        <f t="shared" si="0"/>
        <v/>
      </c>
      <c r="Y13" s="129" t="str">
        <f t="shared" si="1"/>
        <v/>
      </c>
      <c r="Z13" s="129" t="str">
        <f t="shared" si="2"/>
        <v/>
      </c>
      <c r="AA13" s="129" t="str">
        <f t="shared" si="3"/>
        <v/>
      </c>
      <c r="AB13" s="521" t="str">
        <f t="shared" si="4"/>
        <v/>
      </c>
      <c r="AC13" s="129" t="str">
        <f t="shared" si="13"/>
        <v/>
      </c>
      <c r="AD13" s="129" t="str">
        <f t="shared" si="14"/>
        <v/>
      </c>
      <c r="AE13" s="145"/>
      <c r="BA13" s="78"/>
      <c r="BB13" s="132" t="s">
        <v>4258</v>
      </c>
      <c r="BC13" s="133"/>
      <c r="BD13" s="132" t="str">
        <f>IF(OR(C13="",BC13=""),"",COUNTIF(BC$8:BC13,"√"))</f>
        <v/>
      </c>
      <c r="BE13" s="134" t="str">
        <f t="shared" si="5"/>
        <v/>
      </c>
      <c r="BF13" s="135" t="str">
        <f t="shared" si="15"/>
        <v/>
      </c>
      <c r="BG13" s="135" t="str">
        <f t="shared" si="15"/>
        <v/>
      </c>
      <c r="BH13" s="136"/>
      <c r="BI13" s="137"/>
      <c r="BJ13" s="136"/>
      <c r="BK13" s="136"/>
      <c r="BL13" s="136"/>
      <c r="BM13" s="136"/>
      <c r="BN13" s="137"/>
      <c r="BO13" s="136"/>
      <c r="BP13" s="137"/>
      <c r="BQ13" s="165" t="s">
        <v>2706</v>
      </c>
      <c r="BT13" s="156">
        <f t="shared" si="6"/>
        <v>0</v>
      </c>
      <c r="BU13" s="156">
        <f t="shared" si="7"/>
        <v>0</v>
      </c>
      <c r="BV13" s="156">
        <f t="shared" si="16"/>
        <v>0</v>
      </c>
      <c r="BW13" s="156">
        <f t="shared" si="8"/>
        <v>125.582477754962</v>
      </c>
      <c r="BX13" s="272"/>
      <c r="BY13" s="746">
        <f t="shared" si="17"/>
        <v>0</v>
      </c>
      <c r="CA13" s="134" t="str">
        <f>IF(COUNTIF(CA$7:CA12,C13)&gt;0,"",C13)&amp;""</f>
        <v/>
      </c>
      <c r="CB13" s="138">
        <f t="shared" si="18"/>
        <v>0</v>
      </c>
      <c r="CC13" s="132">
        <f t="shared" si="19"/>
        <v>1</v>
      </c>
      <c r="CD13" s="138">
        <f t="shared" si="20"/>
        <v>0</v>
      </c>
      <c r="CE13" s="132">
        <f t="shared" si="21"/>
        <v>1</v>
      </c>
      <c r="CF13" s="132">
        <v>4</v>
      </c>
      <c r="CG13" s="134" t="str">
        <f t="shared" si="22"/>
        <v/>
      </c>
      <c r="CH13" s="146" t="str">
        <f>IF(CG14="","","和")</f>
        <v/>
      </c>
    </row>
    <row r="14" ht="15" customHeight="1" spans="1:86">
      <c r="A14" s="123" t="str">
        <f>IF(C14="","",COUNT(A$7:A13)+1)</f>
        <v/>
      </c>
      <c r="B14" s="141"/>
      <c r="C14" s="139"/>
      <c r="D14" s="139"/>
      <c r="E14" s="535"/>
      <c r="F14" s="141"/>
      <c r="G14" s="536"/>
      <c r="H14" s="139"/>
      <c r="I14" s="141"/>
      <c r="J14" s="141"/>
      <c r="K14" s="140"/>
      <c r="L14" s="140"/>
      <c r="M14" s="142"/>
      <c r="N14" s="127" t="str">
        <f>IFERROR(VLOOKUP(M14,参数表!$H$2:$I$50,2,FALSE),"")</f>
        <v/>
      </c>
      <c r="O14" s="128" t="str">
        <f t="shared" si="10"/>
        <v/>
      </c>
      <c r="P14" s="128" t="str">
        <f t="shared" si="11"/>
        <v/>
      </c>
      <c r="Q14" s="129" t="str">
        <f t="shared" si="12"/>
        <v/>
      </c>
      <c r="R14" s="143"/>
      <c r="S14" s="143"/>
      <c r="T14" s="143"/>
      <c r="U14" s="143"/>
      <c r="V14" s="143"/>
      <c r="W14" s="143"/>
      <c r="X14" s="129" t="str">
        <f t="shared" si="0"/>
        <v/>
      </c>
      <c r="Y14" s="129" t="str">
        <f t="shared" si="1"/>
        <v/>
      </c>
      <c r="Z14" s="129" t="str">
        <f t="shared" si="2"/>
        <v/>
      </c>
      <c r="AA14" s="129" t="str">
        <f t="shared" si="3"/>
        <v/>
      </c>
      <c r="AB14" s="521" t="str">
        <f t="shared" si="4"/>
        <v/>
      </c>
      <c r="AC14" s="129" t="str">
        <f t="shared" si="13"/>
        <v/>
      </c>
      <c r="AD14" s="129" t="str">
        <f t="shared" si="14"/>
        <v/>
      </c>
      <c r="AE14" s="145"/>
      <c r="BA14" s="78"/>
      <c r="BB14" s="132" t="s">
        <v>4259</v>
      </c>
      <c r="BC14" s="133"/>
      <c r="BD14" s="132" t="str">
        <f>IF(OR(C14="",BC14=""),"",COUNTIF(BC$8:BC14,"√"))</f>
        <v/>
      </c>
      <c r="BE14" s="134" t="str">
        <f t="shared" si="5"/>
        <v/>
      </c>
      <c r="BF14" s="135" t="str">
        <f t="shared" si="15"/>
        <v/>
      </c>
      <c r="BG14" s="135" t="str">
        <f t="shared" si="15"/>
        <v/>
      </c>
      <c r="BH14" s="136"/>
      <c r="BI14" s="137"/>
      <c r="BJ14" s="136"/>
      <c r="BK14" s="136"/>
      <c r="BL14" s="136"/>
      <c r="BM14" s="136"/>
      <c r="BN14" s="137"/>
      <c r="BO14" s="136"/>
      <c r="BP14" s="137"/>
      <c r="BQ14" s="165" t="s">
        <v>2706</v>
      </c>
      <c r="BT14" s="156">
        <f t="shared" si="6"/>
        <v>0</v>
      </c>
      <c r="BU14" s="156">
        <f t="shared" si="7"/>
        <v>0</v>
      </c>
      <c r="BV14" s="156">
        <f t="shared" si="16"/>
        <v>0</v>
      </c>
      <c r="BW14" s="156">
        <f t="shared" si="8"/>
        <v>125.582477754962</v>
      </c>
      <c r="BX14" s="272"/>
      <c r="BY14" s="746">
        <f t="shared" si="17"/>
        <v>0</v>
      </c>
      <c r="CA14" s="134" t="str">
        <f>IF(COUNTIF(CA$7:CA13,C14)&gt;0,"",C14)&amp;""</f>
        <v/>
      </c>
      <c r="CB14" s="138">
        <f t="shared" si="18"/>
        <v>0</v>
      </c>
      <c r="CC14" s="132">
        <f t="shared" si="19"/>
        <v>1</v>
      </c>
      <c r="CD14" s="138">
        <f t="shared" si="20"/>
        <v>0</v>
      </c>
      <c r="CE14" s="132">
        <f t="shared" si="21"/>
        <v>1</v>
      </c>
      <c r="CF14" s="132">
        <v>5</v>
      </c>
      <c r="CG14" s="134" t="str">
        <f t="shared" si="22"/>
        <v/>
      </c>
      <c r="CH14" s="146"/>
    </row>
    <row r="15" ht="15" customHeight="1" spans="1:86">
      <c r="A15" s="123" t="str">
        <f>IF(C15="","",COUNT(A$7:A14)+1)</f>
        <v/>
      </c>
      <c r="B15" s="141"/>
      <c r="C15" s="139"/>
      <c r="D15" s="139"/>
      <c r="E15" s="535"/>
      <c r="F15" s="141"/>
      <c r="G15" s="536"/>
      <c r="H15" s="139"/>
      <c r="I15" s="141"/>
      <c r="J15" s="141"/>
      <c r="K15" s="140"/>
      <c r="L15" s="140"/>
      <c r="M15" s="142"/>
      <c r="N15" s="127" t="str">
        <f>IFERROR(VLOOKUP(M15,参数表!$H$2:$I$50,2,FALSE),"")</f>
        <v/>
      </c>
      <c r="O15" s="128" t="str">
        <f t="shared" si="10"/>
        <v/>
      </c>
      <c r="P15" s="128" t="str">
        <f t="shared" si="11"/>
        <v/>
      </c>
      <c r="Q15" s="129" t="str">
        <f t="shared" si="12"/>
        <v/>
      </c>
      <c r="R15" s="143"/>
      <c r="S15" s="143"/>
      <c r="T15" s="143"/>
      <c r="U15" s="143"/>
      <c r="V15" s="143"/>
      <c r="W15" s="143"/>
      <c r="X15" s="129" t="str">
        <f t="shared" si="0"/>
        <v/>
      </c>
      <c r="Y15" s="129" t="str">
        <f t="shared" si="1"/>
        <v/>
      </c>
      <c r="Z15" s="129" t="str">
        <f t="shared" si="2"/>
        <v/>
      </c>
      <c r="AA15" s="129" t="str">
        <f t="shared" si="3"/>
        <v/>
      </c>
      <c r="AB15" s="521" t="str">
        <f t="shared" si="4"/>
        <v/>
      </c>
      <c r="AC15" s="129" t="str">
        <f t="shared" si="13"/>
        <v/>
      </c>
      <c r="AD15" s="129" t="str">
        <f t="shared" si="14"/>
        <v/>
      </c>
      <c r="AE15" s="145"/>
      <c r="BA15" s="78"/>
      <c r="BB15" s="132" t="s">
        <v>4260</v>
      </c>
      <c r="BC15" s="133"/>
      <c r="BD15" s="132" t="str">
        <f>IF(OR(C15="",BC15=""),"",COUNTIF(BC$8:BC15,"√"))</f>
        <v/>
      </c>
      <c r="BE15" s="134" t="str">
        <f t="shared" si="5"/>
        <v/>
      </c>
      <c r="BF15" s="135" t="str">
        <f t="shared" si="15"/>
        <v/>
      </c>
      <c r="BG15" s="135" t="str">
        <f t="shared" si="15"/>
        <v/>
      </c>
      <c r="BH15" s="136"/>
      <c r="BI15" s="137"/>
      <c r="BJ15" s="136"/>
      <c r="BK15" s="136"/>
      <c r="BL15" s="136"/>
      <c r="BM15" s="136"/>
      <c r="BN15" s="137"/>
      <c r="BO15" s="136"/>
      <c r="BP15" s="137"/>
      <c r="BQ15" s="165" t="s">
        <v>2706</v>
      </c>
      <c r="BT15" s="156">
        <f t="shared" si="6"/>
        <v>0</v>
      </c>
      <c r="BU15" s="156">
        <f t="shared" si="7"/>
        <v>0</v>
      </c>
      <c r="BV15" s="156">
        <f t="shared" si="16"/>
        <v>0</v>
      </c>
      <c r="BW15" s="156">
        <f t="shared" si="8"/>
        <v>125.582477754962</v>
      </c>
      <c r="BX15" s="272"/>
      <c r="BY15" s="746">
        <f t="shared" si="17"/>
        <v>0</v>
      </c>
      <c r="CA15" s="134" t="str">
        <f>IF(COUNTIF(CA$7:CA14,C15)&gt;0,"",C15)&amp;""</f>
        <v/>
      </c>
      <c r="CB15" s="138">
        <f t="shared" si="18"/>
        <v>0</v>
      </c>
      <c r="CC15" s="132">
        <f t="shared" si="19"/>
        <v>1</v>
      </c>
      <c r="CD15" s="138">
        <f t="shared" si="20"/>
        <v>0</v>
      </c>
      <c r="CE15" s="132">
        <f t="shared" si="21"/>
        <v>1</v>
      </c>
      <c r="CF15" s="147" t="s">
        <v>1659</v>
      </c>
      <c r="CG15" s="132" t="str">
        <f>CONCATENATE(CG10,CH10,CG11,CH11,CG12,CH12,CG13,CH13,CG14)</f>
        <v/>
      </c>
      <c r="CH15" s="132"/>
    </row>
    <row r="16" ht="15" customHeight="1" spans="1:86">
      <c r="A16" s="123" t="str">
        <f>IF(C16="","",COUNT(A$7:A15)+1)</f>
        <v/>
      </c>
      <c r="B16" s="141"/>
      <c r="C16" s="139"/>
      <c r="D16" s="139"/>
      <c r="E16" s="535"/>
      <c r="F16" s="141"/>
      <c r="G16" s="536"/>
      <c r="H16" s="139"/>
      <c r="I16" s="141"/>
      <c r="J16" s="141"/>
      <c r="K16" s="140"/>
      <c r="L16" s="140"/>
      <c r="M16" s="142"/>
      <c r="N16" s="127" t="str">
        <f>IFERROR(VLOOKUP(M16,参数表!$H$2:$I$50,2,FALSE),"")</f>
        <v/>
      </c>
      <c r="O16" s="128" t="str">
        <f t="shared" si="10"/>
        <v/>
      </c>
      <c r="P16" s="128" t="str">
        <f t="shared" si="11"/>
        <v/>
      </c>
      <c r="Q16" s="129" t="str">
        <f t="shared" si="12"/>
        <v/>
      </c>
      <c r="R16" s="143"/>
      <c r="S16" s="143"/>
      <c r="T16" s="143"/>
      <c r="U16" s="143"/>
      <c r="V16" s="143"/>
      <c r="W16" s="143"/>
      <c r="X16" s="129" t="str">
        <f t="shared" si="0"/>
        <v/>
      </c>
      <c r="Y16" s="129" t="str">
        <f t="shared" si="1"/>
        <v/>
      </c>
      <c r="Z16" s="129" t="str">
        <f t="shared" si="2"/>
        <v/>
      </c>
      <c r="AA16" s="129" t="str">
        <f t="shared" si="3"/>
        <v/>
      </c>
      <c r="AB16" s="521" t="str">
        <f t="shared" si="4"/>
        <v/>
      </c>
      <c r="AC16" s="129" t="str">
        <f t="shared" si="13"/>
        <v/>
      </c>
      <c r="AD16" s="129" t="str">
        <f t="shared" si="14"/>
        <v/>
      </c>
      <c r="AE16" s="145"/>
      <c r="BA16" s="78"/>
      <c r="BB16" s="132" t="s">
        <v>4261</v>
      </c>
      <c r="BC16" s="133"/>
      <c r="BD16" s="132" t="str">
        <f>IF(OR(C16="",BC16=""),"",COUNTIF(BC$8:BC16,"√"))</f>
        <v/>
      </c>
      <c r="BE16" s="134" t="str">
        <f t="shared" si="5"/>
        <v/>
      </c>
      <c r="BF16" s="135" t="str">
        <f t="shared" si="15"/>
        <v/>
      </c>
      <c r="BG16" s="135" t="str">
        <f t="shared" si="15"/>
        <v/>
      </c>
      <c r="BH16" s="136"/>
      <c r="BI16" s="137"/>
      <c r="BJ16" s="136"/>
      <c r="BK16" s="136"/>
      <c r="BL16" s="136"/>
      <c r="BM16" s="136"/>
      <c r="BN16" s="137"/>
      <c r="BO16" s="136"/>
      <c r="BP16" s="137"/>
      <c r="BQ16" s="165" t="s">
        <v>2706</v>
      </c>
      <c r="BT16" s="156">
        <f t="shared" si="6"/>
        <v>0</v>
      </c>
      <c r="BU16" s="156">
        <f t="shared" si="7"/>
        <v>0</v>
      </c>
      <c r="BV16" s="156">
        <f t="shared" si="16"/>
        <v>0</v>
      </c>
      <c r="BW16" s="156">
        <f t="shared" si="8"/>
        <v>125.582477754962</v>
      </c>
      <c r="BX16" s="272"/>
      <c r="BY16" s="746">
        <f t="shared" si="17"/>
        <v>0</v>
      </c>
      <c r="CA16" s="134" t="str">
        <f>IF(COUNTIF(CA$7:CA15,C16)&gt;0,"",C16)&amp;""</f>
        <v/>
      </c>
      <c r="CB16" s="138">
        <f t="shared" si="18"/>
        <v>0</v>
      </c>
      <c r="CC16" s="132">
        <f t="shared" si="19"/>
        <v>1</v>
      </c>
      <c r="CD16" s="138">
        <f t="shared" si="20"/>
        <v>0</v>
      </c>
      <c r="CE16" s="132">
        <f t="shared" si="21"/>
        <v>1</v>
      </c>
      <c r="CF16" s="133"/>
      <c r="CG16" s="133"/>
    </row>
    <row r="17" ht="15" customHeight="1" spans="1:86">
      <c r="A17" s="123" t="str">
        <f>IF(C17="","",COUNT(A$7:A16)+1)</f>
        <v/>
      </c>
      <c r="B17" s="141"/>
      <c r="C17" s="139"/>
      <c r="D17" s="139"/>
      <c r="E17" s="535"/>
      <c r="F17" s="141"/>
      <c r="G17" s="536"/>
      <c r="H17" s="139"/>
      <c r="I17" s="141"/>
      <c r="J17" s="141"/>
      <c r="K17" s="140"/>
      <c r="L17" s="140"/>
      <c r="M17" s="142"/>
      <c r="N17" s="127" t="str">
        <f>IFERROR(VLOOKUP(M17,参数表!$H$2:$I$50,2,FALSE),"")</f>
        <v/>
      </c>
      <c r="O17" s="128" t="str">
        <f t="shared" si="10"/>
        <v/>
      </c>
      <c r="P17" s="128" t="str">
        <f t="shared" si="11"/>
        <v/>
      </c>
      <c r="Q17" s="129" t="str">
        <f t="shared" si="12"/>
        <v/>
      </c>
      <c r="R17" s="143"/>
      <c r="S17" s="143"/>
      <c r="T17" s="143"/>
      <c r="U17" s="143"/>
      <c r="V17" s="143"/>
      <c r="W17" s="143"/>
      <c r="X17" s="129" t="str">
        <f t="shared" si="0"/>
        <v/>
      </c>
      <c r="Y17" s="129" t="str">
        <f t="shared" si="1"/>
        <v/>
      </c>
      <c r="Z17" s="129" t="str">
        <f t="shared" si="2"/>
        <v/>
      </c>
      <c r="AA17" s="129" t="str">
        <f t="shared" si="3"/>
        <v/>
      </c>
      <c r="AB17" s="521" t="str">
        <f t="shared" si="4"/>
        <v/>
      </c>
      <c r="AC17" s="129" t="str">
        <f t="shared" si="13"/>
        <v/>
      </c>
      <c r="AD17" s="129" t="str">
        <f t="shared" si="14"/>
        <v/>
      </c>
      <c r="AE17" s="145"/>
      <c r="BA17" s="78"/>
      <c r="BB17" s="132" t="s">
        <v>4262</v>
      </c>
      <c r="BC17" s="133"/>
      <c r="BD17" s="132" t="str">
        <f>IF(OR(C17="",BC17=""),"",COUNTIF(BC$8:BC17,"√"))</f>
        <v/>
      </c>
      <c r="BE17" s="134" t="str">
        <f t="shared" si="5"/>
        <v/>
      </c>
      <c r="BF17" s="135" t="str">
        <f t="shared" si="15"/>
        <v/>
      </c>
      <c r="BG17" s="135" t="str">
        <f t="shared" si="15"/>
        <v/>
      </c>
      <c r="BH17" s="136"/>
      <c r="BI17" s="137"/>
      <c r="BJ17" s="136"/>
      <c r="BK17" s="136"/>
      <c r="BL17" s="136"/>
      <c r="BM17" s="136"/>
      <c r="BN17" s="137"/>
      <c r="BO17" s="136"/>
      <c r="BP17" s="137"/>
      <c r="BQ17" s="165" t="s">
        <v>2706</v>
      </c>
      <c r="BT17" s="156">
        <f t="shared" si="6"/>
        <v>0</v>
      </c>
      <c r="BU17" s="156">
        <f t="shared" si="7"/>
        <v>0</v>
      </c>
      <c r="BV17" s="156">
        <f t="shared" si="16"/>
        <v>0</v>
      </c>
      <c r="BW17" s="156">
        <f t="shared" si="8"/>
        <v>125.582477754962</v>
      </c>
      <c r="BX17" s="272"/>
      <c r="BY17" s="746">
        <f t="shared" si="17"/>
        <v>0</v>
      </c>
      <c r="CA17" s="134" t="str">
        <f>IF(COUNTIF(CA$7:CA16,C17)&gt;0,"",C17)&amp;""</f>
        <v/>
      </c>
      <c r="CB17" s="138">
        <f t="shared" si="18"/>
        <v>0</v>
      </c>
      <c r="CC17" s="132">
        <f t="shared" si="19"/>
        <v>1</v>
      </c>
      <c r="CD17" s="138">
        <f t="shared" si="20"/>
        <v>0</v>
      </c>
      <c r="CE17" s="132">
        <f t="shared" si="21"/>
        <v>1</v>
      </c>
      <c r="CF17" s="133"/>
      <c r="CG17" s="148"/>
    </row>
    <row r="18" ht="15" customHeight="1" spans="1:86">
      <c r="A18" s="123" t="str">
        <f>IF(C18="","",COUNT(A$7:A17)+1)</f>
        <v/>
      </c>
      <c r="B18" s="141"/>
      <c r="C18" s="139"/>
      <c r="D18" s="139"/>
      <c r="E18" s="535"/>
      <c r="F18" s="141"/>
      <c r="G18" s="536"/>
      <c r="H18" s="139"/>
      <c r="I18" s="141"/>
      <c r="J18" s="141"/>
      <c r="K18" s="140"/>
      <c r="L18" s="140"/>
      <c r="M18" s="142"/>
      <c r="N18" s="127" t="str">
        <f>IFERROR(VLOOKUP(M18,参数表!$H$2:$I$50,2,FALSE),"")</f>
        <v/>
      </c>
      <c r="O18" s="128" t="str">
        <f t="shared" si="10"/>
        <v/>
      </c>
      <c r="P18" s="128" t="str">
        <f t="shared" si="11"/>
        <v/>
      </c>
      <c r="Q18" s="129" t="str">
        <f t="shared" si="12"/>
        <v/>
      </c>
      <c r="R18" s="143"/>
      <c r="S18" s="143"/>
      <c r="T18" s="143"/>
      <c r="U18" s="143"/>
      <c r="V18" s="143"/>
      <c r="W18" s="143"/>
      <c r="X18" s="129" t="str">
        <f t="shared" si="0"/>
        <v/>
      </c>
      <c r="Y18" s="129" t="str">
        <f t="shared" si="1"/>
        <v/>
      </c>
      <c r="Z18" s="129" t="str">
        <f t="shared" si="2"/>
        <v/>
      </c>
      <c r="AA18" s="129" t="str">
        <f t="shared" si="3"/>
        <v/>
      </c>
      <c r="AB18" s="521" t="str">
        <f t="shared" si="4"/>
        <v/>
      </c>
      <c r="AC18" s="129" t="str">
        <f t="shared" si="13"/>
        <v/>
      </c>
      <c r="AD18" s="129" t="str">
        <f t="shared" si="14"/>
        <v/>
      </c>
      <c r="AE18" s="145"/>
      <c r="BA18" s="78"/>
      <c r="BB18" s="132" t="s">
        <v>4263</v>
      </c>
      <c r="BC18" s="133"/>
      <c r="BD18" s="132" t="str">
        <f>IF(OR(C18="",BC18=""),"",COUNTIF(BC$8:BC18,"√"))</f>
        <v/>
      </c>
      <c r="BE18" s="134" t="str">
        <f t="shared" si="5"/>
        <v/>
      </c>
      <c r="BF18" s="135" t="str">
        <f t="shared" si="15"/>
        <v/>
      </c>
      <c r="BG18" s="135" t="str">
        <f t="shared" si="15"/>
        <v/>
      </c>
      <c r="BH18" s="136"/>
      <c r="BI18" s="137"/>
      <c r="BJ18" s="136"/>
      <c r="BK18" s="136"/>
      <c r="BL18" s="136"/>
      <c r="BM18" s="136"/>
      <c r="BN18" s="137"/>
      <c r="BO18" s="136"/>
      <c r="BP18" s="137"/>
      <c r="BQ18" s="165" t="s">
        <v>2706</v>
      </c>
      <c r="BT18" s="156">
        <f t="shared" si="6"/>
        <v>0</v>
      </c>
      <c r="BU18" s="156">
        <f t="shared" si="7"/>
        <v>0</v>
      </c>
      <c r="BV18" s="156">
        <f t="shared" si="16"/>
        <v>0</v>
      </c>
      <c r="BW18" s="156">
        <f t="shared" si="8"/>
        <v>125.582477754962</v>
      </c>
      <c r="BX18" s="272"/>
      <c r="BY18" s="746">
        <f t="shared" si="17"/>
        <v>0</v>
      </c>
      <c r="CA18" s="134" t="str">
        <f>IF(COUNTIF(CA$7:CA17,C18)&gt;0,"",C18)&amp;""</f>
        <v/>
      </c>
      <c r="CB18" s="138">
        <f t="shared" si="18"/>
        <v>0</v>
      </c>
      <c r="CC18" s="132">
        <f t="shared" si="19"/>
        <v>1</v>
      </c>
      <c r="CD18" s="138">
        <f t="shared" si="20"/>
        <v>0</v>
      </c>
      <c r="CE18" s="132">
        <f t="shared" si="21"/>
        <v>1</v>
      </c>
      <c r="CF18" s="133"/>
      <c r="CG18" s="133"/>
    </row>
    <row r="19" ht="15" customHeight="1" spans="1:86">
      <c r="A19" s="123" t="str">
        <f>IF(C19="","",COUNT(A$7:A18)+1)</f>
        <v/>
      </c>
      <c r="B19" s="141"/>
      <c r="C19" s="139"/>
      <c r="D19" s="139"/>
      <c r="E19" s="535"/>
      <c r="F19" s="141"/>
      <c r="G19" s="536"/>
      <c r="H19" s="139"/>
      <c r="I19" s="141"/>
      <c r="J19" s="141"/>
      <c r="K19" s="140"/>
      <c r="L19" s="140"/>
      <c r="M19" s="142"/>
      <c r="N19" s="127" t="str">
        <f>IFERROR(VLOOKUP(M19,参数表!$H$2:$I$50,2,FALSE),"")</f>
        <v/>
      </c>
      <c r="O19" s="128" t="str">
        <f t="shared" si="10"/>
        <v/>
      </c>
      <c r="P19" s="128" t="str">
        <f t="shared" si="11"/>
        <v/>
      </c>
      <c r="Q19" s="129" t="str">
        <f t="shared" si="12"/>
        <v/>
      </c>
      <c r="R19" s="143"/>
      <c r="S19" s="143"/>
      <c r="T19" s="143"/>
      <c r="U19" s="143"/>
      <c r="V19" s="143"/>
      <c r="W19" s="143"/>
      <c r="X19" s="129" t="str">
        <f t="shared" si="0"/>
        <v/>
      </c>
      <c r="Y19" s="129" t="str">
        <f t="shared" si="1"/>
        <v/>
      </c>
      <c r="Z19" s="129" t="str">
        <f t="shared" si="2"/>
        <v/>
      </c>
      <c r="AA19" s="129" t="str">
        <f t="shared" si="3"/>
        <v/>
      </c>
      <c r="AB19" s="521" t="str">
        <f t="shared" si="4"/>
        <v/>
      </c>
      <c r="AC19" s="129" t="str">
        <f t="shared" si="13"/>
        <v/>
      </c>
      <c r="AD19" s="129" t="str">
        <f t="shared" si="14"/>
        <v/>
      </c>
      <c r="AE19" s="145"/>
      <c r="BA19" s="78"/>
      <c r="BB19" s="132" t="s">
        <v>4264</v>
      </c>
      <c r="BC19" s="133"/>
      <c r="BD19" s="132" t="str">
        <f>IF(OR(C19="",BC19=""),"",COUNTIF(BC$8:BC19,"√"))</f>
        <v/>
      </c>
      <c r="BE19" s="134" t="str">
        <f t="shared" si="5"/>
        <v/>
      </c>
      <c r="BF19" s="135" t="str">
        <f t="shared" si="15"/>
        <v/>
      </c>
      <c r="BG19" s="135" t="str">
        <f t="shared" si="15"/>
        <v/>
      </c>
      <c r="BH19" s="136"/>
      <c r="BI19" s="137"/>
      <c r="BJ19" s="136"/>
      <c r="BK19" s="136"/>
      <c r="BL19" s="136"/>
      <c r="BM19" s="136"/>
      <c r="BN19" s="137"/>
      <c r="BO19" s="136"/>
      <c r="BP19" s="137"/>
      <c r="BQ19" s="165" t="s">
        <v>2706</v>
      </c>
      <c r="BT19" s="156">
        <f t="shared" si="6"/>
        <v>0</v>
      </c>
      <c r="BU19" s="156">
        <f t="shared" si="7"/>
        <v>0</v>
      </c>
      <c r="BV19" s="156">
        <f t="shared" si="16"/>
        <v>0</v>
      </c>
      <c r="BW19" s="156">
        <f t="shared" si="8"/>
        <v>125.582477754962</v>
      </c>
      <c r="BX19" s="272"/>
      <c r="BY19" s="746">
        <f t="shared" si="17"/>
        <v>0</v>
      </c>
      <c r="CA19" s="134" t="str">
        <f>IF(COUNTIF(CA$7:CA18,C19)&gt;0,"",C19)&amp;""</f>
        <v/>
      </c>
      <c r="CB19" s="138">
        <f t="shared" si="18"/>
        <v>0</v>
      </c>
      <c r="CC19" s="132">
        <f t="shared" si="19"/>
        <v>1</v>
      </c>
      <c r="CD19" s="138">
        <f t="shared" si="20"/>
        <v>0</v>
      </c>
      <c r="CE19" s="132">
        <f t="shared" si="21"/>
        <v>1</v>
      </c>
      <c r="CF19" s="133"/>
      <c r="CG19" s="133"/>
    </row>
    <row r="20" ht="15" customHeight="1" spans="1:86">
      <c r="A20" s="123" t="str">
        <f>IF(C20="","",COUNT(A$7:A19)+1)</f>
        <v/>
      </c>
      <c r="B20" s="141"/>
      <c r="C20" s="139"/>
      <c r="D20" s="139"/>
      <c r="E20" s="535"/>
      <c r="F20" s="141"/>
      <c r="G20" s="536"/>
      <c r="H20" s="139"/>
      <c r="I20" s="141"/>
      <c r="J20" s="141"/>
      <c r="K20" s="140"/>
      <c r="L20" s="140"/>
      <c r="M20" s="142"/>
      <c r="N20" s="127" t="str">
        <f>IFERROR(VLOOKUP(M20,参数表!$H$2:$I$50,2,FALSE),"")</f>
        <v/>
      </c>
      <c r="O20" s="128" t="str">
        <f t="shared" si="10"/>
        <v/>
      </c>
      <c r="P20" s="128" t="str">
        <f t="shared" si="11"/>
        <v/>
      </c>
      <c r="Q20" s="129" t="str">
        <f t="shared" si="12"/>
        <v/>
      </c>
      <c r="R20" s="143"/>
      <c r="S20" s="143"/>
      <c r="T20" s="143"/>
      <c r="U20" s="143"/>
      <c r="V20" s="143"/>
      <c r="W20" s="143"/>
      <c r="X20" s="129" t="str">
        <f t="shared" si="0"/>
        <v/>
      </c>
      <c r="Y20" s="129" t="str">
        <f t="shared" si="1"/>
        <v/>
      </c>
      <c r="Z20" s="129" t="str">
        <f t="shared" si="2"/>
        <v/>
      </c>
      <c r="AA20" s="129" t="str">
        <f t="shared" si="3"/>
        <v/>
      </c>
      <c r="AB20" s="521" t="str">
        <f t="shared" si="4"/>
        <v/>
      </c>
      <c r="AC20" s="129" t="str">
        <f t="shared" si="13"/>
        <v/>
      </c>
      <c r="AD20" s="129" t="str">
        <f t="shared" si="14"/>
        <v/>
      </c>
      <c r="AE20" s="145"/>
      <c r="BA20" s="78"/>
      <c r="BB20" s="132" t="s">
        <v>4265</v>
      </c>
      <c r="BC20" s="133"/>
      <c r="BD20" s="132" t="str">
        <f>IF(OR(C20="",BC20=""),"",COUNTIF(BC$8:BC20,"√"))</f>
        <v/>
      </c>
      <c r="BE20" s="134" t="str">
        <f t="shared" si="5"/>
        <v/>
      </c>
      <c r="BF20" s="135" t="str">
        <f t="shared" si="15"/>
        <v/>
      </c>
      <c r="BG20" s="135" t="str">
        <f t="shared" si="15"/>
        <v/>
      </c>
      <c r="BH20" s="136"/>
      <c r="BI20" s="137"/>
      <c r="BJ20" s="136"/>
      <c r="BK20" s="136"/>
      <c r="BL20" s="136"/>
      <c r="BM20" s="136"/>
      <c r="BN20" s="137"/>
      <c r="BO20" s="136"/>
      <c r="BP20" s="137"/>
      <c r="BQ20" s="165" t="s">
        <v>2706</v>
      </c>
      <c r="BT20" s="156">
        <f t="shared" si="6"/>
        <v>0</v>
      </c>
      <c r="BU20" s="156">
        <f t="shared" si="7"/>
        <v>0</v>
      </c>
      <c r="BV20" s="156">
        <f t="shared" si="16"/>
        <v>0</v>
      </c>
      <c r="BW20" s="156">
        <f t="shared" si="8"/>
        <v>125.582477754962</v>
      </c>
      <c r="BX20" s="272"/>
      <c r="BY20" s="746">
        <f t="shared" si="17"/>
        <v>0</v>
      </c>
      <c r="CA20" s="134" t="str">
        <f>IF(COUNTIF(CA$7:CA19,C20)&gt;0,"",C20)&amp;""</f>
        <v/>
      </c>
      <c r="CB20" s="138">
        <f t="shared" si="18"/>
        <v>0</v>
      </c>
      <c r="CC20" s="132">
        <f t="shared" si="19"/>
        <v>1</v>
      </c>
      <c r="CD20" s="138">
        <f t="shared" si="20"/>
        <v>0</v>
      </c>
      <c r="CE20" s="132">
        <f t="shared" si="21"/>
        <v>1</v>
      </c>
      <c r="CF20" s="133"/>
      <c r="CG20" s="133"/>
    </row>
    <row r="21" ht="15" customHeight="1" spans="1:86">
      <c r="A21" s="123" t="str">
        <f>IF(C21="","",COUNT(A$7:A20)+1)</f>
        <v/>
      </c>
      <c r="B21" s="141"/>
      <c r="C21" s="139"/>
      <c r="D21" s="139"/>
      <c r="E21" s="535"/>
      <c r="F21" s="141"/>
      <c r="G21" s="536"/>
      <c r="H21" s="139"/>
      <c r="I21" s="141"/>
      <c r="J21" s="141"/>
      <c r="K21" s="140"/>
      <c r="L21" s="140"/>
      <c r="M21" s="142"/>
      <c r="N21" s="127" t="str">
        <f>IFERROR(VLOOKUP(M21,参数表!$H$2:$I$50,2,FALSE),"")</f>
        <v/>
      </c>
      <c r="O21" s="128" t="str">
        <f t="shared" si="10"/>
        <v/>
      </c>
      <c r="P21" s="128" t="str">
        <f t="shared" si="11"/>
        <v/>
      </c>
      <c r="Q21" s="129" t="str">
        <f t="shared" si="12"/>
        <v/>
      </c>
      <c r="R21" s="143"/>
      <c r="S21" s="143"/>
      <c r="T21" s="143"/>
      <c r="U21" s="143"/>
      <c r="V21" s="143"/>
      <c r="W21" s="143"/>
      <c r="X21" s="129" t="str">
        <f t="shared" si="0"/>
        <v/>
      </c>
      <c r="Y21" s="129" t="str">
        <f t="shared" si="1"/>
        <v/>
      </c>
      <c r="Z21" s="129" t="str">
        <f t="shared" si="2"/>
        <v/>
      </c>
      <c r="AA21" s="129" t="str">
        <f t="shared" si="3"/>
        <v/>
      </c>
      <c r="AB21" s="521" t="str">
        <f t="shared" si="4"/>
        <v/>
      </c>
      <c r="AC21" s="129" t="str">
        <f t="shared" si="13"/>
        <v/>
      </c>
      <c r="AD21" s="129" t="str">
        <f t="shared" si="14"/>
        <v/>
      </c>
      <c r="AE21" s="145"/>
      <c r="BA21" s="78"/>
      <c r="BB21" s="132" t="s">
        <v>4266</v>
      </c>
      <c r="BC21" s="133"/>
      <c r="BD21" s="132" t="str">
        <f>IF(OR(C21="",BC21=""),"",COUNTIF(BC$8:BC21,"√"))</f>
        <v/>
      </c>
      <c r="BE21" s="134" t="str">
        <f t="shared" si="5"/>
        <v/>
      </c>
      <c r="BF21" s="135" t="str">
        <f t="shared" si="15"/>
        <v/>
      </c>
      <c r="BG21" s="135" t="str">
        <f t="shared" si="15"/>
        <v/>
      </c>
      <c r="BH21" s="136"/>
      <c r="BI21" s="137"/>
      <c r="BJ21" s="136"/>
      <c r="BK21" s="136"/>
      <c r="BL21" s="136"/>
      <c r="BM21" s="136"/>
      <c r="BN21" s="137"/>
      <c r="BO21" s="136"/>
      <c r="BP21" s="137"/>
      <c r="BQ21" s="165" t="s">
        <v>2706</v>
      </c>
      <c r="BT21" s="156">
        <f t="shared" si="6"/>
        <v>0</v>
      </c>
      <c r="BU21" s="156">
        <f t="shared" si="7"/>
        <v>0</v>
      </c>
      <c r="BV21" s="156">
        <f t="shared" si="16"/>
        <v>0</v>
      </c>
      <c r="BW21" s="156">
        <f t="shared" si="8"/>
        <v>125.582477754962</v>
      </c>
      <c r="BX21" s="272"/>
      <c r="BY21" s="746">
        <f t="shared" si="17"/>
        <v>0</v>
      </c>
      <c r="CA21" s="134" t="str">
        <f>IF(COUNTIF(CA$7:CA20,C21)&gt;0,"",C21)&amp;""</f>
        <v/>
      </c>
      <c r="CB21" s="138">
        <f t="shared" si="18"/>
        <v>0</v>
      </c>
      <c r="CC21" s="132">
        <f t="shared" si="19"/>
        <v>1</v>
      </c>
      <c r="CD21" s="138">
        <f t="shared" si="20"/>
        <v>0</v>
      </c>
      <c r="CE21" s="132">
        <f t="shared" si="21"/>
        <v>1</v>
      </c>
      <c r="CF21" s="133"/>
      <c r="CG21" s="133"/>
    </row>
    <row r="22" ht="15" customHeight="1" spans="1:86">
      <c r="A22" s="123" t="str">
        <f>IF(C22="","",COUNT(A$7:A21)+1)</f>
        <v/>
      </c>
      <c r="B22" s="141"/>
      <c r="C22" s="139"/>
      <c r="D22" s="139"/>
      <c r="E22" s="535"/>
      <c r="F22" s="141"/>
      <c r="G22" s="536"/>
      <c r="H22" s="139"/>
      <c r="I22" s="141"/>
      <c r="J22" s="141"/>
      <c r="K22" s="140"/>
      <c r="L22" s="140"/>
      <c r="M22" s="142"/>
      <c r="N22" s="127" t="str">
        <f>IFERROR(VLOOKUP(M22,参数表!$H$2:$I$50,2,FALSE),"")</f>
        <v/>
      </c>
      <c r="O22" s="128" t="str">
        <f t="shared" si="10"/>
        <v/>
      </c>
      <c r="P22" s="128" t="str">
        <f t="shared" si="11"/>
        <v/>
      </c>
      <c r="Q22" s="129" t="str">
        <f t="shared" si="12"/>
        <v/>
      </c>
      <c r="R22" s="143"/>
      <c r="S22" s="143"/>
      <c r="T22" s="143"/>
      <c r="U22" s="143"/>
      <c r="V22" s="143"/>
      <c r="W22" s="143"/>
      <c r="X22" s="129" t="str">
        <f t="shared" si="0"/>
        <v/>
      </c>
      <c r="Y22" s="129" t="str">
        <f t="shared" si="1"/>
        <v/>
      </c>
      <c r="Z22" s="129" t="str">
        <f t="shared" si="2"/>
        <v/>
      </c>
      <c r="AA22" s="129" t="str">
        <f t="shared" si="3"/>
        <v/>
      </c>
      <c r="AB22" s="521" t="str">
        <f t="shared" si="4"/>
        <v/>
      </c>
      <c r="AC22" s="129" t="str">
        <f t="shared" si="13"/>
        <v/>
      </c>
      <c r="AD22" s="129" t="str">
        <f t="shared" si="14"/>
        <v/>
      </c>
      <c r="AE22" s="145"/>
      <c r="BA22" s="78"/>
      <c r="BB22" s="132" t="s">
        <v>4267</v>
      </c>
      <c r="BC22" s="133"/>
      <c r="BD22" s="132" t="str">
        <f>IF(OR(C22="",BC22=""),"",COUNTIF(BC$8:BC22,"√"))</f>
        <v/>
      </c>
      <c r="BE22" s="134" t="str">
        <f t="shared" si="5"/>
        <v/>
      </c>
      <c r="BF22" s="135" t="str">
        <f t="shared" si="15"/>
        <v/>
      </c>
      <c r="BG22" s="135" t="str">
        <f t="shared" si="15"/>
        <v/>
      </c>
      <c r="BH22" s="136"/>
      <c r="BI22" s="137"/>
      <c r="BJ22" s="136"/>
      <c r="BK22" s="136"/>
      <c r="BL22" s="136"/>
      <c r="BM22" s="136"/>
      <c r="BN22" s="137"/>
      <c r="BO22" s="136"/>
      <c r="BP22" s="137"/>
      <c r="BQ22" s="165" t="s">
        <v>2706</v>
      </c>
      <c r="BT22" s="156">
        <f t="shared" si="6"/>
        <v>0</v>
      </c>
      <c r="BU22" s="156">
        <f t="shared" si="7"/>
        <v>0</v>
      </c>
      <c r="BV22" s="156">
        <f t="shared" si="16"/>
        <v>0</v>
      </c>
      <c r="BW22" s="156">
        <f t="shared" si="8"/>
        <v>125.582477754962</v>
      </c>
      <c r="BX22" s="272"/>
      <c r="BY22" s="746">
        <f t="shared" si="17"/>
        <v>0</v>
      </c>
      <c r="CA22" s="134" t="str">
        <f>IF(COUNTIF(CA$7:CA21,C22)&gt;0,"",C22)&amp;""</f>
        <v/>
      </c>
      <c r="CB22" s="138">
        <f t="shared" si="18"/>
        <v>0</v>
      </c>
      <c r="CC22" s="132">
        <f t="shared" si="19"/>
        <v>1</v>
      </c>
      <c r="CD22" s="138">
        <f t="shared" si="20"/>
        <v>0</v>
      </c>
      <c r="CE22" s="132">
        <f t="shared" si="21"/>
        <v>1</v>
      </c>
      <c r="CF22" s="133"/>
      <c r="CG22" s="133"/>
    </row>
    <row r="23" ht="15" customHeight="1" spans="1:86">
      <c r="A23" s="123" t="str">
        <f>IF(C23="","",COUNT(A$7:A22)+1)</f>
        <v/>
      </c>
      <c r="B23" s="141"/>
      <c r="C23" s="139"/>
      <c r="D23" s="139"/>
      <c r="E23" s="535"/>
      <c r="F23" s="141"/>
      <c r="G23" s="536"/>
      <c r="H23" s="139"/>
      <c r="I23" s="141"/>
      <c r="J23" s="141"/>
      <c r="K23" s="140"/>
      <c r="L23" s="140"/>
      <c r="M23" s="142"/>
      <c r="N23" s="127" t="str">
        <f>IFERROR(VLOOKUP(M23,参数表!$H$2:$I$50,2,FALSE),"")</f>
        <v/>
      </c>
      <c r="O23" s="128" t="str">
        <f t="shared" si="10"/>
        <v/>
      </c>
      <c r="P23" s="128" t="str">
        <f t="shared" si="11"/>
        <v/>
      </c>
      <c r="Q23" s="129" t="str">
        <f t="shared" si="12"/>
        <v/>
      </c>
      <c r="R23" s="143"/>
      <c r="S23" s="143"/>
      <c r="T23" s="143"/>
      <c r="U23" s="143"/>
      <c r="V23" s="143"/>
      <c r="W23" s="143"/>
      <c r="X23" s="129" t="str">
        <f t="shared" si="0"/>
        <v/>
      </c>
      <c r="Y23" s="129" t="str">
        <f t="shared" si="1"/>
        <v/>
      </c>
      <c r="Z23" s="129" t="str">
        <f t="shared" si="2"/>
        <v/>
      </c>
      <c r="AA23" s="129" t="str">
        <f t="shared" si="3"/>
        <v/>
      </c>
      <c r="AB23" s="521" t="str">
        <f t="shared" si="4"/>
        <v/>
      </c>
      <c r="AC23" s="129" t="str">
        <f t="shared" si="13"/>
        <v/>
      </c>
      <c r="AD23" s="129" t="str">
        <f t="shared" si="14"/>
        <v/>
      </c>
      <c r="AE23" s="145"/>
      <c r="BA23" s="78"/>
      <c r="BB23" s="132" t="s">
        <v>4268</v>
      </c>
      <c r="BC23" s="133"/>
      <c r="BD23" s="132" t="str">
        <f>IF(OR(C23="",BC23=""),"",COUNTIF(BC$8:BC23,"√"))</f>
        <v/>
      </c>
      <c r="BE23" s="134" t="str">
        <f t="shared" si="5"/>
        <v/>
      </c>
      <c r="BF23" s="135" t="str">
        <f t="shared" si="15"/>
        <v/>
      </c>
      <c r="BG23" s="135" t="str">
        <f t="shared" si="15"/>
        <v/>
      </c>
      <c r="BH23" s="136"/>
      <c r="BI23" s="137"/>
      <c r="BJ23" s="136"/>
      <c r="BK23" s="136"/>
      <c r="BL23" s="136"/>
      <c r="BM23" s="136"/>
      <c r="BN23" s="137"/>
      <c r="BO23" s="136"/>
      <c r="BP23" s="137"/>
      <c r="BQ23" s="165" t="s">
        <v>2706</v>
      </c>
      <c r="BT23" s="156">
        <f t="shared" si="6"/>
        <v>0</v>
      </c>
      <c r="BU23" s="156">
        <f t="shared" si="7"/>
        <v>0</v>
      </c>
      <c r="BV23" s="156">
        <f t="shared" si="16"/>
        <v>0</v>
      </c>
      <c r="BW23" s="156">
        <f t="shared" si="8"/>
        <v>125.582477754962</v>
      </c>
      <c r="BX23" s="272"/>
      <c r="BY23" s="746">
        <f t="shared" si="17"/>
        <v>0</v>
      </c>
      <c r="CA23" s="134" t="str">
        <f>IF(COUNTIF(CA$7:CA22,C23)&gt;0,"",C23)&amp;""</f>
        <v/>
      </c>
      <c r="CB23" s="138">
        <f t="shared" si="18"/>
        <v>0</v>
      </c>
      <c r="CC23" s="132">
        <f t="shared" si="19"/>
        <v>1</v>
      </c>
      <c r="CD23" s="138">
        <f t="shared" si="20"/>
        <v>0</v>
      </c>
      <c r="CE23" s="132">
        <f t="shared" si="21"/>
        <v>1</v>
      </c>
      <c r="CF23" s="133"/>
      <c r="CG23" s="133"/>
    </row>
    <row r="24" ht="15" customHeight="1" spans="1:86">
      <c r="A24" s="123" t="str">
        <f>IF(C24="","",COUNT(A$7:A23)+1)</f>
        <v/>
      </c>
      <c r="B24" s="141"/>
      <c r="C24" s="139"/>
      <c r="D24" s="139"/>
      <c r="E24" s="535"/>
      <c r="F24" s="141"/>
      <c r="G24" s="536"/>
      <c r="H24" s="139"/>
      <c r="I24" s="141"/>
      <c r="J24" s="141"/>
      <c r="K24" s="140"/>
      <c r="L24" s="140"/>
      <c r="M24" s="142"/>
      <c r="N24" s="127" t="str">
        <f>IFERROR(VLOOKUP(M24,参数表!$H$2:$I$50,2,FALSE),"")</f>
        <v/>
      </c>
      <c r="O24" s="128" t="str">
        <f t="shared" si="10"/>
        <v/>
      </c>
      <c r="P24" s="128" t="str">
        <f t="shared" si="11"/>
        <v/>
      </c>
      <c r="Q24" s="129" t="str">
        <f t="shared" si="12"/>
        <v/>
      </c>
      <c r="R24" s="143"/>
      <c r="S24" s="143"/>
      <c r="T24" s="143"/>
      <c r="U24" s="143"/>
      <c r="V24" s="143"/>
      <c r="W24" s="143"/>
      <c r="X24" s="129" t="str">
        <f t="shared" si="0"/>
        <v/>
      </c>
      <c r="Y24" s="129" t="str">
        <f t="shared" si="1"/>
        <v/>
      </c>
      <c r="Z24" s="129" t="str">
        <f t="shared" si="2"/>
        <v/>
      </c>
      <c r="AA24" s="129" t="str">
        <f t="shared" si="3"/>
        <v/>
      </c>
      <c r="AB24" s="521" t="str">
        <f t="shared" si="4"/>
        <v/>
      </c>
      <c r="AC24" s="129" t="str">
        <f t="shared" si="13"/>
        <v/>
      </c>
      <c r="AD24" s="129" t="str">
        <f t="shared" si="14"/>
        <v/>
      </c>
      <c r="AE24" s="145"/>
      <c r="BA24" s="78"/>
      <c r="BB24" s="132" t="s">
        <v>4269</v>
      </c>
      <c r="BC24" s="133"/>
      <c r="BD24" s="132" t="str">
        <f>IF(OR(C24="",BC24=""),"",COUNTIF(BC$8:BC24,"√"))</f>
        <v/>
      </c>
      <c r="BE24" s="134" t="str">
        <f t="shared" si="5"/>
        <v/>
      </c>
      <c r="BF24" s="135" t="str">
        <f t="shared" si="15"/>
        <v/>
      </c>
      <c r="BG24" s="135" t="str">
        <f t="shared" si="15"/>
        <v/>
      </c>
      <c r="BH24" s="136"/>
      <c r="BI24" s="137"/>
      <c r="BJ24" s="136"/>
      <c r="BK24" s="136"/>
      <c r="BL24" s="136"/>
      <c r="BM24" s="136"/>
      <c r="BN24" s="137"/>
      <c r="BO24" s="136"/>
      <c r="BP24" s="137"/>
      <c r="BQ24" s="165" t="s">
        <v>2706</v>
      </c>
      <c r="BT24" s="156">
        <f t="shared" si="6"/>
        <v>0</v>
      </c>
      <c r="BU24" s="156">
        <f t="shared" si="7"/>
        <v>0</v>
      </c>
      <c r="BV24" s="156">
        <f t="shared" si="16"/>
        <v>0</v>
      </c>
      <c r="BW24" s="156">
        <f t="shared" si="8"/>
        <v>125.582477754962</v>
      </c>
      <c r="BX24" s="272"/>
      <c r="BY24" s="746">
        <f t="shared" si="17"/>
        <v>0</v>
      </c>
      <c r="CA24" s="134" t="str">
        <f>IF(COUNTIF(CA$7:CA23,C24)&gt;0,"",C24)&amp;""</f>
        <v/>
      </c>
      <c r="CB24" s="138">
        <f t="shared" si="18"/>
        <v>0</v>
      </c>
      <c r="CC24" s="132">
        <f t="shared" si="19"/>
        <v>1</v>
      </c>
      <c r="CD24" s="138">
        <f t="shared" si="20"/>
        <v>0</v>
      </c>
      <c r="CE24" s="132">
        <f t="shared" si="21"/>
        <v>1</v>
      </c>
      <c r="CF24" s="133"/>
      <c r="CG24" s="133"/>
    </row>
    <row r="25" ht="15" customHeight="1" spans="1:86">
      <c r="A25" s="123" t="str">
        <f>IF(C25="","",COUNT(A$7:A24)+1)</f>
        <v/>
      </c>
      <c r="B25" s="141"/>
      <c r="C25" s="139"/>
      <c r="D25" s="139"/>
      <c r="E25" s="535"/>
      <c r="F25" s="141"/>
      <c r="G25" s="536"/>
      <c r="H25" s="139"/>
      <c r="I25" s="141"/>
      <c r="J25" s="141"/>
      <c r="K25" s="140"/>
      <c r="L25" s="140"/>
      <c r="M25" s="142"/>
      <c r="N25" s="127" t="str">
        <f>IFERROR(VLOOKUP(M25,参数表!$H$2:$I$50,2,FALSE),"")</f>
        <v/>
      </c>
      <c r="O25" s="128" t="str">
        <f t="shared" si="10"/>
        <v/>
      </c>
      <c r="P25" s="128" t="str">
        <f t="shared" si="11"/>
        <v/>
      </c>
      <c r="Q25" s="129" t="str">
        <f t="shared" si="12"/>
        <v/>
      </c>
      <c r="R25" s="143"/>
      <c r="S25" s="143"/>
      <c r="T25" s="143"/>
      <c r="U25" s="143"/>
      <c r="V25" s="143"/>
      <c r="W25" s="143"/>
      <c r="X25" s="129" t="str">
        <f t="shared" si="0"/>
        <v/>
      </c>
      <c r="Y25" s="129" t="str">
        <f t="shared" si="1"/>
        <v/>
      </c>
      <c r="Z25" s="129" t="str">
        <f t="shared" si="2"/>
        <v/>
      </c>
      <c r="AA25" s="129" t="str">
        <f t="shared" si="3"/>
        <v/>
      </c>
      <c r="AB25" s="521" t="str">
        <f t="shared" si="4"/>
        <v/>
      </c>
      <c r="AC25" s="129" t="str">
        <f t="shared" si="13"/>
        <v/>
      </c>
      <c r="AD25" s="129" t="str">
        <f t="shared" si="14"/>
        <v/>
      </c>
      <c r="AE25" s="145"/>
      <c r="BA25" s="78"/>
      <c r="BB25" s="132" t="s">
        <v>4270</v>
      </c>
      <c r="BC25" s="133"/>
      <c r="BD25" s="132" t="str">
        <f>IF(OR(C25="",BC25=""),"",COUNTIF(BC$8:BC25,"√"))</f>
        <v/>
      </c>
      <c r="BE25" s="134" t="str">
        <f t="shared" si="5"/>
        <v/>
      </c>
      <c r="BF25" s="135" t="str">
        <f t="shared" si="15"/>
        <v/>
      </c>
      <c r="BG25" s="135" t="str">
        <f t="shared" si="15"/>
        <v/>
      </c>
      <c r="BH25" s="136"/>
      <c r="BI25" s="137"/>
      <c r="BJ25" s="136"/>
      <c r="BK25" s="136"/>
      <c r="BL25" s="136"/>
      <c r="BM25" s="136"/>
      <c r="BN25" s="137"/>
      <c r="BO25" s="136"/>
      <c r="BP25" s="137"/>
      <c r="BQ25" s="165" t="s">
        <v>2706</v>
      </c>
      <c r="BT25" s="156">
        <f t="shared" si="6"/>
        <v>0</v>
      </c>
      <c r="BU25" s="156">
        <f t="shared" si="7"/>
        <v>0</v>
      </c>
      <c r="BV25" s="156">
        <f t="shared" si="16"/>
        <v>0</v>
      </c>
      <c r="BW25" s="156">
        <f t="shared" si="8"/>
        <v>125.582477754962</v>
      </c>
      <c r="BX25" s="272"/>
      <c r="BY25" s="746">
        <f t="shared" si="17"/>
        <v>0</v>
      </c>
      <c r="CA25" s="134" t="str">
        <f>IF(COUNTIF(CA$7:CA24,C25)&gt;0,"",C25)&amp;""</f>
        <v/>
      </c>
      <c r="CB25" s="138">
        <f t="shared" si="18"/>
        <v>0</v>
      </c>
      <c r="CC25" s="132">
        <f t="shared" si="19"/>
        <v>1</v>
      </c>
      <c r="CD25" s="138">
        <f t="shared" si="20"/>
        <v>0</v>
      </c>
      <c r="CE25" s="132">
        <f t="shared" si="21"/>
        <v>1</v>
      </c>
      <c r="CF25" s="133"/>
      <c r="CG25" s="133"/>
    </row>
    <row r="26" ht="15" customHeight="1" spans="1:86">
      <c r="A26" s="123" t="str">
        <f>IF(C26="","",COUNT(A$7:A25)+1)</f>
        <v/>
      </c>
      <c r="B26" s="141"/>
      <c r="C26" s="139"/>
      <c r="D26" s="139"/>
      <c r="E26" s="535"/>
      <c r="F26" s="141"/>
      <c r="G26" s="536"/>
      <c r="H26" s="139"/>
      <c r="I26" s="141"/>
      <c r="J26" s="141"/>
      <c r="K26" s="140"/>
      <c r="L26" s="140"/>
      <c r="M26" s="142"/>
      <c r="N26" s="127" t="str">
        <f>IFERROR(VLOOKUP(M26,参数表!$H$2:$I$50,2,FALSE),"")</f>
        <v/>
      </c>
      <c r="O26" s="128" t="str">
        <f t="shared" si="10"/>
        <v/>
      </c>
      <c r="P26" s="128" t="str">
        <f t="shared" si="11"/>
        <v/>
      </c>
      <c r="Q26" s="129" t="str">
        <f t="shared" si="12"/>
        <v/>
      </c>
      <c r="R26" s="143"/>
      <c r="S26" s="143"/>
      <c r="T26" s="143"/>
      <c r="U26" s="143"/>
      <c r="V26" s="143"/>
      <c r="W26" s="143"/>
      <c r="X26" s="129" t="str">
        <f t="shared" si="0"/>
        <v/>
      </c>
      <c r="Y26" s="129" t="str">
        <f t="shared" si="1"/>
        <v/>
      </c>
      <c r="Z26" s="129" t="str">
        <f t="shared" si="2"/>
        <v/>
      </c>
      <c r="AA26" s="129" t="str">
        <f t="shared" si="3"/>
        <v/>
      </c>
      <c r="AB26" s="521" t="str">
        <f t="shared" si="4"/>
        <v/>
      </c>
      <c r="AC26" s="129" t="str">
        <f t="shared" si="13"/>
        <v/>
      </c>
      <c r="AD26" s="129" t="str">
        <f t="shared" si="14"/>
        <v/>
      </c>
      <c r="AE26" s="145"/>
      <c r="BA26" s="78"/>
      <c r="BB26" s="132" t="s">
        <v>4271</v>
      </c>
      <c r="BC26" s="133"/>
      <c r="BD26" s="132" t="str">
        <f>IF(OR(C26="",BC26=""),"",COUNTIF(BC$8:BC26,"√"))</f>
        <v/>
      </c>
      <c r="BE26" s="134" t="str">
        <f t="shared" si="5"/>
        <v/>
      </c>
      <c r="BF26" s="135" t="str">
        <f t="shared" si="15"/>
        <v/>
      </c>
      <c r="BG26" s="135" t="str">
        <f t="shared" si="15"/>
        <v/>
      </c>
      <c r="BH26" s="136"/>
      <c r="BI26" s="137"/>
      <c r="BJ26" s="136"/>
      <c r="BK26" s="136"/>
      <c r="BL26" s="136"/>
      <c r="BM26" s="136"/>
      <c r="BN26" s="137"/>
      <c r="BO26" s="136"/>
      <c r="BP26" s="137"/>
      <c r="BQ26" s="165" t="s">
        <v>2706</v>
      </c>
      <c r="BT26" s="156">
        <f t="shared" si="6"/>
        <v>0</v>
      </c>
      <c r="BU26" s="156">
        <f t="shared" si="7"/>
        <v>0</v>
      </c>
      <c r="BV26" s="156">
        <f t="shared" si="16"/>
        <v>0</v>
      </c>
      <c r="BW26" s="156">
        <f t="shared" si="8"/>
        <v>125.582477754962</v>
      </c>
      <c r="BX26" s="272"/>
      <c r="BY26" s="746">
        <f t="shared" si="17"/>
        <v>0</v>
      </c>
      <c r="CA26" s="134" t="str">
        <f>IF(COUNTIF(CA$7:CA25,C26)&gt;0,"",C26)&amp;""</f>
        <v/>
      </c>
      <c r="CB26" s="138">
        <f t="shared" si="18"/>
        <v>0</v>
      </c>
      <c r="CC26" s="132">
        <f t="shared" si="19"/>
        <v>1</v>
      </c>
      <c r="CD26" s="138">
        <f t="shared" si="20"/>
        <v>0</v>
      </c>
      <c r="CE26" s="132">
        <f t="shared" si="21"/>
        <v>1</v>
      </c>
      <c r="CF26" s="133"/>
      <c r="CG26" s="133"/>
    </row>
    <row r="27" ht="15" customHeight="1" spans="1:86">
      <c r="A27" s="123" t="str">
        <f>IF(C27="","",COUNT(A$7:A26)+1)</f>
        <v/>
      </c>
      <c r="B27" s="126"/>
      <c r="C27" s="124"/>
      <c r="D27" s="124"/>
      <c r="E27" s="124"/>
      <c r="F27" s="126"/>
      <c r="G27" s="533"/>
      <c r="H27" s="124"/>
      <c r="I27" s="126"/>
      <c r="J27" s="126"/>
      <c r="K27" s="125"/>
      <c r="L27" s="125"/>
      <c r="M27" s="127"/>
      <c r="N27" s="127" t="str">
        <f>IFERROR(VLOOKUP(M27,参数表!$H$2:$I$50,2,FALSE),"")</f>
        <v/>
      </c>
      <c r="O27" s="128" t="str">
        <f t="shared" si="10"/>
        <v/>
      </c>
      <c r="P27" s="128" t="str">
        <f t="shared" si="11"/>
        <v/>
      </c>
      <c r="Q27" s="129" t="str">
        <f t="shared" si="12"/>
        <v/>
      </c>
      <c r="R27" s="129"/>
      <c r="S27" s="129"/>
      <c r="T27" s="129"/>
      <c r="U27" s="129"/>
      <c r="V27" s="129"/>
      <c r="W27" s="129"/>
      <c r="X27" s="129" t="str">
        <f t="shared" si="0"/>
        <v/>
      </c>
      <c r="Y27" s="129" t="str">
        <f t="shared" si="1"/>
        <v/>
      </c>
      <c r="Z27" s="129" t="str">
        <f t="shared" si="2"/>
        <v/>
      </c>
      <c r="AA27" s="129" t="str">
        <f t="shared" si="3"/>
        <v/>
      </c>
      <c r="AB27" s="521" t="str">
        <f t="shared" si="4"/>
        <v/>
      </c>
      <c r="AC27" s="129" t="str">
        <f t="shared" si="13"/>
        <v/>
      </c>
      <c r="AD27" s="129" t="str">
        <f t="shared" si="14"/>
        <v/>
      </c>
      <c r="AE27" s="131"/>
      <c r="BA27" s="78"/>
      <c r="BB27" s="132" t="s">
        <v>4272</v>
      </c>
      <c r="BC27" s="133"/>
      <c r="BD27" s="132" t="str">
        <f>IF(OR(C27="",BC27=""),"",COUNTIF(BC$8:BC27,"√"))</f>
        <v/>
      </c>
      <c r="BE27" s="134" t="str">
        <f t="shared" si="5"/>
        <v/>
      </c>
      <c r="BF27" s="135" t="str">
        <f t="shared" si="15"/>
        <v/>
      </c>
      <c r="BG27" s="135" t="str">
        <f t="shared" si="15"/>
        <v/>
      </c>
      <c r="BH27" s="136"/>
      <c r="BI27" s="137"/>
      <c r="BJ27" s="136"/>
      <c r="BK27" s="136"/>
      <c r="BL27" s="136"/>
      <c r="BM27" s="136"/>
      <c r="BN27" s="137"/>
      <c r="BO27" s="136"/>
      <c r="BP27" s="137"/>
      <c r="BQ27" s="165" t="s">
        <v>2706</v>
      </c>
      <c r="BT27" s="156">
        <f t="shared" si="6"/>
        <v>0</v>
      </c>
      <c r="BU27" s="156">
        <f t="shared" si="7"/>
        <v>0</v>
      </c>
      <c r="BV27" s="156">
        <f t="shared" si="16"/>
        <v>0</v>
      </c>
      <c r="BW27" s="156">
        <f t="shared" si="8"/>
        <v>125.582477754962</v>
      </c>
      <c r="BX27" s="272"/>
      <c r="BY27" s="746">
        <f t="shared" si="17"/>
        <v>0</v>
      </c>
      <c r="CA27" s="134" t="str">
        <f>IF(COUNTIF(CA$7:CA26,C27)&gt;0,"",C27)&amp;""</f>
        <v/>
      </c>
      <c r="CB27" s="138">
        <f t="shared" si="18"/>
        <v>0</v>
      </c>
      <c r="CC27" s="132">
        <f t="shared" si="19"/>
        <v>1</v>
      </c>
      <c r="CD27" s="138">
        <f t="shared" si="20"/>
        <v>0</v>
      </c>
      <c r="CE27" s="132">
        <f t="shared" si="21"/>
        <v>1</v>
      </c>
      <c r="CF27" s="133"/>
      <c r="CG27" s="133"/>
    </row>
    <row r="28" s="73" customFormat="1" ht="15" customHeight="1" spans="1:86">
      <c r="A28" s="221" t="s">
        <v>1954</v>
      </c>
      <c r="B28" s="493"/>
      <c r="C28" s="493"/>
      <c r="D28" s="221"/>
      <c r="E28" s="221"/>
      <c r="F28" s="149"/>
      <c r="G28" s="149"/>
      <c r="H28" s="221"/>
      <c r="I28" s="149"/>
      <c r="J28" s="149"/>
      <c r="K28" s="356"/>
      <c r="L28" s="356"/>
      <c r="M28" s="152"/>
      <c r="N28" s="152"/>
      <c r="O28" s="152"/>
      <c r="P28" s="152"/>
      <c r="Q28" s="152"/>
      <c r="R28" s="152">
        <f>SUM(R8:R27)</f>
        <v>0</v>
      </c>
      <c r="S28" s="152">
        <f>SUM(S8:S27)</f>
        <v>0</v>
      </c>
      <c r="T28" s="152">
        <f>SUM(T8:T27)</f>
        <v>0</v>
      </c>
      <c r="U28" s="152"/>
      <c r="V28" s="152"/>
      <c r="W28" s="152"/>
      <c r="X28" s="152">
        <f>SUM(X8:X27)</f>
        <v>0</v>
      </c>
      <c r="Y28" s="152">
        <f>SUM(Y8:Y27)</f>
        <v>0</v>
      </c>
      <c r="Z28" s="152">
        <f>SUM(Z8:Z27)</f>
        <v>0</v>
      </c>
      <c r="AA28" s="152">
        <f>SUM(AA8:AA27)</f>
        <v>0</v>
      </c>
      <c r="AB28" s="152"/>
      <c r="AC28" s="152">
        <f>SUM(AC8:AC27)</f>
        <v>0</v>
      </c>
      <c r="AD28" s="152" t="str">
        <f t="shared" si="14"/>
        <v/>
      </c>
      <c r="AE28" s="151"/>
      <c r="BH28" s="72"/>
      <c r="BJ28" s="72"/>
      <c r="BK28" s="72"/>
      <c r="BL28" s="72"/>
      <c r="BM28" s="72"/>
      <c r="BO28" s="72"/>
      <c r="BZ28" s="111"/>
      <c r="CA28" s="119"/>
      <c r="CB28" s="77"/>
      <c r="CC28" s="77"/>
      <c r="CD28" s="77"/>
      <c r="CE28" s="119"/>
      <c r="CF28" s="119"/>
      <c r="CG28" s="119"/>
      <c r="CH28" s="111"/>
    </row>
    <row r="29" ht="15" customHeight="1" spans="1:86">
      <c r="A29" s="124" t="s">
        <v>3434</v>
      </c>
      <c r="B29" s="124"/>
      <c r="C29" s="124"/>
      <c r="D29" s="124"/>
      <c r="E29" s="124"/>
      <c r="F29" s="126"/>
      <c r="G29" s="126"/>
      <c r="H29" s="124"/>
      <c r="I29" s="126"/>
      <c r="J29" s="126"/>
      <c r="K29" s="125"/>
      <c r="L29" s="125"/>
      <c r="M29" s="129"/>
      <c r="N29" s="129"/>
      <c r="O29" s="129"/>
      <c r="P29" s="129"/>
      <c r="Q29" s="129"/>
      <c r="R29" s="129"/>
      <c r="S29" s="129">
        <f>T28</f>
        <v>0</v>
      </c>
      <c r="T29" s="129"/>
      <c r="U29" s="129"/>
      <c r="V29" s="129"/>
      <c r="W29" s="129"/>
      <c r="X29" s="129"/>
      <c r="Y29" s="129">
        <f>Z28</f>
        <v>0</v>
      </c>
      <c r="Z29" s="129"/>
      <c r="AA29" s="129"/>
      <c r="AB29" s="129"/>
      <c r="AC29" s="129"/>
      <c r="AD29" s="129" t="str">
        <f t="shared" si="14"/>
        <v/>
      </c>
      <c r="AE29" s="131"/>
    </row>
    <row r="30" s="73" customFormat="1" ht="15" customHeight="1" spans="1:86">
      <c r="A30" s="221" t="s">
        <v>1957</v>
      </c>
      <c r="B30" s="221"/>
      <c r="C30" s="221"/>
      <c r="D30" s="221"/>
      <c r="E30" s="221"/>
      <c r="F30" s="149"/>
      <c r="G30" s="149"/>
      <c r="H30" s="221"/>
      <c r="I30" s="149"/>
      <c r="J30" s="149"/>
      <c r="K30" s="356"/>
      <c r="L30" s="356"/>
      <c r="M30" s="152"/>
      <c r="N30" s="152"/>
      <c r="O30" s="152"/>
      <c r="P30" s="152"/>
      <c r="Q30" s="152"/>
      <c r="R30" s="152">
        <f>R28-R29</f>
        <v>0</v>
      </c>
      <c r="S30" s="152">
        <f>S28-S29</f>
        <v>0</v>
      </c>
      <c r="T30" s="152"/>
      <c r="U30" s="152"/>
      <c r="V30" s="152"/>
      <c r="W30" s="152"/>
      <c r="X30" s="152">
        <f>X28-X29</f>
        <v>0</v>
      </c>
      <c r="Y30" s="152">
        <f>Y28-Y29</f>
        <v>0</v>
      </c>
      <c r="Z30" s="152"/>
      <c r="AA30" s="152">
        <f>AA28-AA29</f>
        <v>0</v>
      </c>
      <c r="AB30" s="152"/>
      <c r="AC30" s="152">
        <f>AC28-AC29</f>
        <v>0</v>
      </c>
      <c r="AD30" s="152" t="str">
        <f t="shared" si="14"/>
        <v/>
      </c>
      <c r="AE30" s="151"/>
      <c r="BH30" s="72"/>
      <c r="BJ30" s="72"/>
      <c r="BK30" s="72"/>
      <c r="BL30" s="72"/>
      <c r="BM30" s="72"/>
      <c r="BO30" s="72"/>
      <c r="BZ30" s="77"/>
      <c r="CA30" s="78"/>
      <c r="CB30" s="77"/>
      <c r="CC30" s="78"/>
      <c r="CD30" s="78"/>
      <c r="CE30" s="78"/>
      <c r="CF30" s="78"/>
      <c r="CG30" s="78"/>
      <c r="CH30" s="77"/>
    </row>
    <row r="31" customHeight="1" spans="1:86">
      <c r="A31" s="102" t="str">
        <f>参数表!F$6</f>
        <v>产权持有单位填表人：贾广东</v>
      </c>
      <c r="B31" s="286"/>
      <c r="C31" s="154"/>
      <c r="D31" s="154"/>
      <c r="E31" s="154"/>
      <c r="F31" s="286"/>
      <c r="G31" s="286"/>
      <c r="H31" s="154"/>
      <c r="I31" s="95"/>
      <c r="J31" s="95"/>
      <c r="K31" s="95"/>
      <c r="L31" s="95"/>
      <c r="M31" s="103"/>
      <c r="N31" s="103"/>
      <c r="O31" s="103"/>
      <c r="P31" s="103"/>
      <c r="Q31" s="103"/>
      <c r="R31" s="103"/>
      <c r="S31" s="103"/>
      <c r="T31" s="103"/>
      <c r="U31" s="103"/>
      <c r="V31" s="103"/>
      <c r="W31" s="103"/>
      <c r="X31" s="103"/>
      <c r="Y31" s="103"/>
      <c r="Z31" s="103"/>
      <c r="AA31" s="103"/>
      <c r="AB31" s="103"/>
      <c r="AC31" s="156" t="str">
        <f>"评估人员："&amp;封面!$G$26</f>
        <v>评估人员：栗祥宁</v>
      </c>
      <c r="AD31" s="103"/>
      <c r="AE31" s="103"/>
    </row>
    <row r="32" customHeight="1" spans="1:86">
      <c r="A32" s="102" t="str">
        <f>参数表!F$7</f>
        <v>填表日期：2025年9月20日</v>
      </c>
      <c r="B32" s="286"/>
      <c r="C32" s="154"/>
      <c r="D32" s="154"/>
      <c r="E32" s="154"/>
      <c r="F32" s="286"/>
      <c r="G32" s="286"/>
      <c r="H32" s="154"/>
      <c r="I32" s="95"/>
      <c r="J32" s="95"/>
      <c r="K32" s="95"/>
      <c r="L32" s="95"/>
      <c r="M32" s="103"/>
      <c r="N32" s="103"/>
      <c r="O32" s="103"/>
      <c r="P32" s="103"/>
      <c r="Q32" s="103"/>
      <c r="R32" s="103"/>
      <c r="S32" s="103"/>
      <c r="T32" s="103"/>
      <c r="U32" s="103"/>
      <c r="V32" s="103"/>
      <c r="W32" s="103"/>
      <c r="X32" s="103"/>
      <c r="Y32" s="103"/>
      <c r="Z32" s="103"/>
      <c r="AA32" s="103"/>
      <c r="AB32" s="103"/>
      <c r="AC32" s="103"/>
      <c r="AD32" s="103"/>
      <c r="AE32" s="103"/>
    </row>
    <row r="33" hidden="1" customHeight="1" outlineLevel="1" spans="1:67">
      <c r="A33" s="157"/>
      <c r="B33" s="228"/>
      <c r="C33" s="154" t="s">
        <v>1673</v>
      </c>
      <c r="D33" s="158"/>
      <c r="E33" s="158"/>
      <c r="F33" s="228"/>
      <c r="G33" s="228"/>
      <c r="H33" s="158"/>
      <c r="M33" s="176"/>
      <c r="N33" s="176"/>
      <c r="O33" s="176"/>
      <c r="P33" s="176"/>
      <c r="Q33" s="176"/>
      <c r="R33" s="159">
        <f>SUMIF($BA8:$BA27,$BA33,R8:R27)</f>
        <v>0</v>
      </c>
      <c r="S33" s="159">
        <f>SUMIF($BA8:$BA27,$BA33,S8:S27)</f>
        <v>0</v>
      </c>
      <c r="T33" s="159">
        <f>SUMIF($BA8:$BA27,$BA33,T8:T27)</f>
        <v>0</v>
      </c>
      <c r="U33" s="176"/>
      <c r="V33" s="176"/>
      <c r="W33" s="176"/>
      <c r="X33" s="159">
        <f>SUMIF($BA8:$BA27,$BA33,X8:X27)</f>
        <v>0</v>
      </c>
      <c r="Y33" s="159">
        <f>SUMIF($BA8:$BA27,$BA33,Y8:Y27)</f>
        <v>0</v>
      </c>
      <c r="Z33" s="159">
        <f>SUMIF($BA8:$BA27,$BA33,Z8:Z27)</f>
        <v>0</v>
      </c>
      <c r="AA33" s="159">
        <f>SUMIF($BA8:$BA27,$BA33,AA8:AA27)</f>
        <v>0</v>
      </c>
      <c r="AB33" s="176"/>
      <c r="AC33" s="159">
        <f>SUMIF($BA8:$BA27,$BA33,AC8:AC27)</f>
        <v>0</v>
      </c>
      <c r="BA33" s="161" t="s">
        <v>1674</v>
      </c>
      <c r="BH33" s="95" t="s">
        <v>1675</v>
      </c>
      <c r="BJ33" s="95" t="s">
        <v>1675</v>
      </c>
      <c r="BK33" s="95" t="s">
        <v>1675</v>
      </c>
      <c r="BL33" s="95" t="s">
        <v>1675</v>
      </c>
      <c r="BM33" s="95" t="s">
        <v>1675</v>
      </c>
      <c r="BO33" s="95" t="s">
        <v>1675</v>
      </c>
    </row>
    <row r="34" hidden="1" customHeight="1" outlineLevel="1" spans="1:67">
      <c r="A34" s="157"/>
      <c r="B34" s="228"/>
      <c r="C34" s="154" t="s">
        <v>1676</v>
      </c>
      <c r="D34" s="158"/>
      <c r="E34" s="158"/>
      <c r="F34" s="228"/>
      <c r="G34" s="228"/>
      <c r="H34" s="158"/>
      <c r="M34" s="176"/>
      <c r="N34" s="176"/>
      <c r="O34" s="176"/>
      <c r="P34" s="176"/>
      <c r="Q34" s="176"/>
      <c r="R34" s="159">
        <f>R28-R33</f>
        <v>0</v>
      </c>
      <c r="S34" s="159">
        <f>S28-S33</f>
        <v>0</v>
      </c>
      <c r="T34" s="159">
        <f>T28-T33</f>
        <v>0</v>
      </c>
      <c r="U34" s="176"/>
      <c r="V34" s="176"/>
      <c r="W34" s="176"/>
      <c r="X34" s="159">
        <f>X28-X33</f>
        <v>0</v>
      </c>
      <c r="Y34" s="159">
        <f>Y28-Y33</f>
        <v>0</v>
      </c>
      <c r="Z34" s="159">
        <f>Z28-Z33</f>
        <v>0</v>
      </c>
      <c r="AA34" s="159">
        <f>AA28-AA33</f>
        <v>0</v>
      </c>
      <c r="AB34" s="176"/>
      <c r="AC34" s="159">
        <f>AC28-AC33</f>
        <v>0</v>
      </c>
      <c r="BA34" s="161" t="s">
        <v>1677</v>
      </c>
      <c r="BH34" s="95" t="s">
        <v>1678</v>
      </c>
      <c r="BJ34" s="95" t="s">
        <v>1678</v>
      </c>
      <c r="BK34" s="95" t="s">
        <v>1678</v>
      </c>
      <c r="BL34" s="95" t="s">
        <v>1678</v>
      </c>
      <c r="BM34" s="95" t="s">
        <v>1678</v>
      </c>
      <c r="BO34" s="95" t="s">
        <v>1678</v>
      </c>
    </row>
    <row r="35" customHeight="1" collapsed="1" spans="1:67">
      <c r="A35" s="157"/>
      <c r="B35" s="228"/>
      <c r="C35" s="158"/>
      <c r="D35" s="158"/>
      <c r="E35" s="158"/>
      <c r="F35" s="228"/>
      <c r="G35" s="228"/>
      <c r="H35" s="158"/>
    </row>
    <row r="36" customHeight="1" spans="1:67">
      <c r="A36" s="157"/>
      <c r="B36" s="228"/>
      <c r="C36" s="158"/>
      <c r="D36" s="158"/>
      <c r="E36" s="158"/>
      <c r="F36" s="228"/>
      <c r="G36" s="228"/>
      <c r="H36" s="158"/>
    </row>
    <row r="37" customHeight="1" spans="1:67">
      <c r="A37" s="157"/>
      <c r="B37" s="228"/>
      <c r="C37" s="158"/>
      <c r="D37" s="158"/>
      <c r="E37" s="158"/>
      <c r="F37" s="228"/>
      <c r="G37" s="228"/>
      <c r="H37" s="158"/>
    </row>
    <row r="38" customHeight="1" spans="1:67">
      <c r="A38" s="157"/>
      <c r="B38" s="228"/>
      <c r="C38" s="158"/>
      <c r="D38" s="158"/>
      <c r="E38" s="158"/>
      <c r="F38" s="228"/>
      <c r="G38" s="228"/>
      <c r="H38" s="158"/>
    </row>
    <row r="39" customHeight="1" spans="1:67">
      <c r="A39" s="157"/>
      <c r="B39" s="228"/>
      <c r="C39" s="158"/>
      <c r="D39" s="158"/>
      <c r="E39" s="158"/>
      <c r="F39" s="228"/>
      <c r="G39" s="228"/>
      <c r="H39" s="158"/>
    </row>
  </sheetData>
  <sheetProtection autoFilter="0"/>
  <mergeCells count="38">
    <mergeCell ref="A2:AE2"/>
    <mergeCell ref="A3:AE3"/>
    <mergeCell ref="M6:Q6"/>
    <mergeCell ref="R6:T6"/>
    <mergeCell ref="U6:W6"/>
    <mergeCell ref="X6:Z6"/>
    <mergeCell ref="AA6:AC6"/>
    <mergeCell ref="CF8:CH8"/>
    <mergeCell ref="CF9:CH9"/>
    <mergeCell ref="CG15:CH15"/>
    <mergeCell ref="A28:C28"/>
    <mergeCell ref="A29:C29"/>
    <mergeCell ref="A30:C30"/>
    <mergeCell ref="A6:A7"/>
    <mergeCell ref="B6:B7"/>
    <mergeCell ref="C6:C7"/>
    <mergeCell ref="D6:D7"/>
    <mergeCell ref="E6:E7"/>
    <mergeCell ref="F6:F7"/>
    <mergeCell ref="G6:G7"/>
    <mergeCell ref="H6:H7"/>
    <mergeCell ref="I6:I7"/>
    <mergeCell ref="J6:J7"/>
    <mergeCell ref="K6:K7"/>
    <mergeCell ref="L6:L7"/>
    <mergeCell ref="AD6:AD7"/>
    <mergeCell ref="AE6:AE7"/>
    <mergeCell ref="BF6:BF7"/>
    <mergeCell ref="BG6:BG7"/>
    <mergeCell ref="BH6:BH7"/>
    <mergeCell ref="BI6:BI7"/>
    <mergeCell ref="BJ6:BJ7"/>
    <mergeCell ref="BK6:BK7"/>
    <mergeCell ref="BL6:BL7"/>
    <mergeCell ref="BM6:BM7"/>
    <mergeCell ref="BN6:BN7"/>
    <mergeCell ref="BO6:BO7"/>
    <mergeCell ref="BP6:BP7"/>
  </mergeCells>
  <conditionalFormatting sqref="BI8:BI27">
    <cfRule type="expression" dxfId="5" priority="7" stopIfTrue="1">
      <formula>AND(BH8="有",BI8="")</formula>
    </cfRule>
  </conditionalFormatting>
  <conditionalFormatting sqref="BN8:BN27">
    <cfRule type="expression" dxfId="5" priority="9" stopIfTrue="1">
      <formula>AND(BM8="无",BN8="")</formula>
    </cfRule>
  </conditionalFormatting>
  <conditionalFormatting sqref="BF8:BG27">
    <cfRule type="containsText" dxfId="6" priority="1" stopIfTrue="1" operator="between" text="出错">
      <formula>NOT(ISERROR(SEARCH("出错",BF8)))</formula>
    </cfRule>
  </conditionalFormatting>
  <conditionalFormatting sqref="BN9:BN26 BH27:BO27 BH9:BI26 BH8:BH12 BJ8:BM26 BO8:BO26">
    <cfRule type="expression" dxfId="5" priority="10" stopIfTrue="1">
      <formula>AND($B8&lt;&gt;"",BH8="")</formula>
    </cfRule>
  </conditionalFormatting>
  <dataValidations count="5">
    <dataValidation type="list" allowBlank="1" showInputMessage="1" showErrorMessage="1" sqref="M8:M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H8:BH27 BO8:BO27 BJ8:BM27">
      <formula1>BH$33:BH$34</formula1>
    </dataValidation>
    <dataValidation type="list" allowBlank="1" showInputMessage="1" showErrorMessage="1" sqref="BQ8:BQ27">
      <formula1>"成本法,收益法,市场法"</formula1>
    </dataValidation>
  </dataValidations>
  <hyperlinks>
    <hyperlink ref="A1" location="索引目录!E40" display="返回索引页"/>
    <hyperlink ref="B1" location="固定资产汇总!B29"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3"/>
  <dimension ref="A1:CL35"/>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 customHeight="1"/>
  <cols>
    <col min="1" max="1" width="5.3" style="545" customWidth="1"/>
    <col min="2" max="2" width="12.6" style="545" customWidth="1"/>
    <col min="3" max="3" width="10.6" style="545" customWidth="1"/>
    <col min="4" max="4" width="8.6" style="545" customWidth="1"/>
    <col min="5" max="6" width="4.6" style="545" customWidth="1"/>
    <col min="7" max="7" width="5.6" style="545" customWidth="1" outlineLevel="1"/>
    <col min="8" max="8" width="6.6" style="545" customWidth="1" outlineLevel="1"/>
    <col min="9" max="9" width="5.6" style="545" customWidth="1" outlineLevel="1"/>
    <col min="10" max="10" width="6.6" style="545" customWidth="1" outlineLevel="1"/>
    <col min="11" max="11" width="5.6" style="545" customWidth="1" outlineLevel="1"/>
    <col min="12" max="12" width="6.6" style="545" customWidth="1" outlineLevel="1"/>
    <col min="13" max="14" width="4.6" style="545" customWidth="1" outlineLevel="1"/>
    <col min="15" max="17" width="6.1" style="545" customWidth="1" outlineLevel="1"/>
    <col min="18" max="19" width="8.6" style="545" customWidth="1" outlineLevel="1"/>
    <col min="20" max="20" width="6.6" style="546" customWidth="1" outlineLevel="1"/>
    <col min="21" max="22" width="8.6" style="546" customWidth="1" outlineLevel="1"/>
    <col min="23" max="23" width="6.6" style="546" customWidth="1" outlineLevel="1"/>
    <col min="24" max="25" width="10.6" style="546" customWidth="1"/>
    <col min="26" max="26" width="8.6" style="546" customWidth="1"/>
    <col min="27" max="28" width="10.6" style="546" customWidth="1"/>
    <col min="29" max="29" width="6.6" style="548" customWidth="1"/>
    <col min="30" max="30" width="6.6" style="545" customWidth="1"/>
    <col min="31" max="52" width="9" style="545" hidden="1" customWidth="1" outlineLevel="1"/>
    <col min="53" max="53" width="14.7" style="75" customWidth="1" collapsed="1"/>
    <col min="54" max="54" width="6.7" style="75" customWidth="1"/>
    <col min="55" max="56" width="5.1" style="75" customWidth="1"/>
    <col min="57" max="57" width="8.7" style="75" customWidth="1"/>
    <col min="58" max="59" width="10.5" style="75" customWidth="1"/>
    <col min="60" max="60" width="4.7" style="165" customWidth="1"/>
    <col min="61" max="61" width="11.5" style="75" customWidth="1"/>
    <col min="62" max="64" width="4.7" style="165" customWidth="1"/>
    <col min="65" max="65" width="10.3" style="75" customWidth="1"/>
    <col min="66" max="66" width="4.7" style="165" customWidth="1"/>
    <col min="67" max="68" width="9" style="75"/>
    <col min="69" max="71" width="9" style="227"/>
    <col min="72" max="72" width="9" style="75"/>
    <col min="73" max="75" width="9" style="699"/>
    <col min="76" max="78" width="9" style="545"/>
    <col min="79" max="79" width="9" style="699"/>
    <col min="80" max="81" width="9" style="545"/>
    <col min="82" max="82" width="1.6" style="77" customWidth="1"/>
    <col min="83" max="83" width="10.6" style="78" customWidth="1"/>
    <col min="84" max="84" width="10.6" style="77" customWidth="1"/>
    <col min="85" max="85" width="4.6" style="78" customWidth="1"/>
    <col min="86" max="86" width="10.6" style="78" customWidth="1"/>
    <col min="87" max="88" width="4.6" style="78" customWidth="1"/>
    <col min="89" max="89" width="10.6" style="78" customWidth="1"/>
    <col min="90" max="90" width="5" style="77" customWidth="1"/>
    <col min="91" max="16384" width="9" style="545"/>
  </cols>
  <sheetData>
    <row r="1" s="537" customFormat="1" ht="19.5" customHeight="1" spans="1:90">
      <c r="A1" s="203" t="s">
        <v>1591</v>
      </c>
      <c r="B1" s="204" t="s">
        <v>1592</v>
      </c>
      <c r="C1" s="82"/>
      <c r="T1" s="553"/>
      <c r="U1" s="553"/>
      <c r="V1" s="553"/>
      <c r="W1" s="553"/>
      <c r="X1" s="553"/>
      <c r="Y1" s="553"/>
      <c r="Z1" s="553"/>
      <c r="AA1" s="553"/>
      <c r="AB1" s="553"/>
      <c r="AC1" s="555"/>
      <c r="BA1" s="84" t="str">
        <f>参数表!BA1</f>
        <v>注意：补充特殊事项、作价等均从BA列开始填写</v>
      </c>
      <c r="BB1" s="85"/>
      <c r="BC1" s="86"/>
      <c r="BD1" s="86"/>
      <c r="BE1" s="86"/>
      <c r="BF1" s="86"/>
      <c r="BG1" s="86"/>
      <c r="BH1" s="82"/>
      <c r="BI1" s="86"/>
      <c r="BJ1" s="82"/>
      <c r="BK1" s="82"/>
      <c r="BL1" s="82"/>
      <c r="BM1" s="86"/>
      <c r="BN1" s="82"/>
      <c r="BO1" s="86"/>
      <c r="BP1" s="86"/>
      <c r="BQ1" s="700"/>
      <c r="BR1" s="700"/>
      <c r="BS1" s="700"/>
      <c r="BT1" s="86"/>
      <c r="BU1" s="701"/>
      <c r="BV1" s="701"/>
      <c r="BW1" s="701"/>
      <c r="CA1" s="701"/>
      <c r="CD1" s="87"/>
      <c r="CE1" s="88"/>
      <c r="CF1" s="87"/>
      <c r="CG1" s="88"/>
      <c r="CH1" s="88"/>
      <c r="CI1" s="88"/>
      <c r="CJ1" s="88"/>
      <c r="CK1" s="88"/>
      <c r="CL1" s="87"/>
    </row>
    <row r="2" s="538" customFormat="1" ht="30" customHeight="1" spans="1:90">
      <c r="A2" s="702" t="s">
        <v>4273</v>
      </c>
      <c r="B2" s="702"/>
      <c r="C2" s="702"/>
      <c r="D2" s="702"/>
      <c r="E2" s="702"/>
      <c r="F2" s="702"/>
      <c r="G2" s="702"/>
      <c r="H2" s="702"/>
      <c r="I2" s="702"/>
      <c r="J2" s="702"/>
      <c r="K2" s="702"/>
      <c r="L2" s="702"/>
      <c r="M2" s="702"/>
      <c r="N2" s="702"/>
      <c r="O2" s="702"/>
      <c r="P2" s="702"/>
      <c r="Q2" s="702"/>
      <c r="R2" s="702"/>
      <c r="S2" s="702"/>
      <c r="T2" s="702"/>
      <c r="U2" s="702"/>
      <c r="V2" s="702"/>
      <c r="W2" s="702"/>
      <c r="X2" s="702"/>
      <c r="Y2" s="702"/>
      <c r="Z2" s="702"/>
      <c r="AA2" s="702"/>
      <c r="AB2" s="702"/>
      <c r="AC2" s="702"/>
      <c r="AD2" s="702"/>
      <c r="BA2" s="90" t="str">
        <f>参数表!BA2</f>
        <v>评估基准日：</v>
      </c>
      <c r="BB2" s="91" t="str">
        <f>参数表!BB2</f>
        <v>2025年7月31日</v>
      </c>
      <c r="BC2" s="71"/>
      <c r="BD2" s="71"/>
      <c r="BE2" s="71"/>
      <c r="BF2" s="71"/>
      <c r="BG2" s="71"/>
      <c r="BH2" s="171"/>
      <c r="BI2" s="71"/>
      <c r="BJ2" s="171"/>
      <c r="BK2" s="171"/>
      <c r="BL2" s="171"/>
      <c r="BM2" s="71"/>
      <c r="BN2" s="171"/>
      <c r="BO2" s="71"/>
      <c r="BP2" s="71"/>
      <c r="BQ2" s="234"/>
      <c r="BR2" s="234"/>
      <c r="BS2" s="234"/>
      <c r="BT2" s="71"/>
      <c r="BU2" s="703"/>
      <c r="BV2" s="703"/>
      <c r="BW2" s="703"/>
      <c r="CA2" s="703"/>
      <c r="CD2" s="92"/>
      <c r="CE2" s="93"/>
      <c r="CF2" s="92"/>
      <c r="CG2" s="93"/>
      <c r="CH2" s="93"/>
      <c r="CI2" s="93"/>
      <c r="CJ2" s="93"/>
      <c r="CK2" s="93"/>
      <c r="CL2" s="92"/>
    </row>
    <row r="3" s="539" customFormat="1" customHeight="1" spans="1:90">
      <c r="A3" s="559" t="str">
        <f>参数表!F5</f>
        <v>评估基准日：2025年7月31日</v>
      </c>
      <c r="B3" s="559"/>
      <c r="C3" s="559"/>
      <c r="D3" s="559"/>
      <c r="E3" s="559"/>
      <c r="F3" s="559"/>
      <c r="G3" s="559"/>
      <c r="H3" s="559"/>
      <c r="I3" s="559"/>
      <c r="J3" s="559"/>
      <c r="K3" s="559"/>
      <c r="L3" s="559"/>
      <c r="M3" s="559"/>
      <c r="N3" s="559"/>
      <c r="O3" s="559"/>
      <c r="P3" s="559"/>
      <c r="Q3" s="559"/>
      <c r="R3" s="559"/>
      <c r="S3" s="559"/>
      <c r="T3" s="559"/>
      <c r="U3" s="559"/>
      <c r="V3" s="559"/>
      <c r="W3" s="559"/>
      <c r="X3" s="559"/>
      <c r="Y3" s="559"/>
      <c r="Z3" s="559"/>
      <c r="AA3" s="559"/>
      <c r="AB3" s="559"/>
      <c r="AC3" s="559"/>
      <c r="AD3" s="559"/>
      <c r="BA3" s="90" t="str">
        <f>参数表!BA3</f>
        <v>是否显示评估值：</v>
      </c>
      <c r="BB3" s="90" t="str">
        <f>参数表!BB3</f>
        <v>是</v>
      </c>
      <c r="BC3" s="75"/>
      <c r="BD3" s="75"/>
      <c r="BE3" s="75"/>
      <c r="BF3" s="75"/>
      <c r="BG3" s="75"/>
      <c r="BH3" s="165"/>
      <c r="BI3" s="75"/>
      <c r="BJ3" s="165"/>
      <c r="BK3" s="165"/>
      <c r="BL3" s="165"/>
      <c r="BM3" s="75"/>
      <c r="BN3" s="165"/>
      <c r="BO3" s="75"/>
      <c r="BP3" s="75"/>
      <c r="BQ3" s="227"/>
      <c r="BR3" s="227"/>
      <c r="BS3" s="227"/>
      <c r="BT3" s="75"/>
      <c r="BU3" s="704"/>
      <c r="BV3" s="704"/>
      <c r="BW3" s="704"/>
      <c r="CA3" s="704"/>
      <c r="CD3" s="92"/>
      <c r="CE3" s="93"/>
      <c r="CF3" s="92"/>
      <c r="CG3" s="93"/>
      <c r="CH3" s="93"/>
      <c r="CI3" s="93"/>
      <c r="CJ3" s="93"/>
      <c r="CK3" s="93"/>
      <c r="CL3" s="92"/>
    </row>
    <row r="4" s="539" customFormat="1" customHeight="1" spans="1:90">
      <c r="A4" s="559"/>
      <c r="B4" s="559"/>
      <c r="C4" s="559"/>
      <c r="D4" s="566"/>
      <c r="E4" s="566"/>
      <c r="F4" s="566"/>
      <c r="G4" s="559"/>
      <c r="H4" s="559"/>
      <c r="I4" s="559"/>
      <c r="J4" s="559"/>
      <c r="K4" s="559"/>
      <c r="L4" s="559"/>
      <c r="M4" s="559"/>
      <c r="N4" s="559"/>
      <c r="O4" s="559"/>
      <c r="P4" s="559"/>
      <c r="Q4" s="559"/>
      <c r="R4" s="559"/>
      <c r="S4" s="559"/>
      <c r="T4" s="560"/>
      <c r="U4" s="560"/>
      <c r="V4" s="560"/>
      <c r="W4" s="560"/>
      <c r="X4" s="560"/>
      <c r="Y4" s="560"/>
      <c r="Z4" s="560"/>
      <c r="AA4" s="560"/>
      <c r="AB4" s="560"/>
      <c r="AC4" s="705"/>
      <c r="AD4" s="706" t="str">
        <f>"表"&amp;BA4</f>
        <v>表4-10-9</v>
      </c>
      <c r="BA4" s="274" t="str">
        <f>固定资产总!A20</f>
        <v>4-10-9</v>
      </c>
      <c r="BB4" s="100">
        <f>MAX(COUNTA(A8:A27),COUNTA(B8:B27),COUNTA(Z8:Z27),COUNTA(AB8:AB27))</f>
        <v>20</v>
      </c>
      <c r="BC4" s="101">
        <f>ROW(A7)+1</f>
        <v>8</v>
      </c>
      <c r="BD4" s="77"/>
      <c r="BE4" s="77"/>
      <c r="BF4" s="75"/>
      <c r="BG4" s="75"/>
      <c r="BH4" s="165"/>
      <c r="BI4" s="75"/>
      <c r="BJ4" s="165"/>
      <c r="BK4" s="165"/>
      <c r="BL4" s="165"/>
      <c r="BM4" s="75"/>
      <c r="BN4" s="165"/>
      <c r="BO4" s="75"/>
      <c r="BP4" s="75"/>
      <c r="BQ4" s="227"/>
      <c r="BR4" s="227"/>
      <c r="BS4" s="227"/>
      <c r="BT4" s="75"/>
      <c r="BU4" s="704"/>
      <c r="BV4" s="704"/>
      <c r="BW4" s="704"/>
      <c r="CA4" s="704"/>
      <c r="CD4" s="77"/>
      <c r="CE4" s="78"/>
      <c r="CF4" s="78"/>
      <c r="CG4" s="78"/>
      <c r="CH4" s="78"/>
      <c r="CI4" s="78"/>
      <c r="CJ4" s="78"/>
      <c r="CK4" s="78"/>
      <c r="CL4" s="77"/>
    </row>
    <row r="5" s="539" customFormat="1" customHeight="1" spans="1:90">
      <c r="A5" s="565" t="str">
        <f>参数表!F3</f>
        <v>产权持有单位:中煤第五建设有限公司</v>
      </c>
      <c r="B5" s="565"/>
      <c r="C5" s="565"/>
      <c r="D5" s="565"/>
      <c r="E5" s="565"/>
      <c r="F5" s="565"/>
      <c r="G5" s="565"/>
      <c r="H5" s="565"/>
      <c r="I5" s="565"/>
      <c r="J5" s="565"/>
      <c r="K5" s="565"/>
      <c r="L5" s="565"/>
      <c r="M5" s="566"/>
      <c r="N5" s="566"/>
      <c r="O5" s="566"/>
      <c r="P5" s="566"/>
      <c r="Q5" s="566"/>
      <c r="R5" s="566"/>
      <c r="S5" s="566"/>
      <c r="T5" s="567"/>
      <c r="U5" s="567"/>
      <c r="V5" s="567"/>
      <c r="W5" s="567"/>
      <c r="X5" s="567"/>
      <c r="Y5" s="567"/>
      <c r="Z5" s="567"/>
      <c r="AA5" s="567"/>
      <c r="AB5" s="567"/>
      <c r="AC5" s="563"/>
      <c r="AD5" s="570" t="s">
        <v>236</v>
      </c>
      <c r="BA5" s="103"/>
      <c r="BB5" s="105" t="str">
        <f ca="1">判断表!C74</f>
        <v>中煤第五建设有限公司第三工程处拟处置实物资产项目\[0000-3基础法明细表.xlsx]清理</v>
      </c>
      <c r="BC5" s="106">
        <f>IFERROR(SUMIF(BC8:BC27,"√",AC8:AC27)/AC28,0)</f>
        <v>0</v>
      </c>
      <c r="BD5" s="107"/>
      <c r="BE5" s="107"/>
      <c r="BF5" s="108">
        <f>房屋!BF5</f>
        <v>0</v>
      </c>
      <c r="BG5" s="108">
        <f>房屋!BG5</f>
        <v>0</v>
      </c>
      <c r="BH5" s="109"/>
      <c r="BI5" s="109"/>
      <c r="BJ5" s="109"/>
      <c r="BK5" s="109"/>
      <c r="BL5" s="109"/>
      <c r="BM5" s="110"/>
      <c r="BN5" s="109"/>
      <c r="BO5" s="75"/>
      <c r="BP5" s="75"/>
      <c r="BQ5" s="227"/>
      <c r="BR5" s="227"/>
      <c r="BS5" s="227"/>
      <c r="BT5" s="75"/>
      <c r="BU5" s="704"/>
      <c r="BV5" s="704"/>
      <c r="BW5" s="704"/>
      <c r="CA5" s="704"/>
      <c r="CD5" s="77"/>
      <c r="CE5" s="78"/>
      <c r="CF5" s="78"/>
      <c r="CG5" s="78"/>
      <c r="CH5" s="78"/>
      <c r="CI5" s="78"/>
      <c r="CJ5" s="78"/>
      <c r="CK5" s="78"/>
      <c r="CL5" s="77"/>
    </row>
    <row r="6" s="540" customFormat="1" customHeight="1" spans="1:90">
      <c r="A6" s="572" t="s">
        <v>305</v>
      </c>
      <c r="B6" s="572" t="s">
        <v>4274</v>
      </c>
      <c r="C6" s="572" t="s">
        <v>4275</v>
      </c>
      <c r="D6" s="707" t="s">
        <v>1961</v>
      </c>
      <c r="E6" s="708" t="s">
        <v>4276</v>
      </c>
      <c r="F6" s="708" t="s">
        <v>4277</v>
      </c>
      <c r="G6" s="573" t="s">
        <v>4278</v>
      </c>
      <c r="H6" s="709"/>
      <c r="I6" s="573" t="s">
        <v>4279</v>
      </c>
      <c r="J6" s="709"/>
      <c r="K6" s="573" t="s">
        <v>4280</v>
      </c>
      <c r="L6" s="709"/>
      <c r="M6" s="351" t="s">
        <v>1964</v>
      </c>
      <c r="N6" s="351"/>
      <c r="O6" s="351"/>
      <c r="P6" s="351"/>
      <c r="Q6" s="351"/>
      <c r="R6" s="710" t="s">
        <v>3084</v>
      </c>
      <c r="S6" s="710"/>
      <c r="T6" s="710"/>
      <c r="U6" s="711" t="s">
        <v>3085</v>
      </c>
      <c r="V6" s="711"/>
      <c r="W6" s="711"/>
      <c r="X6" s="710" t="s">
        <v>4281</v>
      </c>
      <c r="Y6" s="710"/>
      <c r="Z6" s="712"/>
      <c r="AA6" s="713" t="s">
        <v>1550</v>
      </c>
      <c r="AB6" s="714"/>
      <c r="AC6" s="715" t="s">
        <v>1551</v>
      </c>
      <c r="AD6" s="572" t="s">
        <v>308</v>
      </c>
      <c r="BA6" s="191"/>
      <c r="BB6" s="100"/>
      <c r="BC6" s="100"/>
      <c r="BD6" s="100"/>
      <c r="BE6" s="100"/>
      <c r="BF6" s="192" t="s">
        <v>1639</v>
      </c>
      <c r="BG6" s="192" t="s">
        <v>1640</v>
      </c>
      <c r="BH6" s="118" t="s">
        <v>1748</v>
      </c>
      <c r="BI6" s="118" t="s">
        <v>4217</v>
      </c>
      <c r="BJ6" s="118" t="s">
        <v>1712</v>
      </c>
      <c r="BK6" s="118" t="s">
        <v>3696</v>
      </c>
      <c r="BL6" s="118" t="s">
        <v>1641</v>
      </c>
      <c r="BM6" s="118" t="s">
        <v>2209</v>
      </c>
      <c r="BN6" s="118" t="s">
        <v>3697</v>
      </c>
      <c r="BO6" s="118" t="s">
        <v>1644</v>
      </c>
      <c r="BP6" s="716" t="s">
        <v>4282</v>
      </c>
      <c r="BQ6" s="191" t="s">
        <v>4283</v>
      </c>
      <c r="BR6" s="191"/>
      <c r="BS6" s="191"/>
      <c r="BT6" s="191"/>
      <c r="BU6" s="717" t="s">
        <v>4284</v>
      </c>
      <c r="BV6" s="718"/>
      <c r="BW6" s="718"/>
      <c r="BX6" s="719" t="s">
        <v>4285</v>
      </c>
      <c r="BY6" s="191"/>
      <c r="BZ6" s="191"/>
      <c r="CA6" s="719" t="s">
        <v>4043</v>
      </c>
      <c r="CB6" s="191"/>
      <c r="CC6" s="173" t="s">
        <v>4286</v>
      </c>
      <c r="CD6" s="111"/>
      <c r="CE6" s="78"/>
      <c r="CF6" s="78"/>
      <c r="CG6" s="78"/>
      <c r="CH6" s="78"/>
      <c r="CI6" s="78"/>
      <c r="CJ6" s="78"/>
      <c r="CK6" s="194"/>
      <c r="CL6" s="111"/>
    </row>
    <row r="7" s="540" customFormat="1" customHeight="1" spans="1:90">
      <c r="A7" s="580"/>
      <c r="B7" s="580"/>
      <c r="C7" s="580"/>
      <c r="D7" s="720"/>
      <c r="E7" s="720"/>
      <c r="F7" s="720"/>
      <c r="G7" s="581" t="s">
        <v>3907</v>
      </c>
      <c r="H7" s="581" t="s">
        <v>4287</v>
      </c>
      <c r="I7" s="581" t="s">
        <v>3907</v>
      </c>
      <c r="J7" s="581" t="s">
        <v>4287</v>
      </c>
      <c r="K7" s="581" t="s">
        <v>3907</v>
      </c>
      <c r="L7" s="581" t="s">
        <v>4287</v>
      </c>
      <c r="M7" s="519" t="s">
        <v>1968</v>
      </c>
      <c r="N7" s="519" t="s">
        <v>1969</v>
      </c>
      <c r="O7" s="519" t="s">
        <v>4288</v>
      </c>
      <c r="P7" s="519" t="s">
        <v>4289</v>
      </c>
      <c r="Q7" s="519" t="s">
        <v>3701</v>
      </c>
      <c r="R7" s="721" t="s">
        <v>4288</v>
      </c>
      <c r="S7" s="721" t="s">
        <v>4289</v>
      </c>
      <c r="T7" s="721" t="s">
        <v>3701</v>
      </c>
      <c r="U7" s="722" t="s">
        <v>4288</v>
      </c>
      <c r="V7" s="722" t="s">
        <v>4289</v>
      </c>
      <c r="W7" s="722" t="s">
        <v>3701</v>
      </c>
      <c r="X7" s="721" t="s">
        <v>3699</v>
      </c>
      <c r="Y7" s="721" t="s">
        <v>3700</v>
      </c>
      <c r="Z7" s="582" t="s">
        <v>3701</v>
      </c>
      <c r="AA7" s="582" t="s">
        <v>3699</v>
      </c>
      <c r="AB7" s="712" t="s">
        <v>3700</v>
      </c>
      <c r="AC7" s="723"/>
      <c r="AD7" s="580"/>
      <c r="BA7" s="100" t="s">
        <v>1545</v>
      </c>
      <c r="BB7" s="100" t="s">
        <v>1635</v>
      </c>
      <c r="BC7" s="100" t="s">
        <v>1636</v>
      </c>
      <c r="BD7" s="100" t="s">
        <v>1637</v>
      </c>
      <c r="BE7" s="100" t="s">
        <v>1638</v>
      </c>
      <c r="BF7" s="197"/>
      <c r="BG7" s="197"/>
      <c r="BH7" s="118"/>
      <c r="BI7" s="118"/>
      <c r="BJ7" s="118"/>
      <c r="BK7" s="118"/>
      <c r="BL7" s="118"/>
      <c r="BM7" s="118"/>
      <c r="BN7" s="118"/>
      <c r="BO7" s="118"/>
      <c r="BP7" s="716"/>
      <c r="BQ7" s="724" t="s">
        <v>4290</v>
      </c>
      <c r="BR7" s="724" t="s">
        <v>4291</v>
      </c>
      <c r="BS7" s="724" t="s">
        <v>4292</v>
      </c>
      <c r="BT7" s="184" t="s">
        <v>2767</v>
      </c>
      <c r="BU7" s="725" t="s">
        <v>4290</v>
      </c>
      <c r="BV7" s="725" t="s">
        <v>4291</v>
      </c>
      <c r="BW7" s="725" t="s">
        <v>4292</v>
      </c>
      <c r="BX7" s="184" t="s">
        <v>4290</v>
      </c>
      <c r="BY7" s="184" t="s">
        <v>4291</v>
      </c>
      <c r="BZ7" s="184" t="s">
        <v>4292</v>
      </c>
      <c r="CA7" s="726" t="s">
        <v>4293</v>
      </c>
      <c r="CB7" s="727" t="s">
        <v>4294</v>
      </c>
      <c r="CC7" s="173"/>
      <c r="CD7" s="119"/>
      <c r="CE7" s="120" t="s">
        <v>1645</v>
      </c>
      <c r="CF7" s="121" t="s">
        <v>1646</v>
      </c>
      <c r="CG7" s="121" t="s">
        <v>1647</v>
      </c>
      <c r="CH7" s="121" t="s">
        <v>1648</v>
      </c>
      <c r="CI7" s="121" t="s">
        <v>1647</v>
      </c>
      <c r="CJ7" s="121" t="s">
        <v>1647</v>
      </c>
      <c r="CK7" s="121" t="s">
        <v>1649</v>
      </c>
      <c r="CL7" s="122" t="s">
        <v>1650</v>
      </c>
    </row>
    <row r="8" s="541" customFormat="1" customHeight="1" spans="1:90">
      <c r="A8" s="123" t="str">
        <f>IF(B8="","",COUNT(A$7:A7)+1)</f>
        <v/>
      </c>
      <c r="B8" s="586"/>
      <c r="C8" s="586"/>
      <c r="D8" s="728"/>
      <c r="E8" s="728"/>
      <c r="F8" s="728"/>
      <c r="G8" s="586"/>
      <c r="H8" s="586"/>
      <c r="I8" s="586"/>
      <c r="J8" s="586"/>
      <c r="K8" s="586"/>
      <c r="L8" s="586"/>
      <c r="M8" s="127"/>
      <c r="N8" s="127" t="str">
        <f>IFERROR(VLOOKUP(M8,参数表!$H$2:$I$50,2,FALSE),"")</f>
        <v/>
      </c>
      <c r="O8" s="128" t="str">
        <f>IFERROR(IF(OR(M8="人民币",M8=""),"",X8/N8),"")</f>
        <v/>
      </c>
      <c r="P8" s="128" t="str">
        <f>IFERROR(IF(OR(M8="人民币",M8=""),"",Y8/N8),"")</f>
        <v/>
      </c>
      <c r="Q8" s="128" t="str">
        <f>IFERROR(IF(OR(M8="人民币",M8=""),"",Z8/N8),"")</f>
        <v/>
      </c>
      <c r="R8" s="589"/>
      <c r="S8" s="589"/>
      <c r="T8" s="589"/>
      <c r="U8" s="590"/>
      <c r="V8" s="590"/>
      <c r="W8" s="590"/>
      <c r="X8" s="589" t="str">
        <f>IF($B8="","",R8+U8)</f>
        <v/>
      </c>
      <c r="Y8" s="589" t="str">
        <f t="shared" ref="Y8:Z8" si="0">IF($B8="","",S8+V8)</f>
        <v/>
      </c>
      <c r="Z8" s="589" t="str">
        <f t="shared" si="0"/>
        <v/>
      </c>
      <c r="AA8" s="589">
        <f>IF($BB$3="是",CC8,"")</f>
        <v>0</v>
      </c>
      <c r="AB8" s="589">
        <f>IF($BB$3="是",AA8,"")</f>
        <v>0</v>
      </c>
      <c r="AC8" s="589" t="str">
        <f>IFERROR((AB8-Y8+Z8)/(Y8-Z8)*100,"")</f>
        <v/>
      </c>
      <c r="AD8" s="592"/>
      <c r="BA8" s="78"/>
      <c r="BB8" s="132" t="s">
        <v>4295</v>
      </c>
      <c r="BC8" s="133"/>
      <c r="BD8" s="132" t="str">
        <f>IF(OR(C8="",BC8=""),"",COUNTIF(BC$8:BC8,"√"))</f>
        <v/>
      </c>
      <c r="BE8" s="134" t="str">
        <f t="shared" ref="BE8:BE27" si="1">IF(BC8="","",BB8&amp;"︱"&amp;C8&amp;"︱"&amp;TEXT(T8,"#,##0.00"))</f>
        <v/>
      </c>
      <c r="BF8" s="135" t="str">
        <f>IF($B8="","",IF(BF$5=0,"OK","出错"))</f>
        <v/>
      </c>
      <c r="BG8" s="135" t="str">
        <f>IF($B8="","",IF(BG$5=0,"OK","出错"))</f>
        <v/>
      </c>
      <c r="BH8" s="136"/>
      <c r="BI8" s="137"/>
      <c r="BJ8" s="136"/>
      <c r="BK8" s="136"/>
      <c r="BL8" s="136"/>
      <c r="BM8" s="137"/>
      <c r="BN8" s="136"/>
      <c r="BO8" s="137"/>
      <c r="BP8" s="165" t="s">
        <v>4296</v>
      </c>
      <c r="BQ8" s="729"/>
      <c r="BR8" s="729"/>
      <c r="BS8" s="729"/>
      <c r="BT8" s="730"/>
      <c r="BU8" s="731"/>
      <c r="BV8" s="731"/>
      <c r="BW8" s="731"/>
      <c r="BX8" s="732">
        <f>BQ8/(1+BU8)</f>
        <v>0</v>
      </c>
      <c r="BY8" s="732">
        <f t="shared" ref="BY8:BZ8" si="2">BR8/(1+BV8)</f>
        <v>0</v>
      </c>
      <c r="BZ8" s="732">
        <f t="shared" si="2"/>
        <v>0</v>
      </c>
      <c r="CA8" s="733"/>
      <c r="CB8" s="732">
        <f t="shared" ref="CB8:CB27" si="3">IFERROR(X8*CA8,0)</f>
        <v>0</v>
      </c>
      <c r="CC8" s="732">
        <f t="shared" ref="CC8:CC27" si="4">IF(BP8="整体出售",F8*BX8,SUM(H8*BX8,J8*BY8,L8*BZ8))-CB8</f>
        <v>0</v>
      </c>
      <c r="CD8" s="77"/>
      <c r="CE8" s="134" t="str">
        <f>IF(COUNTIF(CE$7:CE7,B8)&gt;0,"",B8)&amp;""</f>
        <v/>
      </c>
      <c r="CF8" s="138">
        <f>SUMIF(B$8:B$27,CE8,X$8:X$27)</f>
        <v>0</v>
      </c>
      <c r="CG8" s="132">
        <f t="shared" ref="CG8" si="5">RANK(CF8,CF$8:CF$27)</f>
        <v>1</v>
      </c>
      <c r="CH8" s="138">
        <f>SUMIF(B$8:B$27,CE8,AA$8:AA$27)</f>
        <v>0</v>
      </c>
      <c r="CI8" s="132">
        <f>RANK(CH8,CH$8:CH$27)</f>
        <v>1</v>
      </c>
      <c r="CJ8" s="138">
        <f>SUM(CF8:CF27)</f>
        <v>0</v>
      </c>
      <c r="CK8" s="138"/>
      <c r="CL8" s="138"/>
    </row>
    <row r="9" s="541" customFormat="1" customHeight="1" spans="1:90">
      <c r="A9" s="123" t="str">
        <f>IF(B9="","",COUNT(A$7:A8)+1)</f>
        <v/>
      </c>
      <c r="B9" s="597"/>
      <c r="C9" s="597"/>
      <c r="D9" s="734"/>
      <c r="E9" s="734"/>
      <c r="F9" s="734"/>
      <c r="G9" s="597"/>
      <c r="H9" s="597"/>
      <c r="I9" s="597"/>
      <c r="J9" s="597"/>
      <c r="K9" s="597"/>
      <c r="L9" s="597"/>
      <c r="M9" s="142"/>
      <c r="N9" s="127" t="str">
        <f>IFERROR(VLOOKUP(M9,参数表!$H$2:$I$50,2,FALSE),"")</f>
        <v/>
      </c>
      <c r="O9" s="128" t="str">
        <f t="shared" ref="O9:O27" si="6">IFERROR(IF(OR(M9="人民币",M9=""),"",X9/N9),"")</f>
        <v/>
      </c>
      <c r="P9" s="128" t="str">
        <f t="shared" ref="P9:P27" si="7">IFERROR(IF(OR(M9="人民币",M9=""),"",Y9/N9),"")</f>
        <v/>
      </c>
      <c r="Q9" s="128" t="str">
        <f t="shared" ref="Q9:Q27" si="8">IFERROR(IF(OR(M9="人民币",M9=""),"",Z9/N9),"")</f>
        <v/>
      </c>
      <c r="R9" s="600"/>
      <c r="S9" s="600"/>
      <c r="T9" s="600"/>
      <c r="U9" s="601"/>
      <c r="V9" s="601"/>
      <c r="W9" s="601"/>
      <c r="X9" s="589" t="str">
        <f t="shared" ref="X9:X27" si="9">IF($B9="","",R9+U9)</f>
        <v/>
      </c>
      <c r="Y9" s="589" t="str">
        <f t="shared" ref="Y9:Y27" si="10">IF($B9="","",S9+V9)</f>
        <v/>
      </c>
      <c r="Z9" s="589" t="str">
        <f t="shared" ref="Z9:Z27" si="11">IF($B9="","",T9+W9)</f>
        <v/>
      </c>
      <c r="AA9" s="589">
        <f t="shared" ref="AA9:AA27" si="12">IF($BB$3="是",CC9,"")</f>
        <v>0</v>
      </c>
      <c r="AB9" s="589">
        <f t="shared" ref="AB9:AB27" si="13">IF($BB$3="是",AA9,"")</f>
        <v>0</v>
      </c>
      <c r="AC9" s="589" t="str">
        <f t="shared" ref="AC9:AC30" si="14">IFERROR((AB9-Y9+Z9)/(Y9-Z9)*100,"")</f>
        <v/>
      </c>
      <c r="AD9" s="602"/>
      <c r="BA9" s="78"/>
      <c r="BB9" s="132" t="s">
        <v>4297</v>
      </c>
      <c r="BC9" s="133"/>
      <c r="BD9" s="132" t="str">
        <f>IF(OR(C9="",BC9=""),"",COUNTIF(BC$8:BC9,"√"))</f>
        <v/>
      </c>
      <c r="BE9" s="134" t="str">
        <f t="shared" si="1"/>
        <v/>
      </c>
      <c r="BF9" s="135" t="str">
        <f t="shared" ref="BF9:BG27" si="15">IF($B9="","",IF(BF$5=0,"OK","出错"))</f>
        <v/>
      </c>
      <c r="BG9" s="135" t="str">
        <f t="shared" si="15"/>
        <v/>
      </c>
      <c r="BH9" s="136"/>
      <c r="BI9" s="137"/>
      <c r="BJ9" s="136"/>
      <c r="BK9" s="136"/>
      <c r="BL9" s="136"/>
      <c r="BM9" s="137"/>
      <c r="BN9" s="136"/>
      <c r="BO9" s="137"/>
      <c r="BP9" s="165" t="s">
        <v>4296</v>
      </c>
      <c r="BQ9" s="176"/>
      <c r="BR9" s="176"/>
      <c r="BS9" s="176"/>
      <c r="BT9" s="75"/>
      <c r="BU9" s="731"/>
      <c r="BV9" s="731"/>
      <c r="BW9" s="731"/>
      <c r="BX9" s="732">
        <f t="shared" ref="BX9:BX27" si="16">BQ9/(1+BU9)</f>
        <v>0</v>
      </c>
      <c r="BY9" s="732">
        <f t="shared" ref="BY9:BY27" si="17">BR9/(1+BV9)</f>
        <v>0</v>
      </c>
      <c r="BZ9" s="732">
        <f t="shared" ref="BZ9:BZ27" si="18">BS9/(1+BW9)</f>
        <v>0</v>
      </c>
      <c r="CA9" s="733"/>
      <c r="CB9" s="732">
        <f t="shared" si="3"/>
        <v>0</v>
      </c>
      <c r="CC9" s="732">
        <f t="shared" si="4"/>
        <v>0</v>
      </c>
      <c r="CD9" s="77"/>
      <c r="CE9" s="134" t="str">
        <f>IF(COUNTIF(CE$7:CE8,B9)&gt;0,"",B9)&amp;""</f>
        <v/>
      </c>
      <c r="CF9" s="138">
        <f t="shared" ref="CF9:CF27" si="19">SUMIF(B$8:B$27,CE9,X$8:X$27)</f>
        <v>0</v>
      </c>
      <c r="CG9" s="132">
        <f t="shared" ref="CG9:CG27" si="20">RANK(CF9,CF$8:CF$27)</f>
        <v>1</v>
      </c>
      <c r="CH9" s="138">
        <f t="shared" ref="CH9:CH27" si="21">SUMIF(B$8:B$27,CE9,AA$8:AA$27)</f>
        <v>0</v>
      </c>
      <c r="CI9" s="132">
        <f t="shared" ref="CI9:CI27" si="22">RANK(CH9,CH$8:CH$27)</f>
        <v>1</v>
      </c>
      <c r="CJ9" s="138">
        <f>SUM(CH8:CH27)</f>
        <v>0</v>
      </c>
      <c r="CK9" s="138"/>
      <c r="CL9" s="138"/>
    </row>
    <row r="10" s="541" customFormat="1" customHeight="1" spans="1:90">
      <c r="A10" s="123" t="str">
        <f>IF(B10="","",COUNT(A$7:A9)+1)</f>
        <v/>
      </c>
      <c r="B10" s="597"/>
      <c r="C10" s="597"/>
      <c r="D10" s="734"/>
      <c r="E10" s="734"/>
      <c r="F10" s="734"/>
      <c r="G10" s="597"/>
      <c r="H10" s="597"/>
      <c r="I10" s="597"/>
      <c r="J10" s="597"/>
      <c r="K10" s="597"/>
      <c r="L10" s="597"/>
      <c r="M10" s="142"/>
      <c r="N10" s="127" t="str">
        <f>IFERROR(VLOOKUP(M10,参数表!$H$2:$I$50,2,FALSE),"")</f>
        <v/>
      </c>
      <c r="O10" s="128" t="str">
        <f t="shared" si="6"/>
        <v/>
      </c>
      <c r="P10" s="128" t="str">
        <f t="shared" si="7"/>
        <v/>
      </c>
      <c r="Q10" s="128" t="str">
        <f t="shared" si="8"/>
        <v/>
      </c>
      <c r="R10" s="600"/>
      <c r="S10" s="600"/>
      <c r="T10" s="600"/>
      <c r="U10" s="601"/>
      <c r="V10" s="601"/>
      <c r="W10" s="601"/>
      <c r="X10" s="589" t="str">
        <f t="shared" si="9"/>
        <v/>
      </c>
      <c r="Y10" s="589" t="str">
        <f t="shared" si="10"/>
        <v/>
      </c>
      <c r="Z10" s="589" t="str">
        <f t="shared" si="11"/>
        <v/>
      </c>
      <c r="AA10" s="589">
        <f t="shared" si="12"/>
        <v>0</v>
      </c>
      <c r="AB10" s="589">
        <f t="shared" si="13"/>
        <v>0</v>
      </c>
      <c r="AC10" s="589" t="str">
        <f t="shared" si="14"/>
        <v/>
      </c>
      <c r="AD10" s="602"/>
      <c r="BA10" s="78"/>
      <c r="BB10" s="132" t="s">
        <v>4298</v>
      </c>
      <c r="BC10" s="133"/>
      <c r="BD10" s="132" t="str">
        <f>IF(OR(C10="",BC10=""),"",COUNTIF(BC$8:BC10,"√"))</f>
        <v/>
      </c>
      <c r="BE10" s="134" t="str">
        <f t="shared" si="1"/>
        <v/>
      </c>
      <c r="BF10" s="135" t="str">
        <f t="shared" si="15"/>
        <v/>
      </c>
      <c r="BG10" s="135" t="str">
        <f t="shared" si="15"/>
        <v/>
      </c>
      <c r="BH10" s="136"/>
      <c r="BI10" s="137"/>
      <c r="BJ10" s="136"/>
      <c r="BK10" s="136"/>
      <c r="BL10" s="136"/>
      <c r="BM10" s="137"/>
      <c r="BN10" s="136"/>
      <c r="BO10" s="137"/>
      <c r="BP10" s="165" t="s">
        <v>4296</v>
      </c>
      <c r="BQ10" s="176"/>
      <c r="BR10" s="176"/>
      <c r="BS10" s="176"/>
      <c r="BT10" s="75"/>
      <c r="BU10" s="731"/>
      <c r="BV10" s="731"/>
      <c r="BW10" s="731"/>
      <c r="BX10" s="732">
        <f t="shared" si="16"/>
        <v>0</v>
      </c>
      <c r="BY10" s="732">
        <f t="shared" si="17"/>
        <v>0</v>
      </c>
      <c r="BZ10" s="732">
        <f t="shared" si="18"/>
        <v>0</v>
      </c>
      <c r="CA10" s="733"/>
      <c r="CB10" s="732">
        <f t="shared" si="3"/>
        <v>0</v>
      </c>
      <c r="CC10" s="732">
        <f t="shared" si="4"/>
        <v>0</v>
      </c>
      <c r="CD10" s="77"/>
      <c r="CE10" s="134" t="str">
        <f>IF(COUNTIF(CE$7:CE9,B10)&gt;0,"",B10)&amp;""</f>
        <v/>
      </c>
      <c r="CF10" s="138">
        <f t="shared" si="19"/>
        <v>0</v>
      </c>
      <c r="CG10" s="132">
        <f t="shared" si="20"/>
        <v>1</v>
      </c>
      <c r="CH10" s="138">
        <f t="shared" si="21"/>
        <v>0</v>
      </c>
      <c r="CI10" s="132">
        <f t="shared" si="22"/>
        <v>1</v>
      </c>
      <c r="CJ10" s="132">
        <v>1</v>
      </c>
      <c r="CK10" s="134" t="str">
        <f>IFERROR(INDEX(CE$8:CE$27,MATCH(CJ10,IF(CJ$8=0,CI$8:CI$27,CG$8:CG$27),0))&amp;"","")</f>
        <v/>
      </c>
      <c r="CL10" s="146" t="str">
        <f>IF(CK11="","",IF(CK12="","和","、"))</f>
        <v/>
      </c>
    </row>
    <row r="11" s="541" customFormat="1" customHeight="1" spans="1:90">
      <c r="A11" s="123" t="str">
        <f>IF(B11="","",COUNT(A$7:A10)+1)</f>
        <v/>
      </c>
      <c r="B11" s="597"/>
      <c r="C11" s="597"/>
      <c r="D11" s="734"/>
      <c r="E11" s="734"/>
      <c r="F11" s="734"/>
      <c r="G11" s="597"/>
      <c r="H11" s="597"/>
      <c r="I11" s="597"/>
      <c r="J11" s="597"/>
      <c r="K11" s="597"/>
      <c r="L11" s="597"/>
      <c r="M11" s="142"/>
      <c r="N11" s="127" t="str">
        <f>IFERROR(VLOOKUP(M11,参数表!$H$2:$I$50,2,FALSE),"")</f>
        <v/>
      </c>
      <c r="O11" s="128" t="str">
        <f t="shared" si="6"/>
        <v/>
      </c>
      <c r="P11" s="128" t="str">
        <f t="shared" si="7"/>
        <v/>
      </c>
      <c r="Q11" s="128" t="str">
        <f t="shared" si="8"/>
        <v/>
      </c>
      <c r="R11" s="600"/>
      <c r="S11" s="600"/>
      <c r="T11" s="600"/>
      <c r="U11" s="601"/>
      <c r="V11" s="601"/>
      <c r="W11" s="601"/>
      <c r="X11" s="589" t="str">
        <f t="shared" si="9"/>
        <v/>
      </c>
      <c r="Y11" s="589" t="str">
        <f t="shared" si="10"/>
        <v/>
      </c>
      <c r="Z11" s="589" t="str">
        <f t="shared" si="11"/>
        <v/>
      </c>
      <c r="AA11" s="589">
        <f t="shared" si="12"/>
        <v>0</v>
      </c>
      <c r="AB11" s="589">
        <f t="shared" si="13"/>
        <v>0</v>
      </c>
      <c r="AC11" s="589" t="str">
        <f t="shared" si="14"/>
        <v/>
      </c>
      <c r="AD11" s="602"/>
      <c r="BA11" s="78"/>
      <c r="BB11" s="132" t="s">
        <v>4299</v>
      </c>
      <c r="BC11" s="133"/>
      <c r="BD11" s="132" t="str">
        <f>IF(OR(C11="",BC11=""),"",COUNTIF(BC$8:BC11,"√"))</f>
        <v/>
      </c>
      <c r="BE11" s="134" t="str">
        <f t="shared" si="1"/>
        <v/>
      </c>
      <c r="BF11" s="135" t="str">
        <f t="shared" si="15"/>
        <v/>
      </c>
      <c r="BG11" s="135" t="str">
        <f t="shared" si="15"/>
        <v/>
      </c>
      <c r="BH11" s="136"/>
      <c r="BI11" s="137"/>
      <c r="BJ11" s="136"/>
      <c r="BK11" s="136"/>
      <c r="BL11" s="136"/>
      <c r="BM11" s="137"/>
      <c r="BN11" s="136"/>
      <c r="BO11" s="137"/>
      <c r="BP11" s="165" t="s">
        <v>4296</v>
      </c>
      <c r="BQ11" s="176"/>
      <c r="BR11" s="176"/>
      <c r="BS11" s="176"/>
      <c r="BT11" s="75"/>
      <c r="BU11" s="731"/>
      <c r="BV11" s="731"/>
      <c r="BW11" s="731"/>
      <c r="BX11" s="732">
        <f t="shared" si="16"/>
        <v>0</v>
      </c>
      <c r="BY11" s="732">
        <f t="shared" si="17"/>
        <v>0</v>
      </c>
      <c r="BZ11" s="732">
        <f t="shared" si="18"/>
        <v>0</v>
      </c>
      <c r="CA11" s="733"/>
      <c r="CB11" s="732">
        <f t="shared" si="3"/>
        <v>0</v>
      </c>
      <c r="CC11" s="732">
        <f t="shared" si="4"/>
        <v>0</v>
      </c>
      <c r="CD11" s="77"/>
      <c r="CE11" s="134" t="str">
        <f>IF(COUNTIF(CE$7:CE10,B11)&gt;0,"",B11)&amp;""</f>
        <v/>
      </c>
      <c r="CF11" s="138">
        <f t="shared" si="19"/>
        <v>0</v>
      </c>
      <c r="CG11" s="132">
        <f t="shared" si="20"/>
        <v>1</v>
      </c>
      <c r="CH11" s="138">
        <f t="shared" si="21"/>
        <v>0</v>
      </c>
      <c r="CI11" s="132">
        <f t="shared" si="22"/>
        <v>1</v>
      </c>
      <c r="CJ11" s="132">
        <v>2</v>
      </c>
      <c r="CK11" s="134" t="str">
        <f t="shared" ref="CK11:CK14" si="23">IFERROR(INDEX(CE$8:CE$27,MATCH(CJ11,IF(CJ$8=0,CI$8:CI$27,CG$8:CG$27),0))&amp;"","")</f>
        <v/>
      </c>
      <c r="CL11" s="146" t="str">
        <f t="shared" ref="CL11:CL12" si="24">IF(CK12="","",IF(CK13="","和","、"))</f>
        <v/>
      </c>
    </row>
    <row r="12" s="541" customFormat="1" customHeight="1" spans="1:90">
      <c r="A12" s="123" t="str">
        <f>IF(B12="","",COUNT(A$7:A11)+1)</f>
        <v/>
      </c>
      <c r="B12" s="597"/>
      <c r="C12" s="597"/>
      <c r="D12" s="734"/>
      <c r="E12" s="734"/>
      <c r="F12" s="734"/>
      <c r="G12" s="597"/>
      <c r="H12" s="597"/>
      <c r="I12" s="597"/>
      <c r="J12" s="597"/>
      <c r="K12" s="597"/>
      <c r="L12" s="597"/>
      <c r="M12" s="142"/>
      <c r="N12" s="127" t="str">
        <f>IFERROR(VLOOKUP(M12,参数表!$H$2:$I$50,2,FALSE),"")</f>
        <v/>
      </c>
      <c r="O12" s="128" t="str">
        <f t="shared" si="6"/>
        <v/>
      </c>
      <c r="P12" s="128" t="str">
        <f t="shared" si="7"/>
        <v/>
      </c>
      <c r="Q12" s="128" t="str">
        <f t="shared" si="8"/>
        <v/>
      </c>
      <c r="R12" s="600"/>
      <c r="S12" s="600"/>
      <c r="T12" s="600"/>
      <c r="U12" s="601"/>
      <c r="V12" s="601"/>
      <c r="W12" s="601"/>
      <c r="X12" s="589" t="str">
        <f t="shared" si="9"/>
        <v/>
      </c>
      <c r="Y12" s="589" t="str">
        <f t="shared" si="10"/>
        <v/>
      </c>
      <c r="Z12" s="589" t="str">
        <f t="shared" si="11"/>
        <v/>
      </c>
      <c r="AA12" s="589">
        <f t="shared" si="12"/>
        <v>0</v>
      </c>
      <c r="AB12" s="589">
        <f t="shared" si="13"/>
        <v>0</v>
      </c>
      <c r="AC12" s="589" t="str">
        <f t="shared" si="14"/>
        <v/>
      </c>
      <c r="AD12" s="602"/>
      <c r="BA12" s="78"/>
      <c r="BB12" s="132" t="s">
        <v>4300</v>
      </c>
      <c r="BC12" s="133"/>
      <c r="BD12" s="132" t="str">
        <f>IF(OR(C12="",BC12=""),"",COUNTIF(BC$8:BC12,"√"))</f>
        <v/>
      </c>
      <c r="BE12" s="134" t="str">
        <f t="shared" si="1"/>
        <v/>
      </c>
      <c r="BF12" s="135" t="str">
        <f t="shared" si="15"/>
        <v/>
      </c>
      <c r="BG12" s="135" t="str">
        <f t="shared" si="15"/>
        <v/>
      </c>
      <c r="BH12" s="136"/>
      <c r="BI12" s="137"/>
      <c r="BJ12" s="136"/>
      <c r="BK12" s="136"/>
      <c r="BL12" s="136"/>
      <c r="BM12" s="137"/>
      <c r="BN12" s="136"/>
      <c r="BO12" s="137"/>
      <c r="BP12" s="165" t="s">
        <v>4296</v>
      </c>
      <c r="BQ12" s="176"/>
      <c r="BR12" s="176"/>
      <c r="BS12" s="176"/>
      <c r="BT12" s="75"/>
      <c r="BU12" s="731"/>
      <c r="BV12" s="731"/>
      <c r="BW12" s="731"/>
      <c r="BX12" s="732">
        <f t="shared" si="16"/>
        <v>0</v>
      </c>
      <c r="BY12" s="732">
        <f t="shared" si="17"/>
        <v>0</v>
      </c>
      <c r="BZ12" s="732">
        <f t="shared" si="18"/>
        <v>0</v>
      </c>
      <c r="CA12" s="733"/>
      <c r="CB12" s="732">
        <f t="shared" si="3"/>
        <v>0</v>
      </c>
      <c r="CC12" s="732">
        <f t="shared" si="4"/>
        <v>0</v>
      </c>
      <c r="CD12" s="77"/>
      <c r="CE12" s="134" t="str">
        <f>IF(COUNTIF(CE$7:CE11,B12)&gt;0,"",B12)&amp;""</f>
        <v/>
      </c>
      <c r="CF12" s="138">
        <f t="shared" si="19"/>
        <v>0</v>
      </c>
      <c r="CG12" s="132">
        <f t="shared" si="20"/>
        <v>1</v>
      </c>
      <c r="CH12" s="138">
        <f t="shared" si="21"/>
        <v>0</v>
      </c>
      <c r="CI12" s="132">
        <f t="shared" si="22"/>
        <v>1</v>
      </c>
      <c r="CJ12" s="132">
        <v>3</v>
      </c>
      <c r="CK12" s="134" t="str">
        <f t="shared" si="23"/>
        <v/>
      </c>
      <c r="CL12" s="146" t="str">
        <f t="shared" si="24"/>
        <v/>
      </c>
    </row>
    <row r="13" s="541" customFormat="1" customHeight="1" spans="1:90">
      <c r="A13" s="123" t="str">
        <f>IF(B13="","",COUNT(A$7:A12)+1)</f>
        <v/>
      </c>
      <c r="B13" s="597"/>
      <c r="C13" s="597"/>
      <c r="D13" s="734"/>
      <c r="E13" s="734"/>
      <c r="F13" s="734"/>
      <c r="G13" s="597"/>
      <c r="H13" s="597"/>
      <c r="I13" s="597"/>
      <c r="J13" s="597"/>
      <c r="K13" s="597"/>
      <c r="L13" s="597"/>
      <c r="M13" s="142"/>
      <c r="N13" s="127" t="str">
        <f>IFERROR(VLOOKUP(M13,参数表!$H$2:$I$50,2,FALSE),"")</f>
        <v/>
      </c>
      <c r="O13" s="128" t="str">
        <f t="shared" si="6"/>
        <v/>
      </c>
      <c r="P13" s="128" t="str">
        <f t="shared" si="7"/>
        <v/>
      </c>
      <c r="Q13" s="128" t="str">
        <f t="shared" si="8"/>
        <v/>
      </c>
      <c r="R13" s="600"/>
      <c r="S13" s="600"/>
      <c r="T13" s="600"/>
      <c r="U13" s="601"/>
      <c r="V13" s="601"/>
      <c r="W13" s="601"/>
      <c r="X13" s="589" t="str">
        <f t="shared" si="9"/>
        <v/>
      </c>
      <c r="Y13" s="589" t="str">
        <f t="shared" si="10"/>
        <v/>
      </c>
      <c r="Z13" s="589" t="str">
        <f t="shared" si="11"/>
        <v/>
      </c>
      <c r="AA13" s="589">
        <f t="shared" si="12"/>
        <v>0</v>
      </c>
      <c r="AB13" s="589">
        <f t="shared" si="13"/>
        <v>0</v>
      </c>
      <c r="AC13" s="589" t="str">
        <f t="shared" si="14"/>
        <v/>
      </c>
      <c r="AD13" s="602"/>
      <c r="BA13" s="78"/>
      <c r="BB13" s="132" t="s">
        <v>4301</v>
      </c>
      <c r="BC13" s="133"/>
      <c r="BD13" s="132" t="str">
        <f>IF(OR(C13="",BC13=""),"",COUNTIF(BC$8:BC13,"√"))</f>
        <v/>
      </c>
      <c r="BE13" s="134" t="str">
        <f t="shared" si="1"/>
        <v/>
      </c>
      <c r="BF13" s="135" t="str">
        <f t="shared" si="15"/>
        <v/>
      </c>
      <c r="BG13" s="135" t="str">
        <f t="shared" si="15"/>
        <v/>
      </c>
      <c r="BH13" s="136"/>
      <c r="BI13" s="137"/>
      <c r="BJ13" s="136"/>
      <c r="BK13" s="136"/>
      <c r="BL13" s="136"/>
      <c r="BM13" s="137"/>
      <c r="BN13" s="136"/>
      <c r="BO13" s="137"/>
      <c r="BP13" s="165" t="s">
        <v>4296</v>
      </c>
      <c r="BQ13" s="176"/>
      <c r="BR13" s="176"/>
      <c r="BS13" s="176"/>
      <c r="BT13" s="75"/>
      <c r="BU13" s="731"/>
      <c r="BV13" s="731"/>
      <c r="BW13" s="731"/>
      <c r="BX13" s="732">
        <f t="shared" si="16"/>
        <v>0</v>
      </c>
      <c r="BY13" s="732">
        <f t="shared" si="17"/>
        <v>0</v>
      </c>
      <c r="BZ13" s="732">
        <f t="shared" si="18"/>
        <v>0</v>
      </c>
      <c r="CA13" s="733"/>
      <c r="CB13" s="732">
        <f t="shared" si="3"/>
        <v>0</v>
      </c>
      <c r="CC13" s="732">
        <f t="shared" si="4"/>
        <v>0</v>
      </c>
      <c r="CD13" s="77"/>
      <c r="CE13" s="134" t="str">
        <f>IF(COUNTIF(CE$7:CE12,B13)&gt;0,"",B13)&amp;""</f>
        <v/>
      </c>
      <c r="CF13" s="138">
        <f t="shared" si="19"/>
        <v>0</v>
      </c>
      <c r="CG13" s="132">
        <f t="shared" si="20"/>
        <v>1</v>
      </c>
      <c r="CH13" s="138">
        <f t="shared" si="21"/>
        <v>0</v>
      </c>
      <c r="CI13" s="132">
        <f t="shared" si="22"/>
        <v>1</v>
      </c>
      <c r="CJ13" s="132">
        <v>4</v>
      </c>
      <c r="CK13" s="134" t="str">
        <f t="shared" si="23"/>
        <v/>
      </c>
      <c r="CL13" s="146" t="str">
        <f>IF(CK14="","","和")</f>
        <v/>
      </c>
    </row>
    <row r="14" s="541" customFormat="1" customHeight="1" spans="1:90">
      <c r="A14" s="123" t="str">
        <f>IF(B14="","",COUNT(A$7:A13)+1)</f>
        <v/>
      </c>
      <c r="B14" s="597"/>
      <c r="C14" s="597"/>
      <c r="D14" s="734"/>
      <c r="E14" s="734"/>
      <c r="F14" s="734"/>
      <c r="G14" s="597"/>
      <c r="H14" s="597"/>
      <c r="I14" s="597"/>
      <c r="J14" s="597"/>
      <c r="K14" s="597"/>
      <c r="L14" s="597"/>
      <c r="M14" s="142"/>
      <c r="N14" s="127" t="str">
        <f>IFERROR(VLOOKUP(M14,参数表!$H$2:$I$50,2,FALSE),"")</f>
        <v/>
      </c>
      <c r="O14" s="128" t="str">
        <f t="shared" si="6"/>
        <v/>
      </c>
      <c r="P14" s="128" t="str">
        <f t="shared" si="7"/>
        <v/>
      </c>
      <c r="Q14" s="128" t="str">
        <f t="shared" si="8"/>
        <v/>
      </c>
      <c r="R14" s="600"/>
      <c r="S14" s="600"/>
      <c r="T14" s="600"/>
      <c r="U14" s="601"/>
      <c r="V14" s="601"/>
      <c r="W14" s="601"/>
      <c r="X14" s="589" t="str">
        <f t="shared" si="9"/>
        <v/>
      </c>
      <c r="Y14" s="589" t="str">
        <f t="shared" si="10"/>
        <v/>
      </c>
      <c r="Z14" s="589" t="str">
        <f t="shared" si="11"/>
        <v/>
      </c>
      <c r="AA14" s="589">
        <f t="shared" si="12"/>
        <v>0</v>
      </c>
      <c r="AB14" s="589">
        <f t="shared" si="13"/>
        <v>0</v>
      </c>
      <c r="AC14" s="589" t="str">
        <f t="shared" si="14"/>
        <v/>
      </c>
      <c r="AD14" s="602"/>
      <c r="BA14" s="78"/>
      <c r="BB14" s="132" t="s">
        <v>4302</v>
      </c>
      <c r="BC14" s="133"/>
      <c r="BD14" s="132" t="str">
        <f>IF(OR(C14="",BC14=""),"",COUNTIF(BC$8:BC14,"√"))</f>
        <v/>
      </c>
      <c r="BE14" s="134" t="str">
        <f t="shared" si="1"/>
        <v/>
      </c>
      <c r="BF14" s="135" t="str">
        <f t="shared" si="15"/>
        <v/>
      </c>
      <c r="BG14" s="135" t="str">
        <f t="shared" si="15"/>
        <v/>
      </c>
      <c r="BH14" s="136"/>
      <c r="BI14" s="137"/>
      <c r="BJ14" s="136"/>
      <c r="BK14" s="136"/>
      <c r="BL14" s="136"/>
      <c r="BM14" s="137"/>
      <c r="BN14" s="136"/>
      <c r="BO14" s="137"/>
      <c r="BP14" s="165" t="s">
        <v>4296</v>
      </c>
      <c r="BQ14" s="176"/>
      <c r="BR14" s="176"/>
      <c r="BS14" s="176"/>
      <c r="BT14" s="75"/>
      <c r="BU14" s="731"/>
      <c r="BV14" s="731"/>
      <c r="BW14" s="731"/>
      <c r="BX14" s="732">
        <f t="shared" si="16"/>
        <v>0</v>
      </c>
      <c r="BY14" s="732">
        <f t="shared" si="17"/>
        <v>0</v>
      </c>
      <c r="BZ14" s="732">
        <f t="shared" si="18"/>
        <v>0</v>
      </c>
      <c r="CA14" s="733"/>
      <c r="CB14" s="732">
        <f t="shared" si="3"/>
        <v>0</v>
      </c>
      <c r="CC14" s="732">
        <f t="shared" si="4"/>
        <v>0</v>
      </c>
      <c r="CD14" s="77"/>
      <c r="CE14" s="134" t="str">
        <f>IF(COUNTIF(CE$7:CE13,B14)&gt;0,"",B14)&amp;""</f>
        <v/>
      </c>
      <c r="CF14" s="138">
        <f t="shared" si="19"/>
        <v>0</v>
      </c>
      <c r="CG14" s="132">
        <f t="shared" si="20"/>
        <v>1</v>
      </c>
      <c r="CH14" s="138">
        <f t="shared" si="21"/>
        <v>0</v>
      </c>
      <c r="CI14" s="132">
        <f t="shared" si="22"/>
        <v>1</v>
      </c>
      <c r="CJ14" s="132">
        <v>5</v>
      </c>
      <c r="CK14" s="134" t="str">
        <f t="shared" si="23"/>
        <v/>
      </c>
      <c r="CL14" s="146"/>
    </row>
    <row r="15" s="541" customFormat="1" customHeight="1" spans="1:90">
      <c r="A15" s="123" t="str">
        <f>IF(B15="","",COUNT(A$7:A14)+1)</f>
        <v/>
      </c>
      <c r="B15" s="597"/>
      <c r="C15" s="597"/>
      <c r="D15" s="734"/>
      <c r="E15" s="734"/>
      <c r="F15" s="734"/>
      <c r="G15" s="597"/>
      <c r="H15" s="597"/>
      <c r="I15" s="597"/>
      <c r="J15" s="597"/>
      <c r="K15" s="597"/>
      <c r="L15" s="597"/>
      <c r="M15" s="142"/>
      <c r="N15" s="127" t="str">
        <f>IFERROR(VLOOKUP(M15,参数表!$H$2:$I$50,2,FALSE),"")</f>
        <v/>
      </c>
      <c r="O15" s="128" t="str">
        <f t="shared" si="6"/>
        <v/>
      </c>
      <c r="P15" s="128" t="str">
        <f t="shared" si="7"/>
        <v/>
      </c>
      <c r="Q15" s="128" t="str">
        <f t="shared" si="8"/>
        <v/>
      </c>
      <c r="R15" s="600"/>
      <c r="S15" s="600"/>
      <c r="T15" s="600"/>
      <c r="U15" s="601"/>
      <c r="V15" s="601"/>
      <c r="W15" s="601"/>
      <c r="X15" s="589" t="str">
        <f t="shared" si="9"/>
        <v/>
      </c>
      <c r="Y15" s="589" t="str">
        <f t="shared" si="10"/>
        <v/>
      </c>
      <c r="Z15" s="589" t="str">
        <f t="shared" si="11"/>
        <v/>
      </c>
      <c r="AA15" s="589">
        <f t="shared" si="12"/>
        <v>0</v>
      </c>
      <c r="AB15" s="589">
        <f t="shared" si="13"/>
        <v>0</v>
      </c>
      <c r="AC15" s="589" t="str">
        <f t="shared" si="14"/>
        <v/>
      </c>
      <c r="AD15" s="602"/>
      <c r="BA15" s="78"/>
      <c r="BB15" s="132" t="s">
        <v>4303</v>
      </c>
      <c r="BC15" s="133"/>
      <c r="BD15" s="132" t="str">
        <f>IF(OR(C15="",BC15=""),"",COUNTIF(BC$8:BC15,"√"))</f>
        <v/>
      </c>
      <c r="BE15" s="134" t="str">
        <f t="shared" si="1"/>
        <v/>
      </c>
      <c r="BF15" s="135" t="str">
        <f t="shared" si="15"/>
        <v/>
      </c>
      <c r="BG15" s="135" t="str">
        <f t="shared" si="15"/>
        <v/>
      </c>
      <c r="BH15" s="136"/>
      <c r="BI15" s="137"/>
      <c r="BJ15" s="136"/>
      <c r="BK15" s="136"/>
      <c r="BL15" s="136"/>
      <c r="BM15" s="137"/>
      <c r="BN15" s="136"/>
      <c r="BO15" s="137"/>
      <c r="BP15" s="165" t="s">
        <v>4296</v>
      </c>
      <c r="BQ15" s="176"/>
      <c r="BR15" s="176"/>
      <c r="BS15" s="176"/>
      <c r="BT15" s="75"/>
      <c r="BU15" s="731"/>
      <c r="BV15" s="731"/>
      <c r="BW15" s="731"/>
      <c r="BX15" s="732">
        <f t="shared" si="16"/>
        <v>0</v>
      </c>
      <c r="BY15" s="732">
        <f t="shared" si="17"/>
        <v>0</v>
      </c>
      <c r="BZ15" s="732">
        <f t="shared" si="18"/>
        <v>0</v>
      </c>
      <c r="CA15" s="733"/>
      <c r="CB15" s="732">
        <f t="shared" si="3"/>
        <v>0</v>
      </c>
      <c r="CC15" s="732">
        <f t="shared" si="4"/>
        <v>0</v>
      </c>
      <c r="CD15" s="77"/>
      <c r="CE15" s="134" t="str">
        <f>IF(COUNTIF(CE$7:CE14,B15)&gt;0,"",B15)&amp;""</f>
        <v/>
      </c>
      <c r="CF15" s="138">
        <f t="shared" si="19"/>
        <v>0</v>
      </c>
      <c r="CG15" s="132">
        <f t="shared" si="20"/>
        <v>1</v>
      </c>
      <c r="CH15" s="138">
        <f t="shared" si="21"/>
        <v>0</v>
      </c>
      <c r="CI15" s="132">
        <f t="shared" si="22"/>
        <v>1</v>
      </c>
      <c r="CJ15" s="147" t="s">
        <v>1659</v>
      </c>
      <c r="CK15" s="132" t="str">
        <f>CONCATENATE(CK10,CL10,CK11,CL11,CK12,CL12,CK13,CL13,CK14)</f>
        <v/>
      </c>
      <c r="CL15" s="132"/>
    </row>
    <row r="16" s="541" customFormat="1" customHeight="1" spans="1:90">
      <c r="A16" s="123" t="str">
        <f>IF(B16="","",COUNT(A$7:A15)+1)</f>
        <v/>
      </c>
      <c r="B16" s="597"/>
      <c r="C16" s="597"/>
      <c r="D16" s="734"/>
      <c r="E16" s="734"/>
      <c r="F16" s="734"/>
      <c r="G16" s="597"/>
      <c r="H16" s="597"/>
      <c r="I16" s="597"/>
      <c r="J16" s="597"/>
      <c r="K16" s="597"/>
      <c r="L16" s="597"/>
      <c r="M16" s="142"/>
      <c r="N16" s="127" t="str">
        <f>IFERROR(VLOOKUP(M16,参数表!$H$2:$I$50,2,FALSE),"")</f>
        <v/>
      </c>
      <c r="O16" s="128" t="str">
        <f t="shared" si="6"/>
        <v/>
      </c>
      <c r="P16" s="128" t="str">
        <f t="shared" si="7"/>
        <v/>
      </c>
      <c r="Q16" s="128" t="str">
        <f t="shared" si="8"/>
        <v/>
      </c>
      <c r="R16" s="600"/>
      <c r="S16" s="600"/>
      <c r="T16" s="600"/>
      <c r="U16" s="601"/>
      <c r="V16" s="601"/>
      <c r="W16" s="601"/>
      <c r="X16" s="589" t="str">
        <f t="shared" si="9"/>
        <v/>
      </c>
      <c r="Y16" s="589" t="str">
        <f t="shared" si="10"/>
        <v/>
      </c>
      <c r="Z16" s="589" t="str">
        <f t="shared" si="11"/>
        <v/>
      </c>
      <c r="AA16" s="589">
        <f t="shared" si="12"/>
        <v>0</v>
      </c>
      <c r="AB16" s="589">
        <f t="shared" si="13"/>
        <v>0</v>
      </c>
      <c r="AC16" s="589" t="str">
        <f t="shared" si="14"/>
        <v/>
      </c>
      <c r="AD16" s="602"/>
      <c r="BA16" s="78"/>
      <c r="BB16" s="132" t="s">
        <v>4304</v>
      </c>
      <c r="BC16" s="133"/>
      <c r="BD16" s="132" t="str">
        <f>IF(OR(C16="",BC16=""),"",COUNTIF(BC$8:BC16,"√"))</f>
        <v/>
      </c>
      <c r="BE16" s="134" t="str">
        <f t="shared" si="1"/>
        <v/>
      </c>
      <c r="BF16" s="135" t="str">
        <f t="shared" si="15"/>
        <v/>
      </c>
      <c r="BG16" s="135" t="str">
        <f t="shared" si="15"/>
        <v/>
      </c>
      <c r="BH16" s="136"/>
      <c r="BI16" s="137"/>
      <c r="BJ16" s="136"/>
      <c r="BK16" s="136"/>
      <c r="BL16" s="136"/>
      <c r="BM16" s="137"/>
      <c r="BN16" s="136"/>
      <c r="BO16" s="137"/>
      <c r="BP16" s="165" t="s">
        <v>4296</v>
      </c>
      <c r="BQ16" s="176"/>
      <c r="BR16" s="176"/>
      <c r="BS16" s="176"/>
      <c r="BT16" s="75"/>
      <c r="BU16" s="731"/>
      <c r="BV16" s="731"/>
      <c r="BW16" s="731"/>
      <c r="BX16" s="732">
        <f t="shared" si="16"/>
        <v>0</v>
      </c>
      <c r="BY16" s="732">
        <f t="shared" si="17"/>
        <v>0</v>
      </c>
      <c r="BZ16" s="732">
        <f t="shared" si="18"/>
        <v>0</v>
      </c>
      <c r="CA16" s="733"/>
      <c r="CB16" s="732">
        <f t="shared" si="3"/>
        <v>0</v>
      </c>
      <c r="CC16" s="732">
        <f t="shared" si="4"/>
        <v>0</v>
      </c>
      <c r="CD16" s="77"/>
      <c r="CE16" s="134" t="str">
        <f>IF(COUNTIF(CE$7:CE15,B16)&gt;0,"",B16)&amp;""</f>
        <v/>
      </c>
      <c r="CF16" s="138">
        <f t="shared" si="19"/>
        <v>0</v>
      </c>
      <c r="CG16" s="132">
        <f t="shared" si="20"/>
        <v>1</v>
      </c>
      <c r="CH16" s="138">
        <f t="shared" si="21"/>
        <v>0</v>
      </c>
      <c r="CI16" s="132">
        <f t="shared" si="22"/>
        <v>1</v>
      </c>
      <c r="CJ16" s="133"/>
      <c r="CK16" s="133"/>
      <c r="CL16" s="77"/>
    </row>
    <row r="17" s="541" customFormat="1" customHeight="1" spans="1:90">
      <c r="A17" s="123" t="str">
        <f>IF(B17="","",COUNT(A$7:A16)+1)</f>
        <v/>
      </c>
      <c r="B17" s="597"/>
      <c r="C17" s="597"/>
      <c r="D17" s="734"/>
      <c r="E17" s="734"/>
      <c r="F17" s="734"/>
      <c r="G17" s="597"/>
      <c r="H17" s="597"/>
      <c r="I17" s="597"/>
      <c r="J17" s="597"/>
      <c r="K17" s="597"/>
      <c r="L17" s="597"/>
      <c r="M17" s="142"/>
      <c r="N17" s="127" t="str">
        <f>IFERROR(VLOOKUP(M17,参数表!$H$2:$I$50,2,FALSE),"")</f>
        <v/>
      </c>
      <c r="O17" s="128" t="str">
        <f t="shared" si="6"/>
        <v/>
      </c>
      <c r="P17" s="128" t="str">
        <f t="shared" si="7"/>
        <v/>
      </c>
      <c r="Q17" s="128" t="str">
        <f t="shared" si="8"/>
        <v/>
      </c>
      <c r="R17" s="600"/>
      <c r="S17" s="600"/>
      <c r="T17" s="600"/>
      <c r="U17" s="601"/>
      <c r="V17" s="601"/>
      <c r="W17" s="601"/>
      <c r="X17" s="589" t="str">
        <f t="shared" si="9"/>
        <v/>
      </c>
      <c r="Y17" s="589" t="str">
        <f t="shared" si="10"/>
        <v/>
      </c>
      <c r="Z17" s="589" t="str">
        <f t="shared" si="11"/>
        <v/>
      </c>
      <c r="AA17" s="589">
        <f t="shared" si="12"/>
        <v>0</v>
      </c>
      <c r="AB17" s="589">
        <f t="shared" si="13"/>
        <v>0</v>
      </c>
      <c r="AC17" s="589" t="str">
        <f t="shared" si="14"/>
        <v/>
      </c>
      <c r="AD17" s="602"/>
      <c r="BA17" s="78"/>
      <c r="BB17" s="132" t="s">
        <v>4305</v>
      </c>
      <c r="BC17" s="133"/>
      <c r="BD17" s="132" t="str">
        <f>IF(OR(C17="",BC17=""),"",COUNTIF(BC$8:BC17,"√"))</f>
        <v/>
      </c>
      <c r="BE17" s="134" t="str">
        <f t="shared" si="1"/>
        <v/>
      </c>
      <c r="BF17" s="135" t="str">
        <f t="shared" si="15"/>
        <v/>
      </c>
      <c r="BG17" s="135" t="str">
        <f t="shared" si="15"/>
        <v/>
      </c>
      <c r="BH17" s="136"/>
      <c r="BI17" s="137"/>
      <c r="BJ17" s="136"/>
      <c r="BK17" s="136"/>
      <c r="BL17" s="136"/>
      <c r="BM17" s="137"/>
      <c r="BN17" s="136"/>
      <c r="BO17" s="137"/>
      <c r="BP17" s="165" t="s">
        <v>4296</v>
      </c>
      <c r="BQ17" s="176"/>
      <c r="BR17" s="176"/>
      <c r="BS17" s="176"/>
      <c r="BT17" s="75"/>
      <c r="BU17" s="731"/>
      <c r="BV17" s="731"/>
      <c r="BW17" s="731"/>
      <c r="BX17" s="732">
        <f t="shared" si="16"/>
        <v>0</v>
      </c>
      <c r="BY17" s="732">
        <f t="shared" si="17"/>
        <v>0</v>
      </c>
      <c r="BZ17" s="732">
        <f t="shared" si="18"/>
        <v>0</v>
      </c>
      <c r="CA17" s="733"/>
      <c r="CB17" s="732">
        <f t="shared" si="3"/>
        <v>0</v>
      </c>
      <c r="CC17" s="732">
        <f t="shared" si="4"/>
        <v>0</v>
      </c>
      <c r="CD17" s="77"/>
      <c r="CE17" s="134" t="str">
        <f>IF(COUNTIF(CE$7:CE16,B17)&gt;0,"",B17)&amp;""</f>
        <v/>
      </c>
      <c r="CF17" s="138">
        <f t="shared" si="19"/>
        <v>0</v>
      </c>
      <c r="CG17" s="132">
        <f t="shared" si="20"/>
        <v>1</v>
      </c>
      <c r="CH17" s="138">
        <f t="shared" si="21"/>
        <v>0</v>
      </c>
      <c r="CI17" s="132">
        <f t="shared" si="22"/>
        <v>1</v>
      </c>
      <c r="CJ17" s="133"/>
      <c r="CK17" s="148"/>
      <c r="CL17" s="77"/>
    </row>
    <row r="18" s="541" customFormat="1" customHeight="1" spans="1:90">
      <c r="A18" s="123" t="str">
        <f>IF(B18="","",COUNT(A$7:A17)+1)</f>
        <v/>
      </c>
      <c r="B18" s="597"/>
      <c r="C18" s="597"/>
      <c r="D18" s="734"/>
      <c r="E18" s="734"/>
      <c r="F18" s="734"/>
      <c r="G18" s="597"/>
      <c r="H18" s="597"/>
      <c r="I18" s="597"/>
      <c r="J18" s="597"/>
      <c r="K18" s="597"/>
      <c r="L18" s="597"/>
      <c r="M18" s="142"/>
      <c r="N18" s="127" t="str">
        <f>IFERROR(VLOOKUP(M18,参数表!$H$2:$I$50,2,FALSE),"")</f>
        <v/>
      </c>
      <c r="O18" s="128" t="str">
        <f t="shared" si="6"/>
        <v/>
      </c>
      <c r="P18" s="128" t="str">
        <f t="shared" si="7"/>
        <v/>
      </c>
      <c r="Q18" s="128" t="str">
        <f t="shared" si="8"/>
        <v/>
      </c>
      <c r="R18" s="600"/>
      <c r="S18" s="600"/>
      <c r="T18" s="600"/>
      <c r="U18" s="601"/>
      <c r="V18" s="601"/>
      <c r="W18" s="601"/>
      <c r="X18" s="589" t="str">
        <f t="shared" si="9"/>
        <v/>
      </c>
      <c r="Y18" s="589" t="str">
        <f t="shared" si="10"/>
        <v/>
      </c>
      <c r="Z18" s="589" t="str">
        <f t="shared" si="11"/>
        <v/>
      </c>
      <c r="AA18" s="589">
        <f t="shared" si="12"/>
        <v>0</v>
      </c>
      <c r="AB18" s="589">
        <f t="shared" si="13"/>
        <v>0</v>
      </c>
      <c r="AC18" s="589" t="str">
        <f t="shared" si="14"/>
        <v/>
      </c>
      <c r="AD18" s="602"/>
      <c r="BA18" s="78"/>
      <c r="BB18" s="132" t="s">
        <v>4306</v>
      </c>
      <c r="BC18" s="133"/>
      <c r="BD18" s="132" t="str">
        <f>IF(OR(C18="",BC18=""),"",COUNTIF(BC$8:BC18,"√"))</f>
        <v/>
      </c>
      <c r="BE18" s="134" t="str">
        <f t="shared" si="1"/>
        <v/>
      </c>
      <c r="BF18" s="135" t="str">
        <f t="shared" si="15"/>
        <v/>
      </c>
      <c r="BG18" s="135" t="str">
        <f t="shared" si="15"/>
        <v/>
      </c>
      <c r="BH18" s="136"/>
      <c r="BI18" s="137"/>
      <c r="BJ18" s="136"/>
      <c r="BK18" s="136"/>
      <c r="BL18" s="136"/>
      <c r="BM18" s="137"/>
      <c r="BN18" s="136"/>
      <c r="BO18" s="137"/>
      <c r="BP18" s="165" t="s">
        <v>4296</v>
      </c>
      <c r="BQ18" s="176"/>
      <c r="BR18" s="176"/>
      <c r="BS18" s="176"/>
      <c r="BT18" s="75"/>
      <c r="BU18" s="731"/>
      <c r="BV18" s="731"/>
      <c r="BW18" s="731"/>
      <c r="BX18" s="732">
        <f t="shared" si="16"/>
        <v>0</v>
      </c>
      <c r="BY18" s="732">
        <f t="shared" si="17"/>
        <v>0</v>
      </c>
      <c r="BZ18" s="732">
        <f t="shared" si="18"/>
        <v>0</v>
      </c>
      <c r="CA18" s="733"/>
      <c r="CB18" s="732">
        <f t="shared" si="3"/>
        <v>0</v>
      </c>
      <c r="CC18" s="732">
        <f t="shared" si="4"/>
        <v>0</v>
      </c>
      <c r="CD18" s="77"/>
      <c r="CE18" s="134" t="str">
        <f>IF(COUNTIF(CE$7:CE17,B18)&gt;0,"",B18)&amp;""</f>
        <v/>
      </c>
      <c r="CF18" s="138">
        <f t="shared" si="19"/>
        <v>0</v>
      </c>
      <c r="CG18" s="132">
        <f t="shared" si="20"/>
        <v>1</v>
      </c>
      <c r="CH18" s="138">
        <f t="shared" si="21"/>
        <v>0</v>
      </c>
      <c r="CI18" s="132">
        <f t="shared" si="22"/>
        <v>1</v>
      </c>
      <c r="CJ18" s="133"/>
      <c r="CK18" s="133"/>
      <c r="CL18" s="77"/>
    </row>
    <row r="19" s="541" customFormat="1" customHeight="1" spans="1:90">
      <c r="A19" s="123" t="str">
        <f>IF(B19="","",COUNT(A$7:A18)+1)</f>
        <v/>
      </c>
      <c r="B19" s="597"/>
      <c r="C19" s="597"/>
      <c r="D19" s="734"/>
      <c r="E19" s="734"/>
      <c r="F19" s="734"/>
      <c r="G19" s="597"/>
      <c r="H19" s="597"/>
      <c r="I19" s="597"/>
      <c r="J19" s="597"/>
      <c r="K19" s="597"/>
      <c r="L19" s="597"/>
      <c r="M19" s="142"/>
      <c r="N19" s="127" t="str">
        <f>IFERROR(VLOOKUP(M19,参数表!$H$2:$I$50,2,FALSE),"")</f>
        <v/>
      </c>
      <c r="O19" s="128" t="str">
        <f t="shared" si="6"/>
        <v/>
      </c>
      <c r="P19" s="128" t="str">
        <f t="shared" si="7"/>
        <v/>
      </c>
      <c r="Q19" s="128" t="str">
        <f t="shared" si="8"/>
        <v/>
      </c>
      <c r="R19" s="600"/>
      <c r="S19" s="600"/>
      <c r="T19" s="600"/>
      <c r="U19" s="601"/>
      <c r="V19" s="601"/>
      <c r="W19" s="601"/>
      <c r="X19" s="589" t="str">
        <f t="shared" si="9"/>
        <v/>
      </c>
      <c r="Y19" s="589" t="str">
        <f t="shared" si="10"/>
        <v/>
      </c>
      <c r="Z19" s="589" t="str">
        <f t="shared" si="11"/>
        <v/>
      </c>
      <c r="AA19" s="589">
        <f t="shared" si="12"/>
        <v>0</v>
      </c>
      <c r="AB19" s="589">
        <f t="shared" si="13"/>
        <v>0</v>
      </c>
      <c r="AC19" s="589" t="str">
        <f t="shared" si="14"/>
        <v/>
      </c>
      <c r="AD19" s="602"/>
      <c r="BA19" s="78"/>
      <c r="BB19" s="132" t="s">
        <v>4307</v>
      </c>
      <c r="BC19" s="133"/>
      <c r="BD19" s="132" t="str">
        <f>IF(OR(C19="",BC19=""),"",COUNTIF(BC$8:BC19,"√"))</f>
        <v/>
      </c>
      <c r="BE19" s="134" t="str">
        <f t="shared" si="1"/>
        <v/>
      </c>
      <c r="BF19" s="135" t="str">
        <f t="shared" si="15"/>
        <v/>
      </c>
      <c r="BG19" s="135" t="str">
        <f t="shared" si="15"/>
        <v/>
      </c>
      <c r="BH19" s="136"/>
      <c r="BI19" s="137"/>
      <c r="BJ19" s="136"/>
      <c r="BK19" s="136"/>
      <c r="BL19" s="136"/>
      <c r="BM19" s="137"/>
      <c r="BN19" s="136"/>
      <c r="BO19" s="137"/>
      <c r="BP19" s="165" t="s">
        <v>4296</v>
      </c>
      <c r="BQ19" s="176"/>
      <c r="BR19" s="176"/>
      <c r="BS19" s="176"/>
      <c r="BT19" s="75"/>
      <c r="BU19" s="731"/>
      <c r="BV19" s="731"/>
      <c r="BW19" s="731"/>
      <c r="BX19" s="732">
        <f t="shared" si="16"/>
        <v>0</v>
      </c>
      <c r="BY19" s="732">
        <f t="shared" si="17"/>
        <v>0</v>
      </c>
      <c r="BZ19" s="732">
        <f t="shared" si="18"/>
        <v>0</v>
      </c>
      <c r="CA19" s="733"/>
      <c r="CB19" s="732">
        <f t="shared" si="3"/>
        <v>0</v>
      </c>
      <c r="CC19" s="732">
        <f t="shared" si="4"/>
        <v>0</v>
      </c>
      <c r="CD19" s="77"/>
      <c r="CE19" s="134" t="str">
        <f>IF(COUNTIF(CE$7:CE18,B19)&gt;0,"",B19)&amp;""</f>
        <v/>
      </c>
      <c r="CF19" s="138">
        <f t="shared" si="19"/>
        <v>0</v>
      </c>
      <c r="CG19" s="132">
        <f t="shared" si="20"/>
        <v>1</v>
      </c>
      <c r="CH19" s="138">
        <f t="shared" si="21"/>
        <v>0</v>
      </c>
      <c r="CI19" s="132">
        <f t="shared" si="22"/>
        <v>1</v>
      </c>
      <c r="CJ19" s="133"/>
      <c r="CK19" s="133"/>
      <c r="CL19" s="77"/>
    </row>
    <row r="20" s="541" customFormat="1" customHeight="1" spans="1:90">
      <c r="A20" s="123" t="str">
        <f>IF(B20="","",COUNT(A$7:A19)+1)</f>
        <v/>
      </c>
      <c r="B20" s="597"/>
      <c r="C20" s="597"/>
      <c r="D20" s="734"/>
      <c r="E20" s="734"/>
      <c r="F20" s="734"/>
      <c r="G20" s="597"/>
      <c r="H20" s="597"/>
      <c r="I20" s="597"/>
      <c r="J20" s="597"/>
      <c r="K20" s="597"/>
      <c r="L20" s="597"/>
      <c r="M20" s="142"/>
      <c r="N20" s="127" t="str">
        <f>IFERROR(VLOOKUP(M20,参数表!$H$2:$I$50,2,FALSE),"")</f>
        <v/>
      </c>
      <c r="O20" s="128" t="str">
        <f t="shared" si="6"/>
        <v/>
      </c>
      <c r="P20" s="128" t="str">
        <f t="shared" si="7"/>
        <v/>
      </c>
      <c r="Q20" s="128" t="str">
        <f t="shared" si="8"/>
        <v/>
      </c>
      <c r="R20" s="600"/>
      <c r="S20" s="600"/>
      <c r="T20" s="600"/>
      <c r="U20" s="601"/>
      <c r="V20" s="601"/>
      <c r="W20" s="601"/>
      <c r="X20" s="589" t="str">
        <f t="shared" si="9"/>
        <v/>
      </c>
      <c r="Y20" s="589" t="str">
        <f t="shared" si="10"/>
        <v/>
      </c>
      <c r="Z20" s="589" t="str">
        <f t="shared" si="11"/>
        <v/>
      </c>
      <c r="AA20" s="589">
        <f t="shared" si="12"/>
        <v>0</v>
      </c>
      <c r="AB20" s="589">
        <f t="shared" si="13"/>
        <v>0</v>
      </c>
      <c r="AC20" s="589" t="str">
        <f t="shared" si="14"/>
        <v/>
      </c>
      <c r="AD20" s="602"/>
      <c r="BA20" s="78"/>
      <c r="BB20" s="132" t="s">
        <v>4308</v>
      </c>
      <c r="BC20" s="133"/>
      <c r="BD20" s="132" t="str">
        <f>IF(OR(C20="",BC20=""),"",COUNTIF(BC$8:BC20,"√"))</f>
        <v/>
      </c>
      <c r="BE20" s="134" t="str">
        <f t="shared" si="1"/>
        <v/>
      </c>
      <c r="BF20" s="135" t="str">
        <f t="shared" si="15"/>
        <v/>
      </c>
      <c r="BG20" s="135" t="str">
        <f t="shared" si="15"/>
        <v/>
      </c>
      <c r="BH20" s="136"/>
      <c r="BI20" s="137"/>
      <c r="BJ20" s="136"/>
      <c r="BK20" s="136"/>
      <c r="BL20" s="136"/>
      <c r="BM20" s="137"/>
      <c r="BN20" s="136"/>
      <c r="BO20" s="137"/>
      <c r="BP20" s="165" t="s">
        <v>4296</v>
      </c>
      <c r="BQ20" s="176"/>
      <c r="BR20" s="176"/>
      <c r="BS20" s="176"/>
      <c r="BT20" s="75"/>
      <c r="BU20" s="731"/>
      <c r="BV20" s="731"/>
      <c r="BW20" s="731"/>
      <c r="BX20" s="732">
        <f t="shared" si="16"/>
        <v>0</v>
      </c>
      <c r="BY20" s="732">
        <f t="shared" si="17"/>
        <v>0</v>
      </c>
      <c r="BZ20" s="732">
        <f t="shared" si="18"/>
        <v>0</v>
      </c>
      <c r="CA20" s="733"/>
      <c r="CB20" s="732">
        <f t="shared" si="3"/>
        <v>0</v>
      </c>
      <c r="CC20" s="732">
        <f t="shared" si="4"/>
        <v>0</v>
      </c>
      <c r="CD20" s="77"/>
      <c r="CE20" s="134" t="str">
        <f>IF(COUNTIF(CE$7:CE19,B20)&gt;0,"",B20)&amp;""</f>
        <v/>
      </c>
      <c r="CF20" s="138">
        <f t="shared" si="19"/>
        <v>0</v>
      </c>
      <c r="CG20" s="132">
        <f t="shared" si="20"/>
        <v>1</v>
      </c>
      <c r="CH20" s="138">
        <f t="shared" si="21"/>
        <v>0</v>
      </c>
      <c r="CI20" s="132">
        <f t="shared" si="22"/>
        <v>1</v>
      </c>
      <c r="CJ20" s="133"/>
      <c r="CK20" s="133"/>
      <c r="CL20" s="77"/>
    </row>
    <row r="21" s="541" customFormat="1" customHeight="1" spans="1:90">
      <c r="A21" s="123" t="str">
        <f>IF(B21="","",COUNT(A$7:A20)+1)</f>
        <v/>
      </c>
      <c r="B21" s="597"/>
      <c r="C21" s="597"/>
      <c r="D21" s="734"/>
      <c r="E21" s="734"/>
      <c r="F21" s="734"/>
      <c r="G21" s="597"/>
      <c r="H21" s="597"/>
      <c r="I21" s="597"/>
      <c r="J21" s="597"/>
      <c r="K21" s="597"/>
      <c r="L21" s="597"/>
      <c r="M21" s="142"/>
      <c r="N21" s="127" t="str">
        <f>IFERROR(VLOOKUP(M21,参数表!$H$2:$I$50,2,FALSE),"")</f>
        <v/>
      </c>
      <c r="O21" s="128" t="str">
        <f t="shared" si="6"/>
        <v/>
      </c>
      <c r="P21" s="128" t="str">
        <f t="shared" si="7"/>
        <v/>
      </c>
      <c r="Q21" s="128" t="str">
        <f t="shared" si="8"/>
        <v/>
      </c>
      <c r="R21" s="600"/>
      <c r="S21" s="600"/>
      <c r="T21" s="600"/>
      <c r="U21" s="601"/>
      <c r="V21" s="601"/>
      <c r="W21" s="601"/>
      <c r="X21" s="589" t="str">
        <f t="shared" si="9"/>
        <v/>
      </c>
      <c r="Y21" s="589" t="str">
        <f t="shared" si="10"/>
        <v/>
      </c>
      <c r="Z21" s="589" t="str">
        <f t="shared" si="11"/>
        <v/>
      </c>
      <c r="AA21" s="589">
        <f t="shared" si="12"/>
        <v>0</v>
      </c>
      <c r="AB21" s="589">
        <f t="shared" si="13"/>
        <v>0</v>
      </c>
      <c r="AC21" s="589" t="str">
        <f t="shared" si="14"/>
        <v/>
      </c>
      <c r="AD21" s="602"/>
      <c r="BA21" s="78"/>
      <c r="BB21" s="132" t="s">
        <v>4309</v>
      </c>
      <c r="BC21" s="133"/>
      <c r="BD21" s="132" t="str">
        <f>IF(OR(C21="",BC21=""),"",COUNTIF(BC$8:BC21,"√"))</f>
        <v/>
      </c>
      <c r="BE21" s="134" t="str">
        <f t="shared" si="1"/>
        <v/>
      </c>
      <c r="BF21" s="135" t="str">
        <f t="shared" si="15"/>
        <v/>
      </c>
      <c r="BG21" s="135" t="str">
        <f t="shared" si="15"/>
        <v/>
      </c>
      <c r="BH21" s="136"/>
      <c r="BI21" s="137"/>
      <c r="BJ21" s="136"/>
      <c r="BK21" s="136"/>
      <c r="BL21" s="136"/>
      <c r="BM21" s="137"/>
      <c r="BN21" s="136"/>
      <c r="BO21" s="137"/>
      <c r="BP21" s="165" t="s">
        <v>4296</v>
      </c>
      <c r="BQ21" s="176"/>
      <c r="BR21" s="176"/>
      <c r="BS21" s="176"/>
      <c r="BT21" s="75"/>
      <c r="BU21" s="731"/>
      <c r="BV21" s="731"/>
      <c r="BW21" s="731"/>
      <c r="BX21" s="732">
        <f t="shared" si="16"/>
        <v>0</v>
      </c>
      <c r="BY21" s="732">
        <f t="shared" si="17"/>
        <v>0</v>
      </c>
      <c r="BZ21" s="732">
        <f t="shared" si="18"/>
        <v>0</v>
      </c>
      <c r="CA21" s="733"/>
      <c r="CB21" s="732">
        <f t="shared" si="3"/>
        <v>0</v>
      </c>
      <c r="CC21" s="732">
        <f t="shared" si="4"/>
        <v>0</v>
      </c>
      <c r="CD21" s="77"/>
      <c r="CE21" s="134" t="str">
        <f>IF(COUNTIF(CE$7:CE20,B21)&gt;0,"",B21)&amp;""</f>
        <v/>
      </c>
      <c r="CF21" s="138">
        <f t="shared" si="19"/>
        <v>0</v>
      </c>
      <c r="CG21" s="132">
        <f t="shared" si="20"/>
        <v>1</v>
      </c>
      <c r="CH21" s="138">
        <f t="shared" si="21"/>
        <v>0</v>
      </c>
      <c r="CI21" s="132">
        <f t="shared" si="22"/>
        <v>1</v>
      </c>
      <c r="CJ21" s="133"/>
      <c r="CK21" s="133"/>
      <c r="CL21" s="77"/>
    </row>
    <row r="22" s="541" customFormat="1" customHeight="1" spans="1:90">
      <c r="A22" s="123" t="str">
        <f>IF(B22="","",COUNT(A$7:A21)+1)</f>
        <v/>
      </c>
      <c r="B22" s="597"/>
      <c r="C22" s="597"/>
      <c r="D22" s="734"/>
      <c r="E22" s="734"/>
      <c r="F22" s="734"/>
      <c r="G22" s="597"/>
      <c r="H22" s="597"/>
      <c r="I22" s="597"/>
      <c r="J22" s="597"/>
      <c r="K22" s="597"/>
      <c r="L22" s="597"/>
      <c r="M22" s="142"/>
      <c r="N22" s="127" t="str">
        <f>IFERROR(VLOOKUP(M22,参数表!$H$2:$I$50,2,FALSE),"")</f>
        <v/>
      </c>
      <c r="O22" s="128" t="str">
        <f t="shared" si="6"/>
        <v/>
      </c>
      <c r="P22" s="128" t="str">
        <f t="shared" si="7"/>
        <v/>
      </c>
      <c r="Q22" s="128" t="str">
        <f t="shared" si="8"/>
        <v/>
      </c>
      <c r="R22" s="600"/>
      <c r="S22" s="600"/>
      <c r="T22" s="600"/>
      <c r="U22" s="601"/>
      <c r="V22" s="601"/>
      <c r="W22" s="601"/>
      <c r="X22" s="589" t="str">
        <f t="shared" si="9"/>
        <v/>
      </c>
      <c r="Y22" s="589" t="str">
        <f t="shared" si="10"/>
        <v/>
      </c>
      <c r="Z22" s="589" t="str">
        <f t="shared" si="11"/>
        <v/>
      </c>
      <c r="AA22" s="589">
        <f t="shared" si="12"/>
        <v>0</v>
      </c>
      <c r="AB22" s="589">
        <f t="shared" si="13"/>
        <v>0</v>
      </c>
      <c r="AC22" s="589" t="str">
        <f t="shared" si="14"/>
        <v/>
      </c>
      <c r="AD22" s="602"/>
      <c r="BA22" s="78"/>
      <c r="BB22" s="132" t="s">
        <v>4310</v>
      </c>
      <c r="BC22" s="133"/>
      <c r="BD22" s="132" t="str">
        <f>IF(OR(C22="",BC22=""),"",COUNTIF(BC$8:BC22,"√"))</f>
        <v/>
      </c>
      <c r="BE22" s="134" t="str">
        <f t="shared" si="1"/>
        <v/>
      </c>
      <c r="BF22" s="135" t="str">
        <f t="shared" si="15"/>
        <v/>
      </c>
      <c r="BG22" s="135" t="str">
        <f t="shared" si="15"/>
        <v/>
      </c>
      <c r="BH22" s="136"/>
      <c r="BI22" s="137"/>
      <c r="BJ22" s="136"/>
      <c r="BK22" s="136"/>
      <c r="BL22" s="136"/>
      <c r="BM22" s="137"/>
      <c r="BN22" s="136"/>
      <c r="BO22" s="137"/>
      <c r="BP22" s="165" t="s">
        <v>4296</v>
      </c>
      <c r="BQ22" s="176"/>
      <c r="BR22" s="176"/>
      <c r="BS22" s="176"/>
      <c r="BT22" s="75"/>
      <c r="BU22" s="731"/>
      <c r="BV22" s="731"/>
      <c r="BW22" s="731"/>
      <c r="BX22" s="732">
        <f t="shared" si="16"/>
        <v>0</v>
      </c>
      <c r="BY22" s="732">
        <f t="shared" si="17"/>
        <v>0</v>
      </c>
      <c r="BZ22" s="732">
        <f t="shared" si="18"/>
        <v>0</v>
      </c>
      <c r="CA22" s="733"/>
      <c r="CB22" s="732">
        <f t="shared" si="3"/>
        <v>0</v>
      </c>
      <c r="CC22" s="732">
        <f t="shared" si="4"/>
        <v>0</v>
      </c>
      <c r="CD22" s="77"/>
      <c r="CE22" s="134" t="str">
        <f>IF(COUNTIF(CE$7:CE21,B22)&gt;0,"",B22)&amp;""</f>
        <v/>
      </c>
      <c r="CF22" s="138">
        <f t="shared" si="19"/>
        <v>0</v>
      </c>
      <c r="CG22" s="132">
        <f t="shared" si="20"/>
        <v>1</v>
      </c>
      <c r="CH22" s="138">
        <f t="shared" si="21"/>
        <v>0</v>
      </c>
      <c r="CI22" s="132">
        <f t="shared" si="22"/>
        <v>1</v>
      </c>
      <c r="CJ22" s="133"/>
      <c r="CK22" s="133"/>
      <c r="CL22" s="77"/>
    </row>
    <row r="23" s="541" customFormat="1" customHeight="1" spans="1:90">
      <c r="A23" s="123" t="str">
        <f>IF(B23="","",COUNT(A$7:A22)+1)</f>
        <v/>
      </c>
      <c r="B23" s="597"/>
      <c r="C23" s="597"/>
      <c r="D23" s="734"/>
      <c r="E23" s="734"/>
      <c r="F23" s="734"/>
      <c r="G23" s="597"/>
      <c r="H23" s="597"/>
      <c r="I23" s="597"/>
      <c r="J23" s="597"/>
      <c r="K23" s="597"/>
      <c r="L23" s="597"/>
      <c r="M23" s="142"/>
      <c r="N23" s="127" t="str">
        <f>IFERROR(VLOOKUP(M23,参数表!$H$2:$I$50,2,FALSE),"")</f>
        <v/>
      </c>
      <c r="O23" s="128" t="str">
        <f t="shared" si="6"/>
        <v/>
      </c>
      <c r="P23" s="128" t="str">
        <f t="shared" si="7"/>
        <v/>
      </c>
      <c r="Q23" s="128" t="str">
        <f t="shared" si="8"/>
        <v/>
      </c>
      <c r="R23" s="600"/>
      <c r="S23" s="600"/>
      <c r="T23" s="600"/>
      <c r="U23" s="601"/>
      <c r="V23" s="601"/>
      <c r="W23" s="601"/>
      <c r="X23" s="589" t="str">
        <f t="shared" si="9"/>
        <v/>
      </c>
      <c r="Y23" s="589" t="str">
        <f t="shared" si="10"/>
        <v/>
      </c>
      <c r="Z23" s="589" t="str">
        <f t="shared" si="11"/>
        <v/>
      </c>
      <c r="AA23" s="589">
        <f t="shared" si="12"/>
        <v>0</v>
      </c>
      <c r="AB23" s="589">
        <f t="shared" si="13"/>
        <v>0</v>
      </c>
      <c r="AC23" s="589" t="str">
        <f t="shared" si="14"/>
        <v/>
      </c>
      <c r="AD23" s="602"/>
      <c r="BA23" s="78"/>
      <c r="BB23" s="132" t="s">
        <v>4311</v>
      </c>
      <c r="BC23" s="133"/>
      <c r="BD23" s="132" t="str">
        <f>IF(OR(C23="",BC23=""),"",COUNTIF(BC$8:BC23,"√"))</f>
        <v/>
      </c>
      <c r="BE23" s="134" t="str">
        <f t="shared" si="1"/>
        <v/>
      </c>
      <c r="BF23" s="135" t="str">
        <f t="shared" si="15"/>
        <v/>
      </c>
      <c r="BG23" s="135" t="str">
        <f t="shared" si="15"/>
        <v/>
      </c>
      <c r="BH23" s="136"/>
      <c r="BI23" s="137"/>
      <c r="BJ23" s="136"/>
      <c r="BK23" s="136"/>
      <c r="BL23" s="136"/>
      <c r="BM23" s="137"/>
      <c r="BN23" s="136"/>
      <c r="BO23" s="137"/>
      <c r="BP23" s="165" t="s">
        <v>4296</v>
      </c>
      <c r="BQ23" s="176"/>
      <c r="BR23" s="176"/>
      <c r="BS23" s="176"/>
      <c r="BT23" s="75"/>
      <c r="BU23" s="731"/>
      <c r="BV23" s="731"/>
      <c r="BW23" s="731"/>
      <c r="BX23" s="732">
        <f t="shared" si="16"/>
        <v>0</v>
      </c>
      <c r="BY23" s="732">
        <f t="shared" si="17"/>
        <v>0</v>
      </c>
      <c r="BZ23" s="732">
        <f t="shared" si="18"/>
        <v>0</v>
      </c>
      <c r="CA23" s="733"/>
      <c r="CB23" s="732">
        <f t="shared" si="3"/>
        <v>0</v>
      </c>
      <c r="CC23" s="732">
        <f t="shared" si="4"/>
        <v>0</v>
      </c>
      <c r="CD23" s="77"/>
      <c r="CE23" s="134" t="str">
        <f>IF(COUNTIF(CE$7:CE22,B23)&gt;0,"",B23)&amp;""</f>
        <v/>
      </c>
      <c r="CF23" s="138">
        <f t="shared" si="19"/>
        <v>0</v>
      </c>
      <c r="CG23" s="132">
        <f t="shared" si="20"/>
        <v>1</v>
      </c>
      <c r="CH23" s="138">
        <f t="shared" si="21"/>
        <v>0</v>
      </c>
      <c r="CI23" s="132">
        <f t="shared" si="22"/>
        <v>1</v>
      </c>
      <c r="CJ23" s="133"/>
      <c r="CK23" s="133"/>
      <c r="CL23" s="77"/>
    </row>
    <row r="24" s="541" customFormat="1" customHeight="1" spans="1:90">
      <c r="A24" s="123" t="str">
        <f>IF(B24="","",COUNT(A$7:A23)+1)</f>
        <v/>
      </c>
      <c r="B24" s="597"/>
      <c r="C24" s="597"/>
      <c r="D24" s="734"/>
      <c r="E24" s="734"/>
      <c r="F24" s="734"/>
      <c r="G24" s="597"/>
      <c r="H24" s="597"/>
      <c r="I24" s="597"/>
      <c r="J24" s="597"/>
      <c r="K24" s="597"/>
      <c r="L24" s="597"/>
      <c r="M24" s="142"/>
      <c r="N24" s="127" t="str">
        <f>IFERROR(VLOOKUP(M24,参数表!$H$2:$I$50,2,FALSE),"")</f>
        <v/>
      </c>
      <c r="O24" s="128" t="str">
        <f t="shared" si="6"/>
        <v/>
      </c>
      <c r="P24" s="128" t="str">
        <f t="shared" si="7"/>
        <v/>
      </c>
      <c r="Q24" s="128" t="str">
        <f t="shared" si="8"/>
        <v/>
      </c>
      <c r="R24" s="600"/>
      <c r="S24" s="600"/>
      <c r="T24" s="600"/>
      <c r="U24" s="601"/>
      <c r="V24" s="601"/>
      <c r="W24" s="601"/>
      <c r="X24" s="589" t="str">
        <f t="shared" si="9"/>
        <v/>
      </c>
      <c r="Y24" s="589" t="str">
        <f t="shared" si="10"/>
        <v/>
      </c>
      <c r="Z24" s="589" t="str">
        <f t="shared" si="11"/>
        <v/>
      </c>
      <c r="AA24" s="589">
        <f t="shared" si="12"/>
        <v>0</v>
      </c>
      <c r="AB24" s="589">
        <f t="shared" si="13"/>
        <v>0</v>
      </c>
      <c r="AC24" s="589" t="str">
        <f t="shared" si="14"/>
        <v/>
      </c>
      <c r="AD24" s="602"/>
      <c r="BA24" s="78"/>
      <c r="BB24" s="132" t="s">
        <v>4312</v>
      </c>
      <c r="BC24" s="133"/>
      <c r="BD24" s="132" t="str">
        <f>IF(OR(C24="",BC24=""),"",COUNTIF(BC$8:BC24,"√"))</f>
        <v/>
      </c>
      <c r="BE24" s="134" t="str">
        <f t="shared" si="1"/>
        <v/>
      </c>
      <c r="BF24" s="135" t="str">
        <f t="shared" si="15"/>
        <v/>
      </c>
      <c r="BG24" s="135" t="str">
        <f t="shared" si="15"/>
        <v/>
      </c>
      <c r="BH24" s="136"/>
      <c r="BI24" s="137"/>
      <c r="BJ24" s="136"/>
      <c r="BK24" s="136"/>
      <c r="BL24" s="136"/>
      <c r="BM24" s="137"/>
      <c r="BN24" s="136"/>
      <c r="BO24" s="137"/>
      <c r="BP24" s="165" t="s">
        <v>4296</v>
      </c>
      <c r="BQ24" s="176"/>
      <c r="BR24" s="176"/>
      <c r="BS24" s="176"/>
      <c r="BT24" s="75"/>
      <c r="BU24" s="731"/>
      <c r="BV24" s="731"/>
      <c r="BW24" s="731"/>
      <c r="BX24" s="732">
        <f t="shared" si="16"/>
        <v>0</v>
      </c>
      <c r="BY24" s="732">
        <f t="shared" si="17"/>
        <v>0</v>
      </c>
      <c r="BZ24" s="732">
        <f t="shared" si="18"/>
        <v>0</v>
      </c>
      <c r="CA24" s="733"/>
      <c r="CB24" s="732">
        <f t="shared" si="3"/>
        <v>0</v>
      </c>
      <c r="CC24" s="732">
        <f t="shared" si="4"/>
        <v>0</v>
      </c>
      <c r="CD24" s="77"/>
      <c r="CE24" s="134" t="str">
        <f>IF(COUNTIF(CE$7:CE23,B24)&gt;0,"",B24)&amp;""</f>
        <v/>
      </c>
      <c r="CF24" s="138">
        <f t="shared" si="19"/>
        <v>0</v>
      </c>
      <c r="CG24" s="132">
        <f t="shared" si="20"/>
        <v>1</v>
      </c>
      <c r="CH24" s="138">
        <f t="shared" si="21"/>
        <v>0</v>
      </c>
      <c r="CI24" s="132">
        <f t="shared" si="22"/>
        <v>1</v>
      </c>
      <c r="CJ24" s="133"/>
      <c r="CK24" s="133"/>
      <c r="CL24" s="77"/>
    </row>
    <row r="25" s="541" customFormat="1" customHeight="1" spans="1:90">
      <c r="A25" s="123" t="str">
        <f>IF(B25="","",COUNT(A$7:A24)+1)</f>
        <v/>
      </c>
      <c r="B25" s="597"/>
      <c r="C25" s="597"/>
      <c r="D25" s="734"/>
      <c r="E25" s="734"/>
      <c r="F25" s="734"/>
      <c r="G25" s="597"/>
      <c r="H25" s="597"/>
      <c r="I25" s="597"/>
      <c r="J25" s="597"/>
      <c r="K25" s="597"/>
      <c r="L25" s="597"/>
      <c r="M25" s="142"/>
      <c r="N25" s="127" t="str">
        <f>IFERROR(VLOOKUP(M25,参数表!$H$2:$I$50,2,FALSE),"")</f>
        <v/>
      </c>
      <c r="O25" s="128" t="str">
        <f t="shared" si="6"/>
        <v/>
      </c>
      <c r="P25" s="128" t="str">
        <f t="shared" si="7"/>
        <v/>
      </c>
      <c r="Q25" s="128" t="str">
        <f t="shared" si="8"/>
        <v/>
      </c>
      <c r="R25" s="600"/>
      <c r="S25" s="600"/>
      <c r="T25" s="600"/>
      <c r="U25" s="601"/>
      <c r="V25" s="601"/>
      <c r="W25" s="601"/>
      <c r="X25" s="589" t="str">
        <f t="shared" si="9"/>
        <v/>
      </c>
      <c r="Y25" s="589" t="str">
        <f t="shared" si="10"/>
        <v/>
      </c>
      <c r="Z25" s="589" t="str">
        <f t="shared" si="11"/>
        <v/>
      </c>
      <c r="AA25" s="589">
        <f t="shared" si="12"/>
        <v>0</v>
      </c>
      <c r="AB25" s="589">
        <f t="shared" si="13"/>
        <v>0</v>
      </c>
      <c r="AC25" s="589" t="str">
        <f t="shared" si="14"/>
        <v/>
      </c>
      <c r="AD25" s="602"/>
      <c r="BA25" s="78"/>
      <c r="BB25" s="132" t="s">
        <v>4313</v>
      </c>
      <c r="BC25" s="133"/>
      <c r="BD25" s="132" t="str">
        <f>IF(OR(C25="",BC25=""),"",COUNTIF(BC$8:BC25,"√"))</f>
        <v/>
      </c>
      <c r="BE25" s="134" t="str">
        <f t="shared" si="1"/>
        <v/>
      </c>
      <c r="BF25" s="135" t="str">
        <f t="shared" si="15"/>
        <v/>
      </c>
      <c r="BG25" s="135" t="str">
        <f t="shared" si="15"/>
        <v/>
      </c>
      <c r="BH25" s="136"/>
      <c r="BI25" s="137"/>
      <c r="BJ25" s="136"/>
      <c r="BK25" s="136"/>
      <c r="BL25" s="136"/>
      <c r="BM25" s="137"/>
      <c r="BN25" s="136"/>
      <c r="BO25" s="137"/>
      <c r="BP25" s="165" t="s">
        <v>4296</v>
      </c>
      <c r="BQ25" s="176"/>
      <c r="BR25" s="176"/>
      <c r="BS25" s="176"/>
      <c r="BT25" s="75"/>
      <c r="BU25" s="731"/>
      <c r="BV25" s="731"/>
      <c r="BW25" s="731"/>
      <c r="BX25" s="732">
        <f t="shared" si="16"/>
        <v>0</v>
      </c>
      <c r="BY25" s="732">
        <f t="shared" si="17"/>
        <v>0</v>
      </c>
      <c r="BZ25" s="732">
        <f t="shared" si="18"/>
        <v>0</v>
      </c>
      <c r="CA25" s="733"/>
      <c r="CB25" s="732">
        <f t="shared" si="3"/>
        <v>0</v>
      </c>
      <c r="CC25" s="732">
        <f t="shared" si="4"/>
        <v>0</v>
      </c>
      <c r="CD25" s="77"/>
      <c r="CE25" s="134" t="str">
        <f>IF(COUNTIF(CE$7:CE24,B25)&gt;0,"",B25)&amp;""</f>
        <v/>
      </c>
      <c r="CF25" s="138">
        <f t="shared" si="19"/>
        <v>0</v>
      </c>
      <c r="CG25" s="132">
        <f t="shared" si="20"/>
        <v>1</v>
      </c>
      <c r="CH25" s="138">
        <f t="shared" si="21"/>
        <v>0</v>
      </c>
      <c r="CI25" s="132">
        <f t="shared" si="22"/>
        <v>1</v>
      </c>
      <c r="CJ25" s="133"/>
      <c r="CK25" s="133"/>
      <c r="CL25" s="77"/>
    </row>
    <row r="26" s="541" customFormat="1" customHeight="1" spans="1:90">
      <c r="A26" s="123" t="str">
        <f>IF(B26="","",COUNT(A$7:A25)+1)</f>
        <v/>
      </c>
      <c r="B26" s="597"/>
      <c r="C26" s="597"/>
      <c r="D26" s="734"/>
      <c r="E26" s="734"/>
      <c r="F26" s="734"/>
      <c r="G26" s="597"/>
      <c r="H26" s="597"/>
      <c r="I26" s="597"/>
      <c r="J26" s="597"/>
      <c r="K26" s="597"/>
      <c r="L26" s="597"/>
      <c r="M26" s="142"/>
      <c r="N26" s="127" t="str">
        <f>IFERROR(VLOOKUP(M26,参数表!$H$2:$I$50,2,FALSE),"")</f>
        <v/>
      </c>
      <c r="O26" s="128" t="str">
        <f t="shared" si="6"/>
        <v/>
      </c>
      <c r="P26" s="128" t="str">
        <f t="shared" si="7"/>
        <v/>
      </c>
      <c r="Q26" s="128" t="str">
        <f t="shared" si="8"/>
        <v/>
      </c>
      <c r="R26" s="600"/>
      <c r="S26" s="600"/>
      <c r="T26" s="600"/>
      <c r="U26" s="601"/>
      <c r="V26" s="601"/>
      <c r="W26" s="601"/>
      <c r="X26" s="589" t="str">
        <f t="shared" si="9"/>
        <v/>
      </c>
      <c r="Y26" s="589" t="str">
        <f t="shared" si="10"/>
        <v/>
      </c>
      <c r="Z26" s="589" t="str">
        <f t="shared" si="11"/>
        <v/>
      </c>
      <c r="AA26" s="589">
        <f t="shared" si="12"/>
        <v>0</v>
      </c>
      <c r="AB26" s="589">
        <f t="shared" si="13"/>
        <v>0</v>
      </c>
      <c r="AC26" s="589" t="str">
        <f t="shared" si="14"/>
        <v/>
      </c>
      <c r="AD26" s="602"/>
      <c r="BA26" s="78"/>
      <c r="BB26" s="132" t="s">
        <v>4314</v>
      </c>
      <c r="BC26" s="133"/>
      <c r="BD26" s="132" t="str">
        <f>IF(OR(C26="",BC26=""),"",COUNTIF(BC$8:BC26,"√"))</f>
        <v/>
      </c>
      <c r="BE26" s="134" t="str">
        <f t="shared" si="1"/>
        <v/>
      </c>
      <c r="BF26" s="135" t="str">
        <f t="shared" si="15"/>
        <v/>
      </c>
      <c r="BG26" s="135" t="str">
        <f t="shared" si="15"/>
        <v/>
      </c>
      <c r="BH26" s="136"/>
      <c r="BI26" s="137"/>
      <c r="BJ26" s="136"/>
      <c r="BK26" s="136"/>
      <c r="BL26" s="136"/>
      <c r="BM26" s="137"/>
      <c r="BN26" s="136"/>
      <c r="BO26" s="137"/>
      <c r="BP26" s="165" t="s">
        <v>4296</v>
      </c>
      <c r="BQ26" s="176"/>
      <c r="BR26" s="176"/>
      <c r="BS26" s="176"/>
      <c r="BT26" s="75"/>
      <c r="BU26" s="731"/>
      <c r="BV26" s="731"/>
      <c r="BW26" s="731"/>
      <c r="BX26" s="732">
        <f t="shared" si="16"/>
        <v>0</v>
      </c>
      <c r="BY26" s="732">
        <f t="shared" si="17"/>
        <v>0</v>
      </c>
      <c r="BZ26" s="732">
        <f t="shared" si="18"/>
        <v>0</v>
      </c>
      <c r="CA26" s="733"/>
      <c r="CB26" s="732">
        <f t="shared" si="3"/>
        <v>0</v>
      </c>
      <c r="CC26" s="732">
        <f t="shared" si="4"/>
        <v>0</v>
      </c>
      <c r="CD26" s="77"/>
      <c r="CE26" s="134" t="str">
        <f>IF(COUNTIF(CE$7:CE25,B26)&gt;0,"",B26)&amp;""</f>
        <v/>
      </c>
      <c r="CF26" s="138">
        <f t="shared" si="19"/>
        <v>0</v>
      </c>
      <c r="CG26" s="132">
        <f t="shared" si="20"/>
        <v>1</v>
      </c>
      <c r="CH26" s="138">
        <f t="shared" si="21"/>
        <v>0</v>
      </c>
      <c r="CI26" s="132">
        <f t="shared" si="22"/>
        <v>1</v>
      </c>
      <c r="CJ26" s="133"/>
      <c r="CK26" s="133"/>
      <c r="CL26" s="77"/>
    </row>
    <row r="27" s="541" customFormat="1" customHeight="1" spans="1:90">
      <c r="A27" s="123" t="str">
        <f>IF(B27="","",COUNT(A$7:A26)+1)</f>
        <v/>
      </c>
      <c r="B27" s="604"/>
      <c r="C27" s="604"/>
      <c r="D27" s="735"/>
      <c r="E27" s="735"/>
      <c r="F27" s="735"/>
      <c r="G27" s="604"/>
      <c r="H27" s="604"/>
      <c r="I27" s="604"/>
      <c r="J27" s="604"/>
      <c r="K27" s="604"/>
      <c r="L27" s="604"/>
      <c r="M27" s="127"/>
      <c r="N27" s="127" t="str">
        <f>IFERROR(VLOOKUP(M27,参数表!$H$2:$I$50,2,FALSE),"")</f>
        <v/>
      </c>
      <c r="O27" s="128" t="str">
        <f t="shared" si="6"/>
        <v/>
      </c>
      <c r="P27" s="128" t="str">
        <f t="shared" si="7"/>
        <v/>
      </c>
      <c r="Q27" s="128" t="str">
        <f t="shared" si="8"/>
        <v/>
      </c>
      <c r="R27" s="589"/>
      <c r="S27" s="589"/>
      <c r="T27" s="589"/>
      <c r="U27" s="590"/>
      <c r="V27" s="590"/>
      <c r="W27" s="590"/>
      <c r="X27" s="589" t="str">
        <f t="shared" si="9"/>
        <v/>
      </c>
      <c r="Y27" s="589" t="str">
        <f t="shared" si="10"/>
        <v/>
      </c>
      <c r="Z27" s="589" t="str">
        <f t="shared" si="11"/>
        <v/>
      </c>
      <c r="AA27" s="589">
        <f t="shared" si="12"/>
        <v>0</v>
      </c>
      <c r="AB27" s="589">
        <f t="shared" si="13"/>
        <v>0</v>
      </c>
      <c r="AC27" s="589" t="str">
        <f t="shared" si="14"/>
        <v/>
      </c>
      <c r="AD27" s="607"/>
      <c r="BA27" s="78"/>
      <c r="BB27" s="132" t="s">
        <v>4315</v>
      </c>
      <c r="BC27" s="133"/>
      <c r="BD27" s="132" t="str">
        <f>IF(OR(C27="",BC27=""),"",COUNTIF(BC$8:BC27,"√"))</f>
        <v/>
      </c>
      <c r="BE27" s="134" t="str">
        <f t="shared" si="1"/>
        <v/>
      </c>
      <c r="BF27" s="135" t="str">
        <f t="shared" si="15"/>
        <v/>
      </c>
      <c r="BG27" s="135" t="str">
        <f t="shared" si="15"/>
        <v/>
      </c>
      <c r="BH27" s="136"/>
      <c r="BI27" s="137"/>
      <c r="BJ27" s="136"/>
      <c r="BK27" s="136"/>
      <c r="BL27" s="136"/>
      <c r="BM27" s="137"/>
      <c r="BN27" s="136"/>
      <c r="BO27" s="137"/>
      <c r="BP27" s="165" t="s">
        <v>4296</v>
      </c>
      <c r="BQ27" s="176"/>
      <c r="BR27" s="176"/>
      <c r="BS27" s="176"/>
      <c r="BT27" s="75"/>
      <c r="BU27" s="731"/>
      <c r="BV27" s="731"/>
      <c r="BW27" s="731"/>
      <c r="BX27" s="732">
        <f t="shared" si="16"/>
        <v>0</v>
      </c>
      <c r="BY27" s="732">
        <f t="shared" si="17"/>
        <v>0</v>
      </c>
      <c r="BZ27" s="732">
        <f t="shared" si="18"/>
        <v>0</v>
      </c>
      <c r="CA27" s="733"/>
      <c r="CB27" s="732">
        <f t="shared" si="3"/>
        <v>0</v>
      </c>
      <c r="CC27" s="732">
        <f t="shared" si="4"/>
        <v>0</v>
      </c>
      <c r="CD27" s="77"/>
      <c r="CE27" s="134" t="str">
        <f>IF(COUNTIF(CE$7:CE26,B27)&gt;0,"",B27)&amp;""</f>
        <v/>
      </c>
      <c r="CF27" s="138">
        <f t="shared" si="19"/>
        <v>0</v>
      </c>
      <c r="CG27" s="132">
        <f t="shared" si="20"/>
        <v>1</v>
      </c>
      <c r="CH27" s="138">
        <f t="shared" si="21"/>
        <v>0</v>
      </c>
      <c r="CI27" s="132">
        <f t="shared" si="22"/>
        <v>1</v>
      </c>
      <c r="CJ27" s="133"/>
      <c r="CK27" s="133"/>
      <c r="CL27" s="77"/>
    </row>
    <row r="28" s="544" customFormat="1" customHeight="1" spans="1:90">
      <c r="A28" s="608" t="s">
        <v>1954</v>
      </c>
      <c r="B28" s="609"/>
      <c r="C28" s="609"/>
      <c r="D28" s="610"/>
      <c r="E28" s="736"/>
      <c r="F28" s="736"/>
      <c r="G28" s="621"/>
      <c r="H28" s="621"/>
      <c r="I28" s="621"/>
      <c r="J28" s="621"/>
      <c r="K28" s="621"/>
      <c r="L28" s="621"/>
      <c r="M28" s="737"/>
      <c r="N28" s="737"/>
      <c r="O28" s="737"/>
      <c r="P28" s="737"/>
      <c r="Q28" s="737"/>
      <c r="R28" s="613">
        <f t="shared" ref="R28:T28" si="25">SUM(R8:R27)</f>
        <v>0</v>
      </c>
      <c r="S28" s="613">
        <f t="shared" si="25"/>
        <v>0</v>
      </c>
      <c r="T28" s="613">
        <f t="shared" si="25"/>
        <v>0</v>
      </c>
      <c r="U28" s="614"/>
      <c r="V28" s="614"/>
      <c r="W28" s="614"/>
      <c r="X28" s="613">
        <f t="shared" ref="X28" si="26">SUM(X8:X27)</f>
        <v>0</v>
      </c>
      <c r="Y28" s="613">
        <f t="shared" ref="Y28" si="27">SUM(Y8:Y27)</f>
        <v>0</v>
      </c>
      <c r="Z28" s="613">
        <f t="shared" ref="Z28:AB28" si="28">SUM(Z8:Z27)</f>
        <v>0</v>
      </c>
      <c r="AA28" s="613">
        <f t="shared" si="28"/>
        <v>0</v>
      </c>
      <c r="AB28" s="613">
        <f t="shared" si="28"/>
        <v>0</v>
      </c>
      <c r="AC28" s="613" t="str">
        <f t="shared" si="14"/>
        <v/>
      </c>
      <c r="AD28" s="611"/>
      <c r="BA28" s="73"/>
      <c r="BB28" s="73"/>
      <c r="BC28" s="73"/>
      <c r="BD28" s="73"/>
      <c r="BE28" s="73"/>
      <c r="BF28" s="73"/>
      <c r="BG28" s="73"/>
      <c r="BH28" s="72"/>
      <c r="BI28" s="73"/>
      <c r="BJ28" s="72"/>
      <c r="BK28" s="72"/>
      <c r="BL28" s="72"/>
      <c r="BM28" s="73"/>
      <c r="BN28" s="72"/>
      <c r="BO28" s="73"/>
      <c r="BP28" s="73"/>
      <c r="BQ28" s="738"/>
      <c r="BR28" s="738"/>
      <c r="BS28" s="738"/>
      <c r="BT28" s="73"/>
      <c r="BU28" s="739"/>
      <c r="BV28" s="739"/>
      <c r="BW28" s="739"/>
      <c r="CA28" s="739"/>
      <c r="CD28" s="111"/>
      <c r="CE28" s="119"/>
      <c r="CF28" s="77"/>
      <c r="CG28" s="77"/>
      <c r="CH28" s="77"/>
      <c r="CI28" s="119"/>
      <c r="CJ28" s="119"/>
      <c r="CK28" s="119"/>
      <c r="CL28" s="111"/>
    </row>
    <row r="29" s="544" customFormat="1" customHeight="1" spans="1:90">
      <c r="A29" s="616" t="s">
        <v>4316</v>
      </c>
      <c r="B29" s="617"/>
      <c r="C29" s="617"/>
      <c r="D29" s="618"/>
      <c r="E29" s="740"/>
      <c r="F29" s="740"/>
      <c r="G29" s="621"/>
      <c r="H29" s="621"/>
      <c r="I29" s="621"/>
      <c r="J29" s="621"/>
      <c r="K29" s="621"/>
      <c r="L29" s="621"/>
      <c r="M29" s="737"/>
      <c r="N29" s="737"/>
      <c r="O29" s="737"/>
      <c r="P29" s="737"/>
      <c r="Q29" s="737"/>
      <c r="R29" s="613"/>
      <c r="S29" s="613">
        <f>T28</f>
        <v>0</v>
      </c>
      <c r="T29" s="613"/>
      <c r="U29" s="614"/>
      <c r="V29" s="614"/>
      <c r="W29" s="614"/>
      <c r="X29" s="613"/>
      <c r="Y29" s="613">
        <f>Z28</f>
        <v>0</v>
      </c>
      <c r="Z29" s="613"/>
      <c r="AA29" s="613"/>
      <c r="AB29" s="613"/>
      <c r="AC29" s="613" t="str">
        <f t="shared" si="14"/>
        <v/>
      </c>
      <c r="AD29" s="611"/>
      <c r="BA29" s="73"/>
      <c r="BB29" s="73"/>
      <c r="BC29" s="73"/>
      <c r="BD29" s="73"/>
      <c r="BE29" s="73"/>
      <c r="BF29" s="73"/>
      <c r="BG29" s="73"/>
      <c r="BH29" s="72"/>
      <c r="BI29" s="73"/>
      <c r="BJ29" s="72"/>
      <c r="BK29" s="72"/>
      <c r="BL29" s="72"/>
      <c r="BM29" s="73"/>
      <c r="BN29" s="72"/>
      <c r="BO29" s="73"/>
      <c r="BP29" s="73"/>
      <c r="BQ29" s="738"/>
      <c r="BR29" s="738"/>
      <c r="BS29" s="738"/>
      <c r="BT29" s="73"/>
      <c r="BU29" s="739"/>
      <c r="BV29" s="739"/>
      <c r="BW29" s="739"/>
      <c r="CA29" s="739"/>
      <c r="CD29" s="77"/>
      <c r="CE29" s="78"/>
      <c r="CF29" s="77"/>
      <c r="CG29" s="78"/>
      <c r="CH29" s="78"/>
      <c r="CI29" s="78"/>
      <c r="CJ29" s="78"/>
      <c r="CK29" s="78"/>
      <c r="CL29" s="77"/>
    </row>
    <row r="30" s="698" customFormat="1" customHeight="1" spans="1:90">
      <c r="A30" s="608" t="s">
        <v>4317</v>
      </c>
      <c r="B30" s="609"/>
      <c r="C30" s="609"/>
      <c r="D30" s="610"/>
      <c r="E30" s="736"/>
      <c r="F30" s="736"/>
      <c r="G30" s="621"/>
      <c r="H30" s="621"/>
      <c r="I30" s="621"/>
      <c r="J30" s="621"/>
      <c r="K30" s="621"/>
      <c r="L30" s="621"/>
      <c r="M30" s="741"/>
      <c r="N30" s="741"/>
      <c r="O30" s="741"/>
      <c r="P30" s="741"/>
      <c r="Q30" s="741"/>
      <c r="R30" s="613">
        <f>R28-R29</f>
        <v>0</v>
      </c>
      <c r="S30" s="613">
        <f>S28-S29</f>
        <v>0</v>
      </c>
      <c r="T30" s="613"/>
      <c r="U30" s="614"/>
      <c r="V30" s="614"/>
      <c r="W30" s="614"/>
      <c r="X30" s="613">
        <f>X28-X29</f>
        <v>0</v>
      </c>
      <c r="Y30" s="613">
        <f>Y28-Y29</f>
        <v>0</v>
      </c>
      <c r="Z30" s="613"/>
      <c r="AA30" s="613">
        <f t="shared" ref="AA30:AB30" si="29">AA28-AA29</f>
        <v>0</v>
      </c>
      <c r="AB30" s="613">
        <f t="shared" si="29"/>
        <v>0</v>
      </c>
      <c r="AC30" s="613" t="str">
        <f t="shared" si="14"/>
        <v/>
      </c>
      <c r="AD30" s="611"/>
      <c r="BA30" s="73"/>
      <c r="BB30" s="73"/>
      <c r="BC30" s="73"/>
      <c r="BD30" s="73"/>
      <c r="BE30" s="73"/>
      <c r="BF30" s="73"/>
      <c r="BG30" s="73"/>
      <c r="BH30" s="72"/>
      <c r="BI30" s="73"/>
      <c r="BJ30" s="72"/>
      <c r="BK30" s="72"/>
      <c r="BL30" s="72"/>
      <c r="BM30" s="73"/>
      <c r="BN30" s="72"/>
      <c r="BO30" s="73"/>
      <c r="BP30" s="73"/>
      <c r="BQ30" s="738"/>
      <c r="BR30" s="738"/>
      <c r="BS30" s="738"/>
      <c r="BT30" s="73"/>
      <c r="BU30" s="742"/>
      <c r="BV30" s="742"/>
      <c r="BW30" s="742"/>
      <c r="CA30" s="742"/>
      <c r="CD30" s="77"/>
      <c r="CE30" s="78"/>
      <c r="CF30" s="77"/>
      <c r="CG30" s="78"/>
      <c r="CH30" s="78"/>
      <c r="CI30" s="78"/>
      <c r="CJ30" s="78"/>
      <c r="CK30" s="78"/>
      <c r="CL30" s="77"/>
    </row>
    <row r="31" customHeight="1" spans="1:90">
      <c r="A31" s="624" t="str">
        <f>参数表!F$6</f>
        <v>产权持有单位填表人：贾广东</v>
      </c>
      <c r="B31" s="624"/>
      <c r="C31" s="624"/>
      <c r="D31" s="624"/>
      <c r="E31" s="624"/>
      <c r="F31" s="624"/>
      <c r="G31" s="624"/>
      <c r="H31" s="624"/>
      <c r="I31" s="624"/>
      <c r="J31" s="624"/>
      <c r="K31" s="624"/>
      <c r="L31" s="624"/>
      <c r="M31" s="624"/>
      <c r="N31" s="624"/>
      <c r="O31" s="624"/>
      <c r="P31" s="624"/>
      <c r="Q31" s="624"/>
      <c r="R31" s="624"/>
      <c r="S31" s="624"/>
      <c r="T31" s="625"/>
      <c r="U31" s="625"/>
      <c r="V31" s="625"/>
      <c r="W31" s="625"/>
      <c r="X31" s="625"/>
      <c r="Y31" s="625"/>
      <c r="Z31" s="625"/>
      <c r="AA31" s="625"/>
      <c r="AB31" s="625" t="str">
        <f>机器!AD138</f>
        <v>评估人员：栗祥宁</v>
      </c>
      <c r="AC31" s="627"/>
      <c r="AD31" s="624"/>
    </row>
    <row r="32" customHeight="1" spans="1:90">
      <c r="A32" s="624" t="str">
        <f>参数表!F$7</f>
        <v>填表日期：2025年9月20日</v>
      </c>
      <c r="B32" s="624"/>
      <c r="C32" s="624"/>
      <c r="D32" s="624"/>
      <c r="E32" s="624"/>
      <c r="F32" s="624"/>
      <c r="G32" s="624"/>
      <c r="H32" s="624"/>
      <c r="I32" s="624"/>
      <c r="J32" s="624"/>
      <c r="K32" s="624"/>
      <c r="L32" s="624"/>
      <c r="M32" s="624"/>
      <c r="N32" s="624"/>
      <c r="O32" s="624"/>
      <c r="P32" s="624"/>
      <c r="Q32" s="624"/>
      <c r="R32" s="624"/>
      <c r="S32" s="624"/>
      <c r="T32" s="625"/>
      <c r="U32" s="625"/>
      <c r="V32" s="625"/>
      <c r="W32" s="625"/>
      <c r="X32" s="625"/>
      <c r="Y32" s="625"/>
      <c r="Z32" s="625"/>
      <c r="AA32" s="625"/>
      <c r="AB32" s="625"/>
      <c r="AC32" s="627"/>
      <c r="AD32" s="624"/>
    </row>
    <row r="33" hidden="1" customHeight="1" outlineLevel="1" spans="2:66">
      <c r="B33" s="154" t="s">
        <v>1673</v>
      </c>
      <c r="R33" s="159">
        <f>SUMIF($BA8:$BA27,$BA33,R8:R27)</f>
        <v>0</v>
      </c>
      <c r="S33" s="159">
        <f>SUMIF($BA8:$BA27,$BA33,S8:S27)</f>
        <v>0</v>
      </c>
      <c r="T33" s="159">
        <f>SUMIF($BA8:$BA27,$BA33,T8:T27)</f>
        <v>0</v>
      </c>
      <c r="X33" s="159">
        <f>SUMIF($BA8:$BA27,$BA33,X8:X27)</f>
        <v>0</v>
      </c>
      <c r="Y33" s="159">
        <f>SUMIF($BA8:$BA27,$BA33,Y8:Y27)</f>
        <v>0</v>
      </c>
      <c r="Z33" s="159">
        <f>SUMIF($BA8:$BA27,$BA33,Z8:Z27)</f>
        <v>0</v>
      </c>
      <c r="AA33" s="159">
        <f>SUMIF($BA8:$BA27,$BA33,AA8:AA27)</f>
        <v>0</v>
      </c>
      <c r="AB33" s="159">
        <f>SUMIF($BA8:$BA27,$BA33,AB8:AB27)</f>
        <v>0</v>
      </c>
      <c r="BA33" s="161" t="s">
        <v>1674</v>
      </c>
      <c r="BH33" s="95" t="s">
        <v>1675</v>
      </c>
      <c r="BJ33" s="95" t="s">
        <v>1675</v>
      </c>
      <c r="BK33" s="95" t="s">
        <v>1675</v>
      </c>
      <c r="BL33" s="95" t="s">
        <v>1675</v>
      </c>
      <c r="BN33" s="95" t="s">
        <v>1675</v>
      </c>
    </row>
    <row r="34" hidden="1" customHeight="1" outlineLevel="1" spans="2:66">
      <c r="B34" s="154" t="s">
        <v>1676</v>
      </c>
      <c r="R34" s="159">
        <f t="shared" ref="R34:T34" si="30">R28-R33</f>
        <v>0</v>
      </c>
      <c r="S34" s="159">
        <f t="shared" ref="S34" si="31">S28-S33</f>
        <v>0</v>
      </c>
      <c r="T34" s="159">
        <f t="shared" si="30"/>
        <v>0</v>
      </c>
      <c r="X34" s="159">
        <f t="shared" ref="X34:AB34" si="32">X28-X33</f>
        <v>0</v>
      </c>
      <c r="Y34" s="159">
        <f t="shared" si="32"/>
        <v>0</v>
      </c>
      <c r="Z34" s="159">
        <f t="shared" si="32"/>
        <v>0</v>
      </c>
      <c r="AA34" s="159">
        <f t="shared" si="32"/>
        <v>0</v>
      </c>
      <c r="AB34" s="159">
        <f t="shared" si="32"/>
        <v>0</v>
      </c>
      <c r="BA34" s="161" t="s">
        <v>1677</v>
      </c>
      <c r="BH34" s="95" t="s">
        <v>1678</v>
      </c>
      <c r="BJ34" s="95" t="s">
        <v>1678</v>
      </c>
      <c r="BK34" s="95" t="s">
        <v>1678</v>
      </c>
      <c r="BL34" s="95" t="s">
        <v>1678</v>
      </c>
      <c r="BN34" s="95" t="s">
        <v>1678</v>
      </c>
    </row>
    <row r="35" customHeight="1" collapsed="1"/>
  </sheetData>
  <mergeCells count="40">
    <mergeCell ref="A2:AD2"/>
    <mergeCell ref="A3:AD3"/>
    <mergeCell ref="G6:H6"/>
    <mergeCell ref="I6:J6"/>
    <mergeCell ref="K6:L6"/>
    <mergeCell ref="M6:Q6"/>
    <mergeCell ref="R6:T6"/>
    <mergeCell ref="U6:W6"/>
    <mergeCell ref="X6:Z6"/>
    <mergeCell ref="AA6:AB6"/>
    <mergeCell ref="BQ6:BT6"/>
    <mergeCell ref="BU6:BW6"/>
    <mergeCell ref="BX6:BZ6"/>
    <mergeCell ref="CA6:CB6"/>
    <mergeCell ref="CJ8:CL8"/>
    <mergeCell ref="CJ9:CL9"/>
    <mergeCell ref="CK15:CL15"/>
    <mergeCell ref="A28:D28"/>
    <mergeCell ref="A29:D29"/>
    <mergeCell ref="A30:D30"/>
    <mergeCell ref="A6:A7"/>
    <mergeCell ref="B6:B7"/>
    <mergeCell ref="C6:C7"/>
    <mergeCell ref="D6:D7"/>
    <mergeCell ref="E6:E7"/>
    <mergeCell ref="F6:F7"/>
    <mergeCell ref="AC6:AC7"/>
    <mergeCell ref="AD6:AD7"/>
    <mergeCell ref="BF6:BF7"/>
    <mergeCell ref="BG6:BG7"/>
    <mergeCell ref="BH6:BH7"/>
    <mergeCell ref="BI6:BI7"/>
    <mergeCell ref="BJ6:BJ7"/>
    <mergeCell ref="BK6:BK7"/>
    <mergeCell ref="BL6:BL7"/>
    <mergeCell ref="BM6:BM7"/>
    <mergeCell ref="BN6:BN7"/>
    <mergeCell ref="BO6:BO7"/>
    <mergeCell ref="BP6:BP7"/>
    <mergeCell ref="CC6:CC7"/>
  </mergeCells>
  <conditionalFormatting sqref="BI8:BI27">
    <cfRule type="expression" dxfId="5" priority="3" stopIfTrue="1">
      <formula>AND(BH8="有",BI8="")</formula>
    </cfRule>
  </conditionalFormatting>
  <conditionalFormatting sqref="BM8:BM27">
    <cfRule type="expression" dxfId="5" priority="4" stopIfTrue="1">
      <formula>AND(BL8="无",BM8="")</formula>
    </cfRule>
  </conditionalFormatting>
  <conditionalFormatting sqref="BF8:BG27">
    <cfRule type="containsText" dxfId="6" priority="1" stopIfTrue="1" operator="between" text="出错">
      <formula>NOT(ISERROR(SEARCH("出错",BF8)))</formula>
    </cfRule>
  </conditionalFormatting>
  <conditionalFormatting sqref="BM9:BM26 BH27:BN27 BI9:BI26 BH8:BH26 BJ8:BL26 BN8:BN26">
    <cfRule type="expression" dxfId="5" priority="5" stopIfTrue="1">
      <formula>AND($B8&lt;&gt;"",BH8="")</formula>
    </cfRule>
  </conditionalFormatting>
  <dataValidations count="6">
    <dataValidation allowBlank="1" showInputMessage="1" showErrorMessage="1" error="请输入日期格式：如2009-06" promptTitle="注：" prompt="日期格式为：年-月" sqref="U28:W28 D8:F27 M28:Q29" errorStyle="warning"/>
    <dataValidation type="list" allowBlank="1" showInputMessage="1" showErrorMessage="1" sqref="M8:M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H8:BH27 BN8:BN27 BJ8:BL27">
      <formula1>BH$33:BH$34</formula1>
    </dataValidation>
    <dataValidation type="list" allowBlank="1" showInputMessage="1" showErrorMessage="1" sqref="BP8:BP27">
      <formula1>"整体出售,拆解出售"</formula1>
    </dataValidation>
  </dataValidations>
  <hyperlinks>
    <hyperlink ref="A1" location="索引目录!E40" display="返回索引页"/>
    <hyperlink ref="B1" location="固定资产汇总!B29" display="返回"/>
  </hyperlinks>
  <printOptions horizontalCentered="1"/>
  <pageMargins left="0.708661417322835" right="0.708661417322835" top="0.748031496062992" bottom="0.748031496062992" header="0.31496062992126" footer="0.31496062992126"/>
  <pageSetup paperSize="9" orientation="landscape" blackAndWhite="1"/>
  <headerFooter/>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5"/>
  <dimension ref="A1:BY37"/>
  <sheetViews>
    <sheetView workbookViewId="0">
      <pane xSplit="6" ySplit="8" topLeftCell="G9" activePane="bottomRight" state="frozen"/>
      <selection/>
      <selection pane="topRight"/>
      <selection pane="bottomLeft"/>
      <selection pane="bottomRight" activeCell="E45" sqref="E45"/>
    </sheetView>
  </sheetViews>
  <sheetFormatPr defaultColWidth="9" defaultRowHeight="15.75" customHeight="1"/>
  <cols>
    <col min="1" max="1" width="4.7" style="74" customWidth="1"/>
    <col min="2" max="2" width="4.7" style="688" customWidth="1"/>
    <col min="3" max="3" width="6.7" style="75" customWidth="1"/>
    <col min="4" max="4" width="6.7" style="75" customWidth="1" outlineLevel="1"/>
    <col min="5" max="5" width="5.1" style="165" customWidth="1" outlineLevel="1"/>
    <col min="6" max="6" width="6.7" style="75" customWidth="1"/>
    <col min="7" max="7" width="10.7" style="75" customWidth="1"/>
    <col min="8" max="12" width="4.7" style="165" customWidth="1"/>
    <col min="13" max="13" width="7.1" style="75" customWidth="1"/>
    <col min="14" max="25" width="7.1" style="75" customWidth="1" outlineLevel="1"/>
    <col min="26" max="26" width="10.7" style="75" customWidth="1"/>
    <col min="27" max="28" width="4.6" style="75" customWidth="1" outlineLevel="1"/>
    <col min="29" max="30" width="6.1" style="75" customWidth="1" outlineLevel="1"/>
    <col min="31" max="34" width="10.7" style="75" customWidth="1" outlineLevel="1"/>
    <col min="35" max="38" width="10.7" style="75" customWidth="1"/>
    <col min="39" max="40" width="6.7" style="75" customWidth="1"/>
    <col min="41" max="52" width="9" style="75" hidden="1" customWidth="1" outlineLevel="1"/>
    <col min="53" max="53" width="14.7" style="75" customWidth="1" collapsed="1"/>
    <col min="54" max="54" width="6.7" style="75" customWidth="1"/>
    <col min="55" max="56" width="5.1" style="75" customWidth="1"/>
    <col min="57" max="57" width="8.7" style="75" customWidth="1"/>
    <col min="58" max="59" width="10.5" style="75" customWidth="1"/>
    <col min="60" max="64" width="4.7" style="165" customWidth="1"/>
    <col min="65" max="65" width="10.3" style="75" customWidth="1"/>
    <col min="66" max="66" width="4.7" style="165" customWidth="1"/>
    <col min="67" max="67" width="8.7" style="75" customWidth="1"/>
    <col min="68" max="68" width="9" style="75"/>
    <col min="69" max="69" width="1.6" style="77" customWidth="1"/>
    <col min="70" max="70" width="10.6" style="78" customWidth="1"/>
    <col min="71" max="71" width="10.6" style="77" customWidth="1"/>
    <col min="72" max="72" width="4.6" style="78" customWidth="1"/>
    <col min="73" max="73" width="10.6" style="78" customWidth="1"/>
    <col min="74" max="75" width="4.6" style="78" customWidth="1"/>
    <col min="76" max="76" width="10.6" style="78" customWidth="1"/>
    <col min="77" max="77" width="5" style="77" customWidth="1"/>
    <col min="78" max="16384" width="9" style="75"/>
  </cols>
  <sheetData>
    <row r="1" s="86" customFormat="1" ht="13.8" spans="1:77">
      <c r="A1" s="203" t="s">
        <v>1591</v>
      </c>
      <c r="B1" s="689"/>
      <c r="C1" s="204" t="s">
        <v>1592</v>
      </c>
      <c r="D1" s="204"/>
      <c r="E1" s="495"/>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BA1" s="84" t="str">
        <f>参数表!BA1</f>
        <v>注意：补充特殊事项、作价等均从BA列开始填写</v>
      </c>
      <c r="BB1" s="85"/>
      <c r="BH1" s="82"/>
      <c r="BI1" s="82"/>
      <c r="BJ1" s="82"/>
      <c r="BK1" s="82"/>
      <c r="BL1" s="82"/>
      <c r="BN1" s="82"/>
      <c r="BQ1" s="87"/>
      <c r="BR1" s="88"/>
      <c r="BS1" s="87"/>
      <c r="BT1" s="88"/>
      <c r="BU1" s="88"/>
      <c r="BV1" s="88"/>
      <c r="BW1" s="88"/>
      <c r="BX1" s="88"/>
      <c r="BY1" s="87"/>
    </row>
    <row r="2" s="71" customFormat="1" ht="30" customHeight="1" spans="1:77">
      <c r="A2" s="89" t="s">
        <v>4318</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BA2" s="90" t="str">
        <f>参数表!BA2</f>
        <v>评估基准日：</v>
      </c>
      <c r="BB2" s="91" t="str">
        <f>参数表!BB2</f>
        <v>2025年7月31日</v>
      </c>
      <c r="BH2" s="171"/>
      <c r="BI2" s="171"/>
      <c r="BJ2" s="171"/>
      <c r="BK2" s="171"/>
      <c r="BL2" s="171"/>
      <c r="BN2" s="171"/>
      <c r="BQ2" s="92"/>
      <c r="BR2" s="93"/>
      <c r="BS2" s="92"/>
      <c r="BT2" s="93"/>
      <c r="BU2" s="93"/>
      <c r="BV2" s="93"/>
      <c r="BW2" s="93"/>
      <c r="BX2" s="93"/>
      <c r="BY2" s="92"/>
    </row>
    <row r="3" ht="15" customHeight="1" spans="1:77">
      <c r="A3" s="94" t="str">
        <f>参数表!F5</f>
        <v>评估基准日：2025年7月31日</v>
      </c>
      <c r="B3" s="94"/>
      <c r="C3" s="94"/>
      <c r="D3" s="94"/>
      <c r="E3" s="94"/>
      <c r="F3" s="94"/>
      <c r="G3" s="94"/>
      <c r="H3" s="94"/>
      <c r="I3" s="94"/>
      <c r="J3" s="94"/>
      <c r="K3" s="94"/>
      <c r="L3" s="94"/>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BA3" s="90" t="str">
        <f>参数表!BA3</f>
        <v>是否显示评估值：</v>
      </c>
      <c r="BB3" s="90" t="str">
        <f>参数表!BB3</f>
        <v>是</v>
      </c>
      <c r="BQ3" s="92"/>
      <c r="BR3" s="93"/>
      <c r="BS3" s="92"/>
      <c r="BT3" s="93"/>
      <c r="BU3" s="93"/>
      <c r="BV3" s="93"/>
      <c r="BW3" s="93"/>
      <c r="BX3" s="93"/>
      <c r="BY3" s="92"/>
    </row>
    <row r="4" ht="15" customHeight="1" spans="1:77">
      <c r="A4" s="96"/>
      <c r="B4" s="96"/>
      <c r="C4" s="94"/>
      <c r="D4" s="94"/>
      <c r="E4" s="94"/>
      <c r="F4" s="94"/>
      <c r="G4" s="94"/>
      <c r="H4" s="94"/>
      <c r="I4" s="94"/>
      <c r="J4" s="94"/>
      <c r="K4" s="94"/>
      <c r="L4" s="94"/>
      <c r="M4" s="95"/>
      <c r="N4" s="95"/>
      <c r="O4" s="95"/>
      <c r="P4" s="95"/>
      <c r="Q4" s="95"/>
      <c r="R4" s="95"/>
      <c r="S4" s="95"/>
      <c r="T4" s="95"/>
      <c r="U4" s="95"/>
      <c r="V4" s="95"/>
      <c r="W4" s="95"/>
      <c r="X4" s="95"/>
      <c r="Y4" s="95"/>
      <c r="Z4" s="98"/>
      <c r="AA4" s="94"/>
      <c r="AB4" s="94"/>
      <c r="AC4" s="94"/>
      <c r="AD4" s="94"/>
      <c r="AE4" s="95"/>
      <c r="AF4" s="95"/>
      <c r="AG4" s="95"/>
      <c r="AH4" s="95"/>
      <c r="AI4" s="95"/>
      <c r="AJ4" s="95"/>
      <c r="AK4" s="95"/>
      <c r="AL4" s="95"/>
      <c r="AM4" s="95"/>
      <c r="AN4" s="98" t="str">
        <f>"表"&amp;$BA4</f>
        <v>表4-10-10</v>
      </c>
      <c r="BA4" s="274" t="str">
        <f>固定资产总!A22</f>
        <v>4-10-10</v>
      </c>
      <c r="BB4" s="100">
        <f>MAX(COUNTA(A8:A27),COUNTA(C8:C27),COUNTA(AE8:AE27),COUNTA(AF8:AF27))</f>
        <v>20</v>
      </c>
      <c r="BC4" s="101">
        <f>ROW(A7)+1</f>
        <v>8</v>
      </c>
      <c r="BD4" s="77"/>
      <c r="BE4" s="77"/>
      <c r="BS4" s="78"/>
    </row>
    <row r="5" ht="15" customHeight="1" spans="1:77">
      <c r="A5" s="102" t="str">
        <f>参数表!F3</f>
        <v>产权持有单位:中煤第五建设有限公司</v>
      </c>
      <c r="B5" s="96"/>
      <c r="C5" s="103"/>
      <c r="D5" s="103"/>
      <c r="E5" s="95"/>
      <c r="F5" s="103"/>
      <c r="G5" s="103"/>
      <c r="H5" s="95"/>
      <c r="I5" s="95"/>
      <c r="J5" s="95"/>
      <c r="K5" s="95"/>
      <c r="L5" s="95"/>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98" t="s">
        <v>236</v>
      </c>
      <c r="BA5" s="103"/>
      <c r="BB5" s="105" t="str">
        <f ca="1">判断表!C75</f>
        <v>中煤第五建设有限公司第三工程处拟处置实物资产项目\[0000-3基础法明细表.xlsx]土地</v>
      </c>
      <c r="BC5" s="106">
        <f>IFERROR(SUMIF(BC8:BC27,"√",AI8:AI27)/AI28,0)</f>
        <v>0</v>
      </c>
      <c r="BD5" s="107"/>
      <c r="BE5" s="107"/>
      <c r="BF5" s="108">
        <f>房屋!BF5</f>
        <v>0</v>
      </c>
      <c r="BG5" s="108">
        <f>房屋!BG5</f>
        <v>0</v>
      </c>
      <c r="BH5" s="109"/>
      <c r="BI5" s="109"/>
      <c r="BJ5" s="109"/>
      <c r="BK5" s="109"/>
      <c r="BL5" s="109"/>
      <c r="BM5" s="110"/>
      <c r="BN5" s="109"/>
      <c r="BO5" s="110"/>
      <c r="BS5" s="78"/>
    </row>
    <row r="6" s="349" customFormat="1" ht="15" customHeight="1" spans="1:77">
      <c r="A6" s="350" t="s">
        <v>305</v>
      </c>
      <c r="B6" s="690" t="s">
        <v>3669</v>
      </c>
      <c r="C6" s="118" t="s">
        <v>3771</v>
      </c>
      <c r="D6" s="209" t="s">
        <v>3671</v>
      </c>
      <c r="E6" s="209" t="s">
        <v>3672</v>
      </c>
      <c r="F6" s="118" t="s">
        <v>3772</v>
      </c>
      <c r="G6" s="118" t="s">
        <v>3773</v>
      </c>
      <c r="H6" s="118" t="s">
        <v>3774</v>
      </c>
      <c r="I6" s="118" t="s">
        <v>3775</v>
      </c>
      <c r="J6" s="118" t="s">
        <v>3776</v>
      </c>
      <c r="K6" s="118" t="s">
        <v>3777</v>
      </c>
      <c r="L6" s="118" t="s">
        <v>3778</v>
      </c>
      <c r="M6" s="118" t="s">
        <v>3779</v>
      </c>
      <c r="N6" s="193" t="s">
        <v>3780</v>
      </c>
      <c r="O6" s="193" t="s">
        <v>3781</v>
      </c>
      <c r="P6" s="193" t="s">
        <v>3782</v>
      </c>
      <c r="Q6" s="193" t="s">
        <v>3783</v>
      </c>
      <c r="R6" s="193" t="s">
        <v>3784</v>
      </c>
      <c r="S6" s="193" t="s">
        <v>3785</v>
      </c>
      <c r="T6" s="193" t="s">
        <v>3786</v>
      </c>
      <c r="U6" s="193" t="s">
        <v>3787</v>
      </c>
      <c r="V6" s="193" t="s">
        <v>3788</v>
      </c>
      <c r="W6" s="193" t="s">
        <v>3789</v>
      </c>
      <c r="X6" s="193" t="s">
        <v>3790</v>
      </c>
      <c r="Y6" s="193" t="s">
        <v>3791</v>
      </c>
      <c r="Z6" s="118" t="s">
        <v>2751</v>
      </c>
      <c r="AA6" s="511" t="s">
        <v>1964</v>
      </c>
      <c r="AB6" s="512"/>
      <c r="AC6" s="512"/>
      <c r="AD6" s="512"/>
      <c r="AE6" s="514" t="s">
        <v>1549</v>
      </c>
      <c r="AF6" s="190"/>
      <c r="AG6" s="515" t="s">
        <v>1634</v>
      </c>
      <c r="AH6" s="517"/>
      <c r="AI6" s="691" t="s">
        <v>1523</v>
      </c>
      <c r="AJ6" s="692"/>
      <c r="AK6" s="118" t="s">
        <v>1550</v>
      </c>
      <c r="AL6" s="118"/>
      <c r="AM6" s="118" t="s">
        <v>1551</v>
      </c>
      <c r="AN6" s="118" t="s">
        <v>308</v>
      </c>
      <c r="BA6" s="224"/>
      <c r="BB6" s="100"/>
      <c r="BC6" s="100"/>
      <c r="BD6" s="100"/>
      <c r="BE6" s="100"/>
      <c r="BF6" s="192" t="s">
        <v>1639</v>
      </c>
      <c r="BG6" s="192" t="s">
        <v>1640</v>
      </c>
      <c r="BH6" s="118" t="s">
        <v>1748</v>
      </c>
      <c r="BI6" s="118" t="s">
        <v>3744</v>
      </c>
      <c r="BJ6" s="118" t="s">
        <v>1750</v>
      </c>
      <c r="BK6" s="118" t="s">
        <v>3745</v>
      </c>
      <c r="BL6" s="118" t="s">
        <v>1641</v>
      </c>
      <c r="BM6" s="118" t="s">
        <v>2209</v>
      </c>
      <c r="BN6" s="118" t="s">
        <v>3697</v>
      </c>
      <c r="BO6" s="118" t="s">
        <v>1644</v>
      </c>
      <c r="BP6" s="693" t="s">
        <v>3770</v>
      </c>
      <c r="BQ6" s="111"/>
      <c r="BR6" s="78"/>
      <c r="BS6" s="78"/>
      <c r="BT6" s="78"/>
      <c r="BU6" s="78"/>
      <c r="BV6" s="78"/>
      <c r="BW6" s="78"/>
      <c r="BX6" s="194"/>
      <c r="BY6" s="111"/>
    </row>
    <row r="7" s="349" customFormat="1" ht="15" customHeight="1" spans="1:77">
      <c r="A7" s="195"/>
      <c r="B7" s="694"/>
      <c r="C7" s="149"/>
      <c r="D7" s="695"/>
      <c r="E7" s="695"/>
      <c r="F7" s="149"/>
      <c r="G7" s="149"/>
      <c r="H7" s="149"/>
      <c r="I7" s="149"/>
      <c r="J7" s="118"/>
      <c r="K7" s="118"/>
      <c r="L7" s="118"/>
      <c r="M7" s="118"/>
      <c r="N7" s="198"/>
      <c r="O7" s="198"/>
      <c r="P7" s="198"/>
      <c r="Q7" s="198"/>
      <c r="R7" s="198"/>
      <c r="S7" s="198"/>
      <c r="T7" s="198"/>
      <c r="U7" s="198"/>
      <c r="V7" s="198"/>
      <c r="W7" s="198"/>
      <c r="X7" s="198"/>
      <c r="Y7" s="198"/>
      <c r="Z7" s="118"/>
      <c r="AA7" s="519" t="s">
        <v>1968</v>
      </c>
      <c r="AB7" s="519" t="s">
        <v>1969</v>
      </c>
      <c r="AC7" s="519" t="s">
        <v>3699</v>
      </c>
      <c r="AD7" s="519" t="s">
        <v>3700</v>
      </c>
      <c r="AE7" s="113" t="s">
        <v>1556</v>
      </c>
      <c r="AF7" s="113" t="s">
        <v>1557</v>
      </c>
      <c r="AG7" s="117" t="s">
        <v>3703</v>
      </c>
      <c r="AH7" s="117" t="s">
        <v>3704</v>
      </c>
      <c r="AI7" s="113" t="s">
        <v>1556</v>
      </c>
      <c r="AJ7" s="113" t="s">
        <v>1557</v>
      </c>
      <c r="AK7" s="113" t="s">
        <v>1556</v>
      </c>
      <c r="AL7" s="113" t="s">
        <v>1557</v>
      </c>
      <c r="AM7" s="118"/>
      <c r="AN7" s="118"/>
      <c r="BA7" s="100" t="s">
        <v>1545</v>
      </c>
      <c r="BB7" s="100" t="s">
        <v>1635</v>
      </c>
      <c r="BC7" s="100" t="s">
        <v>1636</v>
      </c>
      <c r="BD7" s="100" t="s">
        <v>1637</v>
      </c>
      <c r="BE7" s="100" t="s">
        <v>1638</v>
      </c>
      <c r="BF7" s="197"/>
      <c r="BG7" s="197"/>
      <c r="BH7" s="118"/>
      <c r="BI7" s="118"/>
      <c r="BJ7" s="118"/>
      <c r="BK7" s="118"/>
      <c r="BL7" s="118"/>
      <c r="BM7" s="118"/>
      <c r="BN7" s="118"/>
      <c r="BO7" s="118"/>
      <c r="BP7" s="224" t="s">
        <v>2184</v>
      </c>
      <c r="BQ7" s="119"/>
      <c r="BR7" s="120" t="s">
        <v>1645</v>
      </c>
      <c r="BS7" s="121" t="s">
        <v>1646</v>
      </c>
      <c r="BT7" s="121" t="s">
        <v>1647</v>
      </c>
      <c r="BU7" s="121" t="s">
        <v>1648</v>
      </c>
      <c r="BV7" s="121" t="s">
        <v>1647</v>
      </c>
      <c r="BW7" s="121" t="s">
        <v>1647</v>
      </c>
      <c r="BX7" s="121" t="s">
        <v>1649</v>
      </c>
      <c r="BY7" s="122" t="s">
        <v>1650</v>
      </c>
    </row>
    <row r="8" ht="15" customHeight="1" spans="1:77">
      <c r="A8" s="123" t="str">
        <f>IF(F8="","",COUNT(A$7:A7)+1)</f>
        <v/>
      </c>
      <c r="B8" s="123"/>
      <c r="C8" s="126"/>
      <c r="D8" s="126"/>
      <c r="E8" s="126"/>
      <c r="F8" s="124"/>
      <c r="G8" s="124"/>
      <c r="H8" s="125"/>
      <c r="I8" s="126"/>
      <c r="J8" s="126"/>
      <c r="K8" s="125"/>
      <c r="L8" s="126"/>
      <c r="M8" s="491"/>
      <c r="N8" s="491"/>
      <c r="O8" s="491"/>
      <c r="P8" s="491"/>
      <c r="Q8" s="491"/>
      <c r="R8" s="491"/>
      <c r="S8" s="491"/>
      <c r="T8" s="491"/>
      <c r="U8" s="491"/>
      <c r="V8" s="491"/>
      <c r="W8" s="491"/>
      <c r="X8" s="491"/>
      <c r="Y8" s="491"/>
      <c r="Z8" s="491"/>
      <c r="AA8" s="127"/>
      <c r="AB8" s="127" t="str">
        <f>IFERROR(VLOOKUP(AA8,参数表!$H$2:$I$50,2,FALSE),"")</f>
        <v/>
      </c>
      <c r="AC8" s="128" t="str">
        <f>IFERROR(IF(OR(AA8="人民币",AA8=""),"",AI8/AB8),"")</f>
        <v/>
      </c>
      <c r="AD8" s="128" t="str">
        <f>IFERROR(IF(OR(AA8="人民币",AA8=""),"",AJ8/AB8),"")</f>
        <v/>
      </c>
      <c r="AE8" s="129"/>
      <c r="AF8" s="129"/>
      <c r="AG8" s="129"/>
      <c r="AH8" s="129"/>
      <c r="AI8" s="129" t="str">
        <f t="shared" ref="AI8:AI27" si="0">IF(F8="","",AE8+AG8)</f>
        <v/>
      </c>
      <c r="AJ8" s="129" t="str">
        <f t="shared" ref="AJ8:AJ27" si="1">IF(F8="","",AF8+AH8)</f>
        <v/>
      </c>
      <c r="AK8" s="129" t="str">
        <f t="shared" ref="AK8:AK27" si="2">IF(F8="","",IF($BB$3="是",M8*BP8,""))</f>
        <v/>
      </c>
      <c r="AL8" s="129" t="str">
        <f t="shared" ref="AL8:AL27" si="3">IF(F8="","",IF($BB$3="是",AK8,""))</f>
        <v/>
      </c>
      <c r="AM8" s="129" t="str">
        <f>IFERROR((AL8-AJ8)/AJ8*100,"")</f>
        <v/>
      </c>
      <c r="AN8" s="131"/>
      <c r="BA8" s="78"/>
      <c r="BB8" s="132" t="s">
        <v>4319</v>
      </c>
      <c r="BC8" s="133"/>
      <c r="BD8" s="132" t="str">
        <f>IF(OR(F8="",BC8=""),"",COUNTIF(BC$8:BC8,"√"))</f>
        <v/>
      </c>
      <c r="BE8" s="134" t="str">
        <f t="shared" ref="BE8:BE27" si="4">IF(BC8="","",BB8&amp;"︱"&amp;F8&amp;"︱"&amp;TEXT(AE8,"#,##0.00"))</f>
        <v/>
      </c>
      <c r="BF8" s="135" t="str">
        <f>IF($C8="","",IF(BF$5=0,"OK","出错"))</f>
        <v/>
      </c>
      <c r="BG8" s="135" t="str">
        <f>IF($C8="","",IF(BG$5=0,"OK","出错"))</f>
        <v/>
      </c>
      <c r="BH8" s="136"/>
      <c r="BI8" s="136"/>
      <c r="BJ8" s="136"/>
      <c r="BK8" s="136"/>
      <c r="BL8" s="136"/>
      <c r="BM8" s="137"/>
      <c r="BN8" s="136"/>
      <c r="BO8" s="137"/>
      <c r="BR8" s="134" t="str">
        <f>IF(COUNTIF(BR$7:BR7,J8)&gt;0,"",J8)&amp;""</f>
        <v/>
      </c>
      <c r="BS8" s="138">
        <f>SUMIF(J$8:J$27,BR8,AI$8:AI$27)</f>
        <v>0</v>
      </c>
      <c r="BT8" s="132">
        <f t="shared" ref="BT8" si="5">RANK(BS8,BS$8:BS$27)</f>
        <v>1</v>
      </c>
      <c r="BU8" s="138">
        <f>SUMIF(J$8:J$27,BR8,AK$8:AK$27)</f>
        <v>0</v>
      </c>
      <c r="BV8" s="132">
        <f>RANK(BU8,BU$8:BU$27)</f>
        <v>1</v>
      </c>
      <c r="BW8" s="138">
        <f>SUM(BS8:BS27)</f>
        <v>0</v>
      </c>
      <c r="BX8" s="138"/>
      <c r="BY8" s="138"/>
    </row>
    <row r="9" ht="15" customHeight="1" spans="1:77">
      <c r="A9" s="123" t="str">
        <f>IF(F9="","",COUNT(A$7:A8)+1)</f>
        <v/>
      </c>
      <c r="B9" s="141"/>
      <c r="C9" s="141"/>
      <c r="D9" s="141"/>
      <c r="E9" s="141"/>
      <c r="F9" s="139"/>
      <c r="G9" s="139"/>
      <c r="H9" s="140"/>
      <c r="I9" s="141"/>
      <c r="J9" s="141"/>
      <c r="K9" s="140"/>
      <c r="L9" s="141"/>
      <c r="M9" s="501"/>
      <c r="N9" s="501"/>
      <c r="O9" s="501"/>
      <c r="P9" s="501"/>
      <c r="Q9" s="501"/>
      <c r="R9" s="501"/>
      <c r="S9" s="501"/>
      <c r="T9" s="501"/>
      <c r="U9" s="501"/>
      <c r="V9" s="501"/>
      <c r="W9" s="501"/>
      <c r="X9" s="501"/>
      <c r="Y9" s="501"/>
      <c r="Z9" s="501"/>
      <c r="AA9" s="142"/>
      <c r="AB9" s="127" t="str">
        <f>IFERROR(VLOOKUP(AA9,参数表!$H$2:$I$50,2,FALSE),"")</f>
        <v/>
      </c>
      <c r="AC9" s="128" t="str">
        <f t="shared" ref="AC9:AC27" si="6">IFERROR(IF(OR(AA9="人民币",AA9=""),"",AI9/AB9),"")</f>
        <v/>
      </c>
      <c r="AD9" s="128" t="str">
        <f t="shared" ref="AD9:AD27" si="7">IFERROR(IF(OR(AA9="人民币",AA9=""),"",AJ9/AB9),"")</f>
        <v/>
      </c>
      <c r="AE9" s="143"/>
      <c r="AF9" s="143"/>
      <c r="AG9" s="143"/>
      <c r="AH9" s="143"/>
      <c r="AI9" s="129" t="str">
        <f t="shared" si="0"/>
        <v/>
      </c>
      <c r="AJ9" s="129" t="str">
        <f t="shared" si="1"/>
        <v/>
      </c>
      <c r="AK9" s="129" t="str">
        <f t="shared" si="2"/>
        <v/>
      </c>
      <c r="AL9" s="129" t="str">
        <f t="shared" si="3"/>
        <v/>
      </c>
      <c r="AM9" s="129" t="str">
        <f t="shared" ref="AM9:AM27" si="8">IFERROR((AL9-AJ9)/AJ9*100,"")</f>
        <v/>
      </c>
      <c r="AN9" s="145"/>
      <c r="BA9" s="78"/>
      <c r="BB9" s="132" t="s">
        <v>4320</v>
      </c>
      <c r="BC9" s="133"/>
      <c r="BD9" s="132" t="str">
        <f>IF(OR(F9="",BC9=""),"",COUNTIF(BC$8:BC9,"√"))</f>
        <v/>
      </c>
      <c r="BE9" s="134" t="str">
        <f t="shared" si="4"/>
        <v/>
      </c>
      <c r="BF9" s="135" t="str">
        <f t="shared" ref="BF9:BG22" si="9">IF($C9="","",IF(BF$5=0,"OK","出错"))</f>
        <v/>
      </c>
      <c r="BG9" s="135" t="str">
        <f t="shared" si="9"/>
        <v/>
      </c>
      <c r="BH9" s="136"/>
      <c r="BI9" s="136"/>
      <c r="BJ9" s="136"/>
      <c r="BK9" s="136"/>
      <c r="BL9" s="136"/>
      <c r="BM9" s="137"/>
      <c r="BN9" s="136"/>
      <c r="BO9" s="137"/>
      <c r="BR9" s="134" t="str">
        <f>IF(COUNTIF(BR$7:BR8,J9)&gt;0,"",J9)&amp;""</f>
        <v/>
      </c>
      <c r="BS9" s="138">
        <f t="shared" ref="BS9:BS27" si="10">SUMIF(J$8:J$27,BR9,AI$8:AI$27)</f>
        <v>0</v>
      </c>
      <c r="BT9" s="132">
        <f t="shared" ref="BT9:BT27" si="11">RANK(BS9,BS$8:BS$27)</f>
        <v>1</v>
      </c>
      <c r="BU9" s="138">
        <f t="shared" ref="BU9:BU27" si="12">SUMIF(J$8:J$27,BR9,AK$8:AK$27)</f>
        <v>0</v>
      </c>
      <c r="BV9" s="132">
        <f t="shared" ref="BV9:BV27" si="13">RANK(BU9,BU$8:BU$27)</f>
        <v>1</v>
      </c>
      <c r="BW9" s="138">
        <f>SUM(BU8:BU27)</f>
        <v>0</v>
      </c>
      <c r="BX9" s="138"/>
      <c r="BY9" s="138"/>
    </row>
    <row r="10" ht="15" customHeight="1" spans="1:77">
      <c r="A10" s="123" t="str">
        <f>IF(F10="","",COUNT(A$7:A9)+1)</f>
        <v/>
      </c>
      <c r="B10" s="141"/>
      <c r="C10" s="141"/>
      <c r="D10" s="141"/>
      <c r="E10" s="141"/>
      <c r="F10" s="139"/>
      <c r="G10" s="139"/>
      <c r="H10" s="140"/>
      <c r="I10" s="141"/>
      <c r="J10" s="141"/>
      <c r="K10" s="140"/>
      <c r="L10" s="141"/>
      <c r="M10" s="501"/>
      <c r="N10" s="501"/>
      <c r="O10" s="501"/>
      <c r="P10" s="501"/>
      <c r="Q10" s="501"/>
      <c r="R10" s="501"/>
      <c r="S10" s="501"/>
      <c r="T10" s="501"/>
      <c r="U10" s="501"/>
      <c r="V10" s="501"/>
      <c r="W10" s="501"/>
      <c r="X10" s="501"/>
      <c r="Y10" s="501"/>
      <c r="Z10" s="501"/>
      <c r="AA10" s="142"/>
      <c r="AB10" s="127" t="str">
        <f>IFERROR(VLOOKUP(AA10,参数表!$H$2:$I$50,2,FALSE),"")</f>
        <v/>
      </c>
      <c r="AC10" s="128" t="str">
        <f t="shared" si="6"/>
        <v/>
      </c>
      <c r="AD10" s="128" t="str">
        <f t="shared" si="7"/>
        <v/>
      </c>
      <c r="AE10" s="143"/>
      <c r="AF10" s="143"/>
      <c r="AG10" s="143"/>
      <c r="AH10" s="143"/>
      <c r="AI10" s="129" t="str">
        <f t="shared" si="0"/>
        <v/>
      </c>
      <c r="AJ10" s="129" t="str">
        <f t="shared" si="1"/>
        <v/>
      </c>
      <c r="AK10" s="129" t="str">
        <f t="shared" si="2"/>
        <v/>
      </c>
      <c r="AL10" s="129" t="str">
        <f t="shared" si="3"/>
        <v/>
      </c>
      <c r="AM10" s="129" t="str">
        <f t="shared" si="8"/>
        <v/>
      </c>
      <c r="AN10" s="145"/>
      <c r="BA10" s="78"/>
      <c r="BB10" s="132" t="s">
        <v>4321</v>
      </c>
      <c r="BC10" s="133"/>
      <c r="BD10" s="132" t="str">
        <f>IF(OR(F10="",BC10=""),"",COUNTIF(BC$8:BC10,"√"))</f>
        <v/>
      </c>
      <c r="BE10" s="134" t="str">
        <f t="shared" si="4"/>
        <v/>
      </c>
      <c r="BF10" s="135" t="str">
        <f t="shared" si="9"/>
        <v/>
      </c>
      <c r="BG10" s="135" t="str">
        <f t="shared" si="9"/>
        <v/>
      </c>
      <c r="BH10" s="136"/>
      <c r="BI10" s="136"/>
      <c r="BJ10" s="136"/>
      <c r="BK10" s="136"/>
      <c r="BL10" s="136"/>
      <c r="BM10" s="137"/>
      <c r="BN10" s="136"/>
      <c r="BO10" s="137"/>
      <c r="BR10" s="134" t="str">
        <f>IF(COUNTIF(BR$7:BR9,J10)&gt;0,"",J10)&amp;""</f>
        <v/>
      </c>
      <c r="BS10" s="138">
        <f t="shared" si="10"/>
        <v>0</v>
      </c>
      <c r="BT10" s="132">
        <f t="shared" si="11"/>
        <v>1</v>
      </c>
      <c r="BU10" s="138">
        <f t="shared" si="12"/>
        <v>0</v>
      </c>
      <c r="BV10" s="132">
        <f t="shared" si="13"/>
        <v>1</v>
      </c>
      <c r="BW10" s="132">
        <v>1</v>
      </c>
      <c r="BX10" s="134" t="str">
        <f>IFERROR(INDEX(BR$8:BR$27,MATCH(BW10,IF(BW$8=0,BV$8:BV$27,BT$8:BT$27),0))&amp;"","")</f>
        <v/>
      </c>
      <c r="BY10" s="146" t="str">
        <f>IF(BX11="","",IF(BX12="","和","、"))</f>
        <v/>
      </c>
    </row>
    <row r="11" ht="15" customHeight="1" spans="1:77">
      <c r="A11" s="123" t="str">
        <f>IF(F11="","",COUNT(A$7:A10)+1)</f>
        <v/>
      </c>
      <c r="B11" s="141"/>
      <c r="C11" s="141"/>
      <c r="D11" s="141"/>
      <c r="E11" s="141"/>
      <c r="F11" s="139"/>
      <c r="G11" s="139"/>
      <c r="H11" s="140"/>
      <c r="I11" s="141"/>
      <c r="J11" s="141"/>
      <c r="K11" s="140"/>
      <c r="L11" s="141"/>
      <c r="M11" s="501"/>
      <c r="N11" s="501"/>
      <c r="O11" s="501"/>
      <c r="P11" s="501"/>
      <c r="Q11" s="501"/>
      <c r="R11" s="501"/>
      <c r="S11" s="501"/>
      <c r="T11" s="501"/>
      <c r="U11" s="501"/>
      <c r="V11" s="501"/>
      <c r="W11" s="501"/>
      <c r="X11" s="501"/>
      <c r="Y11" s="501"/>
      <c r="Z11" s="501"/>
      <c r="AA11" s="142"/>
      <c r="AB11" s="127" t="str">
        <f>IFERROR(VLOOKUP(AA11,参数表!$H$2:$I$50,2,FALSE),"")</f>
        <v/>
      </c>
      <c r="AC11" s="128" t="str">
        <f t="shared" si="6"/>
        <v/>
      </c>
      <c r="AD11" s="128" t="str">
        <f t="shared" si="7"/>
        <v/>
      </c>
      <c r="AE11" s="143"/>
      <c r="AF11" s="143"/>
      <c r="AG11" s="143"/>
      <c r="AH11" s="143"/>
      <c r="AI11" s="129" t="str">
        <f t="shared" si="0"/>
        <v/>
      </c>
      <c r="AJ11" s="129" t="str">
        <f t="shared" si="1"/>
        <v/>
      </c>
      <c r="AK11" s="129" t="str">
        <f t="shared" si="2"/>
        <v/>
      </c>
      <c r="AL11" s="129" t="str">
        <f t="shared" si="3"/>
        <v/>
      </c>
      <c r="AM11" s="129" t="str">
        <f t="shared" si="8"/>
        <v/>
      </c>
      <c r="AN11" s="145"/>
      <c r="BA11" s="78"/>
      <c r="BB11" s="132" t="s">
        <v>4322</v>
      </c>
      <c r="BC11" s="133"/>
      <c r="BD11" s="132" t="str">
        <f>IF(OR(F11="",BC11=""),"",COUNTIF(BC$8:BC11,"√"))</f>
        <v/>
      </c>
      <c r="BE11" s="134" t="str">
        <f t="shared" si="4"/>
        <v/>
      </c>
      <c r="BF11" s="135" t="str">
        <f t="shared" si="9"/>
        <v/>
      </c>
      <c r="BG11" s="135" t="str">
        <f t="shared" si="9"/>
        <v/>
      </c>
      <c r="BH11" s="136"/>
      <c r="BI11" s="136"/>
      <c r="BJ11" s="136"/>
      <c r="BK11" s="136"/>
      <c r="BL11" s="136"/>
      <c r="BM11" s="137"/>
      <c r="BN11" s="136"/>
      <c r="BO11" s="137"/>
      <c r="BR11" s="134" t="str">
        <f>IF(COUNTIF(BR$7:BR10,J11)&gt;0,"",J11)&amp;""</f>
        <v/>
      </c>
      <c r="BS11" s="138">
        <f t="shared" si="10"/>
        <v>0</v>
      </c>
      <c r="BT11" s="132">
        <f t="shared" si="11"/>
        <v>1</v>
      </c>
      <c r="BU11" s="138">
        <f t="shared" si="12"/>
        <v>0</v>
      </c>
      <c r="BV11" s="132">
        <f t="shared" si="13"/>
        <v>1</v>
      </c>
      <c r="BW11" s="132">
        <v>2</v>
      </c>
      <c r="BX11" s="134" t="str">
        <f t="shared" ref="BX11:BX14" si="14">IFERROR(INDEX(BR$8:BR$27,MATCH(BW11,IF(BW$8=0,BV$8:BV$27,BT$8:BT$27),0))&amp;"","")</f>
        <v/>
      </c>
      <c r="BY11" s="146" t="str">
        <f t="shared" ref="BY11:BY12" si="15">IF(BX12="","",IF(BX13="","和","、"))</f>
        <v/>
      </c>
    </row>
    <row r="12" ht="15" customHeight="1" spans="1:77">
      <c r="A12" s="123" t="str">
        <f>IF(F12="","",COUNT(A$7:A11)+1)</f>
        <v/>
      </c>
      <c r="B12" s="141"/>
      <c r="C12" s="141"/>
      <c r="D12" s="141"/>
      <c r="E12" s="141"/>
      <c r="F12" s="139"/>
      <c r="G12" s="139"/>
      <c r="H12" s="140"/>
      <c r="I12" s="141"/>
      <c r="J12" s="141"/>
      <c r="K12" s="140"/>
      <c r="L12" s="141"/>
      <c r="M12" s="501"/>
      <c r="N12" s="501"/>
      <c r="O12" s="501"/>
      <c r="P12" s="501"/>
      <c r="Q12" s="501"/>
      <c r="R12" s="501"/>
      <c r="S12" s="501"/>
      <c r="T12" s="501"/>
      <c r="U12" s="501"/>
      <c r="V12" s="501"/>
      <c r="W12" s="501"/>
      <c r="X12" s="501"/>
      <c r="Y12" s="501"/>
      <c r="Z12" s="501"/>
      <c r="AA12" s="142"/>
      <c r="AB12" s="127" t="str">
        <f>IFERROR(VLOOKUP(AA12,参数表!$H$2:$I$50,2,FALSE),"")</f>
        <v/>
      </c>
      <c r="AC12" s="128" t="str">
        <f t="shared" si="6"/>
        <v/>
      </c>
      <c r="AD12" s="128" t="str">
        <f t="shared" si="7"/>
        <v/>
      </c>
      <c r="AE12" s="143"/>
      <c r="AF12" s="143"/>
      <c r="AG12" s="143"/>
      <c r="AH12" s="143"/>
      <c r="AI12" s="129" t="str">
        <f t="shared" si="0"/>
        <v/>
      </c>
      <c r="AJ12" s="129" t="str">
        <f t="shared" si="1"/>
        <v/>
      </c>
      <c r="AK12" s="129" t="str">
        <f t="shared" si="2"/>
        <v/>
      </c>
      <c r="AL12" s="129" t="str">
        <f t="shared" si="3"/>
        <v/>
      </c>
      <c r="AM12" s="129" t="str">
        <f t="shared" si="8"/>
        <v/>
      </c>
      <c r="AN12" s="145"/>
      <c r="BA12" s="78"/>
      <c r="BB12" s="132" t="s">
        <v>4323</v>
      </c>
      <c r="BC12" s="133"/>
      <c r="BD12" s="132" t="str">
        <f>IF(OR(F12="",BC12=""),"",COUNTIF(BC$8:BC12,"√"))</f>
        <v/>
      </c>
      <c r="BE12" s="134" t="str">
        <f t="shared" si="4"/>
        <v/>
      </c>
      <c r="BF12" s="135" t="str">
        <f t="shared" si="9"/>
        <v/>
      </c>
      <c r="BG12" s="135" t="str">
        <f t="shared" si="9"/>
        <v/>
      </c>
      <c r="BH12" s="136"/>
      <c r="BI12" s="136"/>
      <c r="BJ12" s="136"/>
      <c r="BK12" s="136"/>
      <c r="BL12" s="136"/>
      <c r="BM12" s="137"/>
      <c r="BN12" s="136"/>
      <c r="BO12" s="137"/>
      <c r="BR12" s="134" t="str">
        <f>IF(COUNTIF(BR$7:BR11,J12)&gt;0,"",J12)&amp;""</f>
        <v/>
      </c>
      <c r="BS12" s="138">
        <f t="shared" si="10"/>
        <v>0</v>
      </c>
      <c r="BT12" s="132">
        <f t="shared" si="11"/>
        <v>1</v>
      </c>
      <c r="BU12" s="138">
        <f t="shared" si="12"/>
        <v>0</v>
      </c>
      <c r="BV12" s="132">
        <f t="shared" si="13"/>
        <v>1</v>
      </c>
      <c r="BW12" s="132">
        <v>3</v>
      </c>
      <c r="BX12" s="134" t="str">
        <f t="shared" si="14"/>
        <v/>
      </c>
      <c r="BY12" s="146" t="str">
        <f t="shared" si="15"/>
        <v/>
      </c>
    </row>
    <row r="13" ht="15" customHeight="1" spans="1:77">
      <c r="A13" s="123" t="str">
        <f>IF(F13="","",COUNT(A$7:A12)+1)</f>
        <v/>
      </c>
      <c r="B13" s="141"/>
      <c r="C13" s="141"/>
      <c r="D13" s="141"/>
      <c r="E13" s="141"/>
      <c r="F13" s="139"/>
      <c r="G13" s="139"/>
      <c r="H13" s="140"/>
      <c r="I13" s="141"/>
      <c r="J13" s="141"/>
      <c r="K13" s="140"/>
      <c r="L13" s="141"/>
      <c r="M13" s="501"/>
      <c r="N13" s="501"/>
      <c r="O13" s="501"/>
      <c r="P13" s="501"/>
      <c r="Q13" s="501"/>
      <c r="R13" s="501"/>
      <c r="S13" s="501"/>
      <c r="T13" s="501"/>
      <c r="U13" s="501"/>
      <c r="V13" s="501"/>
      <c r="W13" s="501"/>
      <c r="X13" s="501"/>
      <c r="Y13" s="501"/>
      <c r="Z13" s="501"/>
      <c r="AA13" s="142"/>
      <c r="AB13" s="127" t="str">
        <f>IFERROR(VLOOKUP(AA13,参数表!$H$2:$I$50,2,FALSE),"")</f>
        <v/>
      </c>
      <c r="AC13" s="128" t="str">
        <f t="shared" si="6"/>
        <v/>
      </c>
      <c r="AD13" s="128" t="str">
        <f t="shared" si="7"/>
        <v/>
      </c>
      <c r="AE13" s="143"/>
      <c r="AF13" s="143"/>
      <c r="AG13" s="143"/>
      <c r="AH13" s="143"/>
      <c r="AI13" s="129" t="str">
        <f t="shared" si="0"/>
        <v/>
      </c>
      <c r="AJ13" s="129" t="str">
        <f t="shared" si="1"/>
        <v/>
      </c>
      <c r="AK13" s="129" t="str">
        <f t="shared" si="2"/>
        <v/>
      </c>
      <c r="AL13" s="129" t="str">
        <f t="shared" si="3"/>
        <v/>
      </c>
      <c r="AM13" s="129" t="str">
        <f t="shared" si="8"/>
        <v/>
      </c>
      <c r="AN13" s="145"/>
      <c r="BA13" s="78"/>
      <c r="BB13" s="132" t="s">
        <v>4324</v>
      </c>
      <c r="BC13" s="133"/>
      <c r="BD13" s="132" t="str">
        <f>IF(OR(F13="",BC13=""),"",COUNTIF(BC$8:BC13,"√"))</f>
        <v/>
      </c>
      <c r="BE13" s="134" t="str">
        <f t="shared" si="4"/>
        <v/>
      </c>
      <c r="BF13" s="135" t="str">
        <f t="shared" si="9"/>
        <v/>
      </c>
      <c r="BG13" s="135" t="str">
        <f t="shared" si="9"/>
        <v/>
      </c>
      <c r="BH13" s="136"/>
      <c r="BI13" s="136"/>
      <c r="BJ13" s="136"/>
      <c r="BK13" s="136"/>
      <c r="BL13" s="136"/>
      <c r="BM13" s="137"/>
      <c r="BN13" s="136"/>
      <c r="BO13" s="137"/>
      <c r="BR13" s="134" t="str">
        <f>IF(COUNTIF(BR$7:BR12,J13)&gt;0,"",J13)&amp;""</f>
        <v/>
      </c>
      <c r="BS13" s="138">
        <f t="shared" si="10"/>
        <v>0</v>
      </c>
      <c r="BT13" s="132">
        <f t="shared" si="11"/>
        <v>1</v>
      </c>
      <c r="BU13" s="138">
        <f t="shared" si="12"/>
        <v>0</v>
      </c>
      <c r="BV13" s="132">
        <f t="shared" si="13"/>
        <v>1</v>
      </c>
      <c r="BW13" s="132">
        <v>4</v>
      </c>
      <c r="BX13" s="134" t="str">
        <f t="shared" si="14"/>
        <v/>
      </c>
      <c r="BY13" s="146" t="str">
        <f>IF(BX14="","","和")</f>
        <v/>
      </c>
    </row>
    <row r="14" ht="15" customHeight="1" spans="1:77">
      <c r="A14" s="123" t="str">
        <f>IF(F14="","",COUNT(A$7:A13)+1)</f>
        <v/>
      </c>
      <c r="B14" s="141"/>
      <c r="C14" s="141"/>
      <c r="D14" s="141"/>
      <c r="E14" s="141"/>
      <c r="F14" s="139"/>
      <c r="G14" s="139"/>
      <c r="H14" s="140"/>
      <c r="I14" s="141"/>
      <c r="J14" s="141"/>
      <c r="K14" s="140"/>
      <c r="L14" s="141"/>
      <c r="M14" s="501"/>
      <c r="N14" s="501"/>
      <c r="O14" s="501"/>
      <c r="P14" s="501"/>
      <c r="Q14" s="501"/>
      <c r="R14" s="501"/>
      <c r="S14" s="501"/>
      <c r="T14" s="501"/>
      <c r="U14" s="501"/>
      <c r="V14" s="501"/>
      <c r="W14" s="501"/>
      <c r="X14" s="501"/>
      <c r="Y14" s="501"/>
      <c r="Z14" s="501"/>
      <c r="AA14" s="142"/>
      <c r="AB14" s="127" t="str">
        <f>IFERROR(VLOOKUP(AA14,参数表!$H$2:$I$50,2,FALSE),"")</f>
        <v/>
      </c>
      <c r="AC14" s="128" t="str">
        <f t="shared" si="6"/>
        <v/>
      </c>
      <c r="AD14" s="128" t="str">
        <f t="shared" si="7"/>
        <v/>
      </c>
      <c r="AE14" s="143"/>
      <c r="AF14" s="143"/>
      <c r="AG14" s="143"/>
      <c r="AH14" s="143"/>
      <c r="AI14" s="129" t="str">
        <f t="shared" si="0"/>
        <v/>
      </c>
      <c r="AJ14" s="129" t="str">
        <f t="shared" si="1"/>
        <v/>
      </c>
      <c r="AK14" s="129" t="str">
        <f t="shared" si="2"/>
        <v/>
      </c>
      <c r="AL14" s="129" t="str">
        <f t="shared" si="3"/>
        <v/>
      </c>
      <c r="AM14" s="129" t="str">
        <f t="shared" si="8"/>
        <v/>
      </c>
      <c r="AN14" s="145"/>
      <c r="BA14" s="78"/>
      <c r="BB14" s="132" t="s">
        <v>4325</v>
      </c>
      <c r="BC14" s="133"/>
      <c r="BD14" s="132" t="str">
        <f>IF(OR(F14="",BC14=""),"",COUNTIF(BC$8:BC14,"√"))</f>
        <v/>
      </c>
      <c r="BE14" s="134" t="str">
        <f t="shared" si="4"/>
        <v/>
      </c>
      <c r="BF14" s="135" t="str">
        <f t="shared" si="9"/>
        <v/>
      </c>
      <c r="BG14" s="135" t="str">
        <f t="shared" si="9"/>
        <v/>
      </c>
      <c r="BH14" s="136"/>
      <c r="BI14" s="136"/>
      <c r="BJ14" s="136"/>
      <c r="BK14" s="136"/>
      <c r="BL14" s="136"/>
      <c r="BM14" s="137"/>
      <c r="BN14" s="136"/>
      <c r="BO14" s="137"/>
      <c r="BR14" s="134" t="str">
        <f>IF(COUNTIF(BR$7:BR13,J14)&gt;0,"",J14)&amp;""</f>
        <v/>
      </c>
      <c r="BS14" s="138">
        <f t="shared" si="10"/>
        <v>0</v>
      </c>
      <c r="BT14" s="132">
        <f t="shared" si="11"/>
        <v>1</v>
      </c>
      <c r="BU14" s="138">
        <f t="shared" si="12"/>
        <v>0</v>
      </c>
      <c r="BV14" s="132">
        <f t="shared" si="13"/>
        <v>1</v>
      </c>
      <c r="BW14" s="132">
        <v>5</v>
      </c>
      <c r="BX14" s="134" t="str">
        <f t="shared" si="14"/>
        <v/>
      </c>
      <c r="BY14" s="146"/>
    </row>
    <row r="15" ht="15" customHeight="1" spans="1:77">
      <c r="A15" s="123" t="str">
        <f>IF(F15="","",COUNT(A$7:A14)+1)</f>
        <v/>
      </c>
      <c r="B15" s="141"/>
      <c r="C15" s="141"/>
      <c r="D15" s="141"/>
      <c r="E15" s="141"/>
      <c r="F15" s="139"/>
      <c r="G15" s="139"/>
      <c r="H15" s="140"/>
      <c r="I15" s="141"/>
      <c r="J15" s="141"/>
      <c r="K15" s="140"/>
      <c r="L15" s="141"/>
      <c r="M15" s="501"/>
      <c r="N15" s="501"/>
      <c r="O15" s="501"/>
      <c r="P15" s="501"/>
      <c r="Q15" s="501"/>
      <c r="R15" s="501"/>
      <c r="S15" s="501"/>
      <c r="T15" s="501"/>
      <c r="U15" s="501"/>
      <c r="V15" s="501"/>
      <c r="W15" s="501"/>
      <c r="X15" s="501"/>
      <c r="Y15" s="501"/>
      <c r="Z15" s="501"/>
      <c r="AA15" s="142"/>
      <c r="AB15" s="127" t="str">
        <f>IFERROR(VLOOKUP(AA15,参数表!$H$2:$I$50,2,FALSE),"")</f>
        <v/>
      </c>
      <c r="AC15" s="128" t="str">
        <f t="shared" si="6"/>
        <v/>
      </c>
      <c r="AD15" s="128" t="str">
        <f t="shared" si="7"/>
        <v/>
      </c>
      <c r="AE15" s="143"/>
      <c r="AF15" s="143"/>
      <c r="AG15" s="143"/>
      <c r="AH15" s="143"/>
      <c r="AI15" s="129" t="str">
        <f t="shared" si="0"/>
        <v/>
      </c>
      <c r="AJ15" s="129" t="str">
        <f t="shared" si="1"/>
        <v/>
      </c>
      <c r="AK15" s="129" t="str">
        <f t="shared" si="2"/>
        <v/>
      </c>
      <c r="AL15" s="129" t="str">
        <f t="shared" si="3"/>
        <v/>
      </c>
      <c r="AM15" s="129" t="str">
        <f t="shared" si="8"/>
        <v/>
      </c>
      <c r="AN15" s="145"/>
      <c r="BA15" s="78"/>
      <c r="BB15" s="132" t="s">
        <v>4326</v>
      </c>
      <c r="BC15" s="133"/>
      <c r="BD15" s="132" t="str">
        <f>IF(OR(F15="",BC15=""),"",COUNTIF(BC$8:BC15,"√"))</f>
        <v/>
      </c>
      <c r="BE15" s="134" t="str">
        <f t="shared" si="4"/>
        <v/>
      </c>
      <c r="BF15" s="135" t="str">
        <f t="shared" si="9"/>
        <v/>
      </c>
      <c r="BG15" s="135" t="str">
        <f t="shared" si="9"/>
        <v/>
      </c>
      <c r="BH15" s="136"/>
      <c r="BI15" s="136"/>
      <c r="BJ15" s="136"/>
      <c r="BK15" s="136"/>
      <c r="BL15" s="136"/>
      <c r="BM15" s="137"/>
      <c r="BN15" s="136"/>
      <c r="BO15" s="137"/>
      <c r="BR15" s="134" t="str">
        <f>IF(COUNTIF(BR$7:BR14,J15)&gt;0,"",J15)&amp;""</f>
        <v/>
      </c>
      <c r="BS15" s="138">
        <f t="shared" si="10"/>
        <v>0</v>
      </c>
      <c r="BT15" s="132">
        <f t="shared" si="11"/>
        <v>1</v>
      </c>
      <c r="BU15" s="138">
        <f t="shared" si="12"/>
        <v>0</v>
      </c>
      <c r="BV15" s="132">
        <f t="shared" si="13"/>
        <v>1</v>
      </c>
      <c r="BW15" s="147" t="s">
        <v>1659</v>
      </c>
      <c r="BX15" s="132" t="str">
        <f>CONCATENATE(BX10,BY10,BX11,BY11,BX12,BY12,BX13,BY13,BX14)</f>
        <v/>
      </c>
      <c r="BY15" s="132"/>
    </row>
    <row r="16" ht="15" customHeight="1" spans="1:77">
      <c r="A16" s="123" t="str">
        <f>IF(F16="","",COUNT(A$7:A15)+1)</f>
        <v/>
      </c>
      <c r="B16" s="141"/>
      <c r="C16" s="141"/>
      <c r="D16" s="141"/>
      <c r="E16" s="141"/>
      <c r="F16" s="139"/>
      <c r="G16" s="139"/>
      <c r="H16" s="140"/>
      <c r="I16" s="141"/>
      <c r="J16" s="141"/>
      <c r="K16" s="140"/>
      <c r="L16" s="141"/>
      <c r="M16" s="501"/>
      <c r="N16" s="501"/>
      <c r="O16" s="501"/>
      <c r="P16" s="501"/>
      <c r="Q16" s="501"/>
      <c r="R16" s="501"/>
      <c r="S16" s="501"/>
      <c r="T16" s="501"/>
      <c r="U16" s="501"/>
      <c r="V16" s="501"/>
      <c r="W16" s="501"/>
      <c r="X16" s="501"/>
      <c r="Y16" s="501"/>
      <c r="Z16" s="501"/>
      <c r="AA16" s="142"/>
      <c r="AB16" s="127" t="str">
        <f>IFERROR(VLOOKUP(AA16,参数表!$H$2:$I$50,2,FALSE),"")</f>
        <v/>
      </c>
      <c r="AC16" s="128" t="str">
        <f t="shared" si="6"/>
        <v/>
      </c>
      <c r="AD16" s="128" t="str">
        <f t="shared" si="7"/>
        <v/>
      </c>
      <c r="AE16" s="143"/>
      <c r="AF16" s="143"/>
      <c r="AG16" s="143"/>
      <c r="AH16" s="143"/>
      <c r="AI16" s="129" t="str">
        <f t="shared" si="0"/>
        <v/>
      </c>
      <c r="AJ16" s="129" t="str">
        <f t="shared" si="1"/>
        <v/>
      </c>
      <c r="AK16" s="129" t="str">
        <f t="shared" si="2"/>
        <v/>
      </c>
      <c r="AL16" s="129" t="str">
        <f t="shared" si="3"/>
        <v/>
      </c>
      <c r="AM16" s="129" t="str">
        <f t="shared" si="8"/>
        <v/>
      </c>
      <c r="AN16" s="145"/>
      <c r="BA16" s="78"/>
      <c r="BB16" s="132" t="s">
        <v>4327</v>
      </c>
      <c r="BC16" s="133"/>
      <c r="BD16" s="132" t="str">
        <f>IF(OR(F16="",BC16=""),"",COUNTIF(BC$8:BC16,"√"))</f>
        <v/>
      </c>
      <c r="BE16" s="134" t="str">
        <f t="shared" si="4"/>
        <v/>
      </c>
      <c r="BF16" s="135" t="str">
        <f t="shared" si="9"/>
        <v/>
      </c>
      <c r="BG16" s="135" t="str">
        <f t="shared" si="9"/>
        <v/>
      </c>
      <c r="BH16" s="136"/>
      <c r="BI16" s="136"/>
      <c r="BJ16" s="136"/>
      <c r="BK16" s="136"/>
      <c r="BL16" s="136"/>
      <c r="BM16" s="137"/>
      <c r="BN16" s="136"/>
      <c r="BO16" s="137"/>
      <c r="BR16" s="134" t="str">
        <f>IF(COUNTIF(BR$7:BR15,J16)&gt;0,"",J16)&amp;""</f>
        <v/>
      </c>
      <c r="BS16" s="138">
        <f t="shared" si="10"/>
        <v>0</v>
      </c>
      <c r="BT16" s="132">
        <f t="shared" si="11"/>
        <v>1</v>
      </c>
      <c r="BU16" s="138">
        <f t="shared" si="12"/>
        <v>0</v>
      </c>
      <c r="BV16" s="132">
        <f t="shared" si="13"/>
        <v>1</v>
      </c>
      <c r="BW16" s="133"/>
      <c r="BX16" s="133"/>
    </row>
    <row r="17" ht="15" customHeight="1" spans="1:77">
      <c r="A17" s="123" t="str">
        <f>IF(F17="","",COUNT(A$7:A16)+1)</f>
        <v/>
      </c>
      <c r="B17" s="141"/>
      <c r="C17" s="141"/>
      <c r="D17" s="141"/>
      <c r="E17" s="141"/>
      <c r="F17" s="139"/>
      <c r="G17" s="139"/>
      <c r="H17" s="140"/>
      <c r="I17" s="141"/>
      <c r="J17" s="141"/>
      <c r="K17" s="140"/>
      <c r="L17" s="141"/>
      <c r="M17" s="501"/>
      <c r="N17" s="501"/>
      <c r="O17" s="501"/>
      <c r="P17" s="501"/>
      <c r="Q17" s="501"/>
      <c r="R17" s="501"/>
      <c r="S17" s="501"/>
      <c r="T17" s="501"/>
      <c r="U17" s="501"/>
      <c r="V17" s="501"/>
      <c r="W17" s="501"/>
      <c r="X17" s="501"/>
      <c r="Y17" s="501"/>
      <c r="Z17" s="501"/>
      <c r="AA17" s="142"/>
      <c r="AB17" s="127" t="str">
        <f>IFERROR(VLOOKUP(AA17,参数表!$H$2:$I$50,2,FALSE),"")</f>
        <v/>
      </c>
      <c r="AC17" s="128" t="str">
        <f t="shared" si="6"/>
        <v/>
      </c>
      <c r="AD17" s="128" t="str">
        <f t="shared" si="7"/>
        <v/>
      </c>
      <c r="AE17" s="143"/>
      <c r="AF17" s="143"/>
      <c r="AG17" s="143"/>
      <c r="AH17" s="143"/>
      <c r="AI17" s="129" t="str">
        <f t="shared" si="0"/>
        <v/>
      </c>
      <c r="AJ17" s="129" t="str">
        <f t="shared" si="1"/>
        <v/>
      </c>
      <c r="AK17" s="129" t="str">
        <f t="shared" si="2"/>
        <v/>
      </c>
      <c r="AL17" s="129" t="str">
        <f t="shared" si="3"/>
        <v/>
      </c>
      <c r="AM17" s="129" t="str">
        <f t="shared" si="8"/>
        <v/>
      </c>
      <c r="AN17" s="145"/>
      <c r="BA17" s="78"/>
      <c r="BB17" s="132" t="s">
        <v>4328</v>
      </c>
      <c r="BC17" s="133"/>
      <c r="BD17" s="132" t="str">
        <f>IF(OR(F17="",BC17=""),"",COUNTIF(BC$8:BC17,"√"))</f>
        <v/>
      </c>
      <c r="BE17" s="134" t="str">
        <f t="shared" si="4"/>
        <v/>
      </c>
      <c r="BF17" s="135" t="str">
        <f t="shared" si="9"/>
        <v/>
      </c>
      <c r="BG17" s="135" t="str">
        <f t="shared" si="9"/>
        <v/>
      </c>
      <c r="BH17" s="136"/>
      <c r="BI17" s="136"/>
      <c r="BJ17" s="136"/>
      <c r="BK17" s="136"/>
      <c r="BL17" s="136"/>
      <c r="BM17" s="137"/>
      <c r="BN17" s="136"/>
      <c r="BO17" s="137"/>
      <c r="BR17" s="134" t="str">
        <f>IF(COUNTIF(BR$7:BR16,J17)&gt;0,"",J17)&amp;""</f>
        <v/>
      </c>
      <c r="BS17" s="138">
        <f t="shared" si="10"/>
        <v>0</v>
      </c>
      <c r="BT17" s="132">
        <f t="shared" si="11"/>
        <v>1</v>
      </c>
      <c r="BU17" s="138">
        <f t="shared" si="12"/>
        <v>0</v>
      </c>
      <c r="BV17" s="132">
        <f t="shared" si="13"/>
        <v>1</v>
      </c>
      <c r="BW17" s="133"/>
      <c r="BX17" s="148"/>
    </row>
    <row r="18" ht="15" customHeight="1" spans="1:77">
      <c r="A18" s="123" t="str">
        <f>IF(F18="","",COUNT(A$7:A17)+1)</f>
        <v/>
      </c>
      <c r="B18" s="141"/>
      <c r="C18" s="141"/>
      <c r="D18" s="141"/>
      <c r="E18" s="141"/>
      <c r="F18" s="139"/>
      <c r="G18" s="139"/>
      <c r="H18" s="140"/>
      <c r="I18" s="141"/>
      <c r="J18" s="141"/>
      <c r="K18" s="140"/>
      <c r="L18" s="141"/>
      <c r="M18" s="501"/>
      <c r="N18" s="501"/>
      <c r="O18" s="501"/>
      <c r="P18" s="501"/>
      <c r="Q18" s="501"/>
      <c r="R18" s="501"/>
      <c r="S18" s="501"/>
      <c r="T18" s="501"/>
      <c r="U18" s="501"/>
      <c r="V18" s="501"/>
      <c r="W18" s="501"/>
      <c r="X18" s="501"/>
      <c r="Y18" s="501"/>
      <c r="Z18" s="501"/>
      <c r="AA18" s="142"/>
      <c r="AB18" s="127" t="str">
        <f>IFERROR(VLOOKUP(AA18,参数表!$H$2:$I$50,2,FALSE),"")</f>
        <v/>
      </c>
      <c r="AC18" s="128" t="str">
        <f t="shared" si="6"/>
        <v/>
      </c>
      <c r="AD18" s="128" t="str">
        <f t="shared" si="7"/>
        <v/>
      </c>
      <c r="AE18" s="143"/>
      <c r="AF18" s="143"/>
      <c r="AG18" s="143"/>
      <c r="AH18" s="143"/>
      <c r="AI18" s="129" t="str">
        <f t="shared" si="0"/>
        <v/>
      </c>
      <c r="AJ18" s="129" t="str">
        <f t="shared" si="1"/>
        <v/>
      </c>
      <c r="AK18" s="129" t="str">
        <f t="shared" si="2"/>
        <v/>
      </c>
      <c r="AL18" s="129" t="str">
        <f t="shared" si="3"/>
        <v/>
      </c>
      <c r="AM18" s="129" t="str">
        <f t="shared" si="8"/>
        <v/>
      </c>
      <c r="AN18" s="145"/>
      <c r="BA18" s="78"/>
      <c r="BB18" s="132" t="s">
        <v>4329</v>
      </c>
      <c r="BC18" s="133"/>
      <c r="BD18" s="132" t="str">
        <f>IF(OR(F18="",BC18=""),"",COUNTIF(BC$8:BC18,"√"))</f>
        <v/>
      </c>
      <c r="BE18" s="134" t="str">
        <f t="shared" si="4"/>
        <v/>
      </c>
      <c r="BF18" s="135" t="str">
        <f t="shared" si="9"/>
        <v/>
      </c>
      <c r="BG18" s="135" t="str">
        <f t="shared" si="9"/>
        <v/>
      </c>
      <c r="BH18" s="136"/>
      <c r="BI18" s="136"/>
      <c r="BJ18" s="136"/>
      <c r="BK18" s="136"/>
      <c r="BL18" s="136"/>
      <c r="BM18" s="137"/>
      <c r="BN18" s="136"/>
      <c r="BO18" s="137"/>
      <c r="BR18" s="134" t="str">
        <f>IF(COUNTIF(BR$7:BR17,J18)&gt;0,"",J18)&amp;""</f>
        <v/>
      </c>
      <c r="BS18" s="138">
        <f t="shared" si="10"/>
        <v>0</v>
      </c>
      <c r="BT18" s="132">
        <f t="shared" si="11"/>
        <v>1</v>
      </c>
      <c r="BU18" s="138">
        <f t="shared" si="12"/>
        <v>0</v>
      </c>
      <c r="BV18" s="132">
        <f t="shared" si="13"/>
        <v>1</v>
      </c>
      <c r="BW18" s="133"/>
      <c r="BX18" s="133"/>
    </row>
    <row r="19" ht="15" customHeight="1" spans="1:77">
      <c r="A19" s="123" t="str">
        <f>IF(F19="","",COUNT(A$7:A18)+1)</f>
        <v/>
      </c>
      <c r="B19" s="141"/>
      <c r="C19" s="141"/>
      <c r="D19" s="141"/>
      <c r="E19" s="141"/>
      <c r="F19" s="139"/>
      <c r="G19" s="139"/>
      <c r="H19" s="140"/>
      <c r="I19" s="141"/>
      <c r="J19" s="141"/>
      <c r="K19" s="140"/>
      <c r="L19" s="141"/>
      <c r="M19" s="501"/>
      <c r="N19" s="501"/>
      <c r="O19" s="501"/>
      <c r="P19" s="501"/>
      <c r="Q19" s="501"/>
      <c r="R19" s="501"/>
      <c r="S19" s="501"/>
      <c r="T19" s="501"/>
      <c r="U19" s="501"/>
      <c r="V19" s="501"/>
      <c r="W19" s="501"/>
      <c r="X19" s="501"/>
      <c r="Y19" s="501"/>
      <c r="Z19" s="501"/>
      <c r="AA19" s="142"/>
      <c r="AB19" s="127" t="str">
        <f>IFERROR(VLOOKUP(AA19,参数表!$H$2:$I$50,2,FALSE),"")</f>
        <v/>
      </c>
      <c r="AC19" s="128" t="str">
        <f t="shared" si="6"/>
        <v/>
      </c>
      <c r="AD19" s="128" t="str">
        <f t="shared" si="7"/>
        <v/>
      </c>
      <c r="AE19" s="143"/>
      <c r="AF19" s="143"/>
      <c r="AG19" s="143"/>
      <c r="AH19" s="143"/>
      <c r="AI19" s="129" t="str">
        <f t="shared" si="0"/>
        <v/>
      </c>
      <c r="AJ19" s="129" t="str">
        <f t="shared" si="1"/>
        <v/>
      </c>
      <c r="AK19" s="129" t="str">
        <f t="shared" si="2"/>
        <v/>
      </c>
      <c r="AL19" s="129" t="str">
        <f t="shared" si="3"/>
        <v/>
      </c>
      <c r="AM19" s="129" t="str">
        <f t="shared" si="8"/>
        <v/>
      </c>
      <c r="AN19" s="145"/>
      <c r="BA19" s="78"/>
      <c r="BB19" s="132" t="s">
        <v>4330</v>
      </c>
      <c r="BC19" s="133"/>
      <c r="BD19" s="132" t="str">
        <f>IF(OR(F19="",BC19=""),"",COUNTIF(BC$8:BC19,"√"))</f>
        <v/>
      </c>
      <c r="BE19" s="134" t="str">
        <f t="shared" si="4"/>
        <v/>
      </c>
      <c r="BF19" s="135" t="str">
        <f t="shared" si="9"/>
        <v/>
      </c>
      <c r="BG19" s="135" t="str">
        <f t="shared" si="9"/>
        <v/>
      </c>
      <c r="BH19" s="136"/>
      <c r="BI19" s="136"/>
      <c r="BJ19" s="136"/>
      <c r="BK19" s="136"/>
      <c r="BL19" s="136"/>
      <c r="BM19" s="137"/>
      <c r="BN19" s="136"/>
      <c r="BO19" s="137"/>
      <c r="BR19" s="134" t="str">
        <f>IF(COUNTIF(BR$7:BR18,J19)&gt;0,"",J19)&amp;""</f>
        <v/>
      </c>
      <c r="BS19" s="138">
        <f t="shared" si="10"/>
        <v>0</v>
      </c>
      <c r="BT19" s="132">
        <f t="shared" si="11"/>
        <v>1</v>
      </c>
      <c r="BU19" s="138">
        <f t="shared" si="12"/>
        <v>0</v>
      </c>
      <c r="BV19" s="132">
        <f t="shared" si="13"/>
        <v>1</v>
      </c>
      <c r="BW19" s="133"/>
      <c r="BX19" s="133"/>
    </row>
    <row r="20" ht="15" customHeight="1" spans="1:77">
      <c r="A20" s="123" t="str">
        <f>IF(F20="","",COUNT(A$7:A19)+1)</f>
        <v/>
      </c>
      <c r="B20" s="141"/>
      <c r="C20" s="141"/>
      <c r="D20" s="141"/>
      <c r="E20" s="141"/>
      <c r="F20" s="139"/>
      <c r="G20" s="139"/>
      <c r="H20" s="140"/>
      <c r="I20" s="141"/>
      <c r="J20" s="141"/>
      <c r="K20" s="140"/>
      <c r="L20" s="141"/>
      <c r="M20" s="501"/>
      <c r="N20" s="501"/>
      <c r="O20" s="501"/>
      <c r="P20" s="501"/>
      <c r="Q20" s="501"/>
      <c r="R20" s="501"/>
      <c r="S20" s="501"/>
      <c r="T20" s="501"/>
      <c r="U20" s="501"/>
      <c r="V20" s="501"/>
      <c r="W20" s="501"/>
      <c r="X20" s="501"/>
      <c r="Y20" s="501"/>
      <c r="Z20" s="501"/>
      <c r="AA20" s="142"/>
      <c r="AB20" s="127" t="str">
        <f>IFERROR(VLOOKUP(AA20,参数表!$H$2:$I$50,2,FALSE),"")</f>
        <v/>
      </c>
      <c r="AC20" s="128" t="str">
        <f t="shared" si="6"/>
        <v/>
      </c>
      <c r="AD20" s="128" t="str">
        <f t="shared" si="7"/>
        <v/>
      </c>
      <c r="AE20" s="143"/>
      <c r="AF20" s="143"/>
      <c r="AG20" s="143"/>
      <c r="AH20" s="143"/>
      <c r="AI20" s="129" t="str">
        <f t="shared" si="0"/>
        <v/>
      </c>
      <c r="AJ20" s="129" t="str">
        <f t="shared" si="1"/>
        <v/>
      </c>
      <c r="AK20" s="129" t="str">
        <f t="shared" si="2"/>
        <v/>
      </c>
      <c r="AL20" s="129" t="str">
        <f t="shared" si="3"/>
        <v/>
      </c>
      <c r="AM20" s="129" t="str">
        <f t="shared" si="8"/>
        <v/>
      </c>
      <c r="AN20" s="145"/>
      <c r="BA20" s="78"/>
      <c r="BB20" s="132" t="s">
        <v>4331</v>
      </c>
      <c r="BC20" s="133"/>
      <c r="BD20" s="132" t="str">
        <f>IF(OR(F20="",BC20=""),"",COUNTIF(BC$8:BC20,"√"))</f>
        <v/>
      </c>
      <c r="BE20" s="134" t="str">
        <f t="shared" si="4"/>
        <v/>
      </c>
      <c r="BF20" s="135" t="str">
        <f t="shared" si="9"/>
        <v/>
      </c>
      <c r="BG20" s="135" t="str">
        <f t="shared" si="9"/>
        <v/>
      </c>
      <c r="BH20" s="136"/>
      <c r="BI20" s="136"/>
      <c r="BJ20" s="136"/>
      <c r="BK20" s="136"/>
      <c r="BL20" s="136"/>
      <c r="BM20" s="137"/>
      <c r="BN20" s="136"/>
      <c r="BO20" s="137"/>
      <c r="BR20" s="134" t="str">
        <f>IF(COUNTIF(BR$7:BR19,J20)&gt;0,"",J20)&amp;""</f>
        <v/>
      </c>
      <c r="BS20" s="138">
        <f t="shared" si="10"/>
        <v>0</v>
      </c>
      <c r="BT20" s="132">
        <f t="shared" si="11"/>
        <v>1</v>
      </c>
      <c r="BU20" s="138">
        <f t="shared" si="12"/>
        <v>0</v>
      </c>
      <c r="BV20" s="132">
        <f t="shared" si="13"/>
        <v>1</v>
      </c>
      <c r="BW20" s="133"/>
      <c r="BX20" s="133"/>
    </row>
    <row r="21" ht="15" customHeight="1" spans="1:77">
      <c r="A21" s="123" t="str">
        <f>IF(F21="","",COUNT(A$7:A20)+1)</f>
        <v/>
      </c>
      <c r="B21" s="141"/>
      <c r="C21" s="141"/>
      <c r="D21" s="141"/>
      <c r="E21" s="141"/>
      <c r="F21" s="139"/>
      <c r="G21" s="139"/>
      <c r="H21" s="140"/>
      <c r="I21" s="141"/>
      <c r="J21" s="141"/>
      <c r="K21" s="140"/>
      <c r="L21" s="141"/>
      <c r="M21" s="501"/>
      <c r="N21" s="501"/>
      <c r="O21" s="501"/>
      <c r="P21" s="501"/>
      <c r="Q21" s="501"/>
      <c r="R21" s="501"/>
      <c r="S21" s="501"/>
      <c r="T21" s="501"/>
      <c r="U21" s="501"/>
      <c r="V21" s="501"/>
      <c r="W21" s="501"/>
      <c r="X21" s="501"/>
      <c r="Y21" s="501"/>
      <c r="Z21" s="501"/>
      <c r="AA21" s="142"/>
      <c r="AB21" s="127" t="str">
        <f>IFERROR(VLOOKUP(AA21,参数表!$H$2:$I$50,2,FALSE),"")</f>
        <v/>
      </c>
      <c r="AC21" s="128" t="str">
        <f t="shared" si="6"/>
        <v/>
      </c>
      <c r="AD21" s="128" t="str">
        <f t="shared" si="7"/>
        <v/>
      </c>
      <c r="AE21" s="143"/>
      <c r="AF21" s="143"/>
      <c r="AG21" s="143"/>
      <c r="AH21" s="143"/>
      <c r="AI21" s="129" t="str">
        <f t="shared" si="0"/>
        <v/>
      </c>
      <c r="AJ21" s="129" t="str">
        <f t="shared" si="1"/>
        <v/>
      </c>
      <c r="AK21" s="129" t="str">
        <f t="shared" si="2"/>
        <v/>
      </c>
      <c r="AL21" s="129" t="str">
        <f t="shared" si="3"/>
        <v/>
      </c>
      <c r="AM21" s="129" t="str">
        <f t="shared" si="8"/>
        <v/>
      </c>
      <c r="AN21" s="145"/>
      <c r="BA21" s="78"/>
      <c r="BB21" s="132" t="s">
        <v>4332</v>
      </c>
      <c r="BC21" s="133"/>
      <c r="BD21" s="132" t="str">
        <f>IF(OR(F21="",BC21=""),"",COUNTIF(BC$8:BC21,"√"))</f>
        <v/>
      </c>
      <c r="BE21" s="134" t="str">
        <f t="shared" si="4"/>
        <v/>
      </c>
      <c r="BF21" s="135" t="str">
        <f t="shared" si="9"/>
        <v/>
      </c>
      <c r="BG21" s="135" t="str">
        <f t="shared" si="9"/>
        <v/>
      </c>
      <c r="BH21" s="136"/>
      <c r="BI21" s="136"/>
      <c r="BJ21" s="136"/>
      <c r="BK21" s="136"/>
      <c r="BL21" s="136"/>
      <c r="BM21" s="137"/>
      <c r="BN21" s="136"/>
      <c r="BO21" s="137"/>
      <c r="BR21" s="134" t="str">
        <f>IF(COUNTIF(BR$7:BR20,J21)&gt;0,"",J21)&amp;""</f>
        <v/>
      </c>
      <c r="BS21" s="138">
        <f t="shared" si="10"/>
        <v>0</v>
      </c>
      <c r="BT21" s="132">
        <f t="shared" si="11"/>
        <v>1</v>
      </c>
      <c r="BU21" s="138">
        <f t="shared" si="12"/>
        <v>0</v>
      </c>
      <c r="BV21" s="132">
        <f t="shared" si="13"/>
        <v>1</v>
      </c>
      <c r="BW21" s="133"/>
      <c r="BX21" s="133"/>
    </row>
    <row r="22" ht="15" customHeight="1" spans="1:77">
      <c r="A22" s="123" t="str">
        <f>IF(F22="","",COUNT(A$7:A21)+1)</f>
        <v/>
      </c>
      <c r="B22" s="141"/>
      <c r="C22" s="141"/>
      <c r="D22" s="141"/>
      <c r="E22" s="141"/>
      <c r="F22" s="139"/>
      <c r="G22" s="139"/>
      <c r="H22" s="140"/>
      <c r="I22" s="141"/>
      <c r="J22" s="141"/>
      <c r="K22" s="140"/>
      <c r="L22" s="141"/>
      <c r="M22" s="501"/>
      <c r="N22" s="501"/>
      <c r="O22" s="501"/>
      <c r="P22" s="501"/>
      <c r="Q22" s="501"/>
      <c r="R22" s="501"/>
      <c r="S22" s="501"/>
      <c r="T22" s="501"/>
      <c r="U22" s="501"/>
      <c r="V22" s="501"/>
      <c r="W22" s="501"/>
      <c r="X22" s="501"/>
      <c r="Y22" s="501"/>
      <c r="Z22" s="501"/>
      <c r="AA22" s="142"/>
      <c r="AB22" s="127" t="str">
        <f>IFERROR(VLOOKUP(AA22,参数表!$H$2:$I$50,2,FALSE),"")</f>
        <v/>
      </c>
      <c r="AC22" s="128" t="str">
        <f t="shared" si="6"/>
        <v/>
      </c>
      <c r="AD22" s="128" t="str">
        <f t="shared" si="7"/>
        <v/>
      </c>
      <c r="AE22" s="143"/>
      <c r="AF22" s="143"/>
      <c r="AG22" s="143"/>
      <c r="AH22" s="143"/>
      <c r="AI22" s="129" t="str">
        <f t="shared" si="0"/>
        <v/>
      </c>
      <c r="AJ22" s="129" t="str">
        <f t="shared" si="1"/>
        <v/>
      </c>
      <c r="AK22" s="129" t="str">
        <f t="shared" si="2"/>
        <v/>
      </c>
      <c r="AL22" s="129" t="str">
        <f t="shared" si="3"/>
        <v/>
      </c>
      <c r="AM22" s="129" t="str">
        <f t="shared" si="8"/>
        <v/>
      </c>
      <c r="AN22" s="145"/>
      <c r="BA22" s="78"/>
      <c r="BB22" s="132" t="s">
        <v>4333</v>
      </c>
      <c r="BC22" s="133"/>
      <c r="BD22" s="132" t="str">
        <f>IF(OR(F22="",BC22=""),"",COUNTIF(BC$8:BC22,"√"))</f>
        <v/>
      </c>
      <c r="BE22" s="134" t="str">
        <f t="shared" si="4"/>
        <v/>
      </c>
      <c r="BF22" s="135" t="str">
        <f t="shared" si="9"/>
        <v/>
      </c>
      <c r="BG22" s="135" t="str">
        <f t="shared" si="9"/>
        <v/>
      </c>
      <c r="BH22" s="136"/>
      <c r="BI22" s="136"/>
      <c r="BJ22" s="136"/>
      <c r="BK22" s="136"/>
      <c r="BL22" s="136"/>
      <c r="BM22" s="137"/>
      <c r="BN22" s="136"/>
      <c r="BO22" s="137"/>
      <c r="BR22" s="134" t="str">
        <f>IF(COUNTIF(BR$7:BR21,J22)&gt;0,"",J22)&amp;""</f>
        <v/>
      </c>
      <c r="BS22" s="138">
        <f t="shared" si="10"/>
        <v>0</v>
      </c>
      <c r="BT22" s="132">
        <f t="shared" si="11"/>
        <v>1</v>
      </c>
      <c r="BU22" s="138">
        <f t="shared" si="12"/>
        <v>0</v>
      </c>
      <c r="BV22" s="132">
        <f t="shared" si="13"/>
        <v>1</v>
      </c>
      <c r="BW22" s="133"/>
      <c r="BX22" s="133"/>
    </row>
    <row r="23" ht="15" customHeight="1" spans="1:77">
      <c r="A23" s="123" t="str">
        <f>IF(F23="","",COUNT(A$7:A22)+1)</f>
        <v/>
      </c>
      <c r="B23" s="141"/>
      <c r="C23" s="141"/>
      <c r="D23" s="141"/>
      <c r="E23" s="141"/>
      <c r="F23" s="139"/>
      <c r="G23" s="139"/>
      <c r="H23" s="140"/>
      <c r="I23" s="141"/>
      <c r="J23" s="141"/>
      <c r="K23" s="140"/>
      <c r="L23" s="141"/>
      <c r="M23" s="501"/>
      <c r="N23" s="501"/>
      <c r="O23" s="501"/>
      <c r="P23" s="501"/>
      <c r="Q23" s="501"/>
      <c r="R23" s="501"/>
      <c r="S23" s="501"/>
      <c r="T23" s="501"/>
      <c r="U23" s="501"/>
      <c r="V23" s="501"/>
      <c r="W23" s="501"/>
      <c r="X23" s="501"/>
      <c r="Y23" s="501"/>
      <c r="Z23" s="501"/>
      <c r="AA23" s="142"/>
      <c r="AB23" s="127" t="str">
        <f>IFERROR(VLOOKUP(AA23,参数表!$H$2:$I$50,2,FALSE),"")</f>
        <v/>
      </c>
      <c r="AC23" s="128" t="str">
        <f t="shared" si="6"/>
        <v/>
      </c>
      <c r="AD23" s="128" t="str">
        <f t="shared" si="7"/>
        <v/>
      </c>
      <c r="AE23" s="143"/>
      <c r="AF23" s="143"/>
      <c r="AG23" s="143"/>
      <c r="AH23" s="143"/>
      <c r="AI23" s="129" t="str">
        <f t="shared" si="0"/>
        <v/>
      </c>
      <c r="AJ23" s="129" t="str">
        <f t="shared" si="1"/>
        <v/>
      </c>
      <c r="AK23" s="129" t="str">
        <f t="shared" si="2"/>
        <v/>
      </c>
      <c r="AL23" s="129" t="str">
        <f t="shared" si="3"/>
        <v/>
      </c>
      <c r="AM23" s="129" t="str">
        <f t="shared" si="8"/>
        <v/>
      </c>
      <c r="AN23" s="145"/>
      <c r="BA23" s="78"/>
      <c r="BB23" s="132" t="s">
        <v>4334</v>
      </c>
      <c r="BC23" s="133"/>
      <c r="BD23" s="132" t="str">
        <f>IF(OR(F23="",BC23=""),"",COUNTIF(BC$8:BC23,"√"))</f>
        <v/>
      </c>
      <c r="BE23" s="134" t="str">
        <f t="shared" si="4"/>
        <v/>
      </c>
      <c r="BF23" s="135" t="str">
        <f t="shared" ref="BF23:BG27" si="16">IF($C23="","",IF(BF$5=0,"OK","出错"))</f>
        <v/>
      </c>
      <c r="BG23" s="135" t="str">
        <f t="shared" si="16"/>
        <v/>
      </c>
      <c r="BH23" s="136"/>
      <c r="BI23" s="136"/>
      <c r="BJ23" s="136"/>
      <c r="BK23" s="136"/>
      <c r="BL23" s="136"/>
      <c r="BM23" s="137"/>
      <c r="BN23" s="136"/>
      <c r="BO23" s="137"/>
      <c r="BR23" s="134" t="str">
        <f>IF(COUNTIF(BR$7:BR22,J23)&gt;0,"",J23)&amp;""</f>
        <v/>
      </c>
      <c r="BS23" s="138">
        <f t="shared" si="10"/>
        <v>0</v>
      </c>
      <c r="BT23" s="132">
        <f t="shared" si="11"/>
        <v>1</v>
      </c>
      <c r="BU23" s="138">
        <f t="shared" si="12"/>
        <v>0</v>
      </c>
      <c r="BV23" s="132">
        <f t="shared" si="13"/>
        <v>1</v>
      </c>
      <c r="BW23" s="133"/>
      <c r="BX23" s="133"/>
    </row>
    <row r="24" ht="15" customHeight="1" spans="1:77">
      <c r="A24" s="123" t="str">
        <f>IF(F24="","",COUNT(A$7:A23)+1)</f>
        <v/>
      </c>
      <c r="B24" s="141"/>
      <c r="C24" s="141"/>
      <c r="D24" s="141"/>
      <c r="E24" s="141"/>
      <c r="F24" s="139"/>
      <c r="G24" s="139"/>
      <c r="H24" s="140"/>
      <c r="I24" s="141"/>
      <c r="J24" s="141"/>
      <c r="K24" s="140"/>
      <c r="L24" s="141"/>
      <c r="M24" s="501"/>
      <c r="N24" s="501"/>
      <c r="O24" s="501"/>
      <c r="P24" s="501"/>
      <c r="Q24" s="501"/>
      <c r="R24" s="501"/>
      <c r="S24" s="501"/>
      <c r="T24" s="501"/>
      <c r="U24" s="501"/>
      <c r="V24" s="501"/>
      <c r="W24" s="501"/>
      <c r="X24" s="501"/>
      <c r="Y24" s="501"/>
      <c r="Z24" s="501"/>
      <c r="AA24" s="142"/>
      <c r="AB24" s="127" t="str">
        <f>IFERROR(VLOOKUP(AA24,参数表!$H$2:$I$50,2,FALSE),"")</f>
        <v/>
      </c>
      <c r="AC24" s="128" t="str">
        <f t="shared" si="6"/>
        <v/>
      </c>
      <c r="AD24" s="128" t="str">
        <f t="shared" si="7"/>
        <v/>
      </c>
      <c r="AE24" s="143"/>
      <c r="AF24" s="143"/>
      <c r="AG24" s="143"/>
      <c r="AH24" s="143"/>
      <c r="AI24" s="129" t="str">
        <f t="shared" si="0"/>
        <v/>
      </c>
      <c r="AJ24" s="129" t="str">
        <f t="shared" si="1"/>
        <v/>
      </c>
      <c r="AK24" s="129" t="str">
        <f t="shared" si="2"/>
        <v/>
      </c>
      <c r="AL24" s="129" t="str">
        <f t="shared" si="3"/>
        <v/>
      </c>
      <c r="AM24" s="129" t="str">
        <f t="shared" si="8"/>
        <v/>
      </c>
      <c r="AN24" s="145"/>
      <c r="BA24" s="78"/>
      <c r="BB24" s="132" t="s">
        <v>4335</v>
      </c>
      <c r="BC24" s="133"/>
      <c r="BD24" s="132" t="str">
        <f>IF(OR(F24="",BC24=""),"",COUNTIF(BC$8:BC24,"√"))</f>
        <v/>
      </c>
      <c r="BE24" s="134" t="str">
        <f t="shared" si="4"/>
        <v/>
      </c>
      <c r="BF24" s="135" t="str">
        <f t="shared" si="16"/>
        <v/>
      </c>
      <c r="BG24" s="135" t="str">
        <f t="shared" si="16"/>
        <v/>
      </c>
      <c r="BH24" s="136"/>
      <c r="BI24" s="136"/>
      <c r="BJ24" s="136"/>
      <c r="BK24" s="136"/>
      <c r="BL24" s="136"/>
      <c r="BM24" s="137"/>
      <c r="BN24" s="136"/>
      <c r="BO24" s="137"/>
      <c r="BR24" s="134" t="str">
        <f>IF(COUNTIF(BR$7:BR23,J24)&gt;0,"",J24)&amp;""</f>
        <v/>
      </c>
      <c r="BS24" s="138">
        <f t="shared" si="10"/>
        <v>0</v>
      </c>
      <c r="BT24" s="132">
        <f t="shared" si="11"/>
        <v>1</v>
      </c>
      <c r="BU24" s="138">
        <f t="shared" si="12"/>
        <v>0</v>
      </c>
      <c r="BV24" s="132">
        <f t="shared" si="13"/>
        <v>1</v>
      </c>
      <c r="BW24" s="133"/>
      <c r="BX24" s="133"/>
    </row>
    <row r="25" ht="15" customHeight="1" spans="1:77">
      <c r="A25" s="123" t="str">
        <f>IF(F25="","",COUNT(A$7:A24)+1)</f>
        <v/>
      </c>
      <c r="B25" s="141"/>
      <c r="C25" s="141"/>
      <c r="D25" s="141"/>
      <c r="E25" s="141"/>
      <c r="F25" s="139"/>
      <c r="G25" s="139"/>
      <c r="H25" s="140"/>
      <c r="I25" s="141"/>
      <c r="J25" s="141"/>
      <c r="K25" s="140"/>
      <c r="L25" s="141"/>
      <c r="M25" s="501"/>
      <c r="N25" s="501"/>
      <c r="O25" s="501"/>
      <c r="P25" s="501"/>
      <c r="Q25" s="501"/>
      <c r="R25" s="501"/>
      <c r="S25" s="501"/>
      <c r="T25" s="501"/>
      <c r="U25" s="501"/>
      <c r="V25" s="501"/>
      <c r="W25" s="501"/>
      <c r="X25" s="501"/>
      <c r="Y25" s="501"/>
      <c r="Z25" s="501"/>
      <c r="AA25" s="142"/>
      <c r="AB25" s="127" t="str">
        <f>IFERROR(VLOOKUP(AA25,参数表!$H$2:$I$50,2,FALSE),"")</f>
        <v/>
      </c>
      <c r="AC25" s="128" t="str">
        <f t="shared" si="6"/>
        <v/>
      </c>
      <c r="AD25" s="128" t="str">
        <f t="shared" si="7"/>
        <v/>
      </c>
      <c r="AE25" s="143"/>
      <c r="AF25" s="143"/>
      <c r="AG25" s="143"/>
      <c r="AH25" s="143"/>
      <c r="AI25" s="129" t="str">
        <f t="shared" si="0"/>
        <v/>
      </c>
      <c r="AJ25" s="129" t="str">
        <f t="shared" si="1"/>
        <v/>
      </c>
      <c r="AK25" s="129" t="str">
        <f t="shared" si="2"/>
        <v/>
      </c>
      <c r="AL25" s="129" t="str">
        <f t="shared" si="3"/>
        <v/>
      </c>
      <c r="AM25" s="129" t="str">
        <f t="shared" si="8"/>
        <v/>
      </c>
      <c r="AN25" s="145"/>
      <c r="BA25" s="78"/>
      <c r="BB25" s="132" t="s">
        <v>4336</v>
      </c>
      <c r="BC25" s="133"/>
      <c r="BD25" s="132" t="str">
        <f>IF(OR(F25="",BC25=""),"",COUNTIF(BC$8:BC25,"√"))</f>
        <v/>
      </c>
      <c r="BE25" s="134" t="str">
        <f t="shared" si="4"/>
        <v/>
      </c>
      <c r="BF25" s="135" t="str">
        <f t="shared" si="16"/>
        <v/>
      </c>
      <c r="BG25" s="135" t="str">
        <f t="shared" si="16"/>
        <v/>
      </c>
      <c r="BH25" s="136"/>
      <c r="BI25" s="136"/>
      <c r="BJ25" s="136"/>
      <c r="BK25" s="136"/>
      <c r="BL25" s="136"/>
      <c r="BM25" s="137"/>
      <c r="BN25" s="136"/>
      <c r="BO25" s="137"/>
      <c r="BR25" s="134" t="str">
        <f>IF(COUNTIF(BR$7:BR24,J25)&gt;0,"",J25)&amp;""</f>
        <v/>
      </c>
      <c r="BS25" s="138">
        <f t="shared" si="10"/>
        <v>0</v>
      </c>
      <c r="BT25" s="132">
        <f t="shared" si="11"/>
        <v>1</v>
      </c>
      <c r="BU25" s="138">
        <f t="shared" si="12"/>
        <v>0</v>
      </c>
      <c r="BV25" s="132">
        <f t="shared" si="13"/>
        <v>1</v>
      </c>
      <c r="BW25" s="133"/>
      <c r="BX25" s="133"/>
    </row>
    <row r="26" ht="15" customHeight="1" spans="1:77">
      <c r="A26" s="123" t="str">
        <f>IF(F26="","",COUNT(A$7:A25)+1)</f>
        <v/>
      </c>
      <c r="B26" s="141"/>
      <c r="C26" s="141"/>
      <c r="D26" s="141"/>
      <c r="E26" s="141"/>
      <c r="F26" s="139"/>
      <c r="G26" s="139"/>
      <c r="H26" s="140"/>
      <c r="I26" s="141"/>
      <c r="J26" s="141"/>
      <c r="K26" s="140"/>
      <c r="L26" s="141"/>
      <c r="M26" s="501"/>
      <c r="N26" s="501"/>
      <c r="O26" s="501"/>
      <c r="P26" s="501"/>
      <c r="Q26" s="501"/>
      <c r="R26" s="501"/>
      <c r="S26" s="501"/>
      <c r="T26" s="501"/>
      <c r="U26" s="501"/>
      <c r="V26" s="501"/>
      <c r="W26" s="501"/>
      <c r="X26" s="501"/>
      <c r="Y26" s="501"/>
      <c r="Z26" s="501"/>
      <c r="AA26" s="142"/>
      <c r="AB26" s="127" t="str">
        <f>IFERROR(VLOOKUP(AA26,参数表!$H$2:$I$50,2,FALSE),"")</f>
        <v/>
      </c>
      <c r="AC26" s="128" t="str">
        <f t="shared" si="6"/>
        <v/>
      </c>
      <c r="AD26" s="128" t="str">
        <f t="shared" si="7"/>
        <v/>
      </c>
      <c r="AE26" s="143"/>
      <c r="AF26" s="143"/>
      <c r="AG26" s="143"/>
      <c r="AH26" s="143"/>
      <c r="AI26" s="129" t="str">
        <f t="shared" si="0"/>
        <v/>
      </c>
      <c r="AJ26" s="129" t="str">
        <f t="shared" si="1"/>
        <v/>
      </c>
      <c r="AK26" s="129" t="str">
        <f t="shared" si="2"/>
        <v/>
      </c>
      <c r="AL26" s="129" t="str">
        <f t="shared" si="3"/>
        <v/>
      </c>
      <c r="AM26" s="129" t="str">
        <f t="shared" si="8"/>
        <v/>
      </c>
      <c r="AN26" s="145"/>
      <c r="BA26" s="78"/>
      <c r="BB26" s="132" t="s">
        <v>4337</v>
      </c>
      <c r="BC26" s="133"/>
      <c r="BD26" s="132" t="str">
        <f>IF(OR(F26="",BC26=""),"",COUNTIF(BC$8:BC26,"√"))</f>
        <v/>
      </c>
      <c r="BE26" s="134" t="str">
        <f t="shared" si="4"/>
        <v/>
      </c>
      <c r="BF26" s="135" t="str">
        <f t="shared" si="16"/>
        <v/>
      </c>
      <c r="BG26" s="135" t="str">
        <f t="shared" si="16"/>
        <v/>
      </c>
      <c r="BH26" s="136"/>
      <c r="BI26" s="136"/>
      <c r="BJ26" s="136"/>
      <c r="BK26" s="136"/>
      <c r="BL26" s="136"/>
      <c r="BM26" s="137"/>
      <c r="BN26" s="136"/>
      <c r="BO26" s="137"/>
      <c r="BR26" s="134" t="str">
        <f>IF(COUNTIF(BR$7:BR25,J26)&gt;0,"",J26)&amp;""</f>
        <v/>
      </c>
      <c r="BS26" s="138">
        <f t="shared" si="10"/>
        <v>0</v>
      </c>
      <c r="BT26" s="132">
        <f t="shared" si="11"/>
        <v>1</v>
      </c>
      <c r="BU26" s="138">
        <f t="shared" si="12"/>
        <v>0</v>
      </c>
      <c r="BV26" s="132">
        <f t="shared" si="13"/>
        <v>1</v>
      </c>
      <c r="BW26" s="133"/>
      <c r="BX26" s="133"/>
    </row>
    <row r="27" ht="15" customHeight="1" spans="1:77">
      <c r="A27" s="123" t="str">
        <f>IF(F27="","",COUNT(A$7:A26)+1)</f>
        <v/>
      </c>
      <c r="B27" s="123"/>
      <c r="C27" s="126"/>
      <c r="D27" s="126"/>
      <c r="E27" s="126"/>
      <c r="F27" s="124"/>
      <c r="G27" s="124"/>
      <c r="H27" s="125"/>
      <c r="I27" s="126"/>
      <c r="J27" s="126"/>
      <c r="K27" s="125"/>
      <c r="L27" s="126"/>
      <c r="M27" s="491"/>
      <c r="N27" s="491"/>
      <c r="O27" s="491"/>
      <c r="P27" s="491"/>
      <c r="Q27" s="491"/>
      <c r="R27" s="491"/>
      <c r="S27" s="491"/>
      <c r="T27" s="491"/>
      <c r="U27" s="491"/>
      <c r="V27" s="491"/>
      <c r="W27" s="491"/>
      <c r="X27" s="491"/>
      <c r="Y27" s="491"/>
      <c r="Z27" s="491"/>
      <c r="AA27" s="127"/>
      <c r="AB27" s="127" t="str">
        <f>IFERROR(VLOOKUP(AA27,参数表!$H$2:$I$50,2,FALSE),"")</f>
        <v/>
      </c>
      <c r="AC27" s="128" t="str">
        <f t="shared" si="6"/>
        <v/>
      </c>
      <c r="AD27" s="128" t="str">
        <f t="shared" si="7"/>
        <v/>
      </c>
      <c r="AE27" s="129"/>
      <c r="AF27" s="129"/>
      <c r="AG27" s="129"/>
      <c r="AH27" s="129"/>
      <c r="AI27" s="129" t="str">
        <f t="shared" si="0"/>
        <v/>
      </c>
      <c r="AJ27" s="129" t="str">
        <f t="shared" si="1"/>
        <v/>
      </c>
      <c r="AK27" s="129" t="str">
        <f t="shared" si="2"/>
        <v/>
      </c>
      <c r="AL27" s="129" t="str">
        <f t="shared" si="3"/>
        <v/>
      </c>
      <c r="AM27" s="129" t="str">
        <f t="shared" si="8"/>
        <v/>
      </c>
      <c r="AN27" s="131"/>
      <c r="BA27" s="78"/>
      <c r="BB27" s="132" t="s">
        <v>4338</v>
      </c>
      <c r="BC27" s="133"/>
      <c r="BD27" s="132" t="str">
        <f>IF(OR(F27="",BC27=""),"",COUNTIF(BC$8:BC27,"√"))</f>
        <v/>
      </c>
      <c r="BE27" s="134" t="str">
        <f t="shared" si="4"/>
        <v/>
      </c>
      <c r="BF27" s="135" t="str">
        <f t="shared" si="16"/>
        <v/>
      </c>
      <c r="BG27" s="135" t="str">
        <f t="shared" si="16"/>
        <v/>
      </c>
      <c r="BH27" s="136"/>
      <c r="BI27" s="136"/>
      <c r="BJ27" s="136"/>
      <c r="BK27" s="136"/>
      <c r="BL27" s="136"/>
      <c r="BM27" s="137"/>
      <c r="BN27" s="136"/>
      <c r="BO27" s="137"/>
      <c r="BR27" s="134" t="str">
        <f>IF(COUNTIF(BR$7:BR26,J27)&gt;0,"",J27)&amp;""</f>
        <v/>
      </c>
      <c r="BS27" s="138">
        <f t="shared" si="10"/>
        <v>0</v>
      </c>
      <c r="BT27" s="132">
        <f t="shared" si="11"/>
        <v>1</v>
      </c>
      <c r="BU27" s="138">
        <f t="shared" si="12"/>
        <v>0</v>
      </c>
      <c r="BV27" s="132">
        <f t="shared" si="13"/>
        <v>1</v>
      </c>
      <c r="BW27" s="133"/>
      <c r="BX27" s="133"/>
    </row>
    <row r="28" s="73" customFormat="1" customHeight="1" spans="1:77">
      <c r="A28" s="149" t="s">
        <v>1672</v>
      </c>
      <c r="B28" s="149"/>
      <c r="C28" s="149"/>
      <c r="D28" s="149"/>
      <c r="E28" s="149"/>
      <c r="F28" s="149"/>
      <c r="G28" s="149"/>
      <c r="H28" s="356"/>
      <c r="I28" s="149"/>
      <c r="J28" s="149"/>
      <c r="K28" s="149"/>
      <c r="L28" s="149"/>
      <c r="M28" s="354"/>
      <c r="N28" s="354"/>
      <c r="O28" s="354"/>
      <c r="P28" s="354"/>
      <c r="Q28" s="354"/>
      <c r="R28" s="354"/>
      <c r="S28" s="354"/>
      <c r="T28" s="354"/>
      <c r="U28" s="354"/>
      <c r="V28" s="354"/>
      <c r="W28" s="354"/>
      <c r="X28" s="354"/>
      <c r="Y28" s="354"/>
      <c r="Z28" s="354"/>
      <c r="AA28" s="152"/>
      <c r="AB28" s="152"/>
      <c r="AC28" s="152"/>
      <c r="AD28" s="152"/>
      <c r="AE28" s="152">
        <f>SUM(AE8:AE27)</f>
        <v>0</v>
      </c>
      <c r="AF28" s="152">
        <f>SUM(AF8:AF27)</f>
        <v>0</v>
      </c>
      <c r="AG28" s="152"/>
      <c r="AH28" s="152"/>
      <c r="AI28" s="152">
        <f>SUM(AI8:AI27)</f>
        <v>0</v>
      </c>
      <c r="AJ28" s="152">
        <f>SUM(AJ8:AJ27)</f>
        <v>0</v>
      </c>
      <c r="AK28" s="152">
        <f>SUM(AK8:AK27)</f>
        <v>0</v>
      </c>
      <c r="AL28" s="152">
        <f>SUM(AL8:AL27)</f>
        <v>0</v>
      </c>
      <c r="AM28" s="152" t="str">
        <f>IF(AJ28=0,"",(AL28-AJ28)/AJ28*100)</f>
        <v/>
      </c>
      <c r="AN28" s="151"/>
      <c r="BH28" s="72"/>
      <c r="BI28" s="72"/>
      <c r="BJ28" s="72"/>
      <c r="BK28" s="72"/>
      <c r="BL28" s="72"/>
      <c r="BN28" s="72"/>
      <c r="BQ28" s="111"/>
      <c r="BR28" s="119"/>
      <c r="BS28" s="77"/>
      <c r="BT28" s="77"/>
      <c r="BU28" s="77"/>
      <c r="BV28" s="119"/>
      <c r="BW28" s="119"/>
      <c r="BX28" s="119"/>
      <c r="BY28" s="111"/>
    </row>
    <row r="29" customHeight="1" spans="1:77">
      <c r="A29" s="102" t="str">
        <f>参数表!F$6</f>
        <v>产权持有单位填表人：贾广东</v>
      </c>
      <c r="B29" s="96"/>
      <c r="C29" s="154"/>
      <c r="D29" s="154"/>
      <c r="E29" s="286"/>
      <c r="F29" s="154"/>
      <c r="G29" s="154"/>
      <c r="H29" s="286"/>
      <c r="I29" s="286"/>
      <c r="J29" s="95"/>
      <c r="K29" s="95"/>
      <c r="L29" s="95"/>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56" t="str">
        <f>"评估人员："&amp;封面!$G$28</f>
        <v>评估人员：</v>
      </c>
      <c r="AM29" s="103"/>
      <c r="AN29" s="103"/>
    </row>
    <row r="30" customHeight="1" spans="1:77">
      <c r="A30" s="102" t="str">
        <f>参数表!F$7</f>
        <v>填表日期：2025年9月20日</v>
      </c>
      <c r="B30" s="96"/>
      <c r="C30" s="154"/>
      <c r="D30" s="154"/>
      <c r="E30" s="286"/>
      <c r="F30" s="154"/>
      <c r="G30" s="154"/>
      <c r="H30" s="286"/>
      <c r="I30" s="286"/>
      <c r="J30" s="95"/>
      <c r="K30" s="95"/>
      <c r="L30" s="95"/>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row>
    <row r="31" hidden="1" customHeight="1" outlineLevel="1" spans="1:77">
      <c r="A31" s="157"/>
      <c r="B31" s="696"/>
      <c r="C31" s="154" t="s">
        <v>1673</v>
      </c>
      <c r="D31" s="158"/>
      <c r="E31" s="161" t="s">
        <v>1674</v>
      </c>
      <c r="G31" s="158"/>
      <c r="H31" s="228"/>
      <c r="I31" s="228"/>
      <c r="M31" s="159">
        <f>SUMIF($BA8:$BA27,$BA31,M8:M27)</f>
        <v>0</v>
      </c>
      <c r="N31" s="697"/>
      <c r="O31" s="697"/>
      <c r="P31" s="697"/>
      <c r="Q31" s="697"/>
      <c r="R31" s="697"/>
      <c r="S31" s="697"/>
      <c r="T31" s="697"/>
      <c r="U31" s="697"/>
      <c r="V31" s="697"/>
      <c r="W31" s="697"/>
      <c r="X31" s="697"/>
      <c r="Y31" s="697"/>
      <c r="Z31" s="159">
        <f>SUMIF($BA8:$BA27,$BA31,Z8:Z27)</f>
        <v>0</v>
      </c>
      <c r="AA31" s="103"/>
      <c r="AB31" s="103"/>
      <c r="AC31" s="103"/>
      <c r="AD31" s="103"/>
      <c r="AE31" s="159">
        <f>SUMIF($BA8:$BA27,$BA31,AE8:AE27)</f>
        <v>0</v>
      </c>
      <c r="AF31" s="159">
        <f>SUMIF($BA8:$BA27,$BA31,AF8:AF27)</f>
        <v>0</v>
      </c>
      <c r="AG31" s="176"/>
      <c r="AH31" s="176"/>
      <c r="AI31" s="159">
        <f>SUMIF($BA8:$BA27,$BA31,AI8:AI27)</f>
        <v>0</v>
      </c>
      <c r="AJ31" s="159">
        <f>SUMIF($BA8:$BA27,$BA31,AJ8:AJ27)</f>
        <v>0</v>
      </c>
      <c r="AK31" s="159">
        <f>SUMIF($BA8:$BA27,$BA31,AK8:AK27)</f>
        <v>0</v>
      </c>
      <c r="AL31" s="159">
        <f>SUMIF($BA8:$BA27,$BA31,AL8:AL27)</f>
        <v>0</v>
      </c>
      <c r="BA31" s="161" t="s">
        <v>1674</v>
      </c>
      <c r="BH31" s="95" t="s">
        <v>1675</v>
      </c>
      <c r="BI31" s="95" t="s">
        <v>1675</v>
      </c>
      <c r="BJ31" s="95" t="s">
        <v>1675</v>
      </c>
      <c r="BK31" s="95" t="s">
        <v>1675</v>
      </c>
      <c r="BL31" s="95" t="s">
        <v>1675</v>
      </c>
      <c r="BN31" s="95" t="s">
        <v>1675</v>
      </c>
    </row>
    <row r="32" hidden="1" customHeight="1" outlineLevel="1" spans="1:77">
      <c r="A32" s="157"/>
      <c r="B32" s="696"/>
      <c r="C32" s="154" t="s">
        <v>1676</v>
      </c>
      <c r="D32" s="158"/>
      <c r="E32" s="161" t="s">
        <v>1677</v>
      </c>
      <c r="G32" s="158"/>
      <c r="H32" s="228"/>
      <c r="I32" s="228"/>
      <c r="M32" s="159">
        <f>M28-M31</f>
        <v>0</v>
      </c>
      <c r="N32" s="697"/>
      <c r="O32" s="697"/>
      <c r="P32" s="697"/>
      <c r="Q32" s="697"/>
      <c r="R32" s="697"/>
      <c r="S32" s="697"/>
      <c r="T32" s="697"/>
      <c r="U32" s="697"/>
      <c r="V32" s="697"/>
      <c r="W32" s="697"/>
      <c r="X32" s="697"/>
      <c r="Y32" s="697"/>
      <c r="Z32" s="159">
        <f>Z28-Z31</f>
        <v>0</v>
      </c>
      <c r="AA32" s="103"/>
      <c r="AB32" s="103"/>
      <c r="AC32" s="103"/>
      <c r="AD32" s="103"/>
      <c r="AE32" s="159">
        <f>AE28-AE31</f>
        <v>0</v>
      </c>
      <c r="AF32" s="159">
        <f>AF28-AF31</f>
        <v>0</v>
      </c>
      <c r="AG32" s="176"/>
      <c r="AH32" s="176"/>
      <c r="AI32" s="159">
        <f>AI28-AI31</f>
        <v>0</v>
      </c>
      <c r="AJ32" s="159">
        <f>AJ28-AJ31</f>
        <v>0</v>
      </c>
      <c r="AK32" s="159">
        <f>AK28-AK31</f>
        <v>0</v>
      </c>
      <c r="AL32" s="159">
        <f>AL28-AL31</f>
        <v>0</v>
      </c>
      <c r="BA32" s="161" t="s">
        <v>1677</v>
      </c>
      <c r="BH32" s="95" t="s">
        <v>1678</v>
      </c>
      <c r="BI32" s="95" t="s">
        <v>1678</v>
      </c>
      <c r="BJ32" s="95" t="s">
        <v>1678</v>
      </c>
      <c r="BK32" s="95" t="s">
        <v>1678</v>
      </c>
      <c r="BL32" s="95" t="s">
        <v>1678</v>
      </c>
      <c r="BN32" s="95" t="s">
        <v>1678</v>
      </c>
    </row>
    <row r="33" customHeight="1" collapsed="1" spans="1:30">
      <c r="A33" s="157"/>
      <c r="B33" s="696"/>
      <c r="C33" s="158"/>
      <c r="D33" s="158"/>
      <c r="E33" s="228"/>
      <c r="F33" s="158"/>
      <c r="G33" s="158"/>
      <c r="H33" s="228"/>
      <c r="I33" s="228"/>
      <c r="AA33" s="176"/>
      <c r="AB33" s="176"/>
      <c r="AC33" s="176"/>
      <c r="AD33" s="176"/>
    </row>
    <row r="34" customHeight="1" spans="1:30">
      <c r="A34" s="157"/>
      <c r="B34" s="696"/>
      <c r="C34" s="158"/>
      <c r="D34" s="158"/>
      <c r="E34" s="228"/>
      <c r="F34" s="158"/>
      <c r="G34" s="158"/>
      <c r="H34" s="228"/>
      <c r="I34" s="228"/>
      <c r="AA34" s="176"/>
      <c r="AB34" s="176"/>
      <c r="AC34" s="176"/>
      <c r="AD34" s="176"/>
    </row>
    <row r="35" customHeight="1" spans="1:30">
      <c r="A35" s="157"/>
      <c r="B35" s="696"/>
      <c r="C35" s="158"/>
      <c r="D35" s="158"/>
      <c r="E35" s="228"/>
      <c r="F35" s="158"/>
      <c r="G35" s="158"/>
      <c r="H35" s="228"/>
      <c r="I35" s="228"/>
    </row>
    <row r="36" customHeight="1" spans="1:30">
      <c r="A36" s="157"/>
      <c r="B36" s="696"/>
      <c r="C36" s="158"/>
      <c r="D36" s="158"/>
      <c r="E36" s="228"/>
      <c r="F36" s="158"/>
      <c r="G36" s="158"/>
      <c r="H36" s="228"/>
      <c r="I36" s="228"/>
    </row>
    <row r="37" customHeight="1" spans="1:30">
      <c r="A37" s="157"/>
      <c r="B37" s="696"/>
      <c r="C37" s="158"/>
      <c r="D37" s="158"/>
      <c r="E37" s="228"/>
      <c r="F37" s="158"/>
      <c r="G37" s="158"/>
      <c r="H37" s="228"/>
      <c r="I37" s="228"/>
    </row>
  </sheetData>
  <sheetProtection autoFilter="0"/>
  <mergeCells count="49">
    <mergeCell ref="A2:AN2"/>
    <mergeCell ref="A3:AN3"/>
    <mergeCell ref="AA6:AD6"/>
    <mergeCell ref="AE6:AF6"/>
    <mergeCell ref="AG6:AH6"/>
    <mergeCell ref="AI6:AJ6"/>
    <mergeCell ref="AK6:AL6"/>
    <mergeCell ref="BW8:BY8"/>
    <mergeCell ref="BW9:BY9"/>
    <mergeCell ref="BX15:BY15"/>
    <mergeCell ref="A28:G28"/>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R6:R7"/>
    <mergeCell ref="S6:S7"/>
    <mergeCell ref="T6:T7"/>
    <mergeCell ref="U6:U7"/>
    <mergeCell ref="V6:V7"/>
    <mergeCell ref="W6:W7"/>
    <mergeCell ref="X6:X7"/>
    <mergeCell ref="Y6:Y7"/>
    <mergeCell ref="Z6:Z7"/>
    <mergeCell ref="AM6:AM7"/>
    <mergeCell ref="AN6:AN7"/>
    <mergeCell ref="BF6:BF7"/>
    <mergeCell ref="BG6:BG7"/>
    <mergeCell ref="BH6:BH7"/>
    <mergeCell ref="BI6:BI7"/>
    <mergeCell ref="BJ6:BJ7"/>
    <mergeCell ref="BK6:BK7"/>
    <mergeCell ref="BL6:BL7"/>
    <mergeCell ref="BM6:BM7"/>
    <mergeCell ref="BN6:BN7"/>
    <mergeCell ref="BO6:BO7"/>
  </mergeCells>
  <conditionalFormatting sqref="BM8:BM27">
    <cfRule type="expression" dxfId="5" priority="5" stopIfTrue="1">
      <formula>AND(BL8="无",BM8="")</formula>
    </cfRule>
  </conditionalFormatting>
  <conditionalFormatting sqref="BF8:BG27">
    <cfRule type="containsText" dxfId="6" priority="1" stopIfTrue="1" operator="between" text="出错">
      <formula>NOT(ISERROR(SEARCH("出错",BF8)))</formula>
    </cfRule>
  </conditionalFormatting>
  <conditionalFormatting sqref="BH8:BL27 BN8:BN27">
    <cfRule type="expression" dxfId="5" priority="6" stopIfTrue="1">
      <formula>AND($C8&lt;&gt;"",BH8="")</formula>
    </cfRule>
  </conditionalFormatting>
  <dataValidations count="4">
    <dataValidation type="list" allowBlank="1" showInputMessage="1" showErrorMessage="1" sqref="E8:E27 BN8:BN27 BH8:BL27">
      <formula1>E$31:E$32</formula1>
    </dataValidation>
    <dataValidation type="list" allowBlank="1" showInputMessage="1" showErrorMessage="1" sqref="E31:E32 BA8:BA27 BA31:BA32">
      <formula1>"是,否"</formula1>
    </dataValidation>
    <dataValidation type="list" allowBlank="1" showInputMessage="1" showErrorMessage="1" sqref="AA8:AA27">
      <formula1>OFFSET(参数表!$H$2:$H$50,,,COUNTA(参数表!$H$2:$H$50))</formula1>
    </dataValidation>
    <dataValidation type="list" allowBlank="1" showInputMessage="1" showErrorMessage="1" sqref="BC8:BC27">
      <formula1>"  ,√"</formula1>
    </dataValidation>
  </dataValidations>
  <hyperlinks>
    <hyperlink ref="A1" location="索引目录!E41" display="返回索引页"/>
    <hyperlink ref="C1" location="固定资产汇总!B34" display="返回"/>
  </hyperlinks>
  <printOptions horizontalCentered="1"/>
  <pageMargins left="0.393700787401575" right="0.393700787401575" top="0.984251968503937" bottom="0.393700787401575" header="0.984251968503937" footer="0.393700787401575"/>
  <pageSetup paperSize="9" scale="98" fitToHeight="0" orientation="landscape" blackAndWhite="1"/>
  <headerFooter alignWithMargins="0">
    <oddHeader>&amp;R&amp;"宋体,常规"&amp;11共&amp;N页，第&amp;P页&amp;"Times New Roman,常规"</oddHeader>
  </headerFooter>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6">
    <tabColor rgb="FFFF0000"/>
  </sheetPr>
  <dimension ref="A1:CE34"/>
  <sheetViews>
    <sheetView zoomScale="90" zoomScaleNormal="90" workbookViewId="0">
      <pane xSplit="2" ySplit="6" topLeftCell="D7" activePane="bottomRight" state="frozen"/>
      <selection/>
      <selection pane="topRight"/>
      <selection pane="bottomLeft"/>
      <selection pane="bottomRight" activeCell="E45" sqref="E45"/>
    </sheetView>
  </sheetViews>
  <sheetFormatPr defaultColWidth="9" defaultRowHeight="15.75" customHeight="1"/>
  <cols>
    <col min="1" max="1" width="7.6" style="75" customWidth="1"/>
    <col min="2" max="2" width="34.8" style="75" customWidth="1"/>
    <col min="3" max="3" width="20.7" style="75" hidden="1" customWidth="1" outlineLevel="1"/>
    <col min="4" max="4" width="20.7" style="75" customWidth="1" collapsed="1"/>
    <col min="5" max="7" width="20.7" style="75" customWidth="1"/>
    <col min="8" max="9" width="5" style="165" hidden="1" customWidth="1" outlineLevel="1"/>
    <col min="10" max="52" width="9" style="75" hidden="1" customWidth="1" outlineLevel="1"/>
    <col min="53" max="53" width="10.6" style="227" customWidth="1" collapsed="1"/>
    <col min="54" max="60" width="10.6" style="227" customWidth="1"/>
    <col min="61" max="61" width="1.6" style="227" customWidth="1"/>
    <col min="62"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80" t="s">
        <v>1591</v>
      </c>
      <c r="B1" s="80" t="s">
        <v>1592</v>
      </c>
      <c r="C1" s="81"/>
      <c r="D1" s="81"/>
      <c r="E1" s="81"/>
      <c r="F1" s="81"/>
      <c r="G1" s="81"/>
      <c r="H1" s="168"/>
      <c r="I1" s="168"/>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233" t="s">
        <v>4339</v>
      </c>
      <c r="B2" s="233"/>
      <c r="C2" s="233"/>
      <c r="D2" s="233"/>
      <c r="E2" s="233"/>
      <c r="F2" s="233"/>
      <c r="G2" s="233"/>
      <c r="H2" s="171"/>
      <c r="I2" s="171"/>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5" customHeight="1" spans="1:83">
      <c r="A3" s="238" t="str">
        <f>参数表!F5</f>
        <v>评估基准日：2025年7月31日</v>
      </c>
      <c r="B3" s="238"/>
      <c r="C3" s="238"/>
      <c r="D3" s="238"/>
      <c r="E3" s="165"/>
      <c r="F3" s="165"/>
      <c r="G3" s="165"/>
      <c r="BA3" s="230" t="str">
        <f>参数表!BA3</f>
        <v>是否显示评估值：</v>
      </c>
      <c r="BB3" s="230" t="str">
        <f>参数表!BB3</f>
        <v>是</v>
      </c>
    </row>
    <row r="4" ht="15" customHeight="1" spans="1:83">
      <c r="A4" s="238"/>
      <c r="B4" s="238"/>
      <c r="C4" s="238"/>
      <c r="D4" s="238"/>
      <c r="E4" s="165"/>
      <c r="F4" s="165"/>
      <c r="G4" s="277" t="str">
        <f>"表"&amp;A28</f>
        <v>表4-11</v>
      </c>
      <c r="K4" s="277"/>
      <c r="BA4" s="240" t="s">
        <v>1595</v>
      </c>
      <c r="BB4" s="241"/>
      <c r="BC4" s="241"/>
      <c r="BD4" s="241"/>
      <c r="BE4" s="241"/>
      <c r="BF4" s="241"/>
      <c r="BG4" s="241"/>
      <c r="BH4" s="241"/>
      <c r="BI4" s="242"/>
      <c r="BJ4" s="241" t="s">
        <v>1545</v>
      </c>
      <c r="BK4" s="241"/>
      <c r="BL4" s="241"/>
      <c r="BM4" s="241"/>
      <c r="BN4" s="241"/>
      <c r="BO4" s="241"/>
      <c r="BP4" s="241"/>
      <c r="BQ4" s="241"/>
      <c r="BS4" s="228" t="str">
        <f>LEFT(A2,LEN(A2)-5)</f>
        <v>在建工程</v>
      </c>
    </row>
    <row r="5" ht="15" customHeight="1" spans="1:83">
      <c r="A5" s="243" t="str">
        <f>参数表!F3</f>
        <v>产权持有单位:中煤第五建设有限公司</v>
      </c>
      <c r="G5" s="277" t="s">
        <v>236</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在建工程为：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3837</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255" t="str">
        <f>A$28&amp;"-1"</f>
        <v>4-11-1</v>
      </c>
      <c r="B7" s="685" t="s">
        <v>4340</v>
      </c>
      <c r="C7" s="143">
        <f>'在建-土建'!M29</f>
        <v>0</v>
      </c>
      <c r="D7" s="143">
        <f>'在建-土建'!O29</f>
        <v>0</v>
      </c>
      <c r="E7" s="143">
        <f>'在建-土建'!P29</f>
        <v>0</v>
      </c>
      <c r="F7" s="143">
        <f t="shared" ref="F7:F11" si="0">E7-D7</f>
        <v>0</v>
      </c>
      <c r="G7" s="143" t="str">
        <f t="shared" ref="G7:G11" si="1">IF(D7=0,"",F7/D7*100)</f>
        <v/>
      </c>
      <c r="BA7" s="256">
        <f>BB7</f>
        <v>0</v>
      </c>
      <c r="BB7" s="256">
        <f>'在建-土建'!O27</f>
        <v>0</v>
      </c>
      <c r="BC7" s="256">
        <f>BB7-BD7</f>
        <v>0</v>
      </c>
      <c r="BD7" s="256">
        <f>D7</f>
        <v>0</v>
      </c>
      <c r="BE7" s="256">
        <f>BF7</f>
        <v>0</v>
      </c>
      <c r="BF7" s="256">
        <f>'在建-土建'!P27</f>
        <v>0</v>
      </c>
      <c r="BG7" s="256">
        <f>BF7-BH7</f>
        <v>0</v>
      </c>
      <c r="BH7" s="256">
        <f>E7</f>
        <v>0</v>
      </c>
      <c r="BI7" s="242"/>
      <c r="BJ7" s="143">
        <f>BK7</f>
        <v>0</v>
      </c>
      <c r="BK7" s="256">
        <f>'在建-土建'!O32</f>
        <v>0</v>
      </c>
      <c r="BL7" s="256">
        <f>0</f>
        <v>0</v>
      </c>
      <c r="BM7" s="256">
        <f>BK7-BL7</f>
        <v>0</v>
      </c>
      <c r="BN7" s="143">
        <f>BO7</f>
        <v>0</v>
      </c>
      <c r="BO7" s="256">
        <f>'在建-土建'!P32</f>
        <v>0</v>
      </c>
      <c r="BP7" s="256">
        <f t="shared" ref="BP7:BP12" si="2">0</f>
        <v>0</v>
      </c>
      <c r="BQ7" s="256">
        <f>BO7-BP7</f>
        <v>0</v>
      </c>
      <c r="BS7" s="228" t="str">
        <f t="shared" ref="BS7:BS12" si="3">IF(F7&gt;0,"增值",IF(F7=0,"无增减值","减值"))</f>
        <v>无增减值</v>
      </c>
      <c r="BT7" s="257">
        <f t="shared" ref="BT7:BT12" si="4">ABS(F7)</f>
        <v>0</v>
      </c>
      <c r="BU7" s="257">
        <f t="shared" ref="BU7:BU12" si="5">IFERROR(ABS(G7),0)</f>
        <v>0</v>
      </c>
      <c r="BV7" s="258">
        <f t="shared" ref="BV7:BV12" si="6">IFERROR(FIND("-",B7),0)</f>
        <v>5</v>
      </c>
      <c r="BW7" s="259" t="str">
        <f>IF(SUM(BA7:BH7)=0,"",RIGHT(B7,LEN(B7)-BV7))</f>
        <v/>
      </c>
      <c r="BX7" s="158" t="str">
        <f>IF(BY7="","",IF(BZ7&gt;1,"、",IF(BZ7=1,"和","")))</f>
        <v/>
      </c>
      <c r="BY7" s="158" t="str">
        <f>IF(BW7="","",1)</f>
        <v/>
      </c>
      <c r="BZ7" s="228">
        <f>COUNT(BY8:BY$27)</f>
        <v>0</v>
      </c>
    </row>
    <row r="8" ht="15" customHeight="1" spans="1:83">
      <c r="A8" s="255" t="str">
        <f>A$28&amp;"-2"</f>
        <v>4-11-2</v>
      </c>
      <c r="B8" s="685" t="s">
        <v>4341</v>
      </c>
      <c r="C8" s="143">
        <f>'在建-设备'!O30</f>
        <v>0</v>
      </c>
      <c r="D8" s="143">
        <f>'在建-设备'!V30</f>
        <v>0</v>
      </c>
      <c r="E8" s="143">
        <f>'在建-设备'!Z30</f>
        <v>0</v>
      </c>
      <c r="F8" s="143">
        <f t="shared" si="0"/>
        <v>0</v>
      </c>
      <c r="G8" s="143" t="str">
        <f t="shared" si="1"/>
        <v/>
      </c>
      <c r="BA8" s="256">
        <f t="shared" ref="BA8:BA12" si="7">BB8</f>
        <v>0</v>
      </c>
      <c r="BB8" s="256">
        <f>'在建-设备'!V28</f>
        <v>0</v>
      </c>
      <c r="BC8" s="256">
        <f t="shared" ref="BC8:BC12" si="8">BB8-BD8</f>
        <v>0</v>
      </c>
      <c r="BD8" s="256">
        <f t="shared" ref="BD8:BD12" si="9">D8</f>
        <v>0</v>
      </c>
      <c r="BE8" s="256">
        <f t="shared" ref="BE8:BE12" si="10">BF8</f>
        <v>0</v>
      </c>
      <c r="BF8" s="256">
        <f>'在建-设备'!Z28</f>
        <v>0</v>
      </c>
      <c r="BG8" s="256">
        <f t="shared" ref="BG8:BG12" si="11">BF8-BH8</f>
        <v>0</v>
      </c>
      <c r="BH8" s="256">
        <f t="shared" ref="BH8:BH12" si="12">E8</f>
        <v>0</v>
      </c>
      <c r="BI8" s="242"/>
      <c r="BJ8" s="143">
        <f t="shared" ref="BJ8:BJ12" si="13">BK8</f>
        <v>0</v>
      </c>
      <c r="BK8" s="256">
        <f>'在建-设备'!V33</f>
        <v>0</v>
      </c>
      <c r="BL8" s="256">
        <f>0</f>
        <v>0</v>
      </c>
      <c r="BM8" s="256">
        <f t="shared" ref="BM8:BM12" si="14">BK8-BL8</f>
        <v>0</v>
      </c>
      <c r="BN8" s="143">
        <f t="shared" ref="BN8:BN12" si="15">BO8</f>
        <v>0</v>
      </c>
      <c r="BO8" s="256">
        <f>'在建-设备'!Z33</f>
        <v>0</v>
      </c>
      <c r="BP8" s="256">
        <f t="shared" si="2"/>
        <v>0</v>
      </c>
      <c r="BQ8" s="256">
        <f t="shared" ref="BQ8:BQ12" si="16">BO8-BP8</f>
        <v>0</v>
      </c>
      <c r="BS8" s="228" t="str">
        <f t="shared" si="3"/>
        <v>无增减值</v>
      </c>
      <c r="BT8" s="257">
        <f t="shared" si="4"/>
        <v>0</v>
      </c>
      <c r="BU8" s="257">
        <f t="shared" si="5"/>
        <v>0</v>
      </c>
      <c r="BV8" s="258">
        <f t="shared" si="6"/>
        <v>5</v>
      </c>
      <c r="BW8" s="259" t="str">
        <f t="shared" ref="BW8:BW12" si="17">IF(SUM(BA8:BH8)=0,"",RIGHT(B8,LEN(B8)-BV8))</f>
        <v/>
      </c>
      <c r="BX8" s="158" t="str">
        <f t="shared" ref="BX8:BX12" si="18">IF(BY8="","",IF(BZ8&gt;1,"、",IF(BZ8=1,"和","")))</f>
        <v/>
      </c>
      <c r="BY8" s="158" t="str">
        <f t="shared" ref="BY8:BY12" si="19">IF(BW8="","",1)</f>
        <v/>
      </c>
      <c r="BZ8" s="228">
        <f>COUNT(BY9:BY$27)</f>
        <v>0</v>
      </c>
    </row>
    <row r="9" ht="15" customHeight="1" spans="1:83">
      <c r="A9" s="255" t="str">
        <f>A$28&amp;"-3"</f>
        <v>4-11-3</v>
      </c>
      <c r="B9" s="685" t="s">
        <v>4342</v>
      </c>
      <c r="C9" s="143">
        <f>'在建-待摊'!I29</f>
        <v>0</v>
      </c>
      <c r="D9" s="143">
        <f>'在建-待摊'!K29</f>
        <v>0</v>
      </c>
      <c r="E9" s="143">
        <f>'在建-待摊'!L29</f>
        <v>0</v>
      </c>
      <c r="F9" s="143">
        <f t="shared" si="0"/>
        <v>0</v>
      </c>
      <c r="G9" s="143" t="str">
        <f t="shared" si="1"/>
        <v/>
      </c>
      <c r="BA9" s="256">
        <f t="shared" si="7"/>
        <v>0</v>
      </c>
      <c r="BB9" s="256">
        <f>'在建-待摊'!K27</f>
        <v>0</v>
      </c>
      <c r="BC9" s="256">
        <f t="shared" si="8"/>
        <v>0</v>
      </c>
      <c r="BD9" s="256">
        <f t="shared" si="9"/>
        <v>0</v>
      </c>
      <c r="BE9" s="256">
        <f t="shared" si="10"/>
        <v>0</v>
      </c>
      <c r="BF9" s="256">
        <f>'在建-待摊'!L27</f>
        <v>0</v>
      </c>
      <c r="BG9" s="256">
        <f t="shared" si="11"/>
        <v>0</v>
      </c>
      <c r="BH9" s="256">
        <f t="shared" si="12"/>
        <v>0</v>
      </c>
      <c r="BI9" s="242"/>
      <c r="BJ9" s="143">
        <f t="shared" si="13"/>
        <v>0</v>
      </c>
      <c r="BK9" s="256">
        <f>'在建-待摊'!K32</f>
        <v>0</v>
      </c>
      <c r="BL9" s="256">
        <f>0</f>
        <v>0</v>
      </c>
      <c r="BM9" s="256">
        <f t="shared" si="14"/>
        <v>0</v>
      </c>
      <c r="BN9" s="143">
        <f t="shared" si="15"/>
        <v>0</v>
      </c>
      <c r="BO9" s="256">
        <f>'在建-待摊'!L32</f>
        <v>0</v>
      </c>
      <c r="BP9" s="256">
        <f t="shared" si="2"/>
        <v>0</v>
      </c>
      <c r="BQ9" s="256">
        <f t="shared" si="16"/>
        <v>0</v>
      </c>
      <c r="BS9" s="228" t="str">
        <f t="shared" si="3"/>
        <v>无增减值</v>
      </c>
      <c r="BT9" s="257">
        <f t="shared" si="4"/>
        <v>0</v>
      </c>
      <c r="BU9" s="257">
        <f t="shared" si="5"/>
        <v>0</v>
      </c>
      <c r="BV9" s="258">
        <f t="shared" si="6"/>
        <v>5</v>
      </c>
      <c r="BW9" s="259" t="str">
        <f t="shared" si="17"/>
        <v/>
      </c>
      <c r="BX9" s="158" t="str">
        <f t="shared" si="18"/>
        <v/>
      </c>
      <c r="BY9" s="158" t="str">
        <f t="shared" si="19"/>
        <v/>
      </c>
      <c r="BZ9" s="228">
        <f>COUNT(BY10:BY$27)</f>
        <v>0</v>
      </c>
    </row>
    <row r="10" ht="15" customHeight="1" spans="1:83">
      <c r="A10" s="255" t="str">
        <f>A$28&amp;"-4"</f>
        <v>4-11-4</v>
      </c>
      <c r="B10" s="685" t="s">
        <v>4343</v>
      </c>
      <c r="C10" s="143">
        <f>'在建-预付'!H29</f>
        <v>0</v>
      </c>
      <c r="D10" s="143">
        <f>'在建-预付'!J29</f>
        <v>0</v>
      </c>
      <c r="E10" s="143">
        <f>'在建-预付'!K29</f>
        <v>0</v>
      </c>
      <c r="F10" s="143">
        <f t="shared" si="0"/>
        <v>0</v>
      </c>
      <c r="G10" s="143" t="str">
        <f t="shared" si="1"/>
        <v/>
      </c>
      <c r="BA10" s="256">
        <f t="shared" si="7"/>
        <v>0</v>
      </c>
      <c r="BB10" s="256">
        <f>'在建-预付'!J27</f>
        <v>0</v>
      </c>
      <c r="BC10" s="256">
        <f t="shared" si="8"/>
        <v>0</v>
      </c>
      <c r="BD10" s="256">
        <f t="shared" si="9"/>
        <v>0</v>
      </c>
      <c r="BE10" s="256">
        <f t="shared" si="10"/>
        <v>0</v>
      </c>
      <c r="BF10" s="256">
        <f>'在建-预付'!K27</f>
        <v>0</v>
      </c>
      <c r="BG10" s="256">
        <f t="shared" si="11"/>
        <v>0</v>
      </c>
      <c r="BH10" s="256">
        <f t="shared" si="12"/>
        <v>0</v>
      </c>
      <c r="BI10" s="242"/>
      <c r="BJ10" s="143">
        <f t="shared" si="13"/>
        <v>0</v>
      </c>
      <c r="BK10" s="256">
        <f>'在建-预付'!J32</f>
        <v>0</v>
      </c>
      <c r="BL10" s="256">
        <f>0</f>
        <v>0</v>
      </c>
      <c r="BM10" s="256">
        <f t="shared" si="14"/>
        <v>0</v>
      </c>
      <c r="BN10" s="143">
        <f t="shared" si="15"/>
        <v>0</v>
      </c>
      <c r="BO10" s="256">
        <f>'在建-预付'!K32</f>
        <v>0</v>
      </c>
      <c r="BP10" s="256">
        <f t="shared" si="2"/>
        <v>0</v>
      </c>
      <c r="BQ10" s="256">
        <f t="shared" si="16"/>
        <v>0</v>
      </c>
      <c r="BS10" s="228" t="str">
        <f t="shared" si="3"/>
        <v>无增减值</v>
      </c>
      <c r="BT10" s="257">
        <f t="shared" si="4"/>
        <v>0</v>
      </c>
      <c r="BU10" s="257">
        <f t="shared" si="5"/>
        <v>0</v>
      </c>
      <c r="BV10" s="258">
        <f t="shared" si="6"/>
        <v>5</v>
      </c>
      <c r="BW10" s="259" t="str">
        <f t="shared" si="17"/>
        <v/>
      </c>
      <c r="BX10" s="158" t="str">
        <f t="shared" si="18"/>
        <v/>
      </c>
      <c r="BY10" s="158" t="str">
        <f t="shared" si="19"/>
        <v/>
      </c>
      <c r="BZ10" s="228">
        <f>COUNT(BY11:BY$27)</f>
        <v>0</v>
      </c>
    </row>
    <row r="11" ht="15" customHeight="1" spans="1:83">
      <c r="A11" s="255" t="str">
        <f>A$28&amp;"-5"</f>
        <v>4-11-5</v>
      </c>
      <c r="B11" s="685" t="s">
        <v>4344</v>
      </c>
      <c r="C11" s="143">
        <f>'在建-井巷'!R29</f>
        <v>0</v>
      </c>
      <c r="D11" s="143">
        <f>'在建-井巷'!T29</f>
        <v>0</v>
      </c>
      <c r="E11" s="143">
        <f>'在建-井巷'!U29</f>
        <v>0</v>
      </c>
      <c r="F11" s="143">
        <f t="shared" si="0"/>
        <v>0</v>
      </c>
      <c r="G11" s="143" t="str">
        <f t="shared" si="1"/>
        <v/>
      </c>
      <c r="BA11" s="256">
        <f t="shared" si="7"/>
        <v>0</v>
      </c>
      <c r="BB11" s="256">
        <f>'在建-井巷'!T27</f>
        <v>0</v>
      </c>
      <c r="BC11" s="256">
        <f t="shared" si="8"/>
        <v>0</v>
      </c>
      <c r="BD11" s="256">
        <f t="shared" si="9"/>
        <v>0</v>
      </c>
      <c r="BE11" s="256">
        <f t="shared" si="10"/>
        <v>0</v>
      </c>
      <c r="BF11" s="256">
        <f>'在建-井巷'!U27</f>
        <v>0</v>
      </c>
      <c r="BG11" s="256">
        <f t="shared" si="11"/>
        <v>0</v>
      </c>
      <c r="BH11" s="256">
        <f t="shared" si="12"/>
        <v>0</v>
      </c>
      <c r="BI11" s="242"/>
      <c r="BJ11" s="143">
        <f t="shared" si="13"/>
        <v>0</v>
      </c>
      <c r="BK11" s="256">
        <f>'在建-井巷'!T32</f>
        <v>0</v>
      </c>
      <c r="BL11" s="256">
        <f>0</f>
        <v>0</v>
      </c>
      <c r="BM11" s="256">
        <f t="shared" si="14"/>
        <v>0</v>
      </c>
      <c r="BN11" s="143">
        <f t="shared" si="15"/>
        <v>0</v>
      </c>
      <c r="BO11" s="256">
        <f>'在建-井巷'!U32</f>
        <v>0</v>
      </c>
      <c r="BP11" s="256">
        <f t="shared" si="2"/>
        <v>0</v>
      </c>
      <c r="BQ11" s="256">
        <f t="shared" si="16"/>
        <v>0</v>
      </c>
      <c r="BS11" s="228" t="str">
        <f t="shared" si="3"/>
        <v>无增减值</v>
      </c>
      <c r="BT11" s="257">
        <f t="shared" si="4"/>
        <v>0</v>
      </c>
      <c r="BU11" s="257">
        <f t="shared" si="5"/>
        <v>0</v>
      </c>
      <c r="BV11" s="258">
        <f t="shared" si="6"/>
        <v>5</v>
      </c>
      <c r="BW11" s="259" t="str">
        <f t="shared" si="17"/>
        <v/>
      </c>
      <c r="BX11" s="158" t="str">
        <f t="shared" si="18"/>
        <v/>
      </c>
      <c r="BY11" s="158" t="str">
        <f t="shared" si="19"/>
        <v/>
      </c>
      <c r="BZ11" s="228">
        <f>COUNT(BY12:BY$27)</f>
        <v>0</v>
      </c>
    </row>
    <row r="12" ht="15" customHeight="1" spans="1:83">
      <c r="A12" s="255" t="str">
        <f>A$28&amp;"-6"</f>
        <v>4-11-6</v>
      </c>
      <c r="B12" s="686" t="s">
        <v>4345</v>
      </c>
      <c r="C12" s="143">
        <f>'在建-物资'!N30</f>
        <v>0</v>
      </c>
      <c r="D12" s="143">
        <f>'在建-物资'!U30</f>
        <v>0</v>
      </c>
      <c r="E12" s="143">
        <f>'在建-物资'!Y30</f>
        <v>0</v>
      </c>
      <c r="F12" s="143">
        <f t="shared" ref="F12" si="20">E12-D12</f>
        <v>0</v>
      </c>
      <c r="G12" s="143" t="str">
        <f t="shared" ref="G12" si="21">IF(D12=0,"",F12/D12*100)</f>
        <v/>
      </c>
      <c r="BA12" s="256">
        <f t="shared" si="7"/>
        <v>0</v>
      </c>
      <c r="BB12" s="256">
        <f>'在建-物资'!U28</f>
        <v>0</v>
      </c>
      <c r="BC12" s="256">
        <f t="shared" si="8"/>
        <v>0</v>
      </c>
      <c r="BD12" s="256">
        <f t="shared" si="9"/>
        <v>0</v>
      </c>
      <c r="BE12" s="256">
        <f t="shared" si="10"/>
        <v>0</v>
      </c>
      <c r="BF12" s="256">
        <f>'在建-物资'!Y28</f>
        <v>0</v>
      </c>
      <c r="BG12" s="256">
        <f t="shared" si="11"/>
        <v>0</v>
      </c>
      <c r="BH12" s="256">
        <f t="shared" si="12"/>
        <v>0</v>
      </c>
      <c r="BI12" s="242"/>
      <c r="BJ12" s="143">
        <f t="shared" si="13"/>
        <v>0</v>
      </c>
      <c r="BK12" s="256">
        <f>'在建-物资'!U33</f>
        <v>0</v>
      </c>
      <c r="BL12" s="256">
        <f>'在建-物资'!V33</f>
        <v>0</v>
      </c>
      <c r="BM12" s="256">
        <f t="shared" si="14"/>
        <v>0</v>
      </c>
      <c r="BN12" s="143">
        <f t="shared" si="15"/>
        <v>0</v>
      </c>
      <c r="BO12" s="256">
        <f>'在建-物资'!Y33</f>
        <v>0</v>
      </c>
      <c r="BP12" s="256">
        <f t="shared" si="2"/>
        <v>0</v>
      </c>
      <c r="BQ12" s="256">
        <f t="shared" si="16"/>
        <v>0</v>
      </c>
      <c r="BS12" s="228" t="str">
        <f t="shared" si="3"/>
        <v>无增减值</v>
      </c>
      <c r="BT12" s="257">
        <f t="shared" si="4"/>
        <v>0</v>
      </c>
      <c r="BU12" s="257">
        <f t="shared" si="5"/>
        <v>0</v>
      </c>
      <c r="BV12" s="258">
        <f t="shared" si="6"/>
        <v>5</v>
      </c>
      <c r="BW12" s="259" t="str">
        <f t="shared" si="17"/>
        <v/>
      </c>
      <c r="BX12" s="158" t="str">
        <f t="shared" si="18"/>
        <v/>
      </c>
      <c r="BY12" s="158" t="str">
        <f t="shared" si="19"/>
        <v/>
      </c>
      <c r="BZ12" s="228">
        <f>COUNT(BY13:BY$27)</f>
        <v>0</v>
      </c>
    </row>
    <row r="13" ht="15" customHeight="1" spans="1:83">
      <c r="A13" s="339"/>
      <c r="B13" s="685"/>
      <c r="C13" s="143"/>
      <c r="D13" s="143"/>
      <c r="E13" s="143"/>
      <c r="F13" s="143"/>
      <c r="G13" s="143"/>
      <c r="BA13" s="256"/>
      <c r="BB13" s="256"/>
      <c r="BC13" s="256"/>
      <c r="BD13" s="256"/>
      <c r="BE13" s="256"/>
      <c r="BF13" s="256"/>
      <c r="BG13" s="256"/>
      <c r="BH13" s="256"/>
      <c r="BI13" s="242"/>
      <c r="BJ13" s="256"/>
      <c r="BK13" s="256"/>
      <c r="BL13" s="256"/>
      <c r="BM13" s="256"/>
      <c r="BN13" s="256"/>
      <c r="BO13" s="256"/>
      <c r="BP13" s="256"/>
      <c r="BQ13" s="256"/>
      <c r="BS13" s="228"/>
      <c r="BT13" s="257"/>
      <c r="BU13" s="257"/>
      <c r="BV13" s="258"/>
      <c r="BW13" s="259"/>
      <c r="BY13" s="158"/>
      <c r="BZ13" s="228"/>
    </row>
    <row r="14" ht="15" customHeight="1" spans="1:83">
      <c r="A14" s="339"/>
      <c r="B14" s="685"/>
      <c r="C14" s="143"/>
      <c r="D14" s="143"/>
      <c r="E14" s="143"/>
      <c r="F14" s="143"/>
      <c r="G14" s="143"/>
      <c r="BA14" s="256"/>
      <c r="BB14" s="256"/>
      <c r="BC14" s="256"/>
      <c r="BD14" s="256"/>
      <c r="BE14" s="256"/>
      <c r="BF14" s="256"/>
      <c r="BG14" s="256"/>
      <c r="BH14" s="256"/>
      <c r="BI14" s="242"/>
      <c r="BJ14" s="256"/>
      <c r="BK14" s="256"/>
      <c r="BL14" s="256"/>
      <c r="BM14" s="256"/>
      <c r="BN14" s="256"/>
      <c r="BO14" s="256"/>
      <c r="BP14" s="256"/>
      <c r="BQ14" s="256"/>
      <c r="BS14" s="228"/>
      <c r="BT14" s="257"/>
      <c r="BU14" s="257"/>
      <c r="BV14" s="258"/>
      <c r="BW14" s="259"/>
      <c r="BY14" s="158"/>
      <c r="BZ14" s="228"/>
    </row>
    <row r="15" ht="15" customHeight="1" spans="1:83">
      <c r="A15" s="339"/>
      <c r="B15" s="687"/>
      <c r="C15" s="143"/>
      <c r="D15" s="143"/>
      <c r="E15" s="143"/>
      <c r="F15" s="143"/>
      <c r="G15" s="143"/>
      <c r="BA15" s="256"/>
      <c r="BB15" s="256"/>
      <c r="BC15" s="256"/>
      <c r="BD15" s="256"/>
      <c r="BE15" s="256"/>
      <c r="BF15" s="256"/>
      <c r="BG15" s="256"/>
      <c r="BH15" s="256"/>
      <c r="BI15" s="242"/>
      <c r="BJ15" s="256"/>
      <c r="BK15" s="256"/>
      <c r="BL15" s="256"/>
      <c r="BM15" s="256"/>
      <c r="BN15" s="256"/>
      <c r="BO15" s="256"/>
      <c r="BP15" s="256"/>
      <c r="BQ15" s="256"/>
      <c r="BS15" s="228"/>
      <c r="BT15" s="257"/>
      <c r="BU15" s="257"/>
      <c r="BV15" s="258"/>
      <c r="BW15" s="259"/>
      <c r="BY15" s="158"/>
      <c r="BZ15" s="228"/>
    </row>
    <row r="16" ht="15" customHeight="1" spans="1:83">
      <c r="A16" s="339"/>
      <c r="B16" s="687"/>
      <c r="C16" s="143"/>
      <c r="D16" s="143"/>
      <c r="E16" s="143"/>
      <c r="F16" s="143"/>
      <c r="G16" s="143"/>
      <c r="BA16" s="256"/>
      <c r="BB16" s="256"/>
      <c r="BC16" s="256"/>
      <c r="BD16" s="256"/>
      <c r="BE16" s="256"/>
      <c r="BF16" s="256"/>
      <c r="BG16" s="256"/>
      <c r="BH16" s="256"/>
      <c r="BI16" s="242"/>
      <c r="BJ16" s="256"/>
      <c r="BK16" s="256"/>
      <c r="BL16" s="256"/>
      <c r="BM16" s="256"/>
      <c r="BN16" s="256"/>
      <c r="BO16" s="256"/>
      <c r="BP16" s="256"/>
      <c r="BQ16" s="256"/>
      <c r="BS16" s="228"/>
      <c r="BT16" s="257"/>
      <c r="BU16" s="257"/>
      <c r="BV16" s="258"/>
      <c r="BW16" s="259"/>
      <c r="BY16" s="158"/>
      <c r="BZ16" s="228"/>
    </row>
    <row r="17" ht="15" customHeight="1" spans="1:83">
      <c r="A17" s="339"/>
      <c r="B17" s="687"/>
      <c r="C17" s="143"/>
      <c r="D17" s="143"/>
      <c r="E17" s="143"/>
      <c r="F17" s="143"/>
      <c r="G17" s="143"/>
      <c r="BA17" s="256"/>
      <c r="BB17" s="256"/>
      <c r="BC17" s="256"/>
      <c r="BD17" s="256"/>
      <c r="BE17" s="256"/>
      <c r="BF17" s="256"/>
      <c r="BG17" s="256"/>
      <c r="BH17" s="256"/>
      <c r="BI17" s="242"/>
      <c r="BJ17" s="256"/>
      <c r="BK17" s="256"/>
      <c r="BL17" s="256"/>
      <c r="BM17" s="256"/>
      <c r="BN17" s="256"/>
      <c r="BO17" s="256"/>
      <c r="BP17" s="256"/>
      <c r="BQ17" s="256"/>
      <c r="BS17" s="228"/>
      <c r="BT17" s="257"/>
      <c r="BU17" s="257"/>
      <c r="BV17" s="258"/>
      <c r="BW17" s="259"/>
      <c r="BY17" s="158"/>
      <c r="BZ17" s="228"/>
    </row>
    <row r="18" ht="15" customHeight="1" spans="1:83">
      <c r="A18" s="339"/>
      <c r="B18" s="687"/>
      <c r="C18" s="143"/>
      <c r="D18" s="143"/>
      <c r="E18" s="143"/>
      <c r="F18" s="143"/>
      <c r="G18" s="143"/>
      <c r="BA18" s="256"/>
      <c r="BB18" s="256"/>
      <c r="BC18" s="256"/>
      <c r="BD18" s="256"/>
      <c r="BE18" s="256"/>
      <c r="BF18" s="256"/>
      <c r="BG18" s="256"/>
      <c r="BH18" s="256"/>
      <c r="BI18" s="242"/>
      <c r="BJ18" s="256"/>
      <c r="BK18" s="256"/>
      <c r="BL18" s="256"/>
      <c r="BM18" s="256"/>
      <c r="BN18" s="256"/>
      <c r="BO18" s="256"/>
      <c r="BP18" s="256"/>
      <c r="BQ18" s="256"/>
      <c r="BS18" s="228"/>
      <c r="BT18" s="257"/>
      <c r="BU18" s="257"/>
      <c r="BV18" s="258"/>
      <c r="BW18" s="259"/>
      <c r="BY18" s="158"/>
      <c r="BZ18" s="228"/>
    </row>
    <row r="19" ht="15" customHeight="1" spans="1:83">
      <c r="A19" s="339"/>
      <c r="B19" s="687"/>
      <c r="C19" s="143"/>
      <c r="D19" s="143"/>
      <c r="E19" s="143"/>
      <c r="F19" s="143"/>
      <c r="G19" s="143"/>
      <c r="BA19" s="256"/>
      <c r="BB19" s="256"/>
      <c r="BC19" s="256"/>
      <c r="BD19" s="256"/>
      <c r="BE19" s="256"/>
      <c r="BF19" s="256"/>
      <c r="BG19" s="256"/>
      <c r="BH19" s="256"/>
      <c r="BI19" s="242"/>
      <c r="BJ19" s="256"/>
      <c r="BK19" s="256"/>
      <c r="BL19" s="256"/>
      <c r="BM19" s="256"/>
      <c r="BN19" s="256"/>
      <c r="BO19" s="256"/>
      <c r="BP19" s="256"/>
      <c r="BQ19" s="256"/>
      <c r="BS19" s="228"/>
      <c r="BT19" s="257"/>
      <c r="BU19" s="257"/>
      <c r="BV19" s="258"/>
      <c r="BW19" s="259"/>
      <c r="BY19" s="158"/>
      <c r="BZ19" s="228"/>
    </row>
    <row r="20" ht="15" customHeight="1" spans="1:83">
      <c r="A20" s="339"/>
      <c r="B20" s="687"/>
      <c r="C20" s="143"/>
      <c r="D20" s="143"/>
      <c r="E20" s="143"/>
      <c r="F20" s="143"/>
      <c r="G20" s="143"/>
      <c r="BA20" s="256"/>
      <c r="BB20" s="256"/>
      <c r="BC20" s="256"/>
      <c r="BD20" s="256"/>
      <c r="BE20" s="256"/>
      <c r="BF20" s="256"/>
      <c r="BG20" s="256"/>
      <c r="BH20" s="256"/>
      <c r="BI20" s="242"/>
      <c r="BJ20" s="256"/>
      <c r="BK20" s="256"/>
      <c r="BL20" s="256"/>
      <c r="BM20" s="256"/>
      <c r="BN20" s="256"/>
      <c r="BO20" s="256"/>
      <c r="BP20" s="256"/>
      <c r="BQ20" s="256"/>
      <c r="BS20" s="228"/>
      <c r="BT20" s="257"/>
      <c r="BU20" s="257"/>
      <c r="BV20" s="258"/>
      <c r="BW20" s="259"/>
      <c r="BY20" s="158"/>
      <c r="BZ20" s="228"/>
    </row>
    <row r="21" ht="15" customHeight="1" spans="1:83">
      <c r="A21" s="339"/>
      <c r="B21" s="687"/>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ht="15" customHeight="1" spans="1:83">
      <c r="A22" s="339"/>
      <c r="B22" s="685"/>
      <c r="C22" s="143"/>
      <c r="D22" s="143"/>
      <c r="E22" s="143"/>
      <c r="F22" s="143"/>
      <c r="G22" s="143"/>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ht="15" customHeight="1" spans="1:83">
      <c r="A23" s="339"/>
      <c r="B23" s="687"/>
      <c r="C23" s="143"/>
      <c r="D23" s="143"/>
      <c r="E23" s="143"/>
      <c r="F23" s="143"/>
      <c r="G23" s="143"/>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ht="15" customHeight="1" spans="1:83">
      <c r="A24" s="339"/>
      <c r="B24" s="685"/>
      <c r="C24" s="143"/>
      <c r="D24" s="143"/>
      <c r="E24" s="143"/>
      <c r="F24" s="143"/>
      <c r="G24" s="143"/>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ht="15" customHeight="1" spans="1:83">
      <c r="A25" s="143"/>
      <c r="B25" s="143"/>
      <c r="C25" s="143"/>
      <c r="D25" s="143"/>
      <c r="E25" s="143"/>
      <c r="F25" s="143"/>
      <c r="G25" s="143"/>
      <c r="BA25" s="256"/>
      <c r="BB25" s="256"/>
      <c r="BC25" s="256"/>
      <c r="BD25" s="256"/>
      <c r="BE25" s="256"/>
      <c r="BF25" s="256"/>
      <c r="BG25" s="256"/>
      <c r="BH25" s="256"/>
      <c r="BI25" s="242"/>
      <c r="BJ25" s="256"/>
      <c r="BK25" s="256"/>
      <c r="BL25" s="256"/>
      <c r="BM25" s="256"/>
      <c r="BN25" s="256"/>
      <c r="BO25" s="256"/>
      <c r="BP25" s="256"/>
      <c r="BQ25" s="256"/>
      <c r="BS25" s="228"/>
      <c r="BT25" s="257"/>
      <c r="BU25" s="257"/>
      <c r="BV25" s="258"/>
      <c r="BW25" s="259"/>
      <c r="BY25" s="158"/>
      <c r="BZ25" s="228"/>
    </row>
    <row r="26" s="73" customFormat="1" ht="15" customHeight="1" spans="1:83">
      <c r="A26" s="143"/>
      <c r="B26" s="143"/>
      <c r="C26" s="143"/>
      <c r="D26" s="143"/>
      <c r="E26" s="143"/>
      <c r="F26" s="143"/>
      <c r="G26" s="143"/>
      <c r="H26" s="165"/>
      <c r="I26" s="165"/>
      <c r="BA26" s="256"/>
      <c r="BB26" s="256"/>
      <c r="BC26" s="256"/>
      <c r="BD26" s="256"/>
      <c r="BE26" s="256"/>
      <c r="BF26" s="256"/>
      <c r="BG26" s="256"/>
      <c r="BH26" s="256"/>
      <c r="BI26" s="242"/>
      <c r="BJ26" s="256"/>
      <c r="BK26" s="256"/>
      <c r="BL26" s="256"/>
      <c r="BM26" s="256"/>
      <c r="BN26" s="256"/>
      <c r="BO26" s="256"/>
      <c r="BP26" s="256"/>
      <c r="BQ26" s="256"/>
      <c r="BR26" s="75"/>
      <c r="BS26" s="228"/>
      <c r="BT26" s="257"/>
      <c r="BU26" s="257"/>
      <c r="BV26" s="258"/>
      <c r="BW26" s="259"/>
      <c r="BX26" s="158"/>
      <c r="BY26" s="158"/>
      <c r="BZ26" s="228"/>
      <c r="CA26" s="75"/>
      <c r="CB26" s="75"/>
      <c r="CC26" s="75"/>
      <c r="CD26" s="229"/>
      <c r="CE26" s="229"/>
    </row>
    <row r="27" ht="15" customHeight="1" spans="1:83">
      <c r="A27" s="143"/>
      <c r="B27" s="143"/>
      <c r="C27" s="143"/>
      <c r="D27" s="143"/>
      <c r="E27" s="143"/>
      <c r="F27" s="143"/>
      <c r="G27" s="143"/>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341" t="str">
        <f>非流动资总!A17</f>
        <v>4-11</v>
      </c>
      <c r="B28" s="342" t="s">
        <v>4346</v>
      </c>
      <c r="C28" s="264">
        <f>SUM(C7:C27)</f>
        <v>0</v>
      </c>
      <c r="D28" s="264">
        <f>SUM(D7:D27)</f>
        <v>0</v>
      </c>
      <c r="E28" s="264">
        <f t="shared" ref="E28" si="22">SUM(E7:E27)</f>
        <v>0</v>
      </c>
      <c r="F28" s="264">
        <f>F26-F27</f>
        <v>0</v>
      </c>
      <c r="G28" s="265" t="str">
        <f>IF(D28=0,"",F28/D28*100)</f>
        <v/>
      </c>
      <c r="H28" s="165"/>
      <c r="I28" s="165"/>
      <c r="BA28" s="266">
        <f>SUM(BA7:BA27)</f>
        <v>0</v>
      </c>
      <c r="BB28" s="266">
        <f t="shared" ref="BB28:BH28" si="23">SUM(BB7:BB27)</f>
        <v>0</v>
      </c>
      <c r="BC28" s="266">
        <f t="shared" si="23"/>
        <v>0</v>
      </c>
      <c r="BD28" s="266">
        <f t="shared" si="23"/>
        <v>0</v>
      </c>
      <c r="BE28" s="266">
        <f t="shared" si="23"/>
        <v>0</v>
      </c>
      <c r="BF28" s="266">
        <f t="shared" si="23"/>
        <v>0</v>
      </c>
      <c r="BG28" s="266">
        <f t="shared" si="23"/>
        <v>0</v>
      </c>
      <c r="BH28" s="266">
        <f t="shared" si="23"/>
        <v>0</v>
      </c>
      <c r="BI28" s="267"/>
      <c r="BJ28" s="266">
        <f t="shared" ref="BJ28:BQ28" si="24">SUM(BJ7:BJ27)</f>
        <v>0</v>
      </c>
      <c r="BK28" s="266">
        <f t="shared" si="24"/>
        <v>0</v>
      </c>
      <c r="BL28" s="266">
        <f t="shared" si="24"/>
        <v>0</v>
      </c>
      <c r="BM28" s="266">
        <f t="shared" si="24"/>
        <v>0</v>
      </c>
      <c r="BN28" s="266">
        <f t="shared" si="24"/>
        <v>0</v>
      </c>
      <c r="BO28" s="266">
        <f t="shared" si="24"/>
        <v>0</v>
      </c>
      <c r="BP28" s="266">
        <f t="shared" si="24"/>
        <v>0</v>
      </c>
      <c r="BQ28" s="266">
        <f t="shared" si="24"/>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ht="15" customHeight="1" spans="1:83">
      <c r="A29" s="75" t="str">
        <f>参数表!F$6</f>
        <v>产权持有单位填表人：贾广东</v>
      </c>
      <c r="B29" s="158"/>
      <c r="C29" s="158"/>
      <c r="D29" s="158"/>
      <c r="E29" s="272" t="str">
        <f>"评估人员："&amp;封面!$G$24&amp;" "&amp;封面!$G$26</f>
        <v>评估人员： 栗祥宁</v>
      </c>
      <c r="F29" s="158"/>
      <c r="G29" s="244"/>
    </row>
    <row r="30" ht="15" customHeight="1" spans="1:83">
      <c r="A30" s="75" t="str">
        <f>参数表!F$7</f>
        <v>填表日期：2025年9月20日</v>
      </c>
      <c r="B30" s="158"/>
      <c r="C30" s="158"/>
      <c r="D30" s="158"/>
      <c r="E30" s="158"/>
      <c r="F30" s="158"/>
    </row>
    <row r="31" customHeight="1" spans="1:83">
      <c r="A31" s="158"/>
      <c r="B31" s="158"/>
      <c r="C31" s="355"/>
      <c r="D31" s="355"/>
      <c r="E31" s="355"/>
      <c r="F31" s="158"/>
    </row>
    <row r="32" customHeight="1" spans="1:83">
      <c r="A32" s="158"/>
      <c r="B32" s="158"/>
      <c r="C32" s="355"/>
      <c r="D32" s="355"/>
      <c r="E32" s="355"/>
      <c r="F32" s="158"/>
    </row>
    <row r="33" customHeight="1" spans="1:6">
      <c r="A33" s="158"/>
      <c r="B33" s="158"/>
      <c r="C33" s="158"/>
      <c r="D33" s="158"/>
      <c r="E33" s="158"/>
      <c r="F33" s="158"/>
    </row>
    <row r="34" customHeight="1" spans="1:6">
      <c r="A34" s="158"/>
      <c r="B34" s="158"/>
      <c r="C34" s="158"/>
      <c r="D34" s="158"/>
      <c r="E34" s="158"/>
      <c r="F34" s="158"/>
    </row>
  </sheetData>
  <sheetProtection autoFilter="0"/>
  <mergeCells count="8">
    <mergeCell ref="A2:G2"/>
    <mergeCell ref="A3:G3"/>
    <mergeCell ref="BA4:BH4"/>
    <mergeCell ref="BJ4:BQ4"/>
    <mergeCell ref="BA5:BD5"/>
    <mergeCell ref="BE5:BH5"/>
    <mergeCell ref="BJ5:BM5"/>
    <mergeCell ref="BN5:BQ5"/>
  </mergeCells>
  <conditionalFormatting sqref="C7:G24">
    <cfRule type="expression" dxfId="3" priority="2">
      <formula>$D7+$E7=0</formula>
    </cfRule>
  </conditionalFormatting>
  <conditionalFormatting sqref="A25:G27">
    <cfRule type="expression" dxfId="3" priority="1">
      <formula>$D25+$E25=0</formula>
    </cfRule>
  </conditionalFormatting>
  <hyperlinks>
    <hyperlink ref="A1" location="索引目录!C25" display="返回索引页"/>
    <hyperlink ref="B1" location="非流动资产评估汇总!B25" display="返回"/>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00B0F0"/>
  </sheetPr>
  <dimension ref="A1:BB44"/>
  <sheetViews>
    <sheetView workbookViewId="0">
      <pane xSplit="2" ySplit="6" topLeftCell="C7" activePane="bottomRight" state="frozen"/>
      <selection/>
      <selection pane="topRight"/>
      <selection pane="bottomLeft"/>
      <selection pane="bottomRight" activeCell="E45" sqref="E45"/>
    </sheetView>
  </sheetViews>
  <sheetFormatPr defaultColWidth="7" defaultRowHeight="18" customHeight="1"/>
  <cols>
    <col min="1" max="1" width="19.1" style="1800" customWidth="1"/>
    <col min="2" max="2" width="4.6" style="1801" customWidth="1"/>
    <col min="3" max="4" width="15.6" style="1802" customWidth="1"/>
    <col min="5" max="5" width="5.6" style="1800" customWidth="1"/>
    <col min="6" max="6" width="19.1" style="1800" customWidth="1"/>
    <col min="7" max="7" width="4.6" style="1801" customWidth="1"/>
    <col min="8" max="9" width="15.6" style="1802" customWidth="1"/>
    <col min="10" max="10" width="5.6" style="1800" customWidth="1"/>
    <col min="11" max="11" width="7" style="1800"/>
    <col min="12" max="52" width="7" style="1800" hidden="1" customWidth="1" outlineLevel="1"/>
    <col min="53" max="53" width="14.7" style="1800" customWidth="1" collapsed="1"/>
    <col min="54" max="16384" width="7" style="1800"/>
  </cols>
  <sheetData>
    <row r="1" s="1797" customFormat="1" customHeight="1" spans="1:54">
      <c r="A1" s="1803" t="s">
        <v>233</v>
      </c>
      <c r="B1" s="1804"/>
      <c r="C1" s="1804"/>
      <c r="D1" s="1804"/>
      <c r="E1" s="1804"/>
      <c r="F1" s="1804"/>
      <c r="G1" s="1804"/>
      <c r="H1" s="1804"/>
      <c r="I1" s="1804"/>
      <c r="J1" s="1804"/>
      <c r="BA1" s="1805" t="str">
        <f>参数表!BA1</f>
        <v>注意：补充特殊事项、作价等均从BA列开始填写</v>
      </c>
      <c r="BB1" s="1805"/>
    </row>
    <row r="2" s="1797" customFormat="1" customHeight="1" spans="1:54">
      <c r="A2" s="1806" t="s">
        <v>302</v>
      </c>
      <c r="B2" s="1806"/>
      <c r="C2" s="1806"/>
      <c r="D2" s="1806"/>
      <c r="E2" s="1806"/>
      <c r="F2" s="1806"/>
      <c r="G2" s="1806"/>
      <c r="H2" s="1806"/>
      <c r="I2" s="1806"/>
      <c r="J2" s="1806"/>
      <c r="BA2" s="1805" t="str">
        <f>参数表!BA2</f>
        <v>评估基准日：</v>
      </c>
      <c r="BB2" s="1805" t="str">
        <f>参数表!BB2</f>
        <v>2025年7月31日</v>
      </c>
    </row>
    <row r="3" s="1798" customFormat="1" ht="15" customHeight="1" spans="1:54">
      <c r="A3" s="1807" t="str">
        <f>参数表!F5</f>
        <v>评估基准日：2025年7月31日</v>
      </c>
      <c r="B3" s="1807"/>
      <c r="C3" s="1807"/>
      <c r="D3" s="1807"/>
      <c r="E3" s="1807"/>
      <c r="F3" s="1807"/>
      <c r="G3" s="1807"/>
      <c r="H3" s="1807"/>
      <c r="I3" s="1807"/>
      <c r="J3" s="1807"/>
      <c r="BA3" s="1808" t="str">
        <f>参数表!BA3</f>
        <v>是否显示评估值：</v>
      </c>
      <c r="BB3" s="1808" t="str">
        <f>参数表!BB3</f>
        <v>是</v>
      </c>
    </row>
    <row r="4" customHeight="1" spans="1:54">
      <c r="A4" s="1809" t="str">
        <f>"编制单位:"&amp;封面!F7</f>
        <v>编制单位:中煤第五建设有限公司</v>
      </c>
      <c r="B4" s="1809"/>
      <c r="C4" s="1809"/>
      <c r="D4" s="1810"/>
      <c r="E4" s="1811"/>
      <c r="F4" s="1812"/>
      <c r="G4" s="1813"/>
      <c r="H4" s="1810"/>
      <c r="I4" s="1810"/>
      <c r="J4" s="1814" t="s">
        <v>303</v>
      </c>
      <c r="BA4" s="1799"/>
    </row>
    <row r="5" s="1799" customFormat="1" customHeight="1" spans="1:54">
      <c r="A5" s="1815" t="s">
        <v>304</v>
      </c>
      <c r="B5" s="1815" t="s">
        <v>305</v>
      </c>
      <c r="C5" s="1815" t="s">
        <v>306</v>
      </c>
      <c r="D5" s="1815" t="s">
        <v>307</v>
      </c>
      <c r="E5" s="1815" t="s">
        <v>308</v>
      </c>
      <c r="F5" s="1815" t="s">
        <v>309</v>
      </c>
      <c r="G5" s="1815" t="s">
        <v>305</v>
      </c>
      <c r="H5" s="1815" t="s">
        <v>306</v>
      </c>
      <c r="I5" s="1815" t="s">
        <v>307</v>
      </c>
      <c r="J5" s="1815" t="s">
        <v>308</v>
      </c>
    </row>
    <row r="6" customHeight="1" spans="1:54">
      <c r="A6" s="1816" t="s">
        <v>310</v>
      </c>
      <c r="B6" s="1817">
        <f>IF(A6="","",SUBTOTAL(3,A$6:A6))</f>
        <v>1</v>
      </c>
      <c r="C6" s="1818"/>
      <c r="D6" s="1818"/>
      <c r="E6" s="1819"/>
      <c r="F6" s="1819" t="s">
        <v>311</v>
      </c>
      <c r="G6" s="1817">
        <f>IF(F6="","",SUBTOTAL(3,A$6:A$42,F$6:F6))</f>
        <v>37</v>
      </c>
      <c r="H6" s="1818"/>
      <c r="I6" s="1818"/>
      <c r="J6" s="1819"/>
    </row>
    <row r="7" customHeight="1" spans="1:54">
      <c r="A7" s="1820" t="str">
        <f>分类汇总!B8</f>
        <v>货币资金</v>
      </c>
      <c r="B7" s="1817">
        <f>IF(A7="","",SUBTOTAL(3,A$6:A7))</f>
        <v>2</v>
      </c>
      <c r="C7" s="1821">
        <f>'资负表（未审）-新'!C7</f>
        <v>0</v>
      </c>
      <c r="D7" s="1821">
        <f>'资负表（未审）-新'!D7</f>
        <v>0</v>
      </c>
      <c r="E7" s="1822"/>
      <c r="F7" s="1820" t="str">
        <f>分类汇总!B45</f>
        <v>短期借款</v>
      </c>
      <c r="G7" s="1817">
        <f>IF(F7="","",SUBTOTAL(3,A$6:A$42,F$6:F7))</f>
        <v>38</v>
      </c>
      <c r="H7" s="1821">
        <f>'资负表（未审）-新'!H7</f>
        <v>0</v>
      </c>
      <c r="I7" s="1821">
        <f>'资负表（未审）-新'!I7</f>
        <v>0</v>
      </c>
      <c r="J7" s="1822"/>
    </row>
    <row r="8" customHeight="1" spans="1:54">
      <c r="A8" s="1823" t="str">
        <f>分类汇总!B10</f>
        <v>交易性金融资产</v>
      </c>
      <c r="B8" s="1817">
        <f>IF(A8="","",SUBTOTAL(3,A$6:A8))</f>
        <v>3</v>
      </c>
      <c r="C8" s="1821">
        <f>'资负表（未审）-新'!C8</f>
        <v>0</v>
      </c>
      <c r="D8" s="1821">
        <f>'资负表（未审）-新'!D8</f>
        <v>0</v>
      </c>
      <c r="E8" s="1822"/>
      <c r="F8" s="1823" t="str">
        <f>分类汇总!B47</f>
        <v>交易性金融负债</v>
      </c>
      <c r="G8" s="1817">
        <f>IF(F8="","",SUBTOTAL(3,A$6:A$42,F$6:F8))</f>
        <v>39</v>
      </c>
      <c r="H8" s="1821">
        <f>'资负表（未审）-新'!H8</f>
        <v>0</v>
      </c>
      <c r="I8" s="1821">
        <f>'资负表（未审）-新'!I8</f>
        <v>0</v>
      </c>
      <c r="J8" s="1822"/>
    </row>
    <row r="9" customHeight="1" spans="1:54">
      <c r="A9" s="1820" t="str">
        <f>分类汇总!B11</f>
        <v>衍生金融资产</v>
      </c>
      <c r="B9" s="1817">
        <f>IF(A9="","",SUBTOTAL(3,A$6:A9))</f>
        <v>4</v>
      </c>
      <c r="C9" s="1821">
        <f>'资负表（未审）-新'!C9</f>
        <v>0</v>
      </c>
      <c r="D9" s="1821">
        <f>'资负表（未审）-新'!D9</f>
        <v>0</v>
      </c>
      <c r="E9" s="1822"/>
      <c r="F9" s="1820" t="str">
        <f>分类汇总!B48</f>
        <v>衍生金融负债</v>
      </c>
      <c r="G9" s="1817">
        <f>IF(F9="","",SUBTOTAL(3,A$6:A$42,F$6:F9))</f>
        <v>40</v>
      </c>
      <c r="H9" s="1821">
        <f>'资负表（未审）-新'!H9</f>
        <v>0</v>
      </c>
      <c r="I9" s="1821">
        <f>'资负表（未审）-新'!I9</f>
        <v>0</v>
      </c>
      <c r="J9" s="1822"/>
    </row>
    <row r="10" customHeight="1" spans="1:54">
      <c r="A10" s="1820" t="str">
        <f>分类汇总!B12</f>
        <v>应收票据</v>
      </c>
      <c r="B10" s="1817">
        <f>IF(A10="","",SUBTOTAL(3,A$6:A10))</f>
        <v>5</v>
      </c>
      <c r="C10" s="1821">
        <f>'资负表（未审）-新'!C10</f>
        <v>0</v>
      </c>
      <c r="D10" s="1821">
        <f>'资负表（未审）-新'!D10</f>
        <v>0</v>
      </c>
      <c r="E10" s="1822"/>
      <c r="F10" s="1820" t="str">
        <f>分类汇总!B49</f>
        <v>应付票据</v>
      </c>
      <c r="G10" s="1817">
        <f>IF(F10="","",SUBTOTAL(3,A$6:A$42,F$6:F10))</f>
        <v>41</v>
      </c>
      <c r="H10" s="1821">
        <f>'资负表（未审）-新'!H10</f>
        <v>0</v>
      </c>
      <c r="I10" s="1821">
        <f>'资负表（未审）-新'!I10</f>
        <v>0</v>
      </c>
      <c r="J10" s="1822"/>
    </row>
    <row r="11" customHeight="1" spans="1:54">
      <c r="A11" s="1820" t="str">
        <f>分类汇总!B13</f>
        <v>应收账款</v>
      </c>
      <c r="B11" s="1817">
        <f>IF(A11="","",SUBTOTAL(3,A$6:A11))</f>
        <v>6</v>
      </c>
      <c r="C11" s="1821">
        <f>'资负表（未审）-新'!C11</f>
        <v>0</v>
      </c>
      <c r="D11" s="1821">
        <f>'资负表（未审）-新'!D11</f>
        <v>0</v>
      </c>
      <c r="E11" s="1822"/>
      <c r="F11" s="1820" t="str">
        <f>分类汇总!B50</f>
        <v>应付账款</v>
      </c>
      <c r="G11" s="1817">
        <f>IF(F11="","",SUBTOTAL(3,A$6:A$42,F$6:F11))</f>
        <v>42</v>
      </c>
      <c r="H11" s="1821">
        <f>'资负表（未审）-新'!H11</f>
        <v>0</v>
      </c>
      <c r="I11" s="1821">
        <f>'资负表（未审）-新'!I11</f>
        <v>0</v>
      </c>
      <c r="J11" s="1822"/>
    </row>
    <row r="12" customHeight="1" spans="1:54">
      <c r="A12" s="1820" t="str">
        <f>分类汇总!B14</f>
        <v>应收款项融资</v>
      </c>
      <c r="B12" s="1817">
        <f>IF(A12="","",SUBTOTAL(3,A$6:A12))</f>
        <v>7</v>
      </c>
      <c r="C12" s="1821">
        <f>'资负表（未审）-新'!C12</f>
        <v>0</v>
      </c>
      <c r="D12" s="1821">
        <f>'资负表（未审）-新'!D12</f>
        <v>0</v>
      </c>
      <c r="E12" s="1822"/>
      <c r="F12" s="1820" t="str">
        <f>分类汇总!B51</f>
        <v>预收款项</v>
      </c>
      <c r="G12" s="1817">
        <f>IF(F12="","",SUBTOTAL(3,A$6:A$42,F$6:F12))</f>
        <v>43</v>
      </c>
      <c r="H12" s="1821">
        <f>'资负表（未审）-新'!H12</f>
        <v>0</v>
      </c>
      <c r="I12" s="1821">
        <f>'资负表（未审）-新'!I12</f>
        <v>0</v>
      </c>
      <c r="J12" s="1822"/>
    </row>
    <row r="13" customHeight="1" spans="1:54">
      <c r="A13" s="1820" t="str">
        <f>分类汇总!B15</f>
        <v>预付账款</v>
      </c>
      <c r="B13" s="1817">
        <f>IF(A13="","",SUBTOTAL(3,A$6:A13))</f>
        <v>8</v>
      </c>
      <c r="C13" s="1821">
        <f>'资负表（未审）-新'!C13</f>
        <v>0</v>
      </c>
      <c r="D13" s="1821">
        <f>'资负表（未审）-新'!D13</f>
        <v>0</v>
      </c>
      <c r="E13" s="1822"/>
      <c r="F13" s="1820" t="str">
        <f>分类汇总!B52</f>
        <v>合同负债</v>
      </c>
      <c r="G13" s="1817">
        <f>IF(F13="","",SUBTOTAL(3,A$6:A$42,F$6:F13))</f>
        <v>44</v>
      </c>
      <c r="H13" s="1821">
        <f>'资负表（未审）-新'!H13</f>
        <v>0</v>
      </c>
      <c r="I13" s="1821">
        <f>'资负表（未审）-新'!I13</f>
        <v>0</v>
      </c>
      <c r="J13" s="1822"/>
    </row>
    <row r="14" customHeight="1" spans="1:54">
      <c r="A14" s="1820" t="str">
        <f>分类汇总!B16</f>
        <v>其他应收款</v>
      </c>
      <c r="B14" s="1817">
        <f>IF(A14="","",SUBTOTAL(3,A$6:A14))</f>
        <v>9</v>
      </c>
      <c r="C14" s="1824">
        <f>'资负表（未审）-新'!C14</f>
        <v>0</v>
      </c>
      <c r="D14" s="1824">
        <f>'资负表（未审）-新'!D14</f>
        <v>0</v>
      </c>
      <c r="E14" s="1822"/>
      <c r="F14" s="1820" t="str">
        <f>分类汇总!B53</f>
        <v>应付职工薪酬</v>
      </c>
      <c r="G14" s="1817">
        <f>IF(F14="","",SUBTOTAL(3,A$6:A$42,F$6:F14))</f>
        <v>45</v>
      </c>
      <c r="H14" s="1821">
        <f>'资负表（未审）-新'!H14</f>
        <v>0</v>
      </c>
      <c r="I14" s="1821">
        <f>'资负表（未审）-新'!I14</f>
        <v>0</v>
      </c>
      <c r="J14" s="1822"/>
    </row>
    <row r="15" customHeight="1" spans="1:54">
      <c r="A15" s="1820" t="str">
        <f>分类汇总!B17</f>
        <v>存货</v>
      </c>
      <c r="B15" s="1817">
        <f>IF(A15="","",SUBTOTAL(3,A$6:A15))</f>
        <v>10</v>
      </c>
      <c r="C15" s="1824">
        <f>'资负表（未审）-新'!C15</f>
        <v>0</v>
      </c>
      <c r="D15" s="1824">
        <f>'资负表（未审）-新'!D15</f>
        <v>0</v>
      </c>
      <c r="E15" s="1822"/>
      <c r="F15" s="1820" t="str">
        <f>分类汇总!B54</f>
        <v>应交税费</v>
      </c>
      <c r="G15" s="1817">
        <f>IF(F15="","",SUBTOTAL(3,A$6:A$42,F$6:F15))</f>
        <v>46</v>
      </c>
      <c r="H15" s="1821">
        <f>'资负表（未审）-新'!H15</f>
        <v>0</v>
      </c>
      <c r="I15" s="1821">
        <f>'资负表（未审）-新'!I15</f>
        <v>0</v>
      </c>
      <c r="J15" s="1822"/>
    </row>
    <row r="16" customHeight="1" spans="1:54">
      <c r="A16" s="1820" t="str">
        <f>分类汇总!B18</f>
        <v>合同资产</v>
      </c>
      <c r="B16" s="1817">
        <f>IF(A16="","",SUBTOTAL(3,A$6:A16))</f>
        <v>11</v>
      </c>
      <c r="C16" s="1824">
        <f>'资负表（未审）-新'!C16</f>
        <v>0</v>
      </c>
      <c r="D16" s="1824">
        <f>'资负表（未审）-新'!D16</f>
        <v>0</v>
      </c>
      <c r="E16" s="1822"/>
      <c r="F16" s="1820" t="str">
        <f>分类汇总!B55</f>
        <v>其他应付款</v>
      </c>
      <c r="G16" s="1817">
        <f>IF(F16="","",SUBTOTAL(3,A$6:A$42,F$6:F16))</f>
        <v>47</v>
      </c>
      <c r="H16" s="1821">
        <f>'资负表（未审）-新'!H16</f>
        <v>0</v>
      </c>
      <c r="I16" s="1821">
        <f>'资负表（未审）-新'!I16</f>
        <v>0</v>
      </c>
      <c r="J16" s="1822"/>
    </row>
    <row r="17" customHeight="1" spans="1:10">
      <c r="A17" s="1820" t="str">
        <f>分类汇总!B19</f>
        <v>持有待售资产</v>
      </c>
      <c r="B17" s="1817">
        <f>IF(A17="","",SUBTOTAL(3,A$6:A17))</f>
        <v>12</v>
      </c>
      <c r="C17" s="1824">
        <f>'资负表（未审）-新'!C17</f>
        <v>0</v>
      </c>
      <c r="D17" s="1824">
        <f>'资负表（未审）-新'!D17</f>
        <v>0</v>
      </c>
      <c r="E17" s="1822"/>
      <c r="F17" s="1820" t="str">
        <f>分类汇总!B56</f>
        <v>持有待售负债</v>
      </c>
      <c r="G17" s="1817">
        <f>IF(F17="","",SUBTOTAL(3,A$6:A$42,F$6:F17))</f>
        <v>48</v>
      </c>
      <c r="H17" s="1821">
        <f>'资负表（未审）-新'!H17</f>
        <v>0</v>
      </c>
      <c r="I17" s="1821">
        <f>'资负表（未审）-新'!I17</f>
        <v>0</v>
      </c>
      <c r="J17" s="1822"/>
    </row>
    <row r="18" customHeight="1" spans="1:10">
      <c r="A18" s="1820" t="str">
        <f>分类汇总!B20</f>
        <v>一年内到期的非流动资产</v>
      </c>
      <c r="B18" s="1817">
        <f>IF(A18="","",SUBTOTAL(3,A$6:A18))</f>
        <v>13</v>
      </c>
      <c r="C18" s="1824">
        <f>'资负表（未审）-新'!C18</f>
        <v>0</v>
      </c>
      <c r="D18" s="1824">
        <f>'资负表（未审）-新'!D18</f>
        <v>0</v>
      </c>
      <c r="E18" s="1822"/>
      <c r="F18" s="1820" t="str">
        <f>分类汇总!B57</f>
        <v>一年内到期的非流动负债</v>
      </c>
      <c r="G18" s="1817">
        <f>IF(F18="","",SUBTOTAL(3,A$6:A$42,F$6:F18))</f>
        <v>49</v>
      </c>
      <c r="H18" s="1821">
        <f>'资负表（未审）-新'!H18</f>
        <v>0</v>
      </c>
      <c r="I18" s="1821">
        <f>'资负表（未审）-新'!I18</f>
        <v>0</v>
      </c>
      <c r="J18" s="1822"/>
    </row>
    <row r="19" customHeight="1" spans="1:10">
      <c r="A19" s="1820" t="str">
        <f>分类汇总!B21</f>
        <v>其他流动资产</v>
      </c>
      <c r="B19" s="1817">
        <f>IF(A19="","",SUBTOTAL(3,A$6:A19))</f>
        <v>14</v>
      </c>
      <c r="C19" s="1824">
        <f>'资负表（未审）-新'!C19</f>
        <v>0</v>
      </c>
      <c r="D19" s="1824">
        <f>'资负表（未审）-新'!D19</f>
        <v>0</v>
      </c>
      <c r="E19" s="1822"/>
      <c r="F19" s="1820" t="str">
        <f>分类汇总!B58</f>
        <v>其他流动负债</v>
      </c>
      <c r="G19" s="1817">
        <f>IF(F19="","",SUBTOTAL(3,A$6:A$42,F$6:F19))</f>
        <v>50</v>
      </c>
      <c r="H19" s="1821">
        <f>'资负表（未审）-新'!H19</f>
        <v>0</v>
      </c>
      <c r="I19" s="1821">
        <f>'资负表（未审）-新'!I19</f>
        <v>0</v>
      </c>
      <c r="J19" s="1822"/>
    </row>
    <row r="20" customHeight="1" spans="1:10">
      <c r="A20" s="1815" t="s">
        <v>312</v>
      </c>
      <c r="B20" s="1817">
        <f>IF(A20="","",SUBTOTAL(3,A$6:A20))</f>
        <v>15</v>
      </c>
      <c r="C20" s="1818">
        <f>SUM(C7:C19)</f>
        <v>0</v>
      </c>
      <c r="D20" s="1818">
        <f>SUM(D7:D19)</f>
        <v>0</v>
      </c>
      <c r="E20" s="1819"/>
      <c r="F20" s="1825" t="s">
        <v>313</v>
      </c>
      <c r="G20" s="1817">
        <f>IF(F20="","",SUBTOTAL(3,A$6:A$42,F$6:F20))</f>
        <v>51</v>
      </c>
      <c r="H20" s="1826">
        <f>SUM(H7:H19)</f>
        <v>0</v>
      </c>
      <c r="I20" s="1826">
        <f>SUM(I7:I19)</f>
        <v>0</v>
      </c>
      <c r="J20" s="1819"/>
    </row>
    <row r="21" customHeight="1" spans="1:10">
      <c r="A21" s="1820" t="s">
        <v>314</v>
      </c>
      <c r="B21" s="1817">
        <f>IF(A21="","",SUBTOTAL(3,A$6:A21))</f>
        <v>16</v>
      </c>
      <c r="C21" s="1826"/>
      <c r="D21" s="1826"/>
      <c r="E21" s="1819"/>
      <c r="F21" s="1819" t="s">
        <v>315</v>
      </c>
      <c r="G21" s="1817">
        <f>IF(F21="","",SUBTOTAL(3,A$6:A$42,F$6:F21))</f>
        <v>52</v>
      </c>
      <c r="H21" s="1826"/>
      <c r="I21" s="1826"/>
      <c r="J21" s="1819"/>
    </row>
    <row r="22" customHeight="1" spans="1:10">
      <c r="A22" s="1820" t="str">
        <f>分类汇总!B25</f>
        <v>债权投资</v>
      </c>
      <c r="B22" s="1817">
        <f>IF(A22="","",SUBTOTAL(3,A$6:A22))</f>
        <v>17</v>
      </c>
      <c r="C22" s="1824">
        <f>'资负表（未审）-新'!C22</f>
        <v>0</v>
      </c>
      <c r="D22" s="1824">
        <f>'资负表（未审）-新'!D22</f>
        <v>0</v>
      </c>
      <c r="E22" s="1822"/>
      <c r="F22" s="1820" t="str">
        <f>分类汇总!B60</f>
        <v>长期借款</v>
      </c>
      <c r="G22" s="1817">
        <f>IF(F22="","",SUBTOTAL(3,A$6:A$42,F$6:F22))</f>
        <v>53</v>
      </c>
      <c r="H22" s="1821">
        <f>'资负表（未审）-新'!H22</f>
        <v>0</v>
      </c>
      <c r="I22" s="1821">
        <f>'资负表（未审）-新'!I22</f>
        <v>0</v>
      </c>
      <c r="J22" s="1822"/>
    </row>
    <row r="23" customHeight="1" spans="1:10">
      <c r="A23" s="1820" t="str">
        <f>分类汇总!B26</f>
        <v>其他债权投资</v>
      </c>
      <c r="B23" s="1817">
        <f>IF(A23="","",SUBTOTAL(3,A$6:A23))</f>
        <v>18</v>
      </c>
      <c r="C23" s="1824">
        <f>'资负表（未审）-新'!C23</f>
        <v>0</v>
      </c>
      <c r="D23" s="1824">
        <f>'资负表（未审）-新'!D23</f>
        <v>0</v>
      </c>
      <c r="E23" s="1822"/>
      <c r="F23" s="1820" t="str">
        <f>分类汇总!B61</f>
        <v>应付债券</v>
      </c>
      <c r="G23" s="1817">
        <f>IF(F23="","",SUBTOTAL(3,A$6:A$42,F$6:F23))</f>
        <v>54</v>
      </c>
      <c r="H23" s="1821">
        <f>'资负表（未审）-新'!H23</f>
        <v>0</v>
      </c>
      <c r="I23" s="1821">
        <f>'资负表（未审）-新'!I23</f>
        <v>0</v>
      </c>
      <c r="J23" s="1822"/>
    </row>
    <row r="24" customHeight="1" spans="1:10">
      <c r="A24" s="1820" t="str">
        <f>分类汇总!B27</f>
        <v>长期应收款</v>
      </c>
      <c r="B24" s="1817">
        <f>IF(A24="","",SUBTOTAL(3,A$6:A24))</f>
        <v>19</v>
      </c>
      <c r="C24" s="1824">
        <f>'资负表（未审）-新'!C24</f>
        <v>0</v>
      </c>
      <c r="D24" s="1824">
        <f>'资负表（未审）-新'!D24</f>
        <v>0</v>
      </c>
      <c r="E24" s="1822"/>
      <c r="F24" s="1820" t="str">
        <f>分类汇总!B62</f>
        <v>租赁负债</v>
      </c>
      <c r="G24" s="1817">
        <f>IF(F24="","",SUBTOTAL(3,A$6:A$42,F$6:F24))</f>
        <v>55</v>
      </c>
      <c r="H24" s="1821">
        <f>'资负表（未审）-新'!H24</f>
        <v>0</v>
      </c>
      <c r="I24" s="1821">
        <f>'资负表（未审）-新'!I24</f>
        <v>0</v>
      </c>
      <c r="J24" s="1822"/>
    </row>
    <row r="25" customHeight="1" spans="1:10">
      <c r="A25" s="1820" t="str">
        <f>分类汇总!B28</f>
        <v>长期股权投资</v>
      </c>
      <c r="B25" s="1817">
        <f>IF(A25="","",SUBTOTAL(3,A$6:A25))</f>
        <v>20</v>
      </c>
      <c r="C25" s="1824">
        <f>'资负表（未审）-新'!C25</f>
        <v>0</v>
      </c>
      <c r="D25" s="1824">
        <f>'资负表（未审）-新'!D25</f>
        <v>0</v>
      </c>
      <c r="E25" s="1822"/>
      <c r="F25" s="1820" t="str">
        <f>分类汇总!B63</f>
        <v>长期应付款</v>
      </c>
      <c r="G25" s="1817">
        <f>IF(F25="","",SUBTOTAL(3,A$6:A$42,F$6:F25))</f>
        <v>56</v>
      </c>
      <c r="H25" s="1821">
        <f>'资负表（未审）-新'!H25</f>
        <v>0</v>
      </c>
      <c r="I25" s="1821">
        <f>'资负表（未审）-新'!I25</f>
        <v>0</v>
      </c>
      <c r="J25" s="1822"/>
    </row>
    <row r="26" customHeight="1" spans="1:10">
      <c r="A26" s="1820" t="str">
        <f>分类汇总!B29</f>
        <v>其他权益工具</v>
      </c>
      <c r="B26" s="1817">
        <f>IF(A26="","",SUBTOTAL(3,A$6:A26))</f>
        <v>21</v>
      </c>
      <c r="C26" s="1824">
        <f>'资负表（未审）-新'!C26</f>
        <v>0</v>
      </c>
      <c r="D26" s="1824">
        <f>'资负表（未审）-新'!D26</f>
        <v>0</v>
      </c>
      <c r="E26" s="1822"/>
      <c r="F26" s="1820" t="str">
        <f>分类汇总!B64</f>
        <v>预计负债</v>
      </c>
      <c r="G26" s="1817">
        <f>IF(F26="","",SUBTOTAL(3,A$6:A$42,F$6:F26))</f>
        <v>57</v>
      </c>
      <c r="H26" s="1821">
        <f>'资负表（未审）-新'!H26</f>
        <v>0</v>
      </c>
      <c r="I26" s="1821">
        <f>'资负表（未审）-新'!I26</f>
        <v>0</v>
      </c>
      <c r="J26" s="1822"/>
    </row>
    <row r="27" customHeight="1" spans="1:10">
      <c r="A27" s="1820" t="str">
        <f>分类汇总!B30</f>
        <v>其他非流动金融资产</v>
      </c>
      <c r="B27" s="1817">
        <f>IF(A27="","",SUBTOTAL(3,A$6:A27))</f>
        <v>22</v>
      </c>
      <c r="C27" s="1824">
        <f>'资负表（未审）-新'!C27</f>
        <v>0</v>
      </c>
      <c r="D27" s="1824">
        <f>'资负表（未审）-新'!D27</f>
        <v>0</v>
      </c>
      <c r="E27" s="1822"/>
      <c r="F27" s="1820" t="str">
        <f>分类汇总!B65</f>
        <v>递延收益</v>
      </c>
      <c r="G27" s="1817">
        <f>IF(F27="","",SUBTOTAL(3,A$6:A$42,F$6:F27))</f>
        <v>58</v>
      </c>
      <c r="H27" s="1821">
        <f>'资负表（未审）-新'!H27</f>
        <v>0</v>
      </c>
      <c r="I27" s="1821">
        <f>'资负表（未审）-新'!I27</f>
        <v>0</v>
      </c>
      <c r="J27" s="1822"/>
    </row>
    <row r="28" customHeight="1" spans="1:10">
      <c r="A28" s="1820" t="str">
        <f>分类汇总!B31</f>
        <v>投资性房地产</v>
      </c>
      <c r="B28" s="1817">
        <f>IF(A28="","",SUBTOTAL(3,A$6:A28))</f>
        <v>23</v>
      </c>
      <c r="C28" s="1824">
        <f>'资负表（未审）-新'!C28</f>
        <v>0</v>
      </c>
      <c r="D28" s="1824">
        <f>'资负表（未审）-新'!D28</f>
        <v>0</v>
      </c>
      <c r="E28" s="1822"/>
      <c r="F28" s="1820" t="str">
        <f>分类汇总!B66</f>
        <v>递延所得税负债</v>
      </c>
      <c r="G28" s="1817">
        <f>IF(F28="","",SUBTOTAL(3,A$6:A$42,F$6:F28))</f>
        <v>59</v>
      </c>
      <c r="H28" s="1821">
        <f>'资负表（未审）-新'!H28</f>
        <v>0</v>
      </c>
      <c r="I28" s="1821">
        <f>'资负表（未审）-新'!I28</f>
        <v>0</v>
      </c>
      <c r="J28" s="1822"/>
    </row>
    <row r="29" customHeight="1" spans="1:10">
      <c r="A29" s="1820" t="str">
        <f>分类汇总!B32</f>
        <v>固定资产</v>
      </c>
      <c r="B29" s="1817">
        <f>IF(A29="","",SUBTOTAL(3,A$6:A29))</f>
        <v>24</v>
      </c>
      <c r="C29" s="1824">
        <f>'资负表（未审）-新'!C29</f>
        <v>0</v>
      </c>
      <c r="D29" s="1824">
        <f>'资负表（未审）-新'!D29</f>
        <v>0</v>
      </c>
      <c r="E29" s="1822"/>
      <c r="F29" s="1820" t="str">
        <f>分类汇总!B67</f>
        <v>其他非流动负债</v>
      </c>
      <c r="G29" s="1817">
        <f>IF(F29="","",SUBTOTAL(3,A$6:A$42,F$6:F29))</f>
        <v>60</v>
      </c>
      <c r="H29" s="1821">
        <f>'资负表（未审）-新'!H29</f>
        <v>0</v>
      </c>
      <c r="I29" s="1821">
        <f>'资负表（未审）-新'!I29</f>
        <v>0</v>
      </c>
      <c r="J29" s="1822"/>
    </row>
    <row r="30" customHeight="1" spans="1:10">
      <c r="A30" s="1820" t="str">
        <f>分类汇总!B33</f>
        <v>在建工程</v>
      </c>
      <c r="B30" s="1817">
        <f>IF(A30="","",SUBTOTAL(3,A$6:A30))</f>
        <v>25</v>
      </c>
      <c r="C30" s="1824">
        <f>'资负表（未审）-新'!C30</f>
        <v>0</v>
      </c>
      <c r="D30" s="1824">
        <f>'资负表（未审）-新'!D30</f>
        <v>0</v>
      </c>
      <c r="E30" s="1822"/>
      <c r="F30" s="1825" t="s">
        <v>316</v>
      </c>
      <c r="G30" s="1817">
        <f>IF(F30="","",SUBTOTAL(3,A$6:A$42,F$6:F30))</f>
        <v>61</v>
      </c>
      <c r="H30" s="1826">
        <f>SUM(H22:H29)</f>
        <v>0</v>
      </c>
      <c r="I30" s="1826">
        <f>SUM(I22:I29)</f>
        <v>0</v>
      </c>
      <c r="J30" s="1819"/>
    </row>
    <row r="31" customHeight="1" spans="1:10">
      <c r="A31" s="1820" t="str">
        <f>分类汇总!B34</f>
        <v>生产性生物资产</v>
      </c>
      <c r="B31" s="1817">
        <f>IF(A31="","",SUBTOTAL(3,A$6:A31))</f>
        <v>26</v>
      </c>
      <c r="C31" s="1824">
        <f>'资负表（未审）-新'!C31</f>
        <v>0</v>
      </c>
      <c r="D31" s="1824">
        <f>'资负表（未审）-新'!D31</f>
        <v>0</v>
      </c>
      <c r="E31" s="1822"/>
      <c r="F31" s="1825" t="s">
        <v>317</v>
      </c>
      <c r="G31" s="1817">
        <f>IF(F31="","",SUBTOTAL(3,A$6:A$42,F$6:F31))</f>
        <v>62</v>
      </c>
      <c r="H31" s="1827">
        <f>H20+H30</f>
        <v>0</v>
      </c>
      <c r="I31" s="1827">
        <f>I20+I30</f>
        <v>0</v>
      </c>
      <c r="J31" s="1819"/>
    </row>
    <row r="32" customHeight="1" spans="1:10">
      <c r="A32" s="1820" t="str">
        <f>分类汇总!B35</f>
        <v>油气资产</v>
      </c>
      <c r="B32" s="1817">
        <f>IF(A32="","",SUBTOTAL(3,A$6:A32))</f>
        <v>27</v>
      </c>
      <c r="C32" s="1824">
        <f>'资负表（未审）-新'!C32</f>
        <v>0</v>
      </c>
      <c r="D32" s="1824">
        <f>'资负表（未审）-新'!D32</f>
        <v>0</v>
      </c>
      <c r="E32" s="1822"/>
      <c r="F32" s="1819" t="s">
        <v>318</v>
      </c>
      <c r="G32" s="1817">
        <f>IF(F32="","",SUBTOTAL(3,A$6:A$42,F$6:F32))</f>
        <v>63</v>
      </c>
      <c r="H32" s="1824">
        <f>'资负表（未审）-新'!H32</f>
        <v>0</v>
      </c>
      <c r="I32" s="1824">
        <f>'资负表（未审）-新'!I32</f>
        <v>0</v>
      </c>
      <c r="J32" s="1828"/>
    </row>
    <row r="33" customHeight="1" spans="1:10">
      <c r="A33" s="1820" t="str">
        <f>分类汇总!B36</f>
        <v>使用权资产</v>
      </c>
      <c r="B33" s="1817">
        <f>IF(A33="","",SUBTOTAL(3,A$6:A33))</f>
        <v>28</v>
      </c>
      <c r="C33" s="1824">
        <f>'资负表（未审）-新'!C33</f>
        <v>0</v>
      </c>
      <c r="D33" s="1824">
        <f>'资负表（未审）-新'!D33</f>
        <v>0</v>
      </c>
      <c r="E33" s="1822"/>
      <c r="F33" s="1820" t="s">
        <v>319</v>
      </c>
      <c r="G33" s="1817">
        <f>IF(F33="","",SUBTOTAL(3,A$6:A$42,F$6:F33))</f>
        <v>64</v>
      </c>
      <c r="H33" s="1821">
        <f>'资负表（未审）-新'!H33</f>
        <v>0</v>
      </c>
      <c r="I33" s="1821">
        <f>'资负表（未审）-新'!I33</f>
        <v>0</v>
      </c>
      <c r="J33" s="1822"/>
    </row>
    <row r="34" customHeight="1" spans="1:10">
      <c r="A34" s="1820" t="str">
        <f>分类汇总!B37</f>
        <v>无形资产</v>
      </c>
      <c r="B34" s="1817">
        <f>IF(A34="","",SUBTOTAL(3,A$6:A34))</f>
        <v>29</v>
      </c>
      <c r="C34" s="1824">
        <f>'资负表（未审）-新'!C34</f>
        <v>0</v>
      </c>
      <c r="D34" s="1824">
        <f>'资负表（未审）-新'!D34</f>
        <v>0</v>
      </c>
      <c r="E34" s="1822"/>
      <c r="F34" s="1820" t="s">
        <v>320</v>
      </c>
      <c r="G34" s="1817">
        <f>IF(F34="","",SUBTOTAL(3,A$6:A$42,F$6:F34))</f>
        <v>65</v>
      </c>
      <c r="H34" s="1821">
        <f>'资负表（未审）-新'!H34</f>
        <v>0</v>
      </c>
      <c r="I34" s="1821">
        <f>'资负表（未审）-新'!I34</f>
        <v>0</v>
      </c>
      <c r="J34" s="1822"/>
    </row>
    <row r="35" customHeight="1" spans="1:10">
      <c r="A35" s="1820" t="str">
        <f>分类汇总!B38</f>
        <v>开发支出</v>
      </c>
      <c r="B35" s="1817">
        <f>IF(A35="","",SUBTOTAL(3,A$6:A35))</f>
        <v>30</v>
      </c>
      <c r="C35" s="1824">
        <f>'资负表（未审）-新'!C35</f>
        <v>0</v>
      </c>
      <c r="D35" s="1824">
        <f>'资负表（未审）-新'!D35</f>
        <v>0</v>
      </c>
      <c r="E35" s="1822"/>
      <c r="F35" s="1820" t="s">
        <v>321</v>
      </c>
      <c r="G35" s="1817">
        <f>IF(F35="","",SUBTOTAL(3,A$6:A$42,F$6:F35))</f>
        <v>66</v>
      </c>
      <c r="H35" s="1829">
        <f>'资负表（未审）-新'!H35</f>
        <v>0</v>
      </c>
      <c r="I35" s="1829">
        <f>'资负表（未审）-新'!I35</f>
        <v>0</v>
      </c>
      <c r="J35" s="1822"/>
    </row>
    <row r="36" customHeight="1" spans="1:10">
      <c r="A36" s="1820" t="str">
        <f>分类汇总!B39</f>
        <v>商誉</v>
      </c>
      <c r="B36" s="1817">
        <f>IF(A36="","",SUBTOTAL(3,A$6:A36))</f>
        <v>31</v>
      </c>
      <c r="C36" s="1824">
        <f>'资负表（未审）-新'!C36</f>
        <v>0</v>
      </c>
      <c r="D36" s="1824">
        <f>'资负表（未审）-新'!D36</f>
        <v>0</v>
      </c>
      <c r="E36" s="1822"/>
      <c r="F36" s="1820" t="s">
        <v>322</v>
      </c>
      <c r="G36" s="1817">
        <f>IF(F36="","",SUBTOTAL(3,A$6:A$42,F$6:F36))</f>
        <v>67</v>
      </c>
      <c r="H36" s="1824">
        <f>'资负表（未审）-新'!H36</f>
        <v>0</v>
      </c>
      <c r="I36" s="1824">
        <f>'资负表（未审）-新'!I36</f>
        <v>0</v>
      </c>
      <c r="J36" s="1822"/>
    </row>
    <row r="37" customHeight="1" spans="1:10">
      <c r="A37" s="1820" t="str">
        <f>分类汇总!B40</f>
        <v>长期待摊费用</v>
      </c>
      <c r="B37" s="1817">
        <f>IF(A37="","",SUBTOTAL(3,A$6:A37))</f>
        <v>32</v>
      </c>
      <c r="C37" s="1824">
        <f>'资负表（未审）-新'!C37</f>
        <v>0</v>
      </c>
      <c r="D37" s="1824">
        <f>'资负表（未审）-新'!D37</f>
        <v>0</v>
      </c>
      <c r="E37" s="1822"/>
      <c r="F37" s="1820" t="s">
        <v>324</v>
      </c>
      <c r="G37" s="1817">
        <f>IF(F37="","",SUBTOTAL(3,A$6:A$42,F$6:F37))</f>
        <v>68</v>
      </c>
      <c r="H37" s="1821">
        <f>'资负表（未审）-新'!H37</f>
        <v>0</v>
      </c>
      <c r="I37" s="1821">
        <f>'资负表（未审）-新'!I37</f>
        <v>0</v>
      </c>
      <c r="J37" s="1822"/>
    </row>
    <row r="38" customHeight="1" spans="1:10">
      <c r="A38" s="1820" t="str">
        <f>分类汇总!B41</f>
        <v>递延所得税资产</v>
      </c>
      <c r="B38" s="1817">
        <f>IF(A38="","",SUBTOTAL(3,A$6:A38))</f>
        <v>33</v>
      </c>
      <c r="C38" s="1824">
        <f>'资负表（未审）-新'!C38</f>
        <v>0</v>
      </c>
      <c r="D38" s="1824">
        <f>'资负表（未审）-新'!D38</f>
        <v>0</v>
      </c>
      <c r="E38" s="1822"/>
      <c r="F38" s="1820" t="s">
        <v>323</v>
      </c>
      <c r="G38" s="1817">
        <f>IF(F38="","",SUBTOTAL(3,A$6:A$42,F$6:F38))</f>
        <v>69</v>
      </c>
      <c r="H38" s="1821">
        <f>'资负表（未审）-新'!H38</f>
        <v>0</v>
      </c>
      <c r="I38" s="1821">
        <f>'资负表（未审）-新'!I38</f>
        <v>0</v>
      </c>
      <c r="J38" s="1822"/>
    </row>
    <row r="39" customHeight="1" spans="1:10">
      <c r="A39" s="1820" t="str">
        <f>分类汇总!B42</f>
        <v>其他非流动资产</v>
      </c>
      <c r="B39" s="1817">
        <f>IF(A39="","",SUBTOTAL(3,A$6:A39))</f>
        <v>34</v>
      </c>
      <c r="C39" s="1824">
        <f>'资负表（未审）-新'!C39</f>
        <v>0</v>
      </c>
      <c r="D39" s="1824">
        <f>'资负表（未审）-新'!D39</f>
        <v>0</v>
      </c>
      <c r="E39" s="1822"/>
      <c r="F39" s="1820" t="s">
        <v>325</v>
      </c>
      <c r="G39" s="1817">
        <f>IF(F39="","",SUBTOTAL(3,A$6:A$42,F$6:F39))</f>
        <v>70</v>
      </c>
      <c r="H39" s="1821">
        <f>'资负表（未审）-新'!H39</f>
        <v>0</v>
      </c>
      <c r="I39" s="1821">
        <f>'资负表（未审）-新'!I39</f>
        <v>0</v>
      </c>
      <c r="J39" s="1822"/>
    </row>
    <row r="40" customHeight="1" spans="1:10">
      <c r="A40" s="1820"/>
      <c r="B40" s="1817" t="str">
        <f>IF(A40="","",SUBTOTAL(3,A$6:A40))</f>
        <v/>
      </c>
      <c r="C40" s="1830"/>
      <c r="D40" s="1830"/>
      <c r="E40" s="1831"/>
      <c r="F40" s="1820" t="s">
        <v>326</v>
      </c>
      <c r="G40" s="1817">
        <f>IF(F40="","",SUBTOTAL(3,A$6:A$42,F$6:F40))</f>
        <v>71</v>
      </c>
      <c r="H40" s="1821">
        <f>'资负表（未审）-新'!H40</f>
        <v>0</v>
      </c>
      <c r="I40" s="1821">
        <f>'资负表（未审）-新'!I40</f>
        <v>0</v>
      </c>
      <c r="J40" s="1822"/>
    </row>
    <row r="41" customHeight="1" spans="1:10">
      <c r="A41" s="1815" t="s">
        <v>327</v>
      </c>
      <c r="B41" s="1817">
        <f>IF(A41="","",SUBTOTAL(3,A$6:A41))</f>
        <v>35</v>
      </c>
      <c r="C41" s="1818">
        <f>SUM(C22:C40)</f>
        <v>0</v>
      </c>
      <c r="D41" s="1818">
        <f>SUM(D22:D40)</f>
        <v>0</v>
      </c>
      <c r="E41" s="1819"/>
      <c r="F41" s="1832" t="s">
        <v>328</v>
      </c>
      <c r="G41" s="1817">
        <f>IF(F41="","",SUBTOTAL(3,A$6:A$42,F$6:F41))</f>
        <v>72</v>
      </c>
      <c r="H41" s="1833">
        <f>SUM(H33:H35,H37:H40)-H36</f>
        <v>0</v>
      </c>
      <c r="I41" s="1833">
        <f>SUM(I33:I35,I37:I40)-I36</f>
        <v>0</v>
      </c>
      <c r="J41" s="1819"/>
    </row>
    <row r="42" customHeight="1" spans="1:10">
      <c r="A42" s="1834" t="s">
        <v>329</v>
      </c>
      <c r="B42" s="1835">
        <f>IF(A42="","",SUBTOTAL(3,A$6:A42))</f>
        <v>36</v>
      </c>
      <c r="C42" s="1827">
        <f>SUM(C41,C20)</f>
        <v>0</v>
      </c>
      <c r="D42" s="1827">
        <f>SUM(D41,D20)</f>
        <v>0</v>
      </c>
      <c r="E42" s="1836"/>
      <c r="F42" s="1832" t="s">
        <v>330</v>
      </c>
      <c r="G42" s="1817">
        <f>IF(F42="","",SUBTOTAL(3,A$6:A$42,F$6:F42))</f>
        <v>73</v>
      </c>
      <c r="H42" s="1833">
        <f>H31+H41</f>
        <v>0</v>
      </c>
      <c r="I42" s="1833">
        <f>I31+I41</f>
        <v>0</v>
      </c>
      <c r="J42" s="1837"/>
    </row>
    <row r="43" customHeight="1" spans="1:10">
      <c r="A43" s="1820"/>
      <c r="B43" s="1817"/>
      <c r="C43" s="1838"/>
      <c r="D43" s="1838"/>
      <c r="E43" s="1839"/>
      <c r="F43" s="1819" t="s">
        <v>331</v>
      </c>
      <c r="G43" s="1817">
        <f>IF(F43="","",SUBTOTAL(3,A$6:A$42,F$6:F43))</f>
        <v>74</v>
      </c>
      <c r="H43" s="1818">
        <f>H42-C42</f>
        <v>0</v>
      </c>
      <c r="I43" s="1818">
        <f>I42-D42</f>
        <v>0</v>
      </c>
      <c r="J43" s="1819"/>
    </row>
    <row r="44" customHeight="1" spans="1:10">
      <c r="A44" s="1840" t="str">
        <f>"填表人："&amp;封面!F11</f>
        <v>填表人：贾广东</v>
      </c>
      <c r="B44" s="1840"/>
      <c r="C44" s="1800"/>
      <c r="D44" s="1841" t="str">
        <f>"财务主管："&amp;基本情况!I8</f>
        <v>财务主管：</v>
      </c>
      <c r="E44" s="1841"/>
      <c r="G44" s="1842" t="str">
        <f>"负责人："&amp;基本情况!I5</f>
        <v>负责人：</v>
      </c>
      <c r="H44" s="1842"/>
      <c r="I44" s="1800"/>
    </row>
  </sheetData>
  <sheetProtection selectLockedCells="1" autoFilter="0"/>
  <mergeCells count="6">
    <mergeCell ref="A2:J2"/>
    <mergeCell ref="A3:J3"/>
    <mergeCell ref="A4:C4"/>
    <mergeCell ref="A44:B44"/>
    <mergeCell ref="D44:E44"/>
    <mergeCell ref="G44:H44"/>
  </mergeCells>
  <conditionalFormatting sqref="H43:I43">
    <cfRule type="cellIs" dxfId="1" priority="1" stopIfTrue="1" operator="notEqual">
      <formula>0</formula>
    </cfRule>
  </conditionalFormatting>
  <hyperlinks>
    <hyperlink ref="A1" location="索引目录!C4" display="返回索引页"/>
  </hyperlinks>
  <printOptions horizontalCentered="1"/>
  <pageMargins left="0.708661417322835" right="0.708661417322835" top="0.748031496062992" bottom="0.748031496062992" header="0.31496062992126" footer="0.31496062992126"/>
  <pageSetup paperSize="9" orientation="landscape" blackAndWhite="1"/>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7"/>
  <dimension ref="A1:CG38"/>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4.7" style="74" customWidth="1"/>
    <col min="2" max="2" width="18.7" style="75" customWidth="1"/>
    <col min="3" max="3" width="8.7" style="75" customWidth="1"/>
    <col min="4" max="4" width="7.2" style="75" customWidth="1"/>
    <col min="5" max="5" width="4.7" style="75" customWidth="1"/>
    <col min="6" max="7" width="8.7" style="75" customWidth="1"/>
    <col min="8" max="9" width="4.7" style="75" customWidth="1"/>
    <col min="10" max="11" width="4.6" style="75" customWidth="1" outlineLevel="1"/>
    <col min="12" max="12" width="6.1" style="75" customWidth="1" outlineLevel="1"/>
    <col min="13" max="13" width="11.7" style="75" customWidth="1" outlineLevel="1"/>
    <col min="14" max="14" width="12.2" style="76" customWidth="1" outlineLevel="1"/>
    <col min="15" max="16" width="11.7" style="75" customWidth="1"/>
    <col min="17" max="19" width="6.7" style="75" customWidth="1"/>
    <col min="20" max="20" width="9" style="75"/>
    <col min="21" max="52" width="9" style="75" hidden="1" customWidth="1" outlineLevel="1"/>
    <col min="53" max="53" width="14.7" style="75" customWidth="1" collapsed="1"/>
    <col min="54" max="54" width="6.7" style="75" customWidth="1"/>
    <col min="55" max="55" width="5.7" style="75" customWidth="1"/>
    <col min="56" max="57" width="9" style="75"/>
    <col min="58" max="59" width="10.1" style="75" customWidth="1"/>
    <col min="60" max="60" width="4.7" style="165" customWidth="1"/>
    <col min="61" max="61" width="11.5" style="75" customWidth="1"/>
    <col min="62" max="66" width="4.7" style="165" customWidth="1"/>
    <col min="67" max="67" width="10.3" style="75" customWidth="1"/>
    <col min="68" max="68" width="4.7" style="165" customWidth="1"/>
    <col min="69" max="76" width="8.7" style="75" customWidth="1"/>
    <col min="77" max="77" width="1.6" style="77" customWidth="1"/>
    <col min="78" max="78" width="10.6" style="78" customWidth="1"/>
    <col min="79" max="79" width="10.6" style="77" customWidth="1"/>
    <col min="80" max="80" width="4.6" style="78" customWidth="1"/>
    <col min="81" max="81" width="10.6" style="78" customWidth="1"/>
    <col min="82" max="83" width="4.6" style="78" customWidth="1"/>
    <col min="84" max="84" width="10.6" style="78" customWidth="1"/>
    <col min="85" max="85" width="5" style="77" customWidth="1"/>
    <col min="86" max="16384" width="9" style="75"/>
  </cols>
  <sheetData>
    <row r="1" s="86" customFormat="1" ht="13.8" spans="1:85">
      <c r="A1" s="203" t="s">
        <v>1591</v>
      </c>
      <c r="B1" s="204" t="s">
        <v>1592</v>
      </c>
      <c r="C1" s="204"/>
      <c r="D1" s="204"/>
      <c r="E1" s="204"/>
      <c r="F1" s="82"/>
      <c r="G1" s="82"/>
      <c r="H1" s="82"/>
      <c r="I1" s="82"/>
      <c r="J1" s="82"/>
      <c r="K1" s="82"/>
      <c r="L1" s="82"/>
      <c r="M1" s="82"/>
      <c r="N1" s="205"/>
      <c r="O1" s="82"/>
      <c r="P1" s="82"/>
      <c r="Q1" s="82"/>
      <c r="R1" s="82"/>
      <c r="S1" s="82"/>
      <c r="BA1" s="84" t="str">
        <f>参数表!BA1</f>
        <v>注意：补充特殊事项、作价等均从BA列开始填写</v>
      </c>
      <c r="BB1" s="85"/>
      <c r="BH1" s="82"/>
      <c r="BJ1" s="82"/>
      <c r="BK1" s="82"/>
      <c r="BL1" s="82"/>
      <c r="BM1" s="82"/>
      <c r="BN1" s="82"/>
      <c r="BP1" s="82"/>
      <c r="BY1" s="87"/>
      <c r="BZ1" s="88"/>
      <c r="CA1" s="87"/>
      <c r="CB1" s="88"/>
      <c r="CC1" s="88"/>
      <c r="CD1" s="88"/>
      <c r="CE1" s="88"/>
      <c r="CF1" s="88"/>
      <c r="CG1" s="87"/>
    </row>
    <row r="2" s="71" customFormat="1" ht="30" customHeight="1" spans="1:85">
      <c r="A2" s="89" t="s">
        <v>4347</v>
      </c>
      <c r="B2" s="89"/>
      <c r="C2" s="89"/>
      <c r="D2" s="89"/>
      <c r="E2" s="89"/>
      <c r="F2" s="89"/>
      <c r="G2" s="89"/>
      <c r="H2" s="89"/>
      <c r="I2" s="89"/>
      <c r="J2" s="89"/>
      <c r="K2" s="89"/>
      <c r="L2" s="89"/>
      <c r="M2" s="89"/>
      <c r="N2" s="89"/>
      <c r="O2" s="89"/>
      <c r="P2" s="89"/>
      <c r="Q2" s="89"/>
      <c r="R2" s="89"/>
      <c r="S2" s="89"/>
      <c r="BA2" s="90" t="str">
        <f>参数表!BA2</f>
        <v>评估基准日：</v>
      </c>
      <c r="BB2" s="91" t="str">
        <f>参数表!BB2</f>
        <v>2025年7月31日</v>
      </c>
      <c r="BH2" s="171"/>
      <c r="BJ2" s="171"/>
      <c r="BK2" s="171"/>
      <c r="BL2" s="171"/>
      <c r="BM2" s="171"/>
      <c r="BN2" s="171"/>
      <c r="BP2" s="171"/>
      <c r="BY2" s="92"/>
      <c r="BZ2" s="93"/>
      <c r="CA2" s="92"/>
      <c r="CB2" s="93"/>
      <c r="CC2" s="93"/>
      <c r="CD2" s="93"/>
      <c r="CE2" s="93"/>
      <c r="CF2" s="93"/>
      <c r="CG2" s="92"/>
    </row>
    <row r="3" ht="15" customHeight="1" spans="1:85">
      <c r="A3" s="94" t="str">
        <f>参数表!F5</f>
        <v>评估基准日：2025年7月31日</v>
      </c>
      <c r="B3" s="94"/>
      <c r="C3" s="94"/>
      <c r="D3" s="94"/>
      <c r="E3" s="94"/>
      <c r="F3" s="95"/>
      <c r="G3" s="95"/>
      <c r="H3" s="95"/>
      <c r="I3" s="95"/>
      <c r="J3" s="95"/>
      <c r="K3" s="95"/>
      <c r="L3" s="95"/>
      <c r="M3" s="95"/>
      <c r="N3" s="95"/>
      <c r="O3" s="95"/>
      <c r="P3" s="95"/>
      <c r="Q3" s="95"/>
      <c r="R3" s="95"/>
      <c r="S3" s="95"/>
      <c r="BA3" s="90" t="str">
        <f>参数表!BA3</f>
        <v>是否显示评估值：</v>
      </c>
      <c r="BB3" s="90" t="str">
        <f>参数表!BB3</f>
        <v>是</v>
      </c>
      <c r="CA3" s="78"/>
    </row>
    <row r="4" ht="15" customHeight="1" spans="1:85">
      <c r="A4" s="96"/>
      <c r="B4" s="94"/>
      <c r="C4" s="94"/>
      <c r="D4" s="94"/>
      <c r="E4" s="94"/>
      <c r="F4" s="95"/>
      <c r="G4" s="95"/>
      <c r="H4" s="95"/>
      <c r="I4" s="95"/>
      <c r="J4" s="94"/>
      <c r="K4" s="94"/>
      <c r="L4" s="94"/>
      <c r="M4" s="95"/>
      <c r="N4" s="206"/>
      <c r="O4" s="98"/>
      <c r="P4" s="95"/>
      <c r="Q4" s="95"/>
      <c r="R4" s="95"/>
      <c r="S4" s="98" t="str">
        <f>"表"&amp;$BA4</f>
        <v>表4-11-1</v>
      </c>
      <c r="BA4" s="274" t="str">
        <f>在建总!A7</f>
        <v>4-11-1</v>
      </c>
      <c r="BB4" s="100">
        <f>MAX(COUNTA(A7:A26),COUNTA(B7:B26),COUNTA(M7:M26),COUNTA(O7:O26))</f>
        <v>20</v>
      </c>
      <c r="BC4" s="101">
        <f>ROW(A6)+1</f>
        <v>7</v>
      </c>
      <c r="BD4" s="77"/>
      <c r="BE4" s="77"/>
      <c r="CA4" s="78"/>
    </row>
    <row r="5" ht="15" customHeight="1" spans="1:85">
      <c r="A5" s="102" t="str">
        <f>参数表!F3</f>
        <v>产权持有单位:中煤第五建设有限公司</v>
      </c>
      <c r="B5" s="103"/>
      <c r="C5" s="103"/>
      <c r="D5" s="103"/>
      <c r="E5" s="103"/>
      <c r="F5" s="103"/>
      <c r="G5" s="103"/>
      <c r="H5" s="103"/>
      <c r="I5" s="103"/>
      <c r="J5" s="103"/>
      <c r="K5" s="103"/>
      <c r="L5" s="103"/>
      <c r="M5" s="103"/>
      <c r="N5" s="104"/>
      <c r="O5" s="103"/>
      <c r="P5" s="103"/>
      <c r="Q5" s="103"/>
      <c r="R5" s="103"/>
      <c r="S5" s="98" t="s">
        <v>236</v>
      </c>
      <c r="BA5" s="103"/>
      <c r="BB5" s="105" t="str">
        <f ca="1">判断表!C77</f>
        <v>中煤第五建设有限公司第三工程处拟处置实物资产项目\[0000-3基础法明细表.xlsx]在建-土建</v>
      </c>
      <c r="BC5" s="106">
        <f>IFERROR(SUMIF(BC7:BC26,"√",O7:O26)/O27,0)</f>
        <v>0</v>
      </c>
      <c r="BD5" s="107"/>
      <c r="BE5" s="107"/>
      <c r="BF5" s="108">
        <f>分类汇总!I33</f>
        <v>0</v>
      </c>
      <c r="BG5" s="108">
        <f>分类汇总!K33</f>
        <v>0</v>
      </c>
      <c r="BH5" s="109"/>
      <c r="BI5" s="109"/>
      <c r="BJ5" s="109"/>
      <c r="BK5" s="109"/>
      <c r="BL5" s="109"/>
      <c r="BM5" s="109"/>
      <c r="BN5" s="109"/>
      <c r="BO5" s="110"/>
      <c r="BP5" s="109"/>
      <c r="BQ5" s="110"/>
      <c r="BR5" s="103"/>
      <c r="BS5" s="642" t="str">
        <f>BB2</f>
        <v>2025年7月31日</v>
      </c>
      <c r="BU5" s="643"/>
      <c r="BY5" s="111"/>
      <c r="CA5" s="78"/>
      <c r="CF5" s="194"/>
      <c r="CG5" s="111"/>
    </row>
    <row r="6" s="349" customFormat="1" ht="25.2" customHeight="1" spans="1:85">
      <c r="A6" s="350" t="s">
        <v>305</v>
      </c>
      <c r="B6" s="118" t="s">
        <v>4348</v>
      </c>
      <c r="C6" s="118" t="s">
        <v>3677</v>
      </c>
      <c r="D6" s="684" t="s">
        <v>4349</v>
      </c>
      <c r="E6" s="118" t="s">
        <v>2176</v>
      </c>
      <c r="F6" s="118" t="s">
        <v>4350</v>
      </c>
      <c r="G6" s="118" t="s">
        <v>4351</v>
      </c>
      <c r="H6" s="118" t="s">
        <v>4352</v>
      </c>
      <c r="I6" s="118" t="s">
        <v>4353</v>
      </c>
      <c r="J6" s="114" t="s">
        <v>1631</v>
      </c>
      <c r="K6" s="115" t="s">
        <v>1632</v>
      </c>
      <c r="L6" s="116" t="s">
        <v>3793</v>
      </c>
      <c r="M6" s="118" t="s">
        <v>1549</v>
      </c>
      <c r="N6" s="352" t="s">
        <v>1634</v>
      </c>
      <c r="O6" s="118" t="s">
        <v>1523</v>
      </c>
      <c r="P6" s="118" t="s">
        <v>1550</v>
      </c>
      <c r="Q6" s="118" t="s">
        <v>1525</v>
      </c>
      <c r="R6" s="118" t="s">
        <v>1551</v>
      </c>
      <c r="S6" s="118" t="s">
        <v>308</v>
      </c>
      <c r="T6" s="224" t="s">
        <v>4354</v>
      </c>
      <c r="BA6" s="100" t="s">
        <v>1545</v>
      </c>
      <c r="BB6" s="100" t="s">
        <v>1635</v>
      </c>
      <c r="BC6" s="100" t="s">
        <v>1636</v>
      </c>
      <c r="BD6" s="100" t="s">
        <v>1637</v>
      </c>
      <c r="BE6" s="100" t="s">
        <v>1638</v>
      </c>
      <c r="BF6" s="115" t="s">
        <v>1639</v>
      </c>
      <c r="BG6" s="115" t="s">
        <v>1640</v>
      </c>
      <c r="BH6" s="118" t="s">
        <v>1748</v>
      </c>
      <c r="BI6" s="118" t="s">
        <v>4217</v>
      </c>
      <c r="BJ6" s="118" t="s">
        <v>3695</v>
      </c>
      <c r="BK6" s="118" t="s">
        <v>1712</v>
      </c>
      <c r="BL6" s="118" t="s">
        <v>3696</v>
      </c>
      <c r="BM6" s="118" t="s">
        <v>4355</v>
      </c>
      <c r="BN6" s="118" t="s">
        <v>1641</v>
      </c>
      <c r="BO6" s="118" t="s">
        <v>2209</v>
      </c>
      <c r="BP6" s="118" t="s">
        <v>3697</v>
      </c>
      <c r="BQ6" s="118" t="s">
        <v>1644</v>
      </c>
      <c r="BR6" s="224" t="s">
        <v>4356</v>
      </c>
      <c r="BS6" s="224" t="s">
        <v>4357</v>
      </c>
      <c r="BT6" s="224" t="s">
        <v>4358</v>
      </c>
      <c r="BU6" s="224" t="s">
        <v>4359</v>
      </c>
      <c r="BV6" s="224" t="s">
        <v>3715</v>
      </c>
      <c r="BW6" s="224" t="s">
        <v>3716</v>
      </c>
      <c r="BX6" s="224" t="s">
        <v>1524</v>
      </c>
      <c r="BY6" s="119"/>
      <c r="BZ6" s="120" t="s">
        <v>1645</v>
      </c>
      <c r="CA6" s="121" t="s">
        <v>1646</v>
      </c>
      <c r="CB6" s="121" t="s">
        <v>1647</v>
      </c>
      <c r="CC6" s="121" t="s">
        <v>1648</v>
      </c>
      <c r="CD6" s="121" t="s">
        <v>1647</v>
      </c>
      <c r="CE6" s="121" t="s">
        <v>1647</v>
      </c>
      <c r="CF6" s="121" t="s">
        <v>1649</v>
      </c>
      <c r="CG6" s="122" t="s">
        <v>1650</v>
      </c>
    </row>
    <row r="7" ht="15" customHeight="1" spans="1:85">
      <c r="A7" s="123" t="str">
        <f>IF(B7="","",COUNT(A$6:A6)+1)</f>
        <v/>
      </c>
      <c r="B7" s="124"/>
      <c r="C7" s="124"/>
      <c r="D7" s="124"/>
      <c r="E7" s="124"/>
      <c r="F7" s="125"/>
      <c r="G7" s="125"/>
      <c r="H7" s="126"/>
      <c r="I7" s="281"/>
      <c r="J7" s="127"/>
      <c r="K7" s="127" t="str">
        <f>IFERROR(VLOOKUP(J7,参数表!$H$2:$I$50,2,FALSE),"")</f>
        <v/>
      </c>
      <c r="L7" s="128" t="str">
        <f>IFERROR(IF(OR(J7="人民币",J7=""),"",O7/K7),"")</f>
        <v/>
      </c>
      <c r="M7" s="129"/>
      <c r="N7" s="130"/>
      <c r="O7" s="129" t="str">
        <f>IF(B7="","",M7+N7)</f>
        <v/>
      </c>
      <c r="P7" s="129" t="str">
        <f t="shared" ref="P7:P26" si="0">IF(B7="","",IF($BB$3="是",BX7,""))</f>
        <v/>
      </c>
      <c r="Q7" s="129" t="str">
        <f t="shared" ref="Q7:Q29" si="1">IFERROR(P7-O7,"")</f>
        <v/>
      </c>
      <c r="R7" s="129" t="str">
        <f t="shared" ref="R7:R29" si="2">IFERROR(Q7/O7*100,"")</f>
        <v/>
      </c>
      <c r="S7" s="131"/>
      <c r="BA7" s="78"/>
      <c r="BB7" s="132" t="s">
        <v>4360</v>
      </c>
      <c r="BC7" s="133"/>
      <c r="BD7" s="132" t="str">
        <f>IF(OR(B7="",BC7=""),"",COUNTIF(BC$7:BC7,"√"))</f>
        <v/>
      </c>
      <c r="BE7" s="134" t="str">
        <f t="shared" ref="BE7:BE26" si="3">IF(BC7="","",BB7&amp;"︱"&amp;B7&amp;"︱"&amp;TEXT(M7,"#,##0.00"))</f>
        <v/>
      </c>
      <c r="BF7" s="135" t="str">
        <f>IF($B7="","",IF(BF$5=0,"OK","出错"))</f>
        <v/>
      </c>
      <c r="BG7" s="135" t="str">
        <f>IF($B7="","",IF(BG$5=0,"OK","出错"))</f>
        <v/>
      </c>
      <c r="BH7" s="136"/>
      <c r="BI7" s="137"/>
      <c r="BJ7" s="136"/>
      <c r="BK7" s="136"/>
      <c r="BL7" s="136"/>
      <c r="BM7" s="136"/>
      <c r="BN7" s="136"/>
      <c r="BO7" s="137"/>
      <c r="BP7" s="136"/>
      <c r="BQ7" s="137"/>
      <c r="BS7" s="156">
        <f t="shared" ref="BS7:BS26" si="4">(BS$5-F7)/365.25</f>
        <v>125.582477754962</v>
      </c>
      <c r="BT7" s="223"/>
      <c r="BU7" s="156">
        <f>MIN(BS7:BT7)</f>
        <v>125.582477754962</v>
      </c>
      <c r="BV7" s="658">
        <f>LOOKUP(BU7,参数表!A$14:B$19)</f>
        <v>0</v>
      </c>
      <c r="BW7" s="156">
        <f>BR7*BU7*BV7/2</f>
        <v>0</v>
      </c>
      <c r="BX7" s="347">
        <f>BR7+BW7</f>
        <v>0</v>
      </c>
      <c r="BZ7" s="134" t="str">
        <f>IF(COUNTIF(BZ$6:BZ6,B7)&gt;0,"",B7)&amp;""</f>
        <v/>
      </c>
      <c r="CA7" s="138">
        <f>SUMIF(B$7:B$26,BZ7,O$7:O$26)</f>
        <v>0</v>
      </c>
      <c r="CB7" s="132">
        <f t="shared" ref="CB7" si="5">RANK(CA7,CA$7:CA$26)</f>
        <v>1</v>
      </c>
      <c r="CC7" s="138">
        <f>SUMIF(B$7:B$26,BZ7,P$7:P$26)</f>
        <v>0</v>
      </c>
      <c r="CD7" s="132">
        <f>RANK(CC7,CC$7:CC$26)</f>
        <v>1</v>
      </c>
      <c r="CE7" s="138">
        <f>SUM(CA7:CA26)</f>
        <v>0</v>
      </c>
      <c r="CF7" s="138"/>
      <c r="CG7" s="138"/>
    </row>
    <row r="8" ht="15" customHeight="1" spans="1:85">
      <c r="A8" s="123" t="str">
        <f>IF(B8="","",COUNT(A$6:A7)+1)</f>
        <v/>
      </c>
      <c r="B8" s="139"/>
      <c r="C8" s="139"/>
      <c r="D8" s="139"/>
      <c r="E8" s="139"/>
      <c r="F8" s="140"/>
      <c r="G8" s="140"/>
      <c r="H8" s="141"/>
      <c r="I8" s="679"/>
      <c r="J8" s="142"/>
      <c r="K8" s="127" t="str">
        <f>IFERROR(VLOOKUP(J8,参数表!$H$2:$I$50,2,FALSE),"")</f>
        <v/>
      </c>
      <c r="L8" s="128" t="str">
        <f t="shared" ref="L8:L26" si="6">IFERROR(IF(OR(J8="人民币",J8=""),"",O8/K8),"")</f>
        <v/>
      </c>
      <c r="M8" s="143"/>
      <c r="N8" s="144"/>
      <c r="O8" s="129" t="str">
        <f t="shared" ref="O8:O26" si="7">IF(B8="","",M8+N8)</f>
        <v/>
      </c>
      <c r="P8" s="129" t="str">
        <f t="shared" si="0"/>
        <v/>
      </c>
      <c r="Q8" s="129" t="str">
        <f t="shared" si="1"/>
        <v/>
      </c>
      <c r="R8" s="129" t="str">
        <f t="shared" si="2"/>
        <v/>
      </c>
      <c r="S8" s="145"/>
      <c r="BA8" s="78"/>
      <c r="BB8" s="132" t="s">
        <v>4361</v>
      </c>
      <c r="BC8" s="133"/>
      <c r="BD8" s="132" t="str">
        <f>IF(OR(B8="",BC8=""),"",COUNTIF(BC$7:BC8,"√"))</f>
        <v/>
      </c>
      <c r="BE8" s="134" t="str">
        <f t="shared" si="3"/>
        <v/>
      </c>
      <c r="BF8" s="135" t="str">
        <f t="shared" ref="BF8:BG26" si="8">IF($B8="","",IF(BF$5=0,"OK","出错"))</f>
        <v/>
      </c>
      <c r="BG8" s="135" t="str">
        <f t="shared" si="8"/>
        <v/>
      </c>
      <c r="BH8" s="136"/>
      <c r="BI8" s="137"/>
      <c r="BJ8" s="136"/>
      <c r="BK8" s="136"/>
      <c r="BL8" s="136"/>
      <c r="BM8" s="136"/>
      <c r="BN8" s="136"/>
      <c r="BO8" s="137"/>
      <c r="BP8" s="136"/>
      <c r="BQ8" s="137"/>
      <c r="BS8" s="156">
        <f t="shared" si="4"/>
        <v>125.582477754962</v>
      </c>
      <c r="BT8" s="223"/>
      <c r="BU8" s="156">
        <f t="shared" ref="BU8:BU26" si="9">MIN(BS8:BT8)</f>
        <v>125.582477754962</v>
      </c>
      <c r="BV8" s="658">
        <f>LOOKUP(BU8,参数表!A$14:B$19)</f>
        <v>0</v>
      </c>
      <c r="BW8" s="156">
        <f t="shared" ref="BW8:BW26" si="10">BR8*BU8*BV8/2</f>
        <v>0</v>
      </c>
      <c r="BX8" s="347">
        <f t="shared" ref="BX8:BX26" si="11">BR8+BW8</f>
        <v>0</v>
      </c>
      <c r="BZ8" s="134" t="str">
        <f>IF(COUNTIF(BZ$6:BZ7,B8)&gt;0,"",B8)&amp;""</f>
        <v/>
      </c>
      <c r="CA8" s="138">
        <f t="shared" ref="CA8:CA26" si="12">SUMIF(B$7:B$26,BZ8,O$7:O$26)</f>
        <v>0</v>
      </c>
      <c r="CB8" s="132">
        <f t="shared" ref="CB8:CB26" si="13">RANK(CA8,CA$7:CA$26)</f>
        <v>1</v>
      </c>
      <c r="CC8" s="138">
        <f t="shared" ref="CC8:CC26" si="14">SUMIF(B$7:B$26,BZ8,P$7:P$26)</f>
        <v>0</v>
      </c>
      <c r="CD8" s="132">
        <f t="shared" ref="CD8:CD26" si="15">RANK(CC8,CC$7:CC$26)</f>
        <v>1</v>
      </c>
      <c r="CE8" s="138">
        <f>SUM(CC7:CC26)</f>
        <v>0</v>
      </c>
      <c r="CF8" s="138"/>
      <c r="CG8" s="138"/>
    </row>
    <row r="9" ht="15" customHeight="1" spans="1:85">
      <c r="A9" s="123" t="str">
        <f>IF(B9="","",COUNT(A$6:A8)+1)</f>
        <v/>
      </c>
      <c r="B9" s="139"/>
      <c r="C9" s="139"/>
      <c r="D9" s="139"/>
      <c r="E9" s="139"/>
      <c r="F9" s="140"/>
      <c r="G9" s="140"/>
      <c r="H9" s="141"/>
      <c r="I9" s="679"/>
      <c r="J9" s="142"/>
      <c r="K9" s="127" t="str">
        <f>IFERROR(VLOOKUP(J9,参数表!$H$2:$I$50,2,FALSE),"")</f>
        <v/>
      </c>
      <c r="L9" s="128" t="str">
        <f t="shared" si="6"/>
        <v/>
      </c>
      <c r="M9" s="143"/>
      <c r="N9" s="144"/>
      <c r="O9" s="129" t="str">
        <f t="shared" si="7"/>
        <v/>
      </c>
      <c r="P9" s="129" t="str">
        <f t="shared" si="0"/>
        <v/>
      </c>
      <c r="Q9" s="129" t="str">
        <f t="shared" si="1"/>
        <v/>
      </c>
      <c r="R9" s="129" t="str">
        <f t="shared" si="2"/>
        <v/>
      </c>
      <c r="S9" s="145"/>
      <c r="BA9" s="78"/>
      <c r="BB9" s="132" t="s">
        <v>4362</v>
      </c>
      <c r="BC9" s="133"/>
      <c r="BD9" s="132" t="str">
        <f>IF(OR(B9="",BC9=""),"",COUNTIF(BC$7:BC9,"√"))</f>
        <v/>
      </c>
      <c r="BE9" s="134" t="str">
        <f t="shared" si="3"/>
        <v/>
      </c>
      <c r="BF9" s="135" t="str">
        <f t="shared" si="8"/>
        <v/>
      </c>
      <c r="BG9" s="135" t="str">
        <f t="shared" si="8"/>
        <v/>
      </c>
      <c r="BH9" s="136"/>
      <c r="BI9" s="137"/>
      <c r="BJ9" s="136"/>
      <c r="BK9" s="136"/>
      <c r="BL9" s="136"/>
      <c r="BM9" s="136"/>
      <c r="BN9" s="136"/>
      <c r="BO9" s="137"/>
      <c r="BP9" s="136"/>
      <c r="BQ9" s="137"/>
      <c r="BS9" s="156">
        <f t="shared" si="4"/>
        <v>125.582477754962</v>
      </c>
      <c r="BT9" s="223"/>
      <c r="BU9" s="156">
        <f t="shared" si="9"/>
        <v>125.582477754962</v>
      </c>
      <c r="BV9" s="658">
        <f>LOOKUP(BU9,参数表!A$14:B$19)</f>
        <v>0</v>
      </c>
      <c r="BW9" s="156">
        <f t="shared" si="10"/>
        <v>0</v>
      </c>
      <c r="BX9" s="347">
        <f t="shared" si="11"/>
        <v>0</v>
      </c>
      <c r="BZ9" s="134" t="str">
        <f>IF(COUNTIF(BZ$6:BZ8,B9)&gt;0,"",B9)&amp;""</f>
        <v/>
      </c>
      <c r="CA9" s="138">
        <f t="shared" si="12"/>
        <v>0</v>
      </c>
      <c r="CB9" s="132">
        <f t="shared" si="13"/>
        <v>1</v>
      </c>
      <c r="CC9" s="138">
        <f t="shared" si="14"/>
        <v>0</v>
      </c>
      <c r="CD9" s="132">
        <f t="shared" si="15"/>
        <v>1</v>
      </c>
      <c r="CE9" s="132">
        <v>1</v>
      </c>
      <c r="CF9" s="134" t="str">
        <f>IFERROR(INDEX(BZ$7:BZ$26,MATCH(CE9,IF(CE$7=0,CD$7:CD$26,CB$7:CB$26),0))&amp;"","")</f>
        <v/>
      </c>
      <c r="CG9" s="146" t="str">
        <f>IF(CF10="","",IF(CF11="","和","、"))</f>
        <v/>
      </c>
    </row>
    <row r="10" ht="15" customHeight="1" spans="1:85">
      <c r="A10" s="123" t="str">
        <f>IF(B10="","",COUNT(A$6:A9)+1)</f>
        <v/>
      </c>
      <c r="B10" s="139"/>
      <c r="C10" s="139"/>
      <c r="D10" s="139"/>
      <c r="E10" s="139"/>
      <c r="F10" s="140"/>
      <c r="G10" s="140"/>
      <c r="H10" s="141"/>
      <c r="I10" s="679"/>
      <c r="J10" s="142"/>
      <c r="K10" s="127" t="str">
        <f>IFERROR(VLOOKUP(J10,参数表!$H$2:$I$50,2,FALSE),"")</f>
        <v/>
      </c>
      <c r="L10" s="128" t="str">
        <f t="shared" si="6"/>
        <v/>
      </c>
      <c r="M10" s="143"/>
      <c r="N10" s="144"/>
      <c r="O10" s="129" t="str">
        <f t="shared" si="7"/>
        <v/>
      </c>
      <c r="P10" s="129" t="str">
        <f t="shared" si="0"/>
        <v/>
      </c>
      <c r="Q10" s="129" t="str">
        <f t="shared" si="1"/>
        <v/>
      </c>
      <c r="R10" s="129" t="str">
        <f t="shared" si="2"/>
        <v/>
      </c>
      <c r="S10" s="145"/>
      <c r="BA10" s="78"/>
      <c r="BB10" s="132" t="s">
        <v>4363</v>
      </c>
      <c r="BC10" s="133"/>
      <c r="BD10" s="132" t="str">
        <f>IF(OR(B10="",BC10=""),"",COUNTIF(BC$7:BC10,"√"))</f>
        <v/>
      </c>
      <c r="BE10" s="134" t="str">
        <f t="shared" si="3"/>
        <v/>
      </c>
      <c r="BF10" s="135" t="str">
        <f t="shared" si="8"/>
        <v/>
      </c>
      <c r="BG10" s="135" t="str">
        <f t="shared" si="8"/>
        <v/>
      </c>
      <c r="BH10" s="136"/>
      <c r="BI10" s="137"/>
      <c r="BJ10" s="136"/>
      <c r="BK10" s="136"/>
      <c r="BL10" s="136"/>
      <c r="BM10" s="136"/>
      <c r="BN10" s="136"/>
      <c r="BO10" s="137"/>
      <c r="BP10" s="136"/>
      <c r="BQ10" s="137"/>
      <c r="BS10" s="156">
        <f t="shared" si="4"/>
        <v>125.582477754962</v>
      </c>
      <c r="BT10" s="223"/>
      <c r="BU10" s="156">
        <f t="shared" si="9"/>
        <v>125.582477754962</v>
      </c>
      <c r="BV10" s="658">
        <f>LOOKUP(BU10,参数表!A$14:B$19)</f>
        <v>0</v>
      </c>
      <c r="BW10" s="156">
        <f t="shared" si="10"/>
        <v>0</v>
      </c>
      <c r="BX10" s="347">
        <f t="shared" si="11"/>
        <v>0</v>
      </c>
      <c r="BZ10" s="134" t="str">
        <f>IF(COUNTIF(BZ$6:BZ9,B10)&gt;0,"",B10)&amp;""</f>
        <v/>
      </c>
      <c r="CA10" s="138">
        <f t="shared" si="12"/>
        <v>0</v>
      </c>
      <c r="CB10" s="132">
        <f t="shared" si="13"/>
        <v>1</v>
      </c>
      <c r="CC10" s="138">
        <f t="shared" si="14"/>
        <v>0</v>
      </c>
      <c r="CD10" s="132">
        <f t="shared" si="15"/>
        <v>1</v>
      </c>
      <c r="CE10" s="132">
        <v>2</v>
      </c>
      <c r="CF10" s="134" t="str">
        <f t="shared" ref="CF10:CF13" si="16">IFERROR(INDEX(BZ$7:BZ$26,MATCH(CE10,IF(CE$7=0,CD$7:CD$26,CB$7:CB$26),0))&amp;"","")</f>
        <v/>
      </c>
      <c r="CG10" s="146" t="str">
        <f t="shared" ref="CG10:CG11" si="17">IF(CF11="","",IF(CF12="","和","、"))</f>
        <v/>
      </c>
    </row>
    <row r="11" ht="15" customHeight="1" spans="1:85">
      <c r="A11" s="123" t="str">
        <f>IF(B11="","",COUNT(A$6:A10)+1)</f>
        <v/>
      </c>
      <c r="B11" s="139"/>
      <c r="C11" s="139"/>
      <c r="D11" s="139"/>
      <c r="E11" s="139"/>
      <c r="F11" s="140"/>
      <c r="G11" s="140"/>
      <c r="H11" s="141"/>
      <c r="I11" s="679"/>
      <c r="J11" s="142"/>
      <c r="K11" s="127" t="str">
        <f>IFERROR(VLOOKUP(J11,参数表!$H$2:$I$50,2,FALSE),"")</f>
        <v/>
      </c>
      <c r="L11" s="128" t="str">
        <f t="shared" si="6"/>
        <v/>
      </c>
      <c r="M11" s="143"/>
      <c r="N11" s="144"/>
      <c r="O11" s="129" t="str">
        <f t="shared" si="7"/>
        <v/>
      </c>
      <c r="P11" s="129" t="str">
        <f t="shared" si="0"/>
        <v/>
      </c>
      <c r="Q11" s="129" t="str">
        <f t="shared" si="1"/>
        <v/>
      </c>
      <c r="R11" s="129" t="str">
        <f t="shared" si="2"/>
        <v/>
      </c>
      <c r="S11" s="145"/>
      <c r="BA11" s="78"/>
      <c r="BB11" s="132" t="s">
        <v>4364</v>
      </c>
      <c r="BC11" s="133"/>
      <c r="BD11" s="132" t="str">
        <f>IF(OR(B11="",BC11=""),"",COUNTIF(BC$7:BC11,"√"))</f>
        <v/>
      </c>
      <c r="BE11" s="134" t="str">
        <f t="shared" si="3"/>
        <v/>
      </c>
      <c r="BF11" s="135" t="str">
        <f t="shared" si="8"/>
        <v/>
      </c>
      <c r="BG11" s="135" t="str">
        <f t="shared" si="8"/>
        <v/>
      </c>
      <c r="BH11" s="136"/>
      <c r="BI11" s="137"/>
      <c r="BJ11" s="136"/>
      <c r="BK11" s="136"/>
      <c r="BL11" s="136"/>
      <c r="BM11" s="136"/>
      <c r="BN11" s="136"/>
      <c r="BO11" s="137"/>
      <c r="BP11" s="136"/>
      <c r="BQ11" s="137"/>
      <c r="BS11" s="156">
        <f t="shared" si="4"/>
        <v>125.582477754962</v>
      </c>
      <c r="BT11" s="223"/>
      <c r="BU11" s="156">
        <f t="shared" si="9"/>
        <v>125.582477754962</v>
      </c>
      <c r="BV11" s="658">
        <f>LOOKUP(BU11,参数表!A$14:B$19)</f>
        <v>0</v>
      </c>
      <c r="BW11" s="156">
        <f t="shared" si="10"/>
        <v>0</v>
      </c>
      <c r="BX11" s="347">
        <f t="shared" si="11"/>
        <v>0</v>
      </c>
      <c r="BZ11" s="134" t="str">
        <f>IF(COUNTIF(BZ$6:BZ10,B11)&gt;0,"",B11)&amp;""</f>
        <v/>
      </c>
      <c r="CA11" s="138">
        <f t="shared" si="12"/>
        <v>0</v>
      </c>
      <c r="CB11" s="132">
        <f t="shared" si="13"/>
        <v>1</v>
      </c>
      <c r="CC11" s="138">
        <f t="shared" si="14"/>
        <v>0</v>
      </c>
      <c r="CD11" s="132">
        <f t="shared" si="15"/>
        <v>1</v>
      </c>
      <c r="CE11" s="132">
        <v>3</v>
      </c>
      <c r="CF11" s="134" t="str">
        <f t="shared" si="16"/>
        <v/>
      </c>
      <c r="CG11" s="146" t="str">
        <f t="shared" si="17"/>
        <v/>
      </c>
    </row>
    <row r="12" ht="15" customHeight="1" spans="1:85">
      <c r="A12" s="123" t="str">
        <f>IF(B12="","",COUNT(A$6:A11)+1)</f>
        <v/>
      </c>
      <c r="B12" s="139"/>
      <c r="C12" s="139"/>
      <c r="D12" s="139"/>
      <c r="E12" s="139"/>
      <c r="F12" s="140"/>
      <c r="G12" s="140"/>
      <c r="H12" s="141"/>
      <c r="I12" s="679"/>
      <c r="J12" s="142"/>
      <c r="K12" s="127" t="str">
        <f>IFERROR(VLOOKUP(J12,参数表!$H$2:$I$50,2,FALSE),"")</f>
        <v/>
      </c>
      <c r="L12" s="128" t="str">
        <f t="shared" si="6"/>
        <v/>
      </c>
      <c r="M12" s="143"/>
      <c r="N12" s="144"/>
      <c r="O12" s="129" t="str">
        <f t="shared" si="7"/>
        <v/>
      </c>
      <c r="P12" s="129" t="str">
        <f t="shared" si="0"/>
        <v/>
      </c>
      <c r="Q12" s="129" t="str">
        <f t="shared" si="1"/>
        <v/>
      </c>
      <c r="R12" s="129" t="str">
        <f t="shared" si="2"/>
        <v/>
      </c>
      <c r="S12" s="145"/>
      <c r="BA12" s="78"/>
      <c r="BB12" s="132" t="s">
        <v>4365</v>
      </c>
      <c r="BC12" s="133"/>
      <c r="BD12" s="132" t="str">
        <f>IF(OR(B12="",BC12=""),"",COUNTIF(BC$7:BC12,"√"))</f>
        <v/>
      </c>
      <c r="BE12" s="134" t="str">
        <f t="shared" si="3"/>
        <v/>
      </c>
      <c r="BF12" s="135" t="str">
        <f t="shared" si="8"/>
        <v/>
      </c>
      <c r="BG12" s="135" t="str">
        <f t="shared" si="8"/>
        <v/>
      </c>
      <c r="BH12" s="136"/>
      <c r="BI12" s="137"/>
      <c r="BJ12" s="136"/>
      <c r="BK12" s="136"/>
      <c r="BL12" s="136"/>
      <c r="BM12" s="136"/>
      <c r="BN12" s="136"/>
      <c r="BO12" s="137"/>
      <c r="BP12" s="136"/>
      <c r="BQ12" s="137"/>
      <c r="BS12" s="156">
        <f t="shared" si="4"/>
        <v>125.582477754962</v>
      </c>
      <c r="BT12" s="223"/>
      <c r="BU12" s="156">
        <f t="shared" si="9"/>
        <v>125.582477754962</v>
      </c>
      <c r="BV12" s="658">
        <f>LOOKUP(BU12,参数表!A$14:B$19)</f>
        <v>0</v>
      </c>
      <c r="BW12" s="156">
        <f t="shared" si="10"/>
        <v>0</v>
      </c>
      <c r="BX12" s="347">
        <f t="shared" si="11"/>
        <v>0</v>
      </c>
      <c r="BZ12" s="134" t="str">
        <f>IF(COUNTIF(BZ$6:BZ11,B12)&gt;0,"",B12)&amp;""</f>
        <v/>
      </c>
      <c r="CA12" s="138">
        <f t="shared" si="12"/>
        <v>0</v>
      </c>
      <c r="CB12" s="132">
        <f t="shared" si="13"/>
        <v>1</v>
      </c>
      <c r="CC12" s="138">
        <f t="shared" si="14"/>
        <v>0</v>
      </c>
      <c r="CD12" s="132">
        <f t="shared" si="15"/>
        <v>1</v>
      </c>
      <c r="CE12" s="132">
        <v>4</v>
      </c>
      <c r="CF12" s="134" t="str">
        <f t="shared" si="16"/>
        <v/>
      </c>
      <c r="CG12" s="146" t="str">
        <f>IF(CF13="","","和")</f>
        <v/>
      </c>
    </row>
    <row r="13" ht="15" customHeight="1" spans="1:85">
      <c r="A13" s="123" t="str">
        <f>IF(B13="","",COUNT(A$6:A12)+1)</f>
        <v/>
      </c>
      <c r="B13" s="139"/>
      <c r="C13" s="139"/>
      <c r="D13" s="139"/>
      <c r="E13" s="139"/>
      <c r="F13" s="140"/>
      <c r="G13" s="140"/>
      <c r="H13" s="141"/>
      <c r="I13" s="679"/>
      <c r="J13" s="142"/>
      <c r="K13" s="127" t="str">
        <f>IFERROR(VLOOKUP(J13,参数表!$H$2:$I$50,2,FALSE),"")</f>
        <v/>
      </c>
      <c r="L13" s="128" t="str">
        <f t="shared" si="6"/>
        <v/>
      </c>
      <c r="M13" s="143"/>
      <c r="N13" s="144"/>
      <c r="O13" s="129" t="str">
        <f t="shared" si="7"/>
        <v/>
      </c>
      <c r="P13" s="129" t="str">
        <f t="shared" si="0"/>
        <v/>
      </c>
      <c r="Q13" s="129" t="str">
        <f t="shared" si="1"/>
        <v/>
      </c>
      <c r="R13" s="129" t="str">
        <f t="shared" si="2"/>
        <v/>
      </c>
      <c r="S13" s="145"/>
      <c r="BA13" s="78"/>
      <c r="BB13" s="132" t="s">
        <v>4366</v>
      </c>
      <c r="BC13" s="133"/>
      <c r="BD13" s="132" t="str">
        <f>IF(OR(B13="",BC13=""),"",COUNTIF(BC$7:BC13,"√"))</f>
        <v/>
      </c>
      <c r="BE13" s="134" t="str">
        <f t="shared" si="3"/>
        <v/>
      </c>
      <c r="BF13" s="135" t="str">
        <f t="shared" si="8"/>
        <v/>
      </c>
      <c r="BG13" s="135" t="str">
        <f t="shared" si="8"/>
        <v/>
      </c>
      <c r="BH13" s="136"/>
      <c r="BI13" s="137"/>
      <c r="BJ13" s="136"/>
      <c r="BK13" s="136"/>
      <c r="BL13" s="136"/>
      <c r="BM13" s="136"/>
      <c r="BN13" s="136"/>
      <c r="BO13" s="137"/>
      <c r="BP13" s="136"/>
      <c r="BQ13" s="137"/>
      <c r="BS13" s="156">
        <f t="shared" si="4"/>
        <v>125.582477754962</v>
      </c>
      <c r="BT13" s="223"/>
      <c r="BU13" s="156">
        <f t="shared" si="9"/>
        <v>125.582477754962</v>
      </c>
      <c r="BV13" s="658">
        <f>LOOKUP(BU13,参数表!A$14:B$19)</f>
        <v>0</v>
      </c>
      <c r="BW13" s="156">
        <f t="shared" si="10"/>
        <v>0</v>
      </c>
      <c r="BX13" s="347">
        <f t="shared" si="11"/>
        <v>0</v>
      </c>
      <c r="BZ13" s="134" t="str">
        <f>IF(COUNTIF(BZ$6:BZ12,B13)&gt;0,"",B13)&amp;""</f>
        <v/>
      </c>
      <c r="CA13" s="138">
        <f t="shared" si="12"/>
        <v>0</v>
      </c>
      <c r="CB13" s="132">
        <f t="shared" si="13"/>
        <v>1</v>
      </c>
      <c r="CC13" s="138">
        <f t="shared" si="14"/>
        <v>0</v>
      </c>
      <c r="CD13" s="132">
        <f t="shared" si="15"/>
        <v>1</v>
      </c>
      <c r="CE13" s="132">
        <v>5</v>
      </c>
      <c r="CF13" s="134" t="str">
        <f t="shared" si="16"/>
        <v/>
      </c>
      <c r="CG13" s="146"/>
    </row>
    <row r="14" ht="15" customHeight="1" spans="1:85">
      <c r="A14" s="123" t="str">
        <f>IF(B14="","",COUNT(A$6:A13)+1)</f>
        <v/>
      </c>
      <c r="B14" s="139"/>
      <c r="C14" s="139"/>
      <c r="D14" s="139"/>
      <c r="E14" s="139"/>
      <c r="F14" s="140"/>
      <c r="G14" s="140"/>
      <c r="H14" s="141"/>
      <c r="I14" s="679"/>
      <c r="J14" s="142"/>
      <c r="K14" s="127" t="str">
        <f>IFERROR(VLOOKUP(J14,参数表!$H$2:$I$50,2,FALSE),"")</f>
        <v/>
      </c>
      <c r="L14" s="128" t="str">
        <f t="shared" si="6"/>
        <v/>
      </c>
      <c r="M14" s="143"/>
      <c r="N14" s="144"/>
      <c r="O14" s="129" t="str">
        <f t="shared" si="7"/>
        <v/>
      </c>
      <c r="P14" s="129" t="str">
        <f t="shared" si="0"/>
        <v/>
      </c>
      <c r="Q14" s="129" t="str">
        <f t="shared" si="1"/>
        <v/>
      </c>
      <c r="R14" s="129" t="str">
        <f t="shared" si="2"/>
        <v/>
      </c>
      <c r="S14" s="145"/>
      <c r="BA14" s="78"/>
      <c r="BB14" s="132" t="s">
        <v>4367</v>
      </c>
      <c r="BC14" s="133"/>
      <c r="BD14" s="132" t="str">
        <f>IF(OR(B14="",BC14=""),"",COUNTIF(BC$7:BC14,"√"))</f>
        <v/>
      </c>
      <c r="BE14" s="134" t="str">
        <f t="shared" si="3"/>
        <v/>
      </c>
      <c r="BF14" s="135" t="str">
        <f t="shared" si="8"/>
        <v/>
      </c>
      <c r="BG14" s="135" t="str">
        <f t="shared" si="8"/>
        <v/>
      </c>
      <c r="BH14" s="136"/>
      <c r="BI14" s="137"/>
      <c r="BJ14" s="136"/>
      <c r="BK14" s="136"/>
      <c r="BL14" s="136"/>
      <c r="BM14" s="136"/>
      <c r="BN14" s="136"/>
      <c r="BO14" s="137"/>
      <c r="BP14" s="136"/>
      <c r="BQ14" s="137"/>
      <c r="BS14" s="156">
        <f t="shared" si="4"/>
        <v>125.582477754962</v>
      </c>
      <c r="BT14" s="223"/>
      <c r="BU14" s="156">
        <f t="shared" si="9"/>
        <v>125.582477754962</v>
      </c>
      <c r="BV14" s="658">
        <f>LOOKUP(BU14,参数表!A$14:B$19)</f>
        <v>0</v>
      </c>
      <c r="BW14" s="156">
        <f t="shared" si="10"/>
        <v>0</v>
      </c>
      <c r="BX14" s="347">
        <f t="shared" si="11"/>
        <v>0</v>
      </c>
      <c r="BZ14" s="134" t="str">
        <f>IF(COUNTIF(BZ$6:BZ13,B14)&gt;0,"",B14)&amp;""</f>
        <v/>
      </c>
      <c r="CA14" s="138">
        <f t="shared" si="12"/>
        <v>0</v>
      </c>
      <c r="CB14" s="132">
        <f t="shared" si="13"/>
        <v>1</v>
      </c>
      <c r="CC14" s="138">
        <f t="shared" si="14"/>
        <v>0</v>
      </c>
      <c r="CD14" s="132">
        <f t="shared" si="15"/>
        <v>1</v>
      </c>
      <c r="CE14" s="147" t="s">
        <v>1659</v>
      </c>
      <c r="CF14" s="132" t="str">
        <f>CONCATENATE(CF9,CG9,CF10,CG10,CF11,CG11,CF12,CG12,CF13)</f>
        <v/>
      </c>
      <c r="CG14" s="132"/>
    </row>
    <row r="15" ht="15" customHeight="1" spans="1:85">
      <c r="A15" s="123" t="str">
        <f>IF(B15="","",COUNT(A$6:A14)+1)</f>
        <v/>
      </c>
      <c r="B15" s="139"/>
      <c r="C15" s="139"/>
      <c r="D15" s="139"/>
      <c r="E15" s="139"/>
      <c r="F15" s="140"/>
      <c r="G15" s="140"/>
      <c r="H15" s="141"/>
      <c r="I15" s="679"/>
      <c r="J15" s="142"/>
      <c r="K15" s="127" t="str">
        <f>IFERROR(VLOOKUP(J15,参数表!$H$2:$I$50,2,FALSE),"")</f>
        <v/>
      </c>
      <c r="L15" s="128" t="str">
        <f t="shared" si="6"/>
        <v/>
      </c>
      <c r="M15" s="143"/>
      <c r="N15" s="144"/>
      <c r="O15" s="129" t="str">
        <f t="shared" si="7"/>
        <v/>
      </c>
      <c r="P15" s="129" t="str">
        <f t="shared" si="0"/>
        <v/>
      </c>
      <c r="Q15" s="129" t="str">
        <f t="shared" si="1"/>
        <v/>
      </c>
      <c r="R15" s="129" t="str">
        <f t="shared" si="2"/>
        <v/>
      </c>
      <c r="S15" s="145"/>
      <c r="BA15" s="78"/>
      <c r="BB15" s="132" t="s">
        <v>4368</v>
      </c>
      <c r="BC15" s="133"/>
      <c r="BD15" s="132" t="str">
        <f>IF(OR(B15="",BC15=""),"",COUNTIF(BC$7:BC15,"√"))</f>
        <v/>
      </c>
      <c r="BE15" s="134" t="str">
        <f t="shared" si="3"/>
        <v/>
      </c>
      <c r="BF15" s="135" t="str">
        <f t="shared" si="8"/>
        <v/>
      </c>
      <c r="BG15" s="135" t="str">
        <f t="shared" si="8"/>
        <v/>
      </c>
      <c r="BH15" s="136"/>
      <c r="BI15" s="137"/>
      <c r="BJ15" s="136"/>
      <c r="BK15" s="136"/>
      <c r="BL15" s="136"/>
      <c r="BM15" s="136"/>
      <c r="BN15" s="136"/>
      <c r="BO15" s="137"/>
      <c r="BP15" s="136"/>
      <c r="BQ15" s="137"/>
      <c r="BS15" s="156">
        <f t="shared" si="4"/>
        <v>125.582477754962</v>
      </c>
      <c r="BT15" s="223"/>
      <c r="BU15" s="156">
        <f t="shared" si="9"/>
        <v>125.582477754962</v>
      </c>
      <c r="BV15" s="658">
        <f>LOOKUP(BU15,参数表!A$14:B$19)</f>
        <v>0</v>
      </c>
      <c r="BW15" s="156">
        <f t="shared" si="10"/>
        <v>0</v>
      </c>
      <c r="BX15" s="347">
        <f t="shared" si="11"/>
        <v>0</v>
      </c>
      <c r="BZ15" s="134" t="str">
        <f>IF(COUNTIF(BZ$6:BZ14,B15)&gt;0,"",B15)&amp;""</f>
        <v/>
      </c>
      <c r="CA15" s="138">
        <f t="shared" si="12"/>
        <v>0</v>
      </c>
      <c r="CB15" s="132">
        <f t="shared" si="13"/>
        <v>1</v>
      </c>
      <c r="CC15" s="138">
        <f t="shared" si="14"/>
        <v>0</v>
      </c>
      <c r="CD15" s="132">
        <f t="shared" si="15"/>
        <v>1</v>
      </c>
      <c r="CE15" s="133"/>
      <c r="CF15" s="133"/>
    </row>
    <row r="16" ht="15" customHeight="1" spans="1:85">
      <c r="A16" s="123" t="str">
        <f>IF(B16="","",COUNT(A$6:A15)+1)</f>
        <v/>
      </c>
      <c r="B16" s="139"/>
      <c r="C16" s="139"/>
      <c r="D16" s="139"/>
      <c r="E16" s="139"/>
      <c r="F16" s="140"/>
      <c r="G16" s="140"/>
      <c r="H16" s="141"/>
      <c r="I16" s="679"/>
      <c r="J16" s="142"/>
      <c r="K16" s="127" t="str">
        <f>IFERROR(VLOOKUP(J16,参数表!$H$2:$I$50,2,FALSE),"")</f>
        <v/>
      </c>
      <c r="L16" s="128" t="str">
        <f t="shared" si="6"/>
        <v/>
      </c>
      <c r="M16" s="143"/>
      <c r="N16" s="144"/>
      <c r="O16" s="129" t="str">
        <f t="shared" si="7"/>
        <v/>
      </c>
      <c r="P16" s="129" t="str">
        <f t="shared" si="0"/>
        <v/>
      </c>
      <c r="Q16" s="129" t="str">
        <f t="shared" si="1"/>
        <v/>
      </c>
      <c r="R16" s="129" t="str">
        <f t="shared" si="2"/>
        <v/>
      </c>
      <c r="S16" s="145"/>
      <c r="BA16" s="78"/>
      <c r="BB16" s="132" t="s">
        <v>4369</v>
      </c>
      <c r="BC16" s="133"/>
      <c r="BD16" s="132" t="str">
        <f>IF(OR(B16="",BC16=""),"",COUNTIF(BC$7:BC16,"√"))</f>
        <v/>
      </c>
      <c r="BE16" s="134" t="str">
        <f t="shared" si="3"/>
        <v/>
      </c>
      <c r="BF16" s="135" t="str">
        <f t="shared" si="8"/>
        <v/>
      </c>
      <c r="BG16" s="135" t="str">
        <f t="shared" si="8"/>
        <v/>
      </c>
      <c r="BH16" s="136"/>
      <c r="BI16" s="137"/>
      <c r="BJ16" s="136"/>
      <c r="BK16" s="136"/>
      <c r="BL16" s="136"/>
      <c r="BM16" s="136"/>
      <c r="BN16" s="136"/>
      <c r="BO16" s="137"/>
      <c r="BP16" s="136"/>
      <c r="BQ16" s="137"/>
      <c r="BS16" s="156">
        <f t="shared" si="4"/>
        <v>125.582477754962</v>
      </c>
      <c r="BT16" s="223"/>
      <c r="BU16" s="156">
        <f t="shared" si="9"/>
        <v>125.582477754962</v>
      </c>
      <c r="BV16" s="658">
        <f>LOOKUP(BU16,参数表!A$14:B$19)</f>
        <v>0</v>
      </c>
      <c r="BW16" s="156">
        <f t="shared" si="10"/>
        <v>0</v>
      </c>
      <c r="BX16" s="347">
        <f t="shared" si="11"/>
        <v>0</v>
      </c>
      <c r="BZ16" s="134" t="str">
        <f>IF(COUNTIF(BZ$6:BZ15,B16)&gt;0,"",B16)&amp;""</f>
        <v/>
      </c>
      <c r="CA16" s="138">
        <f t="shared" si="12"/>
        <v>0</v>
      </c>
      <c r="CB16" s="132">
        <f t="shared" si="13"/>
        <v>1</v>
      </c>
      <c r="CC16" s="138">
        <f t="shared" si="14"/>
        <v>0</v>
      </c>
      <c r="CD16" s="132">
        <f t="shared" si="15"/>
        <v>1</v>
      </c>
      <c r="CE16" s="133"/>
      <c r="CF16" s="148"/>
    </row>
    <row r="17" ht="15" customHeight="1" spans="1:85">
      <c r="A17" s="123" t="str">
        <f>IF(B17="","",COUNT(A$6:A16)+1)</f>
        <v/>
      </c>
      <c r="B17" s="139"/>
      <c r="C17" s="139"/>
      <c r="D17" s="139"/>
      <c r="E17" s="139"/>
      <c r="F17" s="140"/>
      <c r="G17" s="140"/>
      <c r="H17" s="141"/>
      <c r="I17" s="679"/>
      <c r="J17" s="142"/>
      <c r="K17" s="127" t="str">
        <f>IFERROR(VLOOKUP(J17,参数表!$H$2:$I$50,2,FALSE),"")</f>
        <v/>
      </c>
      <c r="L17" s="128" t="str">
        <f t="shared" si="6"/>
        <v/>
      </c>
      <c r="M17" s="143"/>
      <c r="N17" s="144"/>
      <c r="O17" s="129" t="str">
        <f t="shared" si="7"/>
        <v/>
      </c>
      <c r="P17" s="129" t="str">
        <f t="shared" si="0"/>
        <v/>
      </c>
      <c r="Q17" s="129" t="str">
        <f t="shared" si="1"/>
        <v/>
      </c>
      <c r="R17" s="129" t="str">
        <f t="shared" si="2"/>
        <v/>
      </c>
      <c r="S17" s="145"/>
      <c r="BA17" s="78"/>
      <c r="BB17" s="132" t="s">
        <v>4370</v>
      </c>
      <c r="BC17" s="133"/>
      <c r="BD17" s="132" t="str">
        <f>IF(OR(B17="",BC17=""),"",COUNTIF(BC$7:BC17,"√"))</f>
        <v/>
      </c>
      <c r="BE17" s="134" t="str">
        <f t="shared" si="3"/>
        <v/>
      </c>
      <c r="BF17" s="135" t="str">
        <f t="shared" si="8"/>
        <v/>
      </c>
      <c r="BG17" s="135" t="str">
        <f t="shared" si="8"/>
        <v/>
      </c>
      <c r="BH17" s="136"/>
      <c r="BI17" s="137"/>
      <c r="BJ17" s="136"/>
      <c r="BK17" s="136"/>
      <c r="BL17" s="136"/>
      <c r="BM17" s="136"/>
      <c r="BN17" s="136"/>
      <c r="BO17" s="137"/>
      <c r="BP17" s="136"/>
      <c r="BQ17" s="137"/>
      <c r="BS17" s="156">
        <f t="shared" si="4"/>
        <v>125.582477754962</v>
      </c>
      <c r="BT17" s="223"/>
      <c r="BU17" s="156">
        <f t="shared" si="9"/>
        <v>125.582477754962</v>
      </c>
      <c r="BV17" s="658">
        <f>LOOKUP(BU17,参数表!A$14:B$19)</f>
        <v>0</v>
      </c>
      <c r="BW17" s="156">
        <f t="shared" si="10"/>
        <v>0</v>
      </c>
      <c r="BX17" s="347">
        <f t="shared" si="11"/>
        <v>0</v>
      </c>
      <c r="BZ17" s="134" t="str">
        <f>IF(COUNTIF(BZ$6:BZ16,B17)&gt;0,"",B17)&amp;""</f>
        <v/>
      </c>
      <c r="CA17" s="138">
        <f t="shared" si="12"/>
        <v>0</v>
      </c>
      <c r="CB17" s="132">
        <f t="shared" si="13"/>
        <v>1</v>
      </c>
      <c r="CC17" s="138">
        <f t="shared" si="14"/>
        <v>0</v>
      </c>
      <c r="CD17" s="132">
        <f t="shared" si="15"/>
        <v>1</v>
      </c>
      <c r="CE17" s="133"/>
      <c r="CF17" s="133"/>
    </row>
    <row r="18" ht="15" customHeight="1" spans="1:85">
      <c r="A18" s="123" t="str">
        <f>IF(B18="","",COUNT(A$6:A17)+1)</f>
        <v/>
      </c>
      <c r="B18" s="139"/>
      <c r="C18" s="139"/>
      <c r="D18" s="139"/>
      <c r="E18" s="139"/>
      <c r="F18" s="140"/>
      <c r="G18" s="140"/>
      <c r="H18" s="141"/>
      <c r="I18" s="679"/>
      <c r="J18" s="142"/>
      <c r="K18" s="127" t="str">
        <f>IFERROR(VLOOKUP(J18,参数表!$H$2:$I$50,2,FALSE),"")</f>
        <v/>
      </c>
      <c r="L18" s="128" t="str">
        <f t="shared" si="6"/>
        <v/>
      </c>
      <c r="M18" s="143"/>
      <c r="N18" s="144"/>
      <c r="O18" s="129" t="str">
        <f t="shared" si="7"/>
        <v/>
      </c>
      <c r="P18" s="129" t="str">
        <f t="shared" si="0"/>
        <v/>
      </c>
      <c r="Q18" s="129" t="str">
        <f t="shared" si="1"/>
        <v/>
      </c>
      <c r="R18" s="129" t="str">
        <f t="shared" si="2"/>
        <v/>
      </c>
      <c r="S18" s="145"/>
      <c r="BA18" s="78"/>
      <c r="BB18" s="132" t="s">
        <v>4371</v>
      </c>
      <c r="BC18" s="133"/>
      <c r="BD18" s="132" t="str">
        <f>IF(OR(B18="",BC18=""),"",COUNTIF(BC$7:BC18,"√"))</f>
        <v/>
      </c>
      <c r="BE18" s="134" t="str">
        <f t="shared" si="3"/>
        <v/>
      </c>
      <c r="BF18" s="135" t="str">
        <f t="shared" si="8"/>
        <v/>
      </c>
      <c r="BG18" s="135" t="str">
        <f t="shared" si="8"/>
        <v/>
      </c>
      <c r="BH18" s="136"/>
      <c r="BI18" s="137"/>
      <c r="BJ18" s="136"/>
      <c r="BK18" s="136"/>
      <c r="BL18" s="136"/>
      <c r="BM18" s="136"/>
      <c r="BN18" s="136"/>
      <c r="BO18" s="137"/>
      <c r="BP18" s="136"/>
      <c r="BQ18" s="137"/>
      <c r="BS18" s="156">
        <f t="shared" si="4"/>
        <v>125.582477754962</v>
      </c>
      <c r="BT18" s="223"/>
      <c r="BU18" s="156">
        <f t="shared" si="9"/>
        <v>125.582477754962</v>
      </c>
      <c r="BV18" s="658">
        <f>LOOKUP(BU18,参数表!A$14:B$19)</f>
        <v>0</v>
      </c>
      <c r="BW18" s="156">
        <f t="shared" si="10"/>
        <v>0</v>
      </c>
      <c r="BX18" s="347">
        <f t="shared" si="11"/>
        <v>0</v>
      </c>
      <c r="BZ18" s="134" t="str">
        <f>IF(COUNTIF(BZ$6:BZ17,B18)&gt;0,"",B18)&amp;""</f>
        <v/>
      </c>
      <c r="CA18" s="138">
        <f t="shared" si="12"/>
        <v>0</v>
      </c>
      <c r="CB18" s="132">
        <f t="shared" si="13"/>
        <v>1</v>
      </c>
      <c r="CC18" s="138">
        <f t="shared" si="14"/>
        <v>0</v>
      </c>
      <c r="CD18" s="132">
        <f t="shared" si="15"/>
        <v>1</v>
      </c>
      <c r="CE18" s="133"/>
      <c r="CF18" s="133"/>
    </row>
    <row r="19" ht="15" customHeight="1" spans="1:85">
      <c r="A19" s="123" t="str">
        <f>IF(B19="","",COUNT(A$6:A18)+1)</f>
        <v/>
      </c>
      <c r="B19" s="139"/>
      <c r="C19" s="139"/>
      <c r="D19" s="139"/>
      <c r="E19" s="139"/>
      <c r="F19" s="140"/>
      <c r="G19" s="140"/>
      <c r="H19" s="141"/>
      <c r="I19" s="679"/>
      <c r="J19" s="142"/>
      <c r="K19" s="127" t="str">
        <f>IFERROR(VLOOKUP(J19,参数表!$H$2:$I$50,2,FALSE),"")</f>
        <v/>
      </c>
      <c r="L19" s="128" t="str">
        <f t="shared" si="6"/>
        <v/>
      </c>
      <c r="M19" s="143"/>
      <c r="N19" s="144"/>
      <c r="O19" s="129" t="str">
        <f t="shared" si="7"/>
        <v/>
      </c>
      <c r="P19" s="129" t="str">
        <f t="shared" si="0"/>
        <v/>
      </c>
      <c r="Q19" s="129" t="str">
        <f t="shared" si="1"/>
        <v/>
      </c>
      <c r="R19" s="129" t="str">
        <f t="shared" si="2"/>
        <v/>
      </c>
      <c r="S19" s="145"/>
      <c r="BA19" s="78"/>
      <c r="BB19" s="132" t="s">
        <v>4372</v>
      </c>
      <c r="BC19" s="133"/>
      <c r="BD19" s="132" t="str">
        <f>IF(OR(B19="",BC19=""),"",COUNTIF(BC$7:BC19,"√"))</f>
        <v/>
      </c>
      <c r="BE19" s="134" t="str">
        <f t="shared" si="3"/>
        <v/>
      </c>
      <c r="BF19" s="135" t="str">
        <f t="shared" si="8"/>
        <v/>
      </c>
      <c r="BG19" s="135" t="str">
        <f t="shared" si="8"/>
        <v/>
      </c>
      <c r="BH19" s="136"/>
      <c r="BI19" s="137"/>
      <c r="BJ19" s="136"/>
      <c r="BK19" s="136"/>
      <c r="BL19" s="136"/>
      <c r="BM19" s="136"/>
      <c r="BN19" s="136"/>
      <c r="BO19" s="137"/>
      <c r="BP19" s="136"/>
      <c r="BQ19" s="137"/>
      <c r="BS19" s="156">
        <f t="shared" si="4"/>
        <v>125.582477754962</v>
      </c>
      <c r="BT19" s="223"/>
      <c r="BU19" s="156">
        <f t="shared" si="9"/>
        <v>125.582477754962</v>
      </c>
      <c r="BV19" s="658">
        <f>LOOKUP(BU19,参数表!A$14:B$19)</f>
        <v>0</v>
      </c>
      <c r="BW19" s="156">
        <f t="shared" si="10"/>
        <v>0</v>
      </c>
      <c r="BX19" s="347">
        <f t="shared" si="11"/>
        <v>0</v>
      </c>
      <c r="BZ19" s="134" t="str">
        <f>IF(COUNTIF(BZ$6:BZ18,B19)&gt;0,"",B19)&amp;""</f>
        <v/>
      </c>
      <c r="CA19" s="138">
        <f t="shared" si="12"/>
        <v>0</v>
      </c>
      <c r="CB19" s="132">
        <f t="shared" si="13"/>
        <v>1</v>
      </c>
      <c r="CC19" s="138">
        <f t="shared" si="14"/>
        <v>0</v>
      </c>
      <c r="CD19" s="132">
        <f t="shared" si="15"/>
        <v>1</v>
      </c>
      <c r="CE19" s="133"/>
      <c r="CF19" s="133"/>
    </row>
    <row r="20" ht="15" customHeight="1" spans="1:85">
      <c r="A20" s="123" t="str">
        <f>IF(B20="","",COUNT(A$6:A19)+1)</f>
        <v/>
      </c>
      <c r="B20" s="139"/>
      <c r="C20" s="139"/>
      <c r="D20" s="139"/>
      <c r="E20" s="139"/>
      <c r="F20" s="140"/>
      <c r="G20" s="140"/>
      <c r="H20" s="141"/>
      <c r="I20" s="679"/>
      <c r="J20" s="142"/>
      <c r="K20" s="127" t="str">
        <f>IFERROR(VLOOKUP(J20,参数表!$H$2:$I$50,2,FALSE),"")</f>
        <v/>
      </c>
      <c r="L20" s="128" t="str">
        <f t="shared" si="6"/>
        <v/>
      </c>
      <c r="M20" s="143"/>
      <c r="N20" s="144"/>
      <c r="O20" s="129" t="str">
        <f t="shared" si="7"/>
        <v/>
      </c>
      <c r="P20" s="129" t="str">
        <f t="shared" si="0"/>
        <v/>
      </c>
      <c r="Q20" s="129" t="str">
        <f t="shared" si="1"/>
        <v/>
      </c>
      <c r="R20" s="129" t="str">
        <f t="shared" si="2"/>
        <v/>
      </c>
      <c r="S20" s="145"/>
      <c r="BA20" s="78"/>
      <c r="BB20" s="132" t="s">
        <v>4373</v>
      </c>
      <c r="BC20" s="133"/>
      <c r="BD20" s="132" t="str">
        <f>IF(OR(B20="",BC20=""),"",COUNTIF(BC$7:BC20,"√"))</f>
        <v/>
      </c>
      <c r="BE20" s="134" t="str">
        <f t="shared" si="3"/>
        <v/>
      </c>
      <c r="BF20" s="135" t="str">
        <f t="shared" si="8"/>
        <v/>
      </c>
      <c r="BG20" s="135" t="str">
        <f t="shared" si="8"/>
        <v/>
      </c>
      <c r="BH20" s="136"/>
      <c r="BI20" s="137"/>
      <c r="BJ20" s="136"/>
      <c r="BK20" s="136"/>
      <c r="BL20" s="136"/>
      <c r="BM20" s="136"/>
      <c r="BN20" s="136"/>
      <c r="BO20" s="137"/>
      <c r="BP20" s="136"/>
      <c r="BQ20" s="137"/>
      <c r="BS20" s="156">
        <f t="shared" si="4"/>
        <v>125.582477754962</v>
      </c>
      <c r="BT20" s="223"/>
      <c r="BU20" s="156">
        <f t="shared" si="9"/>
        <v>125.582477754962</v>
      </c>
      <c r="BV20" s="658">
        <f>LOOKUP(BU20,参数表!A$14:B$19)</f>
        <v>0</v>
      </c>
      <c r="BW20" s="156">
        <f t="shared" si="10"/>
        <v>0</v>
      </c>
      <c r="BX20" s="347">
        <f t="shared" si="11"/>
        <v>0</v>
      </c>
      <c r="BZ20" s="134" t="str">
        <f>IF(COUNTIF(BZ$6:BZ19,B20)&gt;0,"",B20)&amp;""</f>
        <v/>
      </c>
      <c r="CA20" s="138">
        <f t="shared" si="12"/>
        <v>0</v>
      </c>
      <c r="CB20" s="132">
        <f t="shared" si="13"/>
        <v>1</v>
      </c>
      <c r="CC20" s="138">
        <f t="shared" si="14"/>
        <v>0</v>
      </c>
      <c r="CD20" s="132">
        <f t="shared" si="15"/>
        <v>1</v>
      </c>
      <c r="CE20" s="133"/>
      <c r="CF20" s="133"/>
    </row>
    <row r="21" ht="15" customHeight="1" spans="1:85">
      <c r="A21" s="123" t="str">
        <f>IF(B21="","",COUNT(A$6:A20)+1)</f>
        <v/>
      </c>
      <c r="B21" s="139"/>
      <c r="C21" s="139"/>
      <c r="D21" s="139"/>
      <c r="E21" s="139"/>
      <c r="F21" s="140"/>
      <c r="G21" s="140"/>
      <c r="H21" s="141"/>
      <c r="I21" s="679"/>
      <c r="J21" s="142"/>
      <c r="K21" s="127" t="str">
        <f>IFERROR(VLOOKUP(J21,参数表!$H$2:$I$50,2,FALSE),"")</f>
        <v/>
      </c>
      <c r="L21" s="128" t="str">
        <f t="shared" si="6"/>
        <v/>
      </c>
      <c r="M21" s="143"/>
      <c r="N21" s="144"/>
      <c r="O21" s="129" t="str">
        <f t="shared" si="7"/>
        <v/>
      </c>
      <c r="P21" s="129" t="str">
        <f t="shared" si="0"/>
        <v/>
      </c>
      <c r="Q21" s="129" t="str">
        <f t="shared" si="1"/>
        <v/>
      </c>
      <c r="R21" s="129" t="str">
        <f t="shared" si="2"/>
        <v/>
      </c>
      <c r="S21" s="145"/>
      <c r="BA21" s="78"/>
      <c r="BB21" s="132" t="s">
        <v>4374</v>
      </c>
      <c r="BC21" s="133"/>
      <c r="BD21" s="132" t="str">
        <f>IF(OR(B21="",BC21=""),"",COUNTIF(BC$7:BC21,"√"))</f>
        <v/>
      </c>
      <c r="BE21" s="134" t="str">
        <f t="shared" si="3"/>
        <v/>
      </c>
      <c r="BF21" s="135" t="str">
        <f t="shared" si="8"/>
        <v/>
      </c>
      <c r="BG21" s="135" t="str">
        <f t="shared" si="8"/>
        <v/>
      </c>
      <c r="BH21" s="136"/>
      <c r="BI21" s="137"/>
      <c r="BJ21" s="136"/>
      <c r="BK21" s="136"/>
      <c r="BL21" s="136"/>
      <c r="BM21" s="136"/>
      <c r="BN21" s="136"/>
      <c r="BO21" s="137"/>
      <c r="BP21" s="136"/>
      <c r="BQ21" s="137"/>
      <c r="BS21" s="156">
        <f t="shared" si="4"/>
        <v>125.582477754962</v>
      </c>
      <c r="BT21" s="223"/>
      <c r="BU21" s="156">
        <f t="shared" si="9"/>
        <v>125.582477754962</v>
      </c>
      <c r="BV21" s="658">
        <f>LOOKUP(BU21,参数表!A$14:B$19)</f>
        <v>0</v>
      </c>
      <c r="BW21" s="156">
        <f t="shared" si="10"/>
        <v>0</v>
      </c>
      <c r="BX21" s="347">
        <f t="shared" si="11"/>
        <v>0</v>
      </c>
      <c r="BZ21" s="134" t="str">
        <f>IF(COUNTIF(BZ$6:BZ20,B21)&gt;0,"",B21)&amp;""</f>
        <v/>
      </c>
      <c r="CA21" s="138">
        <f t="shared" si="12"/>
        <v>0</v>
      </c>
      <c r="CB21" s="132">
        <f t="shared" si="13"/>
        <v>1</v>
      </c>
      <c r="CC21" s="138">
        <f t="shared" si="14"/>
        <v>0</v>
      </c>
      <c r="CD21" s="132">
        <f t="shared" si="15"/>
        <v>1</v>
      </c>
      <c r="CE21" s="133"/>
      <c r="CF21" s="133"/>
    </row>
    <row r="22" ht="15" customHeight="1" spans="1:85">
      <c r="A22" s="123" t="str">
        <f>IF(B22="","",COUNT(A$6:A21)+1)</f>
        <v/>
      </c>
      <c r="B22" s="139"/>
      <c r="C22" s="139"/>
      <c r="D22" s="139"/>
      <c r="E22" s="139"/>
      <c r="F22" s="140"/>
      <c r="G22" s="140"/>
      <c r="H22" s="141"/>
      <c r="I22" s="679"/>
      <c r="J22" s="142"/>
      <c r="K22" s="127" t="str">
        <f>IFERROR(VLOOKUP(J22,参数表!$H$2:$I$50,2,FALSE),"")</f>
        <v/>
      </c>
      <c r="L22" s="128" t="str">
        <f t="shared" si="6"/>
        <v/>
      </c>
      <c r="M22" s="143"/>
      <c r="N22" s="144"/>
      <c r="O22" s="129" t="str">
        <f t="shared" si="7"/>
        <v/>
      </c>
      <c r="P22" s="129" t="str">
        <f t="shared" si="0"/>
        <v/>
      </c>
      <c r="Q22" s="129" t="str">
        <f t="shared" si="1"/>
        <v/>
      </c>
      <c r="R22" s="129" t="str">
        <f t="shared" si="2"/>
        <v/>
      </c>
      <c r="S22" s="145"/>
      <c r="BA22" s="78"/>
      <c r="BB22" s="132" t="s">
        <v>4375</v>
      </c>
      <c r="BC22" s="133"/>
      <c r="BD22" s="132" t="str">
        <f>IF(OR(B22="",BC22=""),"",COUNTIF(BC$7:BC22,"√"))</f>
        <v/>
      </c>
      <c r="BE22" s="134" t="str">
        <f t="shared" si="3"/>
        <v/>
      </c>
      <c r="BF22" s="135" t="str">
        <f t="shared" si="8"/>
        <v/>
      </c>
      <c r="BG22" s="135" t="str">
        <f t="shared" si="8"/>
        <v/>
      </c>
      <c r="BH22" s="136"/>
      <c r="BI22" s="137"/>
      <c r="BJ22" s="136"/>
      <c r="BK22" s="136"/>
      <c r="BL22" s="136"/>
      <c r="BM22" s="136"/>
      <c r="BN22" s="136"/>
      <c r="BO22" s="137"/>
      <c r="BP22" s="136"/>
      <c r="BQ22" s="137"/>
      <c r="BS22" s="156">
        <f t="shared" si="4"/>
        <v>125.582477754962</v>
      </c>
      <c r="BT22" s="223"/>
      <c r="BU22" s="156">
        <f t="shared" si="9"/>
        <v>125.582477754962</v>
      </c>
      <c r="BV22" s="658">
        <f>LOOKUP(BU22,参数表!A$14:B$19)</f>
        <v>0</v>
      </c>
      <c r="BW22" s="156">
        <f t="shared" si="10"/>
        <v>0</v>
      </c>
      <c r="BX22" s="347">
        <f t="shared" si="11"/>
        <v>0</v>
      </c>
      <c r="BZ22" s="134" t="str">
        <f>IF(COUNTIF(BZ$6:BZ21,B22)&gt;0,"",B22)&amp;""</f>
        <v/>
      </c>
      <c r="CA22" s="138">
        <f t="shared" si="12"/>
        <v>0</v>
      </c>
      <c r="CB22" s="132">
        <f t="shared" si="13"/>
        <v>1</v>
      </c>
      <c r="CC22" s="138">
        <f t="shared" si="14"/>
        <v>0</v>
      </c>
      <c r="CD22" s="132">
        <f t="shared" si="15"/>
        <v>1</v>
      </c>
      <c r="CE22" s="133"/>
      <c r="CF22" s="133"/>
    </row>
    <row r="23" ht="15" customHeight="1" spans="1:85">
      <c r="A23" s="123" t="str">
        <f>IF(B23="","",COUNT(A$6:A22)+1)</f>
        <v/>
      </c>
      <c r="B23" s="139"/>
      <c r="C23" s="139"/>
      <c r="D23" s="139"/>
      <c r="E23" s="139"/>
      <c r="F23" s="140"/>
      <c r="G23" s="140"/>
      <c r="H23" s="141"/>
      <c r="I23" s="679"/>
      <c r="J23" s="142"/>
      <c r="K23" s="127" t="str">
        <f>IFERROR(VLOOKUP(J23,参数表!$H$2:$I$50,2,FALSE),"")</f>
        <v/>
      </c>
      <c r="L23" s="128" t="str">
        <f t="shared" si="6"/>
        <v/>
      </c>
      <c r="M23" s="143"/>
      <c r="N23" s="144"/>
      <c r="O23" s="129" t="str">
        <f t="shared" si="7"/>
        <v/>
      </c>
      <c r="P23" s="129" t="str">
        <f t="shared" si="0"/>
        <v/>
      </c>
      <c r="Q23" s="129" t="str">
        <f t="shared" si="1"/>
        <v/>
      </c>
      <c r="R23" s="129" t="str">
        <f t="shared" si="2"/>
        <v/>
      </c>
      <c r="S23" s="145"/>
      <c r="BA23" s="78"/>
      <c r="BB23" s="132" t="s">
        <v>4376</v>
      </c>
      <c r="BC23" s="133"/>
      <c r="BD23" s="132" t="str">
        <f>IF(OR(B23="",BC23=""),"",COUNTIF(BC$7:BC23,"√"))</f>
        <v/>
      </c>
      <c r="BE23" s="134" t="str">
        <f t="shared" si="3"/>
        <v/>
      </c>
      <c r="BF23" s="135" t="str">
        <f t="shared" si="8"/>
        <v/>
      </c>
      <c r="BG23" s="135" t="str">
        <f t="shared" si="8"/>
        <v/>
      </c>
      <c r="BH23" s="136"/>
      <c r="BI23" s="137"/>
      <c r="BJ23" s="136"/>
      <c r="BK23" s="136"/>
      <c r="BL23" s="136"/>
      <c r="BM23" s="136"/>
      <c r="BN23" s="136"/>
      <c r="BO23" s="137"/>
      <c r="BP23" s="136"/>
      <c r="BQ23" s="137"/>
      <c r="BS23" s="156">
        <f t="shared" si="4"/>
        <v>125.582477754962</v>
      </c>
      <c r="BT23" s="223"/>
      <c r="BU23" s="156">
        <f t="shared" si="9"/>
        <v>125.582477754962</v>
      </c>
      <c r="BV23" s="658">
        <f>LOOKUP(BU23,参数表!A$14:B$19)</f>
        <v>0</v>
      </c>
      <c r="BW23" s="156">
        <f t="shared" si="10"/>
        <v>0</v>
      </c>
      <c r="BX23" s="347">
        <f t="shared" si="11"/>
        <v>0</v>
      </c>
      <c r="BZ23" s="134" t="str">
        <f>IF(COUNTIF(BZ$6:BZ22,B23)&gt;0,"",B23)&amp;""</f>
        <v/>
      </c>
      <c r="CA23" s="138">
        <f t="shared" si="12"/>
        <v>0</v>
      </c>
      <c r="CB23" s="132">
        <f t="shared" si="13"/>
        <v>1</v>
      </c>
      <c r="CC23" s="138">
        <f t="shared" si="14"/>
        <v>0</v>
      </c>
      <c r="CD23" s="132">
        <f t="shared" si="15"/>
        <v>1</v>
      </c>
      <c r="CE23" s="133"/>
      <c r="CF23" s="133"/>
    </row>
    <row r="24" ht="15" customHeight="1" spans="1:85">
      <c r="A24" s="123" t="str">
        <f>IF(B24="","",COUNT(A$6:A23)+1)</f>
        <v/>
      </c>
      <c r="B24" s="139"/>
      <c r="C24" s="139"/>
      <c r="D24" s="139"/>
      <c r="E24" s="139"/>
      <c r="F24" s="140"/>
      <c r="G24" s="140"/>
      <c r="H24" s="141"/>
      <c r="I24" s="679"/>
      <c r="J24" s="142"/>
      <c r="K24" s="127" t="str">
        <f>IFERROR(VLOOKUP(J24,参数表!$H$2:$I$50,2,FALSE),"")</f>
        <v/>
      </c>
      <c r="L24" s="128" t="str">
        <f t="shared" si="6"/>
        <v/>
      </c>
      <c r="M24" s="143"/>
      <c r="N24" s="144"/>
      <c r="O24" s="129" t="str">
        <f t="shared" si="7"/>
        <v/>
      </c>
      <c r="P24" s="129" t="str">
        <f t="shared" si="0"/>
        <v/>
      </c>
      <c r="Q24" s="129" t="str">
        <f t="shared" si="1"/>
        <v/>
      </c>
      <c r="R24" s="129" t="str">
        <f t="shared" si="2"/>
        <v/>
      </c>
      <c r="S24" s="145"/>
      <c r="BA24" s="78"/>
      <c r="BB24" s="132" t="s">
        <v>4377</v>
      </c>
      <c r="BC24" s="133"/>
      <c r="BD24" s="132" t="str">
        <f>IF(OR(B24="",BC24=""),"",COUNTIF(BC$7:BC24,"√"))</f>
        <v/>
      </c>
      <c r="BE24" s="134" t="str">
        <f t="shared" si="3"/>
        <v/>
      </c>
      <c r="BF24" s="135" t="str">
        <f t="shared" si="8"/>
        <v/>
      </c>
      <c r="BG24" s="135" t="str">
        <f t="shared" si="8"/>
        <v/>
      </c>
      <c r="BH24" s="136"/>
      <c r="BI24" s="137"/>
      <c r="BJ24" s="136"/>
      <c r="BK24" s="136"/>
      <c r="BL24" s="136"/>
      <c r="BM24" s="136"/>
      <c r="BN24" s="136"/>
      <c r="BO24" s="137"/>
      <c r="BP24" s="136"/>
      <c r="BQ24" s="137"/>
      <c r="BS24" s="156">
        <f t="shared" si="4"/>
        <v>125.582477754962</v>
      </c>
      <c r="BT24" s="223"/>
      <c r="BU24" s="156">
        <f t="shared" si="9"/>
        <v>125.582477754962</v>
      </c>
      <c r="BV24" s="658">
        <f>LOOKUP(BU24,参数表!A$14:B$19)</f>
        <v>0</v>
      </c>
      <c r="BW24" s="156">
        <f t="shared" si="10"/>
        <v>0</v>
      </c>
      <c r="BX24" s="347">
        <f t="shared" si="11"/>
        <v>0</v>
      </c>
      <c r="BZ24" s="134" t="str">
        <f>IF(COUNTIF(BZ$6:BZ23,B24)&gt;0,"",B24)&amp;""</f>
        <v/>
      </c>
      <c r="CA24" s="138">
        <f t="shared" si="12"/>
        <v>0</v>
      </c>
      <c r="CB24" s="132">
        <f t="shared" si="13"/>
        <v>1</v>
      </c>
      <c r="CC24" s="138">
        <f t="shared" si="14"/>
        <v>0</v>
      </c>
      <c r="CD24" s="132">
        <f t="shared" si="15"/>
        <v>1</v>
      </c>
      <c r="CE24" s="133"/>
      <c r="CF24" s="133"/>
    </row>
    <row r="25" ht="15" customHeight="1" spans="1:85">
      <c r="A25" s="123" t="str">
        <f>IF(B25="","",COUNT(A$6:A24)+1)</f>
        <v/>
      </c>
      <c r="B25" s="139"/>
      <c r="C25" s="139"/>
      <c r="D25" s="139"/>
      <c r="E25" s="139"/>
      <c r="F25" s="140"/>
      <c r="G25" s="140"/>
      <c r="H25" s="141"/>
      <c r="I25" s="679"/>
      <c r="J25" s="142"/>
      <c r="K25" s="127" t="str">
        <f>IFERROR(VLOOKUP(J25,参数表!$H$2:$I$50,2,FALSE),"")</f>
        <v/>
      </c>
      <c r="L25" s="128" t="str">
        <f t="shared" si="6"/>
        <v/>
      </c>
      <c r="M25" s="143"/>
      <c r="N25" s="144"/>
      <c r="O25" s="129" t="str">
        <f t="shared" si="7"/>
        <v/>
      </c>
      <c r="P25" s="129" t="str">
        <f t="shared" si="0"/>
        <v/>
      </c>
      <c r="Q25" s="129" t="str">
        <f t="shared" si="1"/>
        <v/>
      </c>
      <c r="R25" s="129" t="str">
        <f t="shared" si="2"/>
        <v/>
      </c>
      <c r="S25" s="145"/>
      <c r="BA25" s="78"/>
      <c r="BB25" s="132" t="s">
        <v>4378</v>
      </c>
      <c r="BC25" s="133"/>
      <c r="BD25" s="132" t="str">
        <f>IF(OR(B25="",BC25=""),"",COUNTIF(BC$7:BC25,"√"))</f>
        <v/>
      </c>
      <c r="BE25" s="134" t="str">
        <f t="shared" si="3"/>
        <v/>
      </c>
      <c r="BF25" s="135" t="str">
        <f t="shared" si="8"/>
        <v/>
      </c>
      <c r="BG25" s="135" t="str">
        <f t="shared" si="8"/>
        <v/>
      </c>
      <c r="BH25" s="136"/>
      <c r="BI25" s="137"/>
      <c r="BJ25" s="136"/>
      <c r="BK25" s="136"/>
      <c r="BL25" s="136"/>
      <c r="BM25" s="136"/>
      <c r="BN25" s="136"/>
      <c r="BO25" s="137"/>
      <c r="BP25" s="136"/>
      <c r="BQ25" s="137"/>
      <c r="BS25" s="156">
        <f t="shared" si="4"/>
        <v>125.582477754962</v>
      </c>
      <c r="BT25" s="223"/>
      <c r="BU25" s="156">
        <f t="shared" si="9"/>
        <v>125.582477754962</v>
      </c>
      <c r="BV25" s="658">
        <f>LOOKUP(BU25,参数表!A$14:B$19)</f>
        <v>0</v>
      </c>
      <c r="BW25" s="156">
        <f t="shared" si="10"/>
        <v>0</v>
      </c>
      <c r="BX25" s="347">
        <f t="shared" si="11"/>
        <v>0</v>
      </c>
      <c r="BZ25" s="134" t="str">
        <f>IF(COUNTIF(BZ$6:BZ24,B25)&gt;0,"",B25)&amp;""</f>
        <v/>
      </c>
      <c r="CA25" s="138">
        <f t="shared" si="12"/>
        <v>0</v>
      </c>
      <c r="CB25" s="132">
        <f t="shared" si="13"/>
        <v>1</v>
      </c>
      <c r="CC25" s="138">
        <f t="shared" si="14"/>
        <v>0</v>
      </c>
      <c r="CD25" s="132">
        <f t="shared" si="15"/>
        <v>1</v>
      </c>
      <c r="CE25" s="133"/>
      <c r="CF25" s="133"/>
    </row>
    <row r="26" ht="15" customHeight="1" spans="1:85">
      <c r="A26" s="123" t="str">
        <f>IF(B26="","",COUNT(A$6:A25)+1)</f>
        <v/>
      </c>
      <c r="B26" s="124"/>
      <c r="C26" s="124"/>
      <c r="D26" s="124"/>
      <c r="E26" s="124"/>
      <c r="F26" s="125"/>
      <c r="G26" s="125"/>
      <c r="H26" s="126"/>
      <c r="I26" s="281"/>
      <c r="J26" s="127"/>
      <c r="K26" s="127" t="str">
        <f>IFERROR(VLOOKUP(J26,参数表!$H$2:$I$50,2,FALSE),"")</f>
        <v/>
      </c>
      <c r="L26" s="128" t="str">
        <f t="shared" si="6"/>
        <v/>
      </c>
      <c r="M26" s="129"/>
      <c r="N26" s="130"/>
      <c r="O26" s="129" t="str">
        <f t="shared" si="7"/>
        <v/>
      </c>
      <c r="P26" s="129" t="str">
        <f t="shared" si="0"/>
        <v/>
      </c>
      <c r="Q26" s="129" t="str">
        <f t="shared" si="1"/>
        <v/>
      </c>
      <c r="R26" s="129" t="str">
        <f t="shared" si="2"/>
        <v/>
      </c>
      <c r="S26" s="131"/>
      <c r="BA26" s="78"/>
      <c r="BB26" s="132" t="s">
        <v>4379</v>
      </c>
      <c r="BC26" s="133"/>
      <c r="BD26" s="132" t="str">
        <f>IF(OR(B26="",BC26=""),"",COUNTIF(BC$7:BC26,"√"))</f>
        <v/>
      </c>
      <c r="BE26" s="134" t="str">
        <f t="shared" si="3"/>
        <v/>
      </c>
      <c r="BF26" s="135" t="str">
        <f t="shared" si="8"/>
        <v/>
      </c>
      <c r="BG26" s="135" t="str">
        <f t="shared" si="8"/>
        <v/>
      </c>
      <c r="BH26" s="136"/>
      <c r="BI26" s="137"/>
      <c r="BJ26" s="136"/>
      <c r="BK26" s="136"/>
      <c r="BL26" s="136"/>
      <c r="BM26" s="136"/>
      <c r="BN26" s="136"/>
      <c r="BO26" s="137"/>
      <c r="BP26" s="136"/>
      <c r="BQ26" s="137"/>
      <c r="BS26" s="156">
        <f t="shared" si="4"/>
        <v>125.582477754962</v>
      </c>
      <c r="BT26" s="223"/>
      <c r="BU26" s="156">
        <f t="shared" si="9"/>
        <v>125.582477754962</v>
      </c>
      <c r="BV26" s="658">
        <f>LOOKUP(BU26,参数表!A$14:B$19)</f>
        <v>0</v>
      </c>
      <c r="BW26" s="156">
        <f t="shared" si="10"/>
        <v>0</v>
      </c>
      <c r="BX26" s="347">
        <f t="shared" si="11"/>
        <v>0</v>
      </c>
      <c r="BZ26" s="134" t="str">
        <f>IF(COUNTIF(BZ$6:BZ25,B26)&gt;0,"",B26)&amp;""</f>
        <v/>
      </c>
      <c r="CA26" s="138">
        <f t="shared" si="12"/>
        <v>0</v>
      </c>
      <c r="CB26" s="132">
        <f t="shared" si="13"/>
        <v>1</v>
      </c>
      <c r="CC26" s="138">
        <f t="shared" si="14"/>
        <v>0</v>
      </c>
      <c r="CD26" s="132">
        <f t="shared" si="15"/>
        <v>1</v>
      </c>
      <c r="CE26" s="133"/>
      <c r="CF26" s="133"/>
    </row>
    <row r="27" s="73" customFormat="1" ht="15" customHeight="1" spans="1:85">
      <c r="A27" s="221" t="s">
        <v>1954</v>
      </c>
      <c r="B27" s="493"/>
      <c r="C27" s="493"/>
      <c r="D27" s="221"/>
      <c r="E27" s="221"/>
      <c r="F27" s="356"/>
      <c r="G27" s="356"/>
      <c r="H27" s="149"/>
      <c r="I27" s="149"/>
      <c r="J27" s="149"/>
      <c r="K27" s="149"/>
      <c r="L27" s="149"/>
      <c r="M27" s="152">
        <f>SUM(M7:M26)</f>
        <v>0</v>
      </c>
      <c r="N27" s="153"/>
      <c r="O27" s="152">
        <f>SUM(O7:O26)</f>
        <v>0</v>
      </c>
      <c r="P27" s="152">
        <f>SUM(P7:P26)</f>
        <v>0</v>
      </c>
      <c r="Q27" s="152">
        <f t="shared" si="1"/>
        <v>0</v>
      </c>
      <c r="R27" s="152" t="str">
        <f t="shared" si="2"/>
        <v/>
      </c>
      <c r="S27" s="151"/>
      <c r="BH27" s="72"/>
      <c r="BJ27" s="72"/>
      <c r="BK27" s="72"/>
      <c r="BL27" s="72"/>
      <c r="BM27" s="72"/>
      <c r="BN27" s="72"/>
      <c r="BP27" s="72"/>
      <c r="BY27" s="111"/>
      <c r="BZ27" s="119"/>
      <c r="CA27" s="77"/>
      <c r="CB27" s="77"/>
      <c r="CC27" s="77"/>
      <c r="CD27" s="119"/>
      <c r="CE27" s="119"/>
      <c r="CF27" s="119"/>
      <c r="CG27" s="111"/>
    </row>
    <row r="28" ht="15" customHeight="1" spans="1:85">
      <c r="A28" s="124" t="s">
        <v>3434</v>
      </c>
      <c r="B28" s="124"/>
      <c r="C28" s="124"/>
      <c r="D28" s="124"/>
      <c r="E28" s="124"/>
      <c r="F28" s="125"/>
      <c r="G28" s="125"/>
      <c r="H28" s="126"/>
      <c r="I28" s="126"/>
      <c r="J28" s="126"/>
      <c r="K28" s="126"/>
      <c r="L28" s="126"/>
      <c r="M28" s="129"/>
      <c r="N28" s="130"/>
      <c r="O28" s="129">
        <f>M28+N28</f>
        <v>0</v>
      </c>
      <c r="P28" s="129">
        <f>0</f>
        <v>0</v>
      </c>
      <c r="Q28" s="129">
        <f t="shared" si="1"/>
        <v>0</v>
      </c>
      <c r="R28" s="129" t="str">
        <f t="shared" si="2"/>
        <v/>
      </c>
      <c r="S28" s="131"/>
    </row>
    <row r="29" s="73" customFormat="1" ht="15" customHeight="1" spans="1:85">
      <c r="A29" s="221" t="s">
        <v>1957</v>
      </c>
      <c r="B29" s="221"/>
      <c r="C29" s="221"/>
      <c r="D29" s="149"/>
      <c r="E29" s="149"/>
      <c r="F29" s="356"/>
      <c r="G29" s="356"/>
      <c r="H29" s="149"/>
      <c r="I29" s="149"/>
      <c r="J29" s="149"/>
      <c r="K29" s="149"/>
      <c r="L29" s="149"/>
      <c r="M29" s="152">
        <f>M27-M28</f>
        <v>0</v>
      </c>
      <c r="N29" s="153"/>
      <c r="O29" s="152">
        <f>O27-O28</f>
        <v>0</v>
      </c>
      <c r="P29" s="152">
        <f>P27-P28</f>
        <v>0</v>
      </c>
      <c r="Q29" s="152">
        <f t="shared" si="1"/>
        <v>0</v>
      </c>
      <c r="R29" s="152" t="str">
        <f t="shared" si="2"/>
        <v/>
      </c>
      <c r="S29" s="151"/>
      <c r="BH29" s="72"/>
      <c r="BJ29" s="72"/>
      <c r="BK29" s="72"/>
      <c r="BL29" s="72"/>
      <c r="BM29" s="72"/>
      <c r="BN29" s="72"/>
      <c r="BP29" s="72"/>
      <c r="BY29" s="77"/>
      <c r="BZ29" s="78"/>
      <c r="CA29" s="77"/>
      <c r="CB29" s="78"/>
      <c r="CC29" s="78"/>
      <c r="CD29" s="78"/>
      <c r="CE29" s="78"/>
      <c r="CF29" s="78"/>
      <c r="CG29" s="77"/>
    </row>
    <row r="30" customHeight="1" spans="1:85">
      <c r="A30" s="102" t="str">
        <f>参数表!F$6</f>
        <v>产权持有单位填表人：贾广东</v>
      </c>
      <c r="B30" s="154"/>
      <c r="C30" s="154"/>
      <c r="D30" s="154"/>
      <c r="E30" s="154"/>
      <c r="F30" s="154"/>
      <c r="G30" s="103"/>
      <c r="H30" s="103"/>
      <c r="I30" s="103"/>
      <c r="J30" s="103"/>
      <c r="K30" s="103"/>
      <c r="L30" s="103"/>
      <c r="M30" s="103"/>
      <c r="N30" s="104"/>
      <c r="O30" s="103"/>
      <c r="P30" s="156" t="str">
        <f>"评估人员："&amp;封面!$G$24</f>
        <v>评估人员：</v>
      </c>
      <c r="Q30" s="103"/>
      <c r="R30" s="103"/>
      <c r="S30" s="103"/>
    </row>
    <row r="31" customHeight="1" spans="1:85">
      <c r="A31" s="102" t="str">
        <f>参数表!F$7</f>
        <v>填表日期：2025年9月20日</v>
      </c>
      <c r="B31" s="154"/>
      <c r="C31" s="154"/>
      <c r="D31" s="154"/>
      <c r="E31" s="154"/>
      <c r="F31" s="154"/>
      <c r="G31" s="103"/>
      <c r="H31" s="103"/>
      <c r="I31" s="103"/>
      <c r="J31" s="103"/>
      <c r="K31" s="103"/>
      <c r="L31" s="103"/>
      <c r="M31" s="103"/>
      <c r="N31" s="104"/>
      <c r="O31" s="103"/>
      <c r="P31" s="103"/>
      <c r="Q31" s="103"/>
      <c r="R31" s="103"/>
      <c r="S31" s="103"/>
    </row>
    <row r="32" hidden="1" customHeight="1" outlineLevel="1" spans="1:85">
      <c r="A32" s="157"/>
      <c r="B32" s="154" t="s">
        <v>1673</v>
      </c>
      <c r="C32" s="158"/>
      <c r="D32" s="158"/>
      <c r="E32" s="158"/>
      <c r="F32" s="158"/>
      <c r="J32" s="158"/>
      <c r="K32" s="158"/>
      <c r="L32" s="158"/>
      <c r="M32" s="159">
        <f>SUMIF($BA7:$BA26,$BA32,M7:M26)</f>
        <v>0</v>
      </c>
      <c r="N32" s="202"/>
      <c r="O32" s="159">
        <f>SUMIF($BA7:$BA26,$BA32,O7:O26)</f>
        <v>0</v>
      </c>
      <c r="P32" s="159">
        <f>SUMIF($BA7:$BA26,$BA32,P7:P26)</f>
        <v>0</v>
      </c>
      <c r="BA32" s="161" t="s">
        <v>1674</v>
      </c>
      <c r="BH32" s="95" t="s">
        <v>1675</v>
      </c>
      <c r="BJ32" s="95" t="s">
        <v>1675</v>
      </c>
      <c r="BK32" s="95" t="s">
        <v>1675</v>
      </c>
      <c r="BL32" s="95" t="s">
        <v>1675</v>
      </c>
      <c r="BM32" s="95" t="s">
        <v>1675</v>
      </c>
      <c r="BN32" s="95" t="s">
        <v>1675</v>
      </c>
      <c r="BP32" s="95" t="s">
        <v>1675</v>
      </c>
    </row>
    <row r="33" hidden="1" customHeight="1" outlineLevel="1" spans="1:68">
      <c r="A33" s="157"/>
      <c r="B33" s="154" t="s">
        <v>1676</v>
      </c>
      <c r="C33" s="158"/>
      <c r="D33" s="158"/>
      <c r="E33" s="158"/>
      <c r="F33" s="158"/>
      <c r="J33" s="158"/>
      <c r="K33" s="158"/>
      <c r="L33" s="158"/>
      <c r="M33" s="159">
        <f>M27-M32</f>
        <v>0</v>
      </c>
      <c r="N33" s="202"/>
      <c r="O33" s="159">
        <f>O27-O32</f>
        <v>0</v>
      </c>
      <c r="P33" s="159">
        <f>P27-P32</f>
        <v>0</v>
      </c>
      <c r="BA33" s="161" t="s">
        <v>1677</v>
      </c>
      <c r="BH33" s="95" t="s">
        <v>1678</v>
      </c>
      <c r="BJ33" s="95" t="s">
        <v>1678</v>
      </c>
      <c r="BK33" s="95" t="s">
        <v>1678</v>
      </c>
      <c r="BL33" s="95" t="s">
        <v>1678</v>
      </c>
      <c r="BM33" s="95" t="s">
        <v>1678</v>
      </c>
      <c r="BN33" s="95" t="s">
        <v>1678</v>
      </c>
      <c r="BP33" s="95" t="s">
        <v>1678</v>
      </c>
    </row>
    <row r="34" customHeight="1" collapsed="1" spans="1:68">
      <c r="A34" s="157"/>
      <c r="B34" s="158"/>
      <c r="C34" s="158"/>
      <c r="D34" s="158"/>
      <c r="E34" s="158"/>
      <c r="F34" s="158"/>
      <c r="J34" s="158"/>
      <c r="K34" s="158"/>
      <c r="L34" s="158"/>
    </row>
    <row r="35" customHeight="1" spans="1:68">
      <c r="A35" s="157"/>
      <c r="B35" s="158"/>
      <c r="C35" s="158"/>
      <c r="D35" s="158"/>
      <c r="E35" s="158"/>
      <c r="F35" s="158"/>
      <c r="J35" s="158"/>
      <c r="K35" s="158"/>
      <c r="L35" s="158"/>
    </row>
    <row r="36" customHeight="1" spans="1:68">
      <c r="A36" s="157"/>
      <c r="B36" s="158"/>
      <c r="C36" s="158"/>
      <c r="D36" s="158"/>
      <c r="E36" s="158"/>
      <c r="F36" s="158"/>
      <c r="J36" s="158"/>
      <c r="K36" s="158"/>
      <c r="L36" s="158"/>
    </row>
    <row r="37" customHeight="1" spans="1:68">
      <c r="A37" s="157"/>
      <c r="B37" s="158"/>
      <c r="C37" s="158"/>
      <c r="D37" s="158"/>
      <c r="E37" s="158"/>
      <c r="F37" s="158"/>
      <c r="J37" s="158"/>
      <c r="K37" s="158"/>
      <c r="L37" s="158"/>
    </row>
    <row r="38" customHeight="1" spans="1:68">
      <c r="A38" s="157"/>
      <c r="B38" s="158"/>
      <c r="C38" s="158"/>
      <c r="D38" s="158"/>
      <c r="E38" s="158"/>
      <c r="F38" s="158"/>
    </row>
  </sheetData>
  <sheetProtection autoFilter="0"/>
  <mergeCells count="8">
    <mergeCell ref="A2:S2"/>
    <mergeCell ref="A3:S3"/>
    <mergeCell ref="CE7:CG7"/>
    <mergeCell ref="CE8:CG8"/>
    <mergeCell ref="CF14:CG14"/>
    <mergeCell ref="A27:C27"/>
    <mergeCell ref="A28:C28"/>
    <mergeCell ref="A29:C29"/>
  </mergeCells>
  <conditionalFormatting sqref="BI7:BI26">
    <cfRule type="expression" dxfId="5" priority="5" stopIfTrue="1">
      <formula>AND(BH7="有",BI7="")</formula>
    </cfRule>
  </conditionalFormatting>
  <conditionalFormatting sqref="BO7:BO26">
    <cfRule type="expression" dxfId="5" priority="7" stopIfTrue="1">
      <formula>AND(BN7="无",BO7="")</formula>
    </cfRule>
  </conditionalFormatting>
  <conditionalFormatting sqref="BF7:BG26">
    <cfRule type="containsText" dxfId="6" priority="1" stopIfTrue="1" operator="between" text="出错">
      <formula>NOT(ISERROR(SEARCH("出错",BF7)))</formula>
    </cfRule>
  </conditionalFormatting>
  <conditionalFormatting sqref="BH8:BI25 BH26:BN26 BH7:BH25 BJ7:BN25 BP7:BP26">
    <cfRule type="expression" dxfId="5" priority="8" stopIfTrue="1">
      <formula>AND($B7&lt;&gt;"",BH7="")</formula>
    </cfRule>
  </conditionalFormatting>
  <dataValidations count="4">
    <dataValidation type="list" allowBlank="1" showInputMessage="1" showErrorMessage="1" sqref="J7:J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 type="list" allowBlank="1" showInputMessage="1" showErrorMessage="1" sqref="BH7:BH26 BP7:BP26 BJ7:BN26">
      <formula1>BH$32:BH$33</formula1>
    </dataValidation>
  </dataValidations>
  <hyperlinks>
    <hyperlink ref="A1" location="索引目录!E42" display="返回索引页"/>
    <hyperlink ref="B1" location="在建工程汇总!B9"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8"/>
  <dimension ref="A1:CF39"/>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4.7" style="74" customWidth="1"/>
    <col min="2" max="3" width="7.7" style="75" customWidth="1"/>
    <col min="4" max="5" width="4.7" style="75" customWidth="1"/>
    <col min="6" max="7" width="6.7" style="75" customWidth="1"/>
    <col min="8" max="8" width="4.7" style="75" customWidth="1"/>
    <col min="9" max="10" width="4.6" style="75" customWidth="1" outlineLevel="1"/>
    <col min="11" max="11" width="6.1" style="75" customWidth="1" outlineLevel="1"/>
    <col min="12" max="14" width="7.7" style="75" customWidth="1" outlineLevel="1"/>
    <col min="15" max="15" width="10.7" style="75" customWidth="1" outlineLevel="1"/>
    <col min="16" max="18" width="7.7" style="76" customWidth="1" outlineLevel="1"/>
    <col min="19" max="21" width="7.7" style="75" customWidth="1"/>
    <col min="22" max="22" width="10.7" style="75" customWidth="1"/>
    <col min="23" max="25" width="7.7" style="75" customWidth="1"/>
    <col min="26" max="26" width="10.7" style="75" customWidth="1"/>
    <col min="27" max="29" width="4.7" style="75" customWidth="1"/>
    <col min="30" max="30" width="9" style="75"/>
    <col min="31"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508" customWidth="1"/>
    <col min="61" max="61" width="11.5" style="75" customWidth="1"/>
    <col min="62" max="66" width="4.7" style="165" customWidth="1"/>
    <col min="67" max="67" width="10.3" style="75" customWidth="1"/>
    <col min="68" max="68" width="4.7" style="165" customWidth="1"/>
    <col min="69" max="69" width="8.7" style="75" customWidth="1"/>
    <col min="70" max="75" width="9" style="75"/>
    <col min="76" max="76" width="1.6" style="77" customWidth="1"/>
    <col min="77" max="77" width="10.6" style="78" customWidth="1"/>
    <col min="78" max="78" width="10.6" style="77" customWidth="1"/>
    <col min="79" max="79" width="4.6" style="78" customWidth="1"/>
    <col min="80" max="80" width="10.6" style="78" customWidth="1"/>
    <col min="81" max="82" width="4.6" style="78" customWidth="1"/>
    <col min="83" max="83" width="10.6" style="78" customWidth="1"/>
    <col min="84" max="84" width="5" style="77" customWidth="1"/>
    <col min="85" max="16384" width="9" style="75"/>
  </cols>
  <sheetData>
    <row r="1" s="86" customFormat="1" ht="13.8" spans="1:84">
      <c r="A1" s="203" t="s">
        <v>1591</v>
      </c>
      <c r="B1" s="204" t="s">
        <v>1592</v>
      </c>
      <c r="C1" s="204"/>
      <c r="D1" s="204"/>
      <c r="E1" s="204"/>
      <c r="F1" s="82"/>
      <c r="G1" s="82"/>
      <c r="H1" s="82"/>
      <c r="I1" s="82"/>
      <c r="J1" s="82"/>
      <c r="K1" s="82"/>
      <c r="L1" s="82"/>
      <c r="M1" s="82"/>
      <c r="N1" s="82"/>
      <c r="O1" s="82"/>
      <c r="P1" s="205"/>
      <c r="Q1" s="205"/>
      <c r="R1" s="205"/>
      <c r="S1" s="82"/>
      <c r="T1" s="82"/>
      <c r="U1" s="82"/>
      <c r="V1" s="82"/>
      <c r="W1" s="82"/>
      <c r="X1" s="82"/>
      <c r="Y1" s="82"/>
      <c r="Z1" s="82"/>
      <c r="AA1" s="82"/>
      <c r="AB1" s="82"/>
      <c r="AC1" s="82"/>
      <c r="BA1" s="84" t="str">
        <f>参数表!BA1</f>
        <v>注意：补充特殊事项、作价等均从BA列开始填写</v>
      </c>
      <c r="BB1" s="85"/>
      <c r="BH1" s="509"/>
      <c r="BJ1" s="82"/>
      <c r="BK1" s="82"/>
      <c r="BL1" s="82"/>
      <c r="BM1" s="82"/>
      <c r="BN1" s="82"/>
      <c r="BP1" s="82"/>
      <c r="BX1" s="87"/>
      <c r="BY1" s="88"/>
      <c r="BZ1" s="87"/>
      <c r="CA1" s="88"/>
      <c r="CB1" s="88"/>
      <c r="CC1" s="88"/>
      <c r="CD1" s="88"/>
      <c r="CE1" s="88"/>
      <c r="CF1" s="87"/>
    </row>
    <row r="2" s="71" customFormat="1" ht="30" customHeight="1" spans="1:84">
      <c r="A2" s="89" t="s">
        <v>4380</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BA2" s="90" t="str">
        <f>参数表!BA2</f>
        <v>评估基准日：</v>
      </c>
      <c r="BB2" s="91" t="str">
        <f>参数表!BB2</f>
        <v>2025年7月31日</v>
      </c>
      <c r="BH2" s="510"/>
      <c r="BJ2" s="171"/>
      <c r="BK2" s="171"/>
      <c r="BL2" s="171"/>
      <c r="BM2" s="171"/>
      <c r="BN2" s="171"/>
      <c r="BP2" s="171"/>
      <c r="BX2" s="92"/>
      <c r="BY2" s="93"/>
      <c r="BZ2" s="92"/>
      <c r="CA2" s="93"/>
      <c r="CB2" s="93"/>
      <c r="CC2" s="93"/>
      <c r="CD2" s="93"/>
      <c r="CE2" s="93"/>
      <c r="CF2" s="92"/>
    </row>
    <row r="3" ht="15" customHeight="1" spans="1:84">
      <c r="A3" s="94" t="str">
        <f>参数表!F5</f>
        <v>评估基准日：2025年7月31日</v>
      </c>
      <c r="B3" s="94"/>
      <c r="C3" s="94"/>
      <c r="D3" s="94"/>
      <c r="E3" s="94"/>
      <c r="F3" s="94"/>
      <c r="G3" s="94"/>
      <c r="H3" s="94"/>
      <c r="I3" s="94"/>
      <c r="J3" s="94"/>
      <c r="K3" s="94"/>
      <c r="L3" s="94"/>
      <c r="M3" s="94"/>
      <c r="N3" s="94"/>
      <c r="O3" s="94"/>
      <c r="P3" s="94"/>
      <c r="Q3" s="94"/>
      <c r="R3" s="94"/>
      <c r="S3" s="94"/>
      <c r="T3" s="94"/>
      <c r="U3" s="94"/>
      <c r="V3" s="95"/>
      <c r="W3" s="95"/>
      <c r="X3" s="95"/>
      <c r="Y3" s="95"/>
      <c r="Z3" s="95"/>
      <c r="AA3" s="95"/>
      <c r="AB3" s="95"/>
      <c r="AC3" s="95"/>
      <c r="BA3" s="90" t="str">
        <f>参数表!BA3</f>
        <v>是否显示评估值：</v>
      </c>
      <c r="BB3" s="90" t="str">
        <f>参数表!BB3</f>
        <v>是</v>
      </c>
      <c r="BX3" s="92"/>
      <c r="BY3" s="93"/>
      <c r="BZ3" s="92"/>
      <c r="CA3" s="93"/>
      <c r="CB3" s="93"/>
      <c r="CC3" s="93"/>
      <c r="CD3" s="93"/>
      <c r="CE3" s="93"/>
      <c r="CF3" s="92"/>
    </row>
    <row r="4" ht="15" customHeight="1" spans="1:84">
      <c r="A4" s="96"/>
      <c r="B4" s="94"/>
      <c r="C4" s="94"/>
      <c r="D4" s="94"/>
      <c r="E4" s="94"/>
      <c r="F4" s="94"/>
      <c r="G4" s="94"/>
      <c r="H4" s="94"/>
      <c r="I4" s="94"/>
      <c r="J4" s="94"/>
      <c r="K4" s="94"/>
      <c r="L4" s="94"/>
      <c r="M4" s="94"/>
      <c r="N4" s="94"/>
      <c r="O4" s="680"/>
      <c r="P4" s="681"/>
      <c r="Q4" s="681"/>
      <c r="R4" s="681"/>
      <c r="S4" s="94"/>
      <c r="T4" s="94"/>
      <c r="U4" s="94"/>
      <c r="V4" s="95"/>
      <c r="W4" s="95"/>
      <c r="X4" s="95"/>
      <c r="Y4" s="95"/>
      <c r="Z4" s="95"/>
      <c r="AA4" s="95"/>
      <c r="AB4" s="95"/>
      <c r="AC4" s="98" t="str">
        <f>"表"&amp;$BA4</f>
        <v>表4-11-2</v>
      </c>
      <c r="BA4" s="274" t="str">
        <f>在建总!A8</f>
        <v>4-11-2</v>
      </c>
      <c r="BB4" s="100">
        <f>MAX(COUNTA(A8:A27),COUNTA(B8:B27),COUNTA(O8:O27),COUNTA(V8:V27))</f>
        <v>20</v>
      </c>
      <c r="BC4" s="101">
        <f>ROW(A7)+1</f>
        <v>8</v>
      </c>
      <c r="BD4" s="77"/>
      <c r="BE4" s="77"/>
      <c r="BZ4" s="78"/>
    </row>
    <row r="5" ht="15" customHeight="1" spans="1:84">
      <c r="A5" s="102" t="str">
        <f>参数表!F3</f>
        <v>产权持有单位:中煤第五建设有限公司</v>
      </c>
      <c r="B5" s="103"/>
      <c r="C5" s="103"/>
      <c r="D5" s="103"/>
      <c r="E5" s="103"/>
      <c r="F5" s="103"/>
      <c r="G5" s="103"/>
      <c r="H5" s="103"/>
      <c r="I5" s="103"/>
      <c r="J5" s="103"/>
      <c r="K5" s="103"/>
      <c r="L5" s="103"/>
      <c r="M5" s="103"/>
      <c r="N5" s="103"/>
      <c r="O5" s="103"/>
      <c r="P5" s="104"/>
      <c r="Q5" s="104"/>
      <c r="R5" s="104"/>
      <c r="S5" s="103"/>
      <c r="T5" s="103"/>
      <c r="U5" s="103"/>
      <c r="V5" s="103"/>
      <c r="W5" s="103"/>
      <c r="X5" s="103"/>
      <c r="Y5" s="103"/>
      <c r="Z5" s="103"/>
      <c r="AA5" s="103"/>
      <c r="AB5" s="103"/>
      <c r="AC5" s="98" t="s">
        <v>236</v>
      </c>
      <c r="BA5" s="103"/>
      <c r="BB5" s="105" t="str">
        <f ca="1">判断表!C78</f>
        <v>中煤第五建设有限公司第三工程处拟处置实物资产项目\[0000-3基础法明细表.xlsx]在建-设备</v>
      </c>
      <c r="BC5" s="106">
        <f>IFERROR(SUMIF(BC8:BC27,"√",V8:V27)/V28,0)</f>
        <v>0</v>
      </c>
      <c r="BD5" s="107"/>
      <c r="BE5" s="107"/>
      <c r="BF5" s="108">
        <f>'在建-土建'!BF5</f>
        <v>0</v>
      </c>
      <c r="BG5" s="108">
        <f>'在建-土建'!BG5</f>
        <v>0</v>
      </c>
      <c r="BH5" s="109"/>
      <c r="BI5" s="109"/>
      <c r="BJ5" s="109"/>
      <c r="BK5" s="109"/>
      <c r="BL5" s="109"/>
      <c r="BM5" s="109"/>
      <c r="BN5" s="109"/>
      <c r="BO5" s="110"/>
      <c r="BP5" s="109"/>
      <c r="BQ5" s="110"/>
      <c r="BZ5" s="78"/>
    </row>
    <row r="6" s="72" customFormat="1" ht="15" customHeight="1" spans="1:84">
      <c r="A6" s="112" t="s">
        <v>305</v>
      </c>
      <c r="B6" s="113" t="s">
        <v>4348</v>
      </c>
      <c r="C6" s="113" t="s">
        <v>2175</v>
      </c>
      <c r="D6" s="113" t="s">
        <v>1637</v>
      </c>
      <c r="E6" s="118" t="s">
        <v>2176</v>
      </c>
      <c r="F6" s="118" t="s">
        <v>4350</v>
      </c>
      <c r="G6" s="118" t="s">
        <v>4381</v>
      </c>
      <c r="H6" s="118" t="s">
        <v>4353</v>
      </c>
      <c r="I6" s="511" t="s">
        <v>1964</v>
      </c>
      <c r="J6" s="575"/>
      <c r="K6" s="576"/>
      <c r="L6" s="113" t="s">
        <v>1549</v>
      </c>
      <c r="M6" s="113"/>
      <c r="N6" s="113"/>
      <c r="O6" s="113"/>
      <c r="P6" s="117" t="s">
        <v>1634</v>
      </c>
      <c r="Q6" s="117"/>
      <c r="R6" s="117"/>
      <c r="S6" s="118" t="s">
        <v>1523</v>
      </c>
      <c r="T6" s="118"/>
      <c r="U6" s="118"/>
      <c r="V6" s="118"/>
      <c r="W6" s="113" t="s">
        <v>1550</v>
      </c>
      <c r="X6" s="113"/>
      <c r="Y6" s="113"/>
      <c r="Z6" s="113"/>
      <c r="AA6" s="118" t="s">
        <v>1525</v>
      </c>
      <c r="AB6" s="118" t="s">
        <v>1551</v>
      </c>
      <c r="AC6" s="118" t="s">
        <v>308</v>
      </c>
      <c r="AD6" s="682" t="s">
        <v>4354</v>
      </c>
      <c r="BA6" s="191"/>
      <c r="BB6" s="100"/>
      <c r="BC6" s="100"/>
      <c r="BD6" s="100"/>
      <c r="BE6" s="100"/>
      <c r="BF6" s="192" t="s">
        <v>1639</v>
      </c>
      <c r="BG6" s="192" t="s">
        <v>1640</v>
      </c>
      <c r="BH6" s="193" t="s">
        <v>1748</v>
      </c>
      <c r="BI6" s="193" t="s">
        <v>4217</v>
      </c>
      <c r="BJ6" s="193" t="s">
        <v>3695</v>
      </c>
      <c r="BK6" s="193" t="s">
        <v>1712</v>
      </c>
      <c r="BL6" s="193" t="s">
        <v>3696</v>
      </c>
      <c r="BM6" s="193" t="s">
        <v>4355</v>
      </c>
      <c r="BN6" s="193" t="s">
        <v>1641</v>
      </c>
      <c r="BO6" s="193" t="s">
        <v>2209</v>
      </c>
      <c r="BP6" s="193" t="s">
        <v>3697</v>
      </c>
      <c r="BQ6" s="193" t="s">
        <v>1644</v>
      </c>
      <c r="BR6" s="154"/>
      <c r="BS6" s="530" t="str">
        <f>BB2</f>
        <v>2025年7月31日</v>
      </c>
      <c r="BT6" s="158"/>
      <c r="BU6" s="674"/>
      <c r="BV6" s="158"/>
      <c r="BW6" s="158"/>
      <c r="BX6" s="111"/>
      <c r="BY6" s="78"/>
      <c r="BZ6" s="78"/>
      <c r="CA6" s="78"/>
      <c r="CB6" s="78"/>
      <c r="CC6" s="78"/>
      <c r="CD6" s="78"/>
      <c r="CE6" s="194"/>
      <c r="CF6" s="111"/>
    </row>
    <row r="7" s="72" customFormat="1" ht="15" customHeight="1" spans="1:84">
      <c r="A7" s="195"/>
      <c r="B7" s="149"/>
      <c r="C7" s="149"/>
      <c r="D7" s="149"/>
      <c r="E7" s="149"/>
      <c r="F7" s="149"/>
      <c r="G7" s="113"/>
      <c r="H7" s="113"/>
      <c r="I7" s="328" t="s">
        <v>1631</v>
      </c>
      <c r="J7" s="328" t="s">
        <v>1632</v>
      </c>
      <c r="K7" s="683" t="s">
        <v>3793</v>
      </c>
      <c r="L7" s="149" t="s">
        <v>4382</v>
      </c>
      <c r="M7" s="149" t="s">
        <v>3716</v>
      </c>
      <c r="N7" s="149" t="s">
        <v>4383</v>
      </c>
      <c r="O7" s="113" t="s">
        <v>1988</v>
      </c>
      <c r="P7" s="196" t="s">
        <v>4384</v>
      </c>
      <c r="Q7" s="196" t="s">
        <v>4385</v>
      </c>
      <c r="R7" s="196" t="s">
        <v>4386</v>
      </c>
      <c r="S7" s="149" t="s">
        <v>4382</v>
      </c>
      <c r="T7" s="149" t="s">
        <v>3716</v>
      </c>
      <c r="U7" s="149" t="s">
        <v>4383</v>
      </c>
      <c r="V7" s="113" t="s">
        <v>1988</v>
      </c>
      <c r="W7" s="149" t="s">
        <v>4382</v>
      </c>
      <c r="X7" s="149" t="s">
        <v>3716</v>
      </c>
      <c r="Y7" s="149" t="s">
        <v>4383</v>
      </c>
      <c r="Z7" s="113" t="s">
        <v>1988</v>
      </c>
      <c r="AA7" s="113"/>
      <c r="AB7" s="113"/>
      <c r="AC7" s="113"/>
      <c r="AD7" s="682"/>
      <c r="BA7" s="100" t="s">
        <v>1545</v>
      </c>
      <c r="BB7" s="100" t="s">
        <v>1635</v>
      </c>
      <c r="BC7" s="100" t="s">
        <v>1636</v>
      </c>
      <c r="BD7" s="100" t="s">
        <v>1637</v>
      </c>
      <c r="BE7" s="100" t="s">
        <v>1638</v>
      </c>
      <c r="BF7" s="197"/>
      <c r="BG7" s="197"/>
      <c r="BH7" s="198"/>
      <c r="BI7" s="198"/>
      <c r="BJ7" s="198"/>
      <c r="BK7" s="198"/>
      <c r="BL7" s="198"/>
      <c r="BM7" s="198"/>
      <c r="BN7" s="198"/>
      <c r="BO7" s="198"/>
      <c r="BP7" s="198"/>
      <c r="BQ7" s="198"/>
      <c r="BR7" s="185" t="s">
        <v>4356</v>
      </c>
      <c r="BS7" s="185" t="s">
        <v>4357</v>
      </c>
      <c r="BT7" s="185" t="s">
        <v>4358</v>
      </c>
      <c r="BU7" s="185" t="s">
        <v>4359</v>
      </c>
      <c r="BV7" s="185" t="s">
        <v>3715</v>
      </c>
      <c r="BW7" s="185" t="s">
        <v>3716</v>
      </c>
      <c r="BX7" s="119"/>
      <c r="BY7" s="120" t="s">
        <v>1645</v>
      </c>
      <c r="BZ7" s="121" t="s">
        <v>1646</v>
      </c>
      <c r="CA7" s="121" t="s">
        <v>1647</v>
      </c>
      <c r="CB7" s="121" t="s">
        <v>1648</v>
      </c>
      <c r="CC7" s="121" t="s">
        <v>1647</v>
      </c>
      <c r="CD7" s="121" t="s">
        <v>1647</v>
      </c>
      <c r="CE7" s="121" t="s">
        <v>1649</v>
      </c>
      <c r="CF7" s="122" t="s">
        <v>1650</v>
      </c>
    </row>
    <row r="8" ht="15" customHeight="1" spans="1:84">
      <c r="A8" s="123" t="str">
        <f>IF(B8="","",COUNT(A$7:A7)+1)</f>
        <v/>
      </c>
      <c r="B8" s="124"/>
      <c r="C8" s="124"/>
      <c r="D8" s="124"/>
      <c r="E8" s="124"/>
      <c r="F8" s="125"/>
      <c r="G8" s="125"/>
      <c r="H8" s="281"/>
      <c r="I8" s="127"/>
      <c r="J8" s="127" t="str">
        <f>IFERROR(VLOOKUP(I8,参数表!$H$2:$I$50,2,FALSE),"")</f>
        <v/>
      </c>
      <c r="K8" s="128" t="str">
        <f>IFERROR(IF(OR(I8="人民币",I8=""),"",V8/J8),"")</f>
        <v/>
      </c>
      <c r="L8" s="129"/>
      <c r="M8" s="129"/>
      <c r="N8" s="129"/>
      <c r="O8" s="129" t="str">
        <f>IF(B8="","",SUM(L8:N8))</f>
        <v/>
      </c>
      <c r="P8" s="130"/>
      <c r="Q8" s="130"/>
      <c r="R8" s="130"/>
      <c r="S8" s="129" t="str">
        <f>IF(B8="","",L8+P8)</f>
        <v/>
      </c>
      <c r="T8" s="129" t="str">
        <f>IF(B8="","",M8+Q8)</f>
        <v/>
      </c>
      <c r="U8" s="129" t="str">
        <f>IF(B8="","",N8+R8)</f>
        <v/>
      </c>
      <c r="V8" s="129" t="str">
        <f>IF(B8="","",SUM(S8:U8))</f>
        <v/>
      </c>
      <c r="W8" s="129" t="str">
        <f t="shared" ref="W8:W27" si="0">IF(B8="","",IF($BB$3="是",S8,""))</f>
        <v/>
      </c>
      <c r="X8" s="129" t="str">
        <f t="shared" ref="X8:X27" si="1">IF(B8="","",IF($BB$3="是",BW8,""))</f>
        <v/>
      </c>
      <c r="Y8" s="129" t="str">
        <f t="shared" ref="Y8:Y27" si="2">IF(B8="","",IF($BB$3="是",U8,""))</f>
        <v/>
      </c>
      <c r="Z8" s="129" t="str">
        <f>IF(B8="","",SUM(W8:Y8))</f>
        <v/>
      </c>
      <c r="AA8" s="129" t="str">
        <f>IFERROR(Z8-V8,"")</f>
        <v/>
      </c>
      <c r="AB8" s="129" t="str">
        <f>IFERROR(AA8/V8*100,"")</f>
        <v/>
      </c>
      <c r="AC8" s="131"/>
      <c r="BA8" s="78"/>
      <c r="BB8" s="132" t="s">
        <v>4387</v>
      </c>
      <c r="BC8" s="133"/>
      <c r="BD8" s="132" t="str">
        <f>IF(OR(B8="",BC8=""),"",COUNTIF(BC$8:BC8,"√"))</f>
        <v/>
      </c>
      <c r="BE8" s="134" t="str">
        <f t="shared" ref="BE8:BE27" si="3">IF(BC8="","",BB8&amp;"︱"&amp;B8&amp;"︱"&amp;TEXT(O8,"#,##0.00"))</f>
        <v/>
      </c>
      <c r="BF8" s="135" t="str">
        <f>IF($B8="","",IF(BF$5=0,"OK","出错"))</f>
        <v/>
      </c>
      <c r="BG8" s="135" t="str">
        <f>IF($B8="","",IF(BG$5=0,"OK","出错"))</f>
        <v/>
      </c>
      <c r="BH8" s="136"/>
      <c r="BI8" s="137"/>
      <c r="BJ8" s="136"/>
      <c r="BK8" s="136"/>
      <c r="BL8" s="136"/>
      <c r="BM8" s="136"/>
      <c r="BN8" s="136"/>
      <c r="BO8" s="137"/>
      <c r="BP8" s="136"/>
      <c r="BQ8" s="137"/>
      <c r="BR8" s="677">
        <f t="shared" ref="BR8:BR27" si="4">IFERROR(S8+U8,0)</f>
        <v>0</v>
      </c>
      <c r="BS8" s="522">
        <f t="shared" ref="BS8:BS27" si="5">(BS$6-F8)/365.25</f>
        <v>125.582477754962</v>
      </c>
      <c r="BT8" s="676"/>
      <c r="BU8" s="522">
        <f>MIN(BS8:BT8)</f>
        <v>125.582477754962</v>
      </c>
      <c r="BV8" s="524">
        <f>LOOKUP(BU8,参数表!A$14:B$19)</f>
        <v>0</v>
      </c>
      <c r="BW8" s="522">
        <f>BR8*BU8*BV8/2</f>
        <v>0</v>
      </c>
      <c r="BY8" s="134" t="str">
        <f>IF(COUNTIF(BY$7:BY7,B8)&gt;0,"",B8)&amp;""</f>
        <v/>
      </c>
      <c r="BZ8" s="138">
        <f>SUMIF(B$8:B$27,BY8,V$8:V$27)</f>
        <v>0</v>
      </c>
      <c r="CA8" s="132">
        <f t="shared" ref="CA8" si="6">RANK(BZ8,BZ$8:BZ$27)</f>
        <v>1</v>
      </c>
      <c r="CB8" s="138">
        <f>SUMIF(B$8:B$27,BY8,Z$8:Z$27)</f>
        <v>0</v>
      </c>
      <c r="CC8" s="132">
        <f>RANK(CB8,CB$8:CB$27)</f>
        <v>1</v>
      </c>
      <c r="CD8" s="138">
        <f>SUM(BZ8:BZ27)</f>
        <v>0</v>
      </c>
      <c r="CE8" s="138"/>
      <c r="CF8" s="138"/>
    </row>
    <row r="9" ht="15" customHeight="1" spans="1:84">
      <c r="A9" s="123" t="str">
        <f>IF(B9="","",COUNT(A$7:A8)+1)</f>
        <v/>
      </c>
      <c r="B9" s="139"/>
      <c r="C9" s="139"/>
      <c r="D9" s="139"/>
      <c r="E9" s="139"/>
      <c r="F9" s="140"/>
      <c r="G9" s="140"/>
      <c r="H9" s="679"/>
      <c r="I9" s="142"/>
      <c r="J9" s="127" t="str">
        <f>IFERROR(VLOOKUP(I9,参数表!$H$2:$I$50,2,FALSE),"")</f>
        <v/>
      </c>
      <c r="K9" s="128" t="str">
        <f t="shared" ref="K9:K27" si="7">IFERROR(IF(OR(I9="人民币",I9=""),"",V9/J9),"")</f>
        <v/>
      </c>
      <c r="L9" s="143"/>
      <c r="M9" s="143"/>
      <c r="N9" s="143"/>
      <c r="O9" s="129" t="str">
        <f t="shared" ref="O9:O27" si="8">IF(B9="","",SUM(L9:N9))</f>
        <v/>
      </c>
      <c r="P9" s="144"/>
      <c r="Q9" s="144"/>
      <c r="R9" s="144"/>
      <c r="S9" s="129" t="str">
        <f t="shared" ref="S9:S27" si="9">IF(B9="","",L9+P9)</f>
        <v/>
      </c>
      <c r="T9" s="129" t="str">
        <f t="shared" ref="T9:T27" si="10">IF(B9="","",M9+Q9)</f>
        <v/>
      </c>
      <c r="U9" s="129" t="str">
        <f t="shared" ref="U9:U27" si="11">IF(B9="","",N9+R9)</f>
        <v/>
      </c>
      <c r="V9" s="129" t="str">
        <f t="shared" ref="V9:V27" si="12">IF(B9="","",SUM(S9:U9))</f>
        <v/>
      </c>
      <c r="W9" s="129" t="str">
        <f t="shared" si="0"/>
        <v/>
      </c>
      <c r="X9" s="129" t="str">
        <f t="shared" si="1"/>
        <v/>
      </c>
      <c r="Y9" s="129" t="str">
        <f t="shared" si="2"/>
        <v/>
      </c>
      <c r="Z9" s="129" t="str">
        <f t="shared" ref="Z9:Z27" si="13">IF(B9="","",SUM(W9:Y9))</f>
        <v/>
      </c>
      <c r="AA9" s="129" t="str">
        <f t="shared" ref="AA9:AA30" si="14">IFERROR(Z9-V9,"")</f>
        <v/>
      </c>
      <c r="AB9" s="129" t="str">
        <f t="shared" ref="AB9:AB30" si="15">IFERROR(AA9/V9*100,"")</f>
        <v/>
      </c>
      <c r="AC9" s="145"/>
      <c r="BA9" s="78"/>
      <c r="BB9" s="132" t="s">
        <v>4388</v>
      </c>
      <c r="BC9" s="133"/>
      <c r="BD9" s="132" t="str">
        <f>IF(OR(B9="",BC9=""),"",COUNTIF(BC$8:BC9,"√"))</f>
        <v/>
      </c>
      <c r="BE9" s="134" t="str">
        <f t="shared" si="3"/>
        <v/>
      </c>
      <c r="BF9" s="135" t="str">
        <f t="shared" ref="BF9:BG27" si="16">IF($B9="","",IF(BF$5=0,"OK","出错"))</f>
        <v/>
      </c>
      <c r="BG9" s="135" t="str">
        <f t="shared" si="16"/>
        <v/>
      </c>
      <c r="BH9" s="136"/>
      <c r="BI9" s="137"/>
      <c r="BJ9" s="136"/>
      <c r="BK9" s="136"/>
      <c r="BL9" s="136"/>
      <c r="BM9" s="136"/>
      <c r="BN9" s="136"/>
      <c r="BO9" s="137"/>
      <c r="BP9" s="136"/>
      <c r="BQ9" s="137"/>
      <c r="BR9" s="677">
        <f t="shared" si="4"/>
        <v>0</v>
      </c>
      <c r="BS9" s="522">
        <f t="shared" si="5"/>
        <v>125.582477754962</v>
      </c>
      <c r="BT9" s="676"/>
      <c r="BU9" s="522">
        <f t="shared" ref="BU9:BU27" si="17">MIN(BS9:BT9)</f>
        <v>125.582477754962</v>
      </c>
      <c r="BV9" s="524">
        <f>LOOKUP(BU9,参数表!A$14:B$19)</f>
        <v>0</v>
      </c>
      <c r="BW9" s="522">
        <f t="shared" ref="BW9:BW27" si="18">BR9*BU9*BV9/2</f>
        <v>0</v>
      </c>
      <c r="BY9" s="134" t="str">
        <f>IF(COUNTIF(BY$7:BY8,B9)&gt;0,"",B9)&amp;""</f>
        <v/>
      </c>
      <c r="BZ9" s="138">
        <f t="shared" ref="BZ9:BZ27" si="19">SUMIF(B$8:B$27,BY9,V$8:V$27)</f>
        <v>0</v>
      </c>
      <c r="CA9" s="132">
        <f t="shared" ref="CA9:CA27" si="20">RANK(BZ9,BZ$8:BZ$27)</f>
        <v>1</v>
      </c>
      <c r="CB9" s="138">
        <f t="shared" ref="CB9:CB27" si="21">SUMIF(B$8:B$27,BY9,Z$8:Z$27)</f>
        <v>0</v>
      </c>
      <c r="CC9" s="132">
        <f t="shared" ref="CC9:CC27" si="22">RANK(CB9,CB$8:CB$27)</f>
        <v>1</v>
      </c>
      <c r="CD9" s="138">
        <f>SUM(CB8:CB27)</f>
        <v>0</v>
      </c>
      <c r="CE9" s="138"/>
      <c r="CF9" s="138"/>
    </row>
    <row r="10" ht="15" customHeight="1" spans="1:84">
      <c r="A10" s="123" t="str">
        <f>IF(B10="","",COUNT(A$7:A9)+1)</f>
        <v/>
      </c>
      <c r="B10" s="139"/>
      <c r="C10" s="139"/>
      <c r="D10" s="139"/>
      <c r="E10" s="139"/>
      <c r="F10" s="140"/>
      <c r="G10" s="140"/>
      <c r="H10" s="679"/>
      <c r="I10" s="142"/>
      <c r="J10" s="127" t="str">
        <f>IFERROR(VLOOKUP(I10,参数表!$H$2:$I$50,2,FALSE),"")</f>
        <v/>
      </c>
      <c r="K10" s="128" t="str">
        <f t="shared" si="7"/>
        <v/>
      </c>
      <c r="L10" s="143"/>
      <c r="M10" s="143"/>
      <c r="N10" s="143"/>
      <c r="O10" s="129" t="str">
        <f t="shared" si="8"/>
        <v/>
      </c>
      <c r="P10" s="144"/>
      <c r="Q10" s="144"/>
      <c r="R10" s="144"/>
      <c r="S10" s="129" t="str">
        <f t="shared" si="9"/>
        <v/>
      </c>
      <c r="T10" s="129" t="str">
        <f t="shared" si="10"/>
        <v/>
      </c>
      <c r="U10" s="129" t="str">
        <f t="shared" si="11"/>
        <v/>
      </c>
      <c r="V10" s="129" t="str">
        <f t="shared" si="12"/>
        <v/>
      </c>
      <c r="W10" s="129" t="str">
        <f t="shared" si="0"/>
        <v/>
      </c>
      <c r="X10" s="129" t="str">
        <f t="shared" si="1"/>
        <v/>
      </c>
      <c r="Y10" s="129" t="str">
        <f t="shared" si="2"/>
        <v/>
      </c>
      <c r="Z10" s="129" t="str">
        <f t="shared" si="13"/>
        <v/>
      </c>
      <c r="AA10" s="129" t="str">
        <f t="shared" si="14"/>
        <v/>
      </c>
      <c r="AB10" s="129" t="str">
        <f t="shared" si="15"/>
        <v/>
      </c>
      <c r="AC10" s="145"/>
      <c r="BA10" s="78"/>
      <c r="BB10" s="132" t="s">
        <v>4389</v>
      </c>
      <c r="BC10" s="133"/>
      <c r="BD10" s="132" t="str">
        <f>IF(OR(B10="",BC10=""),"",COUNTIF(BC$8:BC10,"√"))</f>
        <v/>
      </c>
      <c r="BE10" s="134" t="str">
        <f t="shared" si="3"/>
        <v/>
      </c>
      <c r="BF10" s="135" t="str">
        <f t="shared" si="16"/>
        <v/>
      </c>
      <c r="BG10" s="135" t="str">
        <f t="shared" si="16"/>
        <v/>
      </c>
      <c r="BH10" s="136"/>
      <c r="BI10" s="137"/>
      <c r="BJ10" s="136"/>
      <c r="BK10" s="136"/>
      <c r="BL10" s="136"/>
      <c r="BM10" s="136"/>
      <c r="BN10" s="136"/>
      <c r="BO10" s="137"/>
      <c r="BP10" s="136"/>
      <c r="BQ10" s="137"/>
      <c r="BR10" s="677">
        <f t="shared" si="4"/>
        <v>0</v>
      </c>
      <c r="BS10" s="522">
        <f t="shared" si="5"/>
        <v>125.582477754962</v>
      </c>
      <c r="BT10" s="676"/>
      <c r="BU10" s="522">
        <f t="shared" si="17"/>
        <v>125.582477754962</v>
      </c>
      <c r="BV10" s="524">
        <f>LOOKUP(BU10,参数表!A$14:B$19)</f>
        <v>0</v>
      </c>
      <c r="BW10" s="522">
        <f t="shared" si="18"/>
        <v>0</v>
      </c>
      <c r="BY10" s="134" t="str">
        <f>IF(COUNTIF(BY$7:BY9,B10)&gt;0,"",B10)&amp;""</f>
        <v/>
      </c>
      <c r="BZ10" s="138">
        <f t="shared" si="19"/>
        <v>0</v>
      </c>
      <c r="CA10" s="132">
        <f t="shared" si="20"/>
        <v>1</v>
      </c>
      <c r="CB10" s="138">
        <f t="shared" si="21"/>
        <v>0</v>
      </c>
      <c r="CC10" s="132">
        <f t="shared" si="22"/>
        <v>1</v>
      </c>
      <c r="CD10" s="132">
        <v>1</v>
      </c>
      <c r="CE10" s="134" t="str">
        <f>IFERROR(INDEX(BY$8:BY$27,MATCH(CD10,IF(CD$8=0,CC$8:CC$27,CA$8:CA$27),0))&amp;"","")</f>
        <v/>
      </c>
      <c r="CF10" s="146" t="str">
        <f>IF(CE11="","",IF(CE12="","和","、"))</f>
        <v/>
      </c>
    </row>
    <row r="11" ht="15" customHeight="1" spans="1:84">
      <c r="A11" s="123" t="str">
        <f>IF(B11="","",COUNT(A$7:A10)+1)</f>
        <v/>
      </c>
      <c r="B11" s="139"/>
      <c r="C11" s="139"/>
      <c r="D11" s="139"/>
      <c r="E11" s="139"/>
      <c r="F11" s="140"/>
      <c r="G11" s="140"/>
      <c r="H11" s="679"/>
      <c r="I11" s="142"/>
      <c r="J11" s="127" t="str">
        <f>IFERROR(VLOOKUP(I11,参数表!$H$2:$I$50,2,FALSE),"")</f>
        <v/>
      </c>
      <c r="K11" s="128" t="str">
        <f t="shared" si="7"/>
        <v/>
      </c>
      <c r="L11" s="143"/>
      <c r="M11" s="143"/>
      <c r="N11" s="143"/>
      <c r="O11" s="129" t="str">
        <f t="shared" si="8"/>
        <v/>
      </c>
      <c r="P11" s="144"/>
      <c r="Q11" s="144"/>
      <c r="R11" s="144"/>
      <c r="S11" s="129" t="str">
        <f t="shared" si="9"/>
        <v/>
      </c>
      <c r="T11" s="129" t="str">
        <f t="shared" si="10"/>
        <v/>
      </c>
      <c r="U11" s="129" t="str">
        <f t="shared" si="11"/>
        <v/>
      </c>
      <c r="V11" s="129" t="str">
        <f t="shared" si="12"/>
        <v/>
      </c>
      <c r="W11" s="129" t="str">
        <f t="shared" si="0"/>
        <v/>
      </c>
      <c r="X11" s="129" t="str">
        <f t="shared" si="1"/>
        <v/>
      </c>
      <c r="Y11" s="129" t="str">
        <f t="shared" si="2"/>
        <v/>
      </c>
      <c r="Z11" s="129" t="str">
        <f t="shared" si="13"/>
        <v/>
      </c>
      <c r="AA11" s="129" t="str">
        <f t="shared" si="14"/>
        <v/>
      </c>
      <c r="AB11" s="129" t="str">
        <f t="shared" si="15"/>
        <v/>
      </c>
      <c r="AC11" s="145"/>
      <c r="BA11" s="78"/>
      <c r="BB11" s="132" t="s">
        <v>4390</v>
      </c>
      <c r="BC11" s="133"/>
      <c r="BD11" s="132" t="str">
        <f>IF(OR(B11="",BC11=""),"",COUNTIF(BC$8:BC11,"√"))</f>
        <v/>
      </c>
      <c r="BE11" s="134" t="str">
        <f t="shared" si="3"/>
        <v/>
      </c>
      <c r="BF11" s="135" t="str">
        <f t="shared" si="16"/>
        <v/>
      </c>
      <c r="BG11" s="135" t="str">
        <f t="shared" si="16"/>
        <v/>
      </c>
      <c r="BH11" s="136"/>
      <c r="BI11" s="137"/>
      <c r="BJ11" s="136"/>
      <c r="BK11" s="136"/>
      <c r="BL11" s="136"/>
      <c r="BM11" s="136"/>
      <c r="BN11" s="136"/>
      <c r="BO11" s="137"/>
      <c r="BP11" s="136"/>
      <c r="BQ11" s="137"/>
      <c r="BR11" s="677">
        <f t="shared" si="4"/>
        <v>0</v>
      </c>
      <c r="BS11" s="522">
        <f t="shared" si="5"/>
        <v>125.582477754962</v>
      </c>
      <c r="BT11" s="676"/>
      <c r="BU11" s="522">
        <f t="shared" si="17"/>
        <v>125.582477754962</v>
      </c>
      <c r="BV11" s="524">
        <f>LOOKUP(BU11,参数表!A$14:B$19)</f>
        <v>0</v>
      </c>
      <c r="BW11" s="522">
        <f t="shared" si="18"/>
        <v>0</v>
      </c>
      <c r="BY11" s="134" t="str">
        <f>IF(COUNTIF(BY$7:BY10,B11)&gt;0,"",B11)&amp;""</f>
        <v/>
      </c>
      <c r="BZ11" s="138">
        <f t="shared" si="19"/>
        <v>0</v>
      </c>
      <c r="CA11" s="132">
        <f t="shared" si="20"/>
        <v>1</v>
      </c>
      <c r="CB11" s="138">
        <f t="shared" si="21"/>
        <v>0</v>
      </c>
      <c r="CC11" s="132">
        <f t="shared" si="22"/>
        <v>1</v>
      </c>
      <c r="CD11" s="132">
        <v>2</v>
      </c>
      <c r="CE11" s="134" t="str">
        <f t="shared" ref="CE11:CE14" si="23">IFERROR(INDEX(BY$8:BY$27,MATCH(CD11,IF(CD$8=0,CC$8:CC$27,CA$8:CA$27),0))&amp;"","")</f>
        <v/>
      </c>
      <c r="CF11" s="146" t="str">
        <f t="shared" ref="CF11:CF12" si="24">IF(CE12="","",IF(CE13="","和","、"))</f>
        <v/>
      </c>
    </row>
    <row r="12" ht="15" customHeight="1" spans="1:84">
      <c r="A12" s="123" t="str">
        <f>IF(B12="","",COUNT(A$7:A11)+1)</f>
        <v/>
      </c>
      <c r="B12" s="139"/>
      <c r="C12" s="139"/>
      <c r="D12" s="139"/>
      <c r="E12" s="139"/>
      <c r="F12" s="140"/>
      <c r="G12" s="140"/>
      <c r="H12" s="679"/>
      <c r="I12" s="142"/>
      <c r="J12" s="127" t="str">
        <f>IFERROR(VLOOKUP(I12,参数表!$H$2:$I$50,2,FALSE),"")</f>
        <v/>
      </c>
      <c r="K12" s="128" t="str">
        <f t="shared" si="7"/>
        <v/>
      </c>
      <c r="L12" s="143"/>
      <c r="M12" s="143"/>
      <c r="N12" s="143"/>
      <c r="O12" s="129" t="str">
        <f t="shared" si="8"/>
        <v/>
      </c>
      <c r="P12" s="144"/>
      <c r="Q12" s="144"/>
      <c r="R12" s="144"/>
      <c r="S12" s="129" t="str">
        <f t="shared" si="9"/>
        <v/>
      </c>
      <c r="T12" s="129" t="str">
        <f t="shared" si="10"/>
        <v/>
      </c>
      <c r="U12" s="129" t="str">
        <f t="shared" si="11"/>
        <v/>
      </c>
      <c r="V12" s="129" t="str">
        <f t="shared" si="12"/>
        <v/>
      </c>
      <c r="W12" s="129" t="str">
        <f t="shared" si="0"/>
        <v/>
      </c>
      <c r="X12" s="129" t="str">
        <f t="shared" si="1"/>
        <v/>
      </c>
      <c r="Y12" s="129" t="str">
        <f t="shared" si="2"/>
        <v/>
      </c>
      <c r="Z12" s="129" t="str">
        <f t="shared" si="13"/>
        <v/>
      </c>
      <c r="AA12" s="129" t="str">
        <f t="shared" si="14"/>
        <v/>
      </c>
      <c r="AB12" s="129" t="str">
        <f t="shared" si="15"/>
        <v/>
      </c>
      <c r="AC12" s="145"/>
      <c r="BA12" s="78"/>
      <c r="BB12" s="132" t="s">
        <v>4391</v>
      </c>
      <c r="BC12" s="133"/>
      <c r="BD12" s="132" t="str">
        <f>IF(OR(B12="",BC12=""),"",COUNTIF(BC$8:BC12,"√"))</f>
        <v/>
      </c>
      <c r="BE12" s="134" t="str">
        <f t="shared" si="3"/>
        <v/>
      </c>
      <c r="BF12" s="135" t="str">
        <f t="shared" si="16"/>
        <v/>
      </c>
      <c r="BG12" s="135" t="str">
        <f t="shared" si="16"/>
        <v/>
      </c>
      <c r="BH12" s="136"/>
      <c r="BI12" s="137"/>
      <c r="BJ12" s="136"/>
      <c r="BK12" s="136"/>
      <c r="BL12" s="136"/>
      <c r="BM12" s="136"/>
      <c r="BN12" s="136"/>
      <c r="BO12" s="137"/>
      <c r="BP12" s="136"/>
      <c r="BQ12" s="137"/>
      <c r="BR12" s="677">
        <f t="shared" si="4"/>
        <v>0</v>
      </c>
      <c r="BS12" s="522">
        <f t="shared" si="5"/>
        <v>125.582477754962</v>
      </c>
      <c r="BT12" s="676"/>
      <c r="BU12" s="522">
        <f t="shared" si="17"/>
        <v>125.582477754962</v>
      </c>
      <c r="BV12" s="524">
        <f>LOOKUP(BU12,参数表!A$14:B$19)</f>
        <v>0</v>
      </c>
      <c r="BW12" s="522">
        <f t="shared" si="18"/>
        <v>0</v>
      </c>
      <c r="BY12" s="134" t="str">
        <f>IF(COUNTIF(BY$7:BY11,B12)&gt;0,"",B12)&amp;""</f>
        <v/>
      </c>
      <c r="BZ12" s="138">
        <f t="shared" si="19"/>
        <v>0</v>
      </c>
      <c r="CA12" s="132">
        <f t="shared" si="20"/>
        <v>1</v>
      </c>
      <c r="CB12" s="138">
        <f t="shared" si="21"/>
        <v>0</v>
      </c>
      <c r="CC12" s="132">
        <f t="shared" si="22"/>
        <v>1</v>
      </c>
      <c r="CD12" s="132">
        <v>3</v>
      </c>
      <c r="CE12" s="134" t="str">
        <f t="shared" si="23"/>
        <v/>
      </c>
      <c r="CF12" s="146" t="str">
        <f t="shared" si="24"/>
        <v/>
      </c>
    </row>
    <row r="13" ht="15" customHeight="1" spans="1:84">
      <c r="A13" s="123" t="str">
        <f>IF(B13="","",COUNT(A$7:A12)+1)</f>
        <v/>
      </c>
      <c r="B13" s="139"/>
      <c r="C13" s="139"/>
      <c r="D13" s="139"/>
      <c r="E13" s="139"/>
      <c r="F13" s="140"/>
      <c r="G13" s="140"/>
      <c r="H13" s="679"/>
      <c r="I13" s="142"/>
      <c r="J13" s="127" t="str">
        <f>IFERROR(VLOOKUP(I13,参数表!$H$2:$I$50,2,FALSE),"")</f>
        <v/>
      </c>
      <c r="K13" s="128" t="str">
        <f t="shared" si="7"/>
        <v/>
      </c>
      <c r="L13" s="143"/>
      <c r="M13" s="143"/>
      <c r="N13" s="143"/>
      <c r="O13" s="129" t="str">
        <f t="shared" si="8"/>
        <v/>
      </c>
      <c r="P13" s="144"/>
      <c r="Q13" s="144"/>
      <c r="R13" s="144"/>
      <c r="S13" s="129" t="str">
        <f t="shared" si="9"/>
        <v/>
      </c>
      <c r="T13" s="129" t="str">
        <f t="shared" si="10"/>
        <v/>
      </c>
      <c r="U13" s="129" t="str">
        <f t="shared" si="11"/>
        <v/>
      </c>
      <c r="V13" s="129" t="str">
        <f t="shared" si="12"/>
        <v/>
      </c>
      <c r="W13" s="129" t="str">
        <f t="shared" si="0"/>
        <v/>
      </c>
      <c r="X13" s="129" t="str">
        <f t="shared" si="1"/>
        <v/>
      </c>
      <c r="Y13" s="129" t="str">
        <f t="shared" si="2"/>
        <v/>
      </c>
      <c r="Z13" s="129" t="str">
        <f t="shared" si="13"/>
        <v/>
      </c>
      <c r="AA13" s="129" t="str">
        <f t="shared" si="14"/>
        <v/>
      </c>
      <c r="AB13" s="129" t="str">
        <f t="shared" si="15"/>
        <v/>
      </c>
      <c r="AC13" s="145"/>
      <c r="BA13" s="78"/>
      <c r="BB13" s="132" t="s">
        <v>4392</v>
      </c>
      <c r="BC13" s="133"/>
      <c r="BD13" s="132" t="str">
        <f>IF(OR(B13="",BC13=""),"",COUNTIF(BC$8:BC13,"√"))</f>
        <v/>
      </c>
      <c r="BE13" s="134" t="str">
        <f t="shared" si="3"/>
        <v/>
      </c>
      <c r="BF13" s="135" t="str">
        <f t="shared" si="16"/>
        <v/>
      </c>
      <c r="BG13" s="135" t="str">
        <f t="shared" si="16"/>
        <v/>
      </c>
      <c r="BH13" s="136"/>
      <c r="BI13" s="137"/>
      <c r="BJ13" s="136"/>
      <c r="BK13" s="136"/>
      <c r="BL13" s="136"/>
      <c r="BM13" s="136"/>
      <c r="BN13" s="136"/>
      <c r="BO13" s="137"/>
      <c r="BP13" s="136"/>
      <c r="BQ13" s="137"/>
      <c r="BR13" s="677">
        <f t="shared" si="4"/>
        <v>0</v>
      </c>
      <c r="BS13" s="522">
        <f t="shared" si="5"/>
        <v>125.582477754962</v>
      </c>
      <c r="BT13" s="676"/>
      <c r="BU13" s="522">
        <f t="shared" si="17"/>
        <v>125.582477754962</v>
      </c>
      <c r="BV13" s="524">
        <f>LOOKUP(BU13,参数表!A$14:B$19)</f>
        <v>0</v>
      </c>
      <c r="BW13" s="522">
        <f t="shared" si="18"/>
        <v>0</v>
      </c>
      <c r="BY13" s="134" t="str">
        <f>IF(COUNTIF(BY$7:BY12,B13)&gt;0,"",B13)&amp;""</f>
        <v/>
      </c>
      <c r="BZ13" s="138">
        <f t="shared" si="19"/>
        <v>0</v>
      </c>
      <c r="CA13" s="132">
        <f t="shared" si="20"/>
        <v>1</v>
      </c>
      <c r="CB13" s="138">
        <f t="shared" si="21"/>
        <v>0</v>
      </c>
      <c r="CC13" s="132">
        <f t="shared" si="22"/>
        <v>1</v>
      </c>
      <c r="CD13" s="132">
        <v>4</v>
      </c>
      <c r="CE13" s="134" t="str">
        <f t="shared" si="23"/>
        <v/>
      </c>
      <c r="CF13" s="146" t="str">
        <f>IF(CE14="","","和")</f>
        <v/>
      </c>
    </row>
    <row r="14" ht="15" customHeight="1" spans="1:84">
      <c r="A14" s="123" t="str">
        <f>IF(B14="","",COUNT(A$7:A13)+1)</f>
        <v/>
      </c>
      <c r="B14" s="139"/>
      <c r="C14" s="139"/>
      <c r="D14" s="139"/>
      <c r="E14" s="139"/>
      <c r="F14" s="140"/>
      <c r="G14" s="140"/>
      <c r="H14" s="679"/>
      <c r="I14" s="142"/>
      <c r="J14" s="127" t="str">
        <f>IFERROR(VLOOKUP(I14,参数表!$H$2:$I$50,2,FALSE),"")</f>
        <v/>
      </c>
      <c r="K14" s="128" t="str">
        <f t="shared" si="7"/>
        <v/>
      </c>
      <c r="L14" s="143"/>
      <c r="M14" s="143"/>
      <c r="N14" s="143"/>
      <c r="O14" s="129" t="str">
        <f t="shared" si="8"/>
        <v/>
      </c>
      <c r="P14" s="144"/>
      <c r="Q14" s="144"/>
      <c r="R14" s="144"/>
      <c r="S14" s="129" t="str">
        <f t="shared" si="9"/>
        <v/>
      </c>
      <c r="T14" s="129" t="str">
        <f t="shared" si="10"/>
        <v/>
      </c>
      <c r="U14" s="129" t="str">
        <f t="shared" si="11"/>
        <v/>
      </c>
      <c r="V14" s="129" t="str">
        <f t="shared" si="12"/>
        <v/>
      </c>
      <c r="W14" s="129" t="str">
        <f t="shared" si="0"/>
        <v/>
      </c>
      <c r="X14" s="129" t="str">
        <f t="shared" si="1"/>
        <v/>
      </c>
      <c r="Y14" s="129" t="str">
        <f t="shared" si="2"/>
        <v/>
      </c>
      <c r="Z14" s="129" t="str">
        <f t="shared" si="13"/>
        <v/>
      </c>
      <c r="AA14" s="129" t="str">
        <f t="shared" si="14"/>
        <v/>
      </c>
      <c r="AB14" s="129" t="str">
        <f t="shared" si="15"/>
        <v/>
      </c>
      <c r="AC14" s="145"/>
      <c r="BA14" s="78"/>
      <c r="BB14" s="132" t="s">
        <v>4393</v>
      </c>
      <c r="BC14" s="133"/>
      <c r="BD14" s="132" t="str">
        <f>IF(OR(B14="",BC14=""),"",COUNTIF(BC$8:BC14,"√"))</f>
        <v/>
      </c>
      <c r="BE14" s="134" t="str">
        <f t="shared" si="3"/>
        <v/>
      </c>
      <c r="BF14" s="135" t="str">
        <f t="shared" si="16"/>
        <v/>
      </c>
      <c r="BG14" s="135" t="str">
        <f t="shared" si="16"/>
        <v/>
      </c>
      <c r="BH14" s="136"/>
      <c r="BI14" s="137"/>
      <c r="BJ14" s="136"/>
      <c r="BK14" s="136"/>
      <c r="BL14" s="136"/>
      <c r="BM14" s="136"/>
      <c r="BN14" s="136"/>
      <c r="BO14" s="137"/>
      <c r="BP14" s="136"/>
      <c r="BQ14" s="137"/>
      <c r="BR14" s="677">
        <f t="shared" si="4"/>
        <v>0</v>
      </c>
      <c r="BS14" s="522">
        <f t="shared" si="5"/>
        <v>125.582477754962</v>
      </c>
      <c r="BT14" s="676"/>
      <c r="BU14" s="522">
        <f t="shared" si="17"/>
        <v>125.582477754962</v>
      </c>
      <c r="BV14" s="524">
        <f>LOOKUP(BU14,参数表!A$14:B$19)</f>
        <v>0</v>
      </c>
      <c r="BW14" s="522">
        <f t="shared" si="18"/>
        <v>0</v>
      </c>
      <c r="BY14" s="134" t="str">
        <f>IF(COUNTIF(BY$7:BY13,B14)&gt;0,"",B14)&amp;""</f>
        <v/>
      </c>
      <c r="BZ14" s="138">
        <f t="shared" si="19"/>
        <v>0</v>
      </c>
      <c r="CA14" s="132">
        <f t="shared" si="20"/>
        <v>1</v>
      </c>
      <c r="CB14" s="138">
        <f t="shared" si="21"/>
        <v>0</v>
      </c>
      <c r="CC14" s="132">
        <f t="shared" si="22"/>
        <v>1</v>
      </c>
      <c r="CD14" s="132">
        <v>5</v>
      </c>
      <c r="CE14" s="134" t="str">
        <f t="shared" si="23"/>
        <v/>
      </c>
      <c r="CF14" s="146"/>
    </row>
    <row r="15" ht="15" customHeight="1" spans="1:84">
      <c r="A15" s="123" t="str">
        <f>IF(B15="","",COUNT(A$7:A14)+1)</f>
        <v/>
      </c>
      <c r="B15" s="139"/>
      <c r="C15" s="139"/>
      <c r="D15" s="139"/>
      <c r="E15" s="139"/>
      <c r="F15" s="140"/>
      <c r="G15" s="140"/>
      <c r="H15" s="679"/>
      <c r="I15" s="142"/>
      <c r="J15" s="127" t="str">
        <f>IFERROR(VLOOKUP(I15,参数表!$H$2:$I$50,2,FALSE),"")</f>
        <v/>
      </c>
      <c r="K15" s="128" t="str">
        <f t="shared" si="7"/>
        <v/>
      </c>
      <c r="L15" s="143"/>
      <c r="M15" s="143"/>
      <c r="N15" s="143"/>
      <c r="O15" s="129" t="str">
        <f t="shared" si="8"/>
        <v/>
      </c>
      <c r="P15" s="144"/>
      <c r="Q15" s="144"/>
      <c r="R15" s="144"/>
      <c r="S15" s="129" t="str">
        <f t="shared" si="9"/>
        <v/>
      </c>
      <c r="T15" s="129" t="str">
        <f t="shared" si="10"/>
        <v/>
      </c>
      <c r="U15" s="129" t="str">
        <f t="shared" si="11"/>
        <v/>
      </c>
      <c r="V15" s="129" t="str">
        <f t="shared" si="12"/>
        <v/>
      </c>
      <c r="W15" s="129" t="str">
        <f t="shared" si="0"/>
        <v/>
      </c>
      <c r="X15" s="129" t="str">
        <f t="shared" si="1"/>
        <v/>
      </c>
      <c r="Y15" s="129" t="str">
        <f t="shared" si="2"/>
        <v/>
      </c>
      <c r="Z15" s="129" t="str">
        <f t="shared" si="13"/>
        <v/>
      </c>
      <c r="AA15" s="129" t="str">
        <f t="shared" si="14"/>
        <v/>
      </c>
      <c r="AB15" s="129" t="str">
        <f t="shared" si="15"/>
        <v/>
      </c>
      <c r="AC15" s="145"/>
      <c r="BA15" s="78"/>
      <c r="BB15" s="132" t="s">
        <v>4394</v>
      </c>
      <c r="BC15" s="133"/>
      <c r="BD15" s="132" t="str">
        <f>IF(OR(B15="",BC15=""),"",COUNTIF(BC$8:BC15,"√"))</f>
        <v/>
      </c>
      <c r="BE15" s="134" t="str">
        <f t="shared" si="3"/>
        <v/>
      </c>
      <c r="BF15" s="135" t="str">
        <f t="shared" si="16"/>
        <v/>
      </c>
      <c r="BG15" s="135" t="str">
        <f t="shared" si="16"/>
        <v/>
      </c>
      <c r="BH15" s="136"/>
      <c r="BI15" s="137"/>
      <c r="BJ15" s="136"/>
      <c r="BK15" s="136"/>
      <c r="BL15" s="136"/>
      <c r="BM15" s="136"/>
      <c r="BN15" s="136"/>
      <c r="BO15" s="137"/>
      <c r="BP15" s="136"/>
      <c r="BQ15" s="137"/>
      <c r="BR15" s="677">
        <f t="shared" si="4"/>
        <v>0</v>
      </c>
      <c r="BS15" s="522">
        <f t="shared" si="5"/>
        <v>125.582477754962</v>
      </c>
      <c r="BT15" s="676"/>
      <c r="BU15" s="522">
        <f t="shared" si="17"/>
        <v>125.582477754962</v>
      </c>
      <c r="BV15" s="524">
        <f>LOOKUP(BU15,参数表!A$14:B$19)</f>
        <v>0</v>
      </c>
      <c r="BW15" s="522">
        <f t="shared" si="18"/>
        <v>0</v>
      </c>
      <c r="BY15" s="134" t="str">
        <f>IF(COUNTIF(BY$7:BY14,B15)&gt;0,"",B15)&amp;""</f>
        <v/>
      </c>
      <c r="BZ15" s="138">
        <f t="shared" si="19"/>
        <v>0</v>
      </c>
      <c r="CA15" s="132">
        <f t="shared" si="20"/>
        <v>1</v>
      </c>
      <c r="CB15" s="138">
        <f t="shared" si="21"/>
        <v>0</v>
      </c>
      <c r="CC15" s="132">
        <f t="shared" si="22"/>
        <v>1</v>
      </c>
      <c r="CD15" s="147" t="s">
        <v>1659</v>
      </c>
      <c r="CE15" s="132" t="str">
        <f>CONCATENATE(CE10,CF10,CE11,CF11,CE12,CF12,CE13,CF13,CE14)</f>
        <v/>
      </c>
      <c r="CF15" s="132"/>
    </row>
    <row r="16" ht="15" customHeight="1" spans="1:84">
      <c r="A16" s="123" t="str">
        <f>IF(B16="","",COUNT(A$7:A15)+1)</f>
        <v/>
      </c>
      <c r="B16" s="139"/>
      <c r="C16" s="139"/>
      <c r="D16" s="139"/>
      <c r="E16" s="139"/>
      <c r="F16" s="140"/>
      <c r="G16" s="140"/>
      <c r="H16" s="679"/>
      <c r="I16" s="142"/>
      <c r="J16" s="127" t="str">
        <f>IFERROR(VLOOKUP(I16,参数表!$H$2:$I$50,2,FALSE),"")</f>
        <v/>
      </c>
      <c r="K16" s="128" t="str">
        <f t="shared" si="7"/>
        <v/>
      </c>
      <c r="L16" s="143"/>
      <c r="M16" s="143"/>
      <c r="N16" s="143"/>
      <c r="O16" s="129" t="str">
        <f t="shared" si="8"/>
        <v/>
      </c>
      <c r="P16" s="144"/>
      <c r="Q16" s="144"/>
      <c r="R16" s="144"/>
      <c r="S16" s="129" t="str">
        <f t="shared" si="9"/>
        <v/>
      </c>
      <c r="T16" s="129" t="str">
        <f t="shared" si="10"/>
        <v/>
      </c>
      <c r="U16" s="129" t="str">
        <f t="shared" si="11"/>
        <v/>
      </c>
      <c r="V16" s="129" t="str">
        <f t="shared" si="12"/>
        <v/>
      </c>
      <c r="W16" s="129" t="str">
        <f t="shared" si="0"/>
        <v/>
      </c>
      <c r="X16" s="129" t="str">
        <f t="shared" si="1"/>
        <v/>
      </c>
      <c r="Y16" s="129" t="str">
        <f t="shared" si="2"/>
        <v/>
      </c>
      <c r="Z16" s="129" t="str">
        <f t="shared" si="13"/>
        <v/>
      </c>
      <c r="AA16" s="129" t="str">
        <f t="shared" si="14"/>
        <v/>
      </c>
      <c r="AB16" s="129" t="str">
        <f t="shared" si="15"/>
        <v/>
      </c>
      <c r="AC16" s="145"/>
      <c r="BA16" s="78"/>
      <c r="BB16" s="132" t="s">
        <v>4395</v>
      </c>
      <c r="BC16" s="133"/>
      <c r="BD16" s="132" t="str">
        <f>IF(OR(B16="",BC16=""),"",COUNTIF(BC$8:BC16,"√"))</f>
        <v/>
      </c>
      <c r="BE16" s="134" t="str">
        <f t="shared" si="3"/>
        <v/>
      </c>
      <c r="BF16" s="135" t="str">
        <f t="shared" si="16"/>
        <v/>
      </c>
      <c r="BG16" s="135" t="str">
        <f t="shared" si="16"/>
        <v/>
      </c>
      <c r="BH16" s="136"/>
      <c r="BI16" s="137"/>
      <c r="BJ16" s="136"/>
      <c r="BK16" s="136"/>
      <c r="BL16" s="136"/>
      <c r="BM16" s="136"/>
      <c r="BN16" s="136"/>
      <c r="BO16" s="137"/>
      <c r="BP16" s="136"/>
      <c r="BQ16" s="137"/>
      <c r="BR16" s="677">
        <f t="shared" si="4"/>
        <v>0</v>
      </c>
      <c r="BS16" s="522">
        <f t="shared" si="5"/>
        <v>125.582477754962</v>
      </c>
      <c r="BT16" s="676"/>
      <c r="BU16" s="522">
        <f t="shared" si="17"/>
        <v>125.582477754962</v>
      </c>
      <c r="BV16" s="524">
        <f>LOOKUP(BU16,参数表!A$14:B$19)</f>
        <v>0</v>
      </c>
      <c r="BW16" s="522">
        <f t="shared" si="18"/>
        <v>0</v>
      </c>
      <c r="BY16" s="134" t="str">
        <f>IF(COUNTIF(BY$7:BY15,B16)&gt;0,"",B16)&amp;""</f>
        <v/>
      </c>
      <c r="BZ16" s="138">
        <f t="shared" si="19"/>
        <v>0</v>
      </c>
      <c r="CA16" s="132">
        <f t="shared" si="20"/>
        <v>1</v>
      </c>
      <c r="CB16" s="138">
        <f t="shared" si="21"/>
        <v>0</v>
      </c>
      <c r="CC16" s="132">
        <f t="shared" si="22"/>
        <v>1</v>
      </c>
      <c r="CD16" s="133"/>
      <c r="CE16" s="133"/>
    </row>
    <row r="17" ht="15" customHeight="1" spans="1:84">
      <c r="A17" s="123" t="str">
        <f>IF(B17="","",COUNT(A$7:A16)+1)</f>
        <v/>
      </c>
      <c r="B17" s="139"/>
      <c r="C17" s="139"/>
      <c r="D17" s="139"/>
      <c r="E17" s="139"/>
      <c r="F17" s="140"/>
      <c r="G17" s="140"/>
      <c r="H17" s="679"/>
      <c r="I17" s="142"/>
      <c r="J17" s="127" t="str">
        <f>IFERROR(VLOOKUP(I17,参数表!$H$2:$I$50,2,FALSE),"")</f>
        <v/>
      </c>
      <c r="K17" s="128" t="str">
        <f t="shared" si="7"/>
        <v/>
      </c>
      <c r="L17" s="143"/>
      <c r="M17" s="143"/>
      <c r="N17" s="143"/>
      <c r="O17" s="129" t="str">
        <f t="shared" si="8"/>
        <v/>
      </c>
      <c r="P17" s="144"/>
      <c r="Q17" s="144"/>
      <c r="R17" s="144"/>
      <c r="S17" s="129" t="str">
        <f t="shared" si="9"/>
        <v/>
      </c>
      <c r="T17" s="129" t="str">
        <f t="shared" si="10"/>
        <v/>
      </c>
      <c r="U17" s="129" t="str">
        <f t="shared" si="11"/>
        <v/>
      </c>
      <c r="V17" s="129" t="str">
        <f t="shared" si="12"/>
        <v/>
      </c>
      <c r="W17" s="129" t="str">
        <f t="shared" si="0"/>
        <v/>
      </c>
      <c r="X17" s="129" t="str">
        <f t="shared" si="1"/>
        <v/>
      </c>
      <c r="Y17" s="129" t="str">
        <f t="shared" si="2"/>
        <v/>
      </c>
      <c r="Z17" s="129" t="str">
        <f t="shared" si="13"/>
        <v/>
      </c>
      <c r="AA17" s="129" t="str">
        <f t="shared" si="14"/>
        <v/>
      </c>
      <c r="AB17" s="129" t="str">
        <f t="shared" si="15"/>
        <v/>
      </c>
      <c r="AC17" s="145"/>
      <c r="BA17" s="78"/>
      <c r="BB17" s="132" t="s">
        <v>4396</v>
      </c>
      <c r="BC17" s="133"/>
      <c r="BD17" s="132" t="str">
        <f>IF(OR(B17="",BC17=""),"",COUNTIF(BC$8:BC17,"√"))</f>
        <v/>
      </c>
      <c r="BE17" s="134" t="str">
        <f t="shared" si="3"/>
        <v/>
      </c>
      <c r="BF17" s="135" t="str">
        <f t="shared" si="16"/>
        <v/>
      </c>
      <c r="BG17" s="135" t="str">
        <f t="shared" si="16"/>
        <v/>
      </c>
      <c r="BH17" s="136"/>
      <c r="BI17" s="137"/>
      <c r="BJ17" s="136"/>
      <c r="BK17" s="136"/>
      <c r="BL17" s="136"/>
      <c r="BM17" s="136"/>
      <c r="BN17" s="136"/>
      <c r="BO17" s="137"/>
      <c r="BP17" s="136"/>
      <c r="BQ17" s="137"/>
      <c r="BR17" s="677">
        <f t="shared" si="4"/>
        <v>0</v>
      </c>
      <c r="BS17" s="522">
        <f t="shared" si="5"/>
        <v>125.582477754962</v>
      </c>
      <c r="BT17" s="676"/>
      <c r="BU17" s="522">
        <f t="shared" si="17"/>
        <v>125.582477754962</v>
      </c>
      <c r="BV17" s="524">
        <f>LOOKUP(BU17,参数表!A$14:B$19)</f>
        <v>0</v>
      </c>
      <c r="BW17" s="522">
        <f t="shared" si="18"/>
        <v>0</v>
      </c>
      <c r="BY17" s="134" t="str">
        <f>IF(COUNTIF(BY$7:BY16,B17)&gt;0,"",B17)&amp;""</f>
        <v/>
      </c>
      <c r="BZ17" s="138">
        <f t="shared" si="19"/>
        <v>0</v>
      </c>
      <c r="CA17" s="132">
        <f t="shared" si="20"/>
        <v>1</v>
      </c>
      <c r="CB17" s="138">
        <f t="shared" si="21"/>
        <v>0</v>
      </c>
      <c r="CC17" s="132">
        <f t="shared" si="22"/>
        <v>1</v>
      </c>
      <c r="CD17" s="133"/>
      <c r="CE17" s="148"/>
    </row>
    <row r="18" ht="15" customHeight="1" spans="1:84">
      <c r="A18" s="123" t="str">
        <f>IF(B18="","",COUNT(A$7:A17)+1)</f>
        <v/>
      </c>
      <c r="B18" s="139"/>
      <c r="C18" s="139"/>
      <c r="D18" s="139"/>
      <c r="E18" s="139"/>
      <c r="F18" s="140"/>
      <c r="G18" s="140"/>
      <c r="H18" s="679"/>
      <c r="I18" s="142"/>
      <c r="J18" s="127" t="str">
        <f>IFERROR(VLOOKUP(I18,参数表!$H$2:$I$50,2,FALSE),"")</f>
        <v/>
      </c>
      <c r="K18" s="128" t="str">
        <f t="shared" si="7"/>
        <v/>
      </c>
      <c r="L18" s="143"/>
      <c r="M18" s="143"/>
      <c r="N18" s="143"/>
      <c r="O18" s="129" t="str">
        <f t="shared" si="8"/>
        <v/>
      </c>
      <c r="P18" s="144"/>
      <c r="Q18" s="144"/>
      <c r="R18" s="144"/>
      <c r="S18" s="129" t="str">
        <f t="shared" si="9"/>
        <v/>
      </c>
      <c r="T18" s="129" t="str">
        <f t="shared" si="10"/>
        <v/>
      </c>
      <c r="U18" s="129" t="str">
        <f t="shared" si="11"/>
        <v/>
      </c>
      <c r="V18" s="129" t="str">
        <f t="shared" si="12"/>
        <v/>
      </c>
      <c r="W18" s="129" t="str">
        <f t="shared" si="0"/>
        <v/>
      </c>
      <c r="X18" s="129" t="str">
        <f t="shared" si="1"/>
        <v/>
      </c>
      <c r="Y18" s="129" t="str">
        <f t="shared" si="2"/>
        <v/>
      </c>
      <c r="Z18" s="129" t="str">
        <f t="shared" si="13"/>
        <v/>
      </c>
      <c r="AA18" s="129" t="str">
        <f t="shared" si="14"/>
        <v/>
      </c>
      <c r="AB18" s="129" t="str">
        <f t="shared" si="15"/>
        <v/>
      </c>
      <c r="AC18" s="145"/>
      <c r="BA18" s="78"/>
      <c r="BB18" s="132" t="s">
        <v>4397</v>
      </c>
      <c r="BC18" s="133"/>
      <c r="BD18" s="132" t="str">
        <f>IF(OR(B18="",BC18=""),"",COUNTIF(BC$8:BC18,"√"))</f>
        <v/>
      </c>
      <c r="BE18" s="134" t="str">
        <f t="shared" si="3"/>
        <v/>
      </c>
      <c r="BF18" s="135" t="str">
        <f t="shared" si="16"/>
        <v/>
      </c>
      <c r="BG18" s="135" t="str">
        <f t="shared" si="16"/>
        <v/>
      </c>
      <c r="BH18" s="136"/>
      <c r="BI18" s="137"/>
      <c r="BJ18" s="136"/>
      <c r="BK18" s="136"/>
      <c r="BL18" s="136"/>
      <c r="BM18" s="136"/>
      <c r="BN18" s="136"/>
      <c r="BO18" s="137"/>
      <c r="BP18" s="136"/>
      <c r="BQ18" s="137"/>
      <c r="BR18" s="677">
        <f t="shared" si="4"/>
        <v>0</v>
      </c>
      <c r="BS18" s="522">
        <f t="shared" si="5"/>
        <v>125.582477754962</v>
      </c>
      <c r="BT18" s="676"/>
      <c r="BU18" s="522">
        <f t="shared" si="17"/>
        <v>125.582477754962</v>
      </c>
      <c r="BV18" s="524">
        <f>LOOKUP(BU18,参数表!A$14:B$19)</f>
        <v>0</v>
      </c>
      <c r="BW18" s="522">
        <f t="shared" si="18"/>
        <v>0</v>
      </c>
      <c r="BY18" s="134" t="str">
        <f>IF(COUNTIF(BY$7:BY17,B18)&gt;0,"",B18)&amp;""</f>
        <v/>
      </c>
      <c r="BZ18" s="138">
        <f t="shared" si="19"/>
        <v>0</v>
      </c>
      <c r="CA18" s="132">
        <f t="shared" si="20"/>
        <v>1</v>
      </c>
      <c r="CB18" s="138">
        <f t="shared" si="21"/>
        <v>0</v>
      </c>
      <c r="CC18" s="132">
        <f t="shared" si="22"/>
        <v>1</v>
      </c>
      <c r="CD18" s="133"/>
      <c r="CE18" s="133"/>
    </row>
    <row r="19" ht="15" customHeight="1" spans="1:84">
      <c r="A19" s="123" t="str">
        <f>IF(B19="","",COUNT(A$7:A18)+1)</f>
        <v/>
      </c>
      <c r="B19" s="139"/>
      <c r="C19" s="139"/>
      <c r="D19" s="139"/>
      <c r="E19" s="139"/>
      <c r="F19" s="140"/>
      <c r="G19" s="140"/>
      <c r="H19" s="679"/>
      <c r="I19" s="142"/>
      <c r="J19" s="127" t="str">
        <f>IFERROR(VLOOKUP(I19,参数表!$H$2:$I$50,2,FALSE),"")</f>
        <v/>
      </c>
      <c r="K19" s="128" t="str">
        <f t="shared" si="7"/>
        <v/>
      </c>
      <c r="L19" s="143"/>
      <c r="M19" s="143"/>
      <c r="N19" s="143"/>
      <c r="O19" s="129" t="str">
        <f t="shared" si="8"/>
        <v/>
      </c>
      <c r="P19" s="144"/>
      <c r="Q19" s="144"/>
      <c r="R19" s="144"/>
      <c r="S19" s="129" t="str">
        <f t="shared" si="9"/>
        <v/>
      </c>
      <c r="T19" s="129" t="str">
        <f t="shared" si="10"/>
        <v/>
      </c>
      <c r="U19" s="129" t="str">
        <f t="shared" si="11"/>
        <v/>
      </c>
      <c r="V19" s="129" t="str">
        <f t="shared" si="12"/>
        <v/>
      </c>
      <c r="W19" s="129" t="str">
        <f t="shared" si="0"/>
        <v/>
      </c>
      <c r="X19" s="129" t="str">
        <f t="shared" si="1"/>
        <v/>
      </c>
      <c r="Y19" s="129" t="str">
        <f t="shared" si="2"/>
        <v/>
      </c>
      <c r="Z19" s="129" t="str">
        <f t="shared" si="13"/>
        <v/>
      </c>
      <c r="AA19" s="129" t="str">
        <f t="shared" si="14"/>
        <v/>
      </c>
      <c r="AB19" s="129" t="str">
        <f t="shared" si="15"/>
        <v/>
      </c>
      <c r="AC19" s="145"/>
      <c r="BA19" s="78"/>
      <c r="BB19" s="132" t="s">
        <v>4398</v>
      </c>
      <c r="BC19" s="133"/>
      <c r="BD19" s="132" t="str">
        <f>IF(OR(B19="",BC19=""),"",COUNTIF(BC$8:BC19,"√"))</f>
        <v/>
      </c>
      <c r="BE19" s="134" t="str">
        <f t="shared" si="3"/>
        <v/>
      </c>
      <c r="BF19" s="135" t="str">
        <f t="shared" si="16"/>
        <v/>
      </c>
      <c r="BG19" s="135" t="str">
        <f t="shared" si="16"/>
        <v/>
      </c>
      <c r="BH19" s="136"/>
      <c r="BI19" s="137"/>
      <c r="BJ19" s="136"/>
      <c r="BK19" s="136"/>
      <c r="BL19" s="136"/>
      <c r="BM19" s="136"/>
      <c r="BN19" s="136"/>
      <c r="BO19" s="137"/>
      <c r="BP19" s="136"/>
      <c r="BQ19" s="137"/>
      <c r="BR19" s="677">
        <f t="shared" si="4"/>
        <v>0</v>
      </c>
      <c r="BS19" s="522">
        <f t="shared" si="5"/>
        <v>125.582477754962</v>
      </c>
      <c r="BT19" s="676"/>
      <c r="BU19" s="522">
        <f t="shared" si="17"/>
        <v>125.582477754962</v>
      </c>
      <c r="BV19" s="524">
        <f>LOOKUP(BU19,参数表!A$14:B$19)</f>
        <v>0</v>
      </c>
      <c r="BW19" s="522">
        <f t="shared" si="18"/>
        <v>0</v>
      </c>
      <c r="BY19" s="134" t="str">
        <f>IF(COUNTIF(BY$7:BY18,B19)&gt;0,"",B19)&amp;""</f>
        <v/>
      </c>
      <c r="BZ19" s="138">
        <f t="shared" si="19"/>
        <v>0</v>
      </c>
      <c r="CA19" s="132">
        <f t="shared" si="20"/>
        <v>1</v>
      </c>
      <c r="CB19" s="138">
        <f t="shared" si="21"/>
        <v>0</v>
      </c>
      <c r="CC19" s="132">
        <f t="shared" si="22"/>
        <v>1</v>
      </c>
      <c r="CD19" s="133"/>
      <c r="CE19" s="133"/>
    </row>
    <row r="20" ht="15" customHeight="1" spans="1:84">
      <c r="A20" s="123" t="str">
        <f>IF(B20="","",COUNT(A$7:A19)+1)</f>
        <v/>
      </c>
      <c r="B20" s="139"/>
      <c r="C20" s="139"/>
      <c r="D20" s="139"/>
      <c r="E20" s="139"/>
      <c r="F20" s="140"/>
      <c r="G20" s="140"/>
      <c r="H20" s="679"/>
      <c r="I20" s="142"/>
      <c r="J20" s="127" t="str">
        <f>IFERROR(VLOOKUP(I20,参数表!$H$2:$I$50,2,FALSE),"")</f>
        <v/>
      </c>
      <c r="K20" s="128" t="str">
        <f t="shared" si="7"/>
        <v/>
      </c>
      <c r="L20" s="143"/>
      <c r="M20" s="143"/>
      <c r="N20" s="143"/>
      <c r="O20" s="129" t="str">
        <f t="shared" si="8"/>
        <v/>
      </c>
      <c r="P20" s="144"/>
      <c r="Q20" s="144"/>
      <c r="R20" s="144"/>
      <c r="S20" s="129" t="str">
        <f t="shared" si="9"/>
        <v/>
      </c>
      <c r="T20" s="129" t="str">
        <f t="shared" si="10"/>
        <v/>
      </c>
      <c r="U20" s="129" t="str">
        <f t="shared" si="11"/>
        <v/>
      </c>
      <c r="V20" s="129" t="str">
        <f t="shared" si="12"/>
        <v/>
      </c>
      <c r="W20" s="129" t="str">
        <f t="shared" si="0"/>
        <v/>
      </c>
      <c r="X20" s="129" t="str">
        <f t="shared" si="1"/>
        <v/>
      </c>
      <c r="Y20" s="129" t="str">
        <f t="shared" si="2"/>
        <v/>
      </c>
      <c r="Z20" s="129" t="str">
        <f t="shared" si="13"/>
        <v/>
      </c>
      <c r="AA20" s="129" t="str">
        <f t="shared" si="14"/>
        <v/>
      </c>
      <c r="AB20" s="129" t="str">
        <f t="shared" si="15"/>
        <v/>
      </c>
      <c r="AC20" s="145"/>
      <c r="BA20" s="78"/>
      <c r="BB20" s="132" t="s">
        <v>4399</v>
      </c>
      <c r="BC20" s="133"/>
      <c r="BD20" s="132" t="str">
        <f>IF(OR(B20="",BC20=""),"",COUNTIF(BC$8:BC20,"√"))</f>
        <v/>
      </c>
      <c r="BE20" s="134" t="str">
        <f t="shared" si="3"/>
        <v/>
      </c>
      <c r="BF20" s="135" t="str">
        <f t="shared" si="16"/>
        <v/>
      </c>
      <c r="BG20" s="135" t="str">
        <f t="shared" si="16"/>
        <v/>
      </c>
      <c r="BH20" s="136"/>
      <c r="BI20" s="137"/>
      <c r="BJ20" s="136"/>
      <c r="BK20" s="136"/>
      <c r="BL20" s="136"/>
      <c r="BM20" s="136"/>
      <c r="BN20" s="136"/>
      <c r="BO20" s="137"/>
      <c r="BP20" s="136"/>
      <c r="BQ20" s="137"/>
      <c r="BR20" s="677">
        <f t="shared" si="4"/>
        <v>0</v>
      </c>
      <c r="BS20" s="522">
        <f t="shared" si="5"/>
        <v>125.582477754962</v>
      </c>
      <c r="BT20" s="676"/>
      <c r="BU20" s="522">
        <f t="shared" si="17"/>
        <v>125.582477754962</v>
      </c>
      <c r="BV20" s="524">
        <f>LOOKUP(BU20,参数表!A$14:B$19)</f>
        <v>0</v>
      </c>
      <c r="BW20" s="522">
        <f t="shared" si="18"/>
        <v>0</v>
      </c>
      <c r="BY20" s="134" t="str">
        <f>IF(COUNTIF(BY$7:BY19,B20)&gt;0,"",B20)&amp;""</f>
        <v/>
      </c>
      <c r="BZ20" s="138">
        <f t="shared" si="19"/>
        <v>0</v>
      </c>
      <c r="CA20" s="132">
        <f t="shared" si="20"/>
        <v>1</v>
      </c>
      <c r="CB20" s="138">
        <f t="shared" si="21"/>
        <v>0</v>
      </c>
      <c r="CC20" s="132">
        <f t="shared" si="22"/>
        <v>1</v>
      </c>
      <c r="CD20" s="133"/>
      <c r="CE20" s="133"/>
    </row>
    <row r="21" ht="15" customHeight="1" spans="1:84">
      <c r="A21" s="123" t="str">
        <f>IF(B21="","",COUNT(A$7:A20)+1)</f>
        <v/>
      </c>
      <c r="B21" s="139"/>
      <c r="C21" s="139"/>
      <c r="D21" s="139"/>
      <c r="E21" s="139"/>
      <c r="F21" s="140"/>
      <c r="G21" s="140"/>
      <c r="H21" s="679"/>
      <c r="I21" s="142"/>
      <c r="J21" s="127" t="str">
        <f>IFERROR(VLOOKUP(I21,参数表!$H$2:$I$50,2,FALSE),"")</f>
        <v/>
      </c>
      <c r="K21" s="128" t="str">
        <f t="shared" si="7"/>
        <v/>
      </c>
      <c r="L21" s="143"/>
      <c r="M21" s="143"/>
      <c r="N21" s="143"/>
      <c r="O21" s="129" t="str">
        <f t="shared" si="8"/>
        <v/>
      </c>
      <c r="P21" s="144"/>
      <c r="Q21" s="144"/>
      <c r="R21" s="144"/>
      <c r="S21" s="129" t="str">
        <f t="shared" si="9"/>
        <v/>
      </c>
      <c r="T21" s="129" t="str">
        <f t="shared" si="10"/>
        <v/>
      </c>
      <c r="U21" s="129" t="str">
        <f t="shared" si="11"/>
        <v/>
      </c>
      <c r="V21" s="129" t="str">
        <f t="shared" si="12"/>
        <v/>
      </c>
      <c r="W21" s="129" t="str">
        <f t="shared" si="0"/>
        <v/>
      </c>
      <c r="X21" s="129" t="str">
        <f t="shared" si="1"/>
        <v/>
      </c>
      <c r="Y21" s="129" t="str">
        <f t="shared" si="2"/>
        <v/>
      </c>
      <c r="Z21" s="129" t="str">
        <f t="shared" si="13"/>
        <v/>
      </c>
      <c r="AA21" s="129" t="str">
        <f t="shared" si="14"/>
        <v/>
      </c>
      <c r="AB21" s="129" t="str">
        <f t="shared" si="15"/>
        <v/>
      </c>
      <c r="AC21" s="145"/>
      <c r="BA21" s="78"/>
      <c r="BB21" s="132" t="s">
        <v>4400</v>
      </c>
      <c r="BC21" s="133"/>
      <c r="BD21" s="132" t="str">
        <f>IF(OR(B21="",BC21=""),"",COUNTIF(BC$8:BC21,"√"))</f>
        <v/>
      </c>
      <c r="BE21" s="134" t="str">
        <f t="shared" si="3"/>
        <v/>
      </c>
      <c r="BF21" s="135" t="str">
        <f t="shared" si="16"/>
        <v/>
      </c>
      <c r="BG21" s="135" t="str">
        <f t="shared" si="16"/>
        <v/>
      </c>
      <c r="BH21" s="136"/>
      <c r="BI21" s="137"/>
      <c r="BJ21" s="136"/>
      <c r="BK21" s="136"/>
      <c r="BL21" s="136"/>
      <c r="BM21" s="136"/>
      <c r="BN21" s="136"/>
      <c r="BO21" s="137"/>
      <c r="BP21" s="136"/>
      <c r="BQ21" s="137"/>
      <c r="BR21" s="677">
        <f t="shared" si="4"/>
        <v>0</v>
      </c>
      <c r="BS21" s="522">
        <f t="shared" si="5"/>
        <v>125.582477754962</v>
      </c>
      <c r="BT21" s="676"/>
      <c r="BU21" s="522">
        <f t="shared" si="17"/>
        <v>125.582477754962</v>
      </c>
      <c r="BV21" s="524">
        <f>LOOKUP(BU21,参数表!A$14:B$19)</f>
        <v>0</v>
      </c>
      <c r="BW21" s="522">
        <f t="shared" si="18"/>
        <v>0</v>
      </c>
      <c r="BY21" s="134" t="str">
        <f>IF(COUNTIF(BY$7:BY20,B21)&gt;0,"",B21)&amp;""</f>
        <v/>
      </c>
      <c r="BZ21" s="138">
        <f t="shared" si="19"/>
        <v>0</v>
      </c>
      <c r="CA21" s="132">
        <f t="shared" si="20"/>
        <v>1</v>
      </c>
      <c r="CB21" s="138">
        <f t="shared" si="21"/>
        <v>0</v>
      </c>
      <c r="CC21" s="132">
        <f t="shared" si="22"/>
        <v>1</v>
      </c>
      <c r="CD21" s="133"/>
      <c r="CE21" s="133"/>
    </row>
    <row r="22" ht="15" customHeight="1" spans="1:84">
      <c r="A22" s="123" t="str">
        <f>IF(B22="","",COUNT(A$7:A21)+1)</f>
        <v/>
      </c>
      <c r="B22" s="139"/>
      <c r="C22" s="139"/>
      <c r="D22" s="139"/>
      <c r="E22" s="139"/>
      <c r="F22" s="140"/>
      <c r="G22" s="140"/>
      <c r="H22" s="679"/>
      <c r="I22" s="142"/>
      <c r="J22" s="127" t="str">
        <f>IFERROR(VLOOKUP(I22,参数表!$H$2:$I$50,2,FALSE),"")</f>
        <v/>
      </c>
      <c r="K22" s="128" t="str">
        <f t="shared" si="7"/>
        <v/>
      </c>
      <c r="L22" s="143"/>
      <c r="M22" s="143"/>
      <c r="N22" s="143"/>
      <c r="O22" s="129" t="str">
        <f t="shared" si="8"/>
        <v/>
      </c>
      <c r="P22" s="144"/>
      <c r="Q22" s="144"/>
      <c r="R22" s="144"/>
      <c r="S22" s="129" t="str">
        <f t="shared" si="9"/>
        <v/>
      </c>
      <c r="T22" s="129" t="str">
        <f t="shared" si="10"/>
        <v/>
      </c>
      <c r="U22" s="129" t="str">
        <f t="shared" si="11"/>
        <v/>
      </c>
      <c r="V22" s="129" t="str">
        <f t="shared" si="12"/>
        <v/>
      </c>
      <c r="W22" s="129" t="str">
        <f t="shared" si="0"/>
        <v/>
      </c>
      <c r="X22" s="129" t="str">
        <f t="shared" si="1"/>
        <v/>
      </c>
      <c r="Y22" s="129" t="str">
        <f t="shared" si="2"/>
        <v/>
      </c>
      <c r="Z22" s="129" t="str">
        <f t="shared" si="13"/>
        <v/>
      </c>
      <c r="AA22" s="129" t="str">
        <f t="shared" si="14"/>
        <v/>
      </c>
      <c r="AB22" s="129" t="str">
        <f t="shared" si="15"/>
        <v/>
      </c>
      <c r="AC22" s="145"/>
      <c r="BA22" s="78"/>
      <c r="BB22" s="132" t="s">
        <v>4401</v>
      </c>
      <c r="BC22" s="133"/>
      <c r="BD22" s="132" t="str">
        <f>IF(OR(B22="",BC22=""),"",COUNTIF(BC$8:BC22,"√"))</f>
        <v/>
      </c>
      <c r="BE22" s="134" t="str">
        <f t="shared" si="3"/>
        <v/>
      </c>
      <c r="BF22" s="135" t="str">
        <f t="shared" si="16"/>
        <v/>
      </c>
      <c r="BG22" s="135" t="str">
        <f t="shared" si="16"/>
        <v/>
      </c>
      <c r="BH22" s="136"/>
      <c r="BI22" s="137"/>
      <c r="BJ22" s="136"/>
      <c r="BK22" s="136"/>
      <c r="BL22" s="136"/>
      <c r="BM22" s="136"/>
      <c r="BN22" s="136"/>
      <c r="BO22" s="137"/>
      <c r="BP22" s="136"/>
      <c r="BQ22" s="137"/>
      <c r="BR22" s="677">
        <f t="shared" si="4"/>
        <v>0</v>
      </c>
      <c r="BS22" s="522">
        <f t="shared" si="5"/>
        <v>125.582477754962</v>
      </c>
      <c r="BT22" s="676"/>
      <c r="BU22" s="522">
        <f t="shared" si="17"/>
        <v>125.582477754962</v>
      </c>
      <c r="BV22" s="524">
        <f>LOOKUP(BU22,参数表!A$14:B$19)</f>
        <v>0</v>
      </c>
      <c r="BW22" s="522">
        <f t="shared" si="18"/>
        <v>0</v>
      </c>
      <c r="BY22" s="134" t="str">
        <f>IF(COUNTIF(BY$7:BY21,B22)&gt;0,"",B22)&amp;""</f>
        <v/>
      </c>
      <c r="BZ22" s="138">
        <f t="shared" si="19"/>
        <v>0</v>
      </c>
      <c r="CA22" s="132">
        <f t="shared" si="20"/>
        <v>1</v>
      </c>
      <c r="CB22" s="138">
        <f t="shared" si="21"/>
        <v>0</v>
      </c>
      <c r="CC22" s="132">
        <f t="shared" si="22"/>
        <v>1</v>
      </c>
      <c r="CD22" s="133"/>
      <c r="CE22" s="133"/>
    </row>
    <row r="23" ht="15" customHeight="1" spans="1:84">
      <c r="A23" s="123" t="str">
        <f>IF(B23="","",COUNT(A$7:A22)+1)</f>
        <v/>
      </c>
      <c r="B23" s="139"/>
      <c r="C23" s="139"/>
      <c r="D23" s="139"/>
      <c r="E23" s="139"/>
      <c r="F23" s="140"/>
      <c r="G23" s="140"/>
      <c r="H23" s="679"/>
      <c r="I23" s="142"/>
      <c r="J23" s="127" t="str">
        <f>IFERROR(VLOOKUP(I23,参数表!$H$2:$I$50,2,FALSE),"")</f>
        <v/>
      </c>
      <c r="K23" s="128" t="str">
        <f t="shared" si="7"/>
        <v/>
      </c>
      <c r="L23" s="143"/>
      <c r="M23" s="143"/>
      <c r="N23" s="143"/>
      <c r="O23" s="129" t="str">
        <f t="shared" si="8"/>
        <v/>
      </c>
      <c r="P23" s="144"/>
      <c r="Q23" s="144"/>
      <c r="R23" s="144"/>
      <c r="S23" s="129" t="str">
        <f t="shared" si="9"/>
        <v/>
      </c>
      <c r="T23" s="129" t="str">
        <f t="shared" si="10"/>
        <v/>
      </c>
      <c r="U23" s="129" t="str">
        <f t="shared" si="11"/>
        <v/>
      </c>
      <c r="V23" s="129" t="str">
        <f t="shared" si="12"/>
        <v/>
      </c>
      <c r="W23" s="129" t="str">
        <f t="shared" si="0"/>
        <v/>
      </c>
      <c r="X23" s="129" t="str">
        <f t="shared" si="1"/>
        <v/>
      </c>
      <c r="Y23" s="129" t="str">
        <f t="shared" si="2"/>
        <v/>
      </c>
      <c r="Z23" s="129" t="str">
        <f t="shared" si="13"/>
        <v/>
      </c>
      <c r="AA23" s="129" t="str">
        <f t="shared" si="14"/>
        <v/>
      </c>
      <c r="AB23" s="129" t="str">
        <f t="shared" si="15"/>
        <v/>
      </c>
      <c r="AC23" s="145"/>
      <c r="BA23" s="78"/>
      <c r="BB23" s="132" t="s">
        <v>4402</v>
      </c>
      <c r="BC23" s="133"/>
      <c r="BD23" s="132" t="str">
        <f>IF(OR(B23="",BC23=""),"",COUNTIF(BC$8:BC23,"√"))</f>
        <v/>
      </c>
      <c r="BE23" s="134" t="str">
        <f t="shared" si="3"/>
        <v/>
      </c>
      <c r="BF23" s="135" t="str">
        <f t="shared" si="16"/>
        <v/>
      </c>
      <c r="BG23" s="135" t="str">
        <f t="shared" si="16"/>
        <v/>
      </c>
      <c r="BH23" s="136"/>
      <c r="BI23" s="137"/>
      <c r="BJ23" s="136"/>
      <c r="BK23" s="136"/>
      <c r="BL23" s="136"/>
      <c r="BM23" s="136"/>
      <c r="BN23" s="136"/>
      <c r="BO23" s="137"/>
      <c r="BP23" s="136"/>
      <c r="BQ23" s="137"/>
      <c r="BR23" s="677">
        <f t="shared" si="4"/>
        <v>0</v>
      </c>
      <c r="BS23" s="522">
        <f t="shared" si="5"/>
        <v>125.582477754962</v>
      </c>
      <c r="BT23" s="676"/>
      <c r="BU23" s="522">
        <f t="shared" si="17"/>
        <v>125.582477754962</v>
      </c>
      <c r="BV23" s="524">
        <f>LOOKUP(BU23,参数表!A$14:B$19)</f>
        <v>0</v>
      </c>
      <c r="BW23" s="522">
        <f t="shared" si="18"/>
        <v>0</v>
      </c>
      <c r="BY23" s="134" t="str">
        <f>IF(COUNTIF(BY$7:BY22,B23)&gt;0,"",B23)&amp;""</f>
        <v/>
      </c>
      <c r="BZ23" s="138">
        <f t="shared" si="19"/>
        <v>0</v>
      </c>
      <c r="CA23" s="132">
        <f t="shared" si="20"/>
        <v>1</v>
      </c>
      <c r="CB23" s="138">
        <f t="shared" si="21"/>
        <v>0</v>
      </c>
      <c r="CC23" s="132">
        <f t="shared" si="22"/>
        <v>1</v>
      </c>
      <c r="CD23" s="133"/>
      <c r="CE23" s="133"/>
    </row>
    <row r="24" ht="15" customHeight="1" spans="1:84">
      <c r="A24" s="123" t="str">
        <f>IF(B24="","",COUNT(A$7:A23)+1)</f>
        <v/>
      </c>
      <c r="B24" s="139"/>
      <c r="C24" s="139"/>
      <c r="D24" s="139"/>
      <c r="E24" s="139"/>
      <c r="F24" s="140"/>
      <c r="G24" s="140"/>
      <c r="H24" s="679"/>
      <c r="I24" s="142"/>
      <c r="J24" s="127" t="str">
        <f>IFERROR(VLOOKUP(I24,参数表!$H$2:$I$50,2,FALSE),"")</f>
        <v/>
      </c>
      <c r="K24" s="128" t="str">
        <f t="shared" si="7"/>
        <v/>
      </c>
      <c r="L24" s="143"/>
      <c r="M24" s="143"/>
      <c r="N24" s="143"/>
      <c r="O24" s="129" t="str">
        <f t="shared" si="8"/>
        <v/>
      </c>
      <c r="P24" s="144"/>
      <c r="Q24" s="144"/>
      <c r="R24" s="144"/>
      <c r="S24" s="129" t="str">
        <f t="shared" si="9"/>
        <v/>
      </c>
      <c r="T24" s="129" t="str">
        <f t="shared" si="10"/>
        <v/>
      </c>
      <c r="U24" s="129" t="str">
        <f t="shared" si="11"/>
        <v/>
      </c>
      <c r="V24" s="129" t="str">
        <f t="shared" si="12"/>
        <v/>
      </c>
      <c r="W24" s="129" t="str">
        <f t="shared" si="0"/>
        <v/>
      </c>
      <c r="X24" s="129" t="str">
        <f t="shared" si="1"/>
        <v/>
      </c>
      <c r="Y24" s="129" t="str">
        <f t="shared" si="2"/>
        <v/>
      </c>
      <c r="Z24" s="129" t="str">
        <f t="shared" si="13"/>
        <v/>
      </c>
      <c r="AA24" s="129" t="str">
        <f t="shared" si="14"/>
        <v/>
      </c>
      <c r="AB24" s="129" t="str">
        <f t="shared" si="15"/>
        <v/>
      </c>
      <c r="AC24" s="145"/>
      <c r="BA24" s="78"/>
      <c r="BB24" s="132" t="s">
        <v>4403</v>
      </c>
      <c r="BC24" s="133"/>
      <c r="BD24" s="132" t="str">
        <f>IF(OR(B24="",BC24=""),"",COUNTIF(BC$8:BC24,"√"))</f>
        <v/>
      </c>
      <c r="BE24" s="134" t="str">
        <f t="shared" si="3"/>
        <v/>
      </c>
      <c r="BF24" s="135" t="str">
        <f t="shared" si="16"/>
        <v/>
      </c>
      <c r="BG24" s="135" t="str">
        <f t="shared" si="16"/>
        <v/>
      </c>
      <c r="BH24" s="136"/>
      <c r="BI24" s="137"/>
      <c r="BJ24" s="136"/>
      <c r="BK24" s="136"/>
      <c r="BL24" s="136"/>
      <c r="BM24" s="136"/>
      <c r="BN24" s="136"/>
      <c r="BO24" s="137"/>
      <c r="BP24" s="136"/>
      <c r="BQ24" s="137"/>
      <c r="BR24" s="677">
        <f t="shared" si="4"/>
        <v>0</v>
      </c>
      <c r="BS24" s="522">
        <f t="shared" si="5"/>
        <v>125.582477754962</v>
      </c>
      <c r="BT24" s="676"/>
      <c r="BU24" s="522">
        <f t="shared" si="17"/>
        <v>125.582477754962</v>
      </c>
      <c r="BV24" s="524">
        <f>LOOKUP(BU24,参数表!A$14:B$19)</f>
        <v>0</v>
      </c>
      <c r="BW24" s="522">
        <f t="shared" si="18"/>
        <v>0</v>
      </c>
      <c r="BY24" s="134" t="str">
        <f>IF(COUNTIF(BY$7:BY23,B24)&gt;0,"",B24)&amp;""</f>
        <v/>
      </c>
      <c r="BZ24" s="138">
        <f t="shared" si="19"/>
        <v>0</v>
      </c>
      <c r="CA24" s="132">
        <f t="shared" si="20"/>
        <v>1</v>
      </c>
      <c r="CB24" s="138">
        <f t="shared" si="21"/>
        <v>0</v>
      </c>
      <c r="CC24" s="132">
        <f t="shared" si="22"/>
        <v>1</v>
      </c>
      <c r="CD24" s="133"/>
      <c r="CE24" s="133"/>
    </row>
    <row r="25" ht="15" customHeight="1" spans="1:84">
      <c r="A25" s="123" t="str">
        <f>IF(B25="","",COUNT(A$7:A24)+1)</f>
        <v/>
      </c>
      <c r="B25" s="139"/>
      <c r="C25" s="139"/>
      <c r="D25" s="139"/>
      <c r="E25" s="139"/>
      <c r="F25" s="140"/>
      <c r="G25" s="140"/>
      <c r="H25" s="679"/>
      <c r="I25" s="142"/>
      <c r="J25" s="127" t="str">
        <f>IFERROR(VLOOKUP(I25,参数表!$H$2:$I$50,2,FALSE),"")</f>
        <v/>
      </c>
      <c r="K25" s="128" t="str">
        <f t="shared" si="7"/>
        <v/>
      </c>
      <c r="L25" s="143"/>
      <c r="M25" s="143"/>
      <c r="N25" s="143"/>
      <c r="O25" s="129" t="str">
        <f t="shared" si="8"/>
        <v/>
      </c>
      <c r="P25" s="144"/>
      <c r="Q25" s="144"/>
      <c r="R25" s="144"/>
      <c r="S25" s="129" t="str">
        <f t="shared" si="9"/>
        <v/>
      </c>
      <c r="T25" s="129" t="str">
        <f t="shared" si="10"/>
        <v/>
      </c>
      <c r="U25" s="129" t="str">
        <f t="shared" si="11"/>
        <v/>
      </c>
      <c r="V25" s="129" t="str">
        <f t="shared" si="12"/>
        <v/>
      </c>
      <c r="W25" s="129" t="str">
        <f t="shared" si="0"/>
        <v/>
      </c>
      <c r="X25" s="129" t="str">
        <f t="shared" si="1"/>
        <v/>
      </c>
      <c r="Y25" s="129" t="str">
        <f t="shared" si="2"/>
        <v/>
      </c>
      <c r="Z25" s="129" t="str">
        <f t="shared" si="13"/>
        <v/>
      </c>
      <c r="AA25" s="129" t="str">
        <f t="shared" si="14"/>
        <v/>
      </c>
      <c r="AB25" s="129" t="str">
        <f t="shared" si="15"/>
        <v/>
      </c>
      <c r="AC25" s="145"/>
      <c r="BA25" s="78"/>
      <c r="BB25" s="132" t="s">
        <v>4404</v>
      </c>
      <c r="BC25" s="133"/>
      <c r="BD25" s="132" t="str">
        <f>IF(OR(B25="",BC25=""),"",COUNTIF(BC$8:BC25,"√"))</f>
        <v/>
      </c>
      <c r="BE25" s="134" t="str">
        <f t="shared" si="3"/>
        <v/>
      </c>
      <c r="BF25" s="135" t="str">
        <f t="shared" si="16"/>
        <v/>
      </c>
      <c r="BG25" s="135" t="str">
        <f t="shared" si="16"/>
        <v/>
      </c>
      <c r="BH25" s="136"/>
      <c r="BI25" s="137"/>
      <c r="BJ25" s="136"/>
      <c r="BK25" s="136"/>
      <c r="BL25" s="136"/>
      <c r="BM25" s="136"/>
      <c r="BN25" s="136"/>
      <c r="BO25" s="137"/>
      <c r="BP25" s="136"/>
      <c r="BQ25" s="137"/>
      <c r="BR25" s="677">
        <f t="shared" si="4"/>
        <v>0</v>
      </c>
      <c r="BS25" s="522">
        <f t="shared" si="5"/>
        <v>125.582477754962</v>
      </c>
      <c r="BT25" s="676"/>
      <c r="BU25" s="522">
        <f t="shared" si="17"/>
        <v>125.582477754962</v>
      </c>
      <c r="BV25" s="524">
        <f>LOOKUP(BU25,参数表!A$14:B$19)</f>
        <v>0</v>
      </c>
      <c r="BW25" s="522">
        <f t="shared" si="18"/>
        <v>0</v>
      </c>
      <c r="BY25" s="134" t="str">
        <f>IF(COUNTIF(BY$7:BY24,B25)&gt;0,"",B25)&amp;""</f>
        <v/>
      </c>
      <c r="BZ25" s="138">
        <f t="shared" si="19"/>
        <v>0</v>
      </c>
      <c r="CA25" s="132">
        <f t="shared" si="20"/>
        <v>1</v>
      </c>
      <c r="CB25" s="138">
        <f t="shared" si="21"/>
        <v>0</v>
      </c>
      <c r="CC25" s="132">
        <f t="shared" si="22"/>
        <v>1</v>
      </c>
      <c r="CD25" s="133"/>
      <c r="CE25" s="133"/>
    </row>
    <row r="26" ht="15" customHeight="1" spans="1:84">
      <c r="A26" s="123" t="str">
        <f>IF(B26="","",COUNT(A$7:A25)+1)</f>
        <v/>
      </c>
      <c r="B26" s="139"/>
      <c r="C26" s="139"/>
      <c r="D26" s="139"/>
      <c r="E26" s="139"/>
      <c r="F26" s="140"/>
      <c r="G26" s="140"/>
      <c r="H26" s="679"/>
      <c r="I26" s="142"/>
      <c r="J26" s="127" t="str">
        <f>IFERROR(VLOOKUP(I26,参数表!$H$2:$I$50,2,FALSE),"")</f>
        <v/>
      </c>
      <c r="K26" s="128" t="str">
        <f t="shared" si="7"/>
        <v/>
      </c>
      <c r="L26" s="143"/>
      <c r="M26" s="143"/>
      <c r="N26" s="143"/>
      <c r="O26" s="129" t="str">
        <f t="shared" si="8"/>
        <v/>
      </c>
      <c r="P26" s="144"/>
      <c r="Q26" s="144"/>
      <c r="R26" s="144"/>
      <c r="S26" s="129" t="str">
        <f t="shared" si="9"/>
        <v/>
      </c>
      <c r="T26" s="129" t="str">
        <f t="shared" si="10"/>
        <v/>
      </c>
      <c r="U26" s="129" t="str">
        <f t="shared" si="11"/>
        <v/>
      </c>
      <c r="V26" s="129" t="str">
        <f t="shared" si="12"/>
        <v/>
      </c>
      <c r="W26" s="129" t="str">
        <f t="shared" si="0"/>
        <v/>
      </c>
      <c r="X26" s="129" t="str">
        <f t="shared" si="1"/>
        <v/>
      </c>
      <c r="Y26" s="129" t="str">
        <f t="shared" si="2"/>
        <v/>
      </c>
      <c r="Z26" s="129" t="str">
        <f t="shared" si="13"/>
        <v/>
      </c>
      <c r="AA26" s="129" t="str">
        <f t="shared" si="14"/>
        <v/>
      </c>
      <c r="AB26" s="129" t="str">
        <f t="shared" si="15"/>
        <v/>
      </c>
      <c r="AC26" s="145"/>
      <c r="BA26" s="78"/>
      <c r="BB26" s="132" t="s">
        <v>4405</v>
      </c>
      <c r="BC26" s="133"/>
      <c r="BD26" s="132" t="str">
        <f>IF(OR(B26="",BC26=""),"",COUNTIF(BC$8:BC26,"√"))</f>
        <v/>
      </c>
      <c r="BE26" s="134" t="str">
        <f t="shared" si="3"/>
        <v/>
      </c>
      <c r="BF26" s="135" t="str">
        <f t="shared" si="16"/>
        <v/>
      </c>
      <c r="BG26" s="135" t="str">
        <f t="shared" si="16"/>
        <v/>
      </c>
      <c r="BH26" s="136"/>
      <c r="BI26" s="137"/>
      <c r="BJ26" s="136"/>
      <c r="BK26" s="136"/>
      <c r="BL26" s="136"/>
      <c r="BM26" s="136"/>
      <c r="BN26" s="136"/>
      <c r="BO26" s="137"/>
      <c r="BP26" s="136"/>
      <c r="BQ26" s="137"/>
      <c r="BR26" s="677">
        <f t="shared" si="4"/>
        <v>0</v>
      </c>
      <c r="BS26" s="522">
        <f t="shared" si="5"/>
        <v>125.582477754962</v>
      </c>
      <c r="BT26" s="676"/>
      <c r="BU26" s="522">
        <f t="shared" si="17"/>
        <v>125.582477754962</v>
      </c>
      <c r="BV26" s="524">
        <f>LOOKUP(BU26,参数表!A$14:B$19)</f>
        <v>0</v>
      </c>
      <c r="BW26" s="522">
        <f t="shared" si="18"/>
        <v>0</v>
      </c>
      <c r="BY26" s="134" t="str">
        <f>IF(COUNTIF(BY$7:BY25,B26)&gt;0,"",B26)&amp;""</f>
        <v/>
      </c>
      <c r="BZ26" s="138">
        <f t="shared" si="19"/>
        <v>0</v>
      </c>
      <c r="CA26" s="132">
        <f t="shared" si="20"/>
        <v>1</v>
      </c>
      <c r="CB26" s="138">
        <f t="shared" si="21"/>
        <v>0</v>
      </c>
      <c r="CC26" s="132">
        <f t="shared" si="22"/>
        <v>1</v>
      </c>
      <c r="CD26" s="133"/>
      <c r="CE26" s="133"/>
    </row>
    <row r="27" ht="15" customHeight="1" spans="1:84">
      <c r="A27" s="123" t="str">
        <f>IF(B27="","",COUNT(A$7:A26)+1)</f>
        <v/>
      </c>
      <c r="B27" s="124"/>
      <c r="C27" s="124"/>
      <c r="D27" s="124"/>
      <c r="E27" s="124"/>
      <c r="F27" s="125"/>
      <c r="G27" s="125"/>
      <c r="H27" s="281"/>
      <c r="I27" s="127"/>
      <c r="J27" s="127" t="str">
        <f>IFERROR(VLOOKUP(I27,参数表!$H$2:$I$50,2,FALSE),"")</f>
        <v/>
      </c>
      <c r="K27" s="128" t="str">
        <f t="shared" si="7"/>
        <v/>
      </c>
      <c r="L27" s="129"/>
      <c r="M27" s="129"/>
      <c r="N27" s="129"/>
      <c r="O27" s="129" t="str">
        <f t="shared" si="8"/>
        <v/>
      </c>
      <c r="P27" s="130"/>
      <c r="Q27" s="130"/>
      <c r="R27" s="130"/>
      <c r="S27" s="129" t="str">
        <f t="shared" si="9"/>
        <v/>
      </c>
      <c r="T27" s="129" t="str">
        <f t="shared" si="10"/>
        <v/>
      </c>
      <c r="U27" s="129" t="str">
        <f t="shared" si="11"/>
        <v/>
      </c>
      <c r="V27" s="129" t="str">
        <f t="shared" si="12"/>
        <v/>
      </c>
      <c r="W27" s="129" t="str">
        <f t="shared" si="0"/>
        <v/>
      </c>
      <c r="X27" s="129" t="str">
        <f t="shared" si="1"/>
        <v/>
      </c>
      <c r="Y27" s="129" t="str">
        <f t="shared" si="2"/>
        <v/>
      </c>
      <c r="Z27" s="129" t="str">
        <f t="shared" si="13"/>
        <v/>
      </c>
      <c r="AA27" s="129" t="str">
        <f t="shared" si="14"/>
        <v/>
      </c>
      <c r="AB27" s="129" t="str">
        <f t="shared" si="15"/>
        <v/>
      </c>
      <c r="AC27" s="131"/>
      <c r="BA27" s="78"/>
      <c r="BB27" s="132" t="s">
        <v>4406</v>
      </c>
      <c r="BC27" s="133"/>
      <c r="BD27" s="132" t="str">
        <f>IF(OR(B27="",BC27=""),"",COUNTIF(BC$8:BC27,"√"))</f>
        <v/>
      </c>
      <c r="BE27" s="134" t="str">
        <f t="shared" si="3"/>
        <v/>
      </c>
      <c r="BF27" s="135" t="str">
        <f t="shared" si="16"/>
        <v/>
      </c>
      <c r="BG27" s="135" t="str">
        <f t="shared" si="16"/>
        <v/>
      </c>
      <c r="BH27" s="136"/>
      <c r="BI27" s="137"/>
      <c r="BJ27" s="136"/>
      <c r="BK27" s="136"/>
      <c r="BL27" s="136"/>
      <c r="BM27" s="136"/>
      <c r="BN27" s="136"/>
      <c r="BO27" s="137"/>
      <c r="BP27" s="136"/>
      <c r="BQ27" s="137"/>
      <c r="BR27" s="677">
        <f t="shared" si="4"/>
        <v>0</v>
      </c>
      <c r="BS27" s="522">
        <f t="shared" si="5"/>
        <v>125.582477754962</v>
      </c>
      <c r="BT27" s="676"/>
      <c r="BU27" s="522">
        <f t="shared" si="17"/>
        <v>125.582477754962</v>
      </c>
      <c r="BV27" s="524">
        <f>LOOKUP(BU27,参数表!A$14:B$19)</f>
        <v>0</v>
      </c>
      <c r="BW27" s="522">
        <f t="shared" si="18"/>
        <v>0</v>
      </c>
      <c r="BY27" s="134" t="str">
        <f>IF(COUNTIF(BY$7:BY26,B27)&gt;0,"",B27)&amp;""</f>
        <v/>
      </c>
      <c r="BZ27" s="138">
        <f t="shared" si="19"/>
        <v>0</v>
      </c>
      <c r="CA27" s="132">
        <f t="shared" si="20"/>
        <v>1</v>
      </c>
      <c r="CB27" s="138">
        <f t="shared" si="21"/>
        <v>0</v>
      </c>
      <c r="CC27" s="132">
        <f t="shared" si="22"/>
        <v>1</v>
      </c>
      <c r="CD27" s="133"/>
      <c r="CE27" s="133"/>
    </row>
    <row r="28" s="73" customFormat="1" ht="15" customHeight="1" spans="1:84">
      <c r="A28" s="221" t="s">
        <v>1954</v>
      </c>
      <c r="B28" s="493"/>
      <c r="C28" s="493"/>
      <c r="D28" s="221"/>
      <c r="E28" s="221"/>
      <c r="F28" s="356"/>
      <c r="G28" s="356"/>
      <c r="H28" s="281"/>
      <c r="I28" s="281"/>
      <c r="J28" s="281"/>
      <c r="K28" s="281"/>
      <c r="L28" s="152"/>
      <c r="M28" s="152"/>
      <c r="N28" s="152"/>
      <c r="O28" s="152">
        <f>SUM(O8:O27)</f>
        <v>0</v>
      </c>
      <c r="P28" s="153"/>
      <c r="Q28" s="153"/>
      <c r="R28" s="153"/>
      <c r="S28" s="152"/>
      <c r="T28" s="152"/>
      <c r="U28" s="152"/>
      <c r="V28" s="152">
        <f>SUM(V8:V27)</f>
        <v>0</v>
      </c>
      <c r="W28" s="152"/>
      <c r="X28" s="152"/>
      <c r="Y28" s="152"/>
      <c r="Z28" s="152">
        <f>SUM(Z8:Z27)</f>
        <v>0</v>
      </c>
      <c r="AA28" s="152">
        <f t="shared" si="14"/>
        <v>0</v>
      </c>
      <c r="AB28" s="152" t="str">
        <f t="shared" si="15"/>
        <v/>
      </c>
      <c r="AC28" s="151"/>
      <c r="BH28" s="526"/>
      <c r="BJ28" s="72"/>
      <c r="BK28" s="72"/>
      <c r="BL28" s="72"/>
      <c r="BM28" s="72"/>
      <c r="BN28" s="72"/>
      <c r="BP28" s="72"/>
      <c r="BX28" s="111"/>
      <c r="BY28" s="119"/>
      <c r="BZ28" s="77"/>
      <c r="CA28" s="77"/>
      <c r="CB28" s="77"/>
      <c r="CC28" s="119"/>
      <c r="CD28" s="119"/>
      <c r="CE28" s="119"/>
      <c r="CF28" s="111"/>
    </row>
    <row r="29" ht="15" customHeight="1" spans="1:84">
      <c r="A29" s="124" t="s">
        <v>3434</v>
      </c>
      <c r="B29" s="124"/>
      <c r="C29" s="124"/>
      <c r="D29" s="124"/>
      <c r="E29" s="124"/>
      <c r="F29" s="125"/>
      <c r="G29" s="125"/>
      <c r="H29" s="125"/>
      <c r="I29" s="125"/>
      <c r="J29" s="125"/>
      <c r="K29" s="125"/>
      <c r="L29" s="129"/>
      <c r="M29" s="129"/>
      <c r="N29" s="129"/>
      <c r="O29" s="129"/>
      <c r="P29" s="130"/>
      <c r="Q29" s="130"/>
      <c r="R29" s="130"/>
      <c r="S29" s="129"/>
      <c r="T29" s="129"/>
      <c r="U29" s="129"/>
      <c r="V29" s="129">
        <f>SUM(S29:U29)</f>
        <v>0</v>
      </c>
      <c r="W29" s="129"/>
      <c r="X29" s="129"/>
      <c r="Y29" s="129"/>
      <c r="Z29" s="129"/>
      <c r="AA29" s="129">
        <f t="shared" si="14"/>
        <v>0</v>
      </c>
      <c r="AB29" s="129" t="str">
        <f t="shared" si="15"/>
        <v/>
      </c>
      <c r="AC29" s="131"/>
    </row>
    <row r="30" s="73" customFormat="1" ht="15" customHeight="1" spans="1:84">
      <c r="A30" s="221" t="s">
        <v>1957</v>
      </c>
      <c r="B30" s="221"/>
      <c r="C30" s="221"/>
      <c r="D30" s="149"/>
      <c r="E30" s="149"/>
      <c r="F30" s="356"/>
      <c r="G30" s="356"/>
      <c r="H30" s="356"/>
      <c r="I30" s="356"/>
      <c r="J30" s="356"/>
      <c r="K30" s="356"/>
      <c r="L30" s="152"/>
      <c r="M30" s="152"/>
      <c r="N30" s="152"/>
      <c r="O30" s="152">
        <f>O28-O29</f>
        <v>0</v>
      </c>
      <c r="P30" s="153"/>
      <c r="Q30" s="153"/>
      <c r="R30" s="153"/>
      <c r="S30" s="152"/>
      <c r="T30" s="152"/>
      <c r="U30" s="152"/>
      <c r="V30" s="152">
        <f>V28-V29</f>
        <v>0</v>
      </c>
      <c r="W30" s="152"/>
      <c r="X30" s="152"/>
      <c r="Y30" s="152"/>
      <c r="Z30" s="152">
        <f>Z28-Z29</f>
        <v>0</v>
      </c>
      <c r="AA30" s="152">
        <f t="shared" si="14"/>
        <v>0</v>
      </c>
      <c r="AB30" s="152" t="str">
        <f t="shared" si="15"/>
        <v/>
      </c>
      <c r="AC30" s="151"/>
      <c r="BH30" s="526"/>
      <c r="BJ30" s="72"/>
      <c r="BK30" s="72"/>
      <c r="BL30" s="72"/>
      <c r="BM30" s="72"/>
      <c r="BN30" s="72"/>
      <c r="BP30" s="72"/>
      <c r="BX30" s="77"/>
      <c r="BY30" s="78"/>
      <c r="BZ30" s="77"/>
      <c r="CA30" s="78"/>
      <c r="CB30" s="78"/>
      <c r="CC30" s="78"/>
      <c r="CD30" s="78"/>
      <c r="CE30" s="78"/>
      <c r="CF30" s="77"/>
    </row>
    <row r="31" customHeight="1" spans="1:84">
      <c r="A31" s="102" t="str">
        <f>参数表!F$6</f>
        <v>产权持有单位填表人：贾广东</v>
      </c>
      <c r="B31" s="154"/>
      <c r="C31" s="154"/>
      <c r="D31" s="154"/>
      <c r="E31" s="154"/>
      <c r="F31" s="154"/>
      <c r="G31" s="103"/>
      <c r="H31" s="103"/>
      <c r="I31" s="103"/>
      <c r="J31" s="103"/>
      <c r="K31" s="103"/>
      <c r="L31" s="103"/>
      <c r="M31" s="103"/>
      <c r="N31" s="103"/>
      <c r="O31" s="103"/>
      <c r="P31" s="104"/>
      <c r="Q31" s="104"/>
      <c r="R31" s="104"/>
      <c r="S31" s="103"/>
      <c r="T31" s="103"/>
      <c r="U31" s="103"/>
      <c r="V31" s="103"/>
      <c r="W31" s="103"/>
      <c r="X31" s="103"/>
      <c r="Y31" s="103"/>
      <c r="Z31" s="156" t="str">
        <f>"评估人员："&amp;封面!$G$26</f>
        <v>评估人员：栗祥宁</v>
      </c>
      <c r="AA31" s="103"/>
      <c r="AB31" s="103"/>
      <c r="AC31" s="103"/>
    </row>
    <row r="32" customHeight="1" spans="1:84">
      <c r="A32" s="102" t="str">
        <f>参数表!F$7</f>
        <v>填表日期：2025年9月20日</v>
      </c>
      <c r="B32" s="154"/>
      <c r="C32" s="154"/>
      <c r="D32" s="154"/>
      <c r="E32" s="154"/>
      <c r="F32" s="154"/>
      <c r="G32" s="103"/>
      <c r="H32" s="103"/>
      <c r="I32" s="103"/>
      <c r="J32" s="103"/>
      <c r="K32" s="103"/>
      <c r="L32" s="103"/>
      <c r="M32" s="103"/>
      <c r="N32" s="103"/>
      <c r="O32" s="103"/>
      <c r="P32" s="104"/>
      <c r="Q32" s="104"/>
      <c r="R32" s="104"/>
      <c r="S32" s="103"/>
      <c r="T32" s="103"/>
      <c r="U32" s="103"/>
      <c r="V32" s="103"/>
      <c r="W32" s="103"/>
      <c r="X32" s="103"/>
      <c r="Y32" s="103"/>
      <c r="Z32" s="103"/>
      <c r="AA32" s="103"/>
      <c r="AB32" s="103"/>
      <c r="AC32" s="103"/>
    </row>
    <row r="33" hidden="1" customHeight="1" outlineLevel="1" spans="1:68">
      <c r="A33" s="157"/>
      <c r="B33" s="154" t="s">
        <v>1673</v>
      </c>
      <c r="C33" s="158"/>
      <c r="D33" s="158"/>
      <c r="E33" s="158"/>
      <c r="F33" s="158"/>
      <c r="O33" s="159">
        <f>SUMIF($BA8:$BA27,$BA33,O8:O27)</f>
        <v>0</v>
      </c>
      <c r="P33" s="202"/>
      <c r="Q33" s="202"/>
      <c r="R33" s="202"/>
      <c r="S33" s="176"/>
      <c r="T33" s="176"/>
      <c r="U33" s="176"/>
      <c r="V33" s="159">
        <f>SUMIF($BA8:$BA27,$BA33,V8:V27)</f>
        <v>0</v>
      </c>
      <c r="W33" s="176"/>
      <c r="X33" s="176"/>
      <c r="Y33" s="176"/>
      <c r="Z33" s="159">
        <f>SUMIF($BA8:$BA27,$BA33,Z8:Z27)</f>
        <v>0</v>
      </c>
      <c r="BA33" s="161" t="s">
        <v>1674</v>
      </c>
      <c r="BH33" s="527" t="s">
        <v>1675</v>
      </c>
      <c r="BJ33" s="527" t="s">
        <v>1675</v>
      </c>
      <c r="BK33" s="527" t="s">
        <v>1675</v>
      </c>
      <c r="BL33" s="527" t="s">
        <v>1675</v>
      </c>
      <c r="BM33" s="527" t="s">
        <v>1675</v>
      </c>
      <c r="BN33" s="527" t="s">
        <v>1675</v>
      </c>
      <c r="BP33" s="527" t="s">
        <v>1675</v>
      </c>
    </row>
    <row r="34" hidden="1" customHeight="1" outlineLevel="1" spans="1:68">
      <c r="A34" s="157"/>
      <c r="B34" s="154" t="s">
        <v>1676</v>
      </c>
      <c r="C34" s="158"/>
      <c r="D34" s="158"/>
      <c r="E34" s="158"/>
      <c r="F34" s="158"/>
      <c r="O34" s="159">
        <f>O28-O33</f>
        <v>0</v>
      </c>
      <c r="P34" s="202"/>
      <c r="Q34" s="202"/>
      <c r="R34" s="202"/>
      <c r="S34" s="176"/>
      <c r="T34" s="176"/>
      <c r="U34" s="176"/>
      <c r="V34" s="159">
        <f>V28-V33</f>
        <v>0</v>
      </c>
      <c r="W34" s="176"/>
      <c r="X34" s="176"/>
      <c r="Y34" s="176"/>
      <c r="Z34" s="159">
        <f>Z28-Z33</f>
        <v>0</v>
      </c>
      <c r="BA34" s="161" t="s">
        <v>1677</v>
      </c>
      <c r="BH34" s="527" t="s">
        <v>1678</v>
      </c>
      <c r="BJ34" s="527" t="s">
        <v>1678</v>
      </c>
      <c r="BK34" s="527" t="s">
        <v>1678</v>
      </c>
      <c r="BL34" s="527" t="s">
        <v>1678</v>
      </c>
      <c r="BM34" s="527" t="s">
        <v>1678</v>
      </c>
      <c r="BN34" s="527" t="s">
        <v>1678</v>
      </c>
      <c r="BP34" s="527" t="s">
        <v>1678</v>
      </c>
    </row>
    <row r="35" customHeight="1" collapsed="1" spans="1:68">
      <c r="A35" s="157"/>
      <c r="B35" s="158"/>
      <c r="C35" s="158"/>
      <c r="D35" s="158"/>
      <c r="E35" s="158"/>
      <c r="F35" s="158"/>
    </row>
    <row r="36" customHeight="1" spans="1:68">
      <c r="A36" s="157"/>
      <c r="B36" s="158"/>
      <c r="C36" s="158"/>
      <c r="D36" s="158"/>
      <c r="E36" s="158"/>
      <c r="F36" s="158"/>
    </row>
    <row r="37" customHeight="1" spans="1:68">
      <c r="A37" s="157"/>
      <c r="B37" s="158"/>
      <c r="C37" s="158"/>
      <c r="D37" s="158"/>
      <c r="E37" s="158"/>
      <c r="F37" s="158"/>
    </row>
    <row r="38" customHeight="1" spans="1:68">
      <c r="A38" s="157"/>
      <c r="B38" s="158"/>
      <c r="C38" s="158"/>
      <c r="D38" s="158"/>
      <c r="E38" s="158"/>
      <c r="F38" s="158"/>
    </row>
    <row r="39" customHeight="1" spans="1:68">
      <c r="A39" s="157"/>
      <c r="B39" s="158"/>
      <c r="C39" s="158"/>
      <c r="D39" s="158"/>
      <c r="E39" s="158"/>
      <c r="F39" s="158"/>
    </row>
  </sheetData>
  <sheetProtection autoFilter="0"/>
  <mergeCells count="37">
    <mergeCell ref="A2:AC2"/>
    <mergeCell ref="A3:AC3"/>
    <mergeCell ref="I6:K6"/>
    <mergeCell ref="L6:O6"/>
    <mergeCell ref="P6:R6"/>
    <mergeCell ref="S6:V6"/>
    <mergeCell ref="W6:Z6"/>
    <mergeCell ref="CD8:CF8"/>
    <mergeCell ref="CD9:CF9"/>
    <mergeCell ref="CE15:CF15"/>
    <mergeCell ref="A28:C28"/>
    <mergeCell ref="A29:C29"/>
    <mergeCell ref="A30:C30"/>
    <mergeCell ref="A6:A7"/>
    <mergeCell ref="B6:B7"/>
    <mergeCell ref="C6:C7"/>
    <mergeCell ref="D6:D7"/>
    <mergeCell ref="E6:E7"/>
    <mergeCell ref="F6:F7"/>
    <mergeCell ref="G6:G7"/>
    <mergeCell ref="H6:H7"/>
    <mergeCell ref="AA6:AA7"/>
    <mergeCell ref="AB6:AB7"/>
    <mergeCell ref="AC6:AC7"/>
    <mergeCell ref="AD6:AD7"/>
    <mergeCell ref="BF6:BF7"/>
    <mergeCell ref="BG6:BG7"/>
    <mergeCell ref="BH6:BH7"/>
    <mergeCell ref="BI6:BI7"/>
    <mergeCell ref="BJ6:BJ7"/>
    <mergeCell ref="BK6:BK7"/>
    <mergeCell ref="BL6:BL7"/>
    <mergeCell ref="BM6:BM7"/>
    <mergeCell ref="BN6:BN7"/>
    <mergeCell ref="BO6:BO7"/>
    <mergeCell ref="BP6:BP7"/>
    <mergeCell ref="BQ6:BQ7"/>
  </mergeCells>
  <conditionalFormatting sqref="BI8:BI27">
    <cfRule type="expression" dxfId="5" priority="5" stopIfTrue="1">
      <formula>AND(BH8="有",BI8="")</formula>
    </cfRule>
  </conditionalFormatting>
  <conditionalFormatting sqref="BO8:BO27">
    <cfRule type="expression" dxfId="5" priority="7" stopIfTrue="1">
      <formula>AND(BN8="无",BO8="")</formula>
    </cfRule>
  </conditionalFormatting>
  <conditionalFormatting sqref="BF8:BG27">
    <cfRule type="containsText" dxfId="6" priority="1" stopIfTrue="1" operator="between" text="出错">
      <formula>NOT(ISERROR(SEARCH("出错",BF8)))</formula>
    </cfRule>
  </conditionalFormatting>
  <conditionalFormatting sqref="BH8:BN27 BP8:BP27">
    <cfRule type="expression" dxfId="5" priority="8" stopIfTrue="1">
      <formula>AND($B8&lt;&gt;"",BH8="")</formula>
    </cfRule>
  </conditionalFormatting>
  <dataValidations count="5">
    <dataValidation type="list" allowBlank="1" showInputMessage="1" showErrorMessage="1" sqref="BH7 BJ7:BN7 BP7">
      <formula1>"有,无"</formula1>
    </dataValidation>
    <dataValidation type="list" allowBlank="1" showInputMessage="1" showErrorMessage="1" sqref="I8:I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H8:BH27 BP8:BP27 BJ8:BN27">
      <formula1>BH$33:BH$34</formula1>
    </dataValidation>
  </dataValidations>
  <hyperlinks>
    <hyperlink ref="A1" location="索引目录!E43" display="返回索引页"/>
    <hyperlink ref="B1" location="在建工程汇总!B12"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9"/>
  <dimension ref="A1:CH38"/>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8.6" style="74" customWidth="1"/>
    <col min="2" max="2" width="25.6" style="75" customWidth="1"/>
    <col min="3" max="5" width="10.7" style="75" customWidth="1"/>
    <col min="6" max="7" width="4.6" style="75" customWidth="1" outlineLevel="1"/>
    <col min="8" max="8" width="6.1" style="75" customWidth="1" outlineLevel="1"/>
    <col min="9" max="9" width="12.7" style="75" customWidth="1" outlineLevel="1"/>
    <col min="10" max="10" width="12.7" style="76" customWidth="1" outlineLevel="1"/>
    <col min="11" max="12" width="12.7" style="75" customWidth="1"/>
    <col min="13" max="15" width="8.7" style="75" customWidth="1"/>
    <col min="16" max="16" width="9" style="75"/>
    <col min="17"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165" customWidth="1"/>
    <col min="61" max="61" width="11.5" style="75" customWidth="1"/>
    <col min="62" max="66" width="4.7" style="165" customWidth="1"/>
    <col min="67" max="67" width="10.3" style="75" customWidth="1"/>
    <col min="68" max="68" width="4.7" style="165" customWidth="1"/>
    <col min="69" max="69" width="8.7" style="75" customWidth="1"/>
    <col min="70" max="77" width="9" style="75"/>
    <col min="78" max="78" width="1.6" style="77" customWidth="1"/>
    <col min="79" max="79" width="10.6" style="78" customWidth="1"/>
    <col min="80" max="80" width="10.6" style="77" customWidth="1"/>
    <col min="81" max="81" width="4.6" style="78" customWidth="1"/>
    <col min="82" max="82" width="10.6" style="78" customWidth="1"/>
    <col min="83" max="84" width="4.6" style="78" customWidth="1"/>
    <col min="85" max="85" width="10.6" style="78" customWidth="1"/>
    <col min="86" max="86" width="5" style="77" customWidth="1"/>
    <col min="87" max="16384" width="9" style="75"/>
  </cols>
  <sheetData>
    <row r="1" s="86" customFormat="1" ht="13.8" spans="1:86">
      <c r="A1" s="203" t="s">
        <v>1591</v>
      </c>
      <c r="B1" s="204" t="s">
        <v>1592</v>
      </c>
      <c r="C1" s="82"/>
      <c r="D1" s="82"/>
      <c r="E1" s="82"/>
      <c r="F1" s="82"/>
      <c r="G1" s="82"/>
      <c r="H1" s="82"/>
      <c r="I1" s="82"/>
      <c r="J1" s="205"/>
      <c r="K1" s="82"/>
      <c r="L1" s="82"/>
      <c r="M1" s="82"/>
      <c r="N1" s="82"/>
      <c r="O1" s="82"/>
      <c r="BA1" s="84" t="str">
        <f>参数表!BA1</f>
        <v>注意：补充特殊事项、作价等均从BA列开始填写</v>
      </c>
      <c r="BB1" s="85"/>
      <c r="BH1" s="82"/>
      <c r="BJ1" s="82"/>
      <c r="BK1" s="82"/>
      <c r="BL1" s="82"/>
      <c r="BM1" s="82"/>
      <c r="BN1" s="82"/>
      <c r="BP1" s="82"/>
      <c r="BZ1" s="87"/>
      <c r="CA1" s="88"/>
      <c r="CB1" s="87"/>
      <c r="CC1" s="88"/>
      <c r="CD1" s="88"/>
      <c r="CE1" s="88"/>
      <c r="CF1" s="88"/>
      <c r="CG1" s="88"/>
      <c r="CH1" s="87"/>
    </row>
    <row r="2" s="71" customFormat="1" ht="30" customHeight="1" spans="1:86">
      <c r="A2" s="89" t="s">
        <v>4407</v>
      </c>
      <c r="B2" s="89"/>
      <c r="C2" s="89"/>
      <c r="D2" s="89"/>
      <c r="E2" s="89"/>
      <c r="F2" s="89"/>
      <c r="G2" s="89"/>
      <c r="H2" s="89"/>
      <c r="I2" s="89"/>
      <c r="J2" s="89"/>
      <c r="K2" s="89"/>
      <c r="L2" s="89"/>
      <c r="M2" s="89"/>
      <c r="N2" s="89"/>
      <c r="O2" s="89"/>
      <c r="BA2" s="90" t="str">
        <f>参数表!BA2</f>
        <v>评估基准日：</v>
      </c>
      <c r="BB2" s="91" t="str">
        <f>参数表!BB2</f>
        <v>2025年7月31日</v>
      </c>
      <c r="BH2" s="171"/>
      <c r="BJ2" s="171"/>
      <c r="BK2" s="171"/>
      <c r="BL2" s="171"/>
      <c r="BM2" s="171"/>
      <c r="BN2" s="171"/>
      <c r="BP2" s="171"/>
      <c r="BZ2" s="92"/>
      <c r="CA2" s="93"/>
      <c r="CB2" s="92"/>
      <c r="CC2" s="93"/>
      <c r="CD2" s="93"/>
      <c r="CE2" s="93"/>
      <c r="CF2" s="93"/>
      <c r="CG2" s="93"/>
      <c r="CH2" s="92"/>
    </row>
    <row r="3" ht="15" customHeight="1" spans="1:86">
      <c r="A3" s="94" t="str">
        <f>参数表!F5</f>
        <v>评估基准日：2025年7月31日</v>
      </c>
      <c r="B3" s="94"/>
      <c r="C3" s="95"/>
      <c r="D3" s="95"/>
      <c r="E3" s="95"/>
      <c r="F3" s="95"/>
      <c r="G3" s="95"/>
      <c r="H3" s="95"/>
      <c r="I3" s="95"/>
      <c r="J3" s="95"/>
      <c r="K3" s="95"/>
      <c r="L3" s="95"/>
      <c r="M3" s="95"/>
      <c r="N3" s="95"/>
      <c r="O3" s="95"/>
      <c r="BA3" s="90" t="str">
        <f>参数表!BA3</f>
        <v>是否显示评估值：</v>
      </c>
      <c r="BB3" s="90" t="str">
        <f>参数表!BB3</f>
        <v>是</v>
      </c>
      <c r="CB3" s="78"/>
    </row>
    <row r="4" ht="15" customHeight="1" spans="1:86">
      <c r="A4" s="96"/>
      <c r="B4" s="94"/>
      <c r="C4" s="95"/>
      <c r="D4" s="95"/>
      <c r="E4" s="95"/>
      <c r="F4" s="94"/>
      <c r="G4" s="94"/>
      <c r="H4" s="94"/>
      <c r="I4" s="95"/>
      <c r="J4" s="206"/>
      <c r="K4" s="98"/>
      <c r="L4" s="95"/>
      <c r="M4" s="95"/>
      <c r="N4" s="95"/>
      <c r="O4" s="98" t="str">
        <f>"表"&amp;$BA4</f>
        <v>表4-11-3</v>
      </c>
      <c r="BA4" s="274" t="str">
        <f>在建总!A9</f>
        <v>4-11-3</v>
      </c>
      <c r="BB4" s="100">
        <f>MAX(COUNTA(A7:A26),COUNTA(B7:B26),COUNTA(I7:I26),COUNTA(K7:K26))</f>
        <v>20</v>
      </c>
      <c r="BC4" s="101">
        <f>ROW(A6)+1</f>
        <v>7</v>
      </c>
      <c r="BD4" s="77"/>
      <c r="BE4" s="77"/>
      <c r="CB4" s="78"/>
    </row>
    <row r="5" ht="15" customHeight="1" spans="1:86">
      <c r="A5" s="102" t="str">
        <f>参数表!F3</f>
        <v>产权持有单位:中煤第五建设有限公司</v>
      </c>
      <c r="B5" s="103"/>
      <c r="C5" s="103"/>
      <c r="D5" s="103"/>
      <c r="E5" s="103"/>
      <c r="F5" s="103"/>
      <c r="G5" s="103"/>
      <c r="H5" s="103"/>
      <c r="I5" s="103"/>
      <c r="J5" s="104"/>
      <c r="K5" s="103"/>
      <c r="L5" s="103"/>
      <c r="M5" s="103"/>
      <c r="N5" s="103"/>
      <c r="O5" s="98" t="s">
        <v>236</v>
      </c>
      <c r="BA5" s="103"/>
      <c r="BB5" s="105" t="str">
        <f ca="1">判断表!C79</f>
        <v>中煤第五建设有限公司第三工程处拟处置实物资产项目\[0000-3基础法明细表.xlsx]在建-待摊</v>
      </c>
      <c r="BC5" s="106">
        <f>IFERROR(SUMIF(BC7:BC26,"√",K7:K26)/K27,0)</f>
        <v>0</v>
      </c>
      <c r="BD5" s="107"/>
      <c r="BE5" s="107"/>
      <c r="BF5" s="108">
        <f>'在建-土建'!BF5</f>
        <v>0</v>
      </c>
      <c r="BG5" s="108">
        <f>'在建-土建'!BG5</f>
        <v>0</v>
      </c>
      <c r="BH5" s="109"/>
      <c r="BI5" s="109"/>
      <c r="BJ5" s="109"/>
      <c r="BK5" s="109"/>
      <c r="BL5" s="109"/>
      <c r="BM5" s="109"/>
      <c r="BN5" s="109"/>
      <c r="BO5" s="110"/>
      <c r="BP5" s="109"/>
      <c r="BQ5" s="110"/>
      <c r="BR5" s="103"/>
      <c r="BS5" s="103"/>
      <c r="BT5" s="642" t="str">
        <f>BB2</f>
        <v>2025年7月31日</v>
      </c>
      <c r="BV5" s="643"/>
      <c r="BY5" s="678"/>
      <c r="BZ5" s="111"/>
      <c r="CB5" s="78"/>
      <c r="CG5" s="194"/>
      <c r="CH5" s="111"/>
    </row>
    <row r="6" s="72" customFormat="1" ht="25.2" customHeight="1" spans="1:86">
      <c r="A6" s="195" t="s">
        <v>305</v>
      </c>
      <c r="B6" s="149" t="s">
        <v>4348</v>
      </c>
      <c r="C6" s="149" t="s">
        <v>4350</v>
      </c>
      <c r="D6" s="149" t="s">
        <v>4351</v>
      </c>
      <c r="E6" s="149" t="s">
        <v>4353</v>
      </c>
      <c r="F6" s="114" t="s">
        <v>1631</v>
      </c>
      <c r="G6" s="115" t="s">
        <v>1632</v>
      </c>
      <c r="H6" s="116" t="s">
        <v>3793</v>
      </c>
      <c r="I6" s="149" t="s">
        <v>1549</v>
      </c>
      <c r="J6" s="196" t="s">
        <v>1634</v>
      </c>
      <c r="K6" s="149" t="s">
        <v>1523</v>
      </c>
      <c r="L6" s="149" t="s">
        <v>1550</v>
      </c>
      <c r="M6" s="149" t="s">
        <v>1525</v>
      </c>
      <c r="N6" s="149" t="s">
        <v>1551</v>
      </c>
      <c r="O6" s="149" t="s">
        <v>308</v>
      </c>
      <c r="P6" s="191" t="s">
        <v>4354</v>
      </c>
      <c r="BA6" s="100" t="s">
        <v>1545</v>
      </c>
      <c r="BB6" s="100" t="s">
        <v>1635</v>
      </c>
      <c r="BC6" s="100" t="s">
        <v>1636</v>
      </c>
      <c r="BD6" s="100" t="s">
        <v>1637</v>
      </c>
      <c r="BE6" s="100" t="s">
        <v>1638</v>
      </c>
      <c r="BF6" s="115" t="s">
        <v>1639</v>
      </c>
      <c r="BG6" s="115" t="s">
        <v>1640</v>
      </c>
      <c r="BH6" s="118" t="s">
        <v>1748</v>
      </c>
      <c r="BI6" s="118" t="s">
        <v>4217</v>
      </c>
      <c r="BJ6" s="118" t="s">
        <v>3695</v>
      </c>
      <c r="BK6" s="118" t="s">
        <v>1712</v>
      </c>
      <c r="BL6" s="118" t="s">
        <v>3696</v>
      </c>
      <c r="BM6" s="118" t="s">
        <v>4355</v>
      </c>
      <c r="BN6" s="118" t="s">
        <v>1641</v>
      </c>
      <c r="BO6" s="118" t="s">
        <v>2209</v>
      </c>
      <c r="BP6" s="118" t="s">
        <v>3697</v>
      </c>
      <c r="BQ6" s="118" t="s">
        <v>1644</v>
      </c>
      <c r="BR6" s="191" t="s">
        <v>4408</v>
      </c>
      <c r="BS6" s="224" t="s">
        <v>4356</v>
      </c>
      <c r="BT6" s="224" t="s">
        <v>4357</v>
      </c>
      <c r="BU6" s="224" t="s">
        <v>4358</v>
      </c>
      <c r="BV6" s="224" t="s">
        <v>4359</v>
      </c>
      <c r="BW6" s="224" t="s">
        <v>3715</v>
      </c>
      <c r="BX6" s="224" t="s">
        <v>3716</v>
      </c>
      <c r="BY6" s="191" t="s">
        <v>1524</v>
      </c>
      <c r="BZ6" s="119"/>
      <c r="CA6" s="120" t="s">
        <v>1645</v>
      </c>
      <c r="CB6" s="121" t="s">
        <v>1646</v>
      </c>
      <c r="CC6" s="121" t="s">
        <v>1647</v>
      </c>
      <c r="CD6" s="121" t="s">
        <v>1648</v>
      </c>
      <c r="CE6" s="121" t="s">
        <v>1647</v>
      </c>
      <c r="CF6" s="121" t="s">
        <v>1647</v>
      </c>
      <c r="CG6" s="121" t="s">
        <v>1649</v>
      </c>
      <c r="CH6" s="122" t="s">
        <v>1650</v>
      </c>
    </row>
    <row r="7" ht="15" customHeight="1" spans="1:86">
      <c r="A7" s="123" t="str">
        <f>IF(B7="","",COUNT(A$6:A6)+1)</f>
        <v/>
      </c>
      <c r="B7" s="124"/>
      <c r="C7" s="125"/>
      <c r="D7" s="125"/>
      <c r="E7" s="281"/>
      <c r="F7" s="127"/>
      <c r="G7" s="127" t="str">
        <f>IFERROR(VLOOKUP(F7,参数表!$H$2:$I$50,2,FALSE),"")</f>
        <v/>
      </c>
      <c r="H7" s="128" t="str">
        <f>IFERROR(IF(OR(F7="人民币",F7=""),"",K7/G7),"")</f>
        <v/>
      </c>
      <c r="I7" s="129"/>
      <c r="J7" s="130"/>
      <c r="K7" s="129" t="str">
        <f>IF(B7="","",I7+J7)</f>
        <v/>
      </c>
      <c r="L7" s="129" t="str">
        <f t="shared" ref="L7:L26" si="0">IF(B7="","",IF($BB$3="是",BY7,""))</f>
        <v/>
      </c>
      <c r="M7" s="129" t="str">
        <f>IFERROR(L7-K7,"")</f>
        <v/>
      </c>
      <c r="N7" s="129" t="str">
        <f>IFERROR(M7/K7*100,"")</f>
        <v/>
      </c>
      <c r="O7" s="131"/>
      <c r="BA7" s="78"/>
      <c r="BB7" s="132" t="s">
        <v>4409</v>
      </c>
      <c r="BC7" s="133"/>
      <c r="BD7" s="132" t="str">
        <f>IF(OR(B7="",BC7=""),"",COUNTIF(BC$7:BC7,"√"))</f>
        <v/>
      </c>
      <c r="BE7" s="134" t="str">
        <f t="shared" ref="BE7:BE26" si="1">IF(BC7="","",BB7&amp;"︱"&amp;B7&amp;"︱"&amp;TEXT(I7,"#,##0.00"))</f>
        <v/>
      </c>
      <c r="BF7" s="135" t="str">
        <f>IF($B7="","",IF(BF$5=0,"OK","出错"))</f>
        <v/>
      </c>
      <c r="BG7" s="135" t="str">
        <f>IF($B7="","",IF(BG$5=0,"OK","出错"))</f>
        <v/>
      </c>
      <c r="BH7" s="136"/>
      <c r="BI7" s="137"/>
      <c r="BJ7" s="136"/>
      <c r="BK7" s="136"/>
      <c r="BL7" s="136"/>
      <c r="BM7" s="136"/>
      <c r="BN7" s="136"/>
      <c r="BO7" s="137"/>
      <c r="BP7" s="136"/>
      <c r="BQ7" s="137"/>
      <c r="BR7" s="165" t="s">
        <v>1677</v>
      </c>
      <c r="BT7" s="156">
        <f t="shared" ref="BT7:BT26" si="2">(BT$5-C7)/365.25</f>
        <v>125.582477754962</v>
      </c>
      <c r="BU7" s="223"/>
      <c r="BV7" s="156">
        <f>MIN(BT7:BU7)</f>
        <v>125.582477754962</v>
      </c>
      <c r="BW7" s="658">
        <f>LOOKUP(BV7,参数表!A$14:B$19)</f>
        <v>0</v>
      </c>
      <c r="BX7" s="156">
        <f>BS7*BV7*BW7/2</f>
        <v>0</v>
      </c>
      <c r="BY7" s="347">
        <f>BS7+BX7</f>
        <v>0</v>
      </c>
      <c r="CA7" s="134" t="str">
        <f>IF(COUNTIF(CA$6:CA6,B7)&gt;0,"",B7)&amp;""</f>
        <v/>
      </c>
      <c r="CB7" s="138">
        <f>SUMIF(B$7:B$26,CA7,K$7:K$26)</f>
        <v>0</v>
      </c>
      <c r="CC7" s="132">
        <f t="shared" ref="CC7" si="3">RANK(CB7,CB$7:CB$26)</f>
        <v>1</v>
      </c>
      <c r="CD7" s="138">
        <f>SUMIF(B$7:B$26,CA7,L$7:L$26)</f>
        <v>0</v>
      </c>
      <c r="CE7" s="132">
        <f>RANK(CD7,CD$7:CD$26)</f>
        <v>1</v>
      </c>
      <c r="CF7" s="138">
        <f>SUM(CB7:CB26)</f>
        <v>0</v>
      </c>
      <c r="CG7" s="138"/>
      <c r="CH7" s="138"/>
    </row>
    <row r="8" ht="15" customHeight="1" spans="1:86">
      <c r="A8" s="123" t="str">
        <f>IF(B8="","",COUNT(A$6:A7)+1)</f>
        <v/>
      </c>
      <c r="B8" s="139"/>
      <c r="C8" s="140"/>
      <c r="D8" s="140"/>
      <c r="E8" s="679"/>
      <c r="F8" s="142"/>
      <c r="G8" s="127" t="str">
        <f>IFERROR(VLOOKUP(F8,参数表!$H$2:$I$50,2,FALSE),"")</f>
        <v/>
      </c>
      <c r="H8" s="128" t="str">
        <f t="shared" ref="H8:H26" si="4">IFERROR(IF(OR(F8="人民币",F8=""),"",K8/G8),"")</f>
        <v/>
      </c>
      <c r="I8" s="143"/>
      <c r="J8" s="144"/>
      <c r="K8" s="129" t="str">
        <f t="shared" ref="K8:K26" si="5">IF(B8="","",I8+J8)</f>
        <v/>
      </c>
      <c r="L8" s="129" t="str">
        <f t="shared" si="0"/>
        <v/>
      </c>
      <c r="M8" s="129" t="str">
        <f t="shared" ref="M8:M26" si="6">IFERROR(L8-K8,"")</f>
        <v/>
      </c>
      <c r="N8" s="129" t="str">
        <f t="shared" ref="N8:N26" si="7">IFERROR(M8/K8*100,"")</f>
        <v/>
      </c>
      <c r="O8" s="145"/>
      <c r="BA8" s="78"/>
      <c r="BB8" s="132" t="s">
        <v>4410</v>
      </c>
      <c r="BC8" s="133"/>
      <c r="BD8" s="132" t="str">
        <f>IF(OR(B8="",BC8=""),"",COUNTIF(BC$7:BC8,"√"))</f>
        <v/>
      </c>
      <c r="BE8" s="134" t="str">
        <f t="shared" si="1"/>
        <v/>
      </c>
      <c r="BF8" s="135" t="str">
        <f t="shared" ref="BF8:BG26" si="8">IF($B8="","",IF(BF$5=0,"OK","出错"))</f>
        <v/>
      </c>
      <c r="BG8" s="135" t="str">
        <f t="shared" si="8"/>
        <v/>
      </c>
      <c r="BH8" s="136"/>
      <c r="BI8" s="137"/>
      <c r="BJ8" s="136"/>
      <c r="BK8" s="136"/>
      <c r="BL8" s="136"/>
      <c r="BM8" s="136"/>
      <c r="BN8" s="136"/>
      <c r="BO8" s="137"/>
      <c r="BP8" s="136"/>
      <c r="BQ8" s="137"/>
      <c r="BR8" s="165" t="s">
        <v>1677</v>
      </c>
      <c r="BT8" s="156">
        <f t="shared" si="2"/>
        <v>125.582477754962</v>
      </c>
      <c r="BU8" s="223"/>
      <c r="BV8" s="156">
        <f t="shared" ref="BV8:BV26" si="9">MIN(BT8:BU8)</f>
        <v>125.582477754962</v>
      </c>
      <c r="BW8" s="658">
        <f>LOOKUP(BV8,参数表!A$14:B$19)</f>
        <v>0</v>
      </c>
      <c r="BX8" s="156">
        <f t="shared" ref="BX8:BX26" si="10">BS8*BV8*BW8/2</f>
        <v>0</v>
      </c>
      <c r="BY8" s="347">
        <f t="shared" ref="BY8:BY26" si="11">BS8+BX8</f>
        <v>0</v>
      </c>
      <c r="CA8" s="134" t="str">
        <f>IF(COUNTIF(CA$6:CA7,B8)&gt;0,"",B8)&amp;""</f>
        <v/>
      </c>
      <c r="CB8" s="138">
        <f t="shared" ref="CB8:CB26" si="12">SUMIF(B$7:B$26,CA8,K$7:K$26)</f>
        <v>0</v>
      </c>
      <c r="CC8" s="132">
        <f t="shared" ref="CC8:CC26" si="13">RANK(CB8,CB$7:CB$26)</f>
        <v>1</v>
      </c>
      <c r="CD8" s="138">
        <f t="shared" ref="CD8:CD26" si="14">SUMIF(B$7:B$26,CA8,L$7:L$26)</f>
        <v>0</v>
      </c>
      <c r="CE8" s="132">
        <f t="shared" ref="CE8:CE26" si="15">RANK(CD8,CD$7:CD$26)</f>
        <v>1</v>
      </c>
      <c r="CF8" s="138">
        <f>SUM(CD7:CD26)</f>
        <v>0</v>
      </c>
      <c r="CG8" s="138"/>
      <c r="CH8" s="138"/>
    </row>
    <row r="9" ht="15" customHeight="1" spans="1:86">
      <c r="A9" s="123" t="str">
        <f>IF(B9="","",COUNT(A$6:A8)+1)</f>
        <v/>
      </c>
      <c r="B9" s="139"/>
      <c r="C9" s="140"/>
      <c r="D9" s="140"/>
      <c r="E9" s="679"/>
      <c r="F9" s="142"/>
      <c r="G9" s="127" t="str">
        <f>IFERROR(VLOOKUP(F9,参数表!$H$2:$I$50,2,FALSE),"")</f>
        <v/>
      </c>
      <c r="H9" s="128" t="str">
        <f t="shared" si="4"/>
        <v/>
      </c>
      <c r="I9" s="143"/>
      <c r="J9" s="144"/>
      <c r="K9" s="129" t="str">
        <f t="shared" si="5"/>
        <v/>
      </c>
      <c r="L9" s="129" t="str">
        <f t="shared" si="0"/>
        <v/>
      </c>
      <c r="M9" s="129" t="str">
        <f t="shared" si="6"/>
        <v/>
      </c>
      <c r="N9" s="129" t="str">
        <f t="shared" si="7"/>
        <v/>
      </c>
      <c r="O9" s="145"/>
      <c r="BA9" s="78"/>
      <c r="BB9" s="132" t="s">
        <v>4411</v>
      </c>
      <c r="BC9" s="133"/>
      <c r="BD9" s="132" t="str">
        <f>IF(OR(B9="",BC9=""),"",COUNTIF(BC$7:BC9,"√"))</f>
        <v/>
      </c>
      <c r="BE9" s="134" t="str">
        <f t="shared" si="1"/>
        <v/>
      </c>
      <c r="BF9" s="135" t="str">
        <f t="shared" si="8"/>
        <v/>
      </c>
      <c r="BG9" s="135" t="str">
        <f t="shared" si="8"/>
        <v/>
      </c>
      <c r="BH9" s="136"/>
      <c r="BI9" s="137"/>
      <c r="BJ9" s="136"/>
      <c r="BK9" s="136"/>
      <c r="BL9" s="136"/>
      <c r="BM9" s="136"/>
      <c r="BN9" s="136"/>
      <c r="BO9" s="137"/>
      <c r="BP9" s="136"/>
      <c r="BQ9" s="137"/>
      <c r="BR9" s="165" t="s">
        <v>1677</v>
      </c>
      <c r="BT9" s="156">
        <f t="shared" si="2"/>
        <v>125.582477754962</v>
      </c>
      <c r="BU9" s="223"/>
      <c r="BV9" s="156">
        <f t="shared" si="9"/>
        <v>125.582477754962</v>
      </c>
      <c r="BW9" s="658">
        <f>LOOKUP(BV9,参数表!A$14:B$19)</f>
        <v>0</v>
      </c>
      <c r="BX9" s="156">
        <f t="shared" si="10"/>
        <v>0</v>
      </c>
      <c r="BY9" s="347">
        <f t="shared" si="11"/>
        <v>0</v>
      </c>
      <c r="CA9" s="134" t="str">
        <f>IF(COUNTIF(CA$6:CA8,B9)&gt;0,"",B9)&amp;""</f>
        <v/>
      </c>
      <c r="CB9" s="138">
        <f t="shared" si="12"/>
        <v>0</v>
      </c>
      <c r="CC9" s="132">
        <f t="shared" si="13"/>
        <v>1</v>
      </c>
      <c r="CD9" s="138">
        <f t="shared" si="14"/>
        <v>0</v>
      </c>
      <c r="CE9" s="132">
        <f t="shared" si="15"/>
        <v>1</v>
      </c>
      <c r="CF9" s="132">
        <v>1</v>
      </c>
      <c r="CG9" s="134" t="str">
        <f>IFERROR(INDEX(CA$7:CA$26,MATCH(CF9,IF(CF$7=0,CE$7:CE$26,CC$7:CC$26),0))&amp;"","")</f>
        <v/>
      </c>
      <c r="CH9" s="146" t="str">
        <f>IF(CG10="","",IF(CG11="","和","、"))</f>
        <v/>
      </c>
    </row>
    <row r="10" ht="15" customHeight="1" spans="1:86">
      <c r="A10" s="123" t="str">
        <f>IF(B10="","",COUNT(A$6:A9)+1)</f>
        <v/>
      </c>
      <c r="B10" s="139"/>
      <c r="C10" s="140"/>
      <c r="D10" s="140"/>
      <c r="E10" s="679"/>
      <c r="F10" s="142"/>
      <c r="G10" s="127" t="str">
        <f>IFERROR(VLOOKUP(F10,参数表!$H$2:$I$50,2,FALSE),"")</f>
        <v/>
      </c>
      <c r="H10" s="128" t="str">
        <f t="shared" si="4"/>
        <v/>
      </c>
      <c r="I10" s="143"/>
      <c r="J10" s="144"/>
      <c r="K10" s="129" t="str">
        <f t="shared" si="5"/>
        <v/>
      </c>
      <c r="L10" s="129" t="str">
        <f t="shared" si="0"/>
        <v/>
      </c>
      <c r="M10" s="129" t="str">
        <f t="shared" si="6"/>
        <v/>
      </c>
      <c r="N10" s="129" t="str">
        <f t="shared" si="7"/>
        <v/>
      </c>
      <c r="O10" s="145"/>
      <c r="BA10" s="78"/>
      <c r="BB10" s="132" t="s">
        <v>4412</v>
      </c>
      <c r="BC10" s="133"/>
      <c r="BD10" s="132" t="str">
        <f>IF(OR(B10="",BC10=""),"",COUNTIF(BC$7:BC10,"√"))</f>
        <v/>
      </c>
      <c r="BE10" s="134" t="str">
        <f t="shared" si="1"/>
        <v/>
      </c>
      <c r="BF10" s="135" t="str">
        <f t="shared" si="8"/>
        <v/>
      </c>
      <c r="BG10" s="135" t="str">
        <f t="shared" si="8"/>
        <v/>
      </c>
      <c r="BH10" s="136"/>
      <c r="BI10" s="137"/>
      <c r="BJ10" s="136"/>
      <c r="BK10" s="136"/>
      <c r="BL10" s="136"/>
      <c r="BM10" s="136"/>
      <c r="BN10" s="136"/>
      <c r="BO10" s="137"/>
      <c r="BP10" s="136"/>
      <c r="BQ10" s="137"/>
      <c r="BR10" s="165" t="s">
        <v>1677</v>
      </c>
      <c r="BT10" s="156">
        <f t="shared" si="2"/>
        <v>125.582477754962</v>
      </c>
      <c r="BU10" s="223"/>
      <c r="BV10" s="156">
        <f t="shared" si="9"/>
        <v>125.582477754962</v>
      </c>
      <c r="BW10" s="658">
        <f>LOOKUP(BV10,参数表!A$14:B$19)</f>
        <v>0</v>
      </c>
      <c r="BX10" s="156">
        <f t="shared" si="10"/>
        <v>0</v>
      </c>
      <c r="BY10" s="347">
        <f t="shared" si="11"/>
        <v>0</v>
      </c>
      <c r="CA10" s="134" t="str">
        <f>IF(COUNTIF(CA$6:CA9,B10)&gt;0,"",B10)&amp;""</f>
        <v/>
      </c>
      <c r="CB10" s="138">
        <f t="shared" si="12"/>
        <v>0</v>
      </c>
      <c r="CC10" s="132">
        <f t="shared" si="13"/>
        <v>1</v>
      </c>
      <c r="CD10" s="138">
        <f t="shared" si="14"/>
        <v>0</v>
      </c>
      <c r="CE10" s="132">
        <f t="shared" si="15"/>
        <v>1</v>
      </c>
      <c r="CF10" s="132">
        <v>2</v>
      </c>
      <c r="CG10" s="134" t="str">
        <f t="shared" ref="CG10:CG13" si="16">IFERROR(INDEX(CA$7:CA$26,MATCH(CF10,IF(CF$7=0,CE$7:CE$26,CC$7:CC$26),0))&amp;"","")</f>
        <v/>
      </c>
      <c r="CH10" s="146" t="str">
        <f t="shared" ref="CH10:CH11" si="17">IF(CG11="","",IF(CG12="","和","、"))</f>
        <v/>
      </c>
    </row>
    <row r="11" ht="15" customHeight="1" spans="1:86">
      <c r="A11" s="123" t="str">
        <f>IF(B11="","",COUNT(A$6:A10)+1)</f>
        <v/>
      </c>
      <c r="B11" s="139"/>
      <c r="C11" s="140"/>
      <c r="D11" s="140"/>
      <c r="E11" s="679"/>
      <c r="F11" s="142"/>
      <c r="G11" s="127" t="str">
        <f>IFERROR(VLOOKUP(F11,参数表!$H$2:$I$50,2,FALSE),"")</f>
        <v/>
      </c>
      <c r="H11" s="128" t="str">
        <f t="shared" si="4"/>
        <v/>
      </c>
      <c r="I11" s="143"/>
      <c r="J11" s="144"/>
      <c r="K11" s="129" t="str">
        <f t="shared" si="5"/>
        <v/>
      </c>
      <c r="L11" s="129" t="str">
        <f t="shared" si="0"/>
        <v/>
      </c>
      <c r="M11" s="129" t="str">
        <f t="shared" si="6"/>
        <v/>
      </c>
      <c r="N11" s="129" t="str">
        <f t="shared" si="7"/>
        <v/>
      </c>
      <c r="O11" s="145"/>
      <c r="BA11" s="78"/>
      <c r="BB11" s="132" t="s">
        <v>4413</v>
      </c>
      <c r="BC11" s="133"/>
      <c r="BD11" s="132" t="str">
        <f>IF(OR(B11="",BC11=""),"",COUNTIF(BC$7:BC11,"√"))</f>
        <v/>
      </c>
      <c r="BE11" s="134" t="str">
        <f t="shared" si="1"/>
        <v/>
      </c>
      <c r="BF11" s="135" t="str">
        <f t="shared" si="8"/>
        <v/>
      </c>
      <c r="BG11" s="135" t="str">
        <f t="shared" si="8"/>
        <v/>
      </c>
      <c r="BH11" s="136"/>
      <c r="BI11" s="137"/>
      <c r="BJ11" s="136"/>
      <c r="BK11" s="136"/>
      <c r="BL11" s="136"/>
      <c r="BM11" s="136"/>
      <c r="BN11" s="136"/>
      <c r="BO11" s="137"/>
      <c r="BP11" s="136"/>
      <c r="BQ11" s="137"/>
      <c r="BR11" s="165" t="s">
        <v>1677</v>
      </c>
      <c r="BT11" s="156">
        <f t="shared" si="2"/>
        <v>125.582477754962</v>
      </c>
      <c r="BU11" s="223"/>
      <c r="BV11" s="156">
        <f t="shared" si="9"/>
        <v>125.582477754962</v>
      </c>
      <c r="BW11" s="658">
        <f>LOOKUP(BV11,参数表!A$14:B$19)</f>
        <v>0</v>
      </c>
      <c r="BX11" s="156">
        <f t="shared" si="10"/>
        <v>0</v>
      </c>
      <c r="BY11" s="347">
        <f t="shared" si="11"/>
        <v>0</v>
      </c>
      <c r="CA11" s="134" t="str">
        <f>IF(COUNTIF(CA$6:CA10,B11)&gt;0,"",B11)&amp;""</f>
        <v/>
      </c>
      <c r="CB11" s="138">
        <f t="shared" si="12"/>
        <v>0</v>
      </c>
      <c r="CC11" s="132">
        <f t="shared" si="13"/>
        <v>1</v>
      </c>
      <c r="CD11" s="138">
        <f t="shared" si="14"/>
        <v>0</v>
      </c>
      <c r="CE11" s="132">
        <f t="shared" si="15"/>
        <v>1</v>
      </c>
      <c r="CF11" s="132">
        <v>3</v>
      </c>
      <c r="CG11" s="134" t="str">
        <f t="shared" si="16"/>
        <v/>
      </c>
      <c r="CH11" s="146" t="str">
        <f t="shared" si="17"/>
        <v/>
      </c>
    </row>
    <row r="12" ht="15" customHeight="1" spans="1:86">
      <c r="A12" s="123" t="str">
        <f>IF(B12="","",COUNT(A$6:A11)+1)</f>
        <v/>
      </c>
      <c r="B12" s="139"/>
      <c r="C12" s="140"/>
      <c r="D12" s="140"/>
      <c r="E12" s="679"/>
      <c r="F12" s="142"/>
      <c r="G12" s="127" t="str">
        <f>IFERROR(VLOOKUP(F12,参数表!$H$2:$I$50,2,FALSE),"")</f>
        <v/>
      </c>
      <c r="H12" s="128" t="str">
        <f t="shared" si="4"/>
        <v/>
      </c>
      <c r="I12" s="143"/>
      <c r="J12" s="144"/>
      <c r="K12" s="129" t="str">
        <f t="shared" si="5"/>
        <v/>
      </c>
      <c r="L12" s="129" t="str">
        <f t="shared" si="0"/>
        <v/>
      </c>
      <c r="M12" s="129" t="str">
        <f t="shared" si="6"/>
        <v/>
      </c>
      <c r="N12" s="129" t="str">
        <f t="shared" si="7"/>
        <v/>
      </c>
      <c r="O12" s="145"/>
      <c r="BA12" s="78"/>
      <c r="BB12" s="132" t="s">
        <v>4414</v>
      </c>
      <c r="BC12" s="133"/>
      <c r="BD12" s="132" t="str">
        <f>IF(OR(B12="",BC12=""),"",COUNTIF(BC$7:BC12,"√"))</f>
        <v/>
      </c>
      <c r="BE12" s="134" t="str">
        <f t="shared" si="1"/>
        <v/>
      </c>
      <c r="BF12" s="135" t="str">
        <f t="shared" si="8"/>
        <v/>
      </c>
      <c r="BG12" s="135" t="str">
        <f t="shared" si="8"/>
        <v/>
      </c>
      <c r="BH12" s="136"/>
      <c r="BI12" s="137"/>
      <c r="BJ12" s="136"/>
      <c r="BK12" s="136"/>
      <c r="BL12" s="136"/>
      <c r="BM12" s="136"/>
      <c r="BN12" s="136"/>
      <c r="BO12" s="137"/>
      <c r="BP12" s="136"/>
      <c r="BQ12" s="137"/>
      <c r="BR12" s="165" t="s">
        <v>1677</v>
      </c>
      <c r="BT12" s="156">
        <f t="shared" si="2"/>
        <v>125.582477754962</v>
      </c>
      <c r="BU12" s="223"/>
      <c r="BV12" s="156">
        <f t="shared" si="9"/>
        <v>125.582477754962</v>
      </c>
      <c r="BW12" s="658">
        <f>LOOKUP(BV12,参数表!A$14:B$19)</f>
        <v>0</v>
      </c>
      <c r="BX12" s="156">
        <f t="shared" si="10"/>
        <v>0</v>
      </c>
      <c r="BY12" s="347">
        <f t="shared" si="11"/>
        <v>0</v>
      </c>
      <c r="CA12" s="134" t="str">
        <f>IF(COUNTIF(CA$6:CA11,B12)&gt;0,"",B12)&amp;""</f>
        <v/>
      </c>
      <c r="CB12" s="138">
        <f t="shared" si="12"/>
        <v>0</v>
      </c>
      <c r="CC12" s="132">
        <f t="shared" si="13"/>
        <v>1</v>
      </c>
      <c r="CD12" s="138">
        <f t="shared" si="14"/>
        <v>0</v>
      </c>
      <c r="CE12" s="132">
        <f t="shared" si="15"/>
        <v>1</v>
      </c>
      <c r="CF12" s="132">
        <v>4</v>
      </c>
      <c r="CG12" s="134" t="str">
        <f t="shared" si="16"/>
        <v/>
      </c>
      <c r="CH12" s="146" t="str">
        <f>IF(CG13="","","和")</f>
        <v/>
      </c>
    </row>
    <row r="13" ht="15" customHeight="1" spans="1:86">
      <c r="A13" s="123" t="str">
        <f>IF(B13="","",COUNT(A$6:A12)+1)</f>
        <v/>
      </c>
      <c r="B13" s="139"/>
      <c r="C13" s="140"/>
      <c r="D13" s="140"/>
      <c r="E13" s="679"/>
      <c r="F13" s="142"/>
      <c r="G13" s="127" t="str">
        <f>IFERROR(VLOOKUP(F13,参数表!$H$2:$I$50,2,FALSE),"")</f>
        <v/>
      </c>
      <c r="H13" s="128" t="str">
        <f t="shared" si="4"/>
        <v/>
      </c>
      <c r="I13" s="143"/>
      <c r="J13" s="144"/>
      <c r="K13" s="129" t="str">
        <f t="shared" si="5"/>
        <v/>
      </c>
      <c r="L13" s="129" t="str">
        <f t="shared" si="0"/>
        <v/>
      </c>
      <c r="M13" s="129" t="str">
        <f t="shared" si="6"/>
        <v/>
      </c>
      <c r="N13" s="129" t="str">
        <f t="shared" si="7"/>
        <v/>
      </c>
      <c r="O13" s="145"/>
      <c r="BA13" s="78"/>
      <c r="BB13" s="132" t="s">
        <v>4415</v>
      </c>
      <c r="BC13" s="133"/>
      <c r="BD13" s="132" t="str">
        <f>IF(OR(B13="",BC13=""),"",COUNTIF(BC$7:BC13,"√"))</f>
        <v/>
      </c>
      <c r="BE13" s="134" t="str">
        <f t="shared" si="1"/>
        <v/>
      </c>
      <c r="BF13" s="135" t="str">
        <f t="shared" si="8"/>
        <v/>
      </c>
      <c r="BG13" s="135" t="str">
        <f t="shared" si="8"/>
        <v/>
      </c>
      <c r="BH13" s="136"/>
      <c r="BI13" s="137"/>
      <c r="BJ13" s="136"/>
      <c r="BK13" s="136"/>
      <c r="BL13" s="136"/>
      <c r="BM13" s="136"/>
      <c r="BN13" s="136"/>
      <c r="BO13" s="137"/>
      <c r="BP13" s="136"/>
      <c r="BQ13" s="137"/>
      <c r="BR13" s="165" t="s">
        <v>1677</v>
      </c>
      <c r="BT13" s="156">
        <f t="shared" si="2"/>
        <v>125.582477754962</v>
      </c>
      <c r="BU13" s="223"/>
      <c r="BV13" s="156">
        <f t="shared" si="9"/>
        <v>125.582477754962</v>
      </c>
      <c r="BW13" s="658">
        <f>LOOKUP(BV13,参数表!A$14:B$19)</f>
        <v>0</v>
      </c>
      <c r="BX13" s="156">
        <f t="shared" si="10"/>
        <v>0</v>
      </c>
      <c r="BY13" s="347">
        <f t="shared" si="11"/>
        <v>0</v>
      </c>
      <c r="CA13" s="134" t="str">
        <f>IF(COUNTIF(CA$6:CA12,B13)&gt;0,"",B13)&amp;""</f>
        <v/>
      </c>
      <c r="CB13" s="138">
        <f t="shared" si="12"/>
        <v>0</v>
      </c>
      <c r="CC13" s="132">
        <f t="shared" si="13"/>
        <v>1</v>
      </c>
      <c r="CD13" s="138">
        <f t="shared" si="14"/>
        <v>0</v>
      </c>
      <c r="CE13" s="132">
        <f t="shared" si="15"/>
        <v>1</v>
      </c>
      <c r="CF13" s="132">
        <v>5</v>
      </c>
      <c r="CG13" s="134" t="str">
        <f t="shared" si="16"/>
        <v/>
      </c>
      <c r="CH13" s="146"/>
    </row>
    <row r="14" ht="15" customHeight="1" spans="1:86">
      <c r="A14" s="123" t="str">
        <f>IF(B14="","",COUNT(A$6:A13)+1)</f>
        <v/>
      </c>
      <c r="B14" s="139"/>
      <c r="C14" s="140"/>
      <c r="D14" s="140"/>
      <c r="E14" s="679"/>
      <c r="F14" s="142"/>
      <c r="G14" s="127" t="str">
        <f>IFERROR(VLOOKUP(F14,参数表!$H$2:$I$50,2,FALSE),"")</f>
        <v/>
      </c>
      <c r="H14" s="128" t="str">
        <f t="shared" si="4"/>
        <v/>
      </c>
      <c r="I14" s="143"/>
      <c r="J14" s="144"/>
      <c r="K14" s="129" t="str">
        <f t="shared" si="5"/>
        <v/>
      </c>
      <c r="L14" s="129" t="str">
        <f t="shared" si="0"/>
        <v/>
      </c>
      <c r="M14" s="129" t="str">
        <f t="shared" si="6"/>
        <v/>
      </c>
      <c r="N14" s="129" t="str">
        <f t="shared" si="7"/>
        <v/>
      </c>
      <c r="O14" s="145"/>
      <c r="BA14" s="78"/>
      <c r="BB14" s="132" t="s">
        <v>4416</v>
      </c>
      <c r="BC14" s="133"/>
      <c r="BD14" s="132" t="str">
        <f>IF(OR(B14="",BC14=""),"",COUNTIF(BC$7:BC14,"√"))</f>
        <v/>
      </c>
      <c r="BE14" s="134" t="str">
        <f t="shared" si="1"/>
        <v/>
      </c>
      <c r="BF14" s="135" t="str">
        <f t="shared" si="8"/>
        <v/>
      </c>
      <c r="BG14" s="135" t="str">
        <f t="shared" si="8"/>
        <v/>
      </c>
      <c r="BH14" s="136"/>
      <c r="BI14" s="137"/>
      <c r="BJ14" s="136"/>
      <c r="BK14" s="136"/>
      <c r="BL14" s="136"/>
      <c r="BM14" s="136"/>
      <c r="BN14" s="136"/>
      <c r="BO14" s="137"/>
      <c r="BP14" s="136"/>
      <c r="BQ14" s="137"/>
      <c r="BR14" s="165" t="s">
        <v>1677</v>
      </c>
      <c r="BT14" s="156">
        <f t="shared" si="2"/>
        <v>125.582477754962</v>
      </c>
      <c r="BU14" s="223"/>
      <c r="BV14" s="156">
        <f t="shared" si="9"/>
        <v>125.582477754962</v>
      </c>
      <c r="BW14" s="658">
        <f>LOOKUP(BV14,参数表!A$14:B$19)</f>
        <v>0</v>
      </c>
      <c r="BX14" s="156">
        <f t="shared" si="10"/>
        <v>0</v>
      </c>
      <c r="BY14" s="347">
        <f t="shared" si="11"/>
        <v>0</v>
      </c>
      <c r="CA14" s="134" t="str">
        <f>IF(COUNTIF(CA$6:CA13,B14)&gt;0,"",B14)&amp;""</f>
        <v/>
      </c>
      <c r="CB14" s="138">
        <f t="shared" si="12"/>
        <v>0</v>
      </c>
      <c r="CC14" s="132">
        <f t="shared" si="13"/>
        <v>1</v>
      </c>
      <c r="CD14" s="138">
        <f t="shared" si="14"/>
        <v>0</v>
      </c>
      <c r="CE14" s="132">
        <f t="shared" si="15"/>
        <v>1</v>
      </c>
      <c r="CF14" s="147" t="s">
        <v>1659</v>
      </c>
      <c r="CG14" s="132" t="str">
        <f>CONCATENATE(CG9,CH9,CG10,CH10,CG11,CH11,CG12,CH12,CG13)</f>
        <v/>
      </c>
      <c r="CH14" s="132"/>
    </row>
    <row r="15" ht="15" customHeight="1" spans="1:86">
      <c r="A15" s="123" t="str">
        <f>IF(B15="","",COUNT(A$6:A14)+1)</f>
        <v/>
      </c>
      <c r="B15" s="139"/>
      <c r="C15" s="140"/>
      <c r="D15" s="140"/>
      <c r="E15" s="679"/>
      <c r="F15" s="142"/>
      <c r="G15" s="127" t="str">
        <f>IFERROR(VLOOKUP(F15,参数表!$H$2:$I$50,2,FALSE),"")</f>
        <v/>
      </c>
      <c r="H15" s="128" t="str">
        <f t="shared" si="4"/>
        <v/>
      </c>
      <c r="I15" s="143"/>
      <c r="J15" s="144"/>
      <c r="K15" s="129" t="str">
        <f t="shared" si="5"/>
        <v/>
      </c>
      <c r="L15" s="129" t="str">
        <f t="shared" si="0"/>
        <v/>
      </c>
      <c r="M15" s="129" t="str">
        <f t="shared" si="6"/>
        <v/>
      </c>
      <c r="N15" s="129" t="str">
        <f t="shared" si="7"/>
        <v/>
      </c>
      <c r="O15" s="145"/>
      <c r="BA15" s="78"/>
      <c r="BB15" s="132" t="s">
        <v>4417</v>
      </c>
      <c r="BC15" s="133"/>
      <c r="BD15" s="132" t="str">
        <f>IF(OR(B15="",BC15=""),"",COUNTIF(BC$7:BC15,"√"))</f>
        <v/>
      </c>
      <c r="BE15" s="134" t="str">
        <f t="shared" si="1"/>
        <v/>
      </c>
      <c r="BF15" s="135" t="str">
        <f t="shared" si="8"/>
        <v/>
      </c>
      <c r="BG15" s="135" t="str">
        <f t="shared" si="8"/>
        <v/>
      </c>
      <c r="BH15" s="136"/>
      <c r="BI15" s="137"/>
      <c r="BJ15" s="136"/>
      <c r="BK15" s="136"/>
      <c r="BL15" s="136"/>
      <c r="BM15" s="136"/>
      <c r="BN15" s="136"/>
      <c r="BO15" s="137"/>
      <c r="BP15" s="136"/>
      <c r="BQ15" s="137"/>
      <c r="BR15" s="165" t="s">
        <v>1677</v>
      </c>
      <c r="BT15" s="156">
        <f t="shared" si="2"/>
        <v>125.582477754962</v>
      </c>
      <c r="BU15" s="223"/>
      <c r="BV15" s="156">
        <f t="shared" si="9"/>
        <v>125.582477754962</v>
      </c>
      <c r="BW15" s="658">
        <f>LOOKUP(BV15,参数表!A$14:B$19)</f>
        <v>0</v>
      </c>
      <c r="BX15" s="156">
        <f t="shared" si="10"/>
        <v>0</v>
      </c>
      <c r="BY15" s="347">
        <f t="shared" si="11"/>
        <v>0</v>
      </c>
      <c r="CA15" s="134" t="str">
        <f>IF(COUNTIF(CA$6:CA14,B15)&gt;0,"",B15)&amp;""</f>
        <v/>
      </c>
      <c r="CB15" s="138">
        <f t="shared" si="12"/>
        <v>0</v>
      </c>
      <c r="CC15" s="132">
        <f t="shared" si="13"/>
        <v>1</v>
      </c>
      <c r="CD15" s="138">
        <f t="shared" si="14"/>
        <v>0</v>
      </c>
      <c r="CE15" s="132">
        <f t="shared" si="15"/>
        <v>1</v>
      </c>
      <c r="CF15" s="133"/>
      <c r="CG15" s="133"/>
    </row>
    <row r="16" ht="15" customHeight="1" spans="1:86">
      <c r="A16" s="123" t="str">
        <f>IF(B16="","",COUNT(A$6:A15)+1)</f>
        <v/>
      </c>
      <c r="B16" s="139"/>
      <c r="C16" s="140"/>
      <c r="D16" s="140"/>
      <c r="E16" s="679"/>
      <c r="F16" s="142"/>
      <c r="G16" s="127" t="str">
        <f>IFERROR(VLOOKUP(F16,参数表!$H$2:$I$50,2,FALSE),"")</f>
        <v/>
      </c>
      <c r="H16" s="128" t="str">
        <f t="shared" si="4"/>
        <v/>
      </c>
      <c r="I16" s="143"/>
      <c r="J16" s="144"/>
      <c r="K16" s="129" t="str">
        <f t="shared" si="5"/>
        <v/>
      </c>
      <c r="L16" s="129" t="str">
        <f t="shared" si="0"/>
        <v/>
      </c>
      <c r="M16" s="129" t="str">
        <f t="shared" si="6"/>
        <v/>
      </c>
      <c r="N16" s="129" t="str">
        <f t="shared" si="7"/>
        <v/>
      </c>
      <c r="O16" s="145"/>
      <c r="BA16" s="78"/>
      <c r="BB16" s="132" t="s">
        <v>4418</v>
      </c>
      <c r="BC16" s="133"/>
      <c r="BD16" s="132" t="str">
        <f>IF(OR(B16="",BC16=""),"",COUNTIF(BC$7:BC16,"√"))</f>
        <v/>
      </c>
      <c r="BE16" s="134" t="str">
        <f t="shared" si="1"/>
        <v/>
      </c>
      <c r="BF16" s="135" t="str">
        <f t="shared" si="8"/>
        <v/>
      </c>
      <c r="BG16" s="135" t="str">
        <f t="shared" si="8"/>
        <v/>
      </c>
      <c r="BH16" s="136"/>
      <c r="BI16" s="137"/>
      <c r="BJ16" s="136"/>
      <c r="BK16" s="136"/>
      <c r="BL16" s="136"/>
      <c r="BM16" s="136"/>
      <c r="BN16" s="136"/>
      <c r="BO16" s="137"/>
      <c r="BP16" s="136"/>
      <c r="BQ16" s="137"/>
      <c r="BR16" s="165" t="s">
        <v>1677</v>
      </c>
      <c r="BT16" s="156">
        <f t="shared" si="2"/>
        <v>125.582477754962</v>
      </c>
      <c r="BU16" s="223"/>
      <c r="BV16" s="156">
        <f t="shared" si="9"/>
        <v>125.582477754962</v>
      </c>
      <c r="BW16" s="658">
        <f>LOOKUP(BV16,参数表!A$14:B$19)</f>
        <v>0</v>
      </c>
      <c r="BX16" s="156">
        <f t="shared" si="10"/>
        <v>0</v>
      </c>
      <c r="BY16" s="347">
        <f t="shared" si="11"/>
        <v>0</v>
      </c>
      <c r="CA16" s="134" t="str">
        <f>IF(COUNTIF(CA$6:CA15,B16)&gt;0,"",B16)&amp;""</f>
        <v/>
      </c>
      <c r="CB16" s="138">
        <f t="shared" si="12"/>
        <v>0</v>
      </c>
      <c r="CC16" s="132">
        <f t="shared" si="13"/>
        <v>1</v>
      </c>
      <c r="CD16" s="138">
        <f t="shared" si="14"/>
        <v>0</v>
      </c>
      <c r="CE16" s="132">
        <f t="shared" si="15"/>
        <v>1</v>
      </c>
      <c r="CF16" s="133"/>
      <c r="CG16" s="148"/>
    </row>
    <row r="17" ht="15" customHeight="1" spans="1:86">
      <c r="A17" s="123" t="str">
        <f>IF(B17="","",COUNT(A$6:A16)+1)</f>
        <v/>
      </c>
      <c r="B17" s="139"/>
      <c r="C17" s="140"/>
      <c r="D17" s="140"/>
      <c r="E17" s="679"/>
      <c r="F17" s="142"/>
      <c r="G17" s="127" t="str">
        <f>IFERROR(VLOOKUP(F17,参数表!$H$2:$I$50,2,FALSE),"")</f>
        <v/>
      </c>
      <c r="H17" s="128" t="str">
        <f t="shared" si="4"/>
        <v/>
      </c>
      <c r="I17" s="143"/>
      <c r="J17" s="144"/>
      <c r="K17" s="129" t="str">
        <f t="shared" si="5"/>
        <v/>
      </c>
      <c r="L17" s="129" t="str">
        <f t="shared" si="0"/>
        <v/>
      </c>
      <c r="M17" s="129" t="str">
        <f t="shared" si="6"/>
        <v/>
      </c>
      <c r="N17" s="129" t="str">
        <f t="shared" si="7"/>
        <v/>
      </c>
      <c r="O17" s="145"/>
      <c r="BA17" s="78"/>
      <c r="BB17" s="132" t="s">
        <v>4419</v>
      </c>
      <c r="BC17" s="133"/>
      <c r="BD17" s="132" t="str">
        <f>IF(OR(B17="",BC17=""),"",COUNTIF(BC$7:BC17,"√"))</f>
        <v/>
      </c>
      <c r="BE17" s="134" t="str">
        <f t="shared" si="1"/>
        <v/>
      </c>
      <c r="BF17" s="135" t="str">
        <f t="shared" si="8"/>
        <v/>
      </c>
      <c r="BG17" s="135" t="str">
        <f t="shared" si="8"/>
        <v/>
      </c>
      <c r="BH17" s="136"/>
      <c r="BI17" s="137"/>
      <c r="BJ17" s="136"/>
      <c r="BK17" s="136"/>
      <c r="BL17" s="136"/>
      <c r="BM17" s="136"/>
      <c r="BN17" s="136"/>
      <c r="BO17" s="137"/>
      <c r="BP17" s="136"/>
      <c r="BQ17" s="137"/>
      <c r="BR17" s="165" t="s">
        <v>1677</v>
      </c>
      <c r="BT17" s="156">
        <f t="shared" si="2"/>
        <v>125.582477754962</v>
      </c>
      <c r="BU17" s="223"/>
      <c r="BV17" s="156">
        <f t="shared" si="9"/>
        <v>125.582477754962</v>
      </c>
      <c r="BW17" s="658">
        <f>LOOKUP(BV17,参数表!A$14:B$19)</f>
        <v>0</v>
      </c>
      <c r="BX17" s="156">
        <f t="shared" si="10"/>
        <v>0</v>
      </c>
      <c r="BY17" s="347">
        <f t="shared" si="11"/>
        <v>0</v>
      </c>
      <c r="CA17" s="134" t="str">
        <f>IF(COUNTIF(CA$6:CA16,B17)&gt;0,"",B17)&amp;""</f>
        <v/>
      </c>
      <c r="CB17" s="138">
        <f t="shared" si="12"/>
        <v>0</v>
      </c>
      <c r="CC17" s="132">
        <f t="shared" si="13"/>
        <v>1</v>
      </c>
      <c r="CD17" s="138">
        <f t="shared" si="14"/>
        <v>0</v>
      </c>
      <c r="CE17" s="132">
        <f t="shared" si="15"/>
        <v>1</v>
      </c>
      <c r="CF17" s="133"/>
      <c r="CG17" s="133"/>
    </row>
    <row r="18" ht="15" customHeight="1" spans="1:86">
      <c r="A18" s="123" t="str">
        <f>IF(B18="","",COUNT(A$6:A17)+1)</f>
        <v/>
      </c>
      <c r="B18" s="139"/>
      <c r="C18" s="140"/>
      <c r="D18" s="140"/>
      <c r="E18" s="679"/>
      <c r="F18" s="142"/>
      <c r="G18" s="127" t="str">
        <f>IFERROR(VLOOKUP(F18,参数表!$H$2:$I$50,2,FALSE),"")</f>
        <v/>
      </c>
      <c r="H18" s="128" t="str">
        <f t="shared" si="4"/>
        <v/>
      </c>
      <c r="I18" s="143"/>
      <c r="J18" s="144"/>
      <c r="K18" s="129" t="str">
        <f t="shared" si="5"/>
        <v/>
      </c>
      <c r="L18" s="129" t="str">
        <f t="shared" si="0"/>
        <v/>
      </c>
      <c r="M18" s="129" t="str">
        <f t="shared" si="6"/>
        <v/>
      </c>
      <c r="N18" s="129" t="str">
        <f t="shared" si="7"/>
        <v/>
      </c>
      <c r="O18" s="145"/>
      <c r="BA18" s="78"/>
      <c r="BB18" s="132" t="s">
        <v>4420</v>
      </c>
      <c r="BC18" s="133"/>
      <c r="BD18" s="132" t="str">
        <f>IF(OR(B18="",BC18=""),"",COUNTIF(BC$7:BC18,"√"))</f>
        <v/>
      </c>
      <c r="BE18" s="134" t="str">
        <f t="shared" si="1"/>
        <v/>
      </c>
      <c r="BF18" s="135" t="str">
        <f t="shared" si="8"/>
        <v/>
      </c>
      <c r="BG18" s="135" t="str">
        <f t="shared" si="8"/>
        <v/>
      </c>
      <c r="BH18" s="136"/>
      <c r="BI18" s="137"/>
      <c r="BJ18" s="136"/>
      <c r="BK18" s="136"/>
      <c r="BL18" s="136"/>
      <c r="BM18" s="136"/>
      <c r="BN18" s="136"/>
      <c r="BO18" s="137"/>
      <c r="BP18" s="136"/>
      <c r="BQ18" s="137"/>
      <c r="BR18" s="165" t="s">
        <v>1677</v>
      </c>
      <c r="BT18" s="156">
        <f t="shared" si="2"/>
        <v>125.582477754962</v>
      </c>
      <c r="BU18" s="223"/>
      <c r="BV18" s="156">
        <f t="shared" si="9"/>
        <v>125.582477754962</v>
      </c>
      <c r="BW18" s="658">
        <f>LOOKUP(BV18,参数表!A$14:B$19)</f>
        <v>0</v>
      </c>
      <c r="BX18" s="156">
        <f t="shared" si="10"/>
        <v>0</v>
      </c>
      <c r="BY18" s="347">
        <f t="shared" si="11"/>
        <v>0</v>
      </c>
      <c r="CA18" s="134" t="str">
        <f>IF(COUNTIF(CA$6:CA17,B18)&gt;0,"",B18)&amp;""</f>
        <v/>
      </c>
      <c r="CB18" s="138">
        <f t="shared" si="12"/>
        <v>0</v>
      </c>
      <c r="CC18" s="132">
        <f t="shared" si="13"/>
        <v>1</v>
      </c>
      <c r="CD18" s="138">
        <f t="shared" si="14"/>
        <v>0</v>
      </c>
      <c r="CE18" s="132">
        <f t="shared" si="15"/>
        <v>1</v>
      </c>
      <c r="CF18" s="133"/>
      <c r="CG18" s="133"/>
    </row>
    <row r="19" ht="15" customHeight="1" spans="1:86">
      <c r="A19" s="123" t="str">
        <f>IF(B19="","",COUNT(A$6:A18)+1)</f>
        <v/>
      </c>
      <c r="B19" s="139"/>
      <c r="C19" s="140"/>
      <c r="D19" s="140"/>
      <c r="E19" s="679"/>
      <c r="F19" s="142"/>
      <c r="G19" s="127" t="str">
        <f>IFERROR(VLOOKUP(F19,参数表!$H$2:$I$50,2,FALSE),"")</f>
        <v/>
      </c>
      <c r="H19" s="128" t="str">
        <f t="shared" si="4"/>
        <v/>
      </c>
      <c r="I19" s="143"/>
      <c r="J19" s="144"/>
      <c r="K19" s="129" t="str">
        <f t="shared" si="5"/>
        <v/>
      </c>
      <c r="L19" s="129" t="str">
        <f t="shared" si="0"/>
        <v/>
      </c>
      <c r="M19" s="129" t="str">
        <f t="shared" si="6"/>
        <v/>
      </c>
      <c r="N19" s="129" t="str">
        <f t="shared" si="7"/>
        <v/>
      </c>
      <c r="O19" s="145"/>
      <c r="BA19" s="78"/>
      <c r="BB19" s="132" t="s">
        <v>4421</v>
      </c>
      <c r="BC19" s="133"/>
      <c r="BD19" s="132" t="str">
        <f>IF(OR(B19="",BC19=""),"",COUNTIF(BC$7:BC19,"√"))</f>
        <v/>
      </c>
      <c r="BE19" s="134" t="str">
        <f t="shared" si="1"/>
        <v/>
      </c>
      <c r="BF19" s="135" t="str">
        <f t="shared" si="8"/>
        <v/>
      </c>
      <c r="BG19" s="135" t="str">
        <f t="shared" si="8"/>
        <v/>
      </c>
      <c r="BH19" s="136"/>
      <c r="BI19" s="137"/>
      <c r="BJ19" s="136"/>
      <c r="BK19" s="136"/>
      <c r="BL19" s="136"/>
      <c r="BM19" s="136"/>
      <c r="BN19" s="136"/>
      <c r="BO19" s="137"/>
      <c r="BP19" s="136"/>
      <c r="BQ19" s="137"/>
      <c r="BR19" s="165" t="s">
        <v>1677</v>
      </c>
      <c r="BT19" s="156">
        <f t="shared" si="2"/>
        <v>125.582477754962</v>
      </c>
      <c r="BU19" s="223"/>
      <c r="BV19" s="156">
        <f t="shared" si="9"/>
        <v>125.582477754962</v>
      </c>
      <c r="BW19" s="658">
        <f>LOOKUP(BV19,参数表!A$14:B$19)</f>
        <v>0</v>
      </c>
      <c r="BX19" s="156">
        <f t="shared" si="10"/>
        <v>0</v>
      </c>
      <c r="BY19" s="347">
        <f t="shared" si="11"/>
        <v>0</v>
      </c>
      <c r="CA19" s="134" t="str">
        <f>IF(COUNTIF(CA$6:CA18,B19)&gt;0,"",B19)&amp;""</f>
        <v/>
      </c>
      <c r="CB19" s="138">
        <f t="shared" si="12"/>
        <v>0</v>
      </c>
      <c r="CC19" s="132">
        <f t="shared" si="13"/>
        <v>1</v>
      </c>
      <c r="CD19" s="138">
        <f t="shared" si="14"/>
        <v>0</v>
      </c>
      <c r="CE19" s="132">
        <f t="shared" si="15"/>
        <v>1</v>
      </c>
      <c r="CF19" s="133"/>
      <c r="CG19" s="133"/>
    </row>
    <row r="20" ht="15" customHeight="1" spans="1:86">
      <c r="A20" s="123" t="str">
        <f>IF(B20="","",COUNT(A$6:A19)+1)</f>
        <v/>
      </c>
      <c r="B20" s="139"/>
      <c r="C20" s="140"/>
      <c r="D20" s="140"/>
      <c r="E20" s="679"/>
      <c r="F20" s="142"/>
      <c r="G20" s="127" t="str">
        <f>IFERROR(VLOOKUP(F20,参数表!$H$2:$I$50,2,FALSE),"")</f>
        <v/>
      </c>
      <c r="H20" s="128" t="str">
        <f t="shared" si="4"/>
        <v/>
      </c>
      <c r="I20" s="143"/>
      <c r="J20" s="144"/>
      <c r="K20" s="129" t="str">
        <f t="shared" si="5"/>
        <v/>
      </c>
      <c r="L20" s="129" t="str">
        <f t="shared" si="0"/>
        <v/>
      </c>
      <c r="M20" s="129" t="str">
        <f t="shared" si="6"/>
        <v/>
      </c>
      <c r="N20" s="129" t="str">
        <f t="shared" si="7"/>
        <v/>
      </c>
      <c r="O20" s="145"/>
      <c r="BA20" s="78"/>
      <c r="BB20" s="132" t="s">
        <v>4422</v>
      </c>
      <c r="BC20" s="133"/>
      <c r="BD20" s="132" t="str">
        <f>IF(OR(B20="",BC20=""),"",COUNTIF(BC$7:BC20,"√"))</f>
        <v/>
      </c>
      <c r="BE20" s="134" t="str">
        <f t="shared" si="1"/>
        <v/>
      </c>
      <c r="BF20" s="135" t="str">
        <f t="shared" si="8"/>
        <v/>
      </c>
      <c r="BG20" s="135" t="str">
        <f t="shared" si="8"/>
        <v/>
      </c>
      <c r="BH20" s="136"/>
      <c r="BI20" s="137"/>
      <c r="BJ20" s="136"/>
      <c r="BK20" s="136"/>
      <c r="BL20" s="136"/>
      <c r="BM20" s="136"/>
      <c r="BN20" s="136"/>
      <c r="BO20" s="137"/>
      <c r="BP20" s="136"/>
      <c r="BQ20" s="137"/>
      <c r="BR20" s="165" t="s">
        <v>1677</v>
      </c>
      <c r="BT20" s="156">
        <f t="shared" si="2"/>
        <v>125.582477754962</v>
      </c>
      <c r="BU20" s="223"/>
      <c r="BV20" s="156">
        <f t="shared" si="9"/>
        <v>125.582477754962</v>
      </c>
      <c r="BW20" s="658">
        <f>LOOKUP(BV20,参数表!A$14:B$19)</f>
        <v>0</v>
      </c>
      <c r="BX20" s="156">
        <f t="shared" si="10"/>
        <v>0</v>
      </c>
      <c r="BY20" s="347">
        <f t="shared" si="11"/>
        <v>0</v>
      </c>
      <c r="CA20" s="134" t="str">
        <f>IF(COUNTIF(CA$6:CA19,B20)&gt;0,"",B20)&amp;""</f>
        <v/>
      </c>
      <c r="CB20" s="138">
        <f t="shared" si="12"/>
        <v>0</v>
      </c>
      <c r="CC20" s="132">
        <f t="shared" si="13"/>
        <v>1</v>
      </c>
      <c r="CD20" s="138">
        <f t="shared" si="14"/>
        <v>0</v>
      </c>
      <c r="CE20" s="132">
        <f t="shared" si="15"/>
        <v>1</v>
      </c>
      <c r="CF20" s="133"/>
      <c r="CG20" s="133"/>
    </row>
    <row r="21" ht="15" customHeight="1" spans="1:86">
      <c r="A21" s="123" t="str">
        <f>IF(B21="","",COUNT(A$6:A20)+1)</f>
        <v/>
      </c>
      <c r="B21" s="139"/>
      <c r="C21" s="140"/>
      <c r="D21" s="140"/>
      <c r="E21" s="679"/>
      <c r="F21" s="142"/>
      <c r="G21" s="127" t="str">
        <f>IFERROR(VLOOKUP(F21,参数表!$H$2:$I$50,2,FALSE),"")</f>
        <v/>
      </c>
      <c r="H21" s="128" t="str">
        <f t="shared" si="4"/>
        <v/>
      </c>
      <c r="I21" s="143"/>
      <c r="J21" s="144"/>
      <c r="K21" s="129" t="str">
        <f t="shared" si="5"/>
        <v/>
      </c>
      <c r="L21" s="129" t="str">
        <f t="shared" si="0"/>
        <v/>
      </c>
      <c r="M21" s="129" t="str">
        <f t="shared" si="6"/>
        <v/>
      </c>
      <c r="N21" s="129" t="str">
        <f t="shared" si="7"/>
        <v/>
      </c>
      <c r="O21" s="145"/>
      <c r="BA21" s="78"/>
      <c r="BB21" s="132" t="s">
        <v>4423</v>
      </c>
      <c r="BC21" s="133"/>
      <c r="BD21" s="132" t="str">
        <f>IF(OR(B21="",BC21=""),"",COUNTIF(BC$7:BC21,"√"))</f>
        <v/>
      </c>
      <c r="BE21" s="134" t="str">
        <f t="shared" si="1"/>
        <v/>
      </c>
      <c r="BF21" s="135" t="str">
        <f t="shared" si="8"/>
        <v/>
      </c>
      <c r="BG21" s="135" t="str">
        <f t="shared" si="8"/>
        <v/>
      </c>
      <c r="BH21" s="136"/>
      <c r="BI21" s="137"/>
      <c r="BJ21" s="136"/>
      <c r="BK21" s="136"/>
      <c r="BL21" s="136"/>
      <c r="BM21" s="136"/>
      <c r="BN21" s="136"/>
      <c r="BO21" s="137"/>
      <c r="BP21" s="136"/>
      <c r="BQ21" s="137"/>
      <c r="BR21" s="165" t="s">
        <v>1677</v>
      </c>
      <c r="BT21" s="156">
        <f t="shared" si="2"/>
        <v>125.582477754962</v>
      </c>
      <c r="BU21" s="223"/>
      <c r="BV21" s="156">
        <f t="shared" si="9"/>
        <v>125.582477754962</v>
      </c>
      <c r="BW21" s="658">
        <f>LOOKUP(BV21,参数表!A$14:B$19)</f>
        <v>0</v>
      </c>
      <c r="BX21" s="156">
        <f t="shared" si="10"/>
        <v>0</v>
      </c>
      <c r="BY21" s="347">
        <f t="shared" si="11"/>
        <v>0</v>
      </c>
      <c r="CA21" s="134" t="str">
        <f>IF(COUNTIF(CA$6:CA20,B21)&gt;0,"",B21)&amp;""</f>
        <v/>
      </c>
      <c r="CB21" s="138">
        <f t="shared" si="12"/>
        <v>0</v>
      </c>
      <c r="CC21" s="132">
        <f t="shared" si="13"/>
        <v>1</v>
      </c>
      <c r="CD21" s="138">
        <f t="shared" si="14"/>
        <v>0</v>
      </c>
      <c r="CE21" s="132">
        <f t="shared" si="15"/>
        <v>1</v>
      </c>
      <c r="CF21" s="133"/>
      <c r="CG21" s="133"/>
    </row>
    <row r="22" ht="15" customHeight="1" spans="1:86">
      <c r="A22" s="123" t="str">
        <f>IF(B22="","",COUNT(A$6:A21)+1)</f>
        <v/>
      </c>
      <c r="B22" s="139"/>
      <c r="C22" s="140"/>
      <c r="D22" s="140"/>
      <c r="E22" s="679"/>
      <c r="F22" s="142"/>
      <c r="G22" s="127" t="str">
        <f>IFERROR(VLOOKUP(F22,参数表!$H$2:$I$50,2,FALSE),"")</f>
        <v/>
      </c>
      <c r="H22" s="128" t="str">
        <f t="shared" si="4"/>
        <v/>
      </c>
      <c r="I22" s="143"/>
      <c r="J22" s="144"/>
      <c r="K22" s="129" t="str">
        <f t="shared" si="5"/>
        <v/>
      </c>
      <c r="L22" s="129" t="str">
        <f t="shared" si="0"/>
        <v/>
      </c>
      <c r="M22" s="129" t="str">
        <f t="shared" si="6"/>
        <v/>
      </c>
      <c r="N22" s="129" t="str">
        <f t="shared" si="7"/>
        <v/>
      </c>
      <c r="O22" s="145"/>
      <c r="BA22" s="78"/>
      <c r="BB22" s="132" t="s">
        <v>4424</v>
      </c>
      <c r="BC22" s="133"/>
      <c r="BD22" s="132" t="str">
        <f>IF(OR(B22="",BC22=""),"",COUNTIF(BC$7:BC22,"√"))</f>
        <v/>
      </c>
      <c r="BE22" s="134" t="str">
        <f t="shared" si="1"/>
        <v/>
      </c>
      <c r="BF22" s="135" t="str">
        <f t="shared" si="8"/>
        <v/>
      </c>
      <c r="BG22" s="135" t="str">
        <f t="shared" si="8"/>
        <v/>
      </c>
      <c r="BH22" s="136"/>
      <c r="BI22" s="137"/>
      <c r="BJ22" s="136"/>
      <c r="BK22" s="136"/>
      <c r="BL22" s="136"/>
      <c r="BM22" s="136"/>
      <c r="BN22" s="136"/>
      <c r="BO22" s="137"/>
      <c r="BP22" s="136"/>
      <c r="BQ22" s="137"/>
      <c r="BR22" s="165" t="s">
        <v>1677</v>
      </c>
      <c r="BT22" s="156">
        <f t="shared" si="2"/>
        <v>125.582477754962</v>
      </c>
      <c r="BU22" s="223"/>
      <c r="BV22" s="156">
        <f t="shared" si="9"/>
        <v>125.582477754962</v>
      </c>
      <c r="BW22" s="658">
        <f>LOOKUP(BV22,参数表!A$14:B$19)</f>
        <v>0</v>
      </c>
      <c r="BX22" s="156">
        <f t="shared" si="10"/>
        <v>0</v>
      </c>
      <c r="BY22" s="347">
        <f t="shared" si="11"/>
        <v>0</v>
      </c>
      <c r="CA22" s="134" t="str">
        <f>IF(COUNTIF(CA$6:CA21,B22)&gt;0,"",B22)&amp;""</f>
        <v/>
      </c>
      <c r="CB22" s="138">
        <f t="shared" si="12"/>
        <v>0</v>
      </c>
      <c r="CC22" s="132">
        <f t="shared" si="13"/>
        <v>1</v>
      </c>
      <c r="CD22" s="138">
        <f t="shared" si="14"/>
        <v>0</v>
      </c>
      <c r="CE22" s="132">
        <f t="shared" si="15"/>
        <v>1</v>
      </c>
      <c r="CF22" s="133"/>
      <c r="CG22" s="133"/>
    </row>
    <row r="23" ht="15" customHeight="1" spans="1:86">
      <c r="A23" s="123" t="str">
        <f>IF(B23="","",COUNT(A$6:A22)+1)</f>
        <v/>
      </c>
      <c r="B23" s="139"/>
      <c r="C23" s="140"/>
      <c r="D23" s="140"/>
      <c r="E23" s="679"/>
      <c r="F23" s="142"/>
      <c r="G23" s="127" t="str">
        <f>IFERROR(VLOOKUP(F23,参数表!$H$2:$I$50,2,FALSE),"")</f>
        <v/>
      </c>
      <c r="H23" s="128" t="str">
        <f t="shared" si="4"/>
        <v/>
      </c>
      <c r="I23" s="143"/>
      <c r="J23" s="144"/>
      <c r="K23" s="129" t="str">
        <f t="shared" si="5"/>
        <v/>
      </c>
      <c r="L23" s="129" t="str">
        <f t="shared" si="0"/>
        <v/>
      </c>
      <c r="M23" s="129" t="str">
        <f t="shared" si="6"/>
        <v/>
      </c>
      <c r="N23" s="129" t="str">
        <f t="shared" si="7"/>
        <v/>
      </c>
      <c r="O23" s="145"/>
      <c r="BA23" s="78"/>
      <c r="BB23" s="132" t="s">
        <v>4425</v>
      </c>
      <c r="BC23" s="133"/>
      <c r="BD23" s="132" t="str">
        <f>IF(OR(B23="",BC23=""),"",COUNTIF(BC$7:BC23,"√"))</f>
        <v/>
      </c>
      <c r="BE23" s="134" t="str">
        <f t="shared" si="1"/>
        <v/>
      </c>
      <c r="BF23" s="135" t="str">
        <f t="shared" si="8"/>
        <v/>
      </c>
      <c r="BG23" s="135" t="str">
        <f t="shared" si="8"/>
        <v/>
      </c>
      <c r="BH23" s="136"/>
      <c r="BI23" s="137"/>
      <c r="BJ23" s="136"/>
      <c r="BK23" s="136"/>
      <c r="BL23" s="136"/>
      <c r="BM23" s="136"/>
      <c r="BN23" s="136"/>
      <c r="BO23" s="137"/>
      <c r="BP23" s="136"/>
      <c r="BQ23" s="137"/>
      <c r="BR23" s="165" t="s">
        <v>1677</v>
      </c>
      <c r="BT23" s="156">
        <f t="shared" si="2"/>
        <v>125.582477754962</v>
      </c>
      <c r="BU23" s="223"/>
      <c r="BV23" s="156">
        <f t="shared" si="9"/>
        <v>125.582477754962</v>
      </c>
      <c r="BW23" s="658">
        <f>LOOKUP(BV23,参数表!A$14:B$19)</f>
        <v>0</v>
      </c>
      <c r="BX23" s="156">
        <f t="shared" si="10"/>
        <v>0</v>
      </c>
      <c r="BY23" s="347">
        <f t="shared" si="11"/>
        <v>0</v>
      </c>
      <c r="CA23" s="134" t="str">
        <f>IF(COUNTIF(CA$6:CA22,B23)&gt;0,"",B23)&amp;""</f>
        <v/>
      </c>
      <c r="CB23" s="138">
        <f t="shared" si="12"/>
        <v>0</v>
      </c>
      <c r="CC23" s="132">
        <f t="shared" si="13"/>
        <v>1</v>
      </c>
      <c r="CD23" s="138">
        <f t="shared" si="14"/>
        <v>0</v>
      </c>
      <c r="CE23" s="132">
        <f t="shared" si="15"/>
        <v>1</v>
      </c>
      <c r="CF23" s="133"/>
      <c r="CG23" s="133"/>
    </row>
    <row r="24" ht="15" customHeight="1" spans="1:86">
      <c r="A24" s="123" t="str">
        <f>IF(B24="","",COUNT(A$6:A23)+1)</f>
        <v/>
      </c>
      <c r="B24" s="139"/>
      <c r="C24" s="140"/>
      <c r="D24" s="140"/>
      <c r="E24" s="679"/>
      <c r="F24" s="142"/>
      <c r="G24" s="127" t="str">
        <f>IFERROR(VLOOKUP(F24,参数表!$H$2:$I$50,2,FALSE),"")</f>
        <v/>
      </c>
      <c r="H24" s="128" t="str">
        <f t="shared" si="4"/>
        <v/>
      </c>
      <c r="I24" s="143"/>
      <c r="J24" s="144"/>
      <c r="K24" s="129" t="str">
        <f t="shared" si="5"/>
        <v/>
      </c>
      <c r="L24" s="129" t="str">
        <f t="shared" si="0"/>
        <v/>
      </c>
      <c r="M24" s="129" t="str">
        <f t="shared" si="6"/>
        <v/>
      </c>
      <c r="N24" s="129" t="str">
        <f t="shared" si="7"/>
        <v/>
      </c>
      <c r="O24" s="145"/>
      <c r="BA24" s="78"/>
      <c r="BB24" s="132" t="s">
        <v>4426</v>
      </c>
      <c r="BC24" s="133"/>
      <c r="BD24" s="132" t="str">
        <f>IF(OR(B24="",BC24=""),"",COUNTIF(BC$7:BC24,"√"))</f>
        <v/>
      </c>
      <c r="BE24" s="134" t="str">
        <f t="shared" si="1"/>
        <v/>
      </c>
      <c r="BF24" s="135" t="str">
        <f t="shared" si="8"/>
        <v/>
      </c>
      <c r="BG24" s="135" t="str">
        <f t="shared" si="8"/>
        <v/>
      </c>
      <c r="BH24" s="136"/>
      <c r="BI24" s="137"/>
      <c r="BJ24" s="136"/>
      <c r="BK24" s="136"/>
      <c r="BL24" s="136"/>
      <c r="BM24" s="136"/>
      <c r="BN24" s="136"/>
      <c r="BO24" s="137"/>
      <c r="BP24" s="136"/>
      <c r="BQ24" s="137"/>
      <c r="BR24" s="165" t="s">
        <v>1677</v>
      </c>
      <c r="BT24" s="156">
        <f t="shared" si="2"/>
        <v>125.582477754962</v>
      </c>
      <c r="BU24" s="223"/>
      <c r="BV24" s="156">
        <f t="shared" si="9"/>
        <v>125.582477754962</v>
      </c>
      <c r="BW24" s="658">
        <f>LOOKUP(BV24,参数表!A$14:B$19)</f>
        <v>0</v>
      </c>
      <c r="BX24" s="156">
        <f t="shared" si="10"/>
        <v>0</v>
      </c>
      <c r="BY24" s="347">
        <f t="shared" si="11"/>
        <v>0</v>
      </c>
      <c r="CA24" s="134" t="str">
        <f>IF(COUNTIF(CA$6:CA23,B24)&gt;0,"",B24)&amp;""</f>
        <v/>
      </c>
      <c r="CB24" s="138">
        <f t="shared" si="12"/>
        <v>0</v>
      </c>
      <c r="CC24" s="132">
        <f t="shared" si="13"/>
        <v>1</v>
      </c>
      <c r="CD24" s="138">
        <f t="shared" si="14"/>
        <v>0</v>
      </c>
      <c r="CE24" s="132">
        <f t="shared" si="15"/>
        <v>1</v>
      </c>
      <c r="CF24" s="133"/>
      <c r="CG24" s="133"/>
    </row>
    <row r="25" ht="15" customHeight="1" spans="1:86">
      <c r="A25" s="123" t="str">
        <f>IF(B25="","",COUNT(A$6:A24)+1)</f>
        <v/>
      </c>
      <c r="B25" s="139"/>
      <c r="C25" s="140"/>
      <c r="D25" s="140"/>
      <c r="E25" s="679"/>
      <c r="F25" s="142"/>
      <c r="G25" s="127" t="str">
        <f>IFERROR(VLOOKUP(F25,参数表!$H$2:$I$50,2,FALSE),"")</f>
        <v/>
      </c>
      <c r="H25" s="128" t="str">
        <f t="shared" si="4"/>
        <v/>
      </c>
      <c r="I25" s="143"/>
      <c r="J25" s="144"/>
      <c r="K25" s="129" t="str">
        <f t="shared" si="5"/>
        <v/>
      </c>
      <c r="L25" s="129" t="str">
        <f t="shared" si="0"/>
        <v/>
      </c>
      <c r="M25" s="129" t="str">
        <f t="shared" si="6"/>
        <v/>
      </c>
      <c r="N25" s="129" t="str">
        <f t="shared" si="7"/>
        <v/>
      </c>
      <c r="O25" s="145"/>
      <c r="BA25" s="78"/>
      <c r="BB25" s="132" t="s">
        <v>4427</v>
      </c>
      <c r="BC25" s="133"/>
      <c r="BD25" s="132" t="str">
        <f>IF(OR(B25="",BC25=""),"",COUNTIF(BC$7:BC25,"√"))</f>
        <v/>
      </c>
      <c r="BE25" s="134" t="str">
        <f t="shared" si="1"/>
        <v/>
      </c>
      <c r="BF25" s="135" t="str">
        <f t="shared" si="8"/>
        <v/>
      </c>
      <c r="BG25" s="135" t="str">
        <f t="shared" si="8"/>
        <v/>
      </c>
      <c r="BH25" s="136"/>
      <c r="BI25" s="137"/>
      <c r="BJ25" s="136"/>
      <c r="BK25" s="136"/>
      <c r="BL25" s="136"/>
      <c r="BM25" s="136"/>
      <c r="BN25" s="136"/>
      <c r="BO25" s="137"/>
      <c r="BP25" s="136"/>
      <c r="BQ25" s="137"/>
      <c r="BR25" s="165" t="s">
        <v>1677</v>
      </c>
      <c r="BT25" s="156">
        <f t="shared" si="2"/>
        <v>125.582477754962</v>
      </c>
      <c r="BU25" s="223"/>
      <c r="BV25" s="156">
        <f t="shared" si="9"/>
        <v>125.582477754962</v>
      </c>
      <c r="BW25" s="658">
        <f>LOOKUP(BV25,参数表!A$14:B$19)</f>
        <v>0</v>
      </c>
      <c r="BX25" s="156">
        <f t="shared" si="10"/>
        <v>0</v>
      </c>
      <c r="BY25" s="347">
        <f t="shared" si="11"/>
        <v>0</v>
      </c>
      <c r="CA25" s="134" t="str">
        <f>IF(COUNTIF(CA$6:CA24,B25)&gt;0,"",B25)&amp;""</f>
        <v/>
      </c>
      <c r="CB25" s="138">
        <f t="shared" si="12"/>
        <v>0</v>
      </c>
      <c r="CC25" s="132">
        <f t="shared" si="13"/>
        <v>1</v>
      </c>
      <c r="CD25" s="138">
        <f t="shared" si="14"/>
        <v>0</v>
      </c>
      <c r="CE25" s="132">
        <f t="shared" si="15"/>
        <v>1</v>
      </c>
      <c r="CF25" s="133"/>
      <c r="CG25" s="133"/>
    </row>
    <row r="26" ht="15" customHeight="1" spans="1:86">
      <c r="A26" s="123" t="str">
        <f>IF(B26="","",COUNT(A$6:A25)+1)</f>
        <v/>
      </c>
      <c r="B26" s="124"/>
      <c r="C26" s="125"/>
      <c r="D26" s="125"/>
      <c r="E26" s="281"/>
      <c r="F26" s="127"/>
      <c r="G26" s="127" t="str">
        <f>IFERROR(VLOOKUP(F26,参数表!$H$2:$I$50,2,FALSE),"")</f>
        <v/>
      </c>
      <c r="H26" s="128" t="str">
        <f t="shared" si="4"/>
        <v/>
      </c>
      <c r="I26" s="129"/>
      <c r="J26" s="130"/>
      <c r="K26" s="129" t="str">
        <f t="shared" si="5"/>
        <v/>
      </c>
      <c r="L26" s="129" t="str">
        <f t="shared" si="0"/>
        <v/>
      </c>
      <c r="M26" s="129" t="str">
        <f t="shared" si="6"/>
        <v/>
      </c>
      <c r="N26" s="129" t="str">
        <f t="shared" si="7"/>
        <v/>
      </c>
      <c r="O26" s="131"/>
      <c r="BA26" s="78"/>
      <c r="BB26" s="132" t="s">
        <v>4428</v>
      </c>
      <c r="BC26" s="133"/>
      <c r="BD26" s="132" t="str">
        <f>IF(OR(B26="",BC26=""),"",COUNTIF(BC$7:BC26,"√"))</f>
        <v/>
      </c>
      <c r="BE26" s="134" t="str">
        <f t="shared" si="1"/>
        <v/>
      </c>
      <c r="BF26" s="135" t="str">
        <f t="shared" si="8"/>
        <v/>
      </c>
      <c r="BG26" s="135" t="str">
        <f t="shared" si="8"/>
        <v/>
      </c>
      <c r="BH26" s="136"/>
      <c r="BI26" s="137"/>
      <c r="BJ26" s="136"/>
      <c r="BK26" s="136"/>
      <c r="BL26" s="136"/>
      <c r="BM26" s="136"/>
      <c r="BN26" s="136"/>
      <c r="BO26" s="137"/>
      <c r="BP26" s="136"/>
      <c r="BQ26" s="137"/>
      <c r="BR26" s="165" t="s">
        <v>1677</v>
      </c>
      <c r="BT26" s="156">
        <f t="shared" si="2"/>
        <v>125.582477754962</v>
      </c>
      <c r="BU26" s="223"/>
      <c r="BV26" s="156">
        <f t="shared" si="9"/>
        <v>125.582477754962</v>
      </c>
      <c r="BW26" s="658">
        <f>LOOKUP(BV26,参数表!A$14:B$19)</f>
        <v>0</v>
      </c>
      <c r="BX26" s="156">
        <f t="shared" si="10"/>
        <v>0</v>
      </c>
      <c r="BY26" s="347">
        <f t="shared" si="11"/>
        <v>0</v>
      </c>
      <c r="CA26" s="134" t="str">
        <f>IF(COUNTIF(CA$6:CA25,B26)&gt;0,"",B26)&amp;""</f>
        <v/>
      </c>
      <c r="CB26" s="138">
        <f t="shared" si="12"/>
        <v>0</v>
      </c>
      <c r="CC26" s="132">
        <f t="shared" si="13"/>
        <v>1</v>
      </c>
      <c r="CD26" s="138">
        <f t="shared" si="14"/>
        <v>0</v>
      </c>
      <c r="CE26" s="132">
        <f t="shared" si="15"/>
        <v>1</v>
      </c>
      <c r="CF26" s="133"/>
      <c r="CG26" s="133"/>
    </row>
    <row r="27" s="73" customFormat="1" ht="15" customHeight="1" spans="1:86">
      <c r="A27" s="221" t="s">
        <v>1954</v>
      </c>
      <c r="B27" s="493"/>
      <c r="C27" s="356"/>
      <c r="D27" s="356"/>
      <c r="E27" s="149"/>
      <c r="F27" s="149"/>
      <c r="G27" s="149"/>
      <c r="H27" s="149"/>
      <c r="I27" s="152">
        <f>SUM(I7:I26)</f>
        <v>0</v>
      </c>
      <c r="J27" s="153"/>
      <c r="K27" s="152">
        <f>SUM(K7:K26)</f>
        <v>0</v>
      </c>
      <c r="L27" s="152">
        <f>SUM(L7:L26)</f>
        <v>0</v>
      </c>
      <c r="M27" s="152" t="str">
        <f>IF(L27-K27=0,"",(L27-K27))</f>
        <v/>
      </c>
      <c r="N27" s="152" t="str">
        <f>IF(K27=0,"",(L27-K27)/K27*100)</f>
        <v/>
      </c>
      <c r="O27" s="151"/>
      <c r="BH27" s="72"/>
      <c r="BJ27" s="72"/>
      <c r="BK27" s="72"/>
      <c r="BL27" s="72"/>
      <c r="BM27" s="72"/>
      <c r="BN27" s="72"/>
      <c r="BP27" s="72"/>
      <c r="BZ27" s="111"/>
      <c r="CA27" s="119"/>
      <c r="CB27" s="77"/>
      <c r="CC27" s="77"/>
      <c r="CD27" s="77"/>
      <c r="CE27" s="119"/>
      <c r="CF27" s="119"/>
      <c r="CG27" s="119"/>
      <c r="CH27" s="111"/>
    </row>
    <row r="28" ht="15" customHeight="1" spans="1:86">
      <c r="A28" s="124" t="s">
        <v>3434</v>
      </c>
      <c r="B28" s="124"/>
      <c r="C28" s="125"/>
      <c r="D28" s="125"/>
      <c r="E28" s="126"/>
      <c r="F28" s="126"/>
      <c r="G28" s="126"/>
      <c r="H28" s="126"/>
      <c r="I28" s="129"/>
      <c r="J28" s="130"/>
      <c r="K28" s="129">
        <f>I28+J28</f>
        <v>0</v>
      </c>
      <c r="L28" s="129"/>
      <c r="M28" s="129" t="str">
        <f>IF(L28-K28=0,"",(L28-K28))</f>
        <v/>
      </c>
      <c r="N28" s="129" t="str">
        <f>IF(K28=0,"",(L28-K28)/K28*100)</f>
        <v/>
      </c>
      <c r="O28" s="131"/>
    </row>
    <row r="29" s="73" customFormat="1" ht="15" customHeight="1" spans="1:86">
      <c r="A29" s="221" t="s">
        <v>1957</v>
      </c>
      <c r="B29" s="221"/>
      <c r="C29" s="356"/>
      <c r="D29" s="356"/>
      <c r="E29" s="149"/>
      <c r="F29" s="149"/>
      <c r="G29" s="149"/>
      <c r="H29" s="149"/>
      <c r="I29" s="152">
        <f>I27-I28</f>
        <v>0</v>
      </c>
      <c r="J29" s="153"/>
      <c r="K29" s="152">
        <f>K27-K28</f>
        <v>0</v>
      </c>
      <c r="L29" s="152">
        <f>L27-L28</f>
        <v>0</v>
      </c>
      <c r="M29" s="152" t="str">
        <f>IF(L29-K29=0,"",(L29-K29))</f>
        <v/>
      </c>
      <c r="N29" s="152" t="str">
        <f>IF(K29=0,"",(L29-K29)/K29*100)</f>
        <v/>
      </c>
      <c r="O29" s="151"/>
      <c r="BH29" s="72"/>
      <c r="BJ29" s="72"/>
      <c r="BK29" s="72"/>
      <c r="BL29" s="72"/>
      <c r="BM29" s="72"/>
      <c r="BN29" s="72"/>
      <c r="BP29" s="72"/>
      <c r="BZ29" s="77"/>
      <c r="CA29" s="78"/>
      <c r="CB29" s="77"/>
      <c r="CC29" s="78"/>
      <c r="CD29" s="78"/>
      <c r="CE29" s="78"/>
      <c r="CF29" s="78"/>
      <c r="CG29" s="78"/>
      <c r="CH29" s="77"/>
    </row>
    <row r="30" customHeight="1" spans="1:86">
      <c r="A30" s="102" t="str">
        <f>参数表!F$6</f>
        <v>产权持有单位填表人：贾广东</v>
      </c>
      <c r="B30" s="154"/>
      <c r="C30" s="154"/>
      <c r="D30" s="154"/>
      <c r="E30" s="154"/>
      <c r="F30" s="103"/>
      <c r="G30" s="103"/>
      <c r="H30" s="103"/>
      <c r="I30" s="154"/>
      <c r="J30" s="104"/>
      <c r="K30" s="103"/>
      <c r="L30" s="156" t="str">
        <f>"评估人员："&amp;封面!$G$24&amp;" "&amp;封面!$G$26</f>
        <v>评估人员： 栗祥宁</v>
      </c>
      <c r="M30" s="103"/>
      <c r="N30" s="103"/>
      <c r="O30" s="103"/>
    </row>
    <row r="31" customHeight="1" spans="1:86">
      <c r="A31" s="102" t="str">
        <f>参数表!F$7</f>
        <v>填表日期：2025年9月20日</v>
      </c>
      <c r="B31" s="154"/>
      <c r="C31" s="154"/>
      <c r="D31" s="154"/>
      <c r="E31" s="154"/>
      <c r="F31" s="103"/>
      <c r="G31" s="103"/>
      <c r="H31" s="103"/>
      <c r="I31" s="154"/>
      <c r="J31" s="104"/>
      <c r="K31" s="103"/>
      <c r="L31" s="103"/>
      <c r="M31" s="103"/>
      <c r="N31" s="103"/>
      <c r="O31" s="103"/>
    </row>
    <row r="32" hidden="1" customHeight="1" outlineLevel="1" spans="1:86">
      <c r="A32" s="157"/>
      <c r="B32" s="154" t="s">
        <v>1673</v>
      </c>
      <c r="C32" s="158"/>
      <c r="D32" s="158"/>
      <c r="E32" s="158"/>
      <c r="F32" s="158"/>
      <c r="G32" s="158"/>
      <c r="H32" s="158"/>
      <c r="I32" s="159">
        <f>SUMIF($BA7:$BA26,$BA32,I7:I26)</f>
        <v>0</v>
      </c>
      <c r="J32" s="202"/>
      <c r="K32" s="159">
        <f>SUMIF($BA7:$BA26,$BA32,K7:K26)</f>
        <v>0</v>
      </c>
      <c r="L32" s="159">
        <f>SUMIF($BA7:$BA26,$BA32,L7:L26)</f>
        <v>0</v>
      </c>
      <c r="BA32" s="161" t="s">
        <v>1674</v>
      </c>
      <c r="BH32" s="95" t="s">
        <v>1675</v>
      </c>
      <c r="BJ32" s="95" t="s">
        <v>1675</v>
      </c>
      <c r="BK32" s="95" t="s">
        <v>1675</v>
      </c>
      <c r="BL32" s="95" t="s">
        <v>1675</v>
      </c>
      <c r="BM32" s="95" t="s">
        <v>1675</v>
      </c>
      <c r="BN32" s="95" t="s">
        <v>1675</v>
      </c>
      <c r="BP32" s="95" t="s">
        <v>1675</v>
      </c>
    </row>
    <row r="33" hidden="1" customHeight="1" outlineLevel="1" spans="1:68">
      <c r="A33" s="157"/>
      <c r="B33" s="154" t="s">
        <v>1676</v>
      </c>
      <c r="C33" s="158"/>
      <c r="D33" s="158"/>
      <c r="E33" s="158"/>
      <c r="F33" s="158"/>
      <c r="G33" s="158"/>
      <c r="H33" s="158"/>
      <c r="I33" s="159">
        <f>I27-I32</f>
        <v>0</v>
      </c>
      <c r="J33" s="202"/>
      <c r="K33" s="159">
        <f>K27-K32</f>
        <v>0</v>
      </c>
      <c r="L33" s="159">
        <f>L27-L32</f>
        <v>0</v>
      </c>
      <c r="BA33" s="161" t="s">
        <v>1677</v>
      </c>
      <c r="BH33" s="95" t="s">
        <v>1678</v>
      </c>
      <c r="BJ33" s="95" t="s">
        <v>1678</v>
      </c>
      <c r="BK33" s="95" t="s">
        <v>1678</v>
      </c>
      <c r="BL33" s="95" t="s">
        <v>1678</v>
      </c>
      <c r="BM33" s="95" t="s">
        <v>1678</v>
      </c>
      <c r="BN33" s="95" t="s">
        <v>1678</v>
      </c>
      <c r="BP33" s="95" t="s">
        <v>1678</v>
      </c>
    </row>
    <row r="34" customHeight="1" collapsed="1" spans="1:68">
      <c r="A34" s="157"/>
      <c r="B34" s="158"/>
      <c r="C34" s="158"/>
      <c r="D34" s="158"/>
      <c r="E34" s="158"/>
      <c r="F34" s="158"/>
      <c r="G34" s="158"/>
      <c r="H34" s="158"/>
      <c r="I34" s="158"/>
    </row>
    <row r="35" customHeight="1" spans="1:68">
      <c r="A35" s="157"/>
      <c r="B35" s="158"/>
      <c r="C35" s="158"/>
      <c r="D35" s="158"/>
      <c r="E35" s="158"/>
      <c r="F35" s="158"/>
      <c r="G35" s="158"/>
      <c r="H35" s="158"/>
      <c r="I35" s="158"/>
    </row>
    <row r="36" customHeight="1" spans="1:68">
      <c r="A36" s="157"/>
      <c r="B36" s="158"/>
      <c r="C36" s="158"/>
      <c r="D36" s="158"/>
      <c r="E36" s="158"/>
      <c r="F36" s="158"/>
      <c r="G36" s="158"/>
      <c r="H36" s="158"/>
      <c r="I36" s="158"/>
    </row>
    <row r="37" customHeight="1" spans="1:68">
      <c r="A37" s="157"/>
      <c r="B37" s="158"/>
      <c r="C37" s="158"/>
      <c r="D37" s="158"/>
      <c r="E37" s="158"/>
      <c r="F37" s="158"/>
      <c r="G37" s="158"/>
      <c r="H37" s="158"/>
      <c r="I37" s="158"/>
    </row>
    <row r="38" customHeight="1" spans="1:68">
      <c r="A38" s="157"/>
      <c r="B38" s="158"/>
      <c r="C38" s="158"/>
      <c r="D38" s="158"/>
      <c r="E38" s="158"/>
      <c r="I38" s="158"/>
    </row>
  </sheetData>
  <sheetProtection autoFilter="0"/>
  <mergeCells count="8">
    <mergeCell ref="A2:O2"/>
    <mergeCell ref="A3:O3"/>
    <mergeCell ref="CF7:CH7"/>
    <mergeCell ref="CF8:CH8"/>
    <mergeCell ref="CG14:CH14"/>
    <mergeCell ref="A27:B27"/>
    <mergeCell ref="A28:B28"/>
    <mergeCell ref="A29:B29"/>
  </mergeCells>
  <conditionalFormatting sqref="BI7:BI26">
    <cfRule type="expression" dxfId="5" priority="5" stopIfTrue="1">
      <formula>AND(BH7="有",BI7="")</formula>
    </cfRule>
  </conditionalFormatting>
  <conditionalFormatting sqref="BO7:BO26">
    <cfRule type="expression" dxfId="5" priority="7" stopIfTrue="1">
      <formula>AND(BN7="无",BO7="")</formula>
    </cfRule>
  </conditionalFormatting>
  <conditionalFormatting sqref="BF7:BG26">
    <cfRule type="containsText" dxfId="6" priority="1" stopIfTrue="1" operator="between" text="出错">
      <formula>NOT(ISERROR(SEARCH("出错",BF7)))</formula>
    </cfRule>
  </conditionalFormatting>
  <conditionalFormatting sqref="BH8:BI25 BH26:BN26 BH7:BH25 BJ7:BN25 BP7:BP26">
    <cfRule type="expression" dxfId="5" priority="8" stopIfTrue="1">
      <formula>AND($B7&lt;&gt;"",BH7="")</formula>
    </cfRule>
  </conditionalFormatting>
  <dataValidations count="4">
    <dataValidation type="list" allowBlank="1" showInputMessage="1" showErrorMessage="1" sqref="F7:F26">
      <formula1>OFFSET(参数表!$H$2:$H$50,,,COUNTA(参数表!$H$2:$H$50))</formula1>
    </dataValidation>
    <dataValidation type="list" allowBlank="1" showInputMessage="1" showErrorMessage="1" sqref="BA7:BA26 BA32:BA33 BR7:BR26">
      <formula1>"是,否"</formula1>
    </dataValidation>
    <dataValidation type="list" allowBlank="1" showInputMessage="1" showErrorMessage="1" sqref="BC7:BC26">
      <formula1>"  ,√"</formula1>
    </dataValidation>
    <dataValidation type="list" allowBlank="1" showInputMessage="1" showErrorMessage="1" sqref="BH7:BH26 BP7:BP26 BJ7:BN26">
      <formula1>BH$32:BH$33</formula1>
    </dataValidation>
  </dataValidations>
  <hyperlinks>
    <hyperlink ref="A1" location="索引目录!E42" display="返回索引页"/>
    <hyperlink ref="B1" location="在建工程汇总!B15"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0"/>
  <dimension ref="A1:CH38"/>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5.75" customHeight="1"/>
  <cols>
    <col min="1" max="1" width="6.8" style="74" customWidth="1"/>
    <col min="2" max="2" width="22.2" style="75" customWidth="1"/>
    <col min="3" max="4" width="12.7" style="75" customWidth="1"/>
    <col min="5" max="6" width="4.6" style="75" customWidth="1" outlineLevel="1"/>
    <col min="7" max="7" width="6.1" style="75" customWidth="1" outlineLevel="1"/>
    <col min="8" max="8" width="15.7" style="75" customWidth="1" outlineLevel="1"/>
    <col min="9" max="9" width="15.7" style="76" customWidth="1" outlineLevel="1"/>
    <col min="10" max="11" width="15.7" style="75" customWidth="1"/>
    <col min="12" max="14" width="10.7" style="75" customWidth="1"/>
    <col min="15" max="15" width="9" style="75"/>
    <col min="16"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165" customWidth="1"/>
    <col min="61" max="61" width="11.5" style="75" customWidth="1"/>
    <col min="62" max="66" width="4.7" style="165" customWidth="1"/>
    <col min="67" max="67" width="10.3" style="75" customWidth="1"/>
    <col min="68" max="68" width="4.7" style="165" customWidth="1"/>
    <col min="69" max="69" width="8.7" style="75" customWidth="1"/>
    <col min="70" max="77" width="9" style="75"/>
    <col min="78" max="78" width="1.6" style="77" customWidth="1"/>
    <col min="79" max="79" width="10.6" style="78" customWidth="1"/>
    <col min="80" max="80" width="10.6" style="77" customWidth="1"/>
    <col min="81" max="81" width="4.6" style="78" customWidth="1"/>
    <col min="82" max="82" width="10.6" style="78" customWidth="1"/>
    <col min="83" max="84" width="4.6" style="78" customWidth="1"/>
    <col min="85" max="85" width="10.6" style="78" customWidth="1"/>
    <col min="86" max="86" width="5" style="77" customWidth="1"/>
    <col min="87" max="16384" width="9" style="75"/>
  </cols>
  <sheetData>
    <row r="1" s="86" customFormat="1" ht="13.8" spans="1:86">
      <c r="A1" s="203" t="s">
        <v>1591</v>
      </c>
      <c r="B1" s="204" t="s">
        <v>1592</v>
      </c>
      <c r="C1" s="204"/>
      <c r="D1" s="82"/>
      <c r="E1" s="82"/>
      <c r="F1" s="82"/>
      <c r="G1" s="82"/>
      <c r="H1" s="82"/>
      <c r="I1" s="205"/>
      <c r="J1" s="82"/>
      <c r="K1" s="82"/>
      <c r="L1" s="82"/>
      <c r="M1" s="82"/>
      <c r="N1" s="82"/>
      <c r="BA1" s="84" t="str">
        <f>参数表!BA1</f>
        <v>注意：补充特殊事项、作价等均从BA列开始填写</v>
      </c>
      <c r="BB1" s="85"/>
      <c r="BH1" s="82"/>
      <c r="BJ1" s="82"/>
      <c r="BK1" s="82"/>
      <c r="BL1" s="82"/>
      <c r="BM1" s="82"/>
      <c r="BN1" s="82"/>
      <c r="BP1" s="82"/>
      <c r="BZ1" s="87"/>
      <c r="CA1" s="88"/>
      <c r="CB1" s="87"/>
      <c r="CC1" s="88"/>
      <c r="CD1" s="88"/>
      <c r="CE1" s="88"/>
      <c r="CF1" s="88"/>
      <c r="CG1" s="88"/>
      <c r="CH1" s="87"/>
    </row>
    <row r="2" s="71" customFormat="1" ht="30" customHeight="1" spans="1:86">
      <c r="A2" s="89" t="s">
        <v>4429</v>
      </c>
      <c r="B2" s="89"/>
      <c r="C2" s="89"/>
      <c r="D2" s="89"/>
      <c r="E2" s="89"/>
      <c r="F2" s="89"/>
      <c r="G2" s="89"/>
      <c r="H2" s="89"/>
      <c r="I2" s="89"/>
      <c r="J2" s="89"/>
      <c r="K2" s="89"/>
      <c r="L2" s="89"/>
      <c r="M2" s="89"/>
      <c r="N2" s="89"/>
      <c r="BA2" s="90" t="str">
        <f>参数表!BA2</f>
        <v>评估基准日：</v>
      </c>
      <c r="BB2" s="91" t="str">
        <f>参数表!BB2</f>
        <v>2025年7月31日</v>
      </c>
      <c r="BC2" s="488"/>
      <c r="BH2" s="171"/>
      <c r="BJ2" s="171"/>
      <c r="BK2" s="171"/>
      <c r="BL2" s="171"/>
      <c r="BM2" s="171"/>
      <c r="BN2" s="171"/>
      <c r="BP2" s="171"/>
      <c r="BZ2" s="92"/>
      <c r="CA2" s="93"/>
      <c r="CB2" s="92"/>
      <c r="CC2" s="93"/>
      <c r="CD2" s="93"/>
      <c r="CE2" s="93"/>
      <c r="CF2" s="93"/>
      <c r="CG2" s="93"/>
      <c r="CH2" s="92"/>
    </row>
    <row r="3" ht="15" customHeight="1" spans="1:86">
      <c r="A3" s="94" t="str">
        <f>参数表!F5</f>
        <v>评估基准日：2025年7月31日</v>
      </c>
      <c r="B3" s="94"/>
      <c r="C3" s="94"/>
      <c r="D3" s="95"/>
      <c r="E3" s="95"/>
      <c r="F3" s="95"/>
      <c r="G3" s="95"/>
      <c r="H3" s="95"/>
      <c r="I3" s="95"/>
      <c r="J3" s="95"/>
      <c r="K3" s="95"/>
      <c r="L3" s="95"/>
      <c r="M3" s="95"/>
      <c r="N3" s="95"/>
      <c r="BA3" s="90" t="str">
        <f>参数表!BA3</f>
        <v>是否显示评估值：</v>
      </c>
      <c r="BB3" s="90" t="str">
        <f>参数表!BB3</f>
        <v>是</v>
      </c>
      <c r="BC3" s="103"/>
      <c r="CB3" s="78"/>
    </row>
    <row r="4" ht="15" customHeight="1" spans="1:86">
      <c r="A4" s="96"/>
      <c r="B4" s="94"/>
      <c r="C4" s="94"/>
      <c r="D4" s="95"/>
      <c r="E4" s="94"/>
      <c r="F4" s="94"/>
      <c r="G4" s="94"/>
      <c r="H4" s="95"/>
      <c r="I4" s="206"/>
      <c r="J4" s="98"/>
      <c r="K4" s="95"/>
      <c r="L4" s="95"/>
      <c r="M4" s="95"/>
      <c r="N4" s="98" t="str">
        <f>"表"&amp;$BA4</f>
        <v>表4-11-4</v>
      </c>
      <c r="BA4" s="274" t="str">
        <f>在建总!A10</f>
        <v>4-11-4</v>
      </c>
      <c r="BB4" s="100">
        <f>MAX(COUNTA(A7:A26),COUNTA(B7:B26),COUNTA(H7:H26),COUNTA(J7:J26))</f>
        <v>20</v>
      </c>
      <c r="BC4" s="101">
        <f>ROW(A6)+1</f>
        <v>7</v>
      </c>
      <c r="BD4" s="77"/>
      <c r="BE4" s="77"/>
      <c r="CB4" s="78"/>
    </row>
    <row r="5" ht="15" customHeight="1" spans="1:86">
      <c r="A5" s="102" t="str">
        <f>参数表!F3</f>
        <v>产权持有单位:中煤第五建设有限公司</v>
      </c>
      <c r="B5" s="103"/>
      <c r="C5" s="103"/>
      <c r="D5" s="103"/>
      <c r="E5" s="103"/>
      <c r="F5" s="103"/>
      <c r="G5" s="103"/>
      <c r="H5" s="103"/>
      <c r="I5" s="104"/>
      <c r="J5" s="103"/>
      <c r="K5" s="103"/>
      <c r="L5" s="103"/>
      <c r="M5" s="103"/>
      <c r="N5" s="98" t="s">
        <v>236</v>
      </c>
      <c r="BA5" s="103"/>
      <c r="BB5" s="105" t="str">
        <f ca="1">判断表!C80</f>
        <v>中煤第五建设有限公司第三工程处拟处置实物资产项目\[0000-3基础法明细表.xlsx]在建-预付</v>
      </c>
      <c r="BC5" s="106">
        <f>IFERROR(SUMIF(BC7:BC26,"√",J7:J26)/J27,0)</f>
        <v>0</v>
      </c>
      <c r="BD5" s="107"/>
      <c r="BE5" s="107"/>
      <c r="BF5" s="108">
        <f>'在建-土建'!BF5</f>
        <v>0</v>
      </c>
      <c r="BG5" s="108">
        <f>'在建-土建'!BG5</f>
        <v>0</v>
      </c>
      <c r="BH5" s="109"/>
      <c r="BI5" s="109"/>
      <c r="BJ5" s="109"/>
      <c r="BK5" s="109"/>
      <c r="BL5" s="109"/>
      <c r="BM5" s="109"/>
      <c r="BN5" s="109"/>
      <c r="BO5" s="110"/>
      <c r="BP5" s="109"/>
      <c r="BQ5" s="110"/>
      <c r="BR5" s="154"/>
      <c r="BS5" s="154"/>
      <c r="BT5" s="530" t="str">
        <f>BB2</f>
        <v>2025年7月31日</v>
      </c>
      <c r="BU5" s="158"/>
      <c r="BV5" s="674"/>
      <c r="BW5" s="158"/>
      <c r="BX5" s="158"/>
      <c r="BY5" s="675"/>
      <c r="BZ5" s="111"/>
      <c r="CB5" s="78"/>
      <c r="CH5" s="111"/>
    </row>
    <row r="6" s="72" customFormat="1" ht="25.2" customHeight="1" spans="1:86">
      <c r="A6" s="112" t="s">
        <v>305</v>
      </c>
      <c r="B6" s="113" t="s">
        <v>4430</v>
      </c>
      <c r="C6" s="113" t="s">
        <v>1898</v>
      </c>
      <c r="D6" s="113" t="s">
        <v>1961</v>
      </c>
      <c r="E6" s="114" t="s">
        <v>1631</v>
      </c>
      <c r="F6" s="115" t="s">
        <v>1632</v>
      </c>
      <c r="G6" s="116" t="s">
        <v>3793</v>
      </c>
      <c r="H6" s="113" t="s">
        <v>1549</v>
      </c>
      <c r="I6" s="117" t="s">
        <v>1634</v>
      </c>
      <c r="J6" s="118" t="s">
        <v>1523</v>
      </c>
      <c r="K6" s="113" t="s">
        <v>1550</v>
      </c>
      <c r="L6" s="113" t="s">
        <v>1525</v>
      </c>
      <c r="M6" s="113" t="s">
        <v>1551</v>
      </c>
      <c r="N6" s="113" t="s">
        <v>308</v>
      </c>
      <c r="O6" s="191" t="s">
        <v>4354</v>
      </c>
      <c r="BA6" s="100" t="s">
        <v>1545</v>
      </c>
      <c r="BB6" s="100" t="s">
        <v>1635</v>
      </c>
      <c r="BC6" s="100" t="s">
        <v>1636</v>
      </c>
      <c r="BD6" s="100" t="s">
        <v>1637</v>
      </c>
      <c r="BE6" s="100" t="s">
        <v>1638</v>
      </c>
      <c r="BF6" s="115" t="s">
        <v>1639</v>
      </c>
      <c r="BG6" s="115" t="s">
        <v>1640</v>
      </c>
      <c r="BH6" s="118" t="s">
        <v>1748</v>
      </c>
      <c r="BI6" s="118" t="s">
        <v>4217</v>
      </c>
      <c r="BJ6" s="118" t="s">
        <v>3695</v>
      </c>
      <c r="BK6" s="118" t="s">
        <v>1712</v>
      </c>
      <c r="BL6" s="118" t="s">
        <v>3696</v>
      </c>
      <c r="BM6" s="118" t="s">
        <v>4355</v>
      </c>
      <c r="BN6" s="118" t="s">
        <v>1641</v>
      </c>
      <c r="BO6" s="118" t="s">
        <v>2209</v>
      </c>
      <c r="BP6" s="118" t="s">
        <v>3697</v>
      </c>
      <c r="BQ6" s="118" t="s">
        <v>1644</v>
      </c>
      <c r="BR6" s="185" t="s">
        <v>4408</v>
      </c>
      <c r="BS6" s="185" t="s">
        <v>4356</v>
      </c>
      <c r="BT6" s="185" t="s">
        <v>4357</v>
      </c>
      <c r="BU6" s="185" t="s">
        <v>4358</v>
      </c>
      <c r="BV6" s="185" t="s">
        <v>4359</v>
      </c>
      <c r="BW6" s="185" t="s">
        <v>3715</v>
      </c>
      <c r="BX6" s="185" t="s">
        <v>3716</v>
      </c>
      <c r="BY6" s="185" t="s">
        <v>1524</v>
      </c>
      <c r="BZ6" s="119"/>
      <c r="CA6" s="120" t="s">
        <v>1645</v>
      </c>
      <c r="CB6" s="121" t="s">
        <v>1646</v>
      </c>
      <c r="CC6" s="121" t="s">
        <v>1647</v>
      </c>
      <c r="CD6" s="121" t="s">
        <v>1648</v>
      </c>
      <c r="CE6" s="121" t="s">
        <v>1647</v>
      </c>
      <c r="CF6" s="121" t="s">
        <v>1647</v>
      </c>
      <c r="CG6" s="121" t="s">
        <v>1649</v>
      </c>
      <c r="CH6" s="122" t="s">
        <v>1650</v>
      </c>
    </row>
    <row r="7" ht="15" customHeight="1" spans="1:86">
      <c r="A7" s="123" t="str">
        <f>IF(B7="","",COUNT(A$6:A6)+1)</f>
        <v/>
      </c>
      <c r="B7" s="124"/>
      <c r="C7" s="124"/>
      <c r="D7" s="125"/>
      <c r="E7" s="127"/>
      <c r="F7" s="127" t="str">
        <f>IFERROR(VLOOKUP(E7,参数表!$H$2:$I$50,2,FALSE),"")</f>
        <v/>
      </c>
      <c r="G7" s="128" t="str">
        <f>IFERROR(IF(OR(E7="人民币",E7=""),"",J7/F7),"")</f>
        <v/>
      </c>
      <c r="H7" s="129"/>
      <c r="I7" s="130"/>
      <c r="J7" s="129" t="str">
        <f>IF(B7="","",H7+I7)</f>
        <v/>
      </c>
      <c r="K7" s="129" t="str">
        <f t="shared" ref="K7:K26" si="0">IF(B7="","",IF($BB$3="是",BY7,""))</f>
        <v/>
      </c>
      <c r="L7" s="129" t="str">
        <f t="shared" ref="L7:L29" si="1">IFERROR(K7-J7,"")</f>
        <v/>
      </c>
      <c r="M7" s="129" t="str">
        <f t="shared" ref="M7:M29" si="2">IFERROR(L7/J7*100,"")</f>
        <v/>
      </c>
      <c r="N7" s="131"/>
      <c r="BA7" s="78"/>
      <c r="BB7" s="132" t="s">
        <v>4431</v>
      </c>
      <c r="BC7" s="133"/>
      <c r="BD7" s="132" t="str">
        <f>IF(OR(B7="",BC7=""),"",COUNTIF(BC$7:BC7,"√"))</f>
        <v/>
      </c>
      <c r="BE7" s="134" t="str">
        <f t="shared" ref="BE7:BE26" si="3">IF(BC7="","",BB7&amp;"︱"&amp;B7&amp;"︱"&amp;TEXT(H7,"#,##0.00"))</f>
        <v/>
      </c>
      <c r="BF7" s="135" t="str">
        <f>IF($B7="","",IF(BF$5=0,"OK","出错"))</f>
        <v/>
      </c>
      <c r="BG7" s="135" t="str">
        <f>IF($B7="","",IF(BG$5=0,"OK","出错"))</f>
        <v/>
      </c>
      <c r="BH7" s="136"/>
      <c r="BI7" s="137"/>
      <c r="BJ7" s="136"/>
      <c r="BK7" s="136"/>
      <c r="BL7" s="136"/>
      <c r="BM7" s="136"/>
      <c r="BN7" s="136"/>
      <c r="BO7" s="137"/>
      <c r="BP7" s="136"/>
      <c r="BQ7" s="137"/>
      <c r="BR7" s="228" t="s">
        <v>1677</v>
      </c>
      <c r="BS7" s="158"/>
      <c r="BT7" s="522">
        <f t="shared" ref="BT7:BT26" si="4">(BT$5-D7)/365.25</f>
        <v>125.582477754962</v>
      </c>
      <c r="BU7" s="676"/>
      <c r="BV7" s="522">
        <f>MIN(BT7:BU7)</f>
        <v>125.582477754962</v>
      </c>
      <c r="BW7" s="524">
        <f>LOOKUP(BV7,参数表!A$14:B$19)</f>
        <v>0</v>
      </c>
      <c r="BX7" s="522">
        <f>BS7*BV7*BW7/2</f>
        <v>0</v>
      </c>
      <c r="BY7" s="677">
        <f>BS7+BX7</f>
        <v>0</v>
      </c>
      <c r="CA7" s="134" t="str">
        <f>IF(COUNTIF(CA$6:CA6,C7)&gt;0,"",C7)&amp;""</f>
        <v/>
      </c>
      <c r="CB7" s="138">
        <f>SUMIF(C$7:C$26,CA7,J$7:J$26)</f>
        <v>0</v>
      </c>
      <c r="CC7" s="132">
        <f t="shared" ref="CC7" si="5">RANK(CB7,CB$7:CB$26)</f>
        <v>1</v>
      </c>
      <c r="CD7" s="138">
        <f>SUMIF(C$7:C$26,CA7,K$7:K$26)</f>
        <v>0</v>
      </c>
      <c r="CE7" s="132">
        <f>RANK(CD7,CD$7:CD$26)</f>
        <v>1</v>
      </c>
      <c r="CF7" s="138">
        <f>SUM(CB7:CB26)</f>
        <v>0</v>
      </c>
      <c r="CG7" s="138"/>
      <c r="CH7" s="138"/>
    </row>
    <row r="8" ht="15" customHeight="1" spans="1:86">
      <c r="A8" s="123" t="str">
        <f>IF(B8="","",COUNT(A$6:A7)+1)</f>
        <v/>
      </c>
      <c r="B8" s="139"/>
      <c r="C8" s="139"/>
      <c r="D8" s="140"/>
      <c r="E8" s="142"/>
      <c r="F8" s="127" t="str">
        <f>IFERROR(VLOOKUP(E8,参数表!$H$2:$I$50,2,FALSE),"")</f>
        <v/>
      </c>
      <c r="G8" s="128" t="str">
        <f t="shared" ref="G8:G26" si="6">IFERROR(IF(OR(E8="人民币",E8=""),"",J8/F8),"")</f>
        <v/>
      </c>
      <c r="H8" s="143"/>
      <c r="I8" s="144"/>
      <c r="J8" s="129" t="str">
        <f t="shared" ref="J8:J26" si="7">IF(B8="","",H8+I8)</f>
        <v/>
      </c>
      <c r="K8" s="129" t="str">
        <f t="shared" si="0"/>
        <v/>
      </c>
      <c r="L8" s="129" t="str">
        <f t="shared" si="1"/>
        <v/>
      </c>
      <c r="M8" s="129" t="str">
        <f t="shared" si="2"/>
        <v/>
      </c>
      <c r="N8" s="145"/>
      <c r="BA8" s="78"/>
      <c r="BB8" s="132" t="s">
        <v>4432</v>
      </c>
      <c r="BC8" s="133"/>
      <c r="BD8" s="132" t="str">
        <f>IF(OR(B8="",BC8=""),"",COUNTIF(BC$7:BC8,"√"))</f>
        <v/>
      </c>
      <c r="BE8" s="134" t="str">
        <f t="shared" si="3"/>
        <v/>
      </c>
      <c r="BF8" s="135" t="str">
        <f t="shared" ref="BF8:BG26" si="8">IF($B8="","",IF(BF$5=0,"OK","出错"))</f>
        <v/>
      </c>
      <c r="BG8" s="135" t="str">
        <f t="shared" si="8"/>
        <v/>
      </c>
      <c r="BH8" s="136"/>
      <c r="BI8" s="137"/>
      <c r="BJ8" s="136"/>
      <c r="BK8" s="136"/>
      <c r="BL8" s="136"/>
      <c r="BM8" s="136"/>
      <c r="BN8" s="136"/>
      <c r="BO8" s="137"/>
      <c r="BP8" s="136"/>
      <c r="BQ8" s="137"/>
      <c r="BR8" s="228" t="s">
        <v>1677</v>
      </c>
      <c r="BS8" s="158"/>
      <c r="BT8" s="522">
        <f t="shared" si="4"/>
        <v>125.582477754962</v>
      </c>
      <c r="BU8" s="676"/>
      <c r="BV8" s="522">
        <f t="shared" ref="BV8:BV26" si="9">MIN(BT8:BU8)</f>
        <v>125.582477754962</v>
      </c>
      <c r="BW8" s="524">
        <f>LOOKUP(BV8,参数表!A$14:B$19)</f>
        <v>0</v>
      </c>
      <c r="BX8" s="522">
        <f t="shared" ref="BX8:BX26" si="10">BS8*BV8*BW8/2</f>
        <v>0</v>
      </c>
      <c r="BY8" s="677">
        <f t="shared" ref="BY8:BY26" si="11">BS8+BX8</f>
        <v>0</v>
      </c>
      <c r="CA8" s="134" t="str">
        <f>IF(COUNTIF(CA$6:CA7,C8)&gt;0,"",C8)&amp;""</f>
        <v/>
      </c>
      <c r="CB8" s="138">
        <f t="shared" ref="CB8:CB26" si="12">SUMIF(C$7:C$26,CA8,J$7:J$26)</f>
        <v>0</v>
      </c>
      <c r="CC8" s="132">
        <f t="shared" ref="CC8:CC26" si="13">RANK(CB8,CB$7:CB$26)</f>
        <v>1</v>
      </c>
      <c r="CD8" s="138">
        <f t="shared" ref="CD8:CD26" si="14">SUMIF(C$7:C$26,CA8,K$7:K$26)</f>
        <v>0</v>
      </c>
      <c r="CE8" s="132">
        <f t="shared" ref="CE8:CE26" si="15">RANK(CD8,CD$7:CD$26)</f>
        <v>1</v>
      </c>
      <c r="CF8" s="138">
        <f>SUM(CD7:CD26)</f>
        <v>0</v>
      </c>
      <c r="CG8" s="138"/>
      <c r="CH8" s="138"/>
    </row>
    <row r="9" ht="15" customHeight="1" spans="1:86">
      <c r="A9" s="123" t="str">
        <f>IF(B9="","",COUNT(A$6:A8)+1)</f>
        <v/>
      </c>
      <c r="B9" s="139"/>
      <c r="C9" s="139"/>
      <c r="D9" s="140"/>
      <c r="E9" s="142"/>
      <c r="F9" s="127" t="str">
        <f>IFERROR(VLOOKUP(E9,参数表!$H$2:$I$50,2,FALSE),"")</f>
        <v/>
      </c>
      <c r="G9" s="128" t="str">
        <f t="shared" si="6"/>
        <v/>
      </c>
      <c r="H9" s="143"/>
      <c r="I9" s="144"/>
      <c r="J9" s="129" t="str">
        <f t="shared" si="7"/>
        <v/>
      </c>
      <c r="K9" s="129" t="str">
        <f t="shared" si="0"/>
        <v/>
      </c>
      <c r="L9" s="129" t="str">
        <f t="shared" si="1"/>
        <v/>
      </c>
      <c r="M9" s="129" t="str">
        <f t="shared" si="2"/>
        <v/>
      </c>
      <c r="N9" s="145"/>
      <c r="BA9" s="78"/>
      <c r="BB9" s="132" t="s">
        <v>4433</v>
      </c>
      <c r="BC9" s="133"/>
      <c r="BD9" s="132" t="str">
        <f>IF(OR(B9="",BC9=""),"",COUNTIF(BC$7:BC9,"√"))</f>
        <v/>
      </c>
      <c r="BE9" s="134" t="str">
        <f t="shared" si="3"/>
        <v/>
      </c>
      <c r="BF9" s="135" t="str">
        <f t="shared" si="8"/>
        <v/>
      </c>
      <c r="BG9" s="135" t="str">
        <f t="shared" si="8"/>
        <v/>
      </c>
      <c r="BH9" s="136"/>
      <c r="BI9" s="137"/>
      <c r="BJ9" s="136"/>
      <c r="BK9" s="136"/>
      <c r="BL9" s="136"/>
      <c r="BM9" s="136"/>
      <c r="BN9" s="136"/>
      <c r="BO9" s="137"/>
      <c r="BP9" s="136"/>
      <c r="BQ9" s="137"/>
      <c r="BR9" s="228" t="s">
        <v>1677</v>
      </c>
      <c r="BS9" s="158"/>
      <c r="BT9" s="522">
        <f t="shared" si="4"/>
        <v>125.582477754962</v>
      </c>
      <c r="BU9" s="676"/>
      <c r="BV9" s="522">
        <f t="shared" si="9"/>
        <v>125.582477754962</v>
      </c>
      <c r="BW9" s="524">
        <f>LOOKUP(BV9,参数表!A$14:B$19)</f>
        <v>0</v>
      </c>
      <c r="BX9" s="522">
        <f t="shared" si="10"/>
        <v>0</v>
      </c>
      <c r="BY9" s="677">
        <f t="shared" si="11"/>
        <v>0</v>
      </c>
      <c r="CA9" s="134" t="str">
        <f>IF(COUNTIF(CA$6:CA8,C9)&gt;0,"",C9)&amp;""</f>
        <v/>
      </c>
      <c r="CB9" s="138">
        <f t="shared" si="12"/>
        <v>0</v>
      </c>
      <c r="CC9" s="132">
        <f t="shared" si="13"/>
        <v>1</v>
      </c>
      <c r="CD9" s="138">
        <f t="shared" si="14"/>
        <v>0</v>
      </c>
      <c r="CE9" s="132">
        <f t="shared" si="15"/>
        <v>1</v>
      </c>
      <c r="CF9" s="132">
        <v>1</v>
      </c>
      <c r="CG9" s="134" t="str">
        <f>IFERROR(INDEX(CA$7:CA$26,MATCH(CF9,IF(CF$7=0,CE$7:CE$26,CC$7:CC$26),0))&amp;"","")</f>
        <v/>
      </c>
      <c r="CH9" s="146" t="str">
        <f>IF(CG10="","",IF(CG11="","和","、"))</f>
        <v/>
      </c>
    </row>
    <row r="10" ht="15" customHeight="1" spans="1:86">
      <c r="A10" s="123" t="str">
        <f>IF(B10="","",COUNT(A$6:A9)+1)</f>
        <v/>
      </c>
      <c r="B10" s="139"/>
      <c r="C10" s="139"/>
      <c r="D10" s="140"/>
      <c r="E10" s="142"/>
      <c r="F10" s="127" t="str">
        <f>IFERROR(VLOOKUP(E10,参数表!$H$2:$I$50,2,FALSE),"")</f>
        <v/>
      </c>
      <c r="G10" s="128" t="str">
        <f t="shared" si="6"/>
        <v/>
      </c>
      <c r="H10" s="143"/>
      <c r="I10" s="144"/>
      <c r="J10" s="129" t="str">
        <f t="shared" si="7"/>
        <v/>
      </c>
      <c r="K10" s="129" t="str">
        <f t="shared" si="0"/>
        <v/>
      </c>
      <c r="L10" s="129" t="str">
        <f t="shared" si="1"/>
        <v/>
      </c>
      <c r="M10" s="129" t="str">
        <f t="shared" si="2"/>
        <v/>
      </c>
      <c r="N10" s="145"/>
      <c r="BA10" s="78"/>
      <c r="BB10" s="132" t="s">
        <v>4434</v>
      </c>
      <c r="BC10" s="133"/>
      <c r="BD10" s="132" t="str">
        <f>IF(OR(B10="",BC10=""),"",COUNTIF(BC$7:BC10,"√"))</f>
        <v/>
      </c>
      <c r="BE10" s="134" t="str">
        <f t="shared" si="3"/>
        <v/>
      </c>
      <c r="BF10" s="135" t="str">
        <f t="shared" si="8"/>
        <v/>
      </c>
      <c r="BG10" s="135" t="str">
        <f t="shared" si="8"/>
        <v/>
      </c>
      <c r="BH10" s="136"/>
      <c r="BI10" s="137"/>
      <c r="BJ10" s="136"/>
      <c r="BK10" s="136"/>
      <c r="BL10" s="136"/>
      <c r="BM10" s="136"/>
      <c r="BN10" s="136"/>
      <c r="BO10" s="137"/>
      <c r="BP10" s="136"/>
      <c r="BQ10" s="137"/>
      <c r="BR10" s="228" t="s">
        <v>1677</v>
      </c>
      <c r="BS10" s="158"/>
      <c r="BT10" s="522">
        <f t="shared" si="4"/>
        <v>125.582477754962</v>
      </c>
      <c r="BU10" s="676"/>
      <c r="BV10" s="522">
        <f t="shared" si="9"/>
        <v>125.582477754962</v>
      </c>
      <c r="BW10" s="524">
        <f>LOOKUP(BV10,参数表!A$14:B$19)</f>
        <v>0</v>
      </c>
      <c r="BX10" s="522">
        <f t="shared" si="10"/>
        <v>0</v>
      </c>
      <c r="BY10" s="677">
        <f t="shared" si="11"/>
        <v>0</v>
      </c>
      <c r="CA10" s="134" t="str">
        <f>IF(COUNTIF(CA$6:CA9,C10)&gt;0,"",C10)&amp;""</f>
        <v/>
      </c>
      <c r="CB10" s="138">
        <f t="shared" si="12"/>
        <v>0</v>
      </c>
      <c r="CC10" s="132">
        <f t="shared" si="13"/>
        <v>1</v>
      </c>
      <c r="CD10" s="138">
        <f t="shared" si="14"/>
        <v>0</v>
      </c>
      <c r="CE10" s="132">
        <f t="shared" si="15"/>
        <v>1</v>
      </c>
      <c r="CF10" s="132">
        <v>2</v>
      </c>
      <c r="CG10" s="134" t="str">
        <f t="shared" ref="CG10:CG13" si="16">IFERROR(INDEX(CA$7:CA$26,MATCH(CF10,IF(CF$7=0,CE$7:CE$26,CC$7:CC$26),0))&amp;"","")</f>
        <v/>
      </c>
      <c r="CH10" s="146" t="str">
        <f t="shared" ref="CH10:CH11" si="17">IF(CG11="","",IF(CG12="","和","、"))</f>
        <v/>
      </c>
    </row>
    <row r="11" ht="15" customHeight="1" spans="1:86">
      <c r="A11" s="123" t="str">
        <f>IF(B11="","",COUNT(A$6:A10)+1)</f>
        <v/>
      </c>
      <c r="B11" s="139"/>
      <c r="C11" s="139"/>
      <c r="D11" s="140"/>
      <c r="E11" s="142"/>
      <c r="F11" s="127" t="str">
        <f>IFERROR(VLOOKUP(E11,参数表!$H$2:$I$50,2,FALSE),"")</f>
        <v/>
      </c>
      <c r="G11" s="128" t="str">
        <f t="shared" si="6"/>
        <v/>
      </c>
      <c r="H11" s="143"/>
      <c r="I11" s="144"/>
      <c r="J11" s="129" t="str">
        <f t="shared" si="7"/>
        <v/>
      </c>
      <c r="K11" s="129" t="str">
        <f t="shared" si="0"/>
        <v/>
      </c>
      <c r="L11" s="129" t="str">
        <f t="shared" si="1"/>
        <v/>
      </c>
      <c r="M11" s="129" t="str">
        <f t="shared" si="2"/>
        <v/>
      </c>
      <c r="N11" s="145"/>
      <c r="BA11" s="78"/>
      <c r="BB11" s="132" t="s">
        <v>4435</v>
      </c>
      <c r="BC11" s="133"/>
      <c r="BD11" s="132" t="str">
        <f>IF(OR(B11="",BC11=""),"",COUNTIF(BC$7:BC11,"√"))</f>
        <v/>
      </c>
      <c r="BE11" s="134" t="str">
        <f t="shared" si="3"/>
        <v/>
      </c>
      <c r="BF11" s="135" t="str">
        <f t="shared" si="8"/>
        <v/>
      </c>
      <c r="BG11" s="135" t="str">
        <f t="shared" si="8"/>
        <v/>
      </c>
      <c r="BH11" s="136"/>
      <c r="BI11" s="137"/>
      <c r="BJ11" s="136"/>
      <c r="BK11" s="136"/>
      <c r="BL11" s="136"/>
      <c r="BM11" s="136"/>
      <c r="BN11" s="136"/>
      <c r="BO11" s="137"/>
      <c r="BP11" s="136"/>
      <c r="BQ11" s="137"/>
      <c r="BR11" s="228" t="s">
        <v>1677</v>
      </c>
      <c r="BS11" s="158"/>
      <c r="BT11" s="522">
        <f t="shared" si="4"/>
        <v>125.582477754962</v>
      </c>
      <c r="BU11" s="676"/>
      <c r="BV11" s="522">
        <f t="shared" si="9"/>
        <v>125.582477754962</v>
      </c>
      <c r="BW11" s="524">
        <f>LOOKUP(BV11,参数表!A$14:B$19)</f>
        <v>0</v>
      </c>
      <c r="BX11" s="522">
        <f t="shared" si="10"/>
        <v>0</v>
      </c>
      <c r="BY11" s="677">
        <f t="shared" si="11"/>
        <v>0</v>
      </c>
      <c r="CA11" s="134" t="str">
        <f>IF(COUNTIF(CA$6:CA10,C11)&gt;0,"",C11)&amp;""</f>
        <v/>
      </c>
      <c r="CB11" s="138">
        <f t="shared" si="12"/>
        <v>0</v>
      </c>
      <c r="CC11" s="132">
        <f t="shared" si="13"/>
        <v>1</v>
      </c>
      <c r="CD11" s="138">
        <f t="shared" si="14"/>
        <v>0</v>
      </c>
      <c r="CE11" s="132">
        <f t="shared" si="15"/>
        <v>1</v>
      </c>
      <c r="CF11" s="132">
        <v>3</v>
      </c>
      <c r="CG11" s="134" t="str">
        <f t="shared" si="16"/>
        <v/>
      </c>
      <c r="CH11" s="146" t="str">
        <f t="shared" si="17"/>
        <v/>
      </c>
    </row>
    <row r="12" ht="15" customHeight="1" spans="1:86">
      <c r="A12" s="123" t="str">
        <f>IF(B12="","",COUNT(A$6:A11)+1)</f>
        <v/>
      </c>
      <c r="B12" s="139"/>
      <c r="C12" s="139"/>
      <c r="D12" s="140"/>
      <c r="E12" s="142"/>
      <c r="F12" s="127" t="str">
        <f>IFERROR(VLOOKUP(E12,参数表!$H$2:$I$50,2,FALSE),"")</f>
        <v/>
      </c>
      <c r="G12" s="128" t="str">
        <f t="shared" si="6"/>
        <v/>
      </c>
      <c r="H12" s="143"/>
      <c r="I12" s="144"/>
      <c r="J12" s="129" t="str">
        <f t="shared" si="7"/>
        <v/>
      </c>
      <c r="K12" s="129" t="str">
        <f t="shared" si="0"/>
        <v/>
      </c>
      <c r="L12" s="129" t="str">
        <f t="shared" si="1"/>
        <v/>
      </c>
      <c r="M12" s="129" t="str">
        <f t="shared" si="2"/>
        <v/>
      </c>
      <c r="N12" s="145"/>
      <c r="BA12" s="78"/>
      <c r="BB12" s="132" t="s">
        <v>4436</v>
      </c>
      <c r="BC12" s="133"/>
      <c r="BD12" s="132" t="str">
        <f>IF(OR(B12="",BC12=""),"",COUNTIF(BC$7:BC12,"√"))</f>
        <v/>
      </c>
      <c r="BE12" s="134" t="str">
        <f t="shared" si="3"/>
        <v/>
      </c>
      <c r="BF12" s="135" t="str">
        <f t="shared" si="8"/>
        <v/>
      </c>
      <c r="BG12" s="135" t="str">
        <f t="shared" si="8"/>
        <v/>
      </c>
      <c r="BH12" s="136"/>
      <c r="BI12" s="137"/>
      <c r="BJ12" s="136"/>
      <c r="BK12" s="136"/>
      <c r="BL12" s="136"/>
      <c r="BM12" s="136"/>
      <c r="BN12" s="136"/>
      <c r="BO12" s="137"/>
      <c r="BP12" s="136"/>
      <c r="BQ12" s="137"/>
      <c r="BR12" s="228" t="s">
        <v>1677</v>
      </c>
      <c r="BS12" s="158"/>
      <c r="BT12" s="522">
        <f t="shared" si="4"/>
        <v>125.582477754962</v>
      </c>
      <c r="BU12" s="676"/>
      <c r="BV12" s="522">
        <f t="shared" si="9"/>
        <v>125.582477754962</v>
      </c>
      <c r="BW12" s="524">
        <f>LOOKUP(BV12,参数表!A$14:B$19)</f>
        <v>0</v>
      </c>
      <c r="BX12" s="522">
        <f t="shared" si="10"/>
        <v>0</v>
      </c>
      <c r="BY12" s="677">
        <f t="shared" si="11"/>
        <v>0</v>
      </c>
      <c r="CA12" s="134" t="str">
        <f>IF(COUNTIF(CA$6:CA11,C12)&gt;0,"",C12)&amp;""</f>
        <v/>
      </c>
      <c r="CB12" s="138">
        <f t="shared" si="12"/>
        <v>0</v>
      </c>
      <c r="CC12" s="132">
        <f t="shared" si="13"/>
        <v>1</v>
      </c>
      <c r="CD12" s="138">
        <f t="shared" si="14"/>
        <v>0</v>
      </c>
      <c r="CE12" s="132">
        <f t="shared" si="15"/>
        <v>1</v>
      </c>
      <c r="CF12" s="132">
        <v>4</v>
      </c>
      <c r="CG12" s="134" t="str">
        <f t="shared" si="16"/>
        <v/>
      </c>
      <c r="CH12" s="146" t="str">
        <f>IF(CG13="","","和")</f>
        <v/>
      </c>
    </row>
    <row r="13" ht="15" customHeight="1" spans="1:86">
      <c r="A13" s="123" t="str">
        <f>IF(B13="","",COUNT(A$6:A12)+1)</f>
        <v/>
      </c>
      <c r="B13" s="139"/>
      <c r="C13" s="139"/>
      <c r="D13" s="140"/>
      <c r="E13" s="142"/>
      <c r="F13" s="127" t="str">
        <f>IFERROR(VLOOKUP(E13,参数表!$H$2:$I$50,2,FALSE),"")</f>
        <v/>
      </c>
      <c r="G13" s="128" t="str">
        <f t="shared" si="6"/>
        <v/>
      </c>
      <c r="H13" s="143"/>
      <c r="I13" s="144"/>
      <c r="J13" s="129" t="str">
        <f t="shared" si="7"/>
        <v/>
      </c>
      <c r="K13" s="129" t="str">
        <f t="shared" si="0"/>
        <v/>
      </c>
      <c r="L13" s="129" t="str">
        <f t="shared" si="1"/>
        <v/>
      </c>
      <c r="M13" s="129" t="str">
        <f t="shared" si="2"/>
        <v/>
      </c>
      <c r="N13" s="145"/>
      <c r="BA13" s="78"/>
      <c r="BB13" s="132" t="s">
        <v>4437</v>
      </c>
      <c r="BC13" s="133"/>
      <c r="BD13" s="132" t="str">
        <f>IF(OR(B13="",BC13=""),"",COUNTIF(BC$7:BC13,"√"))</f>
        <v/>
      </c>
      <c r="BE13" s="134" t="str">
        <f t="shared" si="3"/>
        <v/>
      </c>
      <c r="BF13" s="135" t="str">
        <f t="shared" si="8"/>
        <v/>
      </c>
      <c r="BG13" s="135" t="str">
        <f t="shared" si="8"/>
        <v/>
      </c>
      <c r="BH13" s="136"/>
      <c r="BI13" s="137"/>
      <c r="BJ13" s="136"/>
      <c r="BK13" s="136"/>
      <c r="BL13" s="136"/>
      <c r="BM13" s="136"/>
      <c r="BN13" s="136"/>
      <c r="BO13" s="137"/>
      <c r="BP13" s="136"/>
      <c r="BQ13" s="137"/>
      <c r="BR13" s="228" t="s">
        <v>1677</v>
      </c>
      <c r="BS13" s="158"/>
      <c r="BT13" s="522">
        <f t="shared" si="4"/>
        <v>125.582477754962</v>
      </c>
      <c r="BU13" s="676"/>
      <c r="BV13" s="522">
        <f t="shared" si="9"/>
        <v>125.582477754962</v>
      </c>
      <c r="BW13" s="524">
        <f>LOOKUP(BV13,参数表!A$14:B$19)</f>
        <v>0</v>
      </c>
      <c r="BX13" s="522">
        <f t="shared" si="10"/>
        <v>0</v>
      </c>
      <c r="BY13" s="677">
        <f t="shared" si="11"/>
        <v>0</v>
      </c>
      <c r="CA13" s="134" t="str">
        <f>IF(COUNTIF(CA$6:CA12,C13)&gt;0,"",C13)&amp;""</f>
        <v/>
      </c>
      <c r="CB13" s="138">
        <f t="shared" si="12"/>
        <v>0</v>
      </c>
      <c r="CC13" s="132">
        <f t="shared" si="13"/>
        <v>1</v>
      </c>
      <c r="CD13" s="138">
        <f t="shared" si="14"/>
        <v>0</v>
      </c>
      <c r="CE13" s="132">
        <f t="shared" si="15"/>
        <v>1</v>
      </c>
      <c r="CF13" s="132">
        <v>5</v>
      </c>
      <c r="CG13" s="134" t="str">
        <f t="shared" si="16"/>
        <v/>
      </c>
      <c r="CH13" s="146"/>
    </row>
    <row r="14" ht="15" customHeight="1" spans="1:86">
      <c r="A14" s="123" t="str">
        <f>IF(B14="","",COUNT(A$6:A13)+1)</f>
        <v/>
      </c>
      <c r="B14" s="139"/>
      <c r="C14" s="139"/>
      <c r="D14" s="140"/>
      <c r="E14" s="142"/>
      <c r="F14" s="127" t="str">
        <f>IFERROR(VLOOKUP(E14,参数表!$H$2:$I$50,2,FALSE),"")</f>
        <v/>
      </c>
      <c r="G14" s="128" t="str">
        <f t="shared" si="6"/>
        <v/>
      </c>
      <c r="H14" s="143"/>
      <c r="I14" s="144"/>
      <c r="J14" s="129" t="str">
        <f t="shared" si="7"/>
        <v/>
      </c>
      <c r="K14" s="129" t="str">
        <f t="shared" si="0"/>
        <v/>
      </c>
      <c r="L14" s="129" t="str">
        <f t="shared" si="1"/>
        <v/>
      </c>
      <c r="M14" s="129" t="str">
        <f t="shared" si="2"/>
        <v/>
      </c>
      <c r="N14" s="145"/>
      <c r="BA14" s="78"/>
      <c r="BB14" s="132" t="s">
        <v>4438</v>
      </c>
      <c r="BC14" s="133"/>
      <c r="BD14" s="132" t="str">
        <f>IF(OR(B14="",BC14=""),"",COUNTIF(BC$7:BC14,"√"))</f>
        <v/>
      </c>
      <c r="BE14" s="134" t="str">
        <f t="shared" si="3"/>
        <v/>
      </c>
      <c r="BF14" s="135" t="str">
        <f t="shared" si="8"/>
        <v/>
      </c>
      <c r="BG14" s="135" t="str">
        <f t="shared" si="8"/>
        <v/>
      </c>
      <c r="BH14" s="136"/>
      <c r="BI14" s="137"/>
      <c r="BJ14" s="136"/>
      <c r="BK14" s="136"/>
      <c r="BL14" s="136"/>
      <c r="BM14" s="136"/>
      <c r="BN14" s="136"/>
      <c r="BO14" s="137"/>
      <c r="BP14" s="136"/>
      <c r="BQ14" s="137"/>
      <c r="BR14" s="228" t="s">
        <v>1677</v>
      </c>
      <c r="BS14" s="158"/>
      <c r="BT14" s="522">
        <f t="shared" si="4"/>
        <v>125.582477754962</v>
      </c>
      <c r="BU14" s="676"/>
      <c r="BV14" s="522">
        <f t="shared" si="9"/>
        <v>125.582477754962</v>
      </c>
      <c r="BW14" s="524">
        <f>LOOKUP(BV14,参数表!A$14:B$19)</f>
        <v>0</v>
      </c>
      <c r="BX14" s="522">
        <f t="shared" si="10"/>
        <v>0</v>
      </c>
      <c r="BY14" s="677">
        <f t="shared" si="11"/>
        <v>0</v>
      </c>
      <c r="CA14" s="134" t="str">
        <f>IF(COUNTIF(CA$6:CA13,C14)&gt;0,"",C14)&amp;""</f>
        <v/>
      </c>
      <c r="CB14" s="138">
        <f t="shared" si="12"/>
        <v>0</v>
      </c>
      <c r="CC14" s="132">
        <f t="shared" si="13"/>
        <v>1</v>
      </c>
      <c r="CD14" s="138">
        <f t="shared" si="14"/>
        <v>0</v>
      </c>
      <c r="CE14" s="132">
        <f t="shared" si="15"/>
        <v>1</v>
      </c>
      <c r="CF14" s="147" t="s">
        <v>1659</v>
      </c>
      <c r="CG14" s="132" t="str">
        <f>CONCATENATE(CG9,CH9,CG10,CH10,CG11,CH11,CG12,CH12,CG13)</f>
        <v/>
      </c>
      <c r="CH14" s="132"/>
    </row>
    <row r="15" ht="15" customHeight="1" spans="1:86">
      <c r="A15" s="123" t="str">
        <f>IF(B15="","",COUNT(A$6:A14)+1)</f>
        <v/>
      </c>
      <c r="B15" s="139"/>
      <c r="C15" s="139"/>
      <c r="D15" s="140"/>
      <c r="E15" s="142"/>
      <c r="F15" s="127" t="str">
        <f>IFERROR(VLOOKUP(E15,参数表!$H$2:$I$50,2,FALSE),"")</f>
        <v/>
      </c>
      <c r="G15" s="128" t="str">
        <f t="shared" si="6"/>
        <v/>
      </c>
      <c r="H15" s="143"/>
      <c r="I15" s="144"/>
      <c r="J15" s="129" t="str">
        <f t="shared" si="7"/>
        <v/>
      </c>
      <c r="K15" s="129" t="str">
        <f t="shared" si="0"/>
        <v/>
      </c>
      <c r="L15" s="129" t="str">
        <f t="shared" si="1"/>
        <v/>
      </c>
      <c r="M15" s="129" t="str">
        <f t="shared" si="2"/>
        <v/>
      </c>
      <c r="N15" s="145"/>
      <c r="BA15" s="78"/>
      <c r="BB15" s="132" t="s">
        <v>4439</v>
      </c>
      <c r="BC15" s="133"/>
      <c r="BD15" s="132" t="str">
        <f>IF(OR(B15="",BC15=""),"",COUNTIF(BC$7:BC15,"√"))</f>
        <v/>
      </c>
      <c r="BE15" s="134" t="str">
        <f t="shared" si="3"/>
        <v/>
      </c>
      <c r="BF15" s="135" t="str">
        <f t="shared" si="8"/>
        <v/>
      </c>
      <c r="BG15" s="135" t="str">
        <f t="shared" si="8"/>
        <v/>
      </c>
      <c r="BH15" s="136"/>
      <c r="BI15" s="137"/>
      <c r="BJ15" s="136"/>
      <c r="BK15" s="136"/>
      <c r="BL15" s="136"/>
      <c r="BM15" s="136"/>
      <c r="BN15" s="136"/>
      <c r="BO15" s="137"/>
      <c r="BP15" s="136"/>
      <c r="BQ15" s="137"/>
      <c r="BR15" s="228" t="s">
        <v>1677</v>
      </c>
      <c r="BS15" s="158"/>
      <c r="BT15" s="522">
        <f t="shared" si="4"/>
        <v>125.582477754962</v>
      </c>
      <c r="BU15" s="676"/>
      <c r="BV15" s="522">
        <f t="shared" si="9"/>
        <v>125.582477754962</v>
      </c>
      <c r="BW15" s="524">
        <f>LOOKUP(BV15,参数表!A$14:B$19)</f>
        <v>0</v>
      </c>
      <c r="BX15" s="522">
        <f t="shared" si="10"/>
        <v>0</v>
      </c>
      <c r="BY15" s="677">
        <f t="shared" si="11"/>
        <v>0</v>
      </c>
      <c r="CA15" s="134" t="str">
        <f>IF(COUNTIF(CA$6:CA14,C15)&gt;0,"",C15)&amp;""</f>
        <v/>
      </c>
      <c r="CB15" s="138">
        <f t="shared" si="12"/>
        <v>0</v>
      </c>
      <c r="CC15" s="132">
        <f t="shared" si="13"/>
        <v>1</v>
      </c>
      <c r="CD15" s="138">
        <f t="shared" si="14"/>
        <v>0</v>
      </c>
      <c r="CE15" s="132">
        <f t="shared" si="15"/>
        <v>1</v>
      </c>
      <c r="CF15" s="133"/>
      <c r="CG15" s="133"/>
    </row>
    <row r="16" ht="15" customHeight="1" spans="1:86">
      <c r="A16" s="123" t="str">
        <f>IF(B16="","",COUNT(A$6:A15)+1)</f>
        <v/>
      </c>
      <c r="B16" s="139"/>
      <c r="C16" s="139"/>
      <c r="D16" s="140"/>
      <c r="E16" s="142"/>
      <c r="F16" s="127" t="str">
        <f>IFERROR(VLOOKUP(E16,参数表!$H$2:$I$50,2,FALSE),"")</f>
        <v/>
      </c>
      <c r="G16" s="128" t="str">
        <f t="shared" si="6"/>
        <v/>
      </c>
      <c r="H16" s="143"/>
      <c r="I16" s="144"/>
      <c r="J16" s="129" t="str">
        <f t="shared" si="7"/>
        <v/>
      </c>
      <c r="K16" s="129" t="str">
        <f t="shared" si="0"/>
        <v/>
      </c>
      <c r="L16" s="129" t="str">
        <f t="shared" si="1"/>
        <v/>
      </c>
      <c r="M16" s="129" t="str">
        <f t="shared" si="2"/>
        <v/>
      </c>
      <c r="N16" s="145"/>
      <c r="BA16" s="78"/>
      <c r="BB16" s="132" t="s">
        <v>4440</v>
      </c>
      <c r="BC16" s="133"/>
      <c r="BD16" s="132" t="str">
        <f>IF(OR(B16="",BC16=""),"",COUNTIF(BC$7:BC16,"√"))</f>
        <v/>
      </c>
      <c r="BE16" s="134" t="str">
        <f t="shared" si="3"/>
        <v/>
      </c>
      <c r="BF16" s="135" t="str">
        <f t="shared" si="8"/>
        <v/>
      </c>
      <c r="BG16" s="135" t="str">
        <f t="shared" si="8"/>
        <v/>
      </c>
      <c r="BH16" s="136"/>
      <c r="BI16" s="137"/>
      <c r="BJ16" s="136"/>
      <c r="BK16" s="136"/>
      <c r="BL16" s="136"/>
      <c r="BM16" s="136"/>
      <c r="BN16" s="136"/>
      <c r="BO16" s="137"/>
      <c r="BP16" s="136"/>
      <c r="BQ16" s="137"/>
      <c r="BR16" s="228" t="s">
        <v>1677</v>
      </c>
      <c r="BS16" s="158"/>
      <c r="BT16" s="522">
        <f t="shared" si="4"/>
        <v>125.582477754962</v>
      </c>
      <c r="BU16" s="676"/>
      <c r="BV16" s="522">
        <f t="shared" si="9"/>
        <v>125.582477754962</v>
      </c>
      <c r="BW16" s="524">
        <f>LOOKUP(BV16,参数表!A$14:B$19)</f>
        <v>0</v>
      </c>
      <c r="BX16" s="522">
        <f t="shared" si="10"/>
        <v>0</v>
      </c>
      <c r="BY16" s="677">
        <f t="shared" si="11"/>
        <v>0</v>
      </c>
      <c r="CA16" s="134" t="str">
        <f>IF(COUNTIF(CA$6:CA15,C16)&gt;0,"",C16)&amp;""</f>
        <v/>
      </c>
      <c r="CB16" s="138">
        <f t="shared" si="12"/>
        <v>0</v>
      </c>
      <c r="CC16" s="132">
        <f t="shared" si="13"/>
        <v>1</v>
      </c>
      <c r="CD16" s="138">
        <f t="shared" si="14"/>
        <v>0</v>
      </c>
      <c r="CE16" s="132">
        <f t="shared" si="15"/>
        <v>1</v>
      </c>
      <c r="CF16" s="133"/>
      <c r="CG16" s="148"/>
    </row>
    <row r="17" ht="15" customHeight="1" spans="1:86">
      <c r="A17" s="123" t="str">
        <f>IF(B17="","",COUNT(A$6:A16)+1)</f>
        <v/>
      </c>
      <c r="B17" s="139"/>
      <c r="C17" s="139"/>
      <c r="D17" s="140"/>
      <c r="E17" s="142"/>
      <c r="F17" s="127" t="str">
        <f>IFERROR(VLOOKUP(E17,参数表!$H$2:$I$50,2,FALSE),"")</f>
        <v/>
      </c>
      <c r="G17" s="128" t="str">
        <f t="shared" si="6"/>
        <v/>
      </c>
      <c r="H17" s="143"/>
      <c r="I17" s="144"/>
      <c r="J17" s="129" t="str">
        <f t="shared" si="7"/>
        <v/>
      </c>
      <c r="K17" s="129" t="str">
        <f t="shared" si="0"/>
        <v/>
      </c>
      <c r="L17" s="129" t="str">
        <f t="shared" si="1"/>
        <v/>
      </c>
      <c r="M17" s="129" t="str">
        <f t="shared" si="2"/>
        <v/>
      </c>
      <c r="N17" s="145"/>
      <c r="BA17" s="78"/>
      <c r="BB17" s="132" t="s">
        <v>4441</v>
      </c>
      <c r="BC17" s="133"/>
      <c r="BD17" s="132" t="str">
        <f>IF(OR(B17="",BC17=""),"",COUNTIF(BC$7:BC17,"√"))</f>
        <v/>
      </c>
      <c r="BE17" s="134" t="str">
        <f t="shared" si="3"/>
        <v/>
      </c>
      <c r="BF17" s="135" t="str">
        <f t="shared" si="8"/>
        <v/>
      </c>
      <c r="BG17" s="135" t="str">
        <f t="shared" si="8"/>
        <v/>
      </c>
      <c r="BH17" s="136"/>
      <c r="BI17" s="137"/>
      <c r="BJ17" s="136"/>
      <c r="BK17" s="136"/>
      <c r="BL17" s="136"/>
      <c r="BM17" s="136"/>
      <c r="BN17" s="136"/>
      <c r="BO17" s="137"/>
      <c r="BP17" s="136"/>
      <c r="BQ17" s="137"/>
      <c r="BR17" s="228" t="s">
        <v>1677</v>
      </c>
      <c r="BS17" s="158"/>
      <c r="BT17" s="522">
        <f t="shared" si="4"/>
        <v>125.582477754962</v>
      </c>
      <c r="BU17" s="676"/>
      <c r="BV17" s="522">
        <f t="shared" si="9"/>
        <v>125.582477754962</v>
      </c>
      <c r="BW17" s="524">
        <f>LOOKUP(BV17,参数表!A$14:B$19)</f>
        <v>0</v>
      </c>
      <c r="BX17" s="522">
        <f t="shared" si="10"/>
        <v>0</v>
      </c>
      <c r="BY17" s="677">
        <f t="shared" si="11"/>
        <v>0</v>
      </c>
      <c r="CA17" s="134" t="str">
        <f>IF(COUNTIF(CA$6:CA16,C17)&gt;0,"",C17)&amp;""</f>
        <v/>
      </c>
      <c r="CB17" s="138">
        <f t="shared" si="12"/>
        <v>0</v>
      </c>
      <c r="CC17" s="132">
        <f t="shared" si="13"/>
        <v>1</v>
      </c>
      <c r="CD17" s="138">
        <f t="shared" si="14"/>
        <v>0</v>
      </c>
      <c r="CE17" s="132">
        <f t="shared" si="15"/>
        <v>1</v>
      </c>
      <c r="CF17" s="133"/>
      <c r="CG17" s="133"/>
    </row>
    <row r="18" ht="15" customHeight="1" spans="1:86">
      <c r="A18" s="123" t="str">
        <f>IF(B18="","",COUNT(A$6:A17)+1)</f>
        <v/>
      </c>
      <c r="B18" s="139"/>
      <c r="C18" s="139"/>
      <c r="D18" s="140"/>
      <c r="E18" s="142"/>
      <c r="F18" s="127" t="str">
        <f>IFERROR(VLOOKUP(E18,参数表!$H$2:$I$50,2,FALSE),"")</f>
        <v/>
      </c>
      <c r="G18" s="128" t="str">
        <f t="shared" si="6"/>
        <v/>
      </c>
      <c r="H18" s="143"/>
      <c r="I18" s="144"/>
      <c r="J18" s="129" t="str">
        <f t="shared" si="7"/>
        <v/>
      </c>
      <c r="K18" s="129" t="str">
        <f t="shared" si="0"/>
        <v/>
      </c>
      <c r="L18" s="129" t="str">
        <f t="shared" si="1"/>
        <v/>
      </c>
      <c r="M18" s="129" t="str">
        <f t="shared" si="2"/>
        <v/>
      </c>
      <c r="N18" s="145"/>
      <c r="BA18" s="78"/>
      <c r="BB18" s="132" t="s">
        <v>4442</v>
      </c>
      <c r="BC18" s="133"/>
      <c r="BD18" s="132" t="str">
        <f>IF(OR(B18="",BC18=""),"",COUNTIF(BC$7:BC18,"√"))</f>
        <v/>
      </c>
      <c r="BE18" s="134" t="str">
        <f t="shared" si="3"/>
        <v/>
      </c>
      <c r="BF18" s="135" t="str">
        <f t="shared" si="8"/>
        <v/>
      </c>
      <c r="BG18" s="135" t="str">
        <f t="shared" si="8"/>
        <v/>
      </c>
      <c r="BH18" s="136"/>
      <c r="BI18" s="137"/>
      <c r="BJ18" s="136"/>
      <c r="BK18" s="136"/>
      <c r="BL18" s="136"/>
      <c r="BM18" s="136"/>
      <c r="BN18" s="136"/>
      <c r="BO18" s="137"/>
      <c r="BP18" s="136"/>
      <c r="BQ18" s="137"/>
      <c r="BR18" s="228" t="s">
        <v>1677</v>
      </c>
      <c r="BS18" s="158"/>
      <c r="BT18" s="522">
        <f t="shared" si="4"/>
        <v>125.582477754962</v>
      </c>
      <c r="BU18" s="676"/>
      <c r="BV18" s="522">
        <f t="shared" si="9"/>
        <v>125.582477754962</v>
      </c>
      <c r="BW18" s="524">
        <f>LOOKUP(BV18,参数表!A$14:B$19)</f>
        <v>0</v>
      </c>
      <c r="BX18" s="522">
        <f t="shared" si="10"/>
        <v>0</v>
      </c>
      <c r="BY18" s="677">
        <f t="shared" si="11"/>
        <v>0</v>
      </c>
      <c r="CA18" s="134" t="str">
        <f>IF(COUNTIF(CA$6:CA17,C18)&gt;0,"",C18)&amp;""</f>
        <v/>
      </c>
      <c r="CB18" s="138">
        <f t="shared" si="12"/>
        <v>0</v>
      </c>
      <c r="CC18" s="132">
        <f t="shared" si="13"/>
        <v>1</v>
      </c>
      <c r="CD18" s="138">
        <f t="shared" si="14"/>
        <v>0</v>
      </c>
      <c r="CE18" s="132">
        <f t="shared" si="15"/>
        <v>1</v>
      </c>
      <c r="CF18" s="133"/>
      <c r="CG18" s="133"/>
    </row>
    <row r="19" ht="15" customHeight="1" spans="1:86">
      <c r="A19" s="123" t="str">
        <f>IF(B19="","",COUNT(A$6:A18)+1)</f>
        <v/>
      </c>
      <c r="B19" s="139"/>
      <c r="C19" s="139"/>
      <c r="D19" s="140"/>
      <c r="E19" s="142"/>
      <c r="F19" s="127" t="str">
        <f>IFERROR(VLOOKUP(E19,参数表!$H$2:$I$50,2,FALSE),"")</f>
        <v/>
      </c>
      <c r="G19" s="128" t="str">
        <f t="shared" si="6"/>
        <v/>
      </c>
      <c r="H19" s="143"/>
      <c r="I19" s="144"/>
      <c r="J19" s="129" t="str">
        <f t="shared" si="7"/>
        <v/>
      </c>
      <c r="K19" s="129" t="str">
        <f t="shared" si="0"/>
        <v/>
      </c>
      <c r="L19" s="129" t="str">
        <f t="shared" si="1"/>
        <v/>
      </c>
      <c r="M19" s="129" t="str">
        <f t="shared" si="2"/>
        <v/>
      </c>
      <c r="N19" s="145"/>
      <c r="BA19" s="78"/>
      <c r="BB19" s="132" t="s">
        <v>4443</v>
      </c>
      <c r="BC19" s="133"/>
      <c r="BD19" s="132" t="str">
        <f>IF(OR(B19="",BC19=""),"",COUNTIF(BC$7:BC19,"√"))</f>
        <v/>
      </c>
      <c r="BE19" s="134" t="str">
        <f t="shared" si="3"/>
        <v/>
      </c>
      <c r="BF19" s="135" t="str">
        <f t="shared" si="8"/>
        <v/>
      </c>
      <c r="BG19" s="135" t="str">
        <f t="shared" si="8"/>
        <v/>
      </c>
      <c r="BH19" s="136"/>
      <c r="BI19" s="137"/>
      <c r="BJ19" s="136"/>
      <c r="BK19" s="136"/>
      <c r="BL19" s="136"/>
      <c r="BM19" s="136"/>
      <c r="BN19" s="136"/>
      <c r="BO19" s="137"/>
      <c r="BP19" s="136"/>
      <c r="BQ19" s="137"/>
      <c r="BR19" s="228" t="s">
        <v>1677</v>
      </c>
      <c r="BS19" s="158"/>
      <c r="BT19" s="522">
        <f t="shared" si="4"/>
        <v>125.582477754962</v>
      </c>
      <c r="BU19" s="676"/>
      <c r="BV19" s="522">
        <f t="shared" si="9"/>
        <v>125.582477754962</v>
      </c>
      <c r="BW19" s="524">
        <f>LOOKUP(BV19,参数表!A$14:B$19)</f>
        <v>0</v>
      </c>
      <c r="BX19" s="522">
        <f t="shared" si="10"/>
        <v>0</v>
      </c>
      <c r="BY19" s="677">
        <f t="shared" si="11"/>
        <v>0</v>
      </c>
      <c r="CA19" s="134" t="str">
        <f>IF(COUNTIF(CA$6:CA18,C19)&gt;0,"",C19)&amp;""</f>
        <v/>
      </c>
      <c r="CB19" s="138">
        <f t="shared" si="12"/>
        <v>0</v>
      </c>
      <c r="CC19" s="132">
        <f t="shared" si="13"/>
        <v>1</v>
      </c>
      <c r="CD19" s="138">
        <f t="shared" si="14"/>
        <v>0</v>
      </c>
      <c r="CE19" s="132">
        <f t="shared" si="15"/>
        <v>1</v>
      </c>
      <c r="CF19" s="133"/>
      <c r="CG19" s="133"/>
    </row>
    <row r="20" ht="15" customHeight="1" spans="1:86">
      <c r="A20" s="123" t="str">
        <f>IF(B20="","",COUNT(A$6:A19)+1)</f>
        <v/>
      </c>
      <c r="B20" s="139"/>
      <c r="C20" s="139"/>
      <c r="D20" s="140"/>
      <c r="E20" s="142"/>
      <c r="F20" s="127" t="str">
        <f>IFERROR(VLOOKUP(E20,参数表!$H$2:$I$50,2,FALSE),"")</f>
        <v/>
      </c>
      <c r="G20" s="128" t="str">
        <f t="shared" si="6"/>
        <v/>
      </c>
      <c r="H20" s="143"/>
      <c r="I20" s="144"/>
      <c r="J20" s="129" t="str">
        <f t="shared" si="7"/>
        <v/>
      </c>
      <c r="K20" s="129" t="str">
        <f t="shared" si="0"/>
        <v/>
      </c>
      <c r="L20" s="129" t="str">
        <f t="shared" si="1"/>
        <v/>
      </c>
      <c r="M20" s="129" t="str">
        <f t="shared" si="2"/>
        <v/>
      </c>
      <c r="N20" s="145"/>
      <c r="BA20" s="78"/>
      <c r="BB20" s="132" t="s">
        <v>4444</v>
      </c>
      <c r="BC20" s="133"/>
      <c r="BD20" s="132" t="str">
        <f>IF(OR(B20="",BC20=""),"",COUNTIF(BC$7:BC20,"√"))</f>
        <v/>
      </c>
      <c r="BE20" s="134" t="str">
        <f t="shared" si="3"/>
        <v/>
      </c>
      <c r="BF20" s="135" t="str">
        <f t="shared" si="8"/>
        <v/>
      </c>
      <c r="BG20" s="135" t="str">
        <f t="shared" si="8"/>
        <v/>
      </c>
      <c r="BH20" s="136"/>
      <c r="BI20" s="137"/>
      <c r="BJ20" s="136"/>
      <c r="BK20" s="136"/>
      <c r="BL20" s="136"/>
      <c r="BM20" s="136"/>
      <c r="BN20" s="136"/>
      <c r="BO20" s="137"/>
      <c r="BP20" s="136"/>
      <c r="BQ20" s="137"/>
      <c r="BR20" s="228" t="s">
        <v>1677</v>
      </c>
      <c r="BS20" s="158"/>
      <c r="BT20" s="522">
        <f t="shared" si="4"/>
        <v>125.582477754962</v>
      </c>
      <c r="BU20" s="676"/>
      <c r="BV20" s="522">
        <f t="shared" si="9"/>
        <v>125.582477754962</v>
      </c>
      <c r="BW20" s="524">
        <f>LOOKUP(BV20,参数表!A$14:B$19)</f>
        <v>0</v>
      </c>
      <c r="BX20" s="522">
        <f t="shared" si="10"/>
        <v>0</v>
      </c>
      <c r="BY20" s="677">
        <f t="shared" si="11"/>
        <v>0</v>
      </c>
      <c r="CA20" s="134" t="str">
        <f>IF(COUNTIF(CA$6:CA19,C20)&gt;0,"",C20)&amp;""</f>
        <v/>
      </c>
      <c r="CB20" s="138">
        <f t="shared" si="12"/>
        <v>0</v>
      </c>
      <c r="CC20" s="132">
        <f t="shared" si="13"/>
        <v>1</v>
      </c>
      <c r="CD20" s="138">
        <f t="shared" si="14"/>
        <v>0</v>
      </c>
      <c r="CE20" s="132">
        <f t="shared" si="15"/>
        <v>1</v>
      </c>
      <c r="CF20" s="133"/>
      <c r="CG20" s="133"/>
    </row>
    <row r="21" ht="15" customHeight="1" spans="1:86">
      <c r="A21" s="123" t="str">
        <f>IF(B21="","",COUNT(A$6:A20)+1)</f>
        <v/>
      </c>
      <c r="B21" s="139"/>
      <c r="C21" s="139"/>
      <c r="D21" s="140"/>
      <c r="E21" s="142"/>
      <c r="F21" s="127" t="str">
        <f>IFERROR(VLOOKUP(E21,参数表!$H$2:$I$50,2,FALSE),"")</f>
        <v/>
      </c>
      <c r="G21" s="128" t="str">
        <f t="shared" si="6"/>
        <v/>
      </c>
      <c r="H21" s="143"/>
      <c r="I21" s="144"/>
      <c r="J21" s="129" t="str">
        <f t="shared" si="7"/>
        <v/>
      </c>
      <c r="K21" s="129" t="str">
        <f t="shared" si="0"/>
        <v/>
      </c>
      <c r="L21" s="129" t="str">
        <f t="shared" si="1"/>
        <v/>
      </c>
      <c r="M21" s="129" t="str">
        <f t="shared" si="2"/>
        <v/>
      </c>
      <c r="N21" s="145"/>
      <c r="BA21" s="78"/>
      <c r="BB21" s="132" t="s">
        <v>4445</v>
      </c>
      <c r="BC21" s="133"/>
      <c r="BD21" s="132" t="str">
        <f>IF(OR(B21="",BC21=""),"",COUNTIF(BC$7:BC21,"√"))</f>
        <v/>
      </c>
      <c r="BE21" s="134" t="str">
        <f t="shared" si="3"/>
        <v/>
      </c>
      <c r="BF21" s="135" t="str">
        <f t="shared" si="8"/>
        <v/>
      </c>
      <c r="BG21" s="135" t="str">
        <f t="shared" si="8"/>
        <v/>
      </c>
      <c r="BH21" s="136"/>
      <c r="BI21" s="137"/>
      <c r="BJ21" s="136"/>
      <c r="BK21" s="136"/>
      <c r="BL21" s="136"/>
      <c r="BM21" s="136"/>
      <c r="BN21" s="136"/>
      <c r="BO21" s="137"/>
      <c r="BP21" s="136"/>
      <c r="BQ21" s="137"/>
      <c r="BR21" s="228" t="s">
        <v>1677</v>
      </c>
      <c r="BS21" s="158"/>
      <c r="BT21" s="522">
        <f t="shared" si="4"/>
        <v>125.582477754962</v>
      </c>
      <c r="BU21" s="676"/>
      <c r="BV21" s="522">
        <f t="shared" si="9"/>
        <v>125.582477754962</v>
      </c>
      <c r="BW21" s="524">
        <f>LOOKUP(BV21,参数表!A$14:B$19)</f>
        <v>0</v>
      </c>
      <c r="BX21" s="522">
        <f t="shared" si="10"/>
        <v>0</v>
      </c>
      <c r="BY21" s="677">
        <f t="shared" si="11"/>
        <v>0</v>
      </c>
      <c r="CA21" s="134" t="str">
        <f>IF(COUNTIF(CA$6:CA20,C21)&gt;0,"",C21)&amp;""</f>
        <v/>
      </c>
      <c r="CB21" s="138">
        <f t="shared" si="12"/>
        <v>0</v>
      </c>
      <c r="CC21" s="132">
        <f t="shared" si="13"/>
        <v>1</v>
      </c>
      <c r="CD21" s="138">
        <f t="shared" si="14"/>
        <v>0</v>
      </c>
      <c r="CE21" s="132">
        <f t="shared" si="15"/>
        <v>1</v>
      </c>
      <c r="CF21" s="133"/>
      <c r="CG21" s="133"/>
    </row>
    <row r="22" ht="15" customHeight="1" spans="1:86">
      <c r="A22" s="123" t="str">
        <f>IF(B22="","",COUNT(A$6:A21)+1)</f>
        <v/>
      </c>
      <c r="B22" s="139"/>
      <c r="C22" s="139"/>
      <c r="D22" s="140"/>
      <c r="E22" s="142"/>
      <c r="F22" s="127" t="str">
        <f>IFERROR(VLOOKUP(E22,参数表!$H$2:$I$50,2,FALSE),"")</f>
        <v/>
      </c>
      <c r="G22" s="128" t="str">
        <f t="shared" si="6"/>
        <v/>
      </c>
      <c r="H22" s="143"/>
      <c r="I22" s="144"/>
      <c r="J22" s="129" t="str">
        <f t="shared" si="7"/>
        <v/>
      </c>
      <c r="K22" s="129" t="str">
        <f t="shared" si="0"/>
        <v/>
      </c>
      <c r="L22" s="129" t="str">
        <f t="shared" si="1"/>
        <v/>
      </c>
      <c r="M22" s="129" t="str">
        <f t="shared" si="2"/>
        <v/>
      </c>
      <c r="N22" s="145"/>
      <c r="BA22" s="78"/>
      <c r="BB22" s="132" t="s">
        <v>4446</v>
      </c>
      <c r="BC22" s="133"/>
      <c r="BD22" s="132" t="str">
        <f>IF(OR(B22="",BC22=""),"",COUNTIF(BC$7:BC22,"√"))</f>
        <v/>
      </c>
      <c r="BE22" s="134" t="str">
        <f t="shared" si="3"/>
        <v/>
      </c>
      <c r="BF22" s="135" t="str">
        <f t="shared" si="8"/>
        <v/>
      </c>
      <c r="BG22" s="135" t="str">
        <f t="shared" si="8"/>
        <v/>
      </c>
      <c r="BH22" s="136"/>
      <c r="BI22" s="137"/>
      <c r="BJ22" s="136"/>
      <c r="BK22" s="136"/>
      <c r="BL22" s="136"/>
      <c r="BM22" s="136"/>
      <c r="BN22" s="136"/>
      <c r="BO22" s="137"/>
      <c r="BP22" s="136"/>
      <c r="BQ22" s="137"/>
      <c r="BR22" s="228" t="s">
        <v>1677</v>
      </c>
      <c r="BS22" s="158"/>
      <c r="BT22" s="522">
        <f t="shared" si="4"/>
        <v>125.582477754962</v>
      </c>
      <c r="BU22" s="676"/>
      <c r="BV22" s="522">
        <f t="shared" si="9"/>
        <v>125.582477754962</v>
      </c>
      <c r="BW22" s="524">
        <f>LOOKUP(BV22,参数表!A$14:B$19)</f>
        <v>0</v>
      </c>
      <c r="BX22" s="522">
        <f t="shared" si="10"/>
        <v>0</v>
      </c>
      <c r="BY22" s="677">
        <f t="shared" si="11"/>
        <v>0</v>
      </c>
      <c r="CA22" s="134" t="str">
        <f>IF(COUNTIF(CA$6:CA21,C22)&gt;0,"",C22)&amp;""</f>
        <v/>
      </c>
      <c r="CB22" s="138">
        <f t="shared" si="12"/>
        <v>0</v>
      </c>
      <c r="CC22" s="132">
        <f t="shared" si="13"/>
        <v>1</v>
      </c>
      <c r="CD22" s="138">
        <f t="shared" si="14"/>
        <v>0</v>
      </c>
      <c r="CE22" s="132">
        <f t="shared" si="15"/>
        <v>1</v>
      </c>
      <c r="CF22" s="133"/>
      <c r="CG22" s="133"/>
    </row>
    <row r="23" ht="15" customHeight="1" spans="1:86">
      <c r="A23" s="123" t="str">
        <f>IF(B23="","",COUNT(A$6:A22)+1)</f>
        <v/>
      </c>
      <c r="B23" s="139"/>
      <c r="C23" s="139"/>
      <c r="D23" s="140"/>
      <c r="E23" s="142"/>
      <c r="F23" s="127" t="str">
        <f>IFERROR(VLOOKUP(E23,参数表!$H$2:$I$50,2,FALSE),"")</f>
        <v/>
      </c>
      <c r="G23" s="128" t="str">
        <f t="shared" si="6"/>
        <v/>
      </c>
      <c r="H23" s="143"/>
      <c r="I23" s="144"/>
      <c r="J23" s="129" t="str">
        <f t="shared" si="7"/>
        <v/>
      </c>
      <c r="K23" s="129" t="str">
        <f t="shared" si="0"/>
        <v/>
      </c>
      <c r="L23" s="129" t="str">
        <f t="shared" si="1"/>
        <v/>
      </c>
      <c r="M23" s="129" t="str">
        <f t="shared" si="2"/>
        <v/>
      </c>
      <c r="N23" s="145"/>
      <c r="BA23" s="78"/>
      <c r="BB23" s="132" t="s">
        <v>4447</v>
      </c>
      <c r="BC23" s="133"/>
      <c r="BD23" s="132" t="str">
        <f>IF(OR(B23="",BC23=""),"",COUNTIF(BC$7:BC23,"√"))</f>
        <v/>
      </c>
      <c r="BE23" s="134" t="str">
        <f t="shared" si="3"/>
        <v/>
      </c>
      <c r="BF23" s="135" t="str">
        <f t="shared" si="8"/>
        <v/>
      </c>
      <c r="BG23" s="135" t="str">
        <f t="shared" si="8"/>
        <v/>
      </c>
      <c r="BH23" s="136"/>
      <c r="BI23" s="137"/>
      <c r="BJ23" s="136"/>
      <c r="BK23" s="136"/>
      <c r="BL23" s="136"/>
      <c r="BM23" s="136"/>
      <c r="BN23" s="136"/>
      <c r="BO23" s="137"/>
      <c r="BP23" s="136"/>
      <c r="BQ23" s="137"/>
      <c r="BR23" s="228" t="s">
        <v>1677</v>
      </c>
      <c r="BS23" s="158"/>
      <c r="BT23" s="522">
        <f t="shared" si="4"/>
        <v>125.582477754962</v>
      </c>
      <c r="BU23" s="676"/>
      <c r="BV23" s="522">
        <f t="shared" si="9"/>
        <v>125.582477754962</v>
      </c>
      <c r="BW23" s="524">
        <f>LOOKUP(BV23,参数表!A$14:B$19)</f>
        <v>0</v>
      </c>
      <c r="BX23" s="522">
        <f t="shared" si="10"/>
        <v>0</v>
      </c>
      <c r="BY23" s="677">
        <f t="shared" si="11"/>
        <v>0</v>
      </c>
      <c r="CA23" s="134" t="str">
        <f>IF(COUNTIF(CA$6:CA22,C23)&gt;0,"",C23)&amp;""</f>
        <v/>
      </c>
      <c r="CB23" s="138">
        <f t="shared" si="12"/>
        <v>0</v>
      </c>
      <c r="CC23" s="132">
        <f t="shared" si="13"/>
        <v>1</v>
      </c>
      <c r="CD23" s="138">
        <f t="shared" si="14"/>
        <v>0</v>
      </c>
      <c r="CE23" s="132">
        <f t="shared" si="15"/>
        <v>1</v>
      </c>
      <c r="CF23" s="133"/>
      <c r="CG23" s="133"/>
    </row>
    <row r="24" ht="15" customHeight="1" spans="1:86">
      <c r="A24" s="123" t="str">
        <f>IF(B24="","",COUNT(A$6:A23)+1)</f>
        <v/>
      </c>
      <c r="B24" s="139"/>
      <c r="C24" s="139"/>
      <c r="D24" s="140"/>
      <c r="E24" s="142"/>
      <c r="F24" s="127" t="str">
        <f>IFERROR(VLOOKUP(E24,参数表!$H$2:$I$50,2,FALSE),"")</f>
        <v/>
      </c>
      <c r="G24" s="128" t="str">
        <f t="shared" si="6"/>
        <v/>
      </c>
      <c r="H24" s="143"/>
      <c r="I24" s="144"/>
      <c r="J24" s="129" t="str">
        <f t="shared" si="7"/>
        <v/>
      </c>
      <c r="K24" s="129" t="str">
        <f t="shared" si="0"/>
        <v/>
      </c>
      <c r="L24" s="129" t="str">
        <f t="shared" si="1"/>
        <v/>
      </c>
      <c r="M24" s="129" t="str">
        <f t="shared" si="2"/>
        <v/>
      </c>
      <c r="N24" s="145"/>
      <c r="BA24" s="78"/>
      <c r="BB24" s="132" t="s">
        <v>4448</v>
      </c>
      <c r="BC24" s="133"/>
      <c r="BD24" s="132" t="str">
        <f>IF(OR(B24="",BC24=""),"",COUNTIF(BC$7:BC24,"√"))</f>
        <v/>
      </c>
      <c r="BE24" s="134" t="str">
        <f t="shared" si="3"/>
        <v/>
      </c>
      <c r="BF24" s="135" t="str">
        <f t="shared" si="8"/>
        <v/>
      </c>
      <c r="BG24" s="135" t="str">
        <f t="shared" si="8"/>
        <v/>
      </c>
      <c r="BH24" s="136"/>
      <c r="BI24" s="137"/>
      <c r="BJ24" s="136"/>
      <c r="BK24" s="136"/>
      <c r="BL24" s="136"/>
      <c r="BM24" s="136"/>
      <c r="BN24" s="136"/>
      <c r="BO24" s="137"/>
      <c r="BP24" s="136"/>
      <c r="BQ24" s="137"/>
      <c r="BR24" s="228" t="s">
        <v>1677</v>
      </c>
      <c r="BS24" s="158"/>
      <c r="BT24" s="522">
        <f t="shared" si="4"/>
        <v>125.582477754962</v>
      </c>
      <c r="BU24" s="676"/>
      <c r="BV24" s="522">
        <f t="shared" si="9"/>
        <v>125.582477754962</v>
      </c>
      <c r="BW24" s="524">
        <f>LOOKUP(BV24,参数表!A$14:B$19)</f>
        <v>0</v>
      </c>
      <c r="BX24" s="522">
        <f t="shared" si="10"/>
        <v>0</v>
      </c>
      <c r="BY24" s="677">
        <f t="shared" si="11"/>
        <v>0</v>
      </c>
      <c r="CA24" s="134" t="str">
        <f>IF(COUNTIF(CA$6:CA23,C24)&gt;0,"",C24)&amp;""</f>
        <v/>
      </c>
      <c r="CB24" s="138">
        <f t="shared" si="12"/>
        <v>0</v>
      </c>
      <c r="CC24" s="132">
        <f t="shared" si="13"/>
        <v>1</v>
      </c>
      <c r="CD24" s="138">
        <f t="shared" si="14"/>
        <v>0</v>
      </c>
      <c r="CE24" s="132">
        <f t="shared" si="15"/>
        <v>1</v>
      </c>
      <c r="CF24" s="133"/>
      <c r="CG24" s="133"/>
    </row>
    <row r="25" ht="15" customHeight="1" spans="1:86">
      <c r="A25" s="123" t="str">
        <f>IF(B25="","",COUNT(A$6:A24)+1)</f>
        <v/>
      </c>
      <c r="B25" s="139"/>
      <c r="C25" s="139"/>
      <c r="D25" s="140"/>
      <c r="E25" s="142"/>
      <c r="F25" s="127" t="str">
        <f>IFERROR(VLOOKUP(E25,参数表!$H$2:$I$50,2,FALSE),"")</f>
        <v/>
      </c>
      <c r="G25" s="128" t="str">
        <f t="shared" si="6"/>
        <v/>
      </c>
      <c r="H25" s="143"/>
      <c r="I25" s="144"/>
      <c r="J25" s="129" t="str">
        <f t="shared" si="7"/>
        <v/>
      </c>
      <c r="K25" s="129" t="str">
        <f t="shared" si="0"/>
        <v/>
      </c>
      <c r="L25" s="129" t="str">
        <f t="shared" si="1"/>
        <v/>
      </c>
      <c r="M25" s="129" t="str">
        <f t="shared" si="2"/>
        <v/>
      </c>
      <c r="N25" s="145"/>
      <c r="BA25" s="78"/>
      <c r="BB25" s="132" t="s">
        <v>4449</v>
      </c>
      <c r="BC25" s="133"/>
      <c r="BD25" s="132" t="str">
        <f>IF(OR(B25="",BC25=""),"",COUNTIF(BC$7:BC25,"√"))</f>
        <v/>
      </c>
      <c r="BE25" s="134" t="str">
        <f t="shared" si="3"/>
        <v/>
      </c>
      <c r="BF25" s="135" t="str">
        <f t="shared" si="8"/>
        <v/>
      </c>
      <c r="BG25" s="135" t="str">
        <f t="shared" si="8"/>
        <v/>
      </c>
      <c r="BH25" s="136"/>
      <c r="BI25" s="137"/>
      <c r="BJ25" s="136"/>
      <c r="BK25" s="136"/>
      <c r="BL25" s="136"/>
      <c r="BM25" s="136"/>
      <c r="BN25" s="136"/>
      <c r="BO25" s="137"/>
      <c r="BP25" s="136"/>
      <c r="BQ25" s="137"/>
      <c r="BR25" s="228" t="s">
        <v>1677</v>
      </c>
      <c r="BS25" s="158"/>
      <c r="BT25" s="522">
        <f t="shared" si="4"/>
        <v>125.582477754962</v>
      </c>
      <c r="BU25" s="676"/>
      <c r="BV25" s="522">
        <f t="shared" si="9"/>
        <v>125.582477754962</v>
      </c>
      <c r="BW25" s="524">
        <f>LOOKUP(BV25,参数表!A$14:B$19)</f>
        <v>0</v>
      </c>
      <c r="BX25" s="522">
        <f t="shared" si="10"/>
        <v>0</v>
      </c>
      <c r="BY25" s="677">
        <f t="shared" si="11"/>
        <v>0</v>
      </c>
      <c r="CA25" s="134" t="str">
        <f>IF(COUNTIF(CA$6:CA24,C25)&gt;0,"",C25)&amp;""</f>
        <v/>
      </c>
      <c r="CB25" s="138">
        <f t="shared" si="12"/>
        <v>0</v>
      </c>
      <c r="CC25" s="132">
        <f t="shared" si="13"/>
        <v>1</v>
      </c>
      <c r="CD25" s="138">
        <f t="shared" si="14"/>
        <v>0</v>
      </c>
      <c r="CE25" s="132">
        <f t="shared" si="15"/>
        <v>1</v>
      </c>
      <c r="CF25" s="133"/>
      <c r="CG25" s="133"/>
    </row>
    <row r="26" ht="15" customHeight="1" spans="1:86">
      <c r="A26" s="123" t="str">
        <f>IF(B26="","",COUNT(A$6:A25)+1)</f>
        <v/>
      </c>
      <c r="B26" s="124"/>
      <c r="C26" s="124"/>
      <c r="D26" s="125"/>
      <c r="E26" s="127"/>
      <c r="F26" s="127" t="str">
        <f>IFERROR(VLOOKUP(E26,参数表!$H$2:$I$50,2,FALSE),"")</f>
        <v/>
      </c>
      <c r="G26" s="128" t="str">
        <f t="shared" si="6"/>
        <v/>
      </c>
      <c r="H26" s="129"/>
      <c r="I26" s="130"/>
      <c r="J26" s="129" t="str">
        <f t="shared" si="7"/>
        <v/>
      </c>
      <c r="K26" s="129" t="str">
        <f t="shared" si="0"/>
        <v/>
      </c>
      <c r="L26" s="129" t="str">
        <f t="shared" si="1"/>
        <v/>
      </c>
      <c r="M26" s="129" t="str">
        <f t="shared" si="2"/>
        <v/>
      </c>
      <c r="N26" s="131"/>
      <c r="BA26" s="78"/>
      <c r="BB26" s="132" t="s">
        <v>4450</v>
      </c>
      <c r="BC26" s="133"/>
      <c r="BD26" s="132" t="str">
        <f>IF(OR(B26="",BC26=""),"",COUNTIF(BC$7:BC26,"√"))</f>
        <v/>
      </c>
      <c r="BE26" s="134" t="str">
        <f t="shared" si="3"/>
        <v/>
      </c>
      <c r="BF26" s="135" t="str">
        <f t="shared" si="8"/>
        <v/>
      </c>
      <c r="BG26" s="135" t="str">
        <f t="shared" si="8"/>
        <v/>
      </c>
      <c r="BH26" s="136"/>
      <c r="BI26" s="137"/>
      <c r="BJ26" s="136"/>
      <c r="BK26" s="136"/>
      <c r="BL26" s="136"/>
      <c r="BM26" s="136"/>
      <c r="BN26" s="136"/>
      <c r="BO26" s="137"/>
      <c r="BP26" s="136"/>
      <c r="BQ26" s="137"/>
      <c r="BR26" s="228" t="s">
        <v>1677</v>
      </c>
      <c r="BS26" s="158"/>
      <c r="BT26" s="522">
        <f t="shared" si="4"/>
        <v>125.582477754962</v>
      </c>
      <c r="BU26" s="676"/>
      <c r="BV26" s="522">
        <f t="shared" si="9"/>
        <v>125.582477754962</v>
      </c>
      <c r="BW26" s="524">
        <f>LOOKUP(BV26,参数表!A$14:B$19)</f>
        <v>0</v>
      </c>
      <c r="BX26" s="522">
        <f t="shared" si="10"/>
        <v>0</v>
      </c>
      <c r="BY26" s="677">
        <f t="shared" si="11"/>
        <v>0</v>
      </c>
      <c r="CA26" s="134" t="str">
        <f>IF(COUNTIF(CA$6:CA25,C26)&gt;0,"",C26)&amp;""</f>
        <v/>
      </c>
      <c r="CB26" s="138">
        <f t="shared" si="12"/>
        <v>0</v>
      </c>
      <c r="CC26" s="132">
        <f t="shared" si="13"/>
        <v>1</v>
      </c>
      <c r="CD26" s="138">
        <f t="shared" si="14"/>
        <v>0</v>
      </c>
      <c r="CE26" s="132">
        <f t="shared" si="15"/>
        <v>1</v>
      </c>
      <c r="CF26" s="133"/>
      <c r="CG26" s="133"/>
    </row>
    <row r="27" s="73" customFormat="1" ht="15" customHeight="1" spans="1:86">
      <c r="A27" s="221" t="s">
        <v>1954</v>
      </c>
      <c r="B27" s="493"/>
      <c r="C27" s="493"/>
      <c r="D27" s="356"/>
      <c r="E27" s="149"/>
      <c r="F27" s="149"/>
      <c r="G27" s="149"/>
      <c r="H27" s="152">
        <f>SUM(H7:H26)</f>
        <v>0</v>
      </c>
      <c r="I27" s="153"/>
      <c r="J27" s="152">
        <f>SUM(J7:J26)</f>
        <v>0</v>
      </c>
      <c r="K27" s="152">
        <f>SUM(K7:K26)</f>
        <v>0</v>
      </c>
      <c r="L27" s="152">
        <f t="shared" si="1"/>
        <v>0</v>
      </c>
      <c r="M27" s="152" t="str">
        <f t="shared" si="2"/>
        <v/>
      </c>
      <c r="N27" s="151"/>
      <c r="BH27" s="72"/>
      <c r="BJ27" s="72"/>
      <c r="BK27" s="72"/>
      <c r="BL27" s="72"/>
      <c r="BM27" s="72"/>
      <c r="BN27" s="72"/>
      <c r="BP27" s="72"/>
      <c r="BZ27" s="111"/>
      <c r="CA27" s="119"/>
      <c r="CB27" s="77"/>
      <c r="CC27" s="77"/>
      <c r="CD27" s="77"/>
      <c r="CE27" s="119"/>
      <c r="CF27" s="119"/>
      <c r="CG27" s="119"/>
      <c r="CH27" s="111"/>
    </row>
    <row r="28" ht="15" customHeight="1" spans="1:86">
      <c r="A28" s="124" t="s">
        <v>3434</v>
      </c>
      <c r="B28" s="124"/>
      <c r="C28" s="124"/>
      <c r="D28" s="125"/>
      <c r="E28" s="126"/>
      <c r="F28" s="126"/>
      <c r="G28" s="126"/>
      <c r="H28" s="129"/>
      <c r="I28" s="130"/>
      <c r="J28" s="129">
        <f>H28+I28</f>
        <v>0</v>
      </c>
      <c r="K28" s="129"/>
      <c r="L28" s="129">
        <f t="shared" si="1"/>
        <v>0</v>
      </c>
      <c r="M28" s="129" t="str">
        <f t="shared" si="2"/>
        <v/>
      </c>
      <c r="N28" s="131"/>
    </row>
    <row r="29" s="73" customFormat="1" ht="15" customHeight="1" spans="1:86">
      <c r="A29" s="221" t="s">
        <v>1957</v>
      </c>
      <c r="B29" s="221"/>
      <c r="C29" s="221"/>
      <c r="D29" s="356"/>
      <c r="E29" s="149"/>
      <c r="F29" s="149"/>
      <c r="G29" s="149"/>
      <c r="H29" s="152">
        <f>H27-H28</f>
        <v>0</v>
      </c>
      <c r="I29" s="153"/>
      <c r="J29" s="152">
        <f>J27-J28</f>
        <v>0</v>
      </c>
      <c r="K29" s="152">
        <f>K27-K28</f>
        <v>0</v>
      </c>
      <c r="L29" s="152">
        <f t="shared" si="1"/>
        <v>0</v>
      </c>
      <c r="M29" s="152" t="str">
        <f t="shared" si="2"/>
        <v/>
      </c>
      <c r="N29" s="151"/>
      <c r="BH29" s="72"/>
      <c r="BJ29" s="72"/>
      <c r="BK29" s="72"/>
      <c r="BL29" s="72"/>
      <c r="BM29" s="72"/>
      <c r="BN29" s="72"/>
      <c r="BP29" s="72"/>
      <c r="BZ29" s="77"/>
      <c r="CA29" s="78"/>
      <c r="CB29" s="77"/>
      <c r="CC29" s="78"/>
      <c r="CD29" s="78"/>
      <c r="CE29" s="78"/>
      <c r="CF29" s="78"/>
      <c r="CG29" s="78"/>
      <c r="CH29" s="77"/>
    </row>
    <row r="30" customHeight="1" spans="1:86">
      <c r="A30" s="102" t="str">
        <f>参数表!F$6</f>
        <v>产权持有单位填表人：贾广东</v>
      </c>
      <c r="B30" s="154"/>
      <c r="C30" s="154"/>
      <c r="D30" s="154"/>
      <c r="E30" s="103"/>
      <c r="F30" s="103"/>
      <c r="G30" s="103"/>
      <c r="H30" s="154"/>
      <c r="I30" s="155"/>
      <c r="J30" s="103"/>
      <c r="K30" s="156" t="str">
        <f>"评估人员："&amp;封面!$G$24&amp;" "&amp;封面!$G$26</f>
        <v>评估人员： 栗祥宁</v>
      </c>
      <c r="L30" s="103"/>
      <c r="M30" s="103"/>
      <c r="N30" s="103"/>
    </row>
    <row r="31" customHeight="1" spans="1:86">
      <c r="A31" s="102" t="str">
        <f>参数表!F$7</f>
        <v>填表日期：2025年9月20日</v>
      </c>
      <c r="B31" s="154"/>
      <c r="C31" s="154"/>
      <c r="D31" s="154"/>
      <c r="E31" s="103"/>
      <c r="F31" s="103"/>
      <c r="G31" s="103"/>
      <c r="H31" s="154"/>
      <c r="I31" s="155"/>
      <c r="J31" s="103"/>
      <c r="K31" s="103"/>
      <c r="L31" s="103"/>
      <c r="M31" s="103"/>
      <c r="N31" s="103"/>
    </row>
    <row r="32" hidden="1" customHeight="1" outlineLevel="1" spans="1:86">
      <c r="A32" s="157"/>
      <c r="B32" s="154" t="s">
        <v>1673</v>
      </c>
      <c r="C32" s="158"/>
      <c r="D32" s="158"/>
      <c r="E32" s="158"/>
      <c r="F32" s="158"/>
      <c r="G32" s="158"/>
      <c r="H32" s="159">
        <f>SUMIF($BA7:$BA26,$BA32,H7:H26)</f>
        <v>0</v>
      </c>
      <c r="I32" s="160"/>
      <c r="J32" s="159">
        <f>SUMIF($BA7:$BA26,$BA32,J7:J26)</f>
        <v>0</v>
      </c>
      <c r="K32" s="159">
        <f>SUMIF($BA7:$BA26,$BA32,K7:K26)</f>
        <v>0</v>
      </c>
      <c r="BA32" s="161" t="s">
        <v>1674</v>
      </c>
      <c r="BH32" s="95" t="s">
        <v>1675</v>
      </c>
      <c r="BJ32" s="95" t="s">
        <v>1675</v>
      </c>
      <c r="BK32" s="95" t="s">
        <v>1675</v>
      </c>
      <c r="BL32" s="95" t="s">
        <v>1675</v>
      </c>
      <c r="BM32" s="95" t="s">
        <v>1675</v>
      </c>
      <c r="BN32" s="95" t="s">
        <v>1675</v>
      </c>
      <c r="BP32" s="95" t="s">
        <v>1675</v>
      </c>
    </row>
    <row r="33" hidden="1" customHeight="1" outlineLevel="1" spans="1:68">
      <c r="A33" s="157"/>
      <c r="B33" s="154" t="s">
        <v>1676</v>
      </c>
      <c r="C33" s="158"/>
      <c r="D33" s="158"/>
      <c r="E33" s="158"/>
      <c r="F33" s="158"/>
      <c r="G33" s="158"/>
      <c r="H33" s="159">
        <f>H27-H32</f>
        <v>0</v>
      </c>
      <c r="I33" s="160"/>
      <c r="J33" s="159">
        <f>J27-J32</f>
        <v>0</v>
      </c>
      <c r="K33" s="159">
        <f>K27-K32</f>
        <v>0</v>
      </c>
      <c r="BA33" s="161" t="s">
        <v>1677</v>
      </c>
      <c r="BH33" s="95" t="s">
        <v>1678</v>
      </c>
      <c r="BJ33" s="95" t="s">
        <v>1678</v>
      </c>
      <c r="BK33" s="95" t="s">
        <v>1678</v>
      </c>
      <c r="BL33" s="95" t="s">
        <v>1678</v>
      </c>
      <c r="BM33" s="95" t="s">
        <v>1678</v>
      </c>
      <c r="BN33" s="95" t="s">
        <v>1678</v>
      </c>
      <c r="BP33" s="95" t="s">
        <v>1678</v>
      </c>
    </row>
    <row r="34" customHeight="1" collapsed="1" spans="1:68">
      <c r="A34" s="157"/>
      <c r="B34" s="158"/>
      <c r="C34" s="158"/>
      <c r="D34" s="158"/>
      <c r="E34" s="158"/>
      <c r="F34" s="158"/>
      <c r="G34" s="158"/>
      <c r="H34" s="158"/>
      <c r="I34" s="164"/>
    </row>
    <row r="35" customHeight="1" spans="1:68">
      <c r="A35" s="157"/>
      <c r="B35" s="158"/>
      <c r="C35" s="158"/>
      <c r="D35" s="158"/>
      <c r="E35" s="158"/>
      <c r="F35" s="158"/>
      <c r="G35" s="158"/>
      <c r="H35" s="158"/>
      <c r="I35" s="164"/>
    </row>
    <row r="36" customHeight="1" spans="1:68">
      <c r="A36" s="157"/>
      <c r="B36" s="158"/>
      <c r="C36" s="158"/>
      <c r="D36" s="158"/>
      <c r="E36" s="158"/>
      <c r="F36" s="158"/>
      <c r="G36" s="158"/>
      <c r="H36" s="158"/>
      <c r="I36" s="164"/>
    </row>
    <row r="37" customHeight="1" spans="1:68">
      <c r="A37" s="157"/>
      <c r="B37" s="158"/>
      <c r="C37" s="158"/>
      <c r="D37" s="158"/>
      <c r="E37" s="158"/>
      <c r="F37" s="158"/>
      <c r="G37" s="158"/>
      <c r="H37" s="158"/>
      <c r="I37" s="164"/>
    </row>
    <row r="38" customHeight="1" spans="1:68">
      <c r="A38" s="157"/>
      <c r="B38" s="158"/>
      <c r="C38" s="158"/>
      <c r="D38" s="158"/>
      <c r="H38" s="158"/>
      <c r="I38" s="164"/>
    </row>
  </sheetData>
  <sheetProtection autoFilter="0"/>
  <mergeCells count="8">
    <mergeCell ref="A2:N2"/>
    <mergeCell ref="A3:N3"/>
    <mergeCell ref="CF7:CH7"/>
    <mergeCell ref="CF8:CH8"/>
    <mergeCell ref="CG14:CH14"/>
    <mergeCell ref="A27:B27"/>
    <mergeCell ref="A28:B28"/>
    <mergeCell ref="A29:B29"/>
  </mergeCells>
  <conditionalFormatting sqref="BI7:BI26">
    <cfRule type="expression" dxfId="5" priority="5" stopIfTrue="1">
      <formula>AND(BH7="有",BI7="")</formula>
    </cfRule>
  </conditionalFormatting>
  <conditionalFormatting sqref="BO7:BO26">
    <cfRule type="expression" dxfId="5" priority="7" stopIfTrue="1">
      <formula>AND(BN7="无",BO7="")</formula>
    </cfRule>
  </conditionalFormatting>
  <conditionalFormatting sqref="BF7:BG26">
    <cfRule type="containsText" dxfId="6" priority="1" stopIfTrue="1" operator="between" text="出错">
      <formula>NOT(ISERROR(SEARCH("出错",BF7)))</formula>
    </cfRule>
  </conditionalFormatting>
  <conditionalFormatting sqref="BH7:BH26 BJ7:BN26 BP7:BP26">
    <cfRule type="expression" dxfId="5" priority="8" stopIfTrue="1">
      <formula>AND($B7&lt;&gt;"",BH7="")</formula>
    </cfRule>
  </conditionalFormatting>
  <dataValidations count="4">
    <dataValidation type="list" allowBlank="1" showInputMessage="1" showErrorMessage="1" sqref="E7:E26">
      <formula1>OFFSET(参数表!$H$2:$H$50,,,COUNTA(参数表!$H$2:$H$50))</formula1>
    </dataValidation>
    <dataValidation type="list" allowBlank="1" showInputMessage="1" showErrorMessage="1" sqref="BA7:BA26 BA32:BA33 BR7:BR26">
      <formula1>"是,否"</formula1>
    </dataValidation>
    <dataValidation type="list" allowBlank="1" showInputMessage="1" showErrorMessage="1" sqref="BC7:BC26">
      <formula1>"  ,√"</formula1>
    </dataValidation>
    <dataValidation type="list" allowBlank="1" showInputMessage="1" showErrorMessage="1" sqref="BH7:BH26 BP7:BP26 BJ7:BN26">
      <formula1>BH$32:BH$33</formula1>
    </dataValidation>
  </dataValidations>
  <hyperlinks>
    <hyperlink ref="A1" location="索引目录!E42" display="返回索引页"/>
    <hyperlink ref="B1" location="在建工程汇总!B18"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
  <dimension ref="A1:CF37"/>
  <sheetViews>
    <sheetView workbookViewId="0">
      <pane xSplit="2" ySplit="7" topLeftCell="C8" activePane="bottomRight" state="frozen"/>
      <selection/>
      <selection pane="topRight"/>
      <selection pane="bottomLeft"/>
      <selection pane="bottomRight" activeCell="E45" sqref="E45"/>
    </sheetView>
  </sheetViews>
  <sheetFormatPr defaultColWidth="9" defaultRowHeight="13.2"/>
  <cols>
    <col min="1" max="1" width="5.7" style="631" customWidth="1"/>
    <col min="2" max="2" width="8.7" style="552" customWidth="1"/>
    <col min="3" max="14" width="5.7" style="552" customWidth="1"/>
    <col min="15" max="16" width="4.6" style="75" customWidth="1" outlineLevel="1"/>
    <col min="17" max="17" width="6.1" style="75" customWidth="1" outlineLevel="1"/>
    <col min="18" max="19" width="10.7" style="552" customWidth="1" outlineLevel="1"/>
    <col min="20" max="21" width="10.7" style="552" customWidth="1"/>
    <col min="22" max="23" width="6.7" style="552" customWidth="1"/>
    <col min="24" max="52" width="9" style="552" hidden="1" customWidth="1" outlineLevel="1"/>
    <col min="53" max="53" width="14.7" style="552" customWidth="1" collapsed="1"/>
    <col min="54" max="54" width="6.7" style="552" customWidth="1"/>
    <col min="55" max="56" width="5.1" style="552" customWidth="1"/>
    <col min="57" max="57" width="8.7" style="552" customWidth="1"/>
    <col min="58" max="59" width="10.1" style="75" customWidth="1"/>
    <col min="60" max="60" width="4.7" style="165" customWidth="1"/>
    <col min="61" max="61" width="11.5" style="75" customWidth="1"/>
    <col min="62" max="66" width="4.7" style="165" customWidth="1"/>
    <col min="67" max="67" width="10.3" style="75" customWidth="1"/>
    <col min="68" max="68" width="4.7" style="165" customWidth="1"/>
    <col min="69" max="69" width="8.7" style="75" customWidth="1"/>
    <col min="70" max="75" width="9" style="552" customWidth="1"/>
    <col min="76" max="76" width="1.6" style="77" customWidth="1"/>
    <col min="77" max="77" width="10.6" style="78" customWidth="1"/>
    <col min="78" max="78" width="10.6" style="77" customWidth="1"/>
    <col min="79" max="79" width="4.6" style="78" customWidth="1"/>
    <col min="80" max="80" width="10.6" style="78" customWidth="1"/>
    <col min="81" max="82" width="4.6" style="78" customWidth="1"/>
    <col min="83" max="83" width="10.6" style="78" customWidth="1"/>
    <col min="84" max="84" width="5" style="77" customWidth="1"/>
    <col min="85" max="98" width="9" style="552" customWidth="1"/>
    <col min="99" max="16384" width="9" style="552"/>
  </cols>
  <sheetData>
    <row r="1" ht="15.75" customHeight="1" spans="1:84">
      <c r="A1" s="550" t="s">
        <v>3929</v>
      </c>
      <c r="B1" s="551" t="s">
        <v>3930</v>
      </c>
      <c r="O1" s="82"/>
      <c r="P1" s="82"/>
      <c r="Q1" s="82"/>
      <c r="BA1" s="84" t="str">
        <f>参数表!$BA$1</f>
        <v>注意：补充特殊事项、作价等均从BA列开始填写</v>
      </c>
      <c r="BB1" s="85"/>
      <c r="BF1" s="86"/>
      <c r="BG1" s="86"/>
      <c r="BH1" s="82"/>
      <c r="BI1" s="86"/>
      <c r="BJ1" s="82"/>
      <c r="BK1" s="82"/>
      <c r="BL1" s="82"/>
      <c r="BM1" s="82"/>
      <c r="BN1" s="82"/>
      <c r="BO1" s="86"/>
      <c r="BP1" s="82"/>
      <c r="BQ1" s="86"/>
      <c r="BX1" s="87"/>
      <c r="BY1" s="88"/>
      <c r="BZ1" s="87"/>
      <c r="CA1" s="88"/>
      <c r="CB1" s="88"/>
      <c r="CC1" s="88"/>
      <c r="CD1" s="88"/>
      <c r="CE1" s="88"/>
      <c r="CF1" s="87"/>
    </row>
    <row r="2" ht="30" customHeight="1" spans="1:84">
      <c r="A2" s="632" t="s">
        <v>4451</v>
      </c>
      <c r="B2" s="632"/>
      <c r="C2" s="632"/>
      <c r="D2" s="632"/>
      <c r="E2" s="632"/>
      <c r="F2" s="632"/>
      <c r="G2" s="632"/>
      <c r="H2" s="632"/>
      <c r="I2" s="632"/>
      <c r="J2" s="632"/>
      <c r="K2" s="632"/>
      <c r="L2" s="632"/>
      <c r="M2" s="632"/>
      <c r="N2" s="632"/>
      <c r="O2" s="632"/>
      <c r="P2" s="632"/>
      <c r="Q2" s="632"/>
      <c r="R2" s="632"/>
      <c r="S2" s="632"/>
      <c r="T2" s="632"/>
      <c r="U2" s="632"/>
      <c r="V2" s="632"/>
      <c r="W2" s="632"/>
      <c r="X2" s="633"/>
      <c r="Y2" s="633"/>
      <c r="Z2" s="633"/>
      <c r="BA2" s="90" t="str">
        <f>参数表!$BA$2</f>
        <v>评估基准日：</v>
      </c>
      <c r="BB2" s="91" t="str">
        <f>参数表!$BB$2</f>
        <v>2025年7月31日</v>
      </c>
      <c r="BF2" s="71"/>
      <c r="BG2" s="71"/>
      <c r="BH2" s="171"/>
      <c r="BI2" s="71"/>
      <c r="BJ2" s="171"/>
      <c r="BK2" s="171"/>
      <c r="BL2" s="171"/>
      <c r="BM2" s="171"/>
      <c r="BN2" s="171"/>
      <c r="BO2" s="71"/>
      <c r="BP2" s="171"/>
      <c r="BQ2" s="71"/>
      <c r="BX2" s="92"/>
      <c r="BY2" s="93"/>
      <c r="BZ2" s="92"/>
      <c r="CA2" s="93"/>
      <c r="CB2" s="93"/>
      <c r="CC2" s="93"/>
      <c r="CD2" s="93"/>
      <c r="CE2" s="93"/>
      <c r="CF2" s="92"/>
    </row>
    <row r="3" ht="14.1" customHeight="1" spans="1:84">
      <c r="A3" s="634" t="str">
        <f>参数表!F5</f>
        <v>评估基准日：2025年7月31日</v>
      </c>
      <c r="B3" s="634"/>
      <c r="C3" s="634"/>
      <c r="D3" s="634"/>
      <c r="E3" s="634"/>
      <c r="F3" s="634"/>
      <c r="G3" s="634"/>
      <c r="H3" s="634"/>
      <c r="I3" s="634"/>
      <c r="J3" s="634"/>
      <c r="K3" s="634"/>
      <c r="L3" s="634"/>
      <c r="M3" s="634"/>
      <c r="N3" s="634"/>
      <c r="O3" s="634"/>
      <c r="P3" s="634"/>
      <c r="Q3" s="634"/>
      <c r="R3" s="634"/>
      <c r="S3" s="634"/>
      <c r="T3" s="635"/>
      <c r="U3" s="635"/>
      <c r="V3" s="635"/>
      <c r="W3" s="635"/>
      <c r="X3" s="633"/>
      <c r="Y3" s="633"/>
      <c r="Z3" s="633"/>
      <c r="BA3" s="90" t="str">
        <f>参数表!$BA$3</f>
        <v>是否显示评估值：</v>
      </c>
      <c r="BB3" s="90" t="str">
        <f>参数表!$BB$3</f>
        <v>是</v>
      </c>
      <c r="BZ3" s="78"/>
    </row>
    <row r="4" ht="14.1" customHeight="1" spans="1:84">
      <c r="A4" s="636"/>
      <c r="B4" s="634"/>
      <c r="C4" s="634"/>
      <c r="D4" s="634"/>
      <c r="E4" s="634"/>
      <c r="F4" s="634"/>
      <c r="G4" s="634"/>
      <c r="H4" s="634"/>
      <c r="I4" s="634"/>
      <c r="J4" s="634"/>
      <c r="K4" s="634"/>
      <c r="L4" s="634"/>
      <c r="M4" s="634"/>
      <c r="N4" s="634"/>
      <c r="O4" s="94"/>
      <c r="P4" s="94"/>
      <c r="Q4" s="94"/>
      <c r="R4" s="634"/>
      <c r="S4" s="634"/>
      <c r="T4" s="635"/>
      <c r="U4" s="635"/>
      <c r="V4" s="635"/>
      <c r="W4" s="98" t="str">
        <f>"表"&amp;$BA4</f>
        <v>表4-11-5</v>
      </c>
      <c r="X4" s="633"/>
      <c r="Y4" s="633"/>
      <c r="Z4" s="633"/>
      <c r="BA4" s="637" t="str">
        <f>在建总!A11</f>
        <v>4-11-5</v>
      </c>
      <c r="BB4" s="100">
        <f>MAX(COUNTA(A7:A26),COUNTA(B7:B26),COUNTA(R7:R26),COUNTA(T7:T26))</f>
        <v>20</v>
      </c>
      <c r="BC4" s="101">
        <f>ROW(A6)+1</f>
        <v>7</v>
      </c>
      <c r="BD4" s="77"/>
      <c r="BE4" s="77"/>
      <c r="BZ4" s="78"/>
    </row>
    <row r="5" ht="15.75" customHeight="1" spans="1:84">
      <c r="A5" s="638" t="str">
        <f>参数表!F3</f>
        <v>产权持有单位:中煤第五建设有限公司</v>
      </c>
      <c r="B5" s="639"/>
      <c r="C5" s="640"/>
      <c r="D5" s="640"/>
      <c r="E5" s="640"/>
      <c r="F5" s="640"/>
      <c r="G5" s="640"/>
      <c r="H5" s="640"/>
      <c r="I5" s="640"/>
      <c r="J5" s="640"/>
      <c r="K5" s="640"/>
      <c r="L5" s="640"/>
      <c r="M5" s="640"/>
      <c r="N5" s="640"/>
      <c r="O5" s="103"/>
      <c r="P5" s="103"/>
      <c r="Q5" s="103"/>
      <c r="R5" s="640"/>
      <c r="S5" s="640"/>
      <c r="T5" s="640"/>
      <c r="U5" s="640"/>
      <c r="V5" s="640"/>
      <c r="W5" s="641" t="s">
        <v>3075</v>
      </c>
      <c r="BA5" s="640"/>
      <c r="BB5" s="105" t="str">
        <f ca="1">判断表!C81</f>
        <v>中煤第五建设有限公司第三工程处拟处置实物资产项目\[0000-3基础法明细表.xlsx]在建-井巷</v>
      </c>
      <c r="BC5" s="106">
        <f>IFERROR(SUMIF(BC7:BC26,"√",T7:T26)/T27,0)</f>
        <v>0</v>
      </c>
      <c r="BD5" s="107"/>
      <c r="BE5" s="107"/>
      <c r="BF5" s="108">
        <f>'在建-土建'!BF5</f>
        <v>0</v>
      </c>
      <c r="BG5" s="108">
        <f>'在建-土建'!BG5</f>
        <v>0</v>
      </c>
      <c r="BH5" s="109"/>
      <c r="BI5" s="109"/>
      <c r="BJ5" s="109"/>
      <c r="BK5" s="109"/>
      <c r="BL5" s="109"/>
      <c r="BM5" s="109"/>
      <c r="BN5" s="109"/>
      <c r="BO5" s="110"/>
      <c r="BP5" s="109"/>
      <c r="BQ5" s="110"/>
      <c r="BR5" s="103"/>
      <c r="BS5" s="642" t="str">
        <f>BB2</f>
        <v>2025年7月31日</v>
      </c>
      <c r="BT5" s="75"/>
      <c r="BU5" s="643"/>
      <c r="BV5" s="75"/>
      <c r="BW5" s="75"/>
      <c r="BX5" s="111"/>
      <c r="BZ5" s="78"/>
      <c r="CE5" s="194"/>
      <c r="CF5" s="111"/>
    </row>
    <row r="6" s="629" customFormat="1" ht="36" spans="1:84">
      <c r="A6" s="644" t="s">
        <v>521</v>
      </c>
      <c r="B6" s="645" t="s">
        <v>3933</v>
      </c>
      <c r="C6" s="645" t="s">
        <v>3934</v>
      </c>
      <c r="D6" s="645" t="s">
        <v>3935</v>
      </c>
      <c r="E6" s="645" t="s">
        <v>3936</v>
      </c>
      <c r="F6" s="645" t="s">
        <v>3937</v>
      </c>
      <c r="G6" s="645" t="s">
        <v>3938</v>
      </c>
      <c r="H6" s="645" t="s">
        <v>3939</v>
      </c>
      <c r="I6" s="645" t="s">
        <v>3940</v>
      </c>
      <c r="J6" s="645" t="s">
        <v>3941</v>
      </c>
      <c r="K6" s="645" t="s">
        <v>3942</v>
      </c>
      <c r="L6" s="645" t="s">
        <v>3943</v>
      </c>
      <c r="M6" s="645" t="s">
        <v>3944</v>
      </c>
      <c r="N6" s="645" t="s">
        <v>3947</v>
      </c>
      <c r="O6" s="114" t="s">
        <v>1631</v>
      </c>
      <c r="P6" s="115" t="s">
        <v>1632</v>
      </c>
      <c r="Q6" s="116" t="s">
        <v>3793</v>
      </c>
      <c r="R6" s="646" t="s">
        <v>3948</v>
      </c>
      <c r="S6" s="647" t="s">
        <v>3949</v>
      </c>
      <c r="T6" s="646" t="s">
        <v>4452</v>
      </c>
      <c r="U6" s="648" t="s">
        <v>1390</v>
      </c>
      <c r="V6" s="649" t="s">
        <v>1058</v>
      </c>
      <c r="W6" s="650" t="s">
        <v>3086</v>
      </c>
      <c r="BA6" s="100" t="s">
        <v>1545</v>
      </c>
      <c r="BB6" s="100" t="s">
        <v>1635</v>
      </c>
      <c r="BC6" s="100" t="s">
        <v>1636</v>
      </c>
      <c r="BD6" s="100" t="s">
        <v>1637</v>
      </c>
      <c r="BE6" s="100" t="s">
        <v>1638</v>
      </c>
      <c r="BF6" s="115" t="s">
        <v>1639</v>
      </c>
      <c r="BG6" s="115" t="s">
        <v>1640</v>
      </c>
      <c r="BH6" s="118" t="s">
        <v>1748</v>
      </c>
      <c r="BI6" s="118" t="s">
        <v>4217</v>
      </c>
      <c r="BJ6" s="118" t="s">
        <v>3695</v>
      </c>
      <c r="BK6" s="118" t="s">
        <v>1712</v>
      </c>
      <c r="BL6" s="118" t="s">
        <v>3696</v>
      </c>
      <c r="BM6" s="118" t="s">
        <v>4355</v>
      </c>
      <c r="BN6" s="118" t="s">
        <v>1641</v>
      </c>
      <c r="BO6" s="118" t="s">
        <v>2209</v>
      </c>
      <c r="BP6" s="118" t="s">
        <v>3697</v>
      </c>
      <c r="BQ6" s="118" t="s">
        <v>1644</v>
      </c>
      <c r="BR6" s="224" t="s">
        <v>4356</v>
      </c>
      <c r="BS6" s="224" t="s">
        <v>4357</v>
      </c>
      <c r="BT6" s="224" t="s">
        <v>4358</v>
      </c>
      <c r="BU6" s="224" t="s">
        <v>4359</v>
      </c>
      <c r="BV6" s="224" t="s">
        <v>3715</v>
      </c>
      <c r="BW6" s="224" t="s">
        <v>3716</v>
      </c>
      <c r="BX6" s="119"/>
      <c r="BY6" s="120" t="s">
        <v>1645</v>
      </c>
      <c r="BZ6" s="121" t="s">
        <v>1646</v>
      </c>
      <c r="CA6" s="121" t="s">
        <v>1647</v>
      </c>
      <c r="CB6" s="121" t="s">
        <v>1648</v>
      </c>
      <c r="CC6" s="121" t="s">
        <v>1647</v>
      </c>
      <c r="CD6" s="121" t="s">
        <v>1647</v>
      </c>
      <c r="CE6" s="121" t="s">
        <v>1649</v>
      </c>
      <c r="CF6" s="122" t="s">
        <v>1650</v>
      </c>
    </row>
    <row r="7" ht="15.75" customHeight="1" spans="1:84">
      <c r="A7" s="123" t="str">
        <f>IF(B7="","",COUNT(A$6:A6)+1)</f>
        <v/>
      </c>
      <c r="B7" s="651"/>
      <c r="C7" s="652" t="s">
        <v>347</v>
      </c>
      <c r="D7" s="652" t="s">
        <v>347</v>
      </c>
      <c r="E7" s="651" t="s">
        <v>347</v>
      </c>
      <c r="F7" s="653" t="s">
        <v>347</v>
      </c>
      <c r="G7" s="653" t="s">
        <v>347</v>
      </c>
      <c r="H7" s="653" t="s">
        <v>347</v>
      </c>
      <c r="I7" s="653" t="s">
        <v>347</v>
      </c>
      <c r="J7" s="653" t="s">
        <v>347</v>
      </c>
      <c r="K7" s="653" t="s">
        <v>347</v>
      </c>
      <c r="L7" s="651" t="s">
        <v>347</v>
      </c>
      <c r="M7" s="653"/>
      <c r="N7" s="654" t="s">
        <v>347</v>
      </c>
      <c r="O7" s="127"/>
      <c r="P7" s="127" t="str">
        <f>IFERROR(VLOOKUP(O7,参数表!$H$2:$I$50,2,FALSE),"")</f>
        <v/>
      </c>
      <c r="Q7" s="128" t="str">
        <f>IFERROR(IF(OR(O7="人民币",O7=""),"",T7/P7),"")</f>
        <v/>
      </c>
      <c r="R7" s="655"/>
      <c r="S7" s="655"/>
      <c r="T7" s="655" t="str">
        <f>IF(B7="","",R7+S7)</f>
        <v/>
      </c>
      <c r="U7" s="655" t="str">
        <f t="shared" ref="U7:U26" si="0">IF(B7="","",IF(BB$3="否","",BR7+BW7))</f>
        <v/>
      </c>
      <c r="V7" s="655" t="str">
        <f>IFERROR((U7-T7)/T7*100,"")</f>
        <v/>
      </c>
      <c r="W7" s="656" t="s">
        <v>347</v>
      </c>
      <c r="BA7" s="78"/>
      <c r="BB7" s="132" t="s">
        <v>4453</v>
      </c>
      <c r="BC7" s="133"/>
      <c r="BD7" s="132" t="str">
        <f>IF(OR(B7="",BC7=""),"",COUNTIF(BC$7:BC7,"√"))</f>
        <v/>
      </c>
      <c r="BE7" s="134" t="str">
        <f t="shared" ref="BE7:BE26" si="1">IF(BC7="","",BB7&amp;"︱"&amp;B7&amp;"︱"&amp;TEXT(R7,"#,##0.00"))</f>
        <v/>
      </c>
      <c r="BF7" s="135" t="str">
        <f>IF($B7="","",IF(BF$5=0,"OK","出错"))</f>
        <v/>
      </c>
      <c r="BG7" s="135" t="str">
        <f>IF($B7="","",IF(BG$5=0,"OK","出错"))</f>
        <v/>
      </c>
      <c r="BH7" s="136"/>
      <c r="BI7" s="137"/>
      <c r="BJ7" s="136"/>
      <c r="BK7" s="136"/>
      <c r="BL7" s="136"/>
      <c r="BM7" s="136"/>
      <c r="BN7" s="136"/>
      <c r="BO7" s="137"/>
      <c r="BP7" s="136"/>
      <c r="BQ7" s="137"/>
      <c r="BR7" s="657"/>
      <c r="BS7" s="156">
        <f t="shared" ref="BS7:BS26" si="2">(BS$5-M7)/365.25</f>
        <v>125.582477754962</v>
      </c>
      <c r="BT7" s="223"/>
      <c r="BU7" s="156">
        <f>MIN(BS7:BT7)</f>
        <v>125.582477754962</v>
      </c>
      <c r="BV7" s="658">
        <f>LOOKUP(BU7,参数表!A$14:B$19)</f>
        <v>0</v>
      </c>
      <c r="BW7" s="156">
        <f>BR7*BU7*BV7/2</f>
        <v>0</v>
      </c>
      <c r="BY7" s="134" t="str">
        <f>IF(COUNTIF(BY$6:BY6,B7)&gt;0,"",B7)&amp;""</f>
        <v/>
      </c>
      <c r="BZ7" s="138">
        <f>SUMIF(B$7:B$26,BY7,T$7:T$26)</f>
        <v>0</v>
      </c>
      <c r="CA7" s="132">
        <f t="shared" ref="CA7" si="3">RANK(BZ7,BZ$7:BZ$26)</f>
        <v>1</v>
      </c>
      <c r="CB7" s="138">
        <f>SUMIF(B$7:B$26,BY7,U$7:U$26)</f>
        <v>0</v>
      </c>
      <c r="CC7" s="132">
        <f>RANK(CB7,CB$7:CB$26)</f>
        <v>1</v>
      </c>
      <c r="CD7" s="138">
        <f>SUM(BZ7:BZ26)</f>
        <v>0</v>
      </c>
      <c r="CE7" s="138"/>
      <c r="CF7" s="138"/>
    </row>
    <row r="8" ht="15.75" customHeight="1" spans="1:84">
      <c r="A8" s="123" t="str">
        <f>IF(B8="","",COUNT(A$6:A7)+1)</f>
        <v/>
      </c>
      <c r="B8" s="659" t="s">
        <v>347</v>
      </c>
      <c r="C8" s="660" t="s">
        <v>347</v>
      </c>
      <c r="D8" s="660" t="s">
        <v>347</v>
      </c>
      <c r="E8" s="659" t="s">
        <v>347</v>
      </c>
      <c r="F8" s="661" t="s">
        <v>347</v>
      </c>
      <c r="G8" s="661" t="s">
        <v>347</v>
      </c>
      <c r="H8" s="661" t="s">
        <v>347</v>
      </c>
      <c r="I8" s="661" t="s">
        <v>347</v>
      </c>
      <c r="J8" s="661" t="s">
        <v>347</v>
      </c>
      <c r="K8" s="661" t="s">
        <v>347</v>
      </c>
      <c r="L8" s="659" t="s">
        <v>347</v>
      </c>
      <c r="M8" s="661"/>
      <c r="N8" s="662" t="s">
        <v>347</v>
      </c>
      <c r="O8" s="142"/>
      <c r="P8" s="127" t="str">
        <f>IFERROR(VLOOKUP(O8,参数表!$H$2:$I$50,2,FALSE),"")</f>
        <v/>
      </c>
      <c r="Q8" s="128" t="str">
        <f t="shared" ref="Q8:Q26" si="4">IFERROR(IF(OR(O8="人民币",O8=""),"",T8/P8),"")</f>
        <v/>
      </c>
      <c r="R8" s="663"/>
      <c r="S8" s="663"/>
      <c r="T8" s="655" t="str">
        <f t="shared" ref="T8:T26" si="5">IF(B8="","",R8+S8)</f>
        <v/>
      </c>
      <c r="U8" s="655" t="str">
        <f t="shared" si="0"/>
        <v/>
      </c>
      <c r="V8" s="655" t="str">
        <f t="shared" ref="V8:V29" si="6">IFERROR((U8-T8)/T8*100,"")</f>
        <v/>
      </c>
      <c r="W8" s="664" t="s">
        <v>347</v>
      </c>
      <c r="BA8" s="78"/>
      <c r="BB8" s="132" t="s">
        <v>4454</v>
      </c>
      <c r="BC8" s="133"/>
      <c r="BD8" s="132" t="str">
        <f>IF(OR(B8="",BC8=""),"",COUNTIF(BC$7:BC8,"√"))</f>
        <v/>
      </c>
      <c r="BE8" s="134" t="str">
        <f t="shared" si="1"/>
        <v/>
      </c>
      <c r="BF8" s="135" t="str">
        <f t="shared" ref="BF8:BG26" si="7">IF($B8="","",IF(BF$5=0,"OK","出错"))</f>
        <v/>
      </c>
      <c r="BG8" s="135" t="str">
        <f t="shared" si="7"/>
        <v/>
      </c>
      <c r="BH8" s="136"/>
      <c r="BI8" s="137"/>
      <c r="BJ8" s="136"/>
      <c r="BK8" s="136"/>
      <c r="BL8" s="136"/>
      <c r="BM8" s="136"/>
      <c r="BN8" s="136"/>
      <c r="BO8" s="137"/>
      <c r="BP8" s="136"/>
      <c r="BQ8" s="137"/>
      <c r="BR8" s="657"/>
      <c r="BS8" s="156">
        <f t="shared" si="2"/>
        <v>125.582477754962</v>
      </c>
      <c r="BT8" s="223"/>
      <c r="BU8" s="156">
        <f t="shared" ref="BU8:BU26" si="8">MIN(BS8:BT8)</f>
        <v>125.582477754962</v>
      </c>
      <c r="BV8" s="658">
        <f>LOOKUP(BU8,参数表!A$14:B$19)</f>
        <v>0</v>
      </c>
      <c r="BW8" s="156">
        <f t="shared" ref="BW8:BW26" si="9">BR8*BU8*BV8/2</f>
        <v>0</v>
      </c>
      <c r="BY8" s="134" t="str">
        <f>IF(COUNTIF(BY$6:BY7,B8)&gt;0,"",B8)&amp;""</f>
        <v/>
      </c>
      <c r="BZ8" s="138">
        <f t="shared" ref="BZ8:BZ26" si="10">SUMIF(B$7:B$26,BY8,T$7:T$26)</f>
        <v>0</v>
      </c>
      <c r="CA8" s="132">
        <f t="shared" ref="CA8:CA26" si="11">RANK(BZ8,BZ$7:BZ$26)</f>
        <v>1</v>
      </c>
      <c r="CB8" s="138">
        <f t="shared" ref="CB8:CB26" si="12">SUMIF(B$7:B$26,BY8,U$7:U$26)</f>
        <v>0</v>
      </c>
      <c r="CC8" s="132">
        <f t="shared" ref="CC8:CC26" si="13">RANK(CB8,CB$7:CB$26)</f>
        <v>1</v>
      </c>
      <c r="CD8" s="138">
        <f>SUM(CB7:CB26)</f>
        <v>0</v>
      </c>
      <c r="CE8" s="138"/>
      <c r="CF8" s="138"/>
    </row>
    <row r="9" ht="15.75" customHeight="1" spans="1:84">
      <c r="A9" s="123" t="str">
        <f>IF(B9="","",COUNT(A$6:A8)+1)</f>
        <v/>
      </c>
      <c r="B9" s="659" t="s">
        <v>347</v>
      </c>
      <c r="C9" s="660" t="s">
        <v>347</v>
      </c>
      <c r="D9" s="660" t="s">
        <v>347</v>
      </c>
      <c r="E9" s="659" t="s">
        <v>347</v>
      </c>
      <c r="F9" s="661" t="s">
        <v>347</v>
      </c>
      <c r="G9" s="661" t="s">
        <v>347</v>
      </c>
      <c r="H9" s="661" t="s">
        <v>347</v>
      </c>
      <c r="I9" s="661" t="s">
        <v>347</v>
      </c>
      <c r="J9" s="661" t="s">
        <v>347</v>
      </c>
      <c r="K9" s="661" t="s">
        <v>347</v>
      </c>
      <c r="L9" s="659" t="s">
        <v>347</v>
      </c>
      <c r="M9" s="661"/>
      <c r="N9" s="662" t="s">
        <v>347</v>
      </c>
      <c r="O9" s="142"/>
      <c r="P9" s="127" t="str">
        <f>IFERROR(VLOOKUP(O9,参数表!$H$2:$I$50,2,FALSE),"")</f>
        <v/>
      </c>
      <c r="Q9" s="128" t="str">
        <f t="shared" si="4"/>
        <v/>
      </c>
      <c r="R9" s="663"/>
      <c r="S9" s="663"/>
      <c r="T9" s="655" t="str">
        <f t="shared" si="5"/>
        <v/>
      </c>
      <c r="U9" s="655" t="str">
        <f t="shared" si="0"/>
        <v/>
      </c>
      <c r="V9" s="655" t="str">
        <f t="shared" si="6"/>
        <v/>
      </c>
      <c r="W9" s="664" t="s">
        <v>347</v>
      </c>
      <c r="BA9" s="78"/>
      <c r="BB9" s="132" t="s">
        <v>4455</v>
      </c>
      <c r="BC9" s="133"/>
      <c r="BD9" s="132" t="str">
        <f>IF(OR(B9="",BC9=""),"",COUNTIF(BC$7:BC9,"√"))</f>
        <v/>
      </c>
      <c r="BE9" s="134" t="str">
        <f t="shared" si="1"/>
        <v/>
      </c>
      <c r="BF9" s="135" t="str">
        <f t="shared" si="7"/>
        <v/>
      </c>
      <c r="BG9" s="135" t="str">
        <f t="shared" si="7"/>
        <v/>
      </c>
      <c r="BH9" s="136"/>
      <c r="BI9" s="137"/>
      <c r="BJ9" s="136"/>
      <c r="BK9" s="136"/>
      <c r="BL9" s="136"/>
      <c r="BM9" s="136"/>
      <c r="BN9" s="136"/>
      <c r="BO9" s="137"/>
      <c r="BP9" s="136"/>
      <c r="BQ9" s="137"/>
      <c r="BR9" s="657"/>
      <c r="BS9" s="156">
        <f t="shared" si="2"/>
        <v>125.582477754962</v>
      </c>
      <c r="BT9" s="223"/>
      <c r="BU9" s="156">
        <f t="shared" si="8"/>
        <v>125.582477754962</v>
      </c>
      <c r="BV9" s="658">
        <f>LOOKUP(BU9,参数表!A$14:B$19)</f>
        <v>0</v>
      </c>
      <c r="BW9" s="156">
        <f t="shared" si="9"/>
        <v>0</v>
      </c>
      <c r="BY9" s="134" t="str">
        <f>IF(COUNTIF(BY$6:BY8,B9)&gt;0,"",B9)&amp;""</f>
        <v/>
      </c>
      <c r="BZ9" s="138">
        <f t="shared" si="10"/>
        <v>0</v>
      </c>
      <c r="CA9" s="132">
        <f t="shared" si="11"/>
        <v>1</v>
      </c>
      <c r="CB9" s="138">
        <f t="shared" si="12"/>
        <v>0</v>
      </c>
      <c r="CC9" s="132">
        <f t="shared" si="13"/>
        <v>1</v>
      </c>
      <c r="CD9" s="132">
        <v>1</v>
      </c>
      <c r="CE9" s="134" t="str">
        <f>IFERROR(INDEX(BY$7:BY$26,MATCH(CD9,IF(CD$7=0,CC$7:CC$26,CA$7:CA$26),0))&amp;"","")</f>
        <v/>
      </c>
      <c r="CF9" s="146" t="str">
        <f>IF(CE10="","",IF(CE11="","和","、"))</f>
        <v/>
      </c>
    </row>
    <row r="10" ht="15.75" customHeight="1" spans="1:84">
      <c r="A10" s="123" t="str">
        <f>IF(B10="","",COUNT(A$6:A9)+1)</f>
        <v/>
      </c>
      <c r="B10" s="659" t="s">
        <v>347</v>
      </c>
      <c r="C10" s="660" t="s">
        <v>347</v>
      </c>
      <c r="D10" s="660" t="s">
        <v>347</v>
      </c>
      <c r="E10" s="659" t="s">
        <v>347</v>
      </c>
      <c r="F10" s="661" t="s">
        <v>347</v>
      </c>
      <c r="G10" s="661" t="s">
        <v>347</v>
      </c>
      <c r="H10" s="661" t="s">
        <v>347</v>
      </c>
      <c r="I10" s="661" t="s">
        <v>347</v>
      </c>
      <c r="J10" s="661" t="s">
        <v>347</v>
      </c>
      <c r="K10" s="661" t="s">
        <v>347</v>
      </c>
      <c r="L10" s="659" t="s">
        <v>347</v>
      </c>
      <c r="M10" s="661"/>
      <c r="N10" s="662" t="s">
        <v>347</v>
      </c>
      <c r="O10" s="142"/>
      <c r="P10" s="127" t="str">
        <f>IFERROR(VLOOKUP(O10,参数表!$H$2:$I$50,2,FALSE),"")</f>
        <v/>
      </c>
      <c r="Q10" s="128" t="str">
        <f t="shared" si="4"/>
        <v/>
      </c>
      <c r="R10" s="663"/>
      <c r="S10" s="663"/>
      <c r="T10" s="655" t="str">
        <f t="shared" si="5"/>
        <v/>
      </c>
      <c r="U10" s="655" t="str">
        <f t="shared" si="0"/>
        <v/>
      </c>
      <c r="V10" s="655" t="str">
        <f t="shared" si="6"/>
        <v/>
      </c>
      <c r="W10" s="664" t="s">
        <v>347</v>
      </c>
      <c r="BA10" s="78"/>
      <c r="BB10" s="132" t="s">
        <v>4456</v>
      </c>
      <c r="BC10" s="133"/>
      <c r="BD10" s="132" t="str">
        <f>IF(OR(B10="",BC10=""),"",COUNTIF(BC$7:BC10,"√"))</f>
        <v/>
      </c>
      <c r="BE10" s="134" t="str">
        <f t="shared" si="1"/>
        <v/>
      </c>
      <c r="BF10" s="135" t="str">
        <f t="shared" si="7"/>
        <v/>
      </c>
      <c r="BG10" s="135" t="str">
        <f t="shared" si="7"/>
        <v/>
      </c>
      <c r="BH10" s="136"/>
      <c r="BI10" s="137"/>
      <c r="BJ10" s="136"/>
      <c r="BK10" s="136"/>
      <c r="BL10" s="136"/>
      <c r="BM10" s="136"/>
      <c r="BN10" s="136"/>
      <c r="BO10" s="137"/>
      <c r="BP10" s="136"/>
      <c r="BQ10" s="137"/>
      <c r="BR10" s="657"/>
      <c r="BS10" s="156">
        <f t="shared" si="2"/>
        <v>125.582477754962</v>
      </c>
      <c r="BT10" s="223"/>
      <c r="BU10" s="156">
        <f t="shared" si="8"/>
        <v>125.582477754962</v>
      </c>
      <c r="BV10" s="658">
        <f>LOOKUP(BU10,参数表!A$14:B$19)</f>
        <v>0</v>
      </c>
      <c r="BW10" s="156">
        <f t="shared" si="9"/>
        <v>0</v>
      </c>
      <c r="BY10" s="134" t="str">
        <f>IF(COUNTIF(BY$6:BY9,B10)&gt;0,"",B10)&amp;""</f>
        <v/>
      </c>
      <c r="BZ10" s="138">
        <f t="shared" si="10"/>
        <v>0</v>
      </c>
      <c r="CA10" s="132">
        <f t="shared" si="11"/>
        <v>1</v>
      </c>
      <c r="CB10" s="138">
        <f t="shared" si="12"/>
        <v>0</v>
      </c>
      <c r="CC10" s="132">
        <f t="shared" si="13"/>
        <v>1</v>
      </c>
      <c r="CD10" s="132">
        <v>2</v>
      </c>
      <c r="CE10" s="134" t="str">
        <f t="shared" ref="CE10:CE13" si="14">IFERROR(INDEX(BY$7:BY$26,MATCH(CD10,IF(CD$7=0,CC$7:CC$26,CA$7:CA$26),0))&amp;"","")</f>
        <v/>
      </c>
      <c r="CF10" s="146" t="str">
        <f t="shared" ref="CF10:CF11" si="15">IF(CE11="","",IF(CE12="","和","、"))</f>
        <v/>
      </c>
    </row>
    <row r="11" ht="15.75" customHeight="1" spans="1:84">
      <c r="A11" s="123" t="str">
        <f>IF(B11="","",COUNT(A$6:A10)+1)</f>
        <v/>
      </c>
      <c r="B11" s="659" t="s">
        <v>347</v>
      </c>
      <c r="C11" s="660" t="s">
        <v>347</v>
      </c>
      <c r="D11" s="660" t="s">
        <v>347</v>
      </c>
      <c r="E11" s="659" t="s">
        <v>347</v>
      </c>
      <c r="F11" s="661" t="s">
        <v>347</v>
      </c>
      <c r="G11" s="661" t="s">
        <v>347</v>
      </c>
      <c r="H11" s="661" t="s">
        <v>347</v>
      </c>
      <c r="I11" s="661" t="s">
        <v>347</v>
      </c>
      <c r="J11" s="661" t="s">
        <v>347</v>
      </c>
      <c r="K11" s="661" t="s">
        <v>347</v>
      </c>
      <c r="L11" s="659" t="s">
        <v>347</v>
      </c>
      <c r="M11" s="661"/>
      <c r="N11" s="662" t="s">
        <v>347</v>
      </c>
      <c r="O11" s="142"/>
      <c r="P11" s="127" t="str">
        <f>IFERROR(VLOOKUP(O11,参数表!$H$2:$I$50,2,FALSE),"")</f>
        <v/>
      </c>
      <c r="Q11" s="128" t="str">
        <f t="shared" si="4"/>
        <v/>
      </c>
      <c r="R11" s="663"/>
      <c r="S11" s="663"/>
      <c r="T11" s="655" t="str">
        <f t="shared" si="5"/>
        <v/>
      </c>
      <c r="U11" s="655" t="str">
        <f t="shared" si="0"/>
        <v/>
      </c>
      <c r="V11" s="655" t="str">
        <f t="shared" si="6"/>
        <v/>
      </c>
      <c r="W11" s="664" t="s">
        <v>347</v>
      </c>
      <c r="BA11" s="78"/>
      <c r="BB11" s="132" t="s">
        <v>4457</v>
      </c>
      <c r="BC11" s="133"/>
      <c r="BD11" s="132" t="str">
        <f>IF(OR(B11="",BC11=""),"",COUNTIF(BC$7:BC11,"√"))</f>
        <v/>
      </c>
      <c r="BE11" s="134" t="str">
        <f t="shared" si="1"/>
        <v/>
      </c>
      <c r="BF11" s="135" t="str">
        <f t="shared" si="7"/>
        <v/>
      </c>
      <c r="BG11" s="135" t="str">
        <f t="shared" si="7"/>
        <v/>
      </c>
      <c r="BH11" s="136"/>
      <c r="BI11" s="137"/>
      <c r="BJ11" s="136"/>
      <c r="BK11" s="136"/>
      <c r="BL11" s="136"/>
      <c r="BM11" s="136"/>
      <c r="BN11" s="136"/>
      <c r="BO11" s="137"/>
      <c r="BP11" s="136"/>
      <c r="BQ11" s="137"/>
      <c r="BR11" s="657"/>
      <c r="BS11" s="156">
        <f t="shared" si="2"/>
        <v>125.582477754962</v>
      </c>
      <c r="BT11" s="223"/>
      <c r="BU11" s="156">
        <f t="shared" si="8"/>
        <v>125.582477754962</v>
      </c>
      <c r="BV11" s="658">
        <f>LOOKUP(BU11,参数表!A$14:B$19)</f>
        <v>0</v>
      </c>
      <c r="BW11" s="156">
        <f t="shared" si="9"/>
        <v>0</v>
      </c>
      <c r="BY11" s="134" t="str">
        <f>IF(COUNTIF(BY$6:BY10,B11)&gt;0,"",B11)&amp;""</f>
        <v/>
      </c>
      <c r="BZ11" s="138">
        <f t="shared" si="10"/>
        <v>0</v>
      </c>
      <c r="CA11" s="132">
        <f t="shared" si="11"/>
        <v>1</v>
      </c>
      <c r="CB11" s="138">
        <f t="shared" si="12"/>
        <v>0</v>
      </c>
      <c r="CC11" s="132">
        <f t="shared" si="13"/>
        <v>1</v>
      </c>
      <c r="CD11" s="132">
        <v>3</v>
      </c>
      <c r="CE11" s="134" t="str">
        <f t="shared" si="14"/>
        <v/>
      </c>
      <c r="CF11" s="146" t="str">
        <f t="shared" si="15"/>
        <v/>
      </c>
    </row>
    <row r="12" ht="15.75" customHeight="1" spans="1:84">
      <c r="A12" s="123" t="str">
        <f>IF(B12="","",COUNT(A$6:A11)+1)</f>
        <v/>
      </c>
      <c r="B12" s="659" t="s">
        <v>347</v>
      </c>
      <c r="C12" s="660" t="s">
        <v>347</v>
      </c>
      <c r="D12" s="660" t="s">
        <v>347</v>
      </c>
      <c r="E12" s="659" t="s">
        <v>347</v>
      </c>
      <c r="F12" s="661" t="s">
        <v>347</v>
      </c>
      <c r="G12" s="661" t="s">
        <v>347</v>
      </c>
      <c r="H12" s="661" t="s">
        <v>347</v>
      </c>
      <c r="I12" s="661" t="s">
        <v>347</v>
      </c>
      <c r="J12" s="661" t="s">
        <v>347</v>
      </c>
      <c r="K12" s="661" t="s">
        <v>347</v>
      </c>
      <c r="L12" s="659" t="s">
        <v>347</v>
      </c>
      <c r="M12" s="661"/>
      <c r="N12" s="662" t="s">
        <v>347</v>
      </c>
      <c r="O12" s="142"/>
      <c r="P12" s="127" t="str">
        <f>IFERROR(VLOOKUP(O12,参数表!$H$2:$I$50,2,FALSE),"")</f>
        <v/>
      </c>
      <c r="Q12" s="128" t="str">
        <f t="shared" si="4"/>
        <v/>
      </c>
      <c r="R12" s="663"/>
      <c r="S12" s="663"/>
      <c r="T12" s="655" t="str">
        <f t="shared" si="5"/>
        <v/>
      </c>
      <c r="U12" s="655" t="str">
        <f t="shared" si="0"/>
        <v/>
      </c>
      <c r="V12" s="655" t="str">
        <f t="shared" si="6"/>
        <v/>
      </c>
      <c r="W12" s="664" t="s">
        <v>347</v>
      </c>
      <c r="BA12" s="78"/>
      <c r="BB12" s="132" t="s">
        <v>4458</v>
      </c>
      <c r="BC12" s="133"/>
      <c r="BD12" s="132" t="str">
        <f>IF(OR(B12="",BC12=""),"",COUNTIF(BC$7:BC12,"√"))</f>
        <v/>
      </c>
      <c r="BE12" s="134" t="str">
        <f t="shared" si="1"/>
        <v/>
      </c>
      <c r="BF12" s="135" t="str">
        <f t="shared" si="7"/>
        <v/>
      </c>
      <c r="BG12" s="135" t="str">
        <f t="shared" si="7"/>
        <v/>
      </c>
      <c r="BH12" s="136"/>
      <c r="BI12" s="137"/>
      <c r="BJ12" s="136"/>
      <c r="BK12" s="136"/>
      <c r="BL12" s="136"/>
      <c r="BM12" s="136"/>
      <c r="BN12" s="136"/>
      <c r="BO12" s="137"/>
      <c r="BP12" s="136"/>
      <c r="BQ12" s="137"/>
      <c r="BR12" s="657"/>
      <c r="BS12" s="156">
        <f t="shared" si="2"/>
        <v>125.582477754962</v>
      </c>
      <c r="BT12" s="223"/>
      <c r="BU12" s="156">
        <f t="shared" si="8"/>
        <v>125.582477754962</v>
      </c>
      <c r="BV12" s="658">
        <f>LOOKUP(BU12,参数表!A$14:B$19)</f>
        <v>0</v>
      </c>
      <c r="BW12" s="156">
        <f t="shared" si="9"/>
        <v>0</v>
      </c>
      <c r="BY12" s="134" t="str">
        <f>IF(COUNTIF(BY$6:BY11,B12)&gt;0,"",B12)&amp;""</f>
        <v/>
      </c>
      <c r="BZ12" s="138">
        <f t="shared" si="10"/>
        <v>0</v>
      </c>
      <c r="CA12" s="132">
        <f t="shared" si="11"/>
        <v>1</v>
      </c>
      <c r="CB12" s="138">
        <f t="shared" si="12"/>
        <v>0</v>
      </c>
      <c r="CC12" s="132">
        <f t="shared" si="13"/>
        <v>1</v>
      </c>
      <c r="CD12" s="132">
        <v>4</v>
      </c>
      <c r="CE12" s="134" t="str">
        <f t="shared" si="14"/>
        <v/>
      </c>
      <c r="CF12" s="146" t="str">
        <f>IF(CE13="","","和")</f>
        <v/>
      </c>
    </row>
    <row r="13" ht="15.75" customHeight="1" spans="1:84">
      <c r="A13" s="123" t="str">
        <f>IF(B13="","",COUNT(A$6:A12)+1)</f>
        <v/>
      </c>
      <c r="B13" s="659" t="s">
        <v>347</v>
      </c>
      <c r="C13" s="660" t="s">
        <v>347</v>
      </c>
      <c r="D13" s="660" t="s">
        <v>347</v>
      </c>
      <c r="E13" s="659" t="s">
        <v>347</v>
      </c>
      <c r="F13" s="661" t="s">
        <v>347</v>
      </c>
      <c r="G13" s="661" t="s">
        <v>347</v>
      </c>
      <c r="H13" s="661" t="s">
        <v>347</v>
      </c>
      <c r="I13" s="661" t="s">
        <v>347</v>
      </c>
      <c r="J13" s="661" t="s">
        <v>347</v>
      </c>
      <c r="K13" s="661" t="s">
        <v>347</v>
      </c>
      <c r="L13" s="659" t="s">
        <v>347</v>
      </c>
      <c r="M13" s="661"/>
      <c r="N13" s="662" t="s">
        <v>347</v>
      </c>
      <c r="O13" s="142"/>
      <c r="P13" s="127" t="str">
        <f>IFERROR(VLOOKUP(O13,参数表!$H$2:$I$50,2,FALSE),"")</f>
        <v/>
      </c>
      <c r="Q13" s="128" t="str">
        <f t="shared" si="4"/>
        <v/>
      </c>
      <c r="R13" s="663"/>
      <c r="S13" s="663"/>
      <c r="T13" s="655" t="str">
        <f t="shared" si="5"/>
        <v/>
      </c>
      <c r="U13" s="655" t="str">
        <f t="shared" si="0"/>
        <v/>
      </c>
      <c r="V13" s="655" t="str">
        <f t="shared" si="6"/>
        <v/>
      </c>
      <c r="W13" s="664" t="s">
        <v>347</v>
      </c>
      <c r="BA13" s="78"/>
      <c r="BB13" s="132" t="s">
        <v>4459</v>
      </c>
      <c r="BC13" s="133"/>
      <c r="BD13" s="132" t="str">
        <f>IF(OR(B13="",BC13=""),"",COUNTIF(BC$7:BC13,"√"))</f>
        <v/>
      </c>
      <c r="BE13" s="134" t="str">
        <f t="shared" si="1"/>
        <v/>
      </c>
      <c r="BF13" s="135" t="str">
        <f t="shared" si="7"/>
        <v/>
      </c>
      <c r="BG13" s="135" t="str">
        <f t="shared" si="7"/>
        <v/>
      </c>
      <c r="BH13" s="136"/>
      <c r="BI13" s="137"/>
      <c r="BJ13" s="136"/>
      <c r="BK13" s="136"/>
      <c r="BL13" s="136"/>
      <c r="BM13" s="136"/>
      <c r="BN13" s="136"/>
      <c r="BO13" s="137"/>
      <c r="BP13" s="136"/>
      <c r="BQ13" s="137"/>
      <c r="BR13" s="657"/>
      <c r="BS13" s="156">
        <f t="shared" si="2"/>
        <v>125.582477754962</v>
      </c>
      <c r="BT13" s="223"/>
      <c r="BU13" s="156">
        <f t="shared" si="8"/>
        <v>125.582477754962</v>
      </c>
      <c r="BV13" s="658">
        <f>LOOKUP(BU13,参数表!A$14:B$19)</f>
        <v>0</v>
      </c>
      <c r="BW13" s="156">
        <f t="shared" si="9"/>
        <v>0</v>
      </c>
      <c r="BY13" s="134" t="str">
        <f>IF(COUNTIF(BY$6:BY12,B13)&gt;0,"",B13)&amp;""</f>
        <v/>
      </c>
      <c r="BZ13" s="138">
        <f t="shared" si="10"/>
        <v>0</v>
      </c>
      <c r="CA13" s="132">
        <f t="shared" si="11"/>
        <v>1</v>
      </c>
      <c r="CB13" s="138">
        <f t="shared" si="12"/>
        <v>0</v>
      </c>
      <c r="CC13" s="132">
        <f t="shared" si="13"/>
        <v>1</v>
      </c>
      <c r="CD13" s="132">
        <v>5</v>
      </c>
      <c r="CE13" s="134" t="str">
        <f t="shared" si="14"/>
        <v/>
      </c>
      <c r="CF13" s="146"/>
    </row>
    <row r="14" ht="15.75" customHeight="1" spans="1:84">
      <c r="A14" s="123" t="str">
        <f>IF(B14="","",COUNT(A$6:A13)+1)</f>
        <v/>
      </c>
      <c r="B14" s="659" t="s">
        <v>347</v>
      </c>
      <c r="C14" s="660" t="s">
        <v>347</v>
      </c>
      <c r="D14" s="660" t="s">
        <v>347</v>
      </c>
      <c r="E14" s="659" t="s">
        <v>347</v>
      </c>
      <c r="F14" s="661" t="s">
        <v>347</v>
      </c>
      <c r="G14" s="661" t="s">
        <v>347</v>
      </c>
      <c r="H14" s="661" t="s">
        <v>347</v>
      </c>
      <c r="I14" s="661" t="s">
        <v>347</v>
      </c>
      <c r="J14" s="661" t="s">
        <v>347</v>
      </c>
      <c r="K14" s="661" t="s">
        <v>347</v>
      </c>
      <c r="L14" s="659" t="s">
        <v>347</v>
      </c>
      <c r="M14" s="661"/>
      <c r="N14" s="662" t="s">
        <v>347</v>
      </c>
      <c r="O14" s="142"/>
      <c r="P14" s="127" t="str">
        <f>IFERROR(VLOOKUP(O14,参数表!$H$2:$I$50,2,FALSE),"")</f>
        <v/>
      </c>
      <c r="Q14" s="128" t="str">
        <f t="shared" si="4"/>
        <v/>
      </c>
      <c r="R14" s="663"/>
      <c r="S14" s="663"/>
      <c r="T14" s="655" t="str">
        <f t="shared" si="5"/>
        <v/>
      </c>
      <c r="U14" s="655" t="str">
        <f t="shared" si="0"/>
        <v/>
      </c>
      <c r="V14" s="655" t="str">
        <f t="shared" si="6"/>
        <v/>
      </c>
      <c r="W14" s="664" t="s">
        <v>347</v>
      </c>
      <c r="BA14" s="78"/>
      <c r="BB14" s="132" t="s">
        <v>4460</v>
      </c>
      <c r="BC14" s="133"/>
      <c r="BD14" s="132" t="str">
        <f>IF(OR(B14="",BC14=""),"",COUNTIF(BC$7:BC14,"√"))</f>
        <v/>
      </c>
      <c r="BE14" s="134" t="str">
        <f t="shared" si="1"/>
        <v/>
      </c>
      <c r="BF14" s="135" t="str">
        <f t="shared" si="7"/>
        <v/>
      </c>
      <c r="BG14" s="135" t="str">
        <f t="shared" si="7"/>
        <v/>
      </c>
      <c r="BH14" s="136"/>
      <c r="BI14" s="137"/>
      <c r="BJ14" s="136"/>
      <c r="BK14" s="136"/>
      <c r="BL14" s="136"/>
      <c r="BM14" s="136"/>
      <c r="BN14" s="136"/>
      <c r="BO14" s="137"/>
      <c r="BP14" s="136"/>
      <c r="BQ14" s="137"/>
      <c r="BR14" s="657"/>
      <c r="BS14" s="156">
        <f t="shared" si="2"/>
        <v>125.582477754962</v>
      </c>
      <c r="BT14" s="223"/>
      <c r="BU14" s="156">
        <f t="shared" si="8"/>
        <v>125.582477754962</v>
      </c>
      <c r="BV14" s="658">
        <f>LOOKUP(BU14,参数表!A$14:B$19)</f>
        <v>0</v>
      </c>
      <c r="BW14" s="156">
        <f t="shared" si="9"/>
        <v>0</v>
      </c>
      <c r="BY14" s="134" t="str">
        <f>IF(COUNTIF(BY$6:BY13,B14)&gt;0,"",B14)&amp;""</f>
        <v/>
      </c>
      <c r="BZ14" s="138">
        <f t="shared" si="10"/>
        <v>0</v>
      </c>
      <c r="CA14" s="132">
        <f t="shared" si="11"/>
        <v>1</v>
      </c>
      <c r="CB14" s="138">
        <f t="shared" si="12"/>
        <v>0</v>
      </c>
      <c r="CC14" s="132">
        <f t="shared" si="13"/>
        <v>1</v>
      </c>
      <c r="CD14" s="147" t="s">
        <v>1659</v>
      </c>
      <c r="CE14" s="132" t="str">
        <f>CONCATENATE(CE9,CF9,CE10,CF10,CE11,CF11,CE12,CF12,CE13)</f>
        <v/>
      </c>
      <c r="CF14" s="132"/>
    </row>
    <row r="15" ht="15.75" customHeight="1" spans="1:84">
      <c r="A15" s="123" t="str">
        <f>IF(B15="","",COUNT(A$6:A14)+1)</f>
        <v/>
      </c>
      <c r="B15" s="659" t="s">
        <v>347</v>
      </c>
      <c r="C15" s="660" t="s">
        <v>347</v>
      </c>
      <c r="D15" s="660" t="s">
        <v>347</v>
      </c>
      <c r="E15" s="659" t="s">
        <v>347</v>
      </c>
      <c r="F15" s="661" t="s">
        <v>347</v>
      </c>
      <c r="G15" s="661" t="s">
        <v>347</v>
      </c>
      <c r="H15" s="661" t="s">
        <v>347</v>
      </c>
      <c r="I15" s="661" t="s">
        <v>347</v>
      </c>
      <c r="J15" s="661" t="s">
        <v>347</v>
      </c>
      <c r="K15" s="661" t="s">
        <v>347</v>
      </c>
      <c r="L15" s="659" t="s">
        <v>347</v>
      </c>
      <c r="M15" s="661"/>
      <c r="N15" s="662" t="s">
        <v>347</v>
      </c>
      <c r="O15" s="142"/>
      <c r="P15" s="127" t="str">
        <f>IFERROR(VLOOKUP(O15,参数表!$H$2:$I$50,2,FALSE),"")</f>
        <v/>
      </c>
      <c r="Q15" s="128" t="str">
        <f t="shared" si="4"/>
        <v/>
      </c>
      <c r="R15" s="663"/>
      <c r="S15" s="663"/>
      <c r="T15" s="655" t="str">
        <f t="shared" si="5"/>
        <v/>
      </c>
      <c r="U15" s="655" t="str">
        <f t="shared" si="0"/>
        <v/>
      </c>
      <c r="V15" s="655" t="str">
        <f t="shared" si="6"/>
        <v/>
      </c>
      <c r="W15" s="664" t="s">
        <v>347</v>
      </c>
      <c r="BA15" s="78"/>
      <c r="BB15" s="132" t="s">
        <v>4461</v>
      </c>
      <c r="BC15" s="133"/>
      <c r="BD15" s="132" t="str">
        <f>IF(OR(B15="",BC15=""),"",COUNTIF(BC$7:BC15,"√"))</f>
        <v/>
      </c>
      <c r="BE15" s="134" t="str">
        <f t="shared" si="1"/>
        <v/>
      </c>
      <c r="BF15" s="135" t="str">
        <f t="shared" si="7"/>
        <v/>
      </c>
      <c r="BG15" s="135" t="str">
        <f t="shared" si="7"/>
        <v/>
      </c>
      <c r="BH15" s="136"/>
      <c r="BI15" s="137"/>
      <c r="BJ15" s="136"/>
      <c r="BK15" s="136"/>
      <c r="BL15" s="136"/>
      <c r="BM15" s="136"/>
      <c r="BN15" s="136"/>
      <c r="BO15" s="137"/>
      <c r="BP15" s="136"/>
      <c r="BQ15" s="137"/>
      <c r="BR15" s="657"/>
      <c r="BS15" s="156">
        <f t="shared" si="2"/>
        <v>125.582477754962</v>
      </c>
      <c r="BT15" s="223"/>
      <c r="BU15" s="156">
        <f t="shared" si="8"/>
        <v>125.582477754962</v>
      </c>
      <c r="BV15" s="658">
        <f>LOOKUP(BU15,参数表!A$14:B$19)</f>
        <v>0</v>
      </c>
      <c r="BW15" s="156">
        <f t="shared" si="9"/>
        <v>0</v>
      </c>
      <c r="BY15" s="134" t="str">
        <f>IF(COUNTIF(BY$6:BY14,B15)&gt;0,"",B15)&amp;""</f>
        <v/>
      </c>
      <c r="BZ15" s="138">
        <f t="shared" si="10"/>
        <v>0</v>
      </c>
      <c r="CA15" s="132">
        <f t="shared" si="11"/>
        <v>1</v>
      </c>
      <c r="CB15" s="138">
        <f t="shared" si="12"/>
        <v>0</v>
      </c>
      <c r="CC15" s="132">
        <f t="shared" si="13"/>
        <v>1</v>
      </c>
      <c r="CD15" s="133"/>
      <c r="CE15" s="133"/>
    </row>
    <row r="16" ht="15.75" customHeight="1" spans="1:84">
      <c r="A16" s="123" t="str">
        <f>IF(B16="","",COUNT(A$6:A15)+1)</f>
        <v/>
      </c>
      <c r="B16" s="659" t="s">
        <v>347</v>
      </c>
      <c r="C16" s="660" t="s">
        <v>347</v>
      </c>
      <c r="D16" s="660" t="s">
        <v>347</v>
      </c>
      <c r="E16" s="659" t="s">
        <v>347</v>
      </c>
      <c r="F16" s="661" t="s">
        <v>347</v>
      </c>
      <c r="G16" s="661" t="s">
        <v>347</v>
      </c>
      <c r="H16" s="661" t="s">
        <v>347</v>
      </c>
      <c r="I16" s="661" t="s">
        <v>347</v>
      </c>
      <c r="J16" s="661" t="s">
        <v>347</v>
      </c>
      <c r="K16" s="661" t="s">
        <v>347</v>
      </c>
      <c r="L16" s="659" t="s">
        <v>347</v>
      </c>
      <c r="M16" s="661"/>
      <c r="N16" s="662" t="s">
        <v>347</v>
      </c>
      <c r="O16" s="142"/>
      <c r="P16" s="127" t="str">
        <f>IFERROR(VLOOKUP(O16,参数表!$H$2:$I$50,2,FALSE),"")</f>
        <v/>
      </c>
      <c r="Q16" s="128" t="str">
        <f t="shared" si="4"/>
        <v/>
      </c>
      <c r="R16" s="663"/>
      <c r="S16" s="663"/>
      <c r="T16" s="655" t="str">
        <f t="shared" si="5"/>
        <v/>
      </c>
      <c r="U16" s="655" t="str">
        <f t="shared" si="0"/>
        <v/>
      </c>
      <c r="V16" s="655" t="str">
        <f t="shared" si="6"/>
        <v/>
      </c>
      <c r="W16" s="664" t="s">
        <v>347</v>
      </c>
      <c r="BA16" s="78"/>
      <c r="BB16" s="132" t="s">
        <v>4462</v>
      </c>
      <c r="BC16" s="133"/>
      <c r="BD16" s="132" t="str">
        <f>IF(OR(B16="",BC16=""),"",COUNTIF(BC$7:BC16,"√"))</f>
        <v/>
      </c>
      <c r="BE16" s="134" t="str">
        <f t="shared" si="1"/>
        <v/>
      </c>
      <c r="BF16" s="135" t="str">
        <f t="shared" si="7"/>
        <v/>
      </c>
      <c r="BG16" s="135" t="str">
        <f t="shared" si="7"/>
        <v/>
      </c>
      <c r="BH16" s="136"/>
      <c r="BI16" s="137"/>
      <c r="BJ16" s="136"/>
      <c r="BK16" s="136"/>
      <c r="BL16" s="136"/>
      <c r="BM16" s="136"/>
      <c r="BN16" s="136"/>
      <c r="BO16" s="137"/>
      <c r="BP16" s="136"/>
      <c r="BQ16" s="137"/>
      <c r="BR16" s="657"/>
      <c r="BS16" s="156">
        <f t="shared" si="2"/>
        <v>125.582477754962</v>
      </c>
      <c r="BT16" s="223"/>
      <c r="BU16" s="156">
        <f t="shared" si="8"/>
        <v>125.582477754962</v>
      </c>
      <c r="BV16" s="658">
        <f>LOOKUP(BU16,参数表!A$14:B$19)</f>
        <v>0</v>
      </c>
      <c r="BW16" s="156">
        <f t="shared" si="9"/>
        <v>0</v>
      </c>
      <c r="BY16" s="134" t="str">
        <f>IF(COUNTIF(BY$6:BY15,B16)&gt;0,"",B16)&amp;""</f>
        <v/>
      </c>
      <c r="BZ16" s="138">
        <f t="shared" si="10"/>
        <v>0</v>
      </c>
      <c r="CA16" s="132">
        <f t="shared" si="11"/>
        <v>1</v>
      </c>
      <c r="CB16" s="138">
        <f t="shared" si="12"/>
        <v>0</v>
      </c>
      <c r="CC16" s="132">
        <f t="shared" si="13"/>
        <v>1</v>
      </c>
      <c r="CD16" s="133"/>
      <c r="CE16" s="148"/>
    </row>
    <row r="17" ht="15.75" customHeight="1" spans="1:84">
      <c r="A17" s="123" t="str">
        <f>IF(B17="","",COUNT(A$6:A16)+1)</f>
        <v/>
      </c>
      <c r="B17" s="659" t="s">
        <v>347</v>
      </c>
      <c r="C17" s="660" t="s">
        <v>347</v>
      </c>
      <c r="D17" s="660" t="s">
        <v>347</v>
      </c>
      <c r="E17" s="659" t="s">
        <v>347</v>
      </c>
      <c r="F17" s="661" t="s">
        <v>347</v>
      </c>
      <c r="G17" s="661" t="s">
        <v>347</v>
      </c>
      <c r="H17" s="661" t="s">
        <v>347</v>
      </c>
      <c r="I17" s="661" t="s">
        <v>347</v>
      </c>
      <c r="J17" s="661" t="s">
        <v>347</v>
      </c>
      <c r="K17" s="661" t="s">
        <v>347</v>
      </c>
      <c r="L17" s="659" t="s">
        <v>347</v>
      </c>
      <c r="M17" s="661"/>
      <c r="N17" s="662" t="s">
        <v>347</v>
      </c>
      <c r="O17" s="142"/>
      <c r="P17" s="127" t="str">
        <f>IFERROR(VLOOKUP(O17,参数表!$H$2:$I$50,2,FALSE),"")</f>
        <v/>
      </c>
      <c r="Q17" s="128" t="str">
        <f t="shared" si="4"/>
        <v/>
      </c>
      <c r="R17" s="663"/>
      <c r="S17" s="663"/>
      <c r="T17" s="655" t="str">
        <f t="shared" si="5"/>
        <v/>
      </c>
      <c r="U17" s="655" t="str">
        <f t="shared" si="0"/>
        <v/>
      </c>
      <c r="V17" s="655" t="str">
        <f t="shared" si="6"/>
        <v/>
      </c>
      <c r="W17" s="664" t="s">
        <v>347</v>
      </c>
      <c r="BA17" s="78"/>
      <c r="BB17" s="132" t="s">
        <v>4463</v>
      </c>
      <c r="BC17" s="133"/>
      <c r="BD17" s="132" t="str">
        <f>IF(OR(B17="",BC17=""),"",COUNTIF(BC$7:BC17,"√"))</f>
        <v/>
      </c>
      <c r="BE17" s="134" t="str">
        <f t="shared" si="1"/>
        <v/>
      </c>
      <c r="BF17" s="135" t="str">
        <f t="shared" si="7"/>
        <v/>
      </c>
      <c r="BG17" s="135" t="str">
        <f t="shared" si="7"/>
        <v/>
      </c>
      <c r="BH17" s="136"/>
      <c r="BI17" s="137"/>
      <c r="BJ17" s="136"/>
      <c r="BK17" s="136"/>
      <c r="BL17" s="136"/>
      <c r="BM17" s="136"/>
      <c r="BN17" s="136"/>
      <c r="BO17" s="137"/>
      <c r="BP17" s="136"/>
      <c r="BQ17" s="137"/>
      <c r="BR17" s="657"/>
      <c r="BS17" s="156">
        <f t="shared" si="2"/>
        <v>125.582477754962</v>
      </c>
      <c r="BT17" s="223"/>
      <c r="BU17" s="156">
        <f t="shared" si="8"/>
        <v>125.582477754962</v>
      </c>
      <c r="BV17" s="658">
        <f>LOOKUP(BU17,参数表!A$14:B$19)</f>
        <v>0</v>
      </c>
      <c r="BW17" s="156">
        <f t="shared" si="9"/>
        <v>0</v>
      </c>
      <c r="BY17" s="134" t="str">
        <f>IF(COUNTIF(BY$6:BY16,B17)&gt;0,"",B17)&amp;""</f>
        <v/>
      </c>
      <c r="BZ17" s="138">
        <f t="shared" si="10"/>
        <v>0</v>
      </c>
      <c r="CA17" s="132">
        <f t="shared" si="11"/>
        <v>1</v>
      </c>
      <c r="CB17" s="138">
        <f t="shared" si="12"/>
        <v>0</v>
      </c>
      <c r="CC17" s="132">
        <f t="shared" si="13"/>
        <v>1</v>
      </c>
      <c r="CD17" s="133"/>
      <c r="CE17" s="133"/>
    </row>
    <row r="18" ht="15.75" customHeight="1" spans="1:84">
      <c r="A18" s="123" t="str">
        <f>IF(B18="","",COUNT(A$6:A17)+1)</f>
        <v/>
      </c>
      <c r="B18" s="659" t="s">
        <v>347</v>
      </c>
      <c r="C18" s="660" t="s">
        <v>347</v>
      </c>
      <c r="D18" s="660" t="s">
        <v>347</v>
      </c>
      <c r="E18" s="659" t="s">
        <v>347</v>
      </c>
      <c r="F18" s="661" t="s">
        <v>347</v>
      </c>
      <c r="G18" s="661" t="s">
        <v>347</v>
      </c>
      <c r="H18" s="661" t="s">
        <v>347</v>
      </c>
      <c r="I18" s="661" t="s">
        <v>347</v>
      </c>
      <c r="J18" s="661" t="s">
        <v>347</v>
      </c>
      <c r="K18" s="661" t="s">
        <v>347</v>
      </c>
      <c r="L18" s="659" t="s">
        <v>347</v>
      </c>
      <c r="M18" s="661"/>
      <c r="N18" s="662" t="s">
        <v>347</v>
      </c>
      <c r="O18" s="142"/>
      <c r="P18" s="127" t="str">
        <f>IFERROR(VLOOKUP(O18,参数表!$H$2:$I$50,2,FALSE),"")</f>
        <v/>
      </c>
      <c r="Q18" s="128" t="str">
        <f t="shared" si="4"/>
        <v/>
      </c>
      <c r="R18" s="663"/>
      <c r="S18" s="663"/>
      <c r="T18" s="655" t="str">
        <f t="shared" si="5"/>
        <v/>
      </c>
      <c r="U18" s="655" t="str">
        <f t="shared" si="0"/>
        <v/>
      </c>
      <c r="V18" s="655" t="str">
        <f t="shared" si="6"/>
        <v/>
      </c>
      <c r="W18" s="664" t="s">
        <v>347</v>
      </c>
      <c r="BA18" s="78"/>
      <c r="BB18" s="132" t="s">
        <v>4464</v>
      </c>
      <c r="BC18" s="133"/>
      <c r="BD18" s="132" t="str">
        <f>IF(OR(B18="",BC18=""),"",COUNTIF(BC$7:BC18,"√"))</f>
        <v/>
      </c>
      <c r="BE18" s="134" t="str">
        <f t="shared" si="1"/>
        <v/>
      </c>
      <c r="BF18" s="135" t="str">
        <f t="shared" si="7"/>
        <v/>
      </c>
      <c r="BG18" s="135" t="str">
        <f t="shared" si="7"/>
        <v/>
      </c>
      <c r="BH18" s="136"/>
      <c r="BI18" s="137"/>
      <c r="BJ18" s="136"/>
      <c r="BK18" s="136"/>
      <c r="BL18" s="136"/>
      <c r="BM18" s="136"/>
      <c r="BN18" s="136"/>
      <c r="BO18" s="137"/>
      <c r="BP18" s="136"/>
      <c r="BQ18" s="137"/>
      <c r="BR18" s="657"/>
      <c r="BS18" s="156">
        <f t="shared" si="2"/>
        <v>125.582477754962</v>
      </c>
      <c r="BT18" s="223"/>
      <c r="BU18" s="156">
        <f t="shared" ref="BU18:BU25" si="16">MIN(BS18:BT18)</f>
        <v>125.582477754962</v>
      </c>
      <c r="BV18" s="658">
        <f>LOOKUP(BU18,参数表!A$14:B$19)</f>
        <v>0</v>
      </c>
      <c r="BW18" s="156">
        <f t="shared" ref="BW18:BW25" si="17">BR18*BU18*BV18/2</f>
        <v>0</v>
      </c>
      <c r="BY18" s="134" t="str">
        <f>IF(COUNTIF(BY$6:BY17,B18)&gt;0,"",B18)&amp;""</f>
        <v/>
      </c>
      <c r="BZ18" s="138">
        <f t="shared" si="10"/>
        <v>0</v>
      </c>
      <c r="CA18" s="132">
        <f t="shared" si="11"/>
        <v>1</v>
      </c>
      <c r="CB18" s="138">
        <f t="shared" si="12"/>
        <v>0</v>
      </c>
      <c r="CC18" s="132">
        <f t="shared" si="13"/>
        <v>1</v>
      </c>
      <c r="CD18" s="133"/>
      <c r="CE18" s="133"/>
    </row>
    <row r="19" ht="15.75" customHeight="1" spans="1:84">
      <c r="A19" s="123" t="str">
        <f>IF(B19="","",COUNT(A$6:A18)+1)</f>
        <v/>
      </c>
      <c r="B19" s="659" t="s">
        <v>347</v>
      </c>
      <c r="C19" s="660" t="s">
        <v>347</v>
      </c>
      <c r="D19" s="660" t="s">
        <v>347</v>
      </c>
      <c r="E19" s="659" t="s">
        <v>347</v>
      </c>
      <c r="F19" s="661" t="s">
        <v>347</v>
      </c>
      <c r="G19" s="661" t="s">
        <v>347</v>
      </c>
      <c r="H19" s="661" t="s">
        <v>347</v>
      </c>
      <c r="I19" s="661" t="s">
        <v>347</v>
      </c>
      <c r="J19" s="661" t="s">
        <v>347</v>
      </c>
      <c r="K19" s="661" t="s">
        <v>347</v>
      </c>
      <c r="L19" s="659" t="s">
        <v>347</v>
      </c>
      <c r="M19" s="661"/>
      <c r="N19" s="662" t="s">
        <v>347</v>
      </c>
      <c r="O19" s="142"/>
      <c r="P19" s="127" t="str">
        <f>IFERROR(VLOOKUP(O19,参数表!$H$2:$I$50,2,FALSE),"")</f>
        <v/>
      </c>
      <c r="Q19" s="128" t="str">
        <f t="shared" si="4"/>
        <v/>
      </c>
      <c r="R19" s="663"/>
      <c r="S19" s="663"/>
      <c r="T19" s="655" t="str">
        <f t="shared" si="5"/>
        <v/>
      </c>
      <c r="U19" s="655" t="str">
        <f t="shared" si="0"/>
        <v/>
      </c>
      <c r="V19" s="655" t="str">
        <f t="shared" si="6"/>
        <v/>
      </c>
      <c r="W19" s="664" t="s">
        <v>347</v>
      </c>
      <c r="BA19" s="78"/>
      <c r="BB19" s="132" t="s">
        <v>4465</v>
      </c>
      <c r="BC19" s="133"/>
      <c r="BD19" s="132" t="str">
        <f>IF(OR(B19="",BC19=""),"",COUNTIF(BC$7:BC19,"√"))</f>
        <v/>
      </c>
      <c r="BE19" s="134" t="str">
        <f t="shared" si="1"/>
        <v/>
      </c>
      <c r="BF19" s="135" t="str">
        <f t="shared" si="7"/>
        <v/>
      </c>
      <c r="BG19" s="135" t="str">
        <f t="shared" si="7"/>
        <v/>
      </c>
      <c r="BH19" s="136"/>
      <c r="BI19" s="137"/>
      <c r="BJ19" s="136"/>
      <c r="BK19" s="136"/>
      <c r="BL19" s="136"/>
      <c r="BM19" s="136"/>
      <c r="BN19" s="136"/>
      <c r="BO19" s="137"/>
      <c r="BP19" s="136"/>
      <c r="BQ19" s="137"/>
      <c r="BR19" s="657"/>
      <c r="BS19" s="156">
        <f t="shared" si="2"/>
        <v>125.582477754962</v>
      </c>
      <c r="BT19" s="223"/>
      <c r="BU19" s="156">
        <f t="shared" si="16"/>
        <v>125.582477754962</v>
      </c>
      <c r="BV19" s="658">
        <f>LOOKUP(BU19,参数表!A$14:B$19)</f>
        <v>0</v>
      </c>
      <c r="BW19" s="156">
        <f t="shared" si="17"/>
        <v>0</v>
      </c>
      <c r="BY19" s="134" t="str">
        <f>IF(COUNTIF(BY$6:BY18,B19)&gt;0,"",B19)&amp;""</f>
        <v/>
      </c>
      <c r="BZ19" s="138">
        <f t="shared" si="10"/>
        <v>0</v>
      </c>
      <c r="CA19" s="132">
        <f t="shared" si="11"/>
        <v>1</v>
      </c>
      <c r="CB19" s="138">
        <f t="shared" si="12"/>
        <v>0</v>
      </c>
      <c r="CC19" s="132">
        <f t="shared" si="13"/>
        <v>1</v>
      </c>
      <c r="CD19" s="133"/>
      <c r="CE19" s="133"/>
    </row>
    <row r="20" ht="15.75" customHeight="1" spans="1:84">
      <c r="A20" s="123" t="str">
        <f>IF(B20="","",COUNT(A$6:A19)+1)</f>
        <v/>
      </c>
      <c r="B20" s="659" t="s">
        <v>347</v>
      </c>
      <c r="C20" s="660" t="s">
        <v>347</v>
      </c>
      <c r="D20" s="660" t="s">
        <v>347</v>
      </c>
      <c r="E20" s="659" t="s">
        <v>347</v>
      </c>
      <c r="F20" s="661" t="s">
        <v>347</v>
      </c>
      <c r="G20" s="661" t="s">
        <v>347</v>
      </c>
      <c r="H20" s="661" t="s">
        <v>347</v>
      </c>
      <c r="I20" s="661" t="s">
        <v>347</v>
      </c>
      <c r="J20" s="661" t="s">
        <v>347</v>
      </c>
      <c r="K20" s="661" t="s">
        <v>347</v>
      </c>
      <c r="L20" s="659" t="s">
        <v>347</v>
      </c>
      <c r="M20" s="661"/>
      <c r="N20" s="662" t="s">
        <v>347</v>
      </c>
      <c r="O20" s="142"/>
      <c r="P20" s="127" t="str">
        <f>IFERROR(VLOOKUP(O20,参数表!$H$2:$I$50,2,FALSE),"")</f>
        <v/>
      </c>
      <c r="Q20" s="128" t="str">
        <f t="shared" si="4"/>
        <v/>
      </c>
      <c r="R20" s="663"/>
      <c r="S20" s="663"/>
      <c r="T20" s="655" t="str">
        <f t="shared" si="5"/>
        <v/>
      </c>
      <c r="U20" s="655" t="str">
        <f t="shared" si="0"/>
        <v/>
      </c>
      <c r="V20" s="655" t="str">
        <f t="shared" si="6"/>
        <v/>
      </c>
      <c r="W20" s="664" t="s">
        <v>347</v>
      </c>
      <c r="BA20" s="78"/>
      <c r="BB20" s="132" t="s">
        <v>4466</v>
      </c>
      <c r="BC20" s="133"/>
      <c r="BD20" s="132" t="str">
        <f>IF(OR(B20="",BC20=""),"",COUNTIF(BC$7:BC20,"√"))</f>
        <v/>
      </c>
      <c r="BE20" s="134" t="str">
        <f t="shared" si="1"/>
        <v/>
      </c>
      <c r="BF20" s="135" t="str">
        <f t="shared" si="7"/>
        <v/>
      </c>
      <c r="BG20" s="135" t="str">
        <f t="shared" si="7"/>
        <v/>
      </c>
      <c r="BH20" s="136"/>
      <c r="BI20" s="137"/>
      <c r="BJ20" s="136"/>
      <c r="BK20" s="136"/>
      <c r="BL20" s="136"/>
      <c r="BM20" s="136"/>
      <c r="BN20" s="136"/>
      <c r="BO20" s="137"/>
      <c r="BP20" s="136"/>
      <c r="BQ20" s="137"/>
      <c r="BR20" s="657"/>
      <c r="BS20" s="156">
        <f t="shared" si="2"/>
        <v>125.582477754962</v>
      </c>
      <c r="BT20" s="223"/>
      <c r="BU20" s="156">
        <f t="shared" si="16"/>
        <v>125.582477754962</v>
      </c>
      <c r="BV20" s="658">
        <f>LOOKUP(BU20,参数表!A$14:B$19)</f>
        <v>0</v>
      </c>
      <c r="BW20" s="156">
        <f t="shared" si="17"/>
        <v>0</v>
      </c>
      <c r="BY20" s="134" t="str">
        <f>IF(COUNTIF(BY$6:BY19,B20)&gt;0,"",B20)&amp;""</f>
        <v/>
      </c>
      <c r="BZ20" s="138">
        <f t="shared" si="10"/>
        <v>0</v>
      </c>
      <c r="CA20" s="132">
        <f t="shared" si="11"/>
        <v>1</v>
      </c>
      <c r="CB20" s="138">
        <f t="shared" si="12"/>
        <v>0</v>
      </c>
      <c r="CC20" s="132">
        <f t="shared" si="13"/>
        <v>1</v>
      </c>
      <c r="CD20" s="133"/>
      <c r="CE20" s="133"/>
    </row>
    <row r="21" ht="15.75" customHeight="1" spans="1:84">
      <c r="A21" s="123" t="str">
        <f>IF(B21="","",COUNT(A$6:A20)+1)</f>
        <v/>
      </c>
      <c r="B21" s="659" t="s">
        <v>347</v>
      </c>
      <c r="C21" s="660" t="s">
        <v>347</v>
      </c>
      <c r="D21" s="660" t="s">
        <v>347</v>
      </c>
      <c r="E21" s="659" t="s">
        <v>347</v>
      </c>
      <c r="F21" s="661" t="s">
        <v>347</v>
      </c>
      <c r="G21" s="661" t="s">
        <v>347</v>
      </c>
      <c r="H21" s="661" t="s">
        <v>347</v>
      </c>
      <c r="I21" s="661" t="s">
        <v>347</v>
      </c>
      <c r="J21" s="661" t="s">
        <v>347</v>
      </c>
      <c r="K21" s="661" t="s">
        <v>347</v>
      </c>
      <c r="L21" s="659" t="s">
        <v>347</v>
      </c>
      <c r="M21" s="661"/>
      <c r="N21" s="662" t="s">
        <v>347</v>
      </c>
      <c r="O21" s="142"/>
      <c r="P21" s="127" t="str">
        <f>IFERROR(VLOOKUP(O21,参数表!$H$2:$I$50,2,FALSE),"")</f>
        <v/>
      </c>
      <c r="Q21" s="128" t="str">
        <f t="shared" si="4"/>
        <v/>
      </c>
      <c r="R21" s="663"/>
      <c r="S21" s="663"/>
      <c r="T21" s="655" t="str">
        <f t="shared" si="5"/>
        <v/>
      </c>
      <c r="U21" s="655" t="str">
        <f t="shared" si="0"/>
        <v/>
      </c>
      <c r="V21" s="655" t="str">
        <f t="shared" si="6"/>
        <v/>
      </c>
      <c r="W21" s="664" t="s">
        <v>347</v>
      </c>
      <c r="BA21" s="78"/>
      <c r="BB21" s="132" t="s">
        <v>4467</v>
      </c>
      <c r="BC21" s="133"/>
      <c r="BD21" s="132" t="str">
        <f>IF(OR(B21="",BC21=""),"",COUNTIF(BC$7:BC21,"√"))</f>
        <v/>
      </c>
      <c r="BE21" s="134" t="str">
        <f t="shared" si="1"/>
        <v/>
      </c>
      <c r="BF21" s="135" t="str">
        <f t="shared" si="7"/>
        <v/>
      </c>
      <c r="BG21" s="135" t="str">
        <f t="shared" si="7"/>
        <v/>
      </c>
      <c r="BH21" s="136"/>
      <c r="BI21" s="137"/>
      <c r="BJ21" s="136"/>
      <c r="BK21" s="136"/>
      <c r="BL21" s="136"/>
      <c r="BM21" s="136"/>
      <c r="BN21" s="136"/>
      <c r="BO21" s="137"/>
      <c r="BP21" s="136"/>
      <c r="BQ21" s="137"/>
      <c r="BR21" s="657"/>
      <c r="BS21" s="156">
        <f t="shared" si="2"/>
        <v>125.582477754962</v>
      </c>
      <c r="BT21" s="223"/>
      <c r="BU21" s="156">
        <f t="shared" si="16"/>
        <v>125.582477754962</v>
      </c>
      <c r="BV21" s="658">
        <f>LOOKUP(BU21,参数表!A$14:B$19)</f>
        <v>0</v>
      </c>
      <c r="BW21" s="156">
        <f t="shared" si="17"/>
        <v>0</v>
      </c>
      <c r="BY21" s="134" t="str">
        <f>IF(COUNTIF(BY$6:BY20,B21)&gt;0,"",B21)&amp;""</f>
        <v/>
      </c>
      <c r="BZ21" s="138">
        <f t="shared" si="10"/>
        <v>0</v>
      </c>
      <c r="CA21" s="132">
        <f t="shared" si="11"/>
        <v>1</v>
      </c>
      <c r="CB21" s="138">
        <f t="shared" si="12"/>
        <v>0</v>
      </c>
      <c r="CC21" s="132">
        <f t="shared" si="13"/>
        <v>1</v>
      </c>
      <c r="CD21" s="133"/>
      <c r="CE21" s="133"/>
    </row>
    <row r="22" ht="15.75" customHeight="1" spans="1:84">
      <c r="A22" s="123" t="str">
        <f>IF(B22="","",COUNT(A$6:A21)+1)</f>
        <v/>
      </c>
      <c r="B22" s="659" t="s">
        <v>347</v>
      </c>
      <c r="C22" s="660" t="s">
        <v>347</v>
      </c>
      <c r="D22" s="660" t="s">
        <v>347</v>
      </c>
      <c r="E22" s="659" t="s">
        <v>347</v>
      </c>
      <c r="F22" s="661" t="s">
        <v>347</v>
      </c>
      <c r="G22" s="661" t="s">
        <v>347</v>
      </c>
      <c r="H22" s="661" t="s">
        <v>347</v>
      </c>
      <c r="I22" s="661" t="s">
        <v>347</v>
      </c>
      <c r="J22" s="661" t="s">
        <v>347</v>
      </c>
      <c r="K22" s="661" t="s">
        <v>347</v>
      </c>
      <c r="L22" s="659" t="s">
        <v>347</v>
      </c>
      <c r="M22" s="661"/>
      <c r="N22" s="662" t="s">
        <v>347</v>
      </c>
      <c r="O22" s="142"/>
      <c r="P22" s="127" t="str">
        <f>IFERROR(VLOOKUP(O22,参数表!$H$2:$I$50,2,FALSE),"")</f>
        <v/>
      </c>
      <c r="Q22" s="128" t="str">
        <f t="shared" si="4"/>
        <v/>
      </c>
      <c r="R22" s="663"/>
      <c r="S22" s="663"/>
      <c r="T22" s="655" t="str">
        <f t="shared" si="5"/>
        <v/>
      </c>
      <c r="U22" s="655" t="str">
        <f t="shared" si="0"/>
        <v/>
      </c>
      <c r="V22" s="655" t="str">
        <f t="shared" si="6"/>
        <v/>
      </c>
      <c r="W22" s="664" t="s">
        <v>347</v>
      </c>
      <c r="BA22" s="78"/>
      <c r="BB22" s="132" t="s">
        <v>4468</v>
      </c>
      <c r="BC22" s="133"/>
      <c r="BD22" s="132" t="str">
        <f>IF(OR(B22="",BC22=""),"",COUNTIF(BC$7:BC22,"√"))</f>
        <v/>
      </c>
      <c r="BE22" s="134" t="str">
        <f t="shared" si="1"/>
        <v/>
      </c>
      <c r="BF22" s="135" t="str">
        <f t="shared" si="7"/>
        <v/>
      </c>
      <c r="BG22" s="135" t="str">
        <f t="shared" si="7"/>
        <v/>
      </c>
      <c r="BH22" s="136"/>
      <c r="BI22" s="137"/>
      <c r="BJ22" s="136"/>
      <c r="BK22" s="136"/>
      <c r="BL22" s="136"/>
      <c r="BM22" s="136"/>
      <c r="BN22" s="136"/>
      <c r="BO22" s="137"/>
      <c r="BP22" s="136"/>
      <c r="BQ22" s="137"/>
      <c r="BR22" s="657"/>
      <c r="BS22" s="156">
        <f t="shared" si="2"/>
        <v>125.582477754962</v>
      </c>
      <c r="BT22" s="223"/>
      <c r="BU22" s="156">
        <f t="shared" si="16"/>
        <v>125.582477754962</v>
      </c>
      <c r="BV22" s="658">
        <f>LOOKUP(BU22,参数表!A$14:B$19)</f>
        <v>0</v>
      </c>
      <c r="BW22" s="156">
        <f t="shared" si="17"/>
        <v>0</v>
      </c>
      <c r="BY22" s="134" t="str">
        <f>IF(COUNTIF(BY$6:BY21,B22)&gt;0,"",B22)&amp;""</f>
        <v/>
      </c>
      <c r="BZ22" s="138">
        <f t="shared" si="10"/>
        <v>0</v>
      </c>
      <c r="CA22" s="132">
        <f t="shared" si="11"/>
        <v>1</v>
      </c>
      <c r="CB22" s="138">
        <f t="shared" si="12"/>
        <v>0</v>
      </c>
      <c r="CC22" s="132">
        <f t="shared" si="13"/>
        <v>1</v>
      </c>
      <c r="CD22" s="133"/>
      <c r="CE22" s="133"/>
    </row>
    <row r="23" ht="15.75" customHeight="1" spans="1:84">
      <c r="A23" s="123" t="str">
        <f>IF(B23="","",COUNT(A$6:A22)+1)</f>
        <v/>
      </c>
      <c r="B23" s="659" t="s">
        <v>347</v>
      </c>
      <c r="C23" s="660" t="s">
        <v>347</v>
      </c>
      <c r="D23" s="660" t="s">
        <v>347</v>
      </c>
      <c r="E23" s="659" t="s">
        <v>347</v>
      </c>
      <c r="F23" s="661" t="s">
        <v>347</v>
      </c>
      <c r="G23" s="661" t="s">
        <v>347</v>
      </c>
      <c r="H23" s="661" t="s">
        <v>347</v>
      </c>
      <c r="I23" s="661" t="s">
        <v>347</v>
      </c>
      <c r="J23" s="661" t="s">
        <v>347</v>
      </c>
      <c r="K23" s="661" t="s">
        <v>347</v>
      </c>
      <c r="L23" s="659" t="s">
        <v>347</v>
      </c>
      <c r="M23" s="661"/>
      <c r="N23" s="662" t="s">
        <v>347</v>
      </c>
      <c r="O23" s="142"/>
      <c r="P23" s="127" t="str">
        <f>IFERROR(VLOOKUP(O23,参数表!$H$2:$I$50,2,FALSE),"")</f>
        <v/>
      </c>
      <c r="Q23" s="128" t="str">
        <f t="shared" si="4"/>
        <v/>
      </c>
      <c r="R23" s="663"/>
      <c r="S23" s="663"/>
      <c r="T23" s="655" t="str">
        <f t="shared" si="5"/>
        <v/>
      </c>
      <c r="U23" s="655" t="str">
        <f t="shared" si="0"/>
        <v/>
      </c>
      <c r="V23" s="655" t="str">
        <f t="shared" si="6"/>
        <v/>
      </c>
      <c r="W23" s="664" t="s">
        <v>347</v>
      </c>
      <c r="BA23" s="78"/>
      <c r="BB23" s="132" t="s">
        <v>4469</v>
      </c>
      <c r="BC23" s="133"/>
      <c r="BD23" s="132" t="str">
        <f>IF(OR(B23="",BC23=""),"",COUNTIF(BC$7:BC23,"√"))</f>
        <v/>
      </c>
      <c r="BE23" s="134" t="str">
        <f t="shared" si="1"/>
        <v/>
      </c>
      <c r="BF23" s="135" t="str">
        <f t="shared" si="7"/>
        <v/>
      </c>
      <c r="BG23" s="135" t="str">
        <f t="shared" si="7"/>
        <v/>
      </c>
      <c r="BH23" s="136"/>
      <c r="BI23" s="137"/>
      <c r="BJ23" s="136"/>
      <c r="BK23" s="136"/>
      <c r="BL23" s="136"/>
      <c r="BM23" s="136"/>
      <c r="BN23" s="136"/>
      <c r="BO23" s="137"/>
      <c r="BP23" s="136"/>
      <c r="BQ23" s="137"/>
      <c r="BR23" s="657"/>
      <c r="BS23" s="156">
        <f t="shared" si="2"/>
        <v>125.582477754962</v>
      </c>
      <c r="BT23" s="223"/>
      <c r="BU23" s="156">
        <f t="shared" si="16"/>
        <v>125.582477754962</v>
      </c>
      <c r="BV23" s="658">
        <f>LOOKUP(BU23,参数表!A$14:B$19)</f>
        <v>0</v>
      </c>
      <c r="BW23" s="156">
        <f t="shared" si="17"/>
        <v>0</v>
      </c>
      <c r="BY23" s="134" t="str">
        <f>IF(COUNTIF(BY$6:BY22,B23)&gt;0,"",B23)&amp;""</f>
        <v/>
      </c>
      <c r="BZ23" s="138">
        <f t="shared" si="10"/>
        <v>0</v>
      </c>
      <c r="CA23" s="132">
        <f t="shared" si="11"/>
        <v>1</v>
      </c>
      <c r="CB23" s="138">
        <f t="shared" si="12"/>
        <v>0</v>
      </c>
      <c r="CC23" s="132">
        <f t="shared" si="13"/>
        <v>1</v>
      </c>
      <c r="CD23" s="133"/>
      <c r="CE23" s="133"/>
    </row>
    <row r="24" ht="15.75" customHeight="1" spans="1:84">
      <c r="A24" s="123" t="str">
        <f>IF(B24="","",COUNT(A$6:A23)+1)</f>
        <v/>
      </c>
      <c r="B24" s="659" t="s">
        <v>347</v>
      </c>
      <c r="C24" s="660" t="s">
        <v>347</v>
      </c>
      <c r="D24" s="660" t="s">
        <v>347</v>
      </c>
      <c r="E24" s="659" t="s">
        <v>347</v>
      </c>
      <c r="F24" s="661" t="s">
        <v>347</v>
      </c>
      <c r="G24" s="661" t="s">
        <v>347</v>
      </c>
      <c r="H24" s="661" t="s">
        <v>347</v>
      </c>
      <c r="I24" s="661" t="s">
        <v>347</v>
      </c>
      <c r="J24" s="661" t="s">
        <v>347</v>
      </c>
      <c r="K24" s="661" t="s">
        <v>347</v>
      </c>
      <c r="L24" s="659" t="s">
        <v>347</v>
      </c>
      <c r="M24" s="661"/>
      <c r="N24" s="662" t="s">
        <v>347</v>
      </c>
      <c r="O24" s="142"/>
      <c r="P24" s="127" t="str">
        <f>IFERROR(VLOOKUP(O24,参数表!$H$2:$I$50,2,FALSE),"")</f>
        <v/>
      </c>
      <c r="Q24" s="128" t="str">
        <f t="shared" si="4"/>
        <v/>
      </c>
      <c r="R24" s="663"/>
      <c r="S24" s="663"/>
      <c r="T24" s="655" t="str">
        <f t="shared" si="5"/>
        <v/>
      </c>
      <c r="U24" s="655" t="str">
        <f t="shared" si="0"/>
        <v/>
      </c>
      <c r="V24" s="655" t="str">
        <f t="shared" si="6"/>
        <v/>
      </c>
      <c r="W24" s="664" t="s">
        <v>347</v>
      </c>
      <c r="BA24" s="78"/>
      <c r="BB24" s="132" t="s">
        <v>4470</v>
      </c>
      <c r="BC24" s="133"/>
      <c r="BD24" s="132" t="str">
        <f>IF(OR(B24="",BC24=""),"",COUNTIF(BC$7:BC24,"√"))</f>
        <v/>
      </c>
      <c r="BE24" s="134" t="str">
        <f t="shared" si="1"/>
        <v/>
      </c>
      <c r="BF24" s="135" t="str">
        <f t="shared" si="7"/>
        <v/>
      </c>
      <c r="BG24" s="135" t="str">
        <f t="shared" si="7"/>
        <v/>
      </c>
      <c r="BH24" s="136"/>
      <c r="BI24" s="137"/>
      <c r="BJ24" s="136"/>
      <c r="BK24" s="136"/>
      <c r="BL24" s="136"/>
      <c r="BM24" s="136"/>
      <c r="BN24" s="136"/>
      <c r="BO24" s="137"/>
      <c r="BP24" s="136"/>
      <c r="BQ24" s="137"/>
      <c r="BR24" s="657"/>
      <c r="BS24" s="156">
        <f t="shared" si="2"/>
        <v>125.582477754962</v>
      </c>
      <c r="BT24" s="223"/>
      <c r="BU24" s="156">
        <f t="shared" si="16"/>
        <v>125.582477754962</v>
      </c>
      <c r="BV24" s="658">
        <f>LOOKUP(BU24,参数表!A$14:B$19)</f>
        <v>0</v>
      </c>
      <c r="BW24" s="156">
        <f t="shared" si="17"/>
        <v>0</v>
      </c>
      <c r="BY24" s="134" t="str">
        <f>IF(COUNTIF(BY$6:BY23,B24)&gt;0,"",B24)&amp;""</f>
        <v/>
      </c>
      <c r="BZ24" s="138">
        <f t="shared" si="10"/>
        <v>0</v>
      </c>
      <c r="CA24" s="132">
        <f t="shared" si="11"/>
        <v>1</v>
      </c>
      <c r="CB24" s="138">
        <f t="shared" si="12"/>
        <v>0</v>
      </c>
      <c r="CC24" s="132">
        <f t="shared" si="13"/>
        <v>1</v>
      </c>
      <c r="CD24" s="133"/>
      <c r="CE24" s="133"/>
    </row>
    <row r="25" ht="15.75" customHeight="1" spans="1:84">
      <c r="A25" s="123" t="str">
        <f>IF(B25="","",COUNT(A$6:A24)+1)</f>
        <v/>
      </c>
      <c r="B25" s="659" t="s">
        <v>347</v>
      </c>
      <c r="C25" s="660" t="s">
        <v>347</v>
      </c>
      <c r="D25" s="660" t="s">
        <v>347</v>
      </c>
      <c r="E25" s="659" t="s">
        <v>347</v>
      </c>
      <c r="F25" s="661" t="s">
        <v>347</v>
      </c>
      <c r="G25" s="661" t="s">
        <v>347</v>
      </c>
      <c r="H25" s="661" t="s">
        <v>347</v>
      </c>
      <c r="I25" s="661" t="s">
        <v>347</v>
      </c>
      <c r="J25" s="661" t="s">
        <v>347</v>
      </c>
      <c r="K25" s="661" t="s">
        <v>347</v>
      </c>
      <c r="L25" s="659" t="s">
        <v>347</v>
      </c>
      <c r="M25" s="661"/>
      <c r="N25" s="662" t="s">
        <v>347</v>
      </c>
      <c r="O25" s="142"/>
      <c r="P25" s="127" t="str">
        <f>IFERROR(VLOOKUP(O25,参数表!$H$2:$I$50,2,FALSE),"")</f>
        <v/>
      </c>
      <c r="Q25" s="128" t="str">
        <f t="shared" si="4"/>
        <v/>
      </c>
      <c r="R25" s="663"/>
      <c r="S25" s="663"/>
      <c r="T25" s="655" t="str">
        <f t="shared" si="5"/>
        <v/>
      </c>
      <c r="U25" s="655" t="str">
        <f t="shared" si="0"/>
        <v/>
      </c>
      <c r="V25" s="655" t="str">
        <f t="shared" si="6"/>
        <v/>
      </c>
      <c r="W25" s="664" t="s">
        <v>347</v>
      </c>
      <c r="BA25" s="78"/>
      <c r="BB25" s="132" t="s">
        <v>4471</v>
      </c>
      <c r="BC25" s="133"/>
      <c r="BD25" s="132" t="str">
        <f>IF(OR(B25="",BC25=""),"",COUNTIF(BC$7:BC25,"√"))</f>
        <v/>
      </c>
      <c r="BE25" s="134" t="str">
        <f t="shared" si="1"/>
        <v/>
      </c>
      <c r="BF25" s="135" t="str">
        <f t="shared" si="7"/>
        <v/>
      </c>
      <c r="BG25" s="135" t="str">
        <f t="shared" si="7"/>
        <v/>
      </c>
      <c r="BH25" s="136"/>
      <c r="BI25" s="137"/>
      <c r="BJ25" s="136"/>
      <c r="BK25" s="136"/>
      <c r="BL25" s="136"/>
      <c r="BM25" s="136"/>
      <c r="BN25" s="136"/>
      <c r="BO25" s="137"/>
      <c r="BP25" s="136"/>
      <c r="BQ25" s="137"/>
      <c r="BR25" s="657"/>
      <c r="BS25" s="156">
        <f t="shared" si="2"/>
        <v>125.582477754962</v>
      </c>
      <c r="BT25" s="223"/>
      <c r="BU25" s="156">
        <f t="shared" si="16"/>
        <v>125.582477754962</v>
      </c>
      <c r="BV25" s="658">
        <f>LOOKUP(BU25,参数表!A$14:B$19)</f>
        <v>0</v>
      </c>
      <c r="BW25" s="156">
        <f t="shared" si="17"/>
        <v>0</v>
      </c>
      <c r="BY25" s="134" t="str">
        <f>IF(COUNTIF(BY$6:BY24,B25)&gt;0,"",B25)&amp;""</f>
        <v/>
      </c>
      <c r="BZ25" s="138">
        <f t="shared" si="10"/>
        <v>0</v>
      </c>
      <c r="CA25" s="132">
        <f t="shared" si="11"/>
        <v>1</v>
      </c>
      <c r="CB25" s="138">
        <f t="shared" si="12"/>
        <v>0</v>
      </c>
      <c r="CC25" s="132">
        <f t="shared" si="13"/>
        <v>1</v>
      </c>
      <c r="CD25" s="133"/>
      <c r="CE25" s="133"/>
    </row>
    <row r="26" ht="15.75" customHeight="1" spans="1:84">
      <c r="A26" s="123" t="str">
        <f>IF(B26="","",COUNT(A$6:A25)+1)</f>
        <v/>
      </c>
      <c r="B26" s="651" t="s">
        <v>347</v>
      </c>
      <c r="C26" s="652" t="s">
        <v>347</v>
      </c>
      <c r="D26" s="652" t="s">
        <v>347</v>
      </c>
      <c r="E26" s="651" t="s">
        <v>347</v>
      </c>
      <c r="F26" s="653" t="s">
        <v>347</v>
      </c>
      <c r="G26" s="653" t="s">
        <v>347</v>
      </c>
      <c r="H26" s="653" t="s">
        <v>347</v>
      </c>
      <c r="I26" s="653" t="s">
        <v>347</v>
      </c>
      <c r="J26" s="653" t="s">
        <v>347</v>
      </c>
      <c r="K26" s="653" t="s">
        <v>347</v>
      </c>
      <c r="L26" s="651" t="s">
        <v>347</v>
      </c>
      <c r="M26" s="653"/>
      <c r="N26" s="654" t="s">
        <v>347</v>
      </c>
      <c r="O26" s="127"/>
      <c r="P26" s="127" t="str">
        <f>IFERROR(VLOOKUP(O26,参数表!$H$2:$I$50,2,FALSE),"")</f>
        <v/>
      </c>
      <c r="Q26" s="128" t="str">
        <f t="shared" si="4"/>
        <v/>
      </c>
      <c r="R26" s="655"/>
      <c r="S26" s="655"/>
      <c r="T26" s="655" t="str">
        <f t="shared" si="5"/>
        <v/>
      </c>
      <c r="U26" s="655" t="str">
        <f t="shared" si="0"/>
        <v/>
      </c>
      <c r="V26" s="655" t="str">
        <f t="shared" si="6"/>
        <v/>
      </c>
      <c r="W26" s="656" t="s">
        <v>347</v>
      </c>
      <c r="BA26" s="78"/>
      <c r="BB26" s="132" t="s">
        <v>4472</v>
      </c>
      <c r="BC26" s="133"/>
      <c r="BD26" s="132" t="str">
        <f>IF(OR(B26="",BC26=""),"",COUNTIF(BC$7:BC26,"√"))</f>
        <v/>
      </c>
      <c r="BE26" s="134" t="str">
        <f t="shared" si="1"/>
        <v/>
      </c>
      <c r="BF26" s="135" t="str">
        <f t="shared" si="7"/>
        <v/>
      </c>
      <c r="BG26" s="135" t="str">
        <f t="shared" si="7"/>
        <v/>
      </c>
      <c r="BH26" s="136"/>
      <c r="BI26" s="137"/>
      <c r="BJ26" s="136"/>
      <c r="BK26" s="136"/>
      <c r="BL26" s="136"/>
      <c r="BM26" s="136"/>
      <c r="BN26" s="136"/>
      <c r="BO26" s="137"/>
      <c r="BP26" s="136"/>
      <c r="BQ26" s="137"/>
      <c r="BR26" s="657"/>
      <c r="BS26" s="156">
        <f t="shared" si="2"/>
        <v>125.582477754962</v>
      </c>
      <c r="BT26" s="223"/>
      <c r="BU26" s="156">
        <f t="shared" si="8"/>
        <v>125.582477754962</v>
      </c>
      <c r="BV26" s="658">
        <f>LOOKUP(BU26,参数表!A$14:B$19)</f>
        <v>0</v>
      </c>
      <c r="BW26" s="156">
        <f t="shared" si="9"/>
        <v>0</v>
      </c>
      <c r="BY26" s="134" t="str">
        <f>IF(COUNTIF(BY$6:BY25,B26)&gt;0,"",B26)&amp;""</f>
        <v/>
      </c>
      <c r="BZ26" s="138">
        <f t="shared" si="10"/>
        <v>0</v>
      </c>
      <c r="CA26" s="132">
        <f t="shared" si="11"/>
        <v>1</v>
      </c>
      <c r="CB26" s="138">
        <f t="shared" si="12"/>
        <v>0</v>
      </c>
      <c r="CC26" s="132">
        <f t="shared" si="13"/>
        <v>1</v>
      </c>
      <c r="CD26" s="133"/>
      <c r="CE26" s="133"/>
    </row>
    <row r="27" s="630" customFormat="1" ht="15.75" customHeight="1" spans="1:84">
      <c r="A27" s="665" t="s">
        <v>4473</v>
      </c>
      <c r="B27" s="665"/>
      <c r="C27" s="665"/>
      <c r="D27" s="665"/>
      <c r="E27" s="666"/>
      <c r="F27" s="666"/>
      <c r="G27" s="666"/>
      <c r="H27" s="666"/>
      <c r="I27" s="666"/>
      <c r="J27" s="666"/>
      <c r="K27" s="666"/>
      <c r="L27" s="666"/>
      <c r="M27" s="666"/>
      <c r="N27" s="666"/>
      <c r="O27" s="149"/>
      <c r="P27" s="149"/>
      <c r="Q27" s="149"/>
      <c r="R27" s="667">
        <f>SUM(R7:R26)</f>
        <v>0</v>
      </c>
      <c r="S27" s="667"/>
      <c r="T27" s="667">
        <f>SUM(T7:T26)</f>
        <v>0</v>
      </c>
      <c r="U27" s="667">
        <f>SUM(U7:U26)</f>
        <v>0</v>
      </c>
      <c r="V27" s="667" t="str">
        <f t="shared" si="6"/>
        <v/>
      </c>
      <c r="W27" s="668"/>
      <c r="BF27" s="73"/>
      <c r="BG27" s="73"/>
      <c r="BH27" s="72"/>
      <c r="BI27" s="73"/>
      <c r="BJ27" s="72"/>
      <c r="BK27" s="72"/>
      <c r="BL27" s="72"/>
      <c r="BM27" s="72"/>
      <c r="BN27" s="72"/>
      <c r="BO27" s="73"/>
      <c r="BP27" s="72"/>
      <c r="BQ27" s="73"/>
      <c r="BX27" s="111"/>
      <c r="BY27" s="119"/>
      <c r="BZ27" s="77"/>
      <c r="CA27" s="77"/>
      <c r="CB27" s="77"/>
      <c r="CC27" s="119"/>
      <c r="CD27" s="119"/>
      <c r="CE27" s="119"/>
      <c r="CF27" s="111"/>
    </row>
    <row r="28" ht="15.75" customHeight="1" spans="1:84">
      <c r="A28" s="669" t="s">
        <v>364</v>
      </c>
      <c r="B28" s="669"/>
      <c r="C28" s="669"/>
      <c r="D28" s="669"/>
      <c r="E28" s="670"/>
      <c r="F28" s="670"/>
      <c r="G28" s="670"/>
      <c r="H28" s="670"/>
      <c r="I28" s="670"/>
      <c r="J28" s="670"/>
      <c r="K28" s="670"/>
      <c r="L28" s="670"/>
      <c r="M28" s="670"/>
      <c r="N28" s="670"/>
      <c r="O28" s="126"/>
      <c r="P28" s="126"/>
      <c r="Q28" s="126"/>
      <c r="R28" s="655"/>
      <c r="S28" s="655"/>
      <c r="T28" s="655">
        <f>R28+S28</f>
        <v>0</v>
      </c>
      <c r="U28" s="655"/>
      <c r="V28" s="655" t="str">
        <f t="shared" si="6"/>
        <v/>
      </c>
      <c r="W28" s="656"/>
    </row>
    <row r="29" s="630" customFormat="1" ht="15.75" customHeight="1" spans="1:84">
      <c r="A29" s="665" t="s">
        <v>4473</v>
      </c>
      <c r="B29" s="665"/>
      <c r="C29" s="665"/>
      <c r="D29" s="665"/>
      <c r="E29" s="666"/>
      <c r="F29" s="666"/>
      <c r="G29" s="666"/>
      <c r="H29" s="666"/>
      <c r="I29" s="666"/>
      <c r="J29" s="666"/>
      <c r="K29" s="666"/>
      <c r="L29" s="666"/>
      <c r="M29" s="666"/>
      <c r="N29" s="666"/>
      <c r="O29" s="149"/>
      <c r="P29" s="149"/>
      <c r="Q29" s="149"/>
      <c r="R29" s="667">
        <f>R27-R28</f>
        <v>0</v>
      </c>
      <c r="S29" s="667"/>
      <c r="T29" s="667">
        <f>T27-T28</f>
        <v>0</v>
      </c>
      <c r="U29" s="667">
        <f>U27-U28</f>
        <v>0</v>
      </c>
      <c r="V29" s="667" t="str">
        <f t="shared" si="6"/>
        <v/>
      </c>
      <c r="W29" s="668"/>
      <c r="BF29" s="73"/>
      <c r="BG29" s="73"/>
      <c r="BH29" s="72"/>
      <c r="BI29" s="73"/>
      <c r="BJ29" s="72"/>
      <c r="BK29" s="72"/>
      <c r="BL29" s="72"/>
      <c r="BM29" s="72"/>
      <c r="BN29" s="72"/>
      <c r="BO29" s="73"/>
      <c r="BP29" s="72"/>
      <c r="BQ29" s="73"/>
      <c r="BX29" s="77"/>
      <c r="BY29" s="78"/>
      <c r="BZ29" s="77"/>
      <c r="CA29" s="78"/>
      <c r="CB29" s="78"/>
      <c r="CC29" s="78"/>
      <c r="CD29" s="78"/>
      <c r="CE29" s="78"/>
      <c r="CF29" s="77"/>
    </row>
    <row r="30" ht="15.75" customHeight="1" spans="1:84">
      <c r="A30" s="638" t="str">
        <f>参数表!F$6</f>
        <v>产权持有单位填表人：贾广东</v>
      </c>
      <c r="B30" s="671"/>
      <c r="C30" s="640"/>
      <c r="D30" s="640"/>
      <c r="E30" s="640"/>
      <c r="F30" s="640"/>
      <c r="G30" s="640"/>
      <c r="H30" s="640"/>
      <c r="I30" s="640"/>
      <c r="J30" s="640"/>
      <c r="K30" s="640"/>
      <c r="L30" s="640"/>
      <c r="M30" s="640"/>
      <c r="N30" s="640"/>
      <c r="O30" s="103"/>
      <c r="P30" s="103"/>
      <c r="Q30" s="103"/>
      <c r="R30" s="640"/>
      <c r="S30" s="640"/>
      <c r="T30" s="640"/>
      <c r="U30" s="640" t="str">
        <f>"评估人员："&amp;封面!$G$24</f>
        <v>评估人员：</v>
      </c>
      <c r="V30" s="640"/>
      <c r="W30" s="640"/>
    </row>
    <row r="31" ht="15.75" customHeight="1" spans="1:84">
      <c r="A31" s="672" t="str">
        <f>参数表!F$7</f>
        <v>填表日期：2025年9月20日</v>
      </c>
      <c r="B31" s="671"/>
      <c r="C31" s="640"/>
      <c r="D31" s="640"/>
      <c r="E31" s="640"/>
      <c r="F31" s="640"/>
      <c r="G31" s="640"/>
      <c r="H31" s="640"/>
      <c r="I31" s="640"/>
      <c r="J31" s="640"/>
      <c r="K31" s="640"/>
      <c r="L31" s="640"/>
      <c r="M31" s="640"/>
      <c r="N31" s="640"/>
      <c r="O31" s="103"/>
      <c r="P31" s="103"/>
      <c r="Q31" s="103"/>
      <c r="R31" s="640"/>
      <c r="S31" s="640"/>
      <c r="T31" s="640"/>
      <c r="U31" s="640"/>
      <c r="V31" s="640"/>
      <c r="W31" s="640"/>
    </row>
    <row r="32" hidden="1" outlineLevel="1" spans="1:84">
      <c r="B32" s="154" t="s">
        <v>1673</v>
      </c>
      <c r="O32" s="158"/>
      <c r="P32" s="158"/>
      <c r="Q32" s="158"/>
      <c r="R32" s="628">
        <f>SUMIF($BA7:$BA26,$BA32,R7:R26)</f>
        <v>0</v>
      </c>
      <c r="S32" s="673"/>
      <c r="T32" s="628">
        <f>SUMIF($BA7:$BA26,$BA32,T7:T26)</f>
        <v>0</v>
      </c>
      <c r="U32" s="628">
        <f>SUMIF($BA7:$BA26,$BA32,U7:U26)</f>
        <v>0</v>
      </c>
      <c r="BA32" s="161" t="s">
        <v>1674</v>
      </c>
      <c r="BH32" s="95" t="s">
        <v>1675</v>
      </c>
      <c r="BJ32" s="95" t="s">
        <v>1675</v>
      </c>
      <c r="BK32" s="95" t="s">
        <v>1675</v>
      </c>
      <c r="BL32" s="95" t="s">
        <v>1675</v>
      </c>
      <c r="BM32" s="95" t="s">
        <v>1675</v>
      </c>
      <c r="BN32" s="95" t="s">
        <v>1675</v>
      </c>
      <c r="BP32" s="95" t="s">
        <v>1675</v>
      </c>
    </row>
    <row r="33" hidden="1" outlineLevel="1" spans="2:68">
      <c r="B33" s="154" t="s">
        <v>1676</v>
      </c>
      <c r="O33" s="158"/>
      <c r="P33" s="158"/>
      <c r="Q33" s="158"/>
      <c r="R33" s="628">
        <f>R27-R32</f>
        <v>0</v>
      </c>
      <c r="S33" s="673"/>
      <c r="T33" s="628">
        <f>T27-T32</f>
        <v>0</v>
      </c>
      <c r="U33" s="628">
        <f>U27-U32</f>
        <v>0</v>
      </c>
      <c r="BA33" s="161" t="s">
        <v>1677</v>
      </c>
      <c r="BH33" s="95" t="s">
        <v>1678</v>
      </c>
      <c r="BJ33" s="95" t="s">
        <v>1678</v>
      </c>
      <c r="BK33" s="95" t="s">
        <v>1678</v>
      </c>
      <c r="BL33" s="95" t="s">
        <v>1678</v>
      </c>
      <c r="BM33" s="95" t="s">
        <v>1678</v>
      </c>
      <c r="BN33" s="95" t="s">
        <v>1678</v>
      </c>
      <c r="BP33" s="95" t="s">
        <v>1678</v>
      </c>
    </row>
    <row r="34" collapsed="1" spans="2:68">
      <c r="O34" s="158"/>
      <c r="P34" s="158"/>
      <c r="Q34" s="158"/>
    </row>
    <row r="35" spans="2:68">
      <c r="O35" s="158"/>
      <c r="P35" s="158"/>
      <c r="Q35" s="158"/>
    </row>
    <row r="36" spans="2:68">
      <c r="O36" s="158"/>
      <c r="P36" s="158"/>
      <c r="Q36" s="158"/>
    </row>
    <row r="37" spans="2:68">
      <c r="O37" s="158"/>
      <c r="P37" s="158"/>
      <c r="Q37" s="158"/>
    </row>
  </sheetData>
  <sheetProtection autoFilter="0"/>
  <mergeCells count="8">
    <mergeCell ref="A2:W2"/>
    <mergeCell ref="A3:W3"/>
    <mergeCell ref="CD7:CF7"/>
    <mergeCell ref="CD8:CF8"/>
    <mergeCell ref="CE14:CF14"/>
    <mergeCell ref="A27:D27"/>
    <mergeCell ref="A28:D28"/>
    <mergeCell ref="A29:D29"/>
  </mergeCells>
  <conditionalFormatting sqref="BI7:BI26">
    <cfRule type="expression" dxfId="5" priority="5" stopIfTrue="1">
      <formula>AND(BH7="有",BI7="")</formula>
    </cfRule>
  </conditionalFormatting>
  <conditionalFormatting sqref="BO7:BO26">
    <cfRule type="expression" dxfId="5" priority="7" stopIfTrue="1">
      <formula>AND(BN7="无",BO7="")</formula>
    </cfRule>
  </conditionalFormatting>
  <conditionalFormatting sqref="BF7:BG26">
    <cfRule type="containsText" dxfId="6" priority="1" stopIfTrue="1" operator="between" text="出错">
      <formula>NOT(ISERROR(SEARCH("出错",BF7)))</formula>
    </cfRule>
  </conditionalFormatting>
  <conditionalFormatting sqref="BH7:BH26 BJ7:BN26 BP7:BP26">
    <cfRule type="expression" dxfId="5" priority="8" stopIfTrue="1">
      <formula>AND($B7&lt;&gt;"",BH7="")</formula>
    </cfRule>
  </conditionalFormatting>
  <dataValidations count="5">
    <dataValidation allowBlank="1" showInputMessage="1" showErrorMessage="1" prompt="①按资产明细填写，账、表、实物相符，切勿重复；②若账面价值不是历史购置成本请注明调账时间并提供评估报告；③技术特征请区分不同类型构筑物填写；④材质或结构：（A水池：材质：砖、钢筋砼等盖； B烟囱、水塔：材质：“砖，钢筋砼”等；C水井：材质：“砖、钢筋砼”等；D道路：材质:“砼面、沥青面、砖面”等；E围墙：材质:“砖砌、砖铁栏杆”等；F地沟：材质：“砖、砼”等；G挡土墙：材质:“毛石、砼”等。" sqref="A2:N2 R2:W2"/>
    <dataValidation type="list" allowBlank="1" showInputMessage="1" showErrorMessage="1" sqref="O7:O26">
      <formula1>OFFSET(参数表!$H$2:$H$50,,,COUNTA(参数表!$H$2:$H$50))</formula1>
    </dataValidation>
    <dataValidation type="list" allowBlank="1" showInputMessage="1" showErrorMessage="1" sqref="BA7:BA26 BA32:BA33">
      <formula1>"是,否"</formula1>
    </dataValidation>
    <dataValidation type="list" allowBlank="1" showInputMessage="1" showErrorMessage="1" sqref="BC7:BC26">
      <formula1>"  ,√"</formula1>
    </dataValidation>
    <dataValidation type="list" allowBlank="1" showInputMessage="1" showErrorMessage="1" sqref="BH7:BH26 BP7:BP26 BJ7:BN26">
      <formula1>BH$32:BH$33</formula1>
    </dataValidation>
  </dataValidations>
  <hyperlinks>
    <hyperlink ref="A1" location="索引目录!E46" display="返回索引页"/>
    <hyperlink ref="B1" location="固定资产汇总!B14"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colBreaks count="1" manualBreakCount="1">
    <brk id="23" max="30" man="1"/>
  </colBreaks>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4"/>
  <dimension ref="A1:CD35"/>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 customHeight="1"/>
  <cols>
    <col min="1" max="1" width="5" style="545" customWidth="1"/>
    <col min="2" max="2" width="8.6" style="545" customWidth="1"/>
    <col min="3" max="5" width="6.6" style="545" customWidth="1"/>
    <col min="6" max="7" width="4.6" style="545" customWidth="1"/>
    <col min="8" max="9" width="4.6" style="545" customWidth="1" outlineLevel="1"/>
    <col min="10" max="11" width="6.1" style="545" customWidth="1" outlineLevel="1"/>
    <col min="12" max="12" width="8.6" style="545" customWidth="1" outlineLevel="1"/>
    <col min="13" max="13" width="8.6" style="546" customWidth="1" outlineLevel="1"/>
    <col min="14" max="14" width="10.6" style="546" customWidth="1" outlineLevel="1"/>
    <col min="15" max="15" width="8.6" style="546" customWidth="1" outlineLevel="1"/>
    <col min="16" max="16" width="8.6" style="547" customWidth="1" outlineLevel="1"/>
    <col min="17" max="17" width="10.6" style="547" customWidth="1" outlineLevel="1"/>
    <col min="18" max="18" width="8.6" style="547" customWidth="1" outlineLevel="1"/>
    <col min="19" max="19" width="8.6" style="545" customWidth="1"/>
    <col min="20" max="20" width="8.6" style="546" customWidth="1"/>
    <col min="21" max="21" width="10.6" style="546" customWidth="1"/>
    <col min="22" max="22" width="8.6" style="546" customWidth="1"/>
    <col min="23" max="23" width="8.6" style="545" customWidth="1"/>
    <col min="24" max="24" width="8.6" style="546" customWidth="1"/>
    <col min="25" max="25" width="10.6" style="546" customWidth="1"/>
    <col min="26" max="26" width="6.6" style="548" customWidth="1"/>
    <col min="27" max="27" width="6.5" style="545" customWidth="1"/>
    <col min="28" max="51" width="9" style="545" hidden="1" customWidth="1" outlineLevel="1"/>
    <col min="52" max="52" width="9" style="545" hidden="1" customWidth="1" outlineLevel="1" collapsed="1"/>
    <col min="53" max="53" width="14.7" style="75" customWidth="1" collapsed="1"/>
    <col min="54" max="54" width="6.7" style="75" customWidth="1"/>
    <col min="55" max="56" width="5.1" style="75" customWidth="1"/>
    <col min="57" max="57" width="8.7" style="75" customWidth="1"/>
    <col min="58" max="59" width="10.1" style="75" customWidth="1"/>
    <col min="60" max="60" width="4.7" style="508" customWidth="1"/>
    <col min="61" max="61" width="11.5" style="75" customWidth="1"/>
    <col min="62" max="66" width="4.7" style="165" customWidth="1"/>
    <col min="67" max="67" width="10.3" style="75" customWidth="1"/>
    <col min="68" max="68" width="4.7" style="165" customWidth="1"/>
    <col min="69" max="69" width="8.7" style="75" customWidth="1"/>
    <col min="70" max="70" width="9" style="75"/>
    <col min="71" max="71" width="9" style="549"/>
    <col min="72" max="73" width="9" style="75"/>
    <col min="74" max="74" width="1.6" style="77" customWidth="1"/>
    <col min="75" max="75" width="10.6" style="78" customWidth="1"/>
    <col min="76" max="76" width="10.6" style="77" customWidth="1"/>
    <col min="77" max="77" width="4.6" style="78" customWidth="1"/>
    <col min="78" max="78" width="10.6" style="78" customWidth="1"/>
    <col min="79" max="80" width="4.6" style="78" customWidth="1"/>
    <col min="81" max="81" width="10.6" style="78" customWidth="1"/>
    <col min="82" max="82" width="5" style="77" customWidth="1"/>
    <col min="83" max="16384" width="9" style="545"/>
  </cols>
  <sheetData>
    <row r="1" s="537" customFormat="1" ht="13.5" customHeight="1" spans="1:82">
      <c r="A1" s="550" t="s">
        <v>3929</v>
      </c>
      <c r="B1" s="551" t="s">
        <v>3930</v>
      </c>
      <c r="C1" s="552"/>
      <c r="M1" s="553"/>
      <c r="N1" s="553"/>
      <c r="O1" s="553"/>
      <c r="P1" s="554"/>
      <c r="Q1" s="554"/>
      <c r="R1" s="554"/>
      <c r="T1" s="553"/>
      <c r="U1" s="553"/>
      <c r="V1" s="553"/>
      <c r="X1" s="553"/>
      <c r="Y1" s="553"/>
      <c r="Z1" s="555"/>
      <c r="BA1" s="84" t="str">
        <f>参数表!BA1</f>
        <v>注意：补充特殊事项、作价等均从BA列开始填写</v>
      </c>
      <c r="BB1" s="85"/>
      <c r="BC1" s="86"/>
      <c r="BD1" s="86"/>
      <c r="BE1" s="86"/>
      <c r="BF1" s="86"/>
      <c r="BG1" s="86"/>
      <c r="BH1" s="509"/>
      <c r="BI1" s="86"/>
      <c r="BJ1" s="82"/>
      <c r="BK1" s="82"/>
      <c r="BL1" s="82"/>
      <c r="BM1" s="82"/>
      <c r="BN1" s="82"/>
      <c r="BO1" s="86"/>
      <c r="BP1" s="82"/>
      <c r="BQ1" s="86"/>
      <c r="BR1" s="86"/>
      <c r="BS1" s="556"/>
      <c r="BT1" s="86"/>
      <c r="BU1" s="86"/>
      <c r="BV1" s="87"/>
      <c r="BW1" s="88"/>
      <c r="BX1" s="87"/>
      <c r="BY1" s="88"/>
      <c r="BZ1" s="88"/>
      <c r="CA1" s="88"/>
      <c r="CB1" s="88"/>
      <c r="CC1" s="88"/>
      <c r="CD1" s="87"/>
    </row>
    <row r="2" s="538" customFormat="1" ht="30" customHeight="1" spans="1:82">
      <c r="A2" s="557" t="s">
        <v>4474</v>
      </c>
      <c r="B2" s="557"/>
      <c r="C2" s="557"/>
      <c r="D2" s="557"/>
      <c r="E2" s="557"/>
      <c r="F2" s="557"/>
      <c r="G2" s="557"/>
      <c r="H2" s="557"/>
      <c r="I2" s="557"/>
      <c r="J2" s="557"/>
      <c r="K2" s="557"/>
      <c r="L2" s="557"/>
      <c r="M2" s="557"/>
      <c r="N2" s="557"/>
      <c r="O2" s="557"/>
      <c r="P2" s="557"/>
      <c r="Q2" s="557"/>
      <c r="R2" s="557"/>
      <c r="S2" s="557"/>
      <c r="T2" s="557"/>
      <c r="U2" s="557"/>
      <c r="V2" s="557"/>
      <c r="W2" s="557"/>
      <c r="X2" s="557"/>
      <c r="Y2" s="557"/>
      <c r="Z2" s="557"/>
      <c r="AA2" s="557"/>
      <c r="BA2" s="90" t="str">
        <f>参数表!BA2</f>
        <v>评估基准日：</v>
      </c>
      <c r="BB2" s="91" t="str">
        <f>参数表!BB2</f>
        <v>2025年7月31日</v>
      </c>
      <c r="BC2" s="71"/>
      <c r="BD2" s="71"/>
      <c r="BE2" s="71"/>
      <c r="BF2" s="71"/>
      <c r="BG2" s="71"/>
      <c r="BH2" s="510"/>
      <c r="BI2" s="71"/>
      <c r="BJ2" s="171"/>
      <c r="BK2" s="171"/>
      <c r="BL2" s="171"/>
      <c r="BM2" s="171"/>
      <c r="BN2" s="171"/>
      <c r="BO2" s="71"/>
      <c r="BP2" s="171"/>
      <c r="BQ2" s="71"/>
      <c r="BR2" s="71"/>
      <c r="BS2" s="558"/>
      <c r="BT2" s="71"/>
      <c r="BU2" s="71"/>
      <c r="BV2" s="92"/>
      <c r="BW2" s="93"/>
      <c r="BX2" s="92"/>
      <c r="BY2" s="93"/>
      <c r="BZ2" s="93"/>
      <c r="CA2" s="93"/>
      <c r="CB2" s="93"/>
      <c r="CC2" s="93"/>
      <c r="CD2" s="92"/>
    </row>
    <row r="3" s="539" customFormat="1" customHeight="1" spans="1:82">
      <c r="A3" s="559" t="str">
        <f>参数表!F5</f>
        <v>评估基准日：2025年7月31日</v>
      </c>
      <c r="B3" s="559"/>
      <c r="C3" s="559"/>
      <c r="D3" s="559"/>
      <c r="E3" s="559"/>
      <c r="F3" s="559"/>
      <c r="G3" s="559"/>
      <c r="H3" s="559"/>
      <c r="I3" s="559"/>
      <c r="J3" s="559"/>
      <c r="K3" s="559"/>
      <c r="L3" s="559"/>
      <c r="M3" s="559"/>
      <c r="N3" s="559"/>
      <c r="O3" s="559"/>
      <c r="P3" s="559"/>
      <c r="Q3" s="559"/>
      <c r="R3" s="559"/>
      <c r="S3" s="559"/>
      <c r="T3" s="559"/>
      <c r="U3" s="559"/>
      <c r="V3" s="559"/>
      <c r="W3" s="559"/>
      <c r="X3" s="559"/>
      <c r="Y3" s="559"/>
      <c r="Z3" s="559"/>
      <c r="AA3" s="559"/>
      <c r="BA3" s="90" t="str">
        <f>参数表!BA3</f>
        <v>是否显示评估值：</v>
      </c>
      <c r="BB3" s="90" t="str">
        <f>参数表!BB3</f>
        <v>是</v>
      </c>
      <c r="BC3" s="75"/>
      <c r="BD3" s="75"/>
      <c r="BE3" s="75"/>
      <c r="BF3" s="75"/>
      <c r="BG3" s="75"/>
      <c r="BH3" s="508"/>
      <c r="BI3" s="75"/>
      <c r="BJ3" s="165"/>
      <c r="BK3" s="165"/>
      <c r="BL3" s="165"/>
      <c r="BM3" s="165"/>
      <c r="BN3" s="165"/>
      <c r="BO3" s="75"/>
      <c r="BP3" s="165"/>
      <c r="BQ3" s="75"/>
      <c r="BR3" s="75"/>
      <c r="BS3" s="549"/>
      <c r="BT3" s="75"/>
      <c r="BU3" s="75"/>
      <c r="BV3" s="77"/>
      <c r="BW3" s="78"/>
      <c r="BX3" s="78"/>
      <c r="BY3" s="78"/>
      <c r="BZ3" s="78"/>
      <c r="CA3" s="78"/>
      <c r="CB3" s="78"/>
      <c r="CC3" s="78"/>
      <c r="CD3" s="77"/>
    </row>
    <row r="4" s="539" customFormat="1" customHeight="1" spans="1:82">
      <c r="A4" s="559"/>
      <c r="B4" s="559"/>
      <c r="C4" s="559"/>
      <c r="D4" s="559"/>
      <c r="E4" s="559"/>
      <c r="F4" s="559"/>
      <c r="G4" s="559"/>
      <c r="H4" s="559"/>
      <c r="I4" s="559"/>
      <c r="J4" s="559"/>
      <c r="K4" s="559"/>
      <c r="L4" s="559"/>
      <c r="M4" s="560"/>
      <c r="N4" s="560"/>
      <c r="O4" s="560"/>
      <c r="P4" s="561"/>
      <c r="Q4" s="561"/>
      <c r="R4" s="561"/>
      <c r="S4" s="559"/>
      <c r="T4" s="560"/>
      <c r="U4" s="560"/>
      <c r="V4" s="560"/>
      <c r="W4" s="562"/>
      <c r="X4" s="560"/>
      <c r="Y4" s="560"/>
      <c r="Z4" s="563"/>
      <c r="AA4" s="564" t="str">
        <f>"表"&amp;BA4</f>
        <v>表4-11-6</v>
      </c>
      <c r="BA4" s="274" t="str">
        <f>在建总!A12</f>
        <v>4-11-6</v>
      </c>
      <c r="BB4" s="100">
        <f>MAX(COUNTA(A8:A27),COUNTA(B8:B27),COUNTA(U8:U27),COUNTA(Y8:Y27))</f>
        <v>20</v>
      </c>
      <c r="BC4" s="101">
        <f>ROW(A7)+1</f>
        <v>8</v>
      </c>
      <c r="BD4" s="77"/>
      <c r="BE4" s="77"/>
      <c r="BF4" s="75"/>
      <c r="BG4" s="75"/>
      <c r="BH4" s="508"/>
      <c r="BI4" s="75"/>
      <c r="BJ4" s="165"/>
      <c r="BK4" s="165"/>
      <c r="BL4" s="165"/>
      <c r="BM4" s="165"/>
      <c r="BN4" s="165"/>
      <c r="BO4" s="75"/>
      <c r="BP4" s="165"/>
      <c r="BQ4" s="75"/>
      <c r="BR4" s="75"/>
      <c r="BS4" s="549"/>
      <c r="BT4" s="75"/>
      <c r="BU4" s="75"/>
      <c r="BV4" s="77"/>
      <c r="BW4" s="78"/>
      <c r="BX4" s="78"/>
      <c r="BY4" s="78"/>
      <c r="BZ4" s="78"/>
      <c r="CA4" s="78"/>
      <c r="CB4" s="78"/>
      <c r="CC4" s="78"/>
      <c r="CD4" s="77"/>
    </row>
    <row r="5" s="539" customFormat="1" customHeight="1" spans="1:82">
      <c r="A5" s="565" t="str">
        <f>参数表!F3</f>
        <v>产权持有单位:中煤第五建设有限公司</v>
      </c>
      <c r="B5" s="565"/>
      <c r="C5" s="565"/>
      <c r="D5" s="565"/>
      <c r="E5" s="565"/>
      <c r="F5" s="565"/>
      <c r="G5" s="565"/>
      <c r="H5" s="566"/>
      <c r="I5" s="566"/>
      <c r="J5" s="566"/>
      <c r="K5" s="566"/>
      <c r="L5" s="566"/>
      <c r="M5" s="567"/>
      <c r="N5" s="567"/>
      <c r="O5" s="567"/>
      <c r="P5" s="568"/>
      <c r="Q5" s="568"/>
      <c r="R5" s="568"/>
      <c r="S5" s="566"/>
      <c r="T5" s="567"/>
      <c r="U5" s="567"/>
      <c r="V5" s="567"/>
      <c r="W5" s="569"/>
      <c r="X5" s="567"/>
      <c r="Y5" s="567"/>
      <c r="Z5" s="563"/>
      <c r="AA5" s="570" t="s">
        <v>236</v>
      </c>
      <c r="BA5" s="103"/>
      <c r="BB5" s="105" t="str">
        <f ca="1">判断表!C82</f>
        <v>中煤第五建设有限公司第三工程处拟处置实物资产项目\[0000-3基础法明细表.xlsx]在建-物资</v>
      </c>
      <c r="BC5" s="106">
        <f>IFERROR(SUMIF(BC8:BC27,"√",V8:V27)/V28,0)</f>
        <v>0</v>
      </c>
      <c r="BD5" s="107"/>
      <c r="BE5" s="107"/>
      <c r="BF5" s="108">
        <f>'在建-土建'!BF5</f>
        <v>0</v>
      </c>
      <c r="BG5" s="108">
        <f>'在建-土建'!BG5</f>
        <v>0</v>
      </c>
      <c r="BH5" s="109"/>
      <c r="BI5" s="109"/>
      <c r="BJ5" s="109"/>
      <c r="BK5" s="109"/>
      <c r="BL5" s="109"/>
      <c r="BM5" s="109"/>
      <c r="BN5" s="109"/>
      <c r="BO5" s="110"/>
      <c r="BP5" s="109"/>
      <c r="BQ5" s="110"/>
      <c r="BR5" s="75"/>
      <c r="BS5" s="549"/>
      <c r="BT5" s="75"/>
      <c r="BU5" s="75"/>
      <c r="BV5" s="111"/>
      <c r="BW5" s="78"/>
      <c r="BX5" s="78"/>
      <c r="BY5" s="78"/>
      <c r="BZ5" s="78"/>
      <c r="CA5" s="78"/>
      <c r="CB5" s="78"/>
      <c r="CC5" s="194"/>
      <c r="CD5" s="111"/>
    </row>
    <row r="6" s="540" customFormat="1" customHeight="1" spans="1:82">
      <c r="A6" s="571" t="s">
        <v>305</v>
      </c>
      <c r="B6" s="571" t="s">
        <v>2174</v>
      </c>
      <c r="C6" s="572" t="s">
        <v>2175</v>
      </c>
      <c r="D6" s="571" t="s">
        <v>4475</v>
      </c>
      <c r="E6" s="572" t="s">
        <v>4476</v>
      </c>
      <c r="F6" s="572" t="s">
        <v>2207</v>
      </c>
      <c r="G6" s="573" t="s">
        <v>4477</v>
      </c>
      <c r="H6" s="574" t="s">
        <v>4478</v>
      </c>
      <c r="I6" s="575"/>
      <c r="J6" s="575"/>
      <c r="K6" s="576"/>
      <c r="L6" s="571" t="s">
        <v>4012</v>
      </c>
      <c r="M6" s="571"/>
      <c r="N6" s="571"/>
      <c r="O6" s="571"/>
      <c r="P6" s="577" t="s">
        <v>3236</v>
      </c>
      <c r="Q6" s="577"/>
      <c r="R6" s="577"/>
      <c r="S6" s="571" t="s">
        <v>1523</v>
      </c>
      <c r="T6" s="571"/>
      <c r="U6" s="571"/>
      <c r="V6" s="578"/>
      <c r="W6" s="571" t="s">
        <v>1550</v>
      </c>
      <c r="X6" s="571"/>
      <c r="Y6" s="571"/>
      <c r="Z6" s="579" t="s">
        <v>1551</v>
      </c>
      <c r="AA6" s="571" t="s">
        <v>308</v>
      </c>
      <c r="BA6" s="191"/>
      <c r="BB6" s="100"/>
      <c r="BC6" s="100"/>
      <c r="BD6" s="100"/>
      <c r="BE6" s="100"/>
      <c r="BF6" s="192" t="s">
        <v>1639</v>
      </c>
      <c r="BG6" s="192" t="s">
        <v>1640</v>
      </c>
      <c r="BH6" s="193" t="s">
        <v>1748</v>
      </c>
      <c r="BI6" s="193" t="s">
        <v>4217</v>
      </c>
      <c r="BJ6" s="193" t="s">
        <v>3695</v>
      </c>
      <c r="BK6" s="193" t="s">
        <v>1712</v>
      </c>
      <c r="BL6" s="193" t="s">
        <v>3696</v>
      </c>
      <c r="BM6" s="193" t="s">
        <v>4355</v>
      </c>
      <c r="BN6" s="193" t="s">
        <v>1641</v>
      </c>
      <c r="BO6" s="193" t="s">
        <v>2209</v>
      </c>
      <c r="BP6" s="193" t="s">
        <v>3697</v>
      </c>
      <c r="BQ6" s="193" t="s">
        <v>1644</v>
      </c>
      <c r="BR6" s="75"/>
      <c r="BS6" s="75"/>
      <c r="BT6" s="75"/>
      <c r="BU6" s="75"/>
      <c r="BV6" s="119"/>
    </row>
    <row r="7" s="540" customFormat="1" customHeight="1" spans="1:82">
      <c r="A7" s="571"/>
      <c r="B7" s="571"/>
      <c r="C7" s="580"/>
      <c r="D7" s="571"/>
      <c r="E7" s="580"/>
      <c r="F7" s="580"/>
      <c r="G7" s="571"/>
      <c r="H7" s="149" t="s">
        <v>1631</v>
      </c>
      <c r="I7" s="149" t="s">
        <v>1632</v>
      </c>
      <c r="J7" s="149" t="s">
        <v>4479</v>
      </c>
      <c r="K7" s="149" t="s">
        <v>3702</v>
      </c>
      <c r="L7" s="581" t="s">
        <v>1637</v>
      </c>
      <c r="M7" s="582" t="s">
        <v>2178</v>
      </c>
      <c r="N7" s="582" t="s">
        <v>271</v>
      </c>
      <c r="O7" s="582" t="s">
        <v>3702</v>
      </c>
      <c r="P7" s="583" t="s">
        <v>4480</v>
      </c>
      <c r="Q7" s="583" t="s">
        <v>3251</v>
      </c>
      <c r="R7" s="583" t="s">
        <v>3705</v>
      </c>
      <c r="S7" s="581" t="s">
        <v>1637</v>
      </c>
      <c r="T7" s="582" t="s">
        <v>2178</v>
      </c>
      <c r="U7" s="582" t="s">
        <v>271</v>
      </c>
      <c r="V7" s="581" t="s">
        <v>3701</v>
      </c>
      <c r="W7" s="581" t="s">
        <v>4481</v>
      </c>
      <c r="X7" s="582" t="s">
        <v>2178</v>
      </c>
      <c r="Y7" s="582" t="s">
        <v>271</v>
      </c>
      <c r="Z7" s="579"/>
      <c r="AA7" s="571"/>
      <c r="BA7" s="100" t="s">
        <v>1545</v>
      </c>
      <c r="BB7" s="100" t="s">
        <v>1635</v>
      </c>
      <c r="BC7" s="100" t="s">
        <v>1636</v>
      </c>
      <c r="BD7" s="100" t="s">
        <v>1637</v>
      </c>
      <c r="BE7" s="100" t="s">
        <v>1638</v>
      </c>
      <c r="BF7" s="197"/>
      <c r="BG7" s="197"/>
      <c r="BH7" s="198"/>
      <c r="BI7" s="198"/>
      <c r="BJ7" s="198"/>
      <c r="BK7" s="198"/>
      <c r="BL7" s="198"/>
      <c r="BM7" s="198"/>
      <c r="BN7" s="198"/>
      <c r="BO7" s="198"/>
      <c r="BP7" s="198"/>
      <c r="BQ7" s="198"/>
      <c r="BR7" s="584" t="s">
        <v>4051</v>
      </c>
      <c r="BS7" s="585" t="s">
        <v>4284</v>
      </c>
      <c r="BT7" s="584" t="s">
        <v>4482</v>
      </c>
      <c r="BU7" s="584" t="s">
        <v>2239</v>
      </c>
      <c r="BV7" s="77"/>
      <c r="BW7" s="120" t="s">
        <v>1645</v>
      </c>
      <c r="BX7" s="121" t="s">
        <v>1646</v>
      </c>
      <c r="BY7" s="121" t="s">
        <v>1647</v>
      </c>
      <c r="BZ7" s="121" t="s">
        <v>1648</v>
      </c>
      <c r="CA7" s="121" t="s">
        <v>1647</v>
      </c>
      <c r="CB7" s="121" t="s">
        <v>1647</v>
      </c>
      <c r="CC7" s="121" t="s">
        <v>1649</v>
      </c>
      <c r="CD7" s="122" t="s">
        <v>1650</v>
      </c>
    </row>
    <row r="8" s="541" customFormat="1" customHeight="1" spans="1:82">
      <c r="A8" s="123" t="str">
        <f>IF(B8="","",COUNT(A$6:A7)+1)</f>
        <v/>
      </c>
      <c r="B8" s="586"/>
      <c r="C8" s="586"/>
      <c r="D8" s="586"/>
      <c r="E8" s="587"/>
      <c r="F8" s="587"/>
      <c r="G8" s="588"/>
      <c r="H8" s="127"/>
      <c r="I8" s="127" t="str">
        <f>IFERROR(VLOOKUP(H8,参数表!$H$2:$I$50,2,FALSE),"")</f>
        <v/>
      </c>
      <c r="J8" s="128" t="str">
        <f>IFERROR(IF(OR(H8="人民币",H8=""),"",#REF!/I8),"")</f>
        <v/>
      </c>
      <c r="K8" s="128" t="str">
        <f t="shared" ref="K8:K27" si="0">IFERROR(IF(OR(H8="人民币",H8=""),"",W8/I8),"")</f>
        <v/>
      </c>
      <c r="L8" s="589"/>
      <c r="M8" s="589"/>
      <c r="N8" s="589"/>
      <c r="O8" s="589"/>
      <c r="P8" s="590"/>
      <c r="Q8" s="590"/>
      <c r="R8" s="590"/>
      <c r="S8" s="589" t="str">
        <f>IF($B8="","",L8+P8)</f>
        <v/>
      </c>
      <c r="T8" s="589" t="str">
        <f>IFERROR(U8/S8,"")</f>
        <v/>
      </c>
      <c r="U8" s="589" t="str">
        <f>IF($B8="","",N8+Q8)</f>
        <v/>
      </c>
      <c r="V8" s="589" t="str">
        <f>IF($B8="","",O8+R8)</f>
        <v/>
      </c>
      <c r="W8" s="589" t="str">
        <f>IF($BB$3="否","",S8)</f>
        <v/>
      </c>
      <c r="X8" s="589" t="str">
        <f>IF($BB$3="否","",IF(BT8=0,T8,BT8))</f>
        <v/>
      </c>
      <c r="Y8" s="589" t="str">
        <f>IF($BB$3="否","",IF(BT8=0,U8,W8*X8))</f>
        <v/>
      </c>
      <c r="Z8" s="591" t="str">
        <f>IFERROR((Y8-U8+V8)/(U8-V8)*100,"")</f>
        <v/>
      </c>
      <c r="AA8" s="592"/>
      <c r="BA8" s="78"/>
      <c r="BB8" s="132" t="s">
        <v>4387</v>
      </c>
      <c r="BC8" s="133"/>
      <c r="BD8" s="132" t="str">
        <f>IF(OR(B8="",BC8=""),"",COUNTIF(BC$8:BC8,"√"))</f>
        <v/>
      </c>
      <c r="BE8" s="134" t="str">
        <f t="shared" ref="BE8:BE27" si="1">IF(BC8="","",BB8&amp;"︱"&amp;B8&amp;"︱"&amp;TEXT(O8,"#,##0.00"))</f>
        <v/>
      </c>
      <c r="BF8" s="135" t="str">
        <f>IF($B8="","",IF(BF$5=0,"OK","出错"))</f>
        <v/>
      </c>
      <c r="BG8" s="135" t="str">
        <f>IF($B8="","",IF(BG$5=0,"OK","出错"))</f>
        <v/>
      </c>
      <c r="BH8" s="136"/>
      <c r="BI8" s="137"/>
      <c r="BJ8" s="136"/>
      <c r="BK8" s="136"/>
      <c r="BL8" s="136"/>
      <c r="BM8" s="136"/>
      <c r="BN8" s="136"/>
      <c r="BO8" s="137"/>
      <c r="BP8" s="136"/>
      <c r="BQ8" s="137"/>
      <c r="BR8" s="593"/>
      <c r="BS8" s="594"/>
      <c r="BT8" s="595">
        <f t="shared" ref="BT8:BT27" si="2">BR8/(1+BS8)</f>
        <v>0</v>
      </c>
      <c r="BU8" s="596"/>
      <c r="BV8" s="77"/>
      <c r="BW8" s="134" t="str">
        <f>IF(COUNTIF(BW$7:BW7,B8)&gt;0,"",B8)&amp;""</f>
        <v/>
      </c>
      <c r="BX8" s="138">
        <f>SUMIF(B$8:B$27,BW8,U$8:U$27)</f>
        <v>0</v>
      </c>
      <c r="BY8" s="132">
        <f t="shared" ref="BY8" si="3">RANK(BX8,BX$8:BX$27)</f>
        <v>1</v>
      </c>
      <c r="BZ8" s="138">
        <f>SUMIF(B$8:B$27,BW8,Y$8:Y$27)</f>
        <v>0</v>
      </c>
      <c r="CA8" s="132">
        <f t="shared" ref="CA8:CA27" si="4">RANK(BZ8,BZ$8:BZ$27)</f>
        <v>1</v>
      </c>
      <c r="CB8" s="138">
        <f>SUM(BX8:BX27)</f>
        <v>0</v>
      </c>
      <c r="CC8" s="138"/>
      <c r="CD8" s="138"/>
    </row>
    <row r="9" s="541" customFormat="1" customHeight="1" spans="1:82">
      <c r="A9" s="123" t="str">
        <f>IF(B9="","",COUNT(A$6:A8)+1)</f>
        <v/>
      </c>
      <c r="B9" s="597"/>
      <c r="C9" s="597"/>
      <c r="D9" s="597"/>
      <c r="E9" s="598"/>
      <c r="F9" s="598"/>
      <c r="G9" s="599"/>
      <c r="H9" s="142"/>
      <c r="I9" s="127" t="str">
        <f>IFERROR(VLOOKUP(H9,参数表!$H$2:$I$50,2,FALSE),"")</f>
        <v/>
      </c>
      <c r="J9" s="128" t="str">
        <f>IFERROR(IF(OR(H9="人民币",H9=""),"",#REF!/I9),"")</f>
        <v/>
      </c>
      <c r="K9" s="128" t="str">
        <f t="shared" si="0"/>
        <v/>
      </c>
      <c r="L9" s="600"/>
      <c r="M9" s="600"/>
      <c r="N9" s="600"/>
      <c r="O9" s="600"/>
      <c r="P9" s="601"/>
      <c r="Q9" s="601"/>
      <c r="R9" s="601"/>
      <c r="S9" s="589" t="str">
        <f t="shared" ref="S9:S27" si="5">IF($B9="","",L9+P9)</f>
        <v/>
      </c>
      <c r="T9" s="589" t="str">
        <f t="shared" ref="T9:T27" si="6">IFERROR(U9/S9,"")</f>
        <v/>
      </c>
      <c r="U9" s="589" t="str">
        <f t="shared" ref="U9:U27" si="7">IF($B9="","",N9+Q9)</f>
        <v/>
      </c>
      <c r="V9" s="589" t="str">
        <f t="shared" ref="V9:V27" si="8">IF($B9="","",O9+R9)</f>
        <v/>
      </c>
      <c r="W9" s="589" t="str">
        <f t="shared" ref="W9:W27" si="9">IF($BB$3="否","",S9)</f>
        <v/>
      </c>
      <c r="X9" s="589" t="str">
        <f t="shared" ref="X9:X27" si="10">IF($BB$3="否","",IF(BT9=0,T9,BT9))</f>
        <v/>
      </c>
      <c r="Y9" s="589" t="str">
        <f t="shared" ref="Y9:Y27" si="11">IF($BB$3="否","",IF(BT9=0,U9,W9*X9))</f>
        <v/>
      </c>
      <c r="Z9" s="591" t="str">
        <f t="shared" ref="Z9:Z30" si="12">IFERROR((Y9-U9+V9)/(U9-V9)*100,"")</f>
        <v/>
      </c>
      <c r="AA9" s="602"/>
      <c r="BA9" s="78"/>
      <c r="BB9" s="132" t="s">
        <v>4388</v>
      </c>
      <c r="BC9" s="133"/>
      <c r="BD9" s="132" t="str">
        <f>IF(OR(B9="",BC9=""),"",COUNTIF(BC$8:BC9,"√"))</f>
        <v/>
      </c>
      <c r="BE9" s="134" t="str">
        <f t="shared" si="1"/>
        <v/>
      </c>
      <c r="BF9" s="135" t="str">
        <f t="shared" ref="BF9:BG27" si="13">IF($B9="","",IF(BF$5=0,"OK","出错"))</f>
        <v/>
      </c>
      <c r="BG9" s="135" t="str">
        <f t="shared" si="13"/>
        <v/>
      </c>
      <c r="BH9" s="136"/>
      <c r="BI9" s="137"/>
      <c r="BJ9" s="136"/>
      <c r="BK9" s="136"/>
      <c r="BL9" s="136"/>
      <c r="BM9" s="136"/>
      <c r="BN9" s="136"/>
      <c r="BO9" s="137"/>
      <c r="BP9" s="136"/>
      <c r="BQ9" s="137"/>
      <c r="BR9" s="593"/>
      <c r="BS9" s="594"/>
      <c r="BT9" s="595">
        <f t="shared" si="2"/>
        <v>0</v>
      </c>
      <c r="BU9" s="596"/>
      <c r="BV9" s="77"/>
      <c r="BW9" s="134" t="str">
        <f>IF(COUNTIF(BW$7:BW8,B9)&gt;0,"",B9)&amp;""</f>
        <v/>
      </c>
      <c r="BX9" s="138">
        <f t="shared" ref="BX9:BX27" si="14">SUMIF(B$8:B$27,BW9,U$8:U$27)</f>
        <v>0</v>
      </c>
      <c r="BY9" s="132">
        <f t="shared" ref="BY9:BY27" si="15">RANK(BX9,BX$8:BX$27)</f>
        <v>1</v>
      </c>
      <c r="BZ9" s="138">
        <f t="shared" ref="BZ9:BZ27" si="16">SUMIF(B$8:B$27,BW9,Y$8:Y$27)</f>
        <v>0</v>
      </c>
      <c r="CA9" s="132">
        <f t="shared" si="4"/>
        <v>1</v>
      </c>
      <c r="CB9" s="138">
        <f>SUM(BZ8:BZ27)</f>
        <v>0</v>
      </c>
      <c r="CC9" s="138"/>
      <c r="CD9" s="138"/>
    </row>
    <row r="10" s="541" customFormat="1" customHeight="1" spans="1:82">
      <c r="A10" s="123" t="str">
        <f>IF(B10="","",COUNT(A$6:A9)+1)</f>
        <v/>
      </c>
      <c r="B10" s="597"/>
      <c r="C10" s="597"/>
      <c r="D10" s="597"/>
      <c r="E10" s="598"/>
      <c r="F10" s="598"/>
      <c r="G10" s="603"/>
      <c r="H10" s="142"/>
      <c r="I10" s="127" t="str">
        <f>IFERROR(VLOOKUP(H10,参数表!$H$2:$I$50,2,FALSE),"")</f>
        <v/>
      </c>
      <c r="J10" s="128" t="str">
        <f>IFERROR(IF(OR(H10="人民币",H10=""),"",#REF!/I10),"")</f>
        <v/>
      </c>
      <c r="K10" s="128" t="str">
        <f t="shared" si="0"/>
        <v/>
      </c>
      <c r="L10" s="600"/>
      <c r="M10" s="600"/>
      <c r="N10" s="600"/>
      <c r="O10" s="600"/>
      <c r="P10" s="601"/>
      <c r="Q10" s="601"/>
      <c r="R10" s="601"/>
      <c r="S10" s="589" t="str">
        <f t="shared" si="5"/>
        <v/>
      </c>
      <c r="T10" s="589" t="str">
        <f t="shared" si="6"/>
        <v/>
      </c>
      <c r="U10" s="589" t="str">
        <f t="shared" si="7"/>
        <v/>
      </c>
      <c r="V10" s="589" t="str">
        <f t="shared" si="8"/>
        <v/>
      </c>
      <c r="W10" s="589" t="str">
        <f t="shared" si="9"/>
        <v/>
      </c>
      <c r="X10" s="589" t="str">
        <f t="shared" si="10"/>
        <v/>
      </c>
      <c r="Y10" s="589" t="str">
        <f t="shared" si="11"/>
        <v/>
      </c>
      <c r="Z10" s="591" t="str">
        <f t="shared" si="12"/>
        <v/>
      </c>
      <c r="AA10" s="602"/>
      <c r="BA10" s="78"/>
      <c r="BB10" s="132" t="s">
        <v>4389</v>
      </c>
      <c r="BC10" s="133"/>
      <c r="BD10" s="132" t="str">
        <f>IF(OR(B10="",BC10=""),"",COUNTIF(BC$8:BC10,"√"))</f>
        <v/>
      </c>
      <c r="BE10" s="134" t="str">
        <f t="shared" si="1"/>
        <v/>
      </c>
      <c r="BF10" s="135" t="str">
        <f t="shared" si="13"/>
        <v/>
      </c>
      <c r="BG10" s="135" t="str">
        <f t="shared" si="13"/>
        <v/>
      </c>
      <c r="BH10" s="136"/>
      <c r="BI10" s="137"/>
      <c r="BJ10" s="136"/>
      <c r="BK10" s="136"/>
      <c r="BL10" s="136"/>
      <c r="BM10" s="136"/>
      <c r="BN10" s="136"/>
      <c r="BO10" s="137"/>
      <c r="BP10" s="136"/>
      <c r="BQ10" s="137"/>
      <c r="BR10" s="593"/>
      <c r="BS10" s="594"/>
      <c r="BT10" s="595">
        <f t="shared" si="2"/>
        <v>0</v>
      </c>
      <c r="BU10" s="596"/>
      <c r="BV10" s="77"/>
      <c r="BW10" s="134" t="str">
        <f>IF(COUNTIF(BW$7:BW9,B10)&gt;0,"",B10)&amp;""</f>
        <v/>
      </c>
      <c r="BX10" s="138">
        <f t="shared" si="14"/>
        <v>0</v>
      </c>
      <c r="BY10" s="132">
        <f t="shared" si="15"/>
        <v>1</v>
      </c>
      <c r="BZ10" s="138">
        <f t="shared" si="16"/>
        <v>0</v>
      </c>
      <c r="CA10" s="132">
        <f t="shared" si="4"/>
        <v>1</v>
      </c>
      <c r="CB10" s="132">
        <v>1</v>
      </c>
      <c r="CC10" s="134" t="str">
        <f>IFERROR(INDEX(BW$8:BW$27,MATCH(CB10,IF(CB$8=0,CA$8:CA$27,BY$8:BY$27),0))&amp;"","")</f>
        <v/>
      </c>
      <c r="CD10" s="146" t="str">
        <f>IF(CC11="","",IF(CC12="","和","、"))</f>
        <v/>
      </c>
    </row>
    <row r="11" s="541" customFormat="1" customHeight="1" spans="1:82">
      <c r="A11" s="123" t="str">
        <f>IF(B11="","",COUNT(A$6:A10)+1)</f>
        <v/>
      </c>
      <c r="B11" s="597"/>
      <c r="C11" s="597"/>
      <c r="D11" s="597"/>
      <c r="E11" s="598"/>
      <c r="F11" s="598"/>
      <c r="G11" s="603"/>
      <c r="H11" s="142"/>
      <c r="I11" s="127" t="str">
        <f>IFERROR(VLOOKUP(H11,参数表!$H$2:$I$50,2,FALSE),"")</f>
        <v/>
      </c>
      <c r="J11" s="128" t="str">
        <f>IFERROR(IF(OR(H11="人民币",H11=""),"",#REF!/I11),"")</f>
        <v/>
      </c>
      <c r="K11" s="128" t="str">
        <f t="shared" si="0"/>
        <v/>
      </c>
      <c r="L11" s="600"/>
      <c r="M11" s="600"/>
      <c r="N11" s="600"/>
      <c r="O11" s="600"/>
      <c r="P11" s="601"/>
      <c r="Q11" s="601"/>
      <c r="R11" s="601"/>
      <c r="S11" s="589" t="str">
        <f t="shared" si="5"/>
        <v/>
      </c>
      <c r="T11" s="589" t="str">
        <f t="shared" si="6"/>
        <v/>
      </c>
      <c r="U11" s="589" t="str">
        <f t="shared" si="7"/>
        <v/>
      </c>
      <c r="V11" s="589" t="str">
        <f t="shared" si="8"/>
        <v/>
      </c>
      <c r="W11" s="589" t="str">
        <f t="shared" si="9"/>
        <v/>
      </c>
      <c r="X11" s="589" t="str">
        <f t="shared" si="10"/>
        <v/>
      </c>
      <c r="Y11" s="589" t="str">
        <f t="shared" si="11"/>
        <v/>
      </c>
      <c r="Z11" s="591" t="str">
        <f t="shared" si="12"/>
        <v/>
      </c>
      <c r="AA11" s="602"/>
      <c r="BA11" s="78"/>
      <c r="BB11" s="132" t="s">
        <v>4390</v>
      </c>
      <c r="BC11" s="133"/>
      <c r="BD11" s="132" t="str">
        <f>IF(OR(B11="",BC11=""),"",COUNTIF(BC$8:BC11,"√"))</f>
        <v/>
      </c>
      <c r="BE11" s="134" t="str">
        <f t="shared" si="1"/>
        <v/>
      </c>
      <c r="BF11" s="135" t="str">
        <f t="shared" si="13"/>
        <v/>
      </c>
      <c r="BG11" s="135" t="str">
        <f t="shared" si="13"/>
        <v/>
      </c>
      <c r="BH11" s="136"/>
      <c r="BI11" s="137"/>
      <c r="BJ11" s="136"/>
      <c r="BK11" s="136"/>
      <c r="BL11" s="136"/>
      <c r="BM11" s="136"/>
      <c r="BN11" s="136"/>
      <c r="BO11" s="137"/>
      <c r="BP11" s="136"/>
      <c r="BQ11" s="137"/>
      <c r="BR11" s="593"/>
      <c r="BS11" s="594"/>
      <c r="BT11" s="595">
        <f t="shared" si="2"/>
        <v>0</v>
      </c>
      <c r="BU11" s="596"/>
      <c r="BV11" s="77"/>
      <c r="BW11" s="134" t="str">
        <f>IF(COUNTIF(BW$7:BW10,B11)&gt;0,"",B11)&amp;""</f>
        <v/>
      </c>
      <c r="BX11" s="138">
        <f t="shared" si="14"/>
        <v>0</v>
      </c>
      <c r="BY11" s="132">
        <f t="shared" si="15"/>
        <v>1</v>
      </c>
      <c r="BZ11" s="138">
        <f t="shared" si="16"/>
        <v>0</v>
      </c>
      <c r="CA11" s="132">
        <f t="shared" si="4"/>
        <v>1</v>
      </c>
      <c r="CB11" s="132">
        <v>2</v>
      </c>
      <c r="CC11" s="134" t="str">
        <f>IFERROR(INDEX(BW$8:BW$27,MATCH(CB11,IF(CB$8=0,CA$8:CA$27,BY$8:BY$27),0))&amp;"","")</f>
        <v/>
      </c>
      <c r="CD11" s="146" t="str">
        <f t="shared" ref="CD11:CD12" si="17">IF(CC12="","",IF(CC13="","和","、"))</f>
        <v/>
      </c>
    </row>
    <row r="12" s="541" customFormat="1" customHeight="1" spans="1:82">
      <c r="A12" s="123" t="str">
        <f>IF(B12="","",COUNT(A$6:A11)+1)</f>
        <v/>
      </c>
      <c r="B12" s="597"/>
      <c r="C12" s="597"/>
      <c r="D12" s="597"/>
      <c r="E12" s="598"/>
      <c r="F12" s="598"/>
      <c r="G12" s="603"/>
      <c r="H12" s="142"/>
      <c r="I12" s="127" t="str">
        <f>IFERROR(VLOOKUP(H12,参数表!$H$2:$I$50,2,FALSE),"")</f>
        <v/>
      </c>
      <c r="J12" s="128" t="str">
        <f>IFERROR(IF(OR(H12="人民币",H12=""),"",#REF!/I12),"")</f>
        <v/>
      </c>
      <c r="K12" s="128" t="str">
        <f t="shared" si="0"/>
        <v/>
      </c>
      <c r="L12" s="600"/>
      <c r="M12" s="600"/>
      <c r="N12" s="600"/>
      <c r="O12" s="600"/>
      <c r="P12" s="601"/>
      <c r="Q12" s="601"/>
      <c r="R12" s="601"/>
      <c r="S12" s="589" t="str">
        <f t="shared" si="5"/>
        <v/>
      </c>
      <c r="T12" s="589" t="str">
        <f t="shared" si="6"/>
        <v/>
      </c>
      <c r="U12" s="589" t="str">
        <f t="shared" si="7"/>
        <v/>
      </c>
      <c r="V12" s="589" t="str">
        <f t="shared" si="8"/>
        <v/>
      </c>
      <c r="W12" s="589" t="str">
        <f t="shared" si="9"/>
        <v/>
      </c>
      <c r="X12" s="589" t="str">
        <f t="shared" si="10"/>
        <v/>
      </c>
      <c r="Y12" s="589" t="str">
        <f t="shared" si="11"/>
        <v/>
      </c>
      <c r="Z12" s="591" t="str">
        <f t="shared" si="12"/>
        <v/>
      </c>
      <c r="AA12" s="602"/>
      <c r="BA12" s="78"/>
      <c r="BB12" s="132" t="s">
        <v>4391</v>
      </c>
      <c r="BC12" s="133"/>
      <c r="BD12" s="132" t="str">
        <f>IF(OR(B12="",BC12=""),"",COUNTIF(BC$8:BC12,"√"))</f>
        <v/>
      </c>
      <c r="BE12" s="134" t="str">
        <f t="shared" si="1"/>
        <v/>
      </c>
      <c r="BF12" s="135" t="str">
        <f t="shared" si="13"/>
        <v/>
      </c>
      <c r="BG12" s="135" t="str">
        <f t="shared" si="13"/>
        <v/>
      </c>
      <c r="BH12" s="136"/>
      <c r="BI12" s="137"/>
      <c r="BJ12" s="136"/>
      <c r="BK12" s="136"/>
      <c r="BL12" s="136"/>
      <c r="BM12" s="136"/>
      <c r="BN12" s="136"/>
      <c r="BO12" s="137"/>
      <c r="BP12" s="136"/>
      <c r="BQ12" s="137"/>
      <c r="BR12" s="593"/>
      <c r="BS12" s="594"/>
      <c r="BT12" s="595">
        <f t="shared" si="2"/>
        <v>0</v>
      </c>
      <c r="BU12" s="596"/>
      <c r="BV12" s="77"/>
      <c r="BW12" s="134" t="str">
        <f>IF(COUNTIF(BW$7:BW11,B12)&gt;0,"",B12)&amp;""</f>
        <v/>
      </c>
      <c r="BX12" s="138">
        <f t="shared" si="14"/>
        <v>0</v>
      </c>
      <c r="BY12" s="132">
        <f t="shared" si="15"/>
        <v>1</v>
      </c>
      <c r="BZ12" s="138">
        <f t="shared" si="16"/>
        <v>0</v>
      </c>
      <c r="CA12" s="132">
        <f t="shared" si="4"/>
        <v>1</v>
      </c>
      <c r="CB12" s="132">
        <v>3</v>
      </c>
      <c r="CC12" s="134" t="str">
        <f>IFERROR(INDEX(BW$8:BW$27,MATCH(CB12,IF(CB$8=0,CA$8:CA$27,BY$8:BY$27),0))&amp;"","")</f>
        <v/>
      </c>
      <c r="CD12" s="146" t="str">
        <f t="shared" si="17"/>
        <v/>
      </c>
    </row>
    <row r="13" s="541" customFormat="1" customHeight="1" spans="1:82">
      <c r="A13" s="123" t="str">
        <f>IF(B13="","",COUNT(A$6:A12)+1)</f>
        <v/>
      </c>
      <c r="B13" s="597"/>
      <c r="C13" s="597"/>
      <c r="D13" s="597"/>
      <c r="E13" s="598"/>
      <c r="F13" s="598"/>
      <c r="G13" s="603"/>
      <c r="H13" s="142"/>
      <c r="I13" s="127" t="str">
        <f>IFERROR(VLOOKUP(H13,参数表!$H$2:$I$50,2,FALSE),"")</f>
        <v/>
      </c>
      <c r="J13" s="128" t="str">
        <f>IFERROR(IF(OR(H13="人民币",H13=""),"",#REF!/I13),"")</f>
        <v/>
      </c>
      <c r="K13" s="128" t="str">
        <f t="shared" si="0"/>
        <v/>
      </c>
      <c r="L13" s="600"/>
      <c r="M13" s="600"/>
      <c r="N13" s="600"/>
      <c r="O13" s="600"/>
      <c r="P13" s="601"/>
      <c r="Q13" s="601"/>
      <c r="R13" s="601"/>
      <c r="S13" s="589" t="str">
        <f t="shared" si="5"/>
        <v/>
      </c>
      <c r="T13" s="589" t="str">
        <f t="shared" si="6"/>
        <v/>
      </c>
      <c r="U13" s="589" t="str">
        <f t="shared" si="7"/>
        <v/>
      </c>
      <c r="V13" s="589" t="str">
        <f t="shared" si="8"/>
        <v/>
      </c>
      <c r="W13" s="589" t="str">
        <f t="shared" si="9"/>
        <v/>
      </c>
      <c r="X13" s="589" t="str">
        <f t="shared" si="10"/>
        <v/>
      </c>
      <c r="Y13" s="589" t="str">
        <f t="shared" si="11"/>
        <v/>
      </c>
      <c r="Z13" s="591" t="str">
        <f t="shared" si="12"/>
        <v/>
      </c>
      <c r="AA13" s="602"/>
      <c r="BA13" s="78"/>
      <c r="BB13" s="132" t="s">
        <v>4392</v>
      </c>
      <c r="BC13" s="133"/>
      <c r="BD13" s="132" t="str">
        <f>IF(OR(B13="",BC13=""),"",COUNTIF(BC$8:BC13,"√"))</f>
        <v/>
      </c>
      <c r="BE13" s="134" t="str">
        <f t="shared" si="1"/>
        <v/>
      </c>
      <c r="BF13" s="135" t="str">
        <f t="shared" si="13"/>
        <v/>
      </c>
      <c r="BG13" s="135" t="str">
        <f t="shared" si="13"/>
        <v/>
      </c>
      <c r="BH13" s="136"/>
      <c r="BI13" s="137"/>
      <c r="BJ13" s="136"/>
      <c r="BK13" s="136"/>
      <c r="BL13" s="136"/>
      <c r="BM13" s="136"/>
      <c r="BN13" s="136"/>
      <c r="BO13" s="137"/>
      <c r="BP13" s="136"/>
      <c r="BQ13" s="137"/>
      <c r="BR13" s="593"/>
      <c r="BS13" s="594"/>
      <c r="BT13" s="595">
        <f t="shared" si="2"/>
        <v>0</v>
      </c>
      <c r="BU13" s="596"/>
      <c r="BV13" s="77"/>
      <c r="BW13" s="134" t="str">
        <f>IF(COUNTIF(BW$7:BW12,B13)&gt;0,"",B13)&amp;""</f>
        <v/>
      </c>
      <c r="BX13" s="138">
        <f t="shared" si="14"/>
        <v>0</v>
      </c>
      <c r="BY13" s="132">
        <f t="shared" si="15"/>
        <v>1</v>
      </c>
      <c r="BZ13" s="138">
        <f t="shared" si="16"/>
        <v>0</v>
      </c>
      <c r="CA13" s="132">
        <f t="shared" si="4"/>
        <v>1</v>
      </c>
      <c r="CB13" s="132">
        <v>4</v>
      </c>
      <c r="CC13" s="134" t="str">
        <f>IFERROR(INDEX(BW$8:BW$27,MATCH(CB13,IF(CB$8=0,CA$8:CA$27,BY$8:BY$27),0))&amp;"","")</f>
        <v/>
      </c>
      <c r="CD13" s="146" t="str">
        <f>IF(CC14="","","和")</f>
        <v/>
      </c>
    </row>
    <row r="14" s="541" customFormat="1" customHeight="1" spans="1:82">
      <c r="A14" s="123" t="str">
        <f>IF(B14="","",COUNT(A$6:A13)+1)</f>
        <v/>
      </c>
      <c r="B14" s="597"/>
      <c r="C14" s="597"/>
      <c r="D14" s="597"/>
      <c r="E14" s="598"/>
      <c r="F14" s="598"/>
      <c r="G14" s="603"/>
      <c r="H14" s="142"/>
      <c r="I14" s="127" t="str">
        <f>IFERROR(VLOOKUP(H14,参数表!$H$2:$I$50,2,FALSE),"")</f>
        <v/>
      </c>
      <c r="J14" s="128" t="str">
        <f>IFERROR(IF(OR(H14="人民币",H14=""),"",#REF!/I14),"")</f>
        <v/>
      </c>
      <c r="K14" s="128" t="str">
        <f t="shared" si="0"/>
        <v/>
      </c>
      <c r="L14" s="600"/>
      <c r="M14" s="600"/>
      <c r="N14" s="600"/>
      <c r="O14" s="600"/>
      <c r="P14" s="601"/>
      <c r="Q14" s="601"/>
      <c r="R14" s="601"/>
      <c r="S14" s="589" t="str">
        <f t="shared" si="5"/>
        <v/>
      </c>
      <c r="T14" s="589" t="str">
        <f t="shared" si="6"/>
        <v/>
      </c>
      <c r="U14" s="589" t="str">
        <f t="shared" si="7"/>
        <v/>
      </c>
      <c r="V14" s="589" t="str">
        <f t="shared" si="8"/>
        <v/>
      </c>
      <c r="W14" s="589" t="str">
        <f t="shared" si="9"/>
        <v/>
      </c>
      <c r="X14" s="589" t="str">
        <f t="shared" si="10"/>
        <v/>
      </c>
      <c r="Y14" s="589" t="str">
        <f t="shared" si="11"/>
        <v/>
      </c>
      <c r="Z14" s="591" t="str">
        <f t="shared" si="12"/>
        <v/>
      </c>
      <c r="AA14" s="602"/>
      <c r="BA14" s="78"/>
      <c r="BB14" s="132" t="s">
        <v>4393</v>
      </c>
      <c r="BC14" s="133"/>
      <c r="BD14" s="132" t="str">
        <f>IF(OR(B14="",BC14=""),"",COUNTIF(BC$8:BC14,"√"))</f>
        <v/>
      </c>
      <c r="BE14" s="134" t="str">
        <f t="shared" si="1"/>
        <v/>
      </c>
      <c r="BF14" s="135" t="str">
        <f t="shared" si="13"/>
        <v/>
      </c>
      <c r="BG14" s="135" t="str">
        <f t="shared" si="13"/>
        <v/>
      </c>
      <c r="BH14" s="136"/>
      <c r="BI14" s="137"/>
      <c r="BJ14" s="136"/>
      <c r="BK14" s="136"/>
      <c r="BL14" s="136"/>
      <c r="BM14" s="136"/>
      <c r="BN14" s="136"/>
      <c r="BO14" s="137"/>
      <c r="BP14" s="136"/>
      <c r="BQ14" s="137"/>
      <c r="BR14" s="593"/>
      <c r="BS14" s="594"/>
      <c r="BT14" s="595">
        <f t="shared" si="2"/>
        <v>0</v>
      </c>
      <c r="BU14" s="596"/>
      <c r="BV14" s="77"/>
      <c r="BW14" s="134" t="str">
        <f>IF(COUNTIF(BW$7:BW13,B14)&gt;0,"",B14)&amp;""</f>
        <v/>
      </c>
      <c r="BX14" s="138">
        <f t="shared" si="14"/>
        <v>0</v>
      </c>
      <c r="BY14" s="132">
        <f t="shared" si="15"/>
        <v>1</v>
      </c>
      <c r="BZ14" s="138">
        <f t="shared" si="16"/>
        <v>0</v>
      </c>
      <c r="CA14" s="132">
        <f t="shared" si="4"/>
        <v>1</v>
      </c>
      <c r="CB14" s="132">
        <v>5</v>
      </c>
      <c r="CC14" s="134" t="str">
        <f>IFERROR(INDEX(BW$8:BW$27,MATCH(CB14,IF(CB$8=0,CA$8:CA$27,BY$8:BY$27),0))&amp;"","")</f>
        <v/>
      </c>
      <c r="CD14" s="146"/>
    </row>
    <row r="15" s="541" customFormat="1" customHeight="1" spans="1:82">
      <c r="A15" s="123" t="str">
        <f>IF(B15="","",COUNT(A$6:A14)+1)</f>
        <v/>
      </c>
      <c r="B15" s="597"/>
      <c r="C15" s="597"/>
      <c r="D15" s="597"/>
      <c r="E15" s="598"/>
      <c r="F15" s="598"/>
      <c r="G15" s="603"/>
      <c r="H15" s="142"/>
      <c r="I15" s="127" t="str">
        <f>IFERROR(VLOOKUP(H15,参数表!$H$2:$I$50,2,FALSE),"")</f>
        <v/>
      </c>
      <c r="J15" s="128" t="str">
        <f>IFERROR(IF(OR(H15="人民币",H15=""),"",#REF!/I15),"")</f>
        <v/>
      </c>
      <c r="K15" s="128" t="str">
        <f t="shared" si="0"/>
        <v/>
      </c>
      <c r="L15" s="600"/>
      <c r="M15" s="600"/>
      <c r="N15" s="600"/>
      <c r="O15" s="600"/>
      <c r="P15" s="601"/>
      <c r="Q15" s="601"/>
      <c r="R15" s="601"/>
      <c r="S15" s="589" t="str">
        <f t="shared" si="5"/>
        <v/>
      </c>
      <c r="T15" s="589" t="str">
        <f t="shared" si="6"/>
        <v/>
      </c>
      <c r="U15" s="589" t="str">
        <f t="shared" si="7"/>
        <v/>
      </c>
      <c r="V15" s="589" t="str">
        <f t="shared" si="8"/>
        <v/>
      </c>
      <c r="W15" s="589" t="str">
        <f t="shared" si="9"/>
        <v/>
      </c>
      <c r="X15" s="589" t="str">
        <f t="shared" si="10"/>
        <v/>
      </c>
      <c r="Y15" s="589" t="str">
        <f t="shared" si="11"/>
        <v/>
      </c>
      <c r="Z15" s="591" t="str">
        <f t="shared" si="12"/>
        <v/>
      </c>
      <c r="AA15" s="602"/>
      <c r="BA15" s="78"/>
      <c r="BB15" s="132" t="s">
        <v>4394</v>
      </c>
      <c r="BC15" s="133"/>
      <c r="BD15" s="132" t="str">
        <f>IF(OR(B15="",BC15=""),"",COUNTIF(BC$8:BC15,"√"))</f>
        <v/>
      </c>
      <c r="BE15" s="134" t="str">
        <f t="shared" si="1"/>
        <v/>
      </c>
      <c r="BF15" s="135" t="str">
        <f t="shared" si="13"/>
        <v/>
      </c>
      <c r="BG15" s="135" t="str">
        <f t="shared" si="13"/>
        <v/>
      </c>
      <c r="BH15" s="136"/>
      <c r="BI15" s="137"/>
      <c r="BJ15" s="136"/>
      <c r="BK15" s="136"/>
      <c r="BL15" s="136"/>
      <c r="BM15" s="136"/>
      <c r="BN15" s="136"/>
      <c r="BO15" s="137"/>
      <c r="BP15" s="136"/>
      <c r="BQ15" s="137"/>
      <c r="BR15" s="593"/>
      <c r="BS15" s="594"/>
      <c r="BT15" s="595">
        <f t="shared" si="2"/>
        <v>0</v>
      </c>
      <c r="BU15" s="596"/>
      <c r="BV15" s="77"/>
      <c r="BW15" s="134" t="str">
        <f>IF(COUNTIF(BW$7:BW14,B15)&gt;0,"",B15)&amp;""</f>
        <v/>
      </c>
      <c r="BX15" s="138">
        <f t="shared" si="14"/>
        <v>0</v>
      </c>
      <c r="BY15" s="132">
        <f t="shared" si="15"/>
        <v>1</v>
      </c>
      <c r="BZ15" s="138">
        <f t="shared" si="16"/>
        <v>0</v>
      </c>
      <c r="CA15" s="132">
        <f t="shared" si="4"/>
        <v>1</v>
      </c>
      <c r="CB15" s="147" t="s">
        <v>1659</v>
      </c>
      <c r="CC15" s="134" t="str">
        <f>CONCATENATE(CC10,CD10,CC11,CD11,CC12,CD12,CC13,CD13,CC14)</f>
        <v/>
      </c>
      <c r="CD15" s="134"/>
    </row>
    <row r="16" s="541" customFormat="1" customHeight="1" spans="1:82">
      <c r="A16" s="123" t="str">
        <f>IF(B16="","",COUNT(A$6:A15)+1)</f>
        <v/>
      </c>
      <c r="B16" s="597"/>
      <c r="C16" s="597"/>
      <c r="D16" s="597"/>
      <c r="E16" s="598"/>
      <c r="F16" s="598"/>
      <c r="G16" s="603"/>
      <c r="H16" s="142"/>
      <c r="I16" s="127" t="str">
        <f>IFERROR(VLOOKUP(H16,参数表!$H$2:$I$50,2,FALSE),"")</f>
        <v/>
      </c>
      <c r="J16" s="128" t="str">
        <f>IFERROR(IF(OR(H16="人民币",H16=""),"",#REF!/I16),"")</f>
        <v/>
      </c>
      <c r="K16" s="128" t="str">
        <f t="shared" si="0"/>
        <v/>
      </c>
      <c r="L16" s="600"/>
      <c r="M16" s="600"/>
      <c r="N16" s="600"/>
      <c r="O16" s="600"/>
      <c r="P16" s="601"/>
      <c r="Q16" s="601"/>
      <c r="R16" s="601"/>
      <c r="S16" s="589" t="str">
        <f t="shared" si="5"/>
        <v/>
      </c>
      <c r="T16" s="589" t="str">
        <f t="shared" si="6"/>
        <v/>
      </c>
      <c r="U16" s="589" t="str">
        <f t="shared" si="7"/>
        <v/>
      </c>
      <c r="V16" s="589" t="str">
        <f t="shared" si="8"/>
        <v/>
      </c>
      <c r="W16" s="589" t="str">
        <f t="shared" si="9"/>
        <v/>
      </c>
      <c r="X16" s="589" t="str">
        <f t="shared" si="10"/>
        <v/>
      </c>
      <c r="Y16" s="589" t="str">
        <f t="shared" si="11"/>
        <v/>
      </c>
      <c r="Z16" s="591" t="str">
        <f t="shared" si="12"/>
        <v/>
      </c>
      <c r="AA16" s="602"/>
      <c r="BA16" s="78"/>
      <c r="BB16" s="132" t="s">
        <v>4395</v>
      </c>
      <c r="BC16" s="133"/>
      <c r="BD16" s="132" t="str">
        <f>IF(OR(B16="",BC16=""),"",COUNTIF(BC$8:BC16,"√"))</f>
        <v/>
      </c>
      <c r="BE16" s="134" t="str">
        <f t="shared" si="1"/>
        <v/>
      </c>
      <c r="BF16" s="135" t="str">
        <f t="shared" si="13"/>
        <v/>
      </c>
      <c r="BG16" s="135" t="str">
        <f t="shared" si="13"/>
        <v/>
      </c>
      <c r="BH16" s="136"/>
      <c r="BI16" s="137"/>
      <c r="BJ16" s="136"/>
      <c r="BK16" s="136"/>
      <c r="BL16" s="136"/>
      <c r="BM16" s="136"/>
      <c r="BN16" s="136"/>
      <c r="BO16" s="137"/>
      <c r="BP16" s="136"/>
      <c r="BQ16" s="137"/>
      <c r="BR16" s="593"/>
      <c r="BS16" s="594"/>
      <c r="BT16" s="595">
        <f t="shared" si="2"/>
        <v>0</v>
      </c>
      <c r="BU16" s="596"/>
      <c r="BV16" s="77"/>
      <c r="BW16" s="134" t="str">
        <f>IF(COUNTIF(BW$7:BW15,B16)&gt;0,"",B16)&amp;""</f>
        <v/>
      </c>
      <c r="BX16" s="138">
        <f t="shared" si="14"/>
        <v>0</v>
      </c>
      <c r="BY16" s="132">
        <f t="shared" si="15"/>
        <v>1</v>
      </c>
      <c r="BZ16" s="138">
        <f t="shared" si="16"/>
        <v>0</v>
      </c>
      <c r="CA16" s="132">
        <f t="shared" si="4"/>
        <v>1</v>
      </c>
      <c r="CB16" s="133"/>
      <c r="CC16" s="133"/>
      <c r="CD16" s="77"/>
    </row>
    <row r="17" s="541" customFormat="1" customHeight="1" spans="1:82">
      <c r="A17" s="123" t="str">
        <f>IF(B17="","",COUNT(A$6:A16)+1)</f>
        <v/>
      </c>
      <c r="B17" s="597"/>
      <c r="C17" s="597"/>
      <c r="D17" s="597"/>
      <c r="E17" s="598"/>
      <c r="F17" s="598"/>
      <c r="G17" s="603"/>
      <c r="H17" s="142"/>
      <c r="I17" s="127" t="str">
        <f>IFERROR(VLOOKUP(H17,参数表!$H$2:$I$50,2,FALSE),"")</f>
        <v/>
      </c>
      <c r="J17" s="128" t="str">
        <f>IFERROR(IF(OR(H17="人民币",H17=""),"",#REF!/I17),"")</f>
        <v/>
      </c>
      <c r="K17" s="128" t="str">
        <f t="shared" si="0"/>
        <v/>
      </c>
      <c r="L17" s="600"/>
      <c r="M17" s="600"/>
      <c r="N17" s="600"/>
      <c r="O17" s="600"/>
      <c r="P17" s="601"/>
      <c r="Q17" s="601"/>
      <c r="R17" s="601"/>
      <c r="S17" s="589" t="str">
        <f t="shared" si="5"/>
        <v/>
      </c>
      <c r="T17" s="589" t="str">
        <f t="shared" si="6"/>
        <v/>
      </c>
      <c r="U17" s="589" t="str">
        <f t="shared" si="7"/>
        <v/>
      </c>
      <c r="V17" s="589" t="str">
        <f t="shared" si="8"/>
        <v/>
      </c>
      <c r="W17" s="589" t="str">
        <f t="shared" si="9"/>
        <v/>
      </c>
      <c r="X17" s="589" t="str">
        <f t="shared" si="10"/>
        <v/>
      </c>
      <c r="Y17" s="589" t="str">
        <f t="shared" si="11"/>
        <v/>
      </c>
      <c r="Z17" s="591" t="str">
        <f t="shared" si="12"/>
        <v/>
      </c>
      <c r="AA17" s="602"/>
      <c r="BA17" s="78"/>
      <c r="BB17" s="132" t="s">
        <v>4396</v>
      </c>
      <c r="BC17" s="133"/>
      <c r="BD17" s="132" t="str">
        <f>IF(OR(B17="",BC17=""),"",COUNTIF(BC$8:BC17,"√"))</f>
        <v/>
      </c>
      <c r="BE17" s="134" t="str">
        <f t="shared" si="1"/>
        <v/>
      </c>
      <c r="BF17" s="135" t="str">
        <f t="shared" si="13"/>
        <v/>
      </c>
      <c r="BG17" s="135" t="str">
        <f t="shared" si="13"/>
        <v/>
      </c>
      <c r="BH17" s="136"/>
      <c r="BI17" s="137"/>
      <c r="BJ17" s="136"/>
      <c r="BK17" s="136"/>
      <c r="BL17" s="136"/>
      <c r="BM17" s="136"/>
      <c r="BN17" s="136"/>
      <c r="BO17" s="137"/>
      <c r="BP17" s="136"/>
      <c r="BQ17" s="137"/>
      <c r="BR17" s="593"/>
      <c r="BS17" s="594"/>
      <c r="BT17" s="595">
        <f t="shared" si="2"/>
        <v>0</v>
      </c>
      <c r="BU17" s="596"/>
      <c r="BV17" s="77"/>
      <c r="BW17" s="134" t="str">
        <f>IF(COUNTIF(BW$7:BW16,B17)&gt;0,"",B17)&amp;""</f>
        <v/>
      </c>
      <c r="BX17" s="138">
        <f t="shared" si="14"/>
        <v>0</v>
      </c>
      <c r="BY17" s="132">
        <f t="shared" si="15"/>
        <v>1</v>
      </c>
      <c r="BZ17" s="138">
        <f t="shared" si="16"/>
        <v>0</v>
      </c>
      <c r="CA17" s="132">
        <f t="shared" si="4"/>
        <v>1</v>
      </c>
      <c r="CB17" s="133"/>
      <c r="CC17" s="148"/>
      <c r="CD17" s="77"/>
    </row>
    <row r="18" s="541" customFormat="1" customHeight="1" spans="1:82">
      <c r="A18" s="123" t="str">
        <f>IF(B18="","",COUNT(A$6:A17)+1)</f>
        <v/>
      </c>
      <c r="B18" s="597"/>
      <c r="C18" s="597"/>
      <c r="D18" s="597"/>
      <c r="E18" s="598"/>
      <c r="F18" s="598"/>
      <c r="G18" s="603"/>
      <c r="H18" s="142"/>
      <c r="I18" s="127" t="str">
        <f>IFERROR(VLOOKUP(H18,参数表!$H$2:$I$50,2,FALSE),"")</f>
        <v/>
      </c>
      <c r="J18" s="128" t="str">
        <f>IFERROR(IF(OR(H18="人民币",H18=""),"",#REF!/I18),"")</f>
        <v/>
      </c>
      <c r="K18" s="128" t="str">
        <f t="shared" si="0"/>
        <v/>
      </c>
      <c r="L18" s="600"/>
      <c r="M18" s="600"/>
      <c r="N18" s="600"/>
      <c r="O18" s="600"/>
      <c r="P18" s="601"/>
      <c r="Q18" s="601"/>
      <c r="R18" s="601"/>
      <c r="S18" s="589" t="str">
        <f t="shared" si="5"/>
        <v/>
      </c>
      <c r="T18" s="589" t="str">
        <f t="shared" si="6"/>
        <v/>
      </c>
      <c r="U18" s="589" t="str">
        <f t="shared" si="7"/>
        <v/>
      </c>
      <c r="V18" s="589" t="str">
        <f t="shared" si="8"/>
        <v/>
      </c>
      <c r="W18" s="589" t="str">
        <f t="shared" si="9"/>
        <v/>
      </c>
      <c r="X18" s="589" t="str">
        <f t="shared" si="10"/>
        <v/>
      </c>
      <c r="Y18" s="589" t="str">
        <f t="shared" si="11"/>
        <v/>
      </c>
      <c r="Z18" s="591" t="str">
        <f t="shared" si="12"/>
        <v/>
      </c>
      <c r="AA18" s="602"/>
      <c r="BA18" s="78"/>
      <c r="BB18" s="132" t="s">
        <v>4397</v>
      </c>
      <c r="BC18" s="133"/>
      <c r="BD18" s="132" t="str">
        <f>IF(OR(B18="",BC18=""),"",COUNTIF(BC$8:BC18,"√"))</f>
        <v/>
      </c>
      <c r="BE18" s="134" t="str">
        <f t="shared" si="1"/>
        <v/>
      </c>
      <c r="BF18" s="135" t="str">
        <f t="shared" si="13"/>
        <v/>
      </c>
      <c r="BG18" s="135" t="str">
        <f t="shared" si="13"/>
        <v/>
      </c>
      <c r="BH18" s="136"/>
      <c r="BI18" s="137"/>
      <c r="BJ18" s="136"/>
      <c r="BK18" s="136"/>
      <c r="BL18" s="136"/>
      <c r="BM18" s="136"/>
      <c r="BN18" s="136"/>
      <c r="BO18" s="137"/>
      <c r="BP18" s="136"/>
      <c r="BQ18" s="137"/>
      <c r="BR18" s="593"/>
      <c r="BS18" s="594"/>
      <c r="BT18" s="595">
        <f t="shared" si="2"/>
        <v>0</v>
      </c>
      <c r="BU18" s="596"/>
      <c r="BV18" s="77"/>
      <c r="BW18" s="134" t="str">
        <f>IF(COUNTIF(BW$7:BW17,B18)&gt;0,"",B18)&amp;""</f>
        <v/>
      </c>
      <c r="BX18" s="138">
        <f t="shared" si="14"/>
        <v>0</v>
      </c>
      <c r="BY18" s="132">
        <f t="shared" si="15"/>
        <v>1</v>
      </c>
      <c r="BZ18" s="138">
        <f t="shared" si="16"/>
        <v>0</v>
      </c>
      <c r="CA18" s="132">
        <f t="shared" si="4"/>
        <v>1</v>
      </c>
      <c r="CB18" s="133"/>
      <c r="CC18" s="133"/>
      <c r="CD18" s="77"/>
    </row>
    <row r="19" s="541" customFormat="1" customHeight="1" spans="1:82">
      <c r="A19" s="123" t="str">
        <f>IF(B19="","",COUNT(A$6:A18)+1)</f>
        <v/>
      </c>
      <c r="B19" s="597"/>
      <c r="C19" s="597"/>
      <c r="D19" s="597"/>
      <c r="E19" s="598"/>
      <c r="F19" s="598"/>
      <c r="G19" s="603"/>
      <c r="H19" s="142"/>
      <c r="I19" s="127" t="str">
        <f>IFERROR(VLOOKUP(H19,参数表!$H$2:$I$50,2,FALSE),"")</f>
        <v/>
      </c>
      <c r="J19" s="128" t="str">
        <f>IFERROR(IF(OR(H19="人民币",H19=""),"",#REF!/I19),"")</f>
        <v/>
      </c>
      <c r="K19" s="128" t="str">
        <f t="shared" si="0"/>
        <v/>
      </c>
      <c r="L19" s="600"/>
      <c r="M19" s="600"/>
      <c r="N19" s="600"/>
      <c r="O19" s="600"/>
      <c r="P19" s="601"/>
      <c r="Q19" s="601"/>
      <c r="R19" s="601"/>
      <c r="S19" s="589" t="str">
        <f t="shared" si="5"/>
        <v/>
      </c>
      <c r="T19" s="589" t="str">
        <f t="shared" si="6"/>
        <v/>
      </c>
      <c r="U19" s="589" t="str">
        <f t="shared" si="7"/>
        <v/>
      </c>
      <c r="V19" s="589" t="str">
        <f t="shared" si="8"/>
        <v/>
      </c>
      <c r="W19" s="589" t="str">
        <f t="shared" si="9"/>
        <v/>
      </c>
      <c r="X19" s="589" t="str">
        <f t="shared" si="10"/>
        <v/>
      </c>
      <c r="Y19" s="589" t="str">
        <f t="shared" si="11"/>
        <v/>
      </c>
      <c r="Z19" s="591" t="str">
        <f t="shared" si="12"/>
        <v/>
      </c>
      <c r="AA19" s="602"/>
      <c r="BA19" s="78"/>
      <c r="BB19" s="132" t="s">
        <v>4398</v>
      </c>
      <c r="BC19" s="133"/>
      <c r="BD19" s="132" t="str">
        <f>IF(OR(B19="",BC19=""),"",COUNTIF(BC$8:BC19,"√"))</f>
        <v/>
      </c>
      <c r="BE19" s="134" t="str">
        <f t="shared" si="1"/>
        <v/>
      </c>
      <c r="BF19" s="135" t="str">
        <f t="shared" si="13"/>
        <v/>
      </c>
      <c r="BG19" s="135" t="str">
        <f t="shared" si="13"/>
        <v/>
      </c>
      <c r="BH19" s="136"/>
      <c r="BI19" s="137"/>
      <c r="BJ19" s="136"/>
      <c r="BK19" s="136"/>
      <c r="BL19" s="136"/>
      <c r="BM19" s="136"/>
      <c r="BN19" s="136"/>
      <c r="BO19" s="137"/>
      <c r="BP19" s="136"/>
      <c r="BQ19" s="137"/>
      <c r="BR19" s="593"/>
      <c r="BS19" s="594"/>
      <c r="BT19" s="595">
        <f t="shared" si="2"/>
        <v>0</v>
      </c>
      <c r="BU19" s="596"/>
      <c r="BV19" s="77"/>
      <c r="BW19" s="134" t="str">
        <f>IF(COUNTIF(BW$7:BW18,B19)&gt;0,"",B19)&amp;""</f>
        <v/>
      </c>
      <c r="BX19" s="138">
        <f t="shared" si="14"/>
        <v>0</v>
      </c>
      <c r="BY19" s="132">
        <f t="shared" si="15"/>
        <v>1</v>
      </c>
      <c r="BZ19" s="138">
        <f t="shared" si="16"/>
        <v>0</v>
      </c>
      <c r="CA19" s="132">
        <f t="shared" si="4"/>
        <v>1</v>
      </c>
      <c r="CB19" s="133"/>
      <c r="CC19" s="133"/>
      <c r="CD19" s="77"/>
    </row>
    <row r="20" s="541" customFormat="1" customHeight="1" spans="1:82">
      <c r="A20" s="123" t="str">
        <f>IF(B20="","",COUNT(A$6:A19)+1)</f>
        <v/>
      </c>
      <c r="B20" s="597"/>
      <c r="C20" s="597"/>
      <c r="D20" s="597"/>
      <c r="E20" s="598"/>
      <c r="F20" s="598"/>
      <c r="G20" s="603"/>
      <c r="H20" s="142"/>
      <c r="I20" s="127" t="str">
        <f>IFERROR(VLOOKUP(H20,参数表!$H$2:$I$50,2,FALSE),"")</f>
        <v/>
      </c>
      <c r="J20" s="128" t="str">
        <f>IFERROR(IF(OR(H20="人民币",H20=""),"",#REF!/I20),"")</f>
        <v/>
      </c>
      <c r="K20" s="128" t="str">
        <f t="shared" si="0"/>
        <v/>
      </c>
      <c r="L20" s="600"/>
      <c r="M20" s="600"/>
      <c r="N20" s="600"/>
      <c r="O20" s="600"/>
      <c r="P20" s="601"/>
      <c r="Q20" s="601"/>
      <c r="R20" s="601"/>
      <c r="S20" s="589" t="str">
        <f t="shared" si="5"/>
        <v/>
      </c>
      <c r="T20" s="589" t="str">
        <f t="shared" si="6"/>
        <v/>
      </c>
      <c r="U20" s="589" t="str">
        <f t="shared" si="7"/>
        <v/>
      </c>
      <c r="V20" s="589" t="str">
        <f t="shared" si="8"/>
        <v/>
      </c>
      <c r="W20" s="589" t="str">
        <f t="shared" si="9"/>
        <v/>
      </c>
      <c r="X20" s="589" t="str">
        <f t="shared" si="10"/>
        <v/>
      </c>
      <c r="Y20" s="589" t="str">
        <f t="shared" si="11"/>
        <v/>
      </c>
      <c r="Z20" s="591" t="str">
        <f t="shared" si="12"/>
        <v/>
      </c>
      <c r="AA20" s="602"/>
      <c r="BA20" s="78"/>
      <c r="BB20" s="132" t="s">
        <v>4399</v>
      </c>
      <c r="BC20" s="133"/>
      <c r="BD20" s="132" t="str">
        <f>IF(OR(B20="",BC20=""),"",COUNTIF(BC$8:BC20,"√"))</f>
        <v/>
      </c>
      <c r="BE20" s="134" t="str">
        <f t="shared" si="1"/>
        <v/>
      </c>
      <c r="BF20" s="135" t="str">
        <f t="shared" si="13"/>
        <v/>
      </c>
      <c r="BG20" s="135" t="str">
        <f t="shared" si="13"/>
        <v/>
      </c>
      <c r="BH20" s="136"/>
      <c r="BI20" s="137"/>
      <c r="BJ20" s="136"/>
      <c r="BK20" s="136"/>
      <c r="BL20" s="136"/>
      <c r="BM20" s="136"/>
      <c r="BN20" s="136"/>
      <c r="BO20" s="137"/>
      <c r="BP20" s="136"/>
      <c r="BQ20" s="137"/>
      <c r="BR20" s="593"/>
      <c r="BS20" s="594"/>
      <c r="BT20" s="595">
        <f t="shared" si="2"/>
        <v>0</v>
      </c>
      <c r="BU20" s="596"/>
      <c r="BV20" s="77"/>
      <c r="BW20" s="134" t="str">
        <f>IF(COUNTIF(BW$7:BW19,B20)&gt;0,"",B20)&amp;""</f>
        <v/>
      </c>
      <c r="BX20" s="138">
        <f t="shared" si="14"/>
        <v>0</v>
      </c>
      <c r="BY20" s="132">
        <f t="shared" si="15"/>
        <v>1</v>
      </c>
      <c r="BZ20" s="138">
        <f t="shared" si="16"/>
        <v>0</v>
      </c>
      <c r="CA20" s="132">
        <f t="shared" si="4"/>
        <v>1</v>
      </c>
      <c r="CB20" s="133"/>
      <c r="CC20" s="133"/>
      <c r="CD20" s="77"/>
    </row>
    <row r="21" s="541" customFormat="1" customHeight="1" spans="1:82">
      <c r="A21" s="123" t="str">
        <f>IF(B21="","",COUNT(A$6:A20)+1)</f>
        <v/>
      </c>
      <c r="B21" s="597"/>
      <c r="C21" s="597"/>
      <c r="D21" s="597"/>
      <c r="E21" s="598"/>
      <c r="F21" s="598"/>
      <c r="G21" s="603"/>
      <c r="H21" s="142"/>
      <c r="I21" s="127" t="str">
        <f>IFERROR(VLOOKUP(H21,参数表!$H$2:$I$50,2,FALSE),"")</f>
        <v/>
      </c>
      <c r="J21" s="128" t="str">
        <f>IFERROR(IF(OR(H21="人民币",H21=""),"",#REF!/I21),"")</f>
        <v/>
      </c>
      <c r="K21" s="128" t="str">
        <f t="shared" si="0"/>
        <v/>
      </c>
      <c r="L21" s="600"/>
      <c r="M21" s="600"/>
      <c r="N21" s="600"/>
      <c r="O21" s="600"/>
      <c r="P21" s="601"/>
      <c r="Q21" s="601"/>
      <c r="R21" s="601"/>
      <c r="S21" s="589" t="str">
        <f t="shared" si="5"/>
        <v/>
      </c>
      <c r="T21" s="589" t="str">
        <f t="shared" si="6"/>
        <v/>
      </c>
      <c r="U21" s="589" t="str">
        <f t="shared" si="7"/>
        <v/>
      </c>
      <c r="V21" s="589" t="str">
        <f t="shared" si="8"/>
        <v/>
      </c>
      <c r="W21" s="589" t="str">
        <f t="shared" si="9"/>
        <v/>
      </c>
      <c r="X21" s="589" t="str">
        <f t="shared" si="10"/>
        <v/>
      </c>
      <c r="Y21" s="589" t="str">
        <f t="shared" si="11"/>
        <v/>
      </c>
      <c r="Z21" s="591" t="str">
        <f t="shared" si="12"/>
        <v/>
      </c>
      <c r="AA21" s="602"/>
      <c r="BA21" s="78"/>
      <c r="BB21" s="132" t="s">
        <v>4400</v>
      </c>
      <c r="BC21" s="133"/>
      <c r="BD21" s="132" t="str">
        <f>IF(OR(B21="",BC21=""),"",COUNTIF(BC$8:BC21,"√"))</f>
        <v/>
      </c>
      <c r="BE21" s="134" t="str">
        <f t="shared" si="1"/>
        <v/>
      </c>
      <c r="BF21" s="135" t="str">
        <f t="shared" si="13"/>
        <v/>
      </c>
      <c r="BG21" s="135" t="str">
        <f t="shared" si="13"/>
        <v/>
      </c>
      <c r="BH21" s="136"/>
      <c r="BI21" s="137"/>
      <c r="BJ21" s="136"/>
      <c r="BK21" s="136"/>
      <c r="BL21" s="136"/>
      <c r="BM21" s="136"/>
      <c r="BN21" s="136"/>
      <c r="BO21" s="137"/>
      <c r="BP21" s="136"/>
      <c r="BQ21" s="137"/>
      <c r="BR21" s="593"/>
      <c r="BS21" s="594"/>
      <c r="BT21" s="595">
        <f t="shared" si="2"/>
        <v>0</v>
      </c>
      <c r="BU21" s="596"/>
      <c r="BV21" s="77"/>
      <c r="BW21" s="134" t="str">
        <f>IF(COUNTIF(BW$7:BW20,B21)&gt;0,"",B21)&amp;""</f>
        <v/>
      </c>
      <c r="BX21" s="138">
        <f t="shared" si="14"/>
        <v>0</v>
      </c>
      <c r="BY21" s="132">
        <f t="shared" si="15"/>
        <v>1</v>
      </c>
      <c r="BZ21" s="138">
        <f t="shared" si="16"/>
        <v>0</v>
      </c>
      <c r="CA21" s="132">
        <f t="shared" si="4"/>
        <v>1</v>
      </c>
      <c r="CB21" s="133"/>
      <c r="CC21" s="133"/>
      <c r="CD21" s="77"/>
    </row>
    <row r="22" s="541" customFormat="1" customHeight="1" spans="1:82">
      <c r="A22" s="123" t="str">
        <f>IF(B22="","",COUNT(A$6:A21)+1)</f>
        <v/>
      </c>
      <c r="B22" s="597"/>
      <c r="C22" s="597"/>
      <c r="D22" s="597"/>
      <c r="E22" s="598"/>
      <c r="F22" s="598"/>
      <c r="G22" s="603"/>
      <c r="H22" s="142"/>
      <c r="I22" s="127" t="str">
        <f>IFERROR(VLOOKUP(H22,参数表!$H$2:$I$50,2,FALSE),"")</f>
        <v/>
      </c>
      <c r="J22" s="128" t="str">
        <f>IFERROR(IF(OR(H22="人民币",H22=""),"",#REF!/I22),"")</f>
        <v/>
      </c>
      <c r="K22" s="128" t="str">
        <f t="shared" si="0"/>
        <v/>
      </c>
      <c r="L22" s="600"/>
      <c r="M22" s="600"/>
      <c r="N22" s="600"/>
      <c r="O22" s="600"/>
      <c r="P22" s="601"/>
      <c r="Q22" s="601"/>
      <c r="R22" s="601"/>
      <c r="S22" s="589" t="str">
        <f t="shared" si="5"/>
        <v/>
      </c>
      <c r="T22" s="589" t="str">
        <f t="shared" si="6"/>
        <v/>
      </c>
      <c r="U22" s="589" t="str">
        <f t="shared" si="7"/>
        <v/>
      </c>
      <c r="V22" s="589" t="str">
        <f t="shared" si="8"/>
        <v/>
      </c>
      <c r="W22" s="589" t="str">
        <f t="shared" si="9"/>
        <v/>
      </c>
      <c r="X22" s="589" t="str">
        <f t="shared" si="10"/>
        <v/>
      </c>
      <c r="Y22" s="589" t="str">
        <f t="shared" si="11"/>
        <v/>
      </c>
      <c r="Z22" s="591" t="str">
        <f t="shared" si="12"/>
        <v/>
      </c>
      <c r="AA22" s="602"/>
      <c r="BA22" s="78"/>
      <c r="BB22" s="132" t="s">
        <v>4401</v>
      </c>
      <c r="BC22" s="133"/>
      <c r="BD22" s="132" t="str">
        <f>IF(OR(B22="",BC22=""),"",COUNTIF(BC$8:BC22,"√"))</f>
        <v/>
      </c>
      <c r="BE22" s="134" t="str">
        <f t="shared" si="1"/>
        <v/>
      </c>
      <c r="BF22" s="135" t="str">
        <f t="shared" si="13"/>
        <v/>
      </c>
      <c r="BG22" s="135" t="str">
        <f t="shared" si="13"/>
        <v/>
      </c>
      <c r="BH22" s="136"/>
      <c r="BI22" s="137"/>
      <c r="BJ22" s="136"/>
      <c r="BK22" s="136"/>
      <c r="BL22" s="136"/>
      <c r="BM22" s="136"/>
      <c r="BN22" s="136"/>
      <c r="BO22" s="137"/>
      <c r="BP22" s="136"/>
      <c r="BQ22" s="137"/>
      <c r="BR22" s="593"/>
      <c r="BS22" s="594"/>
      <c r="BT22" s="595">
        <f t="shared" si="2"/>
        <v>0</v>
      </c>
      <c r="BU22" s="596"/>
      <c r="BV22" s="77"/>
      <c r="BW22" s="134" t="str">
        <f>IF(COUNTIF(BW$7:BW21,B22)&gt;0,"",B22)&amp;""</f>
        <v/>
      </c>
      <c r="BX22" s="138">
        <f t="shared" si="14"/>
        <v>0</v>
      </c>
      <c r="BY22" s="132">
        <f t="shared" si="15"/>
        <v>1</v>
      </c>
      <c r="BZ22" s="138">
        <f t="shared" si="16"/>
        <v>0</v>
      </c>
      <c r="CA22" s="132">
        <f t="shared" si="4"/>
        <v>1</v>
      </c>
      <c r="CB22" s="133"/>
      <c r="CC22" s="133"/>
      <c r="CD22" s="77"/>
    </row>
    <row r="23" s="541" customFormat="1" customHeight="1" spans="1:82">
      <c r="A23" s="123" t="str">
        <f>IF(B23="","",COUNT(A$6:A22)+1)</f>
        <v/>
      </c>
      <c r="B23" s="597"/>
      <c r="C23" s="597"/>
      <c r="D23" s="597"/>
      <c r="E23" s="598"/>
      <c r="F23" s="598"/>
      <c r="G23" s="603"/>
      <c r="H23" s="142"/>
      <c r="I23" s="127" t="str">
        <f>IFERROR(VLOOKUP(H23,参数表!$H$2:$I$50,2,FALSE),"")</f>
        <v/>
      </c>
      <c r="J23" s="128" t="str">
        <f>IFERROR(IF(OR(H23="人民币",H23=""),"",#REF!/I23),"")</f>
        <v/>
      </c>
      <c r="K23" s="128" t="str">
        <f t="shared" si="0"/>
        <v/>
      </c>
      <c r="L23" s="600"/>
      <c r="M23" s="600"/>
      <c r="N23" s="600"/>
      <c r="O23" s="600"/>
      <c r="P23" s="601"/>
      <c r="Q23" s="601"/>
      <c r="R23" s="601"/>
      <c r="S23" s="589" t="str">
        <f t="shared" si="5"/>
        <v/>
      </c>
      <c r="T23" s="589" t="str">
        <f t="shared" si="6"/>
        <v/>
      </c>
      <c r="U23" s="589" t="str">
        <f t="shared" si="7"/>
        <v/>
      </c>
      <c r="V23" s="589" t="str">
        <f t="shared" si="8"/>
        <v/>
      </c>
      <c r="W23" s="589" t="str">
        <f t="shared" si="9"/>
        <v/>
      </c>
      <c r="X23" s="589" t="str">
        <f t="shared" si="10"/>
        <v/>
      </c>
      <c r="Y23" s="589" t="str">
        <f t="shared" si="11"/>
        <v/>
      </c>
      <c r="Z23" s="591" t="str">
        <f t="shared" si="12"/>
        <v/>
      </c>
      <c r="AA23" s="602"/>
      <c r="BA23" s="78"/>
      <c r="BB23" s="132" t="s">
        <v>4402</v>
      </c>
      <c r="BC23" s="133"/>
      <c r="BD23" s="132" t="str">
        <f>IF(OR(B23="",BC23=""),"",COUNTIF(BC$8:BC23,"√"))</f>
        <v/>
      </c>
      <c r="BE23" s="134" t="str">
        <f t="shared" si="1"/>
        <v/>
      </c>
      <c r="BF23" s="135" t="str">
        <f t="shared" si="13"/>
        <v/>
      </c>
      <c r="BG23" s="135" t="str">
        <f t="shared" si="13"/>
        <v/>
      </c>
      <c r="BH23" s="136"/>
      <c r="BI23" s="137"/>
      <c r="BJ23" s="136"/>
      <c r="BK23" s="136"/>
      <c r="BL23" s="136"/>
      <c r="BM23" s="136"/>
      <c r="BN23" s="136"/>
      <c r="BO23" s="137"/>
      <c r="BP23" s="136"/>
      <c r="BQ23" s="137"/>
      <c r="BR23" s="593"/>
      <c r="BS23" s="594"/>
      <c r="BT23" s="595">
        <f t="shared" si="2"/>
        <v>0</v>
      </c>
      <c r="BU23" s="596"/>
      <c r="BV23" s="77"/>
      <c r="BW23" s="134" t="str">
        <f>IF(COUNTIF(BW$7:BW22,B23)&gt;0,"",B23)&amp;""</f>
        <v/>
      </c>
      <c r="BX23" s="138">
        <f t="shared" si="14"/>
        <v>0</v>
      </c>
      <c r="BY23" s="132">
        <f t="shared" si="15"/>
        <v>1</v>
      </c>
      <c r="BZ23" s="138">
        <f t="shared" si="16"/>
        <v>0</v>
      </c>
      <c r="CA23" s="132">
        <f t="shared" si="4"/>
        <v>1</v>
      </c>
      <c r="CB23" s="133"/>
      <c r="CC23" s="133"/>
      <c r="CD23" s="77"/>
    </row>
    <row r="24" s="541" customFormat="1" customHeight="1" spans="1:82">
      <c r="A24" s="123" t="str">
        <f>IF(B24="","",COUNT(A$6:A23)+1)</f>
        <v/>
      </c>
      <c r="B24" s="597"/>
      <c r="C24" s="597"/>
      <c r="D24" s="597"/>
      <c r="E24" s="598"/>
      <c r="F24" s="598"/>
      <c r="G24" s="603"/>
      <c r="H24" s="142"/>
      <c r="I24" s="127" t="str">
        <f>IFERROR(VLOOKUP(H24,参数表!$H$2:$I$50,2,FALSE),"")</f>
        <v/>
      </c>
      <c r="J24" s="128" t="str">
        <f>IFERROR(IF(OR(H24="人民币",H24=""),"",#REF!/I24),"")</f>
        <v/>
      </c>
      <c r="K24" s="128" t="str">
        <f t="shared" si="0"/>
        <v/>
      </c>
      <c r="L24" s="600"/>
      <c r="M24" s="600"/>
      <c r="N24" s="600"/>
      <c r="O24" s="600"/>
      <c r="P24" s="601"/>
      <c r="Q24" s="601"/>
      <c r="R24" s="601"/>
      <c r="S24" s="589" t="str">
        <f t="shared" si="5"/>
        <v/>
      </c>
      <c r="T24" s="589" t="str">
        <f t="shared" si="6"/>
        <v/>
      </c>
      <c r="U24" s="589" t="str">
        <f t="shared" si="7"/>
        <v/>
      </c>
      <c r="V24" s="589" t="str">
        <f t="shared" si="8"/>
        <v/>
      </c>
      <c r="W24" s="589" t="str">
        <f t="shared" si="9"/>
        <v/>
      </c>
      <c r="X24" s="589" t="str">
        <f t="shared" si="10"/>
        <v/>
      </c>
      <c r="Y24" s="589" t="str">
        <f t="shared" si="11"/>
        <v/>
      </c>
      <c r="Z24" s="591" t="str">
        <f t="shared" si="12"/>
        <v/>
      </c>
      <c r="AA24" s="602"/>
      <c r="BA24" s="78"/>
      <c r="BB24" s="132" t="s">
        <v>4403</v>
      </c>
      <c r="BC24" s="133"/>
      <c r="BD24" s="132" t="str">
        <f>IF(OR(B24="",BC24=""),"",COUNTIF(BC$8:BC24,"√"))</f>
        <v/>
      </c>
      <c r="BE24" s="134" t="str">
        <f t="shared" si="1"/>
        <v/>
      </c>
      <c r="BF24" s="135" t="str">
        <f t="shared" si="13"/>
        <v/>
      </c>
      <c r="BG24" s="135" t="str">
        <f t="shared" si="13"/>
        <v/>
      </c>
      <c r="BH24" s="136"/>
      <c r="BI24" s="137"/>
      <c r="BJ24" s="136"/>
      <c r="BK24" s="136"/>
      <c r="BL24" s="136"/>
      <c r="BM24" s="136"/>
      <c r="BN24" s="136"/>
      <c r="BO24" s="137"/>
      <c r="BP24" s="136"/>
      <c r="BQ24" s="137"/>
      <c r="BR24" s="593"/>
      <c r="BS24" s="594"/>
      <c r="BT24" s="595">
        <f t="shared" si="2"/>
        <v>0</v>
      </c>
      <c r="BU24" s="596"/>
      <c r="BV24" s="77"/>
      <c r="BW24" s="134" t="str">
        <f>IF(COUNTIF(BW$7:BW23,B24)&gt;0,"",B24)&amp;""</f>
        <v/>
      </c>
      <c r="BX24" s="138">
        <f t="shared" si="14"/>
        <v>0</v>
      </c>
      <c r="BY24" s="132">
        <f t="shared" si="15"/>
        <v>1</v>
      </c>
      <c r="BZ24" s="138">
        <f t="shared" si="16"/>
        <v>0</v>
      </c>
      <c r="CA24" s="132">
        <f t="shared" si="4"/>
        <v>1</v>
      </c>
      <c r="CB24" s="133"/>
      <c r="CC24" s="133"/>
      <c r="CD24" s="77"/>
    </row>
    <row r="25" s="541" customFormat="1" customHeight="1" spans="1:82">
      <c r="A25" s="123" t="str">
        <f>IF(B25="","",COUNT(A$6:A24)+1)</f>
        <v/>
      </c>
      <c r="B25" s="597"/>
      <c r="C25" s="597"/>
      <c r="D25" s="597"/>
      <c r="E25" s="598"/>
      <c r="F25" s="598"/>
      <c r="G25" s="603"/>
      <c r="H25" s="142"/>
      <c r="I25" s="127" t="str">
        <f>IFERROR(VLOOKUP(H25,参数表!$H$2:$I$50,2,FALSE),"")</f>
        <v/>
      </c>
      <c r="J25" s="128" t="str">
        <f>IFERROR(IF(OR(H25="人民币",H25=""),"",#REF!/I25),"")</f>
        <v/>
      </c>
      <c r="K25" s="128" t="str">
        <f t="shared" si="0"/>
        <v/>
      </c>
      <c r="L25" s="600"/>
      <c r="M25" s="600"/>
      <c r="N25" s="600"/>
      <c r="O25" s="600"/>
      <c r="P25" s="601"/>
      <c r="Q25" s="601"/>
      <c r="R25" s="601"/>
      <c r="S25" s="589" t="str">
        <f t="shared" si="5"/>
        <v/>
      </c>
      <c r="T25" s="589" t="str">
        <f t="shared" si="6"/>
        <v/>
      </c>
      <c r="U25" s="589" t="str">
        <f t="shared" si="7"/>
        <v/>
      </c>
      <c r="V25" s="589" t="str">
        <f t="shared" si="8"/>
        <v/>
      </c>
      <c r="W25" s="589" t="str">
        <f t="shared" si="9"/>
        <v/>
      </c>
      <c r="X25" s="589" t="str">
        <f t="shared" si="10"/>
        <v/>
      </c>
      <c r="Y25" s="589" t="str">
        <f t="shared" si="11"/>
        <v/>
      </c>
      <c r="Z25" s="591" t="str">
        <f t="shared" si="12"/>
        <v/>
      </c>
      <c r="AA25" s="602"/>
      <c r="BA25" s="78"/>
      <c r="BB25" s="132" t="s">
        <v>4404</v>
      </c>
      <c r="BC25" s="133"/>
      <c r="BD25" s="132" t="str">
        <f>IF(OR(B25="",BC25=""),"",COUNTIF(BC$8:BC25,"√"))</f>
        <v/>
      </c>
      <c r="BE25" s="134" t="str">
        <f t="shared" si="1"/>
        <v/>
      </c>
      <c r="BF25" s="135" t="str">
        <f t="shared" si="13"/>
        <v/>
      </c>
      <c r="BG25" s="135" t="str">
        <f t="shared" si="13"/>
        <v/>
      </c>
      <c r="BH25" s="136"/>
      <c r="BI25" s="137"/>
      <c r="BJ25" s="136"/>
      <c r="BK25" s="136"/>
      <c r="BL25" s="136"/>
      <c r="BM25" s="136"/>
      <c r="BN25" s="136"/>
      <c r="BO25" s="137"/>
      <c r="BP25" s="136"/>
      <c r="BQ25" s="137"/>
      <c r="BR25" s="593"/>
      <c r="BS25" s="594"/>
      <c r="BT25" s="595">
        <f t="shared" si="2"/>
        <v>0</v>
      </c>
      <c r="BU25" s="596"/>
      <c r="BV25" s="77"/>
      <c r="BW25" s="134" t="str">
        <f>IF(COUNTIF(BW$7:BW24,B25)&gt;0,"",B25)&amp;""</f>
        <v/>
      </c>
      <c r="BX25" s="138">
        <f t="shared" si="14"/>
        <v>0</v>
      </c>
      <c r="BY25" s="132">
        <f t="shared" si="15"/>
        <v>1</v>
      </c>
      <c r="BZ25" s="138">
        <f t="shared" si="16"/>
        <v>0</v>
      </c>
      <c r="CA25" s="132">
        <f t="shared" si="4"/>
        <v>1</v>
      </c>
      <c r="CB25" s="133"/>
      <c r="CC25" s="133"/>
      <c r="CD25" s="77"/>
    </row>
    <row r="26" s="541" customFormat="1" customHeight="1" spans="1:82">
      <c r="A26" s="123" t="str">
        <f>IF(B26="","",COUNT(A$6:A25)+1)</f>
        <v/>
      </c>
      <c r="B26" s="597"/>
      <c r="C26" s="597"/>
      <c r="D26" s="597"/>
      <c r="E26" s="598"/>
      <c r="F26" s="598"/>
      <c r="G26" s="603"/>
      <c r="H26" s="142"/>
      <c r="I26" s="127" t="str">
        <f>IFERROR(VLOOKUP(H26,参数表!$H$2:$I$50,2,FALSE),"")</f>
        <v/>
      </c>
      <c r="J26" s="128" t="str">
        <f>IFERROR(IF(OR(H26="人民币",H26=""),"",#REF!/I26),"")</f>
        <v/>
      </c>
      <c r="K26" s="128" t="str">
        <f t="shared" si="0"/>
        <v/>
      </c>
      <c r="L26" s="600"/>
      <c r="M26" s="600"/>
      <c r="N26" s="600"/>
      <c r="O26" s="600"/>
      <c r="P26" s="601"/>
      <c r="Q26" s="601"/>
      <c r="R26" s="601"/>
      <c r="S26" s="589" t="str">
        <f t="shared" si="5"/>
        <v/>
      </c>
      <c r="T26" s="589" t="str">
        <f t="shared" si="6"/>
        <v/>
      </c>
      <c r="U26" s="589" t="str">
        <f t="shared" si="7"/>
        <v/>
      </c>
      <c r="V26" s="589" t="str">
        <f t="shared" si="8"/>
        <v/>
      </c>
      <c r="W26" s="589" t="str">
        <f t="shared" si="9"/>
        <v/>
      </c>
      <c r="X26" s="589" t="str">
        <f t="shared" si="10"/>
        <v/>
      </c>
      <c r="Y26" s="589" t="str">
        <f t="shared" si="11"/>
        <v/>
      </c>
      <c r="Z26" s="591" t="str">
        <f t="shared" si="12"/>
        <v/>
      </c>
      <c r="AA26" s="602"/>
      <c r="BA26" s="78"/>
      <c r="BB26" s="132" t="s">
        <v>4405</v>
      </c>
      <c r="BC26" s="133"/>
      <c r="BD26" s="132" t="str">
        <f>IF(OR(B26="",BC26=""),"",COUNTIF(BC$8:BC26,"√"))</f>
        <v/>
      </c>
      <c r="BE26" s="134" t="str">
        <f t="shared" si="1"/>
        <v/>
      </c>
      <c r="BF26" s="135" t="str">
        <f t="shared" si="13"/>
        <v/>
      </c>
      <c r="BG26" s="135" t="str">
        <f t="shared" si="13"/>
        <v/>
      </c>
      <c r="BH26" s="136"/>
      <c r="BI26" s="137"/>
      <c r="BJ26" s="136"/>
      <c r="BK26" s="136"/>
      <c r="BL26" s="136"/>
      <c r="BM26" s="136"/>
      <c r="BN26" s="136"/>
      <c r="BO26" s="137"/>
      <c r="BP26" s="136"/>
      <c r="BQ26" s="137"/>
      <c r="BR26" s="593"/>
      <c r="BS26" s="594"/>
      <c r="BT26" s="595">
        <f t="shared" si="2"/>
        <v>0</v>
      </c>
      <c r="BU26" s="596"/>
      <c r="BV26" s="77"/>
      <c r="BW26" s="134" t="str">
        <f>IF(COUNTIF(BW$7:BW25,B26)&gt;0,"",B26)&amp;""</f>
        <v/>
      </c>
      <c r="BX26" s="138">
        <f t="shared" si="14"/>
        <v>0</v>
      </c>
      <c r="BY26" s="132">
        <f t="shared" si="15"/>
        <v>1</v>
      </c>
      <c r="BZ26" s="138">
        <f t="shared" si="16"/>
        <v>0</v>
      </c>
      <c r="CA26" s="132">
        <f t="shared" si="4"/>
        <v>1</v>
      </c>
      <c r="CB26" s="133"/>
      <c r="CC26" s="133"/>
      <c r="CD26" s="77"/>
    </row>
    <row r="27" s="542" customFormat="1" customHeight="1" spans="1:82">
      <c r="A27" s="123" t="str">
        <f>IF(B27="","",COUNT(A$6:A26)+1)</f>
        <v/>
      </c>
      <c r="B27" s="604"/>
      <c r="C27" s="604"/>
      <c r="D27" s="604"/>
      <c r="E27" s="605"/>
      <c r="F27" s="605"/>
      <c r="G27" s="606"/>
      <c r="H27" s="127"/>
      <c r="I27" s="127" t="str">
        <f>IFERROR(VLOOKUP(H27,参数表!$H$2:$I$50,2,FALSE),"")</f>
        <v/>
      </c>
      <c r="J27" s="128" t="str">
        <f>IFERROR(IF(OR(H27="人民币",H27=""),"",#REF!/I27),"")</f>
        <v/>
      </c>
      <c r="K27" s="128" t="str">
        <f t="shared" si="0"/>
        <v/>
      </c>
      <c r="L27" s="589"/>
      <c r="M27" s="589"/>
      <c r="N27" s="589"/>
      <c r="O27" s="589"/>
      <c r="P27" s="590"/>
      <c r="Q27" s="590"/>
      <c r="R27" s="590"/>
      <c r="S27" s="589" t="str">
        <f t="shared" si="5"/>
        <v/>
      </c>
      <c r="T27" s="589" t="str">
        <f t="shared" si="6"/>
        <v/>
      </c>
      <c r="U27" s="589" t="str">
        <f t="shared" si="7"/>
        <v/>
      </c>
      <c r="V27" s="589" t="str">
        <f t="shared" si="8"/>
        <v/>
      </c>
      <c r="W27" s="589" t="str">
        <f t="shared" si="9"/>
        <v/>
      </c>
      <c r="X27" s="589" t="str">
        <f t="shared" si="10"/>
        <v/>
      </c>
      <c r="Y27" s="589" t="str">
        <f t="shared" si="11"/>
        <v/>
      </c>
      <c r="Z27" s="591" t="str">
        <f t="shared" si="12"/>
        <v/>
      </c>
      <c r="AA27" s="607"/>
      <c r="BA27" s="78"/>
      <c r="BB27" s="132" t="s">
        <v>4406</v>
      </c>
      <c r="BC27" s="133"/>
      <c r="BD27" s="132" t="str">
        <f>IF(OR(B27="",BC27=""),"",COUNTIF(BC$8:BC27,"√"))</f>
        <v/>
      </c>
      <c r="BE27" s="134" t="str">
        <f t="shared" si="1"/>
        <v/>
      </c>
      <c r="BF27" s="135" t="str">
        <f t="shared" si="13"/>
        <v/>
      </c>
      <c r="BG27" s="135" t="str">
        <f t="shared" si="13"/>
        <v/>
      </c>
      <c r="BH27" s="136"/>
      <c r="BI27" s="137"/>
      <c r="BJ27" s="136"/>
      <c r="BK27" s="136"/>
      <c r="BL27" s="136"/>
      <c r="BM27" s="136"/>
      <c r="BN27" s="136"/>
      <c r="BO27" s="137"/>
      <c r="BP27" s="136"/>
      <c r="BQ27" s="137"/>
      <c r="BR27" s="593"/>
      <c r="BS27" s="594"/>
      <c r="BT27" s="595">
        <f t="shared" si="2"/>
        <v>0</v>
      </c>
      <c r="BU27" s="596"/>
      <c r="BV27" s="111"/>
      <c r="BW27" s="134" t="str">
        <f>IF(COUNTIF(BW$7:BW26,B27)&gt;0,"",B27)&amp;""</f>
        <v/>
      </c>
      <c r="BX27" s="138">
        <f t="shared" si="14"/>
        <v>0</v>
      </c>
      <c r="BY27" s="132">
        <f t="shared" si="15"/>
        <v>1</v>
      </c>
      <c r="BZ27" s="138">
        <f t="shared" si="16"/>
        <v>0</v>
      </c>
      <c r="CA27" s="132">
        <f t="shared" si="4"/>
        <v>1</v>
      </c>
      <c r="CB27" s="133"/>
      <c r="CC27" s="133"/>
      <c r="CD27" s="77"/>
    </row>
    <row r="28" s="543" customFormat="1" customHeight="1" spans="1:82">
      <c r="A28" s="608" t="s">
        <v>4483</v>
      </c>
      <c r="B28" s="609"/>
      <c r="C28" s="609"/>
      <c r="D28" s="610"/>
      <c r="E28" s="611"/>
      <c r="F28" s="611"/>
      <c r="G28" s="611"/>
      <c r="H28" s="611"/>
      <c r="I28" s="611"/>
      <c r="J28" s="612"/>
      <c r="K28" s="612"/>
      <c r="L28" s="613"/>
      <c r="M28" s="613"/>
      <c r="N28" s="613">
        <f>SUM(N8:N27)</f>
        <v>0</v>
      </c>
      <c r="O28" s="613">
        <f>SUM(O8:O27)</f>
        <v>0</v>
      </c>
      <c r="P28" s="614"/>
      <c r="Q28" s="614"/>
      <c r="R28" s="614"/>
      <c r="S28" s="613"/>
      <c r="T28" s="613"/>
      <c r="U28" s="613">
        <f>SUM(U8:U27)</f>
        <v>0</v>
      </c>
      <c r="V28" s="613">
        <f>SUM(V8:V27)</f>
        <v>0</v>
      </c>
      <c r="W28" s="613"/>
      <c r="X28" s="613"/>
      <c r="Y28" s="613">
        <f>SUM(Y8:Y27)</f>
        <v>0</v>
      </c>
      <c r="Z28" s="591" t="str">
        <f t="shared" si="12"/>
        <v/>
      </c>
      <c r="AA28" s="611"/>
      <c r="BA28" s="73"/>
      <c r="BB28" s="73"/>
      <c r="BC28" s="73"/>
      <c r="BD28" s="73"/>
      <c r="BE28" s="73"/>
      <c r="BF28" s="73"/>
      <c r="BG28" s="73"/>
      <c r="BH28" s="526"/>
      <c r="BI28" s="73"/>
      <c r="BJ28" s="72"/>
      <c r="BK28" s="72"/>
      <c r="BL28" s="72"/>
      <c r="BM28" s="72"/>
      <c r="BN28" s="72"/>
      <c r="BO28" s="73"/>
      <c r="BP28" s="72"/>
      <c r="BQ28" s="73"/>
      <c r="BR28" s="73"/>
      <c r="BS28" s="615"/>
      <c r="BT28" s="73"/>
      <c r="BU28" s="73"/>
      <c r="BV28" s="77"/>
      <c r="BW28" s="78"/>
      <c r="BX28" s="77"/>
      <c r="BY28" s="78"/>
      <c r="BZ28" s="78"/>
      <c r="CA28" s="78"/>
      <c r="CB28" s="78"/>
      <c r="CC28" s="78"/>
      <c r="CD28" s="77"/>
    </row>
    <row r="29" s="544" customFormat="1" customHeight="1" spans="1:82">
      <c r="A29" s="616" t="s">
        <v>4316</v>
      </c>
      <c r="B29" s="617"/>
      <c r="C29" s="617"/>
      <c r="D29" s="618"/>
      <c r="E29" s="619"/>
      <c r="F29" s="619"/>
      <c r="G29" s="619"/>
      <c r="H29" s="619"/>
      <c r="I29" s="619"/>
      <c r="J29" s="620"/>
      <c r="K29" s="620"/>
      <c r="L29" s="613"/>
      <c r="M29" s="613"/>
      <c r="N29" s="613">
        <f>O28</f>
        <v>0</v>
      </c>
      <c r="O29" s="613"/>
      <c r="P29" s="614"/>
      <c r="Q29" s="614"/>
      <c r="R29" s="614"/>
      <c r="S29" s="613"/>
      <c r="T29" s="613"/>
      <c r="U29" s="613">
        <f>V28</f>
        <v>0</v>
      </c>
      <c r="V29" s="613"/>
      <c r="W29" s="613"/>
      <c r="X29" s="613"/>
      <c r="Y29" s="613"/>
      <c r="Z29" s="591" t="str">
        <f t="shared" si="12"/>
        <v/>
      </c>
      <c r="AA29" s="619"/>
      <c r="BA29" s="75"/>
      <c r="BB29" s="75"/>
      <c r="BC29" s="75"/>
      <c r="BD29" s="75"/>
      <c r="BE29" s="75"/>
      <c r="BF29" s="75"/>
      <c r="BG29" s="75"/>
      <c r="BH29" s="508"/>
      <c r="BI29" s="75"/>
      <c r="BJ29" s="165"/>
      <c r="BK29" s="165"/>
      <c r="BL29" s="165"/>
      <c r="BM29" s="165"/>
      <c r="BN29" s="165"/>
      <c r="BO29" s="75"/>
      <c r="BP29" s="165"/>
      <c r="BQ29" s="75"/>
      <c r="BR29" s="75"/>
      <c r="BS29" s="549"/>
      <c r="BT29" s="75"/>
      <c r="BU29" s="75"/>
      <c r="BV29" s="77"/>
      <c r="BW29" s="78"/>
      <c r="BX29" s="77"/>
      <c r="BY29" s="78"/>
      <c r="BZ29" s="78"/>
      <c r="CA29" s="78"/>
      <c r="CB29" s="78"/>
      <c r="CC29" s="78"/>
      <c r="CD29" s="77"/>
    </row>
    <row r="30" s="543" customFormat="1" customHeight="1" spans="1:82">
      <c r="A30" s="608" t="s">
        <v>4484</v>
      </c>
      <c r="B30" s="609"/>
      <c r="C30" s="609"/>
      <c r="D30" s="610"/>
      <c r="E30" s="621"/>
      <c r="F30" s="621"/>
      <c r="G30" s="621"/>
      <c r="H30" s="621"/>
      <c r="I30" s="621"/>
      <c r="J30" s="612"/>
      <c r="K30" s="612"/>
      <c r="L30" s="613"/>
      <c r="M30" s="613"/>
      <c r="N30" s="613">
        <f>N28-N29</f>
        <v>0</v>
      </c>
      <c r="O30" s="613"/>
      <c r="P30" s="614"/>
      <c r="Q30" s="614"/>
      <c r="R30" s="614"/>
      <c r="S30" s="613"/>
      <c r="T30" s="613"/>
      <c r="U30" s="613">
        <f>U28-U29</f>
        <v>0</v>
      </c>
      <c r="V30" s="613"/>
      <c r="W30" s="613"/>
      <c r="X30" s="613"/>
      <c r="Y30" s="613">
        <f>Y28-Y29</f>
        <v>0</v>
      </c>
      <c r="Z30" s="591" t="str">
        <f t="shared" si="12"/>
        <v/>
      </c>
      <c r="AA30" s="611"/>
      <c r="BA30" s="73"/>
      <c r="BB30" s="73"/>
      <c r="BC30" s="73"/>
      <c r="BD30" s="73"/>
      <c r="BE30" s="73"/>
      <c r="BF30" s="73"/>
      <c r="BG30" s="73"/>
      <c r="BH30" s="526"/>
      <c r="BI30" s="73"/>
      <c r="BJ30" s="72"/>
      <c r="BK30" s="72"/>
      <c r="BL30" s="72"/>
      <c r="BM30" s="72"/>
      <c r="BN30" s="72"/>
      <c r="BO30" s="73"/>
      <c r="BP30" s="72"/>
      <c r="BQ30" s="73"/>
      <c r="BR30" s="73"/>
      <c r="BS30" s="615"/>
      <c r="BT30" s="73"/>
      <c r="BU30" s="73"/>
      <c r="BV30" s="77"/>
      <c r="BW30" s="78"/>
      <c r="BX30" s="77"/>
      <c r="BY30" s="78"/>
      <c r="BZ30" s="78"/>
      <c r="CA30" s="78"/>
      <c r="CB30" s="78"/>
      <c r="CC30" s="78"/>
      <c r="CD30" s="77"/>
    </row>
    <row r="31" customHeight="1" spans="1:82">
      <c r="A31" s="622" t="str">
        <f>参数表!F$6</f>
        <v>产权持有单位填表人：贾广东</v>
      </c>
      <c r="B31" s="623"/>
      <c r="C31" s="623"/>
      <c r="D31" s="623"/>
      <c r="E31" s="623"/>
      <c r="F31" s="623"/>
      <c r="G31" s="623"/>
      <c r="H31" s="623"/>
      <c r="I31" s="623"/>
      <c r="J31" s="623"/>
      <c r="K31" s="623"/>
      <c r="L31" s="624"/>
      <c r="M31" s="625"/>
      <c r="N31" s="625"/>
      <c r="O31" s="625"/>
      <c r="P31" s="626"/>
      <c r="Q31" s="626"/>
      <c r="R31" s="626"/>
      <c r="S31" s="624"/>
      <c r="T31" s="625"/>
      <c r="U31" s="625"/>
      <c r="V31" s="625"/>
      <c r="W31" s="624"/>
      <c r="X31" s="625"/>
      <c r="Y31" s="625" t="str">
        <f>在建总!E29</f>
        <v>评估人员： 栗祥宁</v>
      </c>
      <c r="Z31" s="627"/>
      <c r="AA31" s="624"/>
    </row>
    <row r="32" customHeight="1" spans="1:82">
      <c r="A32" s="624" t="str">
        <f>参数表!F$7</f>
        <v>填表日期：2025年9月20日</v>
      </c>
      <c r="B32" s="624"/>
      <c r="C32" s="624"/>
      <c r="D32" s="624"/>
      <c r="E32" s="624"/>
      <c r="F32" s="624"/>
      <c r="G32" s="624"/>
      <c r="H32" s="624"/>
      <c r="I32" s="624"/>
      <c r="J32" s="624"/>
      <c r="K32" s="624"/>
      <c r="L32" s="624"/>
      <c r="M32" s="625"/>
      <c r="N32" s="625"/>
      <c r="O32" s="625"/>
      <c r="P32" s="626"/>
      <c r="Q32" s="626"/>
      <c r="R32" s="626"/>
      <c r="S32" s="624"/>
      <c r="T32" s="625"/>
      <c r="U32" s="625"/>
      <c r="V32" s="625"/>
      <c r="W32" s="624"/>
      <c r="X32" s="625"/>
      <c r="Y32" s="625"/>
      <c r="Z32" s="627"/>
      <c r="AA32" s="624"/>
    </row>
    <row r="33" hidden="1" customHeight="1" outlineLevel="1" spans="2:68">
      <c r="B33" s="154" t="s">
        <v>1673</v>
      </c>
      <c r="N33" s="628">
        <f t="shared" ref="N33:O33" si="18">SUMIF($BA8:$BA27,$BA33,N8:N27)</f>
        <v>0</v>
      </c>
      <c r="O33" s="628">
        <f t="shared" si="18"/>
        <v>0</v>
      </c>
      <c r="U33" s="628">
        <f t="shared" ref="U33:V33" si="19">SUMIF($BA8:$BA27,$BA33,U8:U27)</f>
        <v>0</v>
      </c>
      <c r="V33" s="628">
        <f t="shared" si="19"/>
        <v>0</v>
      </c>
      <c r="Y33" s="628">
        <f>SUMIF($BA8:$BA27,$BA33,Y8:Y27)</f>
        <v>0</v>
      </c>
      <c r="BA33" s="161" t="s">
        <v>1674</v>
      </c>
      <c r="BH33" s="527" t="s">
        <v>1675</v>
      </c>
      <c r="BJ33" s="527" t="s">
        <v>1675</v>
      </c>
      <c r="BK33" s="527" t="s">
        <v>1675</v>
      </c>
      <c r="BL33" s="527" t="s">
        <v>1675</v>
      </c>
      <c r="BM33" s="527" t="s">
        <v>1675</v>
      </c>
      <c r="BN33" s="527" t="s">
        <v>1675</v>
      </c>
      <c r="BP33" s="527" t="s">
        <v>1675</v>
      </c>
    </row>
    <row r="34" hidden="1" customHeight="1" outlineLevel="1" spans="2:68">
      <c r="B34" s="154" t="s">
        <v>1676</v>
      </c>
      <c r="N34" s="628">
        <f t="shared" ref="N34:O34" si="20">N28-N33</f>
        <v>0</v>
      </c>
      <c r="O34" s="628">
        <f t="shared" si="20"/>
        <v>0</v>
      </c>
      <c r="U34" s="628">
        <f t="shared" ref="U34:V34" si="21">U28-U33</f>
        <v>0</v>
      </c>
      <c r="V34" s="628">
        <f t="shared" si="21"/>
        <v>0</v>
      </c>
      <c r="Y34" s="628">
        <f>Y28-Y33</f>
        <v>0</v>
      </c>
      <c r="BA34" s="161" t="s">
        <v>1677</v>
      </c>
      <c r="BH34" s="527" t="s">
        <v>1678</v>
      </c>
      <c r="BJ34" s="527" t="s">
        <v>1678</v>
      </c>
      <c r="BK34" s="527" t="s">
        <v>1678</v>
      </c>
      <c r="BL34" s="527" t="s">
        <v>1678</v>
      </c>
      <c r="BM34" s="527" t="s">
        <v>1678</v>
      </c>
      <c r="BN34" s="527" t="s">
        <v>1678</v>
      </c>
      <c r="BP34" s="527" t="s">
        <v>1678</v>
      </c>
    </row>
    <row r="35" customHeight="1" collapsed="1"/>
  </sheetData>
  <mergeCells count="34">
    <mergeCell ref="A2:AA2"/>
    <mergeCell ref="A3:AA3"/>
    <mergeCell ref="H6:K6"/>
    <mergeCell ref="L6:O6"/>
    <mergeCell ref="P6:R6"/>
    <mergeCell ref="S6:V6"/>
    <mergeCell ref="W6:Y6"/>
    <mergeCell ref="CB8:CD8"/>
    <mergeCell ref="CB9:CD9"/>
    <mergeCell ref="CC15:CD15"/>
    <mergeCell ref="A28:D28"/>
    <mergeCell ref="A29:D29"/>
    <mergeCell ref="A30:D30"/>
    <mergeCell ref="A6:A7"/>
    <mergeCell ref="B6:B7"/>
    <mergeCell ref="C6:C7"/>
    <mergeCell ref="D6:D7"/>
    <mergeCell ref="E6:E7"/>
    <mergeCell ref="F6:F7"/>
    <mergeCell ref="G6:G7"/>
    <mergeCell ref="Z6:Z7"/>
    <mergeCell ref="AA6:AA7"/>
    <mergeCell ref="BF6:BF7"/>
    <mergeCell ref="BG6:BG7"/>
    <mergeCell ref="BH6:BH7"/>
    <mergeCell ref="BI6:BI7"/>
    <mergeCell ref="BJ6:BJ7"/>
    <mergeCell ref="BK6:BK7"/>
    <mergeCell ref="BL6:BL7"/>
    <mergeCell ref="BM6:BM7"/>
    <mergeCell ref="BN6:BN7"/>
    <mergeCell ref="BO6:BO7"/>
    <mergeCell ref="BP6:BP7"/>
    <mergeCell ref="BQ6:BQ7"/>
  </mergeCells>
  <conditionalFormatting sqref="BI8:BI27">
    <cfRule type="expression" dxfId="5" priority="3" stopIfTrue="1">
      <formula>AND(BH8="有",BI8="")</formula>
    </cfRule>
  </conditionalFormatting>
  <conditionalFormatting sqref="BO8:BO27">
    <cfRule type="expression" dxfId="5" priority="4" stopIfTrue="1">
      <formula>AND(BN8="无",BO8="")</formula>
    </cfRule>
  </conditionalFormatting>
  <conditionalFormatting sqref="BF8:BG27">
    <cfRule type="containsText" dxfId="6" priority="1" stopIfTrue="1" operator="between" text="出错">
      <formula>NOT(ISERROR(SEARCH("出错",BF8)))</formula>
    </cfRule>
  </conditionalFormatting>
  <conditionalFormatting sqref="BH8:BN27 BP8:BP27">
    <cfRule type="expression" dxfId="5" priority="5" stopIfTrue="1">
      <formula>AND($B8&lt;&gt;"",BH8="")</formula>
    </cfRule>
  </conditionalFormatting>
  <dataValidations count="6">
    <dataValidation type="list" allowBlank="1" showInputMessage="1" showErrorMessage="1" sqref="BH7 BJ7:BN7 BP7">
      <formula1>"有,无"</formula1>
    </dataValidation>
    <dataValidation type="list" allowBlank="1" showInputMessage="1" showErrorMessage="1" sqref="H8:H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H8:BH27 BP8:BP27 BJ8:BN27">
      <formula1>BH$33:BH$34</formula1>
    </dataValidation>
    <dataValidation allowBlank="1" showInputMessage="1" showErrorMessage="1" error="请输入日期格式：如2009-06" promptTitle="注：" prompt="日期格式为：年-月" sqref="E8:F27" errorStyle="warning"/>
  </dataValidations>
  <hyperlinks>
    <hyperlink ref="A1" location="索引目录!E46" display="返回索引页"/>
    <hyperlink ref="B1" location="固定资产汇总!B14" display="返回"/>
  </hyperlinks>
  <printOptions horizontalCentered="1"/>
  <pageMargins left="0.708661417322835" right="0.708661417322835" top="0.748031496062992" bottom="0.748031496062992" header="0.31496062992126" footer="0.31496062992126"/>
  <pageSetup paperSize="9" orientation="landscape" blackAndWhite="1"/>
  <headerFooter/>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2"/>
  <dimension ref="A1:CE39"/>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5.75" customHeight="1"/>
  <cols>
    <col min="1" max="1" width="7.6" style="74" customWidth="1"/>
    <col min="2" max="2" width="9.7" style="75" customWidth="1"/>
    <col min="3" max="3" width="11.6" style="75" customWidth="1"/>
    <col min="4" max="4" width="8" style="75" customWidth="1" outlineLevel="1"/>
    <col min="5" max="6" width="4.7" style="75" customWidth="1" outlineLevel="1"/>
    <col min="7" max="7" width="4.7" style="75" customWidth="1"/>
    <col min="8" max="8" width="6.7" style="75" customWidth="1"/>
    <col min="9" max="9" width="7.7" style="75" customWidth="1"/>
    <col min="10" max="11" width="4.6" style="75" customWidth="1" outlineLevel="1"/>
    <col min="12" max="14" width="6.1" style="75" customWidth="1" outlineLevel="1"/>
    <col min="15" max="16" width="11" style="75" customWidth="1" outlineLevel="1"/>
    <col min="17" max="17" width="8.7" style="75" customWidth="1" outlineLevel="1"/>
    <col min="18" max="20" width="11" style="76" customWidth="1" outlineLevel="1"/>
    <col min="21" max="22" width="11" style="75" customWidth="1"/>
    <col min="23" max="23" width="8.7" style="75" customWidth="1"/>
    <col min="24" max="24" width="11" style="75" customWidth="1"/>
    <col min="25" max="25" width="8.2" style="75" customWidth="1"/>
    <col min="26" max="26" width="11" style="75" customWidth="1"/>
    <col min="27" max="27" width="6.5" style="75" customWidth="1"/>
    <col min="28" max="28" width="7.8" style="75" customWidth="1"/>
    <col min="29" max="52" width="9" style="75" hidden="1" customWidth="1" outlineLevel="1"/>
    <col min="53" max="53" width="14.7" style="75" customWidth="1" collapsed="1"/>
    <col min="54" max="54" width="6.7" style="75" customWidth="1"/>
    <col min="55" max="55" width="6" style="75" customWidth="1"/>
    <col min="56" max="56" width="5.2" style="75" customWidth="1"/>
    <col min="57" max="57" width="9" style="75"/>
    <col min="58" max="59" width="10.1" style="75" customWidth="1"/>
    <col min="60" max="60" width="4.7" style="508" customWidth="1"/>
    <col min="61" max="61" width="11.5" style="75" customWidth="1"/>
    <col min="62" max="66" width="4.7" style="165" customWidth="1"/>
    <col min="67" max="67" width="10.3" style="75" customWidth="1"/>
    <col min="68" max="68" width="4.7" style="165" customWidth="1"/>
    <col min="69" max="70" width="8.7" style="75" customWidth="1"/>
    <col min="71" max="74" width="9" style="75"/>
    <col min="75" max="75" width="1.6" style="77" customWidth="1"/>
    <col min="76" max="76" width="10.6" style="78" customWidth="1"/>
    <col min="77" max="77" width="10.6" style="77" customWidth="1"/>
    <col min="78" max="78" width="4.6" style="78" customWidth="1"/>
    <col min="79" max="79" width="10.6" style="78" customWidth="1"/>
    <col min="80" max="81" width="4.6" style="78" customWidth="1"/>
    <col min="82" max="82" width="10.6" style="78" customWidth="1"/>
    <col min="83" max="83" width="5" style="77" customWidth="1"/>
    <col min="84" max="16384" width="9" style="75"/>
  </cols>
  <sheetData>
    <row r="1" s="86" customFormat="1" ht="13.8" spans="1:83">
      <c r="A1" s="203" t="s">
        <v>1591</v>
      </c>
      <c r="B1" s="204" t="s">
        <v>1592</v>
      </c>
      <c r="C1" s="82"/>
      <c r="D1" s="82"/>
      <c r="E1" s="82"/>
      <c r="F1" s="82"/>
      <c r="G1" s="82"/>
      <c r="H1" s="82"/>
      <c r="I1" s="82"/>
      <c r="J1" s="82"/>
      <c r="K1" s="82"/>
      <c r="L1" s="82"/>
      <c r="M1" s="82"/>
      <c r="N1" s="82"/>
      <c r="O1" s="82"/>
      <c r="P1" s="82"/>
      <c r="Q1" s="82"/>
      <c r="R1" s="205"/>
      <c r="S1" s="205"/>
      <c r="T1" s="205"/>
      <c r="U1" s="82"/>
      <c r="V1" s="82"/>
      <c r="W1" s="82"/>
      <c r="X1" s="82"/>
      <c r="Y1" s="82"/>
      <c r="Z1" s="82"/>
      <c r="AA1" s="82"/>
      <c r="AB1" s="82"/>
      <c r="BA1" s="84" t="str">
        <f>参数表!BA1</f>
        <v>注意：补充特殊事项、作价等均从BA列开始填写</v>
      </c>
      <c r="BB1" s="85"/>
      <c r="BH1" s="509"/>
      <c r="BJ1" s="82"/>
      <c r="BK1" s="82"/>
      <c r="BL1" s="82"/>
      <c r="BM1" s="82"/>
      <c r="BN1" s="82"/>
      <c r="BP1" s="82"/>
      <c r="BW1" s="87"/>
      <c r="BX1" s="88"/>
      <c r="BY1" s="87"/>
      <c r="BZ1" s="88"/>
      <c r="CA1" s="88"/>
      <c r="CB1" s="88"/>
      <c r="CC1" s="88"/>
      <c r="CD1" s="88"/>
      <c r="CE1" s="87"/>
    </row>
    <row r="2" s="71" customFormat="1" ht="30" customHeight="1" spans="1:83">
      <c r="A2" s="89" t="s">
        <v>4485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BA2" s="90" t="str">
        <f>参数表!BA2</f>
        <v>评估基准日：</v>
      </c>
      <c r="BB2" s="91" t="str">
        <f>参数表!BB2</f>
        <v>2025年7月31日</v>
      </c>
      <c r="BH2" s="510"/>
      <c r="BJ2" s="171"/>
      <c r="BK2" s="171"/>
      <c r="BL2" s="171"/>
      <c r="BM2" s="171"/>
      <c r="BN2" s="171"/>
      <c r="BP2" s="171"/>
      <c r="BW2" s="92"/>
      <c r="BX2" s="93"/>
      <c r="BY2" s="92"/>
      <c r="BZ2" s="93"/>
      <c r="CA2" s="93"/>
      <c r="CB2" s="93"/>
      <c r="CC2" s="93"/>
      <c r="CD2" s="93"/>
      <c r="CE2" s="92"/>
    </row>
    <row r="3" ht="15" customHeight="1" spans="1:83">
      <c r="A3" s="94" t="str">
        <f>参数表!F5</f>
        <v>评估基准日：2025年7月31日</v>
      </c>
      <c r="B3" s="94"/>
      <c r="C3" s="94"/>
      <c r="D3" s="94"/>
      <c r="E3" s="94"/>
      <c r="F3" s="94"/>
      <c r="G3" s="94"/>
      <c r="H3" s="94"/>
      <c r="I3" s="95"/>
      <c r="J3" s="95"/>
      <c r="K3" s="95"/>
      <c r="L3" s="95"/>
      <c r="M3" s="95"/>
      <c r="N3" s="95"/>
      <c r="O3" s="95"/>
      <c r="P3" s="95"/>
      <c r="Q3" s="95"/>
      <c r="R3" s="95"/>
      <c r="S3" s="95"/>
      <c r="T3" s="95"/>
      <c r="U3" s="95"/>
      <c r="V3" s="95"/>
      <c r="W3" s="95"/>
      <c r="X3" s="95"/>
      <c r="Y3" s="95"/>
      <c r="Z3" s="95"/>
      <c r="AA3" s="95"/>
      <c r="AB3" s="95"/>
      <c r="BA3" s="90" t="str">
        <f>参数表!BA3</f>
        <v>是否显示评估值：</v>
      </c>
      <c r="BB3" s="90" t="str">
        <f>参数表!BB3</f>
        <v>是</v>
      </c>
      <c r="BW3" s="92"/>
      <c r="BX3" s="93"/>
      <c r="BY3" s="92"/>
      <c r="BZ3" s="93"/>
      <c r="CA3" s="93"/>
      <c r="CB3" s="93"/>
      <c r="CC3" s="93"/>
      <c r="CD3" s="93"/>
      <c r="CE3" s="92"/>
    </row>
    <row r="4" ht="15" customHeight="1" spans="1:83">
      <c r="A4" s="96"/>
      <c r="B4" s="94"/>
      <c r="C4" s="94"/>
      <c r="D4" s="94"/>
      <c r="E4" s="94"/>
      <c r="F4" s="94"/>
      <c r="G4" s="94"/>
      <c r="H4" s="94"/>
      <c r="I4" s="95"/>
      <c r="J4" s="94"/>
      <c r="K4" s="94"/>
      <c r="L4" s="94"/>
      <c r="M4" s="94"/>
      <c r="N4" s="94"/>
      <c r="O4" s="98"/>
      <c r="P4" s="95"/>
      <c r="Q4" s="95"/>
      <c r="R4" s="206"/>
      <c r="S4" s="206"/>
      <c r="T4" s="206"/>
      <c r="U4" s="95"/>
      <c r="V4" s="95"/>
      <c r="W4" s="95"/>
      <c r="X4" s="95"/>
      <c r="Y4" s="95"/>
      <c r="Z4" s="95"/>
      <c r="AA4" s="95"/>
      <c r="AB4" s="98" t="str">
        <f>"表"&amp;$BA4</f>
        <v>表4-12</v>
      </c>
      <c r="BA4" s="274" t="str">
        <f>非流动资总!A18</f>
        <v>4-12</v>
      </c>
      <c r="BB4" s="100">
        <f>MAX(COUNTA(A8:A27),COUNTA(B8:B27),COUNTA(O8:O27),COUNTA(P8:P27))</f>
        <v>20</v>
      </c>
      <c r="BC4" s="101">
        <f>ROW(A7)+1</f>
        <v>8</v>
      </c>
      <c r="BD4" s="77"/>
      <c r="BE4" s="77"/>
      <c r="BY4" s="78"/>
    </row>
    <row r="5" ht="15" customHeight="1" spans="1:83">
      <c r="A5" s="102" t="str">
        <f>参数表!F3</f>
        <v>产权持有单位:中煤第五建设有限公司</v>
      </c>
      <c r="B5" s="103"/>
      <c r="C5" s="103"/>
      <c r="D5" s="103"/>
      <c r="E5" s="103"/>
      <c r="F5" s="103"/>
      <c r="G5" s="103"/>
      <c r="H5" s="103"/>
      <c r="I5" s="103"/>
      <c r="J5" s="103"/>
      <c r="K5" s="103"/>
      <c r="L5" s="103"/>
      <c r="M5" s="103"/>
      <c r="N5" s="103"/>
      <c r="O5" s="103"/>
      <c r="P5" s="103"/>
      <c r="Q5" s="103"/>
      <c r="R5" s="104"/>
      <c r="S5" s="104"/>
      <c r="T5" s="104"/>
      <c r="U5" s="103"/>
      <c r="V5" s="103"/>
      <c r="W5" s="103"/>
      <c r="X5" s="103"/>
      <c r="Y5" s="103"/>
      <c r="Z5" s="103"/>
      <c r="AA5" s="103"/>
      <c r="AB5" s="98" t="s">
        <v>236</v>
      </c>
      <c r="BA5" s="103"/>
      <c r="BB5" s="105" t="str">
        <f ca="1">判断表!C83</f>
        <v>中煤第五建设有限公司第三工程处拟处置实物资产项目\[0000-3基础法明细表.xlsx]生物资</v>
      </c>
      <c r="BC5" s="106">
        <f>IFERROR(SUMIF(BC8:BC27,"√",U8:U27)/U28,0)</f>
        <v>0</v>
      </c>
      <c r="BD5" s="107"/>
      <c r="BE5" s="107"/>
      <c r="BF5" s="108">
        <f>分类汇总!I34</f>
        <v>0</v>
      </c>
      <c r="BG5" s="108">
        <f>分类汇总!K34</f>
        <v>0</v>
      </c>
      <c r="BH5" s="109"/>
      <c r="BI5" s="109"/>
      <c r="BJ5" s="109"/>
      <c r="BK5" s="109"/>
      <c r="BL5" s="109"/>
      <c r="BM5" s="109"/>
      <c r="BN5" s="109"/>
      <c r="BO5" s="110"/>
      <c r="BP5" s="109"/>
      <c r="BQ5" s="110"/>
      <c r="BR5" s="110"/>
      <c r="BY5" s="78"/>
    </row>
    <row r="6" s="72" customFormat="1" ht="15" customHeight="1" spans="1:83">
      <c r="A6" s="112" t="s">
        <v>305</v>
      </c>
      <c r="B6" s="113" t="s">
        <v>4486</v>
      </c>
      <c r="C6" s="118" t="s">
        <v>4487</v>
      </c>
      <c r="D6" s="528" t="s">
        <v>3686</v>
      </c>
      <c r="E6" s="193" t="s">
        <v>3688</v>
      </c>
      <c r="F6" s="529" t="s">
        <v>3689</v>
      </c>
      <c r="G6" s="118" t="s">
        <v>2176</v>
      </c>
      <c r="H6" s="118" t="s">
        <v>1637</v>
      </c>
      <c r="I6" s="118" t="s">
        <v>4040</v>
      </c>
      <c r="J6" s="511" t="s">
        <v>1964</v>
      </c>
      <c r="K6" s="512"/>
      <c r="L6" s="512"/>
      <c r="M6" s="512"/>
      <c r="N6" s="513"/>
      <c r="O6" s="514" t="s">
        <v>1549</v>
      </c>
      <c r="P6" s="189"/>
      <c r="Q6" s="190"/>
      <c r="R6" s="515" t="s">
        <v>1634</v>
      </c>
      <c r="S6" s="516"/>
      <c r="T6" s="517"/>
      <c r="U6" s="514" t="s">
        <v>1523</v>
      </c>
      <c r="V6" s="189"/>
      <c r="W6" s="190"/>
      <c r="X6" s="113" t="s">
        <v>1550</v>
      </c>
      <c r="Y6" s="113"/>
      <c r="Z6" s="113"/>
      <c r="AA6" s="118" t="s">
        <v>1551</v>
      </c>
      <c r="AB6" s="118" t="s">
        <v>308</v>
      </c>
      <c r="BA6" s="191"/>
      <c r="BB6" s="100"/>
      <c r="BC6" s="100"/>
      <c r="BD6" s="100"/>
      <c r="BE6" s="100"/>
      <c r="BF6" s="192" t="s">
        <v>1639</v>
      </c>
      <c r="BG6" s="192" t="s">
        <v>1640</v>
      </c>
      <c r="BH6" s="193" t="s">
        <v>1748</v>
      </c>
      <c r="BI6" s="193" t="s">
        <v>4217</v>
      </c>
      <c r="BJ6" s="193" t="s">
        <v>3695</v>
      </c>
      <c r="BK6" s="193" t="s">
        <v>1712</v>
      </c>
      <c r="BL6" s="193" t="s">
        <v>3696</v>
      </c>
      <c r="BM6" s="193" t="s">
        <v>4355</v>
      </c>
      <c r="BN6" s="193" t="s">
        <v>1641</v>
      </c>
      <c r="BO6" s="193" t="s">
        <v>2209</v>
      </c>
      <c r="BP6" s="193" t="s">
        <v>3697</v>
      </c>
      <c r="BQ6" s="193" t="s">
        <v>1644</v>
      </c>
      <c r="BR6" s="191"/>
      <c r="BS6" s="518" t="s">
        <v>4488</v>
      </c>
      <c r="BT6" s="530" t="str">
        <f>BB2</f>
        <v>2025年7月31日</v>
      </c>
      <c r="BU6" s="268"/>
      <c r="BV6" s="268"/>
      <c r="BW6" s="111"/>
      <c r="BX6" s="78"/>
      <c r="BY6" s="78"/>
      <c r="BZ6" s="78"/>
      <c r="CA6" s="78"/>
      <c r="CB6" s="78"/>
      <c r="CC6" s="78"/>
      <c r="CD6" s="194"/>
      <c r="CE6" s="111"/>
    </row>
    <row r="7" s="72" customFormat="1" ht="15" customHeight="1" spans="1:83">
      <c r="A7" s="195"/>
      <c r="B7" s="149"/>
      <c r="C7" s="149"/>
      <c r="D7" s="531"/>
      <c r="E7" s="198"/>
      <c r="F7" s="532"/>
      <c r="G7" s="149"/>
      <c r="H7" s="149"/>
      <c r="I7" s="113"/>
      <c r="J7" s="519" t="s">
        <v>1968</v>
      </c>
      <c r="K7" s="519" t="s">
        <v>1969</v>
      </c>
      <c r="L7" s="519" t="s">
        <v>3699</v>
      </c>
      <c r="M7" s="519" t="s">
        <v>3700</v>
      </c>
      <c r="N7" s="149" t="s">
        <v>3701</v>
      </c>
      <c r="O7" s="113" t="s">
        <v>1556</v>
      </c>
      <c r="P7" s="113" t="s">
        <v>1557</v>
      </c>
      <c r="Q7" s="113" t="s">
        <v>3702</v>
      </c>
      <c r="R7" s="117" t="s">
        <v>3703</v>
      </c>
      <c r="S7" s="117" t="s">
        <v>3704</v>
      </c>
      <c r="T7" s="117" t="s">
        <v>3705</v>
      </c>
      <c r="U7" s="113" t="s">
        <v>1556</v>
      </c>
      <c r="V7" s="113" t="s">
        <v>1557</v>
      </c>
      <c r="W7" s="113" t="s">
        <v>3702</v>
      </c>
      <c r="X7" s="113" t="s">
        <v>1556</v>
      </c>
      <c r="Y7" s="113" t="s">
        <v>2753</v>
      </c>
      <c r="Z7" s="113" t="s">
        <v>1557</v>
      </c>
      <c r="AA7" s="113"/>
      <c r="AB7" s="113"/>
      <c r="BA7" s="100" t="s">
        <v>1545</v>
      </c>
      <c r="BB7" s="100" t="s">
        <v>1635</v>
      </c>
      <c r="BC7" s="100" t="s">
        <v>1636</v>
      </c>
      <c r="BD7" s="100" t="s">
        <v>1637</v>
      </c>
      <c r="BE7" s="100" t="s">
        <v>1638</v>
      </c>
      <c r="BF7" s="197"/>
      <c r="BG7" s="197"/>
      <c r="BH7" s="198"/>
      <c r="BI7" s="198"/>
      <c r="BJ7" s="198"/>
      <c r="BK7" s="198"/>
      <c r="BL7" s="198"/>
      <c r="BM7" s="198"/>
      <c r="BN7" s="198"/>
      <c r="BO7" s="198"/>
      <c r="BP7" s="198"/>
      <c r="BQ7" s="198"/>
      <c r="BR7" s="520" t="s">
        <v>2667</v>
      </c>
      <c r="BS7" s="185" t="s">
        <v>2184</v>
      </c>
      <c r="BT7" s="185" t="s">
        <v>2761</v>
      </c>
      <c r="BU7" s="185" t="s">
        <v>2763</v>
      </c>
      <c r="BV7" s="185" t="s">
        <v>4252</v>
      </c>
      <c r="BW7" s="119"/>
      <c r="BX7" s="120" t="s">
        <v>1645</v>
      </c>
      <c r="BY7" s="121" t="s">
        <v>1646</v>
      </c>
      <c r="BZ7" s="121" t="s">
        <v>1647</v>
      </c>
      <c r="CA7" s="121" t="s">
        <v>1648</v>
      </c>
      <c r="CB7" s="121" t="s">
        <v>1647</v>
      </c>
      <c r="CC7" s="121" t="s">
        <v>1647</v>
      </c>
      <c r="CD7" s="121" t="s">
        <v>1649</v>
      </c>
      <c r="CE7" s="122" t="s">
        <v>1650</v>
      </c>
    </row>
    <row r="8" ht="15" customHeight="1" spans="1:83">
      <c r="A8" s="123" t="str">
        <f>IF(B8="","",COUNT(A$7:A7)+1)</f>
        <v/>
      </c>
      <c r="B8" s="124"/>
      <c r="C8" s="124"/>
      <c r="D8" s="124"/>
      <c r="E8" s="126"/>
      <c r="F8" s="533"/>
      <c r="G8" s="126"/>
      <c r="H8" s="126"/>
      <c r="I8" s="125"/>
      <c r="J8" s="127"/>
      <c r="K8" s="127" t="str">
        <f>IFERROR(VLOOKUP(J8,参数表!$H$2:$I$50,2,FALSE),"")</f>
        <v/>
      </c>
      <c r="L8" s="128" t="str">
        <f>IFERROR(IF(OR(J8="人民币",J8=""),"",U8/K8),"")</f>
        <v/>
      </c>
      <c r="M8" s="128" t="str">
        <f>IFERROR(IF(OR(J8="人民币",J8=""),"",V8/K8),"")</f>
        <v/>
      </c>
      <c r="N8" s="129" t="str">
        <f>IFERROR(IF(OR(J8="人民币",J8=""),"",W8/K8),"")</f>
        <v/>
      </c>
      <c r="O8" s="129"/>
      <c r="P8" s="129"/>
      <c r="Q8" s="129"/>
      <c r="R8" s="130"/>
      <c r="S8" s="130"/>
      <c r="T8" s="130"/>
      <c r="U8" s="129" t="str">
        <f>IF(B8&amp;C8="","",O8+R8)</f>
        <v/>
      </c>
      <c r="V8" s="129" t="str">
        <f>IF(B8&amp;C8="","",P8+S8)</f>
        <v/>
      </c>
      <c r="W8" s="129" t="str">
        <f>IF(B8&amp;C8="","",Q8+T8)</f>
        <v/>
      </c>
      <c r="X8" s="129" t="str">
        <f t="shared" ref="X8:X27" si="0">IF(B8&amp;C8="","",IF($BB$3="是",H8*BS8,""))</f>
        <v/>
      </c>
      <c r="Y8" s="521" t="str">
        <f t="shared" ref="Y8:Y27" si="1">IF(B8&amp;C8="","",IF($BB$3="是",IF(BR8="成本法",BV8*100,""),""))</f>
        <v/>
      </c>
      <c r="Z8" s="129" t="str">
        <f t="shared" ref="Z8:Z27" si="2">IF(X8="","",IF(BB$3="是",IF(Y8="",X8,ROUND(X8*Y8/100,0)),""))</f>
        <v/>
      </c>
      <c r="AA8" s="129" t="str">
        <f>IFERROR(Z8/(V8-W8)*100,"")</f>
        <v/>
      </c>
      <c r="AB8" s="131"/>
      <c r="BA8" s="78"/>
      <c r="BB8" s="132" t="s">
        <v>4489</v>
      </c>
      <c r="BC8" s="133"/>
      <c r="BD8" s="132" t="str">
        <f>IF(OR(B8="",BC8=""),"",COUNTIF(BC$7:BC8,"√"))</f>
        <v/>
      </c>
      <c r="BE8" s="134" t="str">
        <f t="shared" ref="BE8:BE27" si="3">IF(BC8="","",BB8&amp;"︱"&amp;B8&amp;"︱"&amp;TEXT(O8,"#,##0.00"))</f>
        <v/>
      </c>
      <c r="BF8" s="135" t="str">
        <f>IF($B8="","",IF(BF$5=0,"OK","出错"))</f>
        <v/>
      </c>
      <c r="BG8" s="135" t="str">
        <f>IF($B8="","",IF(BG$5=0,"OK","出错"))</f>
        <v/>
      </c>
      <c r="BH8" s="136"/>
      <c r="BI8" s="137"/>
      <c r="BJ8" s="136"/>
      <c r="BK8" s="136"/>
      <c r="BL8" s="136"/>
      <c r="BM8" s="136"/>
      <c r="BN8" s="136"/>
      <c r="BO8" s="137"/>
      <c r="BP8" s="136"/>
      <c r="BQ8" s="137"/>
      <c r="BR8" s="165" t="s">
        <v>2706</v>
      </c>
      <c r="BS8" s="158"/>
      <c r="BT8" s="522">
        <f t="shared" ref="BT8:BT27" si="4">(BT$6-I8)/365.25</f>
        <v>125.582477754962</v>
      </c>
      <c r="BU8" s="534"/>
      <c r="BV8" s="524">
        <f>IFERROR(ROUND((1-BT8/BU8),2),0)</f>
        <v>0</v>
      </c>
      <c r="BX8" s="134" t="str">
        <f>IF(COUNTIF(BX$7:BX7,B8)&gt;0,"",B8)&amp;""</f>
        <v/>
      </c>
      <c r="BY8" s="138">
        <f>SUMIF(B$8:B$27,BX8,U$8:U$27)</f>
        <v>0</v>
      </c>
      <c r="BZ8" s="132">
        <f t="shared" ref="BZ8" si="5">RANK(BY8,BY$8:BY$27)</f>
        <v>1</v>
      </c>
      <c r="CA8" s="138">
        <f>SUMIF(B$8:B$27,BX8,X$8:X$27)</f>
        <v>0</v>
      </c>
      <c r="CB8" s="132">
        <f>RANK(CA8,CA$8:CA$27)</f>
        <v>1</v>
      </c>
      <c r="CC8" s="138">
        <f>SUM(BY8:BY27)</f>
        <v>0</v>
      </c>
      <c r="CD8" s="138"/>
      <c r="CE8" s="138"/>
    </row>
    <row r="9" ht="15" customHeight="1" spans="1:83">
      <c r="A9" s="123" t="str">
        <f>IF(B9="","",COUNT(A$7:A8)+1)</f>
        <v/>
      </c>
      <c r="B9" s="139"/>
      <c r="C9" s="139"/>
      <c r="D9" s="535"/>
      <c r="E9" s="141"/>
      <c r="F9" s="536"/>
      <c r="G9" s="141"/>
      <c r="H9" s="141"/>
      <c r="I9" s="140"/>
      <c r="J9" s="142"/>
      <c r="K9" s="127" t="str">
        <f>IFERROR(VLOOKUP(J9,参数表!$H$2:$I$50,2,FALSE),"")</f>
        <v/>
      </c>
      <c r="L9" s="128" t="str">
        <f t="shared" ref="L9:L27" si="6">IFERROR(IF(OR(J9="人民币",J9=""),"",U9/K9),"")</f>
        <v/>
      </c>
      <c r="M9" s="128" t="str">
        <f t="shared" ref="M9:M27" si="7">IFERROR(IF(OR(J9="人民币",J9=""),"",V9/K9),"")</f>
        <v/>
      </c>
      <c r="N9" s="129" t="str">
        <f t="shared" ref="N9:N27" si="8">IFERROR(IF(OR(J9="人民币",J9=""),"",W9/K9),"")</f>
        <v/>
      </c>
      <c r="O9" s="143"/>
      <c r="P9" s="143"/>
      <c r="Q9" s="143"/>
      <c r="R9" s="144"/>
      <c r="S9" s="144"/>
      <c r="T9" s="144"/>
      <c r="U9" s="129" t="str">
        <f t="shared" ref="U9:U27" si="9">IF(B9&amp;C9="","",O9+R9)</f>
        <v/>
      </c>
      <c r="V9" s="129" t="str">
        <f t="shared" ref="V9:V27" si="10">IF(B9&amp;C9="","",P9+S9)</f>
        <v/>
      </c>
      <c r="W9" s="129" t="str">
        <f t="shared" ref="W9:W27" si="11">IF(B9&amp;C9="","",Q9+T9)</f>
        <v/>
      </c>
      <c r="X9" s="129" t="str">
        <f t="shared" si="0"/>
        <v/>
      </c>
      <c r="Y9" s="521" t="str">
        <f t="shared" si="1"/>
        <v/>
      </c>
      <c r="Z9" s="129" t="str">
        <f t="shared" si="2"/>
        <v/>
      </c>
      <c r="AA9" s="129" t="str">
        <f t="shared" ref="AA9:AA30" si="12">IFERROR(Z9/(V9-W9)*100,"")</f>
        <v/>
      </c>
      <c r="AB9" s="145"/>
      <c r="BA9" s="78"/>
      <c r="BB9" s="132" t="s">
        <v>4490</v>
      </c>
      <c r="BC9" s="133"/>
      <c r="BD9" s="132" t="str">
        <f>IF(OR(B9="",BC9=""),"",COUNTIF(BC$7:BC9,"√"))</f>
        <v/>
      </c>
      <c r="BE9" s="134" t="str">
        <f t="shared" si="3"/>
        <v/>
      </c>
      <c r="BF9" s="135" t="str">
        <f t="shared" ref="BF9:BG27" si="13">IF($B9="","",IF(BF$5=0,"OK","出错"))</f>
        <v/>
      </c>
      <c r="BG9" s="135" t="str">
        <f t="shared" si="13"/>
        <v/>
      </c>
      <c r="BH9" s="136"/>
      <c r="BI9" s="137"/>
      <c r="BJ9" s="136"/>
      <c r="BK9" s="136"/>
      <c r="BL9" s="136"/>
      <c r="BM9" s="136"/>
      <c r="BN9" s="136"/>
      <c r="BO9" s="137"/>
      <c r="BP9" s="136"/>
      <c r="BQ9" s="137"/>
      <c r="BR9" s="165" t="s">
        <v>2706</v>
      </c>
      <c r="BS9" s="158"/>
      <c r="BT9" s="522">
        <f t="shared" si="4"/>
        <v>125.582477754962</v>
      </c>
      <c r="BU9" s="534"/>
      <c r="BV9" s="524">
        <f t="shared" ref="BV9:BV27" si="14">IFERROR(ROUND((1-BT9/BU9),2),0)</f>
        <v>0</v>
      </c>
      <c r="BX9" s="134" t="str">
        <f>IF(COUNTIF(BX$7:BX8,B9)&gt;0,"",B9)&amp;""</f>
        <v/>
      </c>
      <c r="BY9" s="138">
        <f t="shared" ref="BY9:BY27" si="15">SUMIF(B$8:B$27,BX9,U$8:U$27)</f>
        <v>0</v>
      </c>
      <c r="BZ9" s="132">
        <f t="shared" ref="BZ9:BZ27" si="16">RANK(BY9,BY$8:BY$27)</f>
        <v>1</v>
      </c>
      <c r="CA9" s="138">
        <f t="shared" ref="CA9:CA27" si="17">SUMIF(B$8:B$27,BX9,X$8:X$27)</f>
        <v>0</v>
      </c>
      <c r="CB9" s="132">
        <f t="shared" ref="CB9:CB27" si="18">RANK(CA9,CA$8:CA$27)</f>
        <v>1</v>
      </c>
      <c r="CC9" s="138">
        <f>SUM(CA8:CA27)</f>
        <v>0</v>
      </c>
      <c r="CD9" s="138"/>
      <c r="CE9" s="138"/>
    </row>
    <row r="10" ht="15" customHeight="1" spans="1:83">
      <c r="A10" s="123" t="str">
        <f>IF(B10="","",COUNT(A$7:A9)+1)</f>
        <v/>
      </c>
      <c r="B10" s="139"/>
      <c r="C10" s="139"/>
      <c r="D10" s="535"/>
      <c r="E10" s="141"/>
      <c r="F10" s="536"/>
      <c r="G10" s="141"/>
      <c r="H10" s="141"/>
      <c r="I10" s="140"/>
      <c r="J10" s="142"/>
      <c r="K10" s="127" t="str">
        <f>IFERROR(VLOOKUP(J10,参数表!$H$2:$I$50,2,FALSE),"")</f>
        <v/>
      </c>
      <c r="L10" s="128" t="str">
        <f t="shared" si="6"/>
        <v/>
      </c>
      <c r="M10" s="128" t="str">
        <f t="shared" si="7"/>
        <v/>
      </c>
      <c r="N10" s="129" t="str">
        <f t="shared" si="8"/>
        <v/>
      </c>
      <c r="O10" s="143"/>
      <c r="P10" s="143"/>
      <c r="Q10" s="143"/>
      <c r="R10" s="144"/>
      <c r="S10" s="144"/>
      <c r="T10" s="144"/>
      <c r="U10" s="129" t="str">
        <f t="shared" si="9"/>
        <v/>
      </c>
      <c r="V10" s="129" t="str">
        <f t="shared" si="10"/>
        <v/>
      </c>
      <c r="W10" s="129" t="str">
        <f t="shared" si="11"/>
        <v/>
      </c>
      <c r="X10" s="129" t="str">
        <f t="shared" si="0"/>
        <v/>
      </c>
      <c r="Y10" s="521" t="str">
        <f t="shared" si="1"/>
        <v/>
      </c>
      <c r="Z10" s="129" t="str">
        <f t="shared" si="2"/>
        <v/>
      </c>
      <c r="AA10" s="129" t="str">
        <f t="shared" si="12"/>
        <v/>
      </c>
      <c r="AB10" s="145"/>
      <c r="BA10" s="78"/>
      <c r="BB10" s="132" t="s">
        <v>4491</v>
      </c>
      <c r="BC10" s="133"/>
      <c r="BD10" s="132" t="str">
        <f>IF(OR(B10="",BC10=""),"",COUNTIF(BC$7:BC10,"√"))</f>
        <v/>
      </c>
      <c r="BE10" s="134" t="str">
        <f t="shared" si="3"/>
        <v/>
      </c>
      <c r="BF10" s="135" t="str">
        <f t="shared" si="13"/>
        <v/>
      </c>
      <c r="BG10" s="135" t="str">
        <f t="shared" si="13"/>
        <v/>
      </c>
      <c r="BH10" s="136"/>
      <c r="BI10" s="137"/>
      <c r="BJ10" s="136"/>
      <c r="BK10" s="136"/>
      <c r="BL10" s="136"/>
      <c r="BM10" s="136"/>
      <c r="BN10" s="136"/>
      <c r="BO10" s="137"/>
      <c r="BP10" s="136"/>
      <c r="BQ10" s="137"/>
      <c r="BR10" s="165" t="s">
        <v>2706</v>
      </c>
      <c r="BS10" s="158"/>
      <c r="BT10" s="522">
        <f t="shared" si="4"/>
        <v>125.582477754962</v>
      </c>
      <c r="BU10" s="534"/>
      <c r="BV10" s="524">
        <f t="shared" si="14"/>
        <v>0</v>
      </c>
      <c r="BX10" s="134" t="str">
        <f>IF(COUNTIF(BX$7:BX9,B10)&gt;0,"",B10)&amp;""</f>
        <v/>
      </c>
      <c r="BY10" s="138">
        <f t="shared" si="15"/>
        <v>0</v>
      </c>
      <c r="BZ10" s="132">
        <f t="shared" si="16"/>
        <v>1</v>
      </c>
      <c r="CA10" s="138">
        <f t="shared" si="17"/>
        <v>0</v>
      </c>
      <c r="CB10" s="132">
        <f t="shared" si="18"/>
        <v>1</v>
      </c>
      <c r="CC10" s="132">
        <v>1</v>
      </c>
      <c r="CD10" s="134" t="str">
        <f>IFERROR(INDEX(BX$8:BX$27,MATCH(CC10,IF(CC$8=0,CB$8:CB$27,BZ$8:BZ$27),0))&amp;"","")</f>
        <v/>
      </c>
      <c r="CE10" s="146" t="str">
        <f>IF(CD11="","",IF(CD12="","和","、"))</f>
        <v/>
      </c>
    </row>
    <row r="11" ht="15" customHeight="1" spans="1:83">
      <c r="A11" s="123" t="str">
        <f>IF(B11="","",COUNT(A$7:A10)+1)</f>
        <v/>
      </c>
      <c r="B11" s="139"/>
      <c r="C11" s="139"/>
      <c r="D11" s="535"/>
      <c r="E11" s="141"/>
      <c r="F11" s="536"/>
      <c r="G11" s="141"/>
      <c r="H11" s="141"/>
      <c r="I11" s="140"/>
      <c r="J11" s="142"/>
      <c r="K11" s="127" t="str">
        <f>IFERROR(VLOOKUP(J11,参数表!$H$2:$I$50,2,FALSE),"")</f>
        <v/>
      </c>
      <c r="L11" s="128" t="str">
        <f t="shared" si="6"/>
        <v/>
      </c>
      <c r="M11" s="128" t="str">
        <f t="shared" si="7"/>
        <v/>
      </c>
      <c r="N11" s="129" t="str">
        <f t="shared" si="8"/>
        <v/>
      </c>
      <c r="O11" s="143"/>
      <c r="P11" s="143"/>
      <c r="Q11" s="143"/>
      <c r="R11" s="144"/>
      <c r="S11" s="144"/>
      <c r="T11" s="144"/>
      <c r="U11" s="129" t="str">
        <f t="shared" si="9"/>
        <v/>
      </c>
      <c r="V11" s="129" t="str">
        <f t="shared" si="10"/>
        <v/>
      </c>
      <c r="W11" s="129" t="str">
        <f t="shared" si="11"/>
        <v/>
      </c>
      <c r="X11" s="129" t="str">
        <f t="shared" si="0"/>
        <v/>
      </c>
      <c r="Y11" s="521" t="str">
        <f t="shared" si="1"/>
        <v/>
      </c>
      <c r="Z11" s="129" t="str">
        <f t="shared" si="2"/>
        <v/>
      </c>
      <c r="AA11" s="129" t="str">
        <f t="shared" si="12"/>
        <v/>
      </c>
      <c r="AB11" s="145"/>
      <c r="BA11" s="78"/>
      <c r="BB11" s="132" t="s">
        <v>4492</v>
      </c>
      <c r="BC11" s="133"/>
      <c r="BD11" s="132" t="str">
        <f>IF(OR(B11="",BC11=""),"",COUNTIF(BC$7:BC11,"√"))</f>
        <v/>
      </c>
      <c r="BE11" s="134" t="str">
        <f t="shared" si="3"/>
        <v/>
      </c>
      <c r="BF11" s="135" t="str">
        <f t="shared" si="13"/>
        <v/>
      </c>
      <c r="BG11" s="135" t="str">
        <f t="shared" si="13"/>
        <v/>
      </c>
      <c r="BH11" s="136"/>
      <c r="BI11" s="137"/>
      <c r="BJ11" s="136"/>
      <c r="BK11" s="136"/>
      <c r="BL11" s="136"/>
      <c r="BM11" s="136"/>
      <c r="BN11" s="136"/>
      <c r="BO11" s="137"/>
      <c r="BP11" s="136"/>
      <c r="BQ11" s="137"/>
      <c r="BR11" s="165" t="s">
        <v>2706</v>
      </c>
      <c r="BS11" s="158"/>
      <c r="BT11" s="522">
        <f t="shared" si="4"/>
        <v>125.582477754962</v>
      </c>
      <c r="BU11" s="534"/>
      <c r="BV11" s="524">
        <f t="shared" si="14"/>
        <v>0</v>
      </c>
      <c r="BX11" s="134" t="str">
        <f>IF(COUNTIF(BX$7:BX10,B11)&gt;0,"",B11)&amp;""</f>
        <v/>
      </c>
      <c r="BY11" s="138">
        <f t="shared" si="15"/>
        <v>0</v>
      </c>
      <c r="BZ11" s="132">
        <f t="shared" si="16"/>
        <v>1</v>
      </c>
      <c r="CA11" s="138">
        <f t="shared" si="17"/>
        <v>0</v>
      </c>
      <c r="CB11" s="132">
        <f t="shared" si="18"/>
        <v>1</v>
      </c>
      <c r="CC11" s="132">
        <v>2</v>
      </c>
      <c r="CD11" s="134" t="str">
        <f t="shared" ref="CD11:CD14" si="19">IFERROR(INDEX(BX$8:BX$27,MATCH(CC11,IF(CC$8=0,CB$8:CB$27,BZ$8:BZ$27),0))&amp;"","")</f>
        <v/>
      </c>
      <c r="CE11" s="146" t="str">
        <f t="shared" ref="CE11:CE12" si="20">IF(CD12="","",IF(CD13="","和","、"))</f>
        <v/>
      </c>
    </row>
    <row r="12" ht="15" customHeight="1" spans="1:83">
      <c r="A12" s="123" t="str">
        <f>IF(B12="","",COUNT(A$7:A11)+1)</f>
        <v/>
      </c>
      <c r="B12" s="139"/>
      <c r="C12" s="139"/>
      <c r="D12" s="535"/>
      <c r="E12" s="141"/>
      <c r="F12" s="536"/>
      <c r="G12" s="141"/>
      <c r="H12" s="141"/>
      <c r="I12" s="140"/>
      <c r="J12" s="142"/>
      <c r="K12" s="127" t="str">
        <f>IFERROR(VLOOKUP(J12,参数表!$H$2:$I$50,2,FALSE),"")</f>
        <v/>
      </c>
      <c r="L12" s="128" t="str">
        <f t="shared" si="6"/>
        <v/>
      </c>
      <c r="M12" s="128" t="str">
        <f t="shared" si="7"/>
        <v/>
      </c>
      <c r="N12" s="129" t="str">
        <f t="shared" si="8"/>
        <v/>
      </c>
      <c r="O12" s="143"/>
      <c r="P12" s="143"/>
      <c r="Q12" s="143"/>
      <c r="R12" s="144"/>
      <c r="S12" s="144"/>
      <c r="T12" s="144"/>
      <c r="U12" s="129" t="str">
        <f t="shared" si="9"/>
        <v/>
      </c>
      <c r="V12" s="129" t="str">
        <f t="shared" si="10"/>
        <v/>
      </c>
      <c r="W12" s="129" t="str">
        <f t="shared" si="11"/>
        <v/>
      </c>
      <c r="X12" s="129" t="str">
        <f t="shared" si="0"/>
        <v/>
      </c>
      <c r="Y12" s="521" t="str">
        <f t="shared" si="1"/>
        <v/>
      </c>
      <c r="Z12" s="129" t="str">
        <f t="shared" si="2"/>
        <v/>
      </c>
      <c r="AA12" s="129" t="str">
        <f t="shared" si="12"/>
        <v/>
      </c>
      <c r="AB12" s="145"/>
      <c r="BA12" s="78"/>
      <c r="BB12" s="132" t="s">
        <v>4493</v>
      </c>
      <c r="BC12" s="133"/>
      <c r="BD12" s="132" t="str">
        <f>IF(OR(B12="",BC12=""),"",COUNTIF(BC$7:BC12,"√"))</f>
        <v/>
      </c>
      <c r="BE12" s="134" t="str">
        <f t="shared" si="3"/>
        <v/>
      </c>
      <c r="BF12" s="135" t="str">
        <f t="shared" si="13"/>
        <v/>
      </c>
      <c r="BG12" s="135" t="str">
        <f t="shared" si="13"/>
        <v/>
      </c>
      <c r="BH12" s="136"/>
      <c r="BI12" s="137"/>
      <c r="BJ12" s="136"/>
      <c r="BK12" s="136"/>
      <c r="BL12" s="136"/>
      <c r="BM12" s="136"/>
      <c r="BN12" s="136"/>
      <c r="BO12" s="137"/>
      <c r="BP12" s="136"/>
      <c r="BQ12" s="137"/>
      <c r="BR12" s="165" t="s">
        <v>2706</v>
      </c>
      <c r="BS12" s="158"/>
      <c r="BT12" s="522">
        <f t="shared" si="4"/>
        <v>125.582477754962</v>
      </c>
      <c r="BU12" s="534"/>
      <c r="BV12" s="524">
        <f t="shared" si="14"/>
        <v>0</v>
      </c>
      <c r="BX12" s="134" t="str">
        <f>IF(COUNTIF(BX$7:BX11,B12)&gt;0,"",B12)&amp;""</f>
        <v/>
      </c>
      <c r="BY12" s="138">
        <f t="shared" si="15"/>
        <v>0</v>
      </c>
      <c r="BZ12" s="132">
        <f t="shared" si="16"/>
        <v>1</v>
      </c>
      <c r="CA12" s="138">
        <f t="shared" si="17"/>
        <v>0</v>
      </c>
      <c r="CB12" s="132">
        <f t="shared" si="18"/>
        <v>1</v>
      </c>
      <c r="CC12" s="132">
        <v>3</v>
      </c>
      <c r="CD12" s="134" t="str">
        <f t="shared" si="19"/>
        <v/>
      </c>
      <c r="CE12" s="146" t="str">
        <f t="shared" si="20"/>
        <v/>
      </c>
    </row>
    <row r="13" ht="15" customHeight="1" spans="1:83">
      <c r="A13" s="123" t="str">
        <f>IF(B13="","",COUNT(A$7:A12)+1)</f>
        <v/>
      </c>
      <c r="B13" s="139"/>
      <c r="C13" s="139"/>
      <c r="D13" s="535"/>
      <c r="E13" s="141"/>
      <c r="F13" s="536"/>
      <c r="G13" s="141"/>
      <c r="H13" s="141"/>
      <c r="I13" s="140"/>
      <c r="J13" s="142"/>
      <c r="K13" s="127" t="str">
        <f>IFERROR(VLOOKUP(J13,参数表!$H$2:$I$50,2,FALSE),"")</f>
        <v/>
      </c>
      <c r="L13" s="128" t="str">
        <f t="shared" si="6"/>
        <v/>
      </c>
      <c r="M13" s="128" t="str">
        <f t="shared" si="7"/>
        <v/>
      </c>
      <c r="N13" s="129" t="str">
        <f t="shared" si="8"/>
        <v/>
      </c>
      <c r="O13" s="143"/>
      <c r="P13" s="143"/>
      <c r="Q13" s="143"/>
      <c r="R13" s="144"/>
      <c r="S13" s="144"/>
      <c r="T13" s="144"/>
      <c r="U13" s="129" t="str">
        <f t="shared" si="9"/>
        <v/>
      </c>
      <c r="V13" s="129" t="str">
        <f t="shared" si="10"/>
        <v/>
      </c>
      <c r="W13" s="129" t="str">
        <f t="shared" si="11"/>
        <v/>
      </c>
      <c r="X13" s="129" t="str">
        <f t="shared" si="0"/>
        <v/>
      </c>
      <c r="Y13" s="521" t="str">
        <f t="shared" si="1"/>
        <v/>
      </c>
      <c r="Z13" s="129" t="str">
        <f t="shared" si="2"/>
        <v/>
      </c>
      <c r="AA13" s="129" t="str">
        <f t="shared" si="12"/>
        <v/>
      </c>
      <c r="AB13" s="145"/>
      <c r="BA13" s="78"/>
      <c r="BB13" s="132" t="s">
        <v>4494</v>
      </c>
      <c r="BC13" s="133"/>
      <c r="BD13" s="132" t="str">
        <f>IF(OR(B13="",BC13=""),"",COUNTIF(BC$7:BC13,"√"))</f>
        <v/>
      </c>
      <c r="BE13" s="134" t="str">
        <f t="shared" si="3"/>
        <v/>
      </c>
      <c r="BF13" s="135" t="str">
        <f t="shared" si="13"/>
        <v/>
      </c>
      <c r="BG13" s="135" t="str">
        <f t="shared" si="13"/>
        <v/>
      </c>
      <c r="BH13" s="136"/>
      <c r="BI13" s="137"/>
      <c r="BJ13" s="136"/>
      <c r="BK13" s="136"/>
      <c r="BL13" s="136"/>
      <c r="BM13" s="136"/>
      <c r="BN13" s="136"/>
      <c r="BO13" s="137"/>
      <c r="BP13" s="136"/>
      <c r="BQ13" s="137"/>
      <c r="BR13" s="165" t="s">
        <v>2706</v>
      </c>
      <c r="BS13" s="158"/>
      <c r="BT13" s="522">
        <f t="shared" si="4"/>
        <v>125.582477754962</v>
      </c>
      <c r="BU13" s="534"/>
      <c r="BV13" s="524">
        <f t="shared" si="14"/>
        <v>0</v>
      </c>
      <c r="BX13" s="134" t="str">
        <f>IF(COUNTIF(BX$7:BX12,B13)&gt;0,"",B13)&amp;""</f>
        <v/>
      </c>
      <c r="BY13" s="138">
        <f t="shared" si="15"/>
        <v>0</v>
      </c>
      <c r="BZ13" s="132">
        <f t="shared" si="16"/>
        <v>1</v>
      </c>
      <c r="CA13" s="138">
        <f t="shared" si="17"/>
        <v>0</v>
      </c>
      <c r="CB13" s="132">
        <f t="shared" si="18"/>
        <v>1</v>
      </c>
      <c r="CC13" s="132">
        <v>4</v>
      </c>
      <c r="CD13" s="134" t="str">
        <f t="shared" si="19"/>
        <v/>
      </c>
      <c r="CE13" s="146" t="str">
        <f>IF(CD14="","","和")</f>
        <v/>
      </c>
    </row>
    <row r="14" ht="15" customHeight="1" spans="1:83">
      <c r="A14" s="123" t="str">
        <f>IF(B14="","",COUNT(A$7:A13)+1)</f>
        <v/>
      </c>
      <c r="B14" s="139"/>
      <c r="C14" s="139"/>
      <c r="D14" s="535"/>
      <c r="E14" s="141"/>
      <c r="F14" s="536"/>
      <c r="G14" s="141"/>
      <c r="H14" s="141"/>
      <c r="I14" s="140"/>
      <c r="J14" s="142"/>
      <c r="K14" s="127" t="str">
        <f>IFERROR(VLOOKUP(J14,参数表!$H$2:$I$50,2,FALSE),"")</f>
        <v/>
      </c>
      <c r="L14" s="128" t="str">
        <f t="shared" si="6"/>
        <v/>
      </c>
      <c r="M14" s="128" t="str">
        <f t="shared" si="7"/>
        <v/>
      </c>
      <c r="N14" s="129" t="str">
        <f t="shared" si="8"/>
        <v/>
      </c>
      <c r="O14" s="143"/>
      <c r="P14" s="143"/>
      <c r="Q14" s="143"/>
      <c r="R14" s="144"/>
      <c r="S14" s="144"/>
      <c r="T14" s="144"/>
      <c r="U14" s="129" t="str">
        <f t="shared" si="9"/>
        <v/>
      </c>
      <c r="V14" s="129" t="str">
        <f t="shared" si="10"/>
        <v/>
      </c>
      <c r="W14" s="129" t="str">
        <f t="shared" si="11"/>
        <v/>
      </c>
      <c r="X14" s="129" t="str">
        <f t="shared" si="0"/>
        <v/>
      </c>
      <c r="Y14" s="521" t="str">
        <f t="shared" si="1"/>
        <v/>
      </c>
      <c r="Z14" s="129" t="str">
        <f t="shared" si="2"/>
        <v/>
      </c>
      <c r="AA14" s="129" t="str">
        <f t="shared" si="12"/>
        <v/>
      </c>
      <c r="AB14" s="145"/>
      <c r="BA14" s="78"/>
      <c r="BB14" s="132" t="s">
        <v>4495</v>
      </c>
      <c r="BC14" s="133"/>
      <c r="BD14" s="132" t="str">
        <f>IF(OR(B14="",BC14=""),"",COUNTIF(BC$7:BC14,"√"))</f>
        <v/>
      </c>
      <c r="BE14" s="134" t="str">
        <f t="shared" si="3"/>
        <v/>
      </c>
      <c r="BF14" s="135" t="str">
        <f t="shared" si="13"/>
        <v/>
      </c>
      <c r="BG14" s="135" t="str">
        <f t="shared" si="13"/>
        <v/>
      </c>
      <c r="BH14" s="136"/>
      <c r="BI14" s="137"/>
      <c r="BJ14" s="136"/>
      <c r="BK14" s="136"/>
      <c r="BL14" s="136"/>
      <c r="BM14" s="136"/>
      <c r="BN14" s="136"/>
      <c r="BO14" s="137"/>
      <c r="BP14" s="136"/>
      <c r="BQ14" s="137"/>
      <c r="BR14" s="165" t="s">
        <v>2706</v>
      </c>
      <c r="BS14" s="158"/>
      <c r="BT14" s="522">
        <f t="shared" si="4"/>
        <v>125.582477754962</v>
      </c>
      <c r="BU14" s="534"/>
      <c r="BV14" s="524">
        <f t="shared" si="14"/>
        <v>0</v>
      </c>
      <c r="BX14" s="134" t="str">
        <f>IF(COUNTIF(BX$7:BX13,B14)&gt;0,"",B14)&amp;""</f>
        <v/>
      </c>
      <c r="BY14" s="138">
        <f t="shared" si="15"/>
        <v>0</v>
      </c>
      <c r="BZ14" s="132">
        <f t="shared" si="16"/>
        <v>1</v>
      </c>
      <c r="CA14" s="138">
        <f t="shared" si="17"/>
        <v>0</v>
      </c>
      <c r="CB14" s="132">
        <f t="shared" si="18"/>
        <v>1</v>
      </c>
      <c r="CC14" s="132">
        <v>5</v>
      </c>
      <c r="CD14" s="134" t="str">
        <f t="shared" si="19"/>
        <v/>
      </c>
      <c r="CE14" s="146"/>
    </row>
    <row r="15" ht="15" customHeight="1" spans="1:83">
      <c r="A15" s="123" t="str">
        <f>IF(B15="","",COUNT(A$7:A14)+1)</f>
        <v/>
      </c>
      <c r="B15" s="139"/>
      <c r="C15" s="139"/>
      <c r="D15" s="535"/>
      <c r="E15" s="141"/>
      <c r="F15" s="536"/>
      <c r="G15" s="141"/>
      <c r="H15" s="141"/>
      <c r="I15" s="140"/>
      <c r="J15" s="142"/>
      <c r="K15" s="127" t="str">
        <f>IFERROR(VLOOKUP(J15,参数表!$H$2:$I$50,2,FALSE),"")</f>
        <v/>
      </c>
      <c r="L15" s="128" t="str">
        <f t="shared" si="6"/>
        <v/>
      </c>
      <c r="M15" s="128" t="str">
        <f t="shared" si="7"/>
        <v/>
      </c>
      <c r="N15" s="129" t="str">
        <f t="shared" si="8"/>
        <v/>
      </c>
      <c r="O15" s="143"/>
      <c r="P15" s="143"/>
      <c r="Q15" s="143"/>
      <c r="R15" s="144"/>
      <c r="S15" s="144"/>
      <c r="T15" s="144"/>
      <c r="U15" s="129" t="str">
        <f t="shared" si="9"/>
        <v/>
      </c>
      <c r="V15" s="129" t="str">
        <f t="shared" si="10"/>
        <v/>
      </c>
      <c r="W15" s="129" t="str">
        <f t="shared" si="11"/>
        <v/>
      </c>
      <c r="X15" s="129" t="str">
        <f t="shared" si="0"/>
        <v/>
      </c>
      <c r="Y15" s="521" t="str">
        <f t="shared" si="1"/>
        <v/>
      </c>
      <c r="Z15" s="129" t="str">
        <f t="shared" si="2"/>
        <v/>
      </c>
      <c r="AA15" s="129" t="str">
        <f t="shared" si="12"/>
        <v/>
      </c>
      <c r="AB15" s="145"/>
      <c r="BA15" s="78"/>
      <c r="BB15" s="132" t="s">
        <v>4496</v>
      </c>
      <c r="BC15" s="133"/>
      <c r="BD15" s="132" t="str">
        <f>IF(OR(B15="",BC15=""),"",COUNTIF(BC$7:BC15,"√"))</f>
        <v/>
      </c>
      <c r="BE15" s="134" t="str">
        <f t="shared" si="3"/>
        <v/>
      </c>
      <c r="BF15" s="135" t="str">
        <f t="shared" si="13"/>
        <v/>
      </c>
      <c r="BG15" s="135" t="str">
        <f t="shared" si="13"/>
        <v/>
      </c>
      <c r="BH15" s="136"/>
      <c r="BI15" s="137"/>
      <c r="BJ15" s="136"/>
      <c r="BK15" s="136"/>
      <c r="BL15" s="136"/>
      <c r="BM15" s="136"/>
      <c r="BN15" s="136"/>
      <c r="BO15" s="137"/>
      <c r="BP15" s="136"/>
      <c r="BQ15" s="137"/>
      <c r="BR15" s="165" t="s">
        <v>2706</v>
      </c>
      <c r="BS15" s="158"/>
      <c r="BT15" s="522">
        <f t="shared" si="4"/>
        <v>125.582477754962</v>
      </c>
      <c r="BU15" s="534"/>
      <c r="BV15" s="524">
        <f t="shared" si="14"/>
        <v>0</v>
      </c>
      <c r="BX15" s="134" t="str">
        <f>IF(COUNTIF(BX$7:BX14,B15)&gt;0,"",B15)&amp;""</f>
        <v/>
      </c>
      <c r="BY15" s="138">
        <f t="shared" si="15"/>
        <v>0</v>
      </c>
      <c r="BZ15" s="132">
        <f t="shared" si="16"/>
        <v>1</v>
      </c>
      <c r="CA15" s="138">
        <f t="shared" si="17"/>
        <v>0</v>
      </c>
      <c r="CB15" s="132">
        <f t="shared" si="18"/>
        <v>1</v>
      </c>
      <c r="CC15" s="147" t="s">
        <v>1659</v>
      </c>
      <c r="CD15" s="132" t="str">
        <f>CONCATENATE(CD10,CE10,CD11,CE11,CD12,CE12,CD13,CE13,CD14)</f>
        <v/>
      </c>
      <c r="CE15" s="132"/>
    </row>
    <row r="16" ht="15" customHeight="1" spans="1:83">
      <c r="A16" s="123" t="str">
        <f>IF(B16="","",COUNT(A$7:A15)+1)</f>
        <v/>
      </c>
      <c r="B16" s="139"/>
      <c r="C16" s="139"/>
      <c r="D16" s="535"/>
      <c r="E16" s="141"/>
      <c r="F16" s="536"/>
      <c r="G16" s="141"/>
      <c r="H16" s="141"/>
      <c r="I16" s="140"/>
      <c r="J16" s="142"/>
      <c r="K16" s="127" t="str">
        <f>IFERROR(VLOOKUP(J16,参数表!$H$2:$I$50,2,FALSE),"")</f>
        <v/>
      </c>
      <c r="L16" s="128" t="str">
        <f t="shared" si="6"/>
        <v/>
      </c>
      <c r="M16" s="128" t="str">
        <f t="shared" si="7"/>
        <v/>
      </c>
      <c r="N16" s="129" t="str">
        <f t="shared" si="8"/>
        <v/>
      </c>
      <c r="O16" s="143"/>
      <c r="P16" s="143"/>
      <c r="Q16" s="143"/>
      <c r="R16" s="144"/>
      <c r="S16" s="144"/>
      <c r="T16" s="144"/>
      <c r="U16" s="129" t="str">
        <f t="shared" si="9"/>
        <v/>
      </c>
      <c r="V16" s="129" t="str">
        <f t="shared" si="10"/>
        <v/>
      </c>
      <c r="W16" s="129" t="str">
        <f t="shared" si="11"/>
        <v/>
      </c>
      <c r="X16" s="129" t="str">
        <f t="shared" si="0"/>
        <v/>
      </c>
      <c r="Y16" s="521" t="str">
        <f t="shared" si="1"/>
        <v/>
      </c>
      <c r="Z16" s="129" t="str">
        <f t="shared" si="2"/>
        <v/>
      </c>
      <c r="AA16" s="129" t="str">
        <f t="shared" si="12"/>
        <v/>
      </c>
      <c r="AB16" s="145"/>
      <c r="BA16" s="78"/>
      <c r="BB16" s="132" t="s">
        <v>4497</v>
      </c>
      <c r="BC16" s="133"/>
      <c r="BD16" s="132" t="str">
        <f>IF(OR(B16="",BC16=""),"",COUNTIF(BC$7:BC16,"√"))</f>
        <v/>
      </c>
      <c r="BE16" s="134" t="str">
        <f t="shared" si="3"/>
        <v/>
      </c>
      <c r="BF16" s="135" t="str">
        <f t="shared" si="13"/>
        <v/>
      </c>
      <c r="BG16" s="135" t="str">
        <f t="shared" si="13"/>
        <v/>
      </c>
      <c r="BH16" s="136"/>
      <c r="BI16" s="137"/>
      <c r="BJ16" s="136"/>
      <c r="BK16" s="136"/>
      <c r="BL16" s="136"/>
      <c r="BM16" s="136"/>
      <c r="BN16" s="136"/>
      <c r="BO16" s="137"/>
      <c r="BP16" s="136"/>
      <c r="BQ16" s="137"/>
      <c r="BR16" s="165" t="s">
        <v>2706</v>
      </c>
      <c r="BS16" s="158"/>
      <c r="BT16" s="522">
        <f t="shared" si="4"/>
        <v>125.582477754962</v>
      </c>
      <c r="BU16" s="534"/>
      <c r="BV16" s="524">
        <f t="shared" si="14"/>
        <v>0</v>
      </c>
      <c r="BX16" s="134" t="str">
        <f>IF(COUNTIF(BX$7:BX15,B16)&gt;0,"",B16)&amp;""</f>
        <v/>
      </c>
      <c r="BY16" s="138">
        <f t="shared" si="15"/>
        <v>0</v>
      </c>
      <c r="BZ16" s="132">
        <f t="shared" si="16"/>
        <v>1</v>
      </c>
      <c r="CA16" s="138">
        <f t="shared" si="17"/>
        <v>0</v>
      </c>
      <c r="CB16" s="132">
        <f t="shared" si="18"/>
        <v>1</v>
      </c>
      <c r="CC16" s="133"/>
      <c r="CD16" s="133"/>
    </row>
    <row r="17" ht="15" customHeight="1" spans="1:83">
      <c r="A17" s="123" t="str">
        <f>IF(B17="","",COUNT(A$7:A16)+1)</f>
        <v/>
      </c>
      <c r="B17" s="139"/>
      <c r="C17" s="139"/>
      <c r="D17" s="535"/>
      <c r="E17" s="141"/>
      <c r="F17" s="536"/>
      <c r="G17" s="141"/>
      <c r="H17" s="141"/>
      <c r="I17" s="140"/>
      <c r="J17" s="142"/>
      <c r="K17" s="127" t="str">
        <f>IFERROR(VLOOKUP(J17,参数表!$H$2:$I$50,2,FALSE),"")</f>
        <v/>
      </c>
      <c r="L17" s="128" t="str">
        <f t="shared" si="6"/>
        <v/>
      </c>
      <c r="M17" s="128" t="str">
        <f t="shared" si="7"/>
        <v/>
      </c>
      <c r="N17" s="129" t="str">
        <f t="shared" si="8"/>
        <v/>
      </c>
      <c r="O17" s="143"/>
      <c r="P17" s="143"/>
      <c r="Q17" s="143"/>
      <c r="R17" s="144"/>
      <c r="S17" s="144"/>
      <c r="T17" s="144"/>
      <c r="U17" s="129" t="str">
        <f t="shared" si="9"/>
        <v/>
      </c>
      <c r="V17" s="129" t="str">
        <f t="shared" si="10"/>
        <v/>
      </c>
      <c r="W17" s="129" t="str">
        <f t="shared" si="11"/>
        <v/>
      </c>
      <c r="X17" s="129" t="str">
        <f t="shared" si="0"/>
        <v/>
      </c>
      <c r="Y17" s="521" t="str">
        <f t="shared" si="1"/>
        <v/>
      </c>
      <c r="Z17" s="129" t="str">
        <f t="shared" si="2"/>
        <v/>
      </c>
      <c r="AA17" s="129" t="str">
        <f t="shared" si="12"/>
        <v/>
      </c>
      <c r="AB17" s="145"/>
      <c r="BA17" s="78"/>
      <c r="BB17" s="132" t="s">
        <v>4498</v>
      </c>
      <c r="BC17" s="133"/>
      <c r="BD17" s="132" t="str">
        <f>IF(OR(B17="",BC17=""),"",COUNTIF(BC$7:BC17,"√"))</f>
        <v/>
      </c>
      <c r="BE17" s="134" t="str">
        <f t="shared" si="3"/>
        <v/>
      </c>
      <c r="BF17" s="135" t="str">
        <f t="shared" si="13"/>
        <v/>
      </c>
      <c r="BG17" s="135" t="str">
        <f t="shared" si="13"/>
        <v/>
      </c>
      <c r="BH17" s="136"/>
      <c r="BI17" s="137"/>
      <c r="BJ17" s="136"/>
      <c r="BK17" s="136"/>
      <c r="BL17" s="136"/>
      <c r="BM17" s="136"/>
      <c r="BN17" s="136"/>
      <c r="BO17" s="137"/>
      <c r="BP17" s="136"/>
      <c r="BQ17" s="137"/>
      <c r="BR17" s="165" t="s">
        <v>2706</v>
      </c>
      <c r="BS17" s="158"/>
      <c r="BT17" s="522">
        <f t="shared" si="4"/>
        <v>125.582477754962</v>
      </c>
      <c r="BU17" s="534"/>
      <c r="BV17" s="524">
        <f t="shared" si="14"/>
        <v>0</v>
      </c>
      <c r="BX17" s="134" t="str">
        <f>IF(COUNTIF(BX$7:BX16,B17)&gt;0,"",B17)&amp;""</f>
        <v/>
      </c>
      <c r="BY17" s="138">
        <f t="shared" si="15"/>
        <v>0</v>
      </c>
      <c r="BZ17" s="132">
        <f t="shared" si="16"/>
        <v>1</v>
      </c>
      <c r="CA17" s="138">
        <f t="shared" si="17"/>
        <v>0</v>
      </c>
      <c r="CB17" s="132">
        <f t="shared" si="18"/>
        <v>1</v>
      </c>
      <c r="CC17" s="133"/>
      <c r="CD17" s="148"/>
    </row>
    <row r="18" ht="15" customHeight="1" spans="1:83">
      <c r="A18" s="123" t="str">
        <f>IF(B18="","",COUNT(A$7:A17)+1)</f>
        <v/>
      </c>
      <c r="B18" s="139"/>
      <c r="C18" s="139"/>
      <c r="D18" s="535"/>
      <c r="E18" s="141"/>
      <c r="F18" s="536"/>
      <c r="G18" s="141"/>
      <c r="H18" s="141"/>
      <c r="I18" s="140"/>
      <c r="J18" s="142"/>
      <c r="K18" s="127" t="str">
        <f>IFERROR(VLOOKUP(J18,参数表!$H$2:$I$50,2,FALSE),"")</f>
        <v/>
      </c>
      <c r="L18" s="128" t="str">
        <f t="shared" si="6"/>
        <v/>
      </c>
      <c r="M18" s="128" t="str">
        <f t="shared" si="7"/>
        <v/>
      </c>
      <c r="N18" s="129" t="str">
        <f t="shared" si="8"/>
        <v/>
      </c>
      <c r="O18" s="143"/>
      <c r="P18" s="143"/>
      <c r="Q18" s="143"/>
      <c r="R18" s="144"/>
      <c r="S18" s="144"/>
      <c r="T18" s="144"/>
      <c r="U18" s="129" t="str">
        <f t="shared" si="9"/>
        <v/>
      </c>
      <c r="V18" s="129" t="str">
        <f t="shared" si="10"/>
        <v/>
      </c>
      <c r="W18" s="129" t="str">
        <f t="shared" si="11"/>
        <v/>
      </c>
      <c r="X18" s="129" t="str">
        <f t="shared" si="0"/>
        <v/>
      </c>
      <c r="Y18" s="521" t="str">
        <f t="shared" si="1"/>
        <v/>
      </c>
      <c r="Z18" s="129" t="str">
        <f t="shared" si="2"/>
        <v/>
      </c>
      <c r="AA18" s="129" t="str">
        <f t="shared" si="12"/>
        <v/>
      </c>
      <c r="AB18" s="145"/>
      <c r="BA18" s="78"/>
      <c r="BB18" s="132" t="s">
        <v>4499</v>
      </c>
      <c r="BC18" s="133"/>
      <c r="BD18" s="132" t="str">
        <f>IF(OR(B18="",BC18=""),"",COUNTIF(BC$7:BC18,"√"))</f>
        <v/>
      </c>
      <c r="BE18" s="134" t="str">
        <f t="shared" si="3"/>
        <v/>
      </c>
      <c r="BF18" s="135" t="str">
        <f t="shared" si="13"/>
        <v/>
      </c>
      <c r="BG18" s="135" t="str">
        <f t="shared" si="13"/>
        <v/>
      </c>
      <c r="BH18" s="136"/>
      <c r="BI18" s="137"/>
      <c r="BJ18" s="136"/>
      <c r="BK18" s="136"/>
      <c r="BL18" s="136"/>
      <c r="BM18" s="136"/>
      <c r="BN18" s="136"/>
      <c r="BO18" s="137"/>
      <c r="BP18" s="136"/>
      <c r="BQ18" s="137"/>
      <c r="BR18" s="165" t="s">
        <v>2706</v>
      </c>
      <c r="BS18" s="158"/>
      <c r="BT18" s="522">
        <f t="shared" si="4"/>
        <v>125.582477754962</v>
      </c>
      <c r="BU18" s="534"/>
      <c r="BV18" s="524">
        <f t="shared" si="14"/>
        <v>0</v>
      </c>
      <c r="BX18" s="134" t="str">
        <f>IF(COUNTIF(BX$7:BX17,B18)&gt;0,"",B18)&amp;""</f>
        <v/>
      </c>
      <c r="BY18" s="138">
        <f t="shared" si="15"/>
        <v>0</v>
      </c>
      <c r="BZ18" s="132">
        <f t="shared" si="16"/>
        <v>1</v>
      </c>
      <c r="CA18" s="138">
        <f t="shared" si="17"/>
        <v>0</v>
      </c>
      <c r="CB18" s="132">
        <f t="shared" si="18"/>
        <v>1</v>
      </c>
      <c r="CC18" s="133"/>
      <c r="CD18" s="133"/>
    </row>
    <row r="19" ht="15" customHeight="1" spans="1:83">
      <c r="A19" s="123" t="str">
        <f>IF(B19="","",COUNT(A$7:A18)+1)</f>
        <v/>
      </c>
      <c r="B19" s="139"/>
      <c r="C19" s="139"/>
      <c r="D19" s="535"/>
      <c r="E19" s="141"/>
      <c r="F19" s="536"/>
      <c r="G19" s="141"/>
      <c r="H19" s="141"/>
      <c r="I19" s="140"/>
      <c r="J19" s="142"/>
      <c r="K19" s="127" t="str">
        <f>IFERROR(VLOOKUP(J19,参数表!$H$2:$I$50,2,FALSE),"")</f>
        <v/>
      </c>
      <c r="L19" s="128" t="str">
        <f t="shared" si="6"/>
        <v/>
      </c>
      <c r="M19" s="128" t="str">
        <f t="shared" si="7"/>
        <v/>
      </c>
      <c r="N19" s="129" t="str">
        <f t="shared" si="8"/>
        <v/>
      </c>
      <c r="O19" s="143"/>
      <c r="P19" s="143"/>
      <c r="Q19" s="143"/>
      <c r="R19" s="144"/>
      <c r="S19" s="144"/>
      <c r="T19" s="144"/>
      <c r="U19" s="129" t="str">
        <f t="shared" si="9"/>
        <v/>
      </c>
      <c r="V19" s="129" t="str">
        <f t="shared" si="10"/>
        <v/>
      </c>
      <c r="W19" s="129" t="str">
        <f t="shared" si="11"/>
        <v/>
      </c>
      <c r="X19" s="129" t="str">
        <f t="shared" si="0"/>
        <v/>
      </c>
      <c r="Y19" s="521" t="str">
        <f t="shared" si="1"/>
        <v/>
      </c>
      <c r="Z19" s="129" t="str">
        <f t="shared" si="2"/>
        <v/>
      </c>
      <c r="AA19" s="129" t="str">
        <f t="shared" si="12"/>
        <v/>
      </c>
      <c r="AB19" s="145"/>
      <c r="BA19" s="78"/>
      <c r="BB19" s="132" t="s">
        <v>4500</v>
      </c>
      <c r="BC19" s="133"/>
      <c r="BD19" s="132" t="str">
        <f>IF(OR(B19="",BC19=""),"",COUNTIF(BC$7:BC19,"√"))</f>
        <v/>
      </c>
      <c r="BE19" s="134" t="str">
        <f t="shared" si="3"/>
        <v/>
      </c>
      <c r="BF19" s="135" t="str">
        <f t="shared" si="13"/>
        <v/>
      </c>
      <c r="BG19" s="135" t="str">
        <f t="shared" si="13"/>
        <v/>
      </c>
      <c r="BH19" s="136"/>
      <c r="BI19" s="137"/>
      <c r="BJ19" s="136"/>
      <c r="BK19" s="136"/>
      <c r="BL19" s="136"/>
      <c r="BM19" s="136"/>
      <c r="BN19" s="136"/>
      <c r="BO19" s="137"/>
      <c r="BP19" s="136"/>
      <c r="BQ19" s="137"/>
      <c r="BR19" s="165" t="s">
        <v>2706</v>
      </c>
      <c r="BS19" s="158"/>
      <c r="BT19" s="522">
        <f t="shared" si="4"/>
        <v>125.582477754962</v>
      </c>
      <c r="BU19" s="534"/>
      <c r="BV19" s="524">
        <f t="shared" si="14"/>
        <v>0</v>
      </c>
      <c r="BX19" s="134" t="str">
        <f>IF(COUNTIF(BX$7:BX18,B19)&gt;0,"",B19)&amp;""</f>
        <v/>
      </c>
      <c r="BY19" s="138">
        <f t="shared" si="15"/>
        <v>0</v>
      </c>
      <c r="BZ19" s="132">
        <f t="shared" si="16"/>
        <v>1</v>
      </c>
      <c r="CA19" s="138">
        <f t="shared" si="17"/>
        <v>0</v>
      </c>
      <c r="CB19" s="132">
        <f t="shared" si="18"/>
        <v>1</v>
      </c>
      <c r="CC19" s="133"/>
      <c r="CD19" s="133"/>
    </row>
    <row r="20" ht="15" customHeight="1" spans="1:83">
      <c r="A20" s="123" t="str">
        <f>IF(B20="","",COUNT(A$7:A19)+1)</f>
        <v/>
      </c>
      <c r="B20" s="139"/>
      <c r="C20" s="139"/>
      <c r="D20" s="535"/>
      <c r="E20" s="141"/>
      <c r="F20" s="536"/>
      <c r="G20" s="141"/>
      <c r="H20" s="141"/>
      <c r="I20" s="140"/>
      <c r="J20" s="142"/>
      <c r="K20" s="127" t="str">
        <f>IFERROR(VLOOKUP(J20,参数表!$H$2:$I$50,2,FALSE),"")</f>
        <v/>
      </c>
      <c r="L20" s="128" t="str">
        <f t="shared" si="6"/>
        <v/>
      </c>
      <c r="M20" s="128" t="str">
        <f t="shared" si="7"/>
        <v/>
      </c>
      <c r="N20" s="129" t="str">
        <f t="shared" si="8"/>
        <v/>
      </c>
      <c r="O20" s="143"/>
      <c r="P20" s="143"/>
      <c r="Q20" s="143"/>
      <c r="R20" s="144"/>
      <c r="S20" s="144"/>
      <c r="T20" s="144"/>
      <c r="U20" s="129" t="str">
        <f t="shared" si="9"/>
        <v/>
      </c>
      <c r="V20" s="129" t="str">
        <f t="shared" si="10"/>
        <v/>
      </c>
      <c r="W20" s="129" t="str">
        <f t="shared" si="11"/>
        <v/>
      </c>
      <c r="X20" s="129" t="str">
        <f t="shared" si="0"/>
        <v/>
      </c>
      <c r="Y20" s="521" t="str">
        <f t="shared" si="1"/>
        <v/>
      </c>
      <c r="Z20" s="129" t="str">
        <f t="shared" si="2"/>
        <v/>
      </c>
      <c r="AA20" s="129" t="str">
        <f t="shared" si="12"/>
        <v/>
      </c>
      <c r="AB20" s="145"/>
      <c r="BA20" s="78"/>
      <c r="BB20" s="132" t="s">
        <v>4501</v>
      </c>
      <c r="BC20" s="133"/>
      <c r="BD20" s="132" t="str">
        <f>IF(OR(B20="",BC20=""),"",COUNTIF(BC$7:BC20,"√"))</f>
        <v/>
      </c>
      <c r="BE20" s="134" t="str">
        <f t="shared" si="3"/>
        <v/>
      </c>
      <c r="BF20" s="135" t="str">
        <f t="shared" si="13"/>
        <v/>
      </c>
      <c r="BG20" s="135" t="str">
        <f t="shared" si="13"/>
        <v/>
      </c>
      <c r="BH20" s="136"/>
      <c r="BI20" s="137"/>
      <c r="BJ20" s="136"/>
      <c r="BK20" s="136"/>
      <c r="BL20" s="136"/>
      <c r="BM20" s="136"/>
      <c r="BN20" s="136"/>
      <c r="BO20" s="137"/>
      <c r="BP20" s="136"/>
      <c r="BQ20" s="137"/>
      <c r="BR20" s="165" t="s">
        <v>2706</v>
      </c>
      <c r="BS20" s="158"/>
      <c r="BT20" s="522">
        <f t="shared" si="4"/>
        <v>125.582477754962</v>
      </c>
      <c r="BU20" s="534"/>
      <c r="BV20" s="524">
        <f t="shared" si="14"/>
        <v>0</v>
      </c>
      <c r="BX20" s="134" t="str">
        <f>IF(COUNTIF(BX$7:BX19,B20)&gt;0,"",B20)&amp;""</f>
        <v/>
      </c>
      <c r="BY20" s="138">
        <f t="shared" si="15"/>
        <v>0</v>
      </c>
      <c r="BZ20" s="132">
        <f t="shared" si="16"/>
        <v>1</v>
      </c>
      <c r="CA20" s="138">
        <f t="shared" si="17"/>
        <v>0</v>
      </c>
      <c r="CB20" s="132">
        <f t="shared" si="18"/>
        <v>1</v>
      </c>
      <c r="CC20" s="133"/>
      <c r="CD20" s="133"/>
    </row>
    <row r="21" ht="15" customHeight="1" spans="1:83">
      <c r="A21" s="123" t="str">
        <f>IF(B21="","",COUNT(A$7:A20)+1)</f>
        <v/>
      </c>
      <c r="B21" s="139"/>
      <c r="C21" s="139"/>
      <c r="D21" s="535"/>
      <c r="E21" s="141"/>
      <c r="F21" s="536"/>
      <c r="G21" s="141"/>
      <c r="H21" s="141"/>
      <c r="I21" s="140"/>
      <c r="J21" s="142"/>
      <c r="K21" s="127" t="str">
        <f>IFERROR(VLOOKUP(J21,参数表!$H$2:$I$50,2,FALSE),"")</f>
        <v/>
      </c>
      <c r="L21" s="128" t="str">
        <f t="shared" si="6"/>
        <v/>
      </c>
      <c r="M21" s="128" t="str">
        <f t="shared" si="7"/>
        <v/>
      </c>
      <c r="N21" s="129" t="str">
        <f t="shared" si="8"/>
        <v/>
      </c>
      <c r="O21" s="143"/>
      <c r="P21" s="143"/>
      <c r="Q21" s="143"/>
      <c r="R21" s="144"/>
      <c r="S21" s="144"/>
      <c r="T21" s="144"/>
      <c r="U21" s="129" t="str">
        <f t="shared" si="9"/>
        <v/>
      </c>
      <c r="V21" s="129" t="str">
        <f t="shared" si="10"/>
        <v/>
      </c>
      <c r="W21" s="129" t="str">
        <f t="shared" si="11"/>
        <v/>
      </c>
      <c r="X21" s="129" t="str">
        <f t="shared" si="0"/>
        <v/>
      </c>
      <c r="Y21" s="521" t="str">
        <f t="shared" si="1"/>
        <v/>
      </c>
      <c r="Z21" s="129" t="str">
        <f t="shared" si="2"/>
        <v/>
      </c>
      <c r="AA21" s="129" t="str">
        <f t="shared" si="12"/>
        <v/>
      </c>
      <c r="AB21" s="145"/>
      <c r="BA21" s="78"/>
      <c r="BB21" s="132" t="s">
        <v>4502</v>
      </c>
      <c r="BC21" s="133"/>
      <c r="BD21" s="132" t="str">
        <f>IF(OR(B21="",BC21=""),"",COUNTIF(BC$7:BC21,"√"))</f>
        <v/>
      </c>
      <c r="BE21" s="134" t="str">
        <f t="shared" si="3"/>
        <v/>
      </c>
      <c r="BF21" s="135" t="str">
        <f t="shared" si="13"/>
        <v/>
      </c>
      <c r="BG21" s="135" t="str">
        <f t="shared" si="13"/>
        <v/>
      </c>
      <c r="BH21" s="136"/>
      <c r="BI21" s="137"/>
      <c r="BJ21" s="136"/>
      <c r="BK21" s="136"/>
      <c r="BL21" s="136"/>
      <c r="BM21" s="136"/>
      <c r="BN21" s="136"/>
      <c r="BO21" s="137"/>
      <c r="BP21" s="136"/>
      <c r="BQ21" s="137"/>
      <c r="BR21" s="165" t="s">
        <v>2706</v>
      </c>
      <c r="BS21" s="158"/>
      <c r="BT21" s="522">
        <f t="shared" si="4"/>
        <v>125.582477754962</v>
      </c>
      <c r="BU21" s="534"/>
      <c r="BV21" s="524">
        <f t="shared" si="14"/>
        <v>0</v>
      </c>
      <c r="BX21" s="134" t="str">
        <f>IF(COUNTIF(BX$7:BX20,B21)&gt;0,"",B21)&amp;""</f>
        <v/>
      </c>
      <c r="BY21" s="138">
        <f t="shared" si="15"/>
        <v>0</v>
      </c>
      <c r="BZ21" s="132">
        <f t="shared" si="16"/>
        <v>1</v>
      </c>
      <c r="CA21" s="138">
        <f t="shared" si="17"/>
        <v>0</v>
      </c>
      <c r="CB21" s="132">
        <f t="shared" si="18"/>
        <v>1</v>
      </c>
      <c r="CC21" s="133"/>
      <c r="CD21" s="133"/>
    </row>
    <row r="22" ht="15" customHeight="1" spans="1:83">
      <c r="A22" s="123" t="str">
        <f>IF(B22="","",COUNT(A$7:A21)+1)</f>
        <v/>
      </c>
      <c r="B22" s="139"/>
      <c r="C22" s="139"/>
      <c r="D22" s="535"/>
      <c r="E22" s="141"/>
      <c r="F22" s="536"/>
      <c r="G22" s="141"/>
      <c r="H22" s="141"/>
      <c r="I22" s="140"/>
      <c r="J22" s="142"/>
      <c r="K22" s="127" t="str">
        <f>IFERROR(VLOOKUP(J22,参数表!$H$2:$I$50,2,FALSE),"")</f>
        <v/>
      </c>
      <c r="L22" s="128" t="str">
        <f t="shared" si="6"/>
        <v/>
      </c>
      <c r="M22" s="128" t="str">
        <f t="shared" si="7"/>
        <v/>
      </c>
      <c r="N22" s="129" t="str">
        <f t="shared" si="8"/>
        <v/>
      </c>
      <c r="O22" s="143"/>
      <c r="P22" s="143"/>
      <c r="Q22" s="143"/>
      <c r="R22" s="144"/>
      <c r="S22" s="144"/>
      <c r="T22" s="144"/>
      <c r="U22" s="129" t="str">
        <f t="shared" si="9"/>
        <v/>
      </c>
      <c r="V22" s="129" t="str">
        <f t="shared" si="10"/>
        <v/>
      </c>
      <c r="W22" s="129" t="str">
        <f t="shared" si="11"/>
        <v/>
      </c>
      <c r="X22" s="129" t="str">
        <f t="shared" si="0"/>
        <v/>
      </c>
      <c r="Y22" s="521" t="str">
        <f t="shared" si="1"/>
        <v/>
      </c>
      <c r="Z22" s="129" t="str">
        <f t="shared" si="2"/>
        <v/>
      </c>
      <c r="AA22" s="129" t="str">
        <f t="shared" si="12"/>
        <v/>
      </c>
      <c r="AB22" s="145"/>
      <c r="BA22" s="78"/>
      <c r="BB22" s="132" t="s">
        <v>4503</v>
      </c>
      <c r="BC22" s="133"/>
      <c r="BD22" s="132" t="str">
        <f>IF(OR(B22="",BC22=""),"",COUNTIF(BC$7:BC22,"√"))</f>
        <v/>
      </c>
      <c r="BE22" s="134" t="str">
        <f t="shared" si="3"/>
        <v/>
      </c>
      <c r="BF22" s="135" t="str">
        <f t="shared" si="13"/>
        <v/>
      </c>
      <c r="BG22" s="135" t="str">
        <f t="shared" si="13"/>
        <v/>
      </c>
      <c r="BH22" s="136"/>
      <c r="BI22" s="137"/>
      <c r="BJ22" s="136"/>
      <c r="BK22" s="136"/>
      <c r="BL22" s="136"/>
      <c r="BM22" s="136"/>
      <c r="BN22" s="136"/>
      <c r="BO22" s="137"/>
      <c r="BP22" s="136"/>
      <c r="BQ22" s="137"/>
      <c r="BR22" s="165" t="s">
        <v>2706</v>
      </c>
      <c r="BS22" s="158"/>
      <c r="BT22" s="522">
        <f t="shared" si="4"/>
        <v>125.582477754962</v>
      </c>
      <c r="BU22" s="534"/>
      <c r="BV22" s="524">
        <f t="shared" si="14"/>
        <v>0</v>
      </c>
      <c r="BX22" s="134" t="str">
        <f>IF(COUNTIF(BX$7:BX21,B22)&gt;0,"",B22)&amp;""</f>
        <v/>
      </c>
      <c r="BY22" s="138">
        <f t="shared" si="15"/>
        <v>0</v>
      </c>
      <c r="BZ22" s="132">
        <f t="shared" si="16"/>
        <v>1</v>
      </c>
      <c r="CA22" s="138">
        <f t="shared" si="17"/>
        <v>0</v>
      </c>
      <c r="CB22" s="132">
        <f t="shared" si="18"/>
        <v>1</v>
      </c>
      <c r="CC22" s="133"/>
      <c r="CD22" s="133"/>
    </row>
    <row r="23" ht="15" customHeight="1" spans="1:83">
      <c r="A23" s="123" t="str">
        <f>IF(B23="","",COUNT(A$7:A22)+1)</f>
        <v/>
      </c>
      <c r="B23" s="139"/>
      <c r="C23" s="139"/>
      <c r="D23" s="535"/>
      <c r="E23" s="141"/>
      <c r="F23" s="536"/>
      <c r="G23" s="141"/>
      <c r="H23" s="141"/>
      <c r="I23" s="140"/>
      <c r="J23" s="142"/>
      <c r="K23" s="127" t="str">
        <f>IFERROR(VLOOKUP(J23,参数表!$H$2:$I$50,2,FALSE),"")</f>
        <v/>
      </c>
      <c r="L23" s="128" t="str">
        <f t="shared" si="6"/>
        <v/>
      </c>
      <c r="M23" s="128" t="str">
        <f t="shared" si="7"/>
        <v/>
      </c>
      <c r="N23" s="129" t="str">
        <f t="shared" si="8"/>
        <v/>
      </c>
      <c r="O23" s="143"/>
      <c r="P23" s="143"/>
      <c r="Q23" s="143"/>
      <c r="R23" s="144"/>
      <c r="S23" s="144"/>
      <c r="T23" s="144"/>
      <c r="U23" s="129" t="str">
        <f t="shared" si="9"/>
        <v/>
      </c>
      <c r="V23" s="129" t="str">
        <f t="shared" si="10"/>
        <v/>
      </c>
      <c r="W23" s="129" t="str">
        <f t="shared" si="11"/>
        <v/>
      </c>
      <c r="X23" s="129" t="str">
        <f t="shared" si="0"/>
        <v/>
      </c>
      <c r="Y23" s="521" t="str">
        <f t="shared" si="1"/>
        <v/>
      </c>
      <c r="Z23" s="129" t="str">
        <f t="shared" si="2"/>
        <v/>
      </c>
      <c r="AA23" s="129" t="str">
        <f t="shared" si="12"/>
        <v/>
      </c>
      <c r="AB23" s="145"/>
      <c r="BA23" s="78"/>
      <c r="BB23" s="132" t="s">
        <v>4504</v>
      </c>
      <c r="BC23" s="133"/>
      <c r="BD23" s="132" t="str">
        <f>IF(OR(B23="",BC23=""),"",COUNTIF(BC$7:BC23,"√"))</f>
        <v/>
      </c>
      <c r="BE23" s="134" t="str">
        <f t="shared" si="3"/>
        <v/>
      </c>
      <c r="BF23" s="135" t="str">
        <f t="shared" si="13"/>
        <v/>
      </c>
      <c r="BG23" s="135" t="str">
        <f t="shared" si="13"/>
        <v/>
      </c>
      <c r="BH23" s="136"/>
      <c r="BI23" s="137"/>
      <c r="BJ23" s="136"/>
      <c r="BK23" s="136"/>
      <c r="BL23" s="136"/>
      <c r="BM23" s="136"/>
      <c r="BN23" s="136"/>
      <c r="BO23" s="137"/>
      <c r="BP23" s="136"/>
      <c r="BQ23" s="137"/>
      <c r="BR23" s="165" t="s">
        <v>2706</v>
      </c>
      <c r="BS23" s="158"/>
      <c r="BT23" s="522">
        <f t="shared" si="4"/>
        <v>125.582477754962</v>
      </c>
      <c r="BU23" s="534"/>
      <c r="BV23" s="524">
        <f t="shared" si="14"/>
        <v>0</v>
      </c>
      <c r="BX23" s="134" t="str">
        <f>IF(COUNTIF(BX$7:BX22,B23)&gt;0,"",B23)&amp;""</f>
        <v/>
      </c>
      <c r="BY23" s="138">
        <f t="shared" si="15"/>
        <v>0</v>
      </c>
      <c r="BZ23" s="132">
        <f t="shared" si="16"/>
        <v>1</v>
      </c>
      <c r="CA23" s="138">
        <f t="shared" si="17"/>
        <v>0</v>
      </c>
      <c r="CB23" s="132">
        <f t="shared" si="18"/>
        <v>1</v>
      </c>
      <c r="CC23" s="133"/>
      <c r="CD23" s="133"/>
    </row>
    <row r="24" ht="15" customHeight="1" spans="1:83">
      <c r="A24" s="123" t="str">
        <f>IF(B24="","",COUNT(A$7:A23)+1)</f>
        <v/>
      </c>
      <c r="B24" s="139"/>
      <c r="C24" s="139"/>
      <c r="D24" s="535"/>
      <c r="E24" s="141"/>
      <c r="F24" s="536"/>
      <c r="G24" s="141"/>
      <c r="H24" s="141"/>
      <c r="I24" s="140"/>
      <c r="J24" s="142"/>
      <c r="K24" s="127" t="str">
        <f>IFERROR(VLOOKUP(J24,参数表!$H$2:$I$50,2,FALSE),"")</f>
        <v/>
      </c>
      <c r="L24" s="128" t="str">
        <f t="shared" si="6"/>
        <v/>
      </c>
      <c r="M24" s="128" t="str">
        <f t="shared" si="7"/>
        <v/>
      </c>
      <c r="N24" s="129" t="str">
        <f t="shared" si="8"/>
        <v/>
      </c>
      <c r="O24" s="143"/>
      <c r="P24" s="143"/>
      <c r="Q24" s="143"/>
      <c r="R24" s="144"/>
      <c r="S24" s="144"/>
      <c r="T24" s="144"/>
      <c r="U24" s="129" t="str">
        <f t="shared" si="9"/>
        <v/>
      </c>
      <c r="V24" s="129" t="str">
        <f t="shared" si="10"/>
        <v/>
      </c>
      <c r="W24" s="129" t="str">
        <f t="shared" si="11"/>
        <v/>
      </c>
      <c r="X24" s="129" t="str">
        <f t="shared" si="0"/>
        <v/>
      </c>
      <c r="Y24" s="521" t="str">
        <f t="shared" si="1"/>
        <v/>
      </c>
      <c r="Z24" s="129" t="str">
        <f t="shared" si="2"/>
        <v/>
      </c>
      <c r="AA24" s="129" t="str">
        <f t="shared" si="12"/>
        <v/>
      </c>
      <c r="AB24" s="145"/>
      <c r="BA24" s="78"/>
      <c r="BB24" s="132" t="s">
        <v>4505</v>
      </c>
      <c r="BC24" s="133"/>
      <c r="BD24" s="132" t="str">
        <f>IF(OR(B24="",BC24=""),"",COUNTIF(BC$7:BC24,"√"))</f>
        <v/>
      </c>
      <c r="BE24" s="134" t="str">
        <f t="shared" si="3"/>
        <v/>
      </c>
      <c r="BF24" s="135" t="str">
        <f t="shared" si="13"/>
        <v/>
      </c>
      <c r="BG24" s="135" t="str">
        <f t="shared" si="13"/>
        <v/>
      </c>
      <c r="BH24" s="136"/>
      <c r="BI24" s="137"/>
      <c r="BJ24" s="136"/>
      <c r="BK24" s="136"/>
      <c r="BL24" s="136"/>
      <c r="BM24" s="136"/>
      <c r="BN24" s="136"/>
      <c r="BO24" s="137"/>
      <c r="BP24" s="136"/>
      <c r="BQ24" s="137"/>
      <c r="BR24" s="165" t="s">
        <v>2706</v>
      </c>
      <c r="BS24" s="158"/>
      <c r="BT24" s="522">
        <f t="shared" si="4"/>
        <v>125.582477754962</v>
      </c>
      <c r="BU24" s="534"/>
      <c r="BV24" s="524">
        <f t="shared" si="14"/>
        <v>0</v>
      </c>
      <c r="BX24" s="134" t="str">
        <f>IF(COUNTIF(BX$7:BX23,B24)&gt;0,"",B24)&amp;""</f>
        <v/>
      </c>
      <c r="BY24" s="138">
        <f t="shared" si="15"/>
        <v>0</v>
      </c>
      <c r="BZ24" s="132">
        <f t="shared" si="16"/>
        <v>1</v>
      </c>
      <c r="CA24" s="138">
        <f t="shared" si="17"/>
        <v>0</v>
      </c>
      <c r="CB24" s="132">
        <f t="shared" si="18"/>
        <v>1</v>
      </c>
      <c r="CC24" s="133"/>
      <c r="CD24" s="133"/>
    </row>
    <row r="25" ht="15" customHeight="1" spans="1:83">
      <c r="A25" s="123" t="str">
        <f>IF(B25="","",COUNT(A$7:A24)+1)</f>
        <v/>
      </c>
      <c r="B25" s="139"/>
      <c r="C25" s="139"/>
      <c r="D25" s="535"/>
      <c r="E25" s="141"/>
      <c r="F25" s="536"/>
      <c r="G25" s="141"/>
      <c r="H25" s="141"/>
      <c r="I25" s="140"/>
      <c r="J25" s="142"/>
      <c r="K25" s="127" t="str">
        <f>IFERROR(VLOOKUP(J25,参数表!$H$2:$I$50,2,FALSE),"")</f>
        <v/>
      </c>
      <c r="L25" s="128" t="str">
        <f t="shared" si="6"/>
        <v/>
      </c>
      <c r="M25" s="128" t="str">
        <f t="shared" si="7"/>
        <v/>
      </c>
      <c r="N25" s="129" t="str">
        <f t="shared" si="8"/>
        <v/>
      </c>
      <c r="O25" s="143"/>
      <c r="P25" s="143"/>
      <c r="Q25" s="143"/>
      <c r="R25" s="144"/>
      <c r="S25" s="144"/>
      <c r="T25" s="144"/>
      <c r="U25" s="129" t="str">
        <f t="shared" si="9"/>
        <v/>
      </c>
      <c r="V25" s="129" t="str">
        <f t="shared" si="10"/>
        <v/>
      </c>
      <c r="W25" s="129" t="str">
        <f t="shared" si="11"/>
        <v/>
      </c>
      <c r="X25" s="129" t="str">
        <f t="shared" si="0"/>
        <v/>
      </c>
      <c r="Y25" s="521" t="str">
        <f t="shared" si="1"/>
        <v/>
      </c>
      <c r="Z25" s="129" t="str">
        <f t="shared" si="2"/>
        <v/>
      </c>
      <c r="AA25" s="129" t="str">
        <f t="shared" si="12"/>
        <v/>
      </c>
      <c r="AB25" s="145"/>
      <c r="BA25" s="78"/>
      <c r="BB25" s="132" t="s">
        <v>4506</v>
      </c>
      <c r="BC25" s="133"/>
      <c r="BD25" s="132" t="str">
        <f>IF(OR(B25="",BC25=""),"",COUNTIF(BC$7:BC25,"√"))</f>
        <v/>
      </c>
      <c r="BE25" s="134" t="str">
        <f t="shared" si="3"/>
        <v/>
      </c>
      <c r="BF25" s="135" t="str">
        <f t="shared" si="13"/>
        <v/>
      </c>
      <c r="BG25" s="135" t="str">
        <f t="shared" si="13"/>
        <v/>
      </c>
      <c r="BH25" s="136"/>
      <c r="BI25" s="137"/>
      <c r="BJ25" s="136"/>
      <c r="BK25" s="136"/>
      <c r="BL25" s="136"/>
      <c r="BM25" s="136"/>
      <c r="BN25" s="136"/>
      <c r="BO25" s="137"/>
      <c r="BP25" s="136"/>
      <c r="BQ25" s="137"/>
      <c r="BR25" s="165" t="s">
        <v>2706</v>
      </c>
      <c r="BS25" s="158"/>
      <c r="BT25" s="522">
        <f t="shared" si="4"/>
        <v>125.582477754962</v>
      </c>
      <c r="BU25" s="534"/>
      <c r="BV25" s="524">
        <f t="shared" si="14"/>
        <v>0</v>
      </c>
      <c r="BX25" s="134" t="str">
        <f>IF(COUNTIF(BX$7:BX24,B25)&gt;0,"",B25)&amp;""</f>
        <v/>
      </c>
      <c r="BY25" s="138">
        <f t="shared" si="15"/>
        <v>0</v>
      </c>
      <c r="BZ25" s="132">
        <f t="shared" si="16"/>
        <v>1</v>
      </c>
      <c r="CA25" s="138">
        <f t="shared" si="17"/>
        <v>0</v>
      </c>
      <c r="CB25" s="132">
        <f t="shared" si="18"/>
        <v>1</v>
      </c>
      <c r="CC25" s="133"/>
      <c r="CD25" s="133"/>
    </row>
    <row r="26" ht="15" customHeight="1" spans="1:83">
      <c r="A26" s="123" t="str">
        <f>IF(B26="","",COUNT(A$7:A25)+1)</f>
        <v/>
      </c>
      <c r="B26" s="139"/>
      <c r="C26" s="139"/>
      <c r="D26" s="535"/>
      <c r="E26" s="141"/>
      <c r="F26" s="536"/>
      <c r="G26" s="141"/>
      <c r="H26" s="141"/>
      <c r="I26" s="140"/>
      <c r="J26" s="142"/>
      <c r="K26" s="127" t="str">
        <f>IFERROR(VLOOKUP(J26,参数表!$H$2:$I$50,2,FALSE),"")</f>
        <v/>
      </c>
      <c r="L26" s="128" t="str">
        <f t="shared" si="6"/>
        <v/>
      </c>
      <c r="M26" s="128" t="str">
        <f t="shared" si="7"/>
        <v/>
      </c>
      <c r="N26" s="129" t="str">
        <f t="shared" si="8"/>
        <v/>
      </c>
      <c r="O26" s="143"/>
      <c r="P26" s="143"/>
      <c r="Q26" s="143"/>
      <c r="R26" s="144"/>
      <c r="S26" s="144"/>
      <c r="T26" s="144"/>
      <c r="U26" s="129" t="str">
        <f t="shared" si="9"/>
        <v/>
      </c>
      <c r="V26" s="129" t="str">
        <f t="shared" si="10"/>
        <v/>
      </c>
      <c r="W26" s="129" t="str">
        <f t="shared" si="11"/>
        <v/>
      </c>
      <c r="X26" s="129" t="str">
        <f t="shared" si="0"/>
        <v/>
      </c>
      <c r="Y26" s="521" t="str">
        <f t="shared" si="1"/>
        <v/>
      </c>
      <c r="Z26" s="129" t="str">
        <f t="shared" si="2"/>
        <v/>
      </c>
      <c r="AA26" s="129" t="str">
        <f t="shared" si="12"/>
        <v/>
      </c>
      <c r="AB26" s="145"/>
      <c r="BA26" s="78"/>
      <c r="BB26" s="132" t="s">
        <v>4507</v>
      </c>
      <c r="BC26" s="133"/>
      <c r="BD26" s="132" t="str">
        <f>IF(OR(B26="",BC26=""),"",COUNTIF(BC$7:BC26,"√"))</f>
        <v/>
      </c>
      <c r="BE26" s="134" t="str">
        <f t="shared" si="3"/>
        <v/>
      </c>
      <c r="BF26" s="135" t="str">
        <f t="shared" si="13"/>
        <v/>
      </c>
      <c r="BG26" s="135" t="str">
        <f t="shared" si="13"/>
        <v/>
      </c>
      <c r="BH26" s="136"/>
      <c r="BI26" s="137"/>
      <c r="BJ26" s="136"/>
      <c r="BK26" s="136"/>
      <c r="BL26" s="136"/>
      <c r="BM26" s="136"/>
      <c r="BN26" s="136"/>
      <c r="BO26" s="137"/>
      <c r="BP26" s="136"/>
      <c r="BQ26" s="137"/>
      <c r="BR26" s="165" t="s">
        <v>2706</v>
      </c>
      <c r="BS26" s="158"/>
      <c r="BT26" s="522">
        <f t="shared" si="4"/>
        <v>125.582477754962</v>
      </c>
      <c r="BU26" s="534"/>
      <c r="BV26" s="524">
        <f t="shared" si="14"/>
        <v>0</v>
      </c>
      <c r="BX26" s="134" t="str">
        <f>IF(COUNTIF(BX$7:BX25,B26)&gt;0,"",B26)&amp;""</f>
        <v/>
      </c>
      <c r="BY26" s="138">
        <f t="shared" si="15"/>
        <v>0</v>
      </c>
      <c r="BZ26" s="132">
        <f t="shared" si="16"/>
        <v>1</v>
      </c>
      <c r="CA26" s="138">
        <f t="shared" si="17"/>
        <v>0</v>
      </c>
      <c r="CB26" s="132">
        <f t="shared" si="18"/>
        <v>1</v>
      </c>
      <c r="CC26" s="133"/>
      <c r="CD26" s="133"/>
    </row>
    <row r="27" ht="15" customHeight="1" spans="1:83">
      <c r="A27" s="123" t="str">
        <f>IF(B27="","",COUNT(A$7:A26)+1)</f>
        <v/>
      </c>
      <c r="B27" s="124"/>
      <c r="C27" s="124"/>
      <c r="D27" s="124"/>
      <c r="E27" s="126"/>
      <c r="F27" s="533"/>
      <c r="G27" s="126"/>
      <c r="H27" s="126"/>
      <c r="I27" s="125"/>
      <c r="J27" s="127"/>
      <c r="K27" s="127" t="str">
        <f>IFERROR(VLOOKUP(J27,参数表!$H$2:$I$50,2,FALSE),"")</f>
        <v/>
      </c>
      <c r="L27" s="128" t="str">
        <f t="shared" si="6"/>
        <v/>
      </c>
      <c r="M27" s="128" t="str">
        <f t="shared" si="7"/>
        <v/>
      </c>
      <c r="N27" s="129" t="str">
        <f t="shared" si="8"/>
        <v/>
      </c>
      <c r="O27" s="129"/>
      <c r="P27" s="129"/>
      <c r="Q27" s="129"/>
      <c r="R27" s="130"/>
      <c r="S27" s="130"/>
      <c r="T27" s="130"/>
      <c r="U27" s="129" t="str">
        <f t="shared" si="9"/>
        <v/>
      </c>
      <c r="V27" s="129" t="str">
        <f t="shared" si="10"/>
        <v/>
      </c>
      <c r="W27" s="129" t="str">
        <f t="shared" si="11"/>
        <v/>
      </c>
      <c r="X27" s="129" t="str">
        <f t="shared" si="0"/>
        <v/>
      </c>
      <c r="Y27" s="521" t="str">
        <f t="shared" si="1"/>
        <v/>
      </c>
      <c r="Z27" s="129" t="str">
        <f t="shared" si="2"/>
        <v/>
      </c>
      <c r="AA27" s="129" t="str">
        <f t="shared" si="12"/>
        <v/>
      </c>
      <c r="AB27" s="131"/>
      <c r="BA27" s="78"/>
      <c r="BB27" s="132" t="s">
        <v>4508</v>
      </c>
      <c r="BC27" s="133"/>
      <c r="BD27" s="132" t="str">
        <f>IF(OR(B27="",BC27=""),"",COUNTIF(BC$7:BC27,"√"))</f>
        <v/>
      </c>
      <c r="BE27" s="134" t="str">
        <f t="shared" si="3"/>
        <v/>
      </c>
      <c r="BF27" s="135" t="str">
        <f t="shared" si="13"/>
        <v/>
      </c>
      <c r="BG27" s="135" t="str">
        <f t="shared" si="13"/>
        <v/>
      </c>
      <c r="BH27" s="136"/>
      <c r="BI27" s="137"/>
      <c r="BJ27" s="136"/>
      <c r="BK27" s="136"/>
      <c r="BL27" s="136"/>
      <c r="BM27" s="136"/>
      <c r="BN27" s="136"/>
      <c r="BO27" s="137"/>
      <c r="BP27" s="136"/>
      <c r="BQ27" s="137"/>
      <c r="BR27" s="165" t="s">
        <v>2706</v>
      </c>
      <c r="BS27" s="158"/>
      <c r="BT27" s="522">
        <f t="shared" si="4"/>
        <v>125.582477754962</v>
      </c>
      <c r="BU27" s="534"/>
      <c r="BV27" s="524">
        <f t="shared" si="14"/>
        <v>0</v>
      </c>
      <c r="BX27" s="134" t="str">
        <f>IF(COUNTIF(BX$7:BX26,B27)&gt;0,"",B27)&amp;""</f>
        <v/>
      </c>
      <c r="BY27" s="138">
        <f t="shared" si="15"/>
        <v>0</v>
      </c>
      <c r="BZ27" s="132">
        <f t="shared" si="16"/>
        <v>1</v>
      </c>
      <c r="CA27" s="138">
        <f t="shared" si="17"/>
        <v>0</v>
      </c>
      <c r="CB27" s="132">
        <f t="shared" si="18"/>
        <v>1</v>
      </c>
      <c r="CC27" s="133"/>
      <c r="CD27" s="133"/>
    </row>
    <row r="28" s="73" customFormat="1" ht="15" customHeight="1" spans="1:83">
      <c r="A28" s="221" t="s">
        <v>1954</v>
      </c>
      <c r="B28" s="493"/>
      <c r="C28" s="493"/>
      <c r="D28" s="221"/>
      <c r="E28" s="221"/>
      <c r="F28" s="221"/>
      <c r="G28" s="149"/>
      <c r="H28" s="149">
        <f>SUM(H8:H27)</f>
        <v>0</v>
      </c>
      <c r="I28" s="356"/>
      <c r="J28" s="152"/>
      <c r="K28" s="152"/>
      <c r="L28" s="152"/>
      <c r="M28" s="152"/>
      <c r="N28" s="152"/>
      <c r="O28" s="152">
        <f>SUM(O8:O27)</f>
        <v>0</v>
      </c>
      <c r="P28" s="152">
        <f>SUM(P8:P27)</f>
        <v>0</v>
      </c>
      <c r="Q28" s="152">
        <f>SUM(Q8:Q27)</f>
        <v>0</v>
      </c>
      <c r="R28" s="153"/>
      <c r="S28" s="153"/>
      <c r="T28" s="153"/>
      <c r="U28" s="152">
        <f>SUM(U8:U27)</f>
        <v>0</v>
      </c>
      <c r="V28" s="152">
        <f>SUM(V8:V27)</f>
        <v>0</v>
      </c>
      <c r="W28" s="152">
        <f>SUM(W8:W27)</f>
        <v>0</v>
      </c>
      <c r="X28" s="152">
        <f>SUM(X8:X27)</f>
        <v>0</v>
      </c>
      <c r="Y28" s="525"/>
      <c r="Z28" s="152">
        <f>SUM(Z8:Z27)</f>
        <v>0</v>
      </c>
      <c r="AA28" s="152" t="str">
        <f t="shared" si="12"/>
        <v/>
      </c>
      <c r="AB28" s="151"/>
      <c r="BH28" s="526"/>
      <c r="BJ28" s="72"/>
      <c r="BK28" s="72"/>
      <c r="BL28" s="72"/>
      <c r="BM28" s="72"/>
      <c r="BN28" s="72"/>
      <c r="BP28" s="72"/>
      <c r="BW28" s="111"/>
      <c r="BX28" s="119"/>
      <c r="BY28" s="77"/>
      <c r="BZ28" s="77"/>
      <c r="CA28" s="77"/>
      <c r="CB28" s="119"/>
      <c r="CC28" s="119"/>
      <c r="CD28" s="119"/>
      <c r="CE28" s="111"/>
    </row>
    <row r="29" ht="15" customHeight="1" spans="1:83">
      <c r="A29" s="124" t="s">
        <v>3434</v>
      </c>
      <c r="B29" s="124"/>
      <c r="C29" s="124"/>
      <c r="D29" s="124"/>
      <c r="E29" s="124"/>
      <c r="F29" s="124"/>
      <c r="G29" s="126"/>
      <c r="H29" s="126"/>
      <c r="I29" s="125"/>
      <c r="J29" s="129"/>
      <c r="K29" s="129"/>
      <c r="L29" s="129"/>
      <c r="M29" s="129"/>
      <c r="N29" s="129"/>
      <c r="O29" s="129"/>
      <c r="P29" s="129">
        <f>Q28</f>
        <v>0</v>
      </c>
      <c r="Q29" s="129"/>
      <c r="R29" s="130"/>
      <c r="S29" s="130"/>
      <c r="T29" s="130"/>
      <c r="U29" s="129"/>
      <c r="V29" s="129">
        <f>W28</f>
        <v>0</v>
      </c>
      <c r="W29" s="129"/>
      <c r="X29" s="129"/>
      <c r="Y29" s="521"/>
      <c r="Z29" s="129">
        <v>0</v>
      </c>
      <c r="AA29" s="129" t="str">
        <f t="shared" si="12"/>
        <v/>
      </c>
      <c r="AB29" s="131"/>
    </row>
    <row r="30" s="73" customFormat="1" ht="15" customHeight="1" spans="1:83">
      <c r="A30" s="221" t="s">
        <v>1957</v>
      </c>
      <c r="B30" s="221"/>
      <c r="C30" s="221"/>
      <c r="D30" s="149"/>
      <c r="E30" s="149"/>
      <c r="F30" s="149"/>
      <c r="G30" s="149"/>
      <c r="H30" s="149"/>
      <c r="I30" s="356"/>
      <c r="J30" s="152"/>
      <c r="K30" s="152"/>
      <c r="L30" s="152"/>
      <c r="M30" s="152"/>
      <c r="N30" s="152"/>
      <c r="O30" s="152">
        <f>O28-O29</f>
        <v>0</v>
      </c>
      <c r="P30" s="152">
        <f t="shared" ref="P30:Z30" si="21">P28-P29</f>
        <v>0</v>
      </c>
      <c r="Q30" s="152"/>
      <c r="R30" s="153"/>
      <c r="S30" s="153"/>
      <c r="T30" s="153"/>
      <c r="U30" s="152">
        <f t="shared" si="21"/>
        <v>0</v>
      </c>
      <c r="V30" s="152">
        <f t="shared" si="21"/>
        <v>0</v>
      </c>
      <c r="W30" s="152"/>
      <c r="X30" s="152">
        <f t="shared" si="21"/>
        <v>0</v>
      </c>
      <c r="Y30" s="525"/>
      <c r="Z30" s="152">
        <f t="shared" si="21"/>
        <v>0</v>
      </c>
      <c r="AA30" s="152" t="str">
        <f t="shared" si="12"/>
        <v/>
      </c>
      <c r="AB30" s="151"/>
      <c r="BH30" s="526"/>
      <c r="BJ30" s="72"/>
      <c r="BK30" s="72"/>
      <c r="BL30" s="72"/>
      <c r="BM30" s="72"/>
      <c r="BN30" s="72"/>
      <c r="BP30" s="72"/>
      <c r="BW30" s="77"/>
      <c r="BX30" s="78"/>
      <c r="BY30" s="77"/>
      <c r="BZ30" s="78"/>
      <c r="CA30" s="78"/>
      <c r="CB30" s="78"/>
      <c r="CC30" s="78"/>
      <c r="CD30" s="78"/>
      <c r="CE30" s="77"/>
    </row>
    <row r="31" customHeight="1" spans="1:83">
      <c r="A31" s="102" t="str">
        <f>参数表!F$6</f>
        <v>产权持有单位填表人：贾广东</v>
      </c>
      <c r="B31" s="154"/>
      <c r="C31" s="154"/>
      <c r="D31" s="154"/>
      <c r="E31" s="154"/>
      <c r="F31" s="154"/>
      <c r="G31" s="154"/>
      <c r="H31" s="154"/>
      <c r="I31" s="103"/>
      <c r="J31" s="103"/>
      <c r="K31" s="103"/>
      <c r="L31" s="103"/>
      <c r="M31" s="103"/>
      <c r="N31" s="103"/>
      <c r="O31" s="103"/>
      <c r="P31" s="103"/>
      <c r="Q31" s="103"/>
      <c r="R31" s="104"/>
      <c r="S31" s="104"/>
      <c r="T31" s="104"/>
      <c r="U31" s="103"/>
      <c r="V31" s="103"/>
      <c r="W31" s="103"/>
      <c r="X31" s="103"/>
      <c r="Y31" s="103"/>
      <c r="Z31" s="156" t="str">
        <f>"评估人员："&amp;封面!$G$30</f>
        <v>评估人员：</v>
      </c>
      <c r="AA31" s="103"/>
      <c r="AB31" s="103"/>
    </row>
    <row r="32" customHeight="1" spans="1:83">
      <c r="A32" s="102" t="str">
        <f>参数表!F$7</f>
        <v>填表日期：2025年9月20日</v>
      </c>
      <c r="B32" s="154"/>
      <c r="C32" s="154"/>
      <c r="D32" s="154"/>
      <c r="E32" s="154"/>
      <c r="F32" s="154"/>
      <c r="G32" s="154"/>
      <c r="H32" s="154"/>
      <c r="I32" s="103"/>
      <c r="J32" s="103"/>
      <c r="K32" s="103"/>
      <c r="L32" s="103"/>
      <c r="M32" s="103"/>
      <c r="N32" s="103"/>
      <c r="O32" s="103"/>
      <c r="P32" s="103"/>
      <c r="Q32" s="103"/>
      <c r="R32" s="104"/>
      <c r="S32" s="104"/>
      <c r="T32" s="104"/>
      <c r="U32" s="103"/>
      <c r="V32" s="103"/>
      <c r="W32" s="103"/>
      <c r="X32" s="103"/>
      <c r="Y32" s="103"/>
      <c r="Z32" s="103"/>
      <c r="AA32" s="103"/>
      <c r="AB32" s="103"/>
    </row>
    <row r="33" hidden="1" customHeight="1" outlineLevel="1" spans="1:68">
      <c r="A33" s="157"/>
      <c r="B33" s="154" t="s">
        <v>1673</v>
      </c>
      <c r="C33" s="158"/>
      <c r="D33" s="158"/>
      <c r="E33" s="158"/>
      <c r="F33" s="158"/>
      <c r="G33" s="158"/>
      <c r="H33" s="158"/>
      <c r="J33" s="176"/>
      <c r="K33" s="176"/>
      <c r="L33" s="176"/>
      <c r="M33" s="176"/>
      <c r="N33" s="176"/>
      <c r="O33" s="159">
        <f>SUMIF($BA8:$BA27,$BA33,O8:O27)</f>
        <v>0</v>
      </c>
      <c r="P33" s="159">
        <f>SUMIF($BA8:$BA27,$BA33,P8:P27)</f>
        <v>0</v>
      </c>
      <c r="Q33" s="159">
        <f>SUMIF($BA8:$BA27,$BA33,Q8:Q27)</f>
        <v>0</v>
      </c>
      <c r="R33" s="202"/>
      <c r="S33" s="202"/>
      <c r="T33" s="202"/>
      <c r="U33" s="159">
        <f>SUMIF($BA8:$BA27,$BA33,U8:U27)</f>
        <v>0</v>
      </c>
      <c r="V33" s="159">
        <f>SUMIF($BA8:$BA27,$BA33,V8:V27)</f>
        <v>0</v>
      </c>
      <c r="W33" s="159">
        <f>SUMIF($BA8:$BA27,$BA33,W8:W27)</f>
        <v>0</v>
      </c>
      <c r="X33" s="159">
        <f>SUMIF($BA8:$BA27,$BA33,X8:X27)</f>
        <v>0</v>
      </c>
      <c r="Y33" s="176"/>
      <c r="Z33" s="159">
        <f>SUMIF($BA8:$BA27,$BA33,Z8:Z27)</f>
        <v>0</v>
      </c>
      <c r="BA33" s="161" t="s">
        <v>1674</v>
      </c>
      <c r="BH33" s="527" t="s">
        <v>1675</v>
      </c>
      <c r="BJ33" s="527" t="s">
        <v>1675</v>
      </c>
      <c r="BK33" s="527" t="s">
        <v>1675</v>
      </c>
      <c r="BL33" s="527" t="s">
        <v>1675</v>
      </c>
      <c r="BM33" s="527" t="s">
        <v>1675</v>
      </c>
      <c r="BN33" s="527" t="s">
        <v>1675</v>
      </c>
      <c r="BP33" s="527" t="s">
        <v>1675</v>
      </c>
    </row>
    <row r="34" hidden="1" customHeight="1" outlineLevel="1" spans="1:68">
      <c r="A34" s="157"/>
      <c r="B34" s="154" t="s">
        <v>1676</v>
      </c>
      <c r="C34" s="158"/>
      <c r="D34" s="158"/>
      <c r="E34" s="158"/>
      <c r="F34" s="158"/>
      <c r="G34" s="158"/>
      <c r="H34" s="158"/>
      <c r="J34" s="176"/>
      <c r="K34" s="176"/>
      <c r="L34" s="176"/>
      <c r="M34" s="176"/>
      <c r="N34" s="176"/>
      <c r="O34" s="159">
        <f>O28-O33</f>
        <v>0</v>
      </c>
      <c r="P34" s="159">
        <f>P28-P33</f>
        <v>0</v>
      </c>
      <c r="Q34" s="159">
        <f>Q28-Q33</f>
        <v>0</v>
      </c>
      <c r="R34" s="202"/>
      <c r="S34" s="202"/>
      <c r="T34" s="202"/>
      <c r="U34" s="159">
        <f>U28-U33</f>
        <v>0</v>
      </c>
      <c r="V34" s="159">
        <f>V28-V33</f>
        <v>0</v>
      </c>
      <c r="W34" s="159">
        <f>W28-W33</f>
        <v>0</v>
      </c>
      <c r="X34" s="159">
        <f>X28-X33</f>
        <v>0</v>
      </c>
      <c r="Y34" s="176"/>
      <c r="Z34" s="159">
        <f>Z28-Z33</f>
        <v>0</v>
      </c>
      <c r="BA34" s="161" t="s">
        <v>1677</v>
      </c>
      <c r="BH34" s="527" t="s">
        <v>1678</v>
      </c>
      <c r="BJ34" s="527" t="s">
        <v>1678</v>
      </c>
      <c r="BK34" s="527" t="s">
        <v>1678</v>
      </c>
      <c r="BL34" s="527" t="s">
        <v>1678</v>
      </c>
      <c r="BM34" s="527" t="s">
        <v>1678</v>
      </c>
      <c r="BN34" s="527" t="s">
        <v>1678</v>
      </c>
      <c r="BP34" s="527" t="s">
        <v>1678</v>
      </c>
    </row>
    <row r="35" customHeight="1" collapsed="1" spans="1:68">
      <c r="A35" s="157"/>
      <c r="B35" s="158"/>
      <c r="C35" s="158"/>
      <c r="D35" s="158"/>
      <c r="E35" s="158"/>
      <c r="F35" s="158"/>
      <c r="G35" s="158"/>
      <c r="H35" s="158"/>
    </row>
    <row r="36" customHeight="1" spans="1:68">
      <c r="A36" s="157"/>
      <c r="B36" s="158"/>
      <c r="C36" s="158"/>
      <c r="D36" s="158"/>
      <c r="E36" s="158"/>
      <c r="F36" s="158"/>
      <c r="G36" s="158"/>
      <c r="H36" s="158"/>
    </row>
    <row r="37" customHeight="1" spans="1:68">
      <c r="A37" s="157"/>
      <c r="B37" s="158"/>
      <c r="C37" s="158"/>
      <c r="D37" s="158"/>
      <c r="E37" s="158"/>
      <c r="F37" s="158"/>
      <c r="G37" s="158"/>
      <c r="H37" s="158"/>
    </row>
    <row r="38" customHeight="1" spans="1:68">
      <c r="A38" s="157"/>
      <c r="B38" s="158"/>
      <c r="C38" s="158"/>
      <c r="D38" s="158"/>
      <c r="E38" s="158"/>
      <c r="F38" s="158"/>
      <c r="G38" s="158"/>
      <c r="H38" s="158"/>
    </row>
    <row r="39" customHeight="1" spans="1:68">
      <c r="A39" s="157"/>
      <c r="B39" s="158"/>
      <c r="C39" s="158"/>
      <c r="D39" s="158"/>
      <c r="E39" s="158"/>
      <c r="F39" s="158"/>
      <c r="G39" s="158"/>
      <c r="H39" s="158"/>
    </row>
  </sheetData>
  <sheetProtection autoFilter="0"/>
  <mergeCells count="36">
    <mergeCell ref="A2:AB2"/>
    <mergeCell ref="A3:AB3"/>
    <mergeCell ref="J6:N6"/>
    <mergeCell ref="O6:Q6"/>
    <mergeCell ref="R6:T6"/>
    <mergeCell ref="U6:W6"/>
    <mergeCell ref="X6:Z6"/>
    <mergeCell ref="CC8:CE8"/>
    <mergeCell ref="CC9:CE9"/>
    <mergeCell ref="CD15:CE15"/>
    <mergeCell ref="A28:C28"/>
    <mergeCell ref="A29:C29"/>
    <mergeCell ref="A30:C30"/>
    <mergeCell ref="A6:A7"/>
    <mergeCell ref="B6:B7"/>
    <mergeCell ref="C6:C7"/>
    <mergeCell ref="D6:D7"/>
    <mergeCell ref="E6:E7"/>
    <mergeCell ref="F6:F7"/>
    <mergeCell ref="G6:G7"/>
    <mergeCell ref="H6:H7"/>
    <mergeCell ref="I6:I7"/>
    <mergeCell ref="AA6:AA7"/>
    <mergeCell ref="AB6:AB7"/>
    <mergeCell ref="BF6:BF7"/>
    <mergeCell ref="BG6:BG7"/>
    <mergeCell ref="BH6:BH7"/>
    <mergeCell ref="BI6:BI7"/>
    <mergeCell ref="BJ6:BJ7"/>
    <mergeCell ref="BK6:BK7"/>
    <mergeCell ref="BL6:BL7"/>
    <mergeCell ref="BM6:BM7"/>
    <mergeCell ref="BN6:BN7"/>
    <mergeCell ref="BO6:BO7"/>
    <mergeCell ref="BP6:BP7"/>
    <mergeCell ref="BQ6:BQ7"/>
  </mergeCells>
  <conditionalFormatting sqref="BI8:BI27">
    <cfRule type="expression" dxfId="5" priority="5" stopIfTrue="1">
      <formula>AND(BH8="有",BI8="")</formula>
    </cfRule>
  </conditionalFormatting>
  <conditionalFormatting sqref="BO8:BO27">
    <cfRule type="expression" dxfId="5" priority="7" stopIfTrue="1">
      <formula>AND(BN8="无",BO8="")</formula>
    </cfRule>
  </conditionalFormatting>
  <conditionalFormatting sqref="BF8:BG27">
    <cfRule type="containsText" dxfId="6" priority="1" stopIfTrue="1" operator="between" text="出错">
      <formula>NOT(ISERROR(SEARCH("出错",BF8)))</formula>
    </cfRule>
  </conditionalFormatting>
  <conditionalFormatting sqref="BH8:BN27 BP8:BP27">
    <cfRule type="expression" dxfId="5" priority="8" stopIfTrue="1">
      <formula>AND($B8&lt;&gt;"",BH8="")</formula>
    </cfRule>
  </conditionalFormatting>
  <dataValidations count="6">
    <dataValidation type="list" allowBlank="1" showInputMessage="1" showErrorMessage="1" sqref="BH7 BJ7:BN7 BP7">
      <formula1>"有,无"</formula1>
    </dataValidation>
    <dataValidation type="list" allowBlank="1" showInputMessage="1" showErrorMessage="1" sqref="J8:J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H8:BH27 BP8:BP27 BJ8:BN27">
      <formula1>BH$33:BH$34</formula1>
    </dataValidation>
    <dataValidation type="list" allowBlank="1" showInputMessage="1" showErrorMessage="1" sqref="BR8:BR27">
      <formula1>"成本法,收益法,市场法"</formula1>
    </dataValidation>
  </dataValidations>
  <hyperlinks>
    <hyperlink ref="A1" location="索引目录!D46" display="返回索引页"/>
    <hyperlink ref="B1" location="非流动资产评估汇总!B32"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3"/>
  <dimension ref="A1:CE39"/>
  <sheetViews>
    <sheetView workbookViewId="0">
      <pane xSplit="3" ySplit="8" topLeftCell="D9" activePane="bottomRight" state="frozen"/>
      <selection/>
      <selection pane="topRight"/>
      <selection pane="bottomLeft"/>
      <selection pane="bottomRight" activeCell="E45" sqref="E45"/>
    </sheetView>
  </sheetViews>
  <sheetFormatPr defaultColWidth="9" defaultRowHeight="15.75" customHeight="1"/>
  <cols>
    <col min="1" max="1" width="5.8" style="74" customWidth="1"/>
    <col min="2" max="2" width="6.7" style="75" customWidth="1"/>
    <col min="3" max="3" width="13.2" style="75" customWidth="1"/>
    <col min="4" max="4" width="8.2" style="75" customWidth="1"/>
    <col min="5" max="5" width="8" style="75" customWidth="1" outlineLevel="1"/>
    <col min="6" max="7" width="4.7" style="75" customWidth="1" outlineLevel="1"/>
    <col min="8" max="8" width="5.7" style="75" customWidth="1"/>
    <col min="9" max="9" width="7.7" style="75" customWidth="1"/>
    <col min="10" max="10" width="4.6" style="75" customWidth="1"/>
    <col min="11" max="12" width="4.6" style="75" customWidth="1" outlineLevel="1"/>
    <col min="13" max="15" width="6.1" style="75" customWidth="1" outlineLevel="1"/>
    <col min="16" max="17" width="11" style="75" customWidth="1" outlineLevel="1"/>
    <col min="18" max="18" width="7.7" style="75" customWidth="1" outlineLevel="1"/>
    <col min="19" max="21" width="11" style="76" customWidth="1" outlineLevel="1"/>
    <col min="22" max="23" width="11" style="75" customWidth="1"/>
    <col min="24" max="24" width="7.8" style="75" customWidth="1"/>
    <col min="25" max="25" width="11" style="75" customWidth="1"/>
    <col min="26" max="26" width="7" style="75" customWidth="1"/>
    <col min="27" max="27" width="11" style="75" customWidth="1"/>
    <col min="28" max="28" width="4.2" style="75" customWidth="1"/>
    <col min="29" max="29" width="7.6" style="75" customWidth="1"/>
    <col min="30"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508" customWidth="1"/>
    <col min="61" max="61" width="11.5" style="75" customWidth="1"/>
    <col min="62" max="66" width="4.7" style="165" customWidth="1"/>
    <col min="67" max="67" width="10.3" style="75" customWidth="1"/>
    <col min="68" max="68" width="4.7" style="165" customWidth="1"/>
    <col min="69" max="70" width="8.7" style="75" customWidth="1"/>
    <col min="71" max="74" width="9" style="75"/>
    <col min="75" max="75" width="1.6" style="77" customWidth="1"/>
    <col min="76" max="76" width="10.6" style="78" customWidth="1"/>
    <col min="77" max="77" width="10.6" style="77" customWidth="1"/>
    <col min="78" max="78" width="4.6" style="78" customWidth="1"/>
    <col min="79" max="79" width="10.6" style="78" customWidth="1"/>
    <col min="80" max="81" width="4.6" style="78" customWidth="1"/>
    <col min="82" max="82" width="10.6" style="78" customWidth="1"/>
    <col min="83" max="83" width="5" style="77" customWidth="1"/>
    <col min="84" max="16384" width="9" style="75"/>
  </cols>
  <sheetData>
    <row r="1" s="86" customFormat="1" ht="13.8" spans="1:83">
      <c r="A1" s="203" t="s">
        <v>1591</v>
      </c>
      <c r="B1" s="204" t="s">
        <v>1592</v>
      </c>
      <c r="C1" s="82"/>
      <c r="D1" s="82"/>
      <c r="E1" s="82"/>
      <c r="F1" s="82"/>
      <c r="G1" s="82"/>
      <c r="H1" s="82"/>
      <c r="I1" s="82"/>
      <c r="J1" s="82"/>
      <c r="K1" s="82"/>
      <c r="L1" s="82"/>
      <c r="M1" s="82"/>
      <c r="N1" s="82"/>
      <c r="O1" s="82"/>
      <c r="P1" s="82"/>
      <c r="Q1" s="82"/>
      <c r="R1" s="82"/>
      <c r="S1" s="205"/>
      <c r="T1" s="205"/>
      <c r="U1" s="205"/>
      <c r="V1" s="82"/>
      <c r="W1" s="82"/>
      <c r="X1" s="82"/>
      <c r="Y1" s="82"/>
      <c r="Z1" s="82"/>
      <c r="AA1" s="82"/>
      <c r="AB1" s="82"/>
      <c r="AC1" s="82"/>
      <c r="BA1" s="84" t="str">
        <f>参数表!BA1</f>
        <v>注意：补充特殊事项、作价等均从BA列开始填写</v>
      </c>
      <c r="BB1" s="85"/>
      <c r="BC1" s="85"/>
      <c r="BH1" s="509"/>
      <c r="BJ1" s="82"/>
      <c r="BK1" s="82"/>
      <c r="BL1" s="82"/>
      <c r="BM1" s="82"/>
      <c r="BN1" s="82"/>
      <c r="BP1" s="82"/>
      <c r="BW1" s="87"/>
      <c r="BX1" s="88"/>
      <c r="BY1" s="87"/>
      <c r="BZ1" s="88"/>
      <c r="CA1" s="88"/>
      <c r="CB1" s="88"/>
      <c r="CC1" s="88"/>
      <c r="CD1" s="88"/>
      <c r="CE1" s="87"/>
    </row>
    <row r="2" s="71" customFormat="1" ht="30" customHeight="1" spans="1:83">
      <c r="A2" s="89" t="s">
        <v>4509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BA2" s="90" t="str">
        <f>参数表!BA2</f>
        <v>评估基准日：</v>
      </c>
      <c r="BB2" s="91" t="str">
        <f>参数表!BB2</f>
        <v>2025年7月31日</v>
      </c>
      <c r="BC2" s="85"/>
      <c r="BH2" s="510"/>
      <c r="BJ2" s="171"/>
      <c r="BK2" s="171"/>
      <c r="BL2" s="171"/>
      <c r="BM2" s="171"/>
      <c r="BN2" s="171"/>
      <c r="BP2" s="171"/>
      <c r="BW2" s="92"/>
      <c r="BX2" s="93"/>
      <c r="BY2" s="92"/>
      <c r="BZ2" s="93"/>
      <c r="CA2" s="93"/>
      <c r="CB2" s="93"/>
      <c r="CC2" s="93"/>
      <c r="CD2" s="93"/>
      <c r="CE2" s="92"/>
    </row>
    <row r="3" ht="15" customHeight="1" spans="1:83">
      <c r="A3" s="94" t="str">
        <f>参数表!F5</f>
        <v>评估基准日：2025年7月31日</v>
      </c>
      <c r="B3" s="94"/>
      <c r="C3" s="94"/>
      <c r="D3" s="94"/>
      <c r="E3" s="94"/>
      <c r="F3" s="94"/>
      <c r="G3" s="94"/>
      <c r="H3" s="94"/>
      <c r="I3" s="94"/>
      <c r="J3" s="94"/>
      <c r="K3" s="94"/>
      <c r="L3" s="94"/>
      <c r="M3" s="94"/>
      <c r="N3" s="94"/>
      <c r="O3" s="94"/>
      <c r="P3" s="95"/>
      <c r="Q3" s="95"/>
      <c r="R3" s="95"/>
      <c r="S3" s="95"/>
      <c r="T3" s="95"/>
      <c r="U3" s="95"/>
      <c r="V3" s="95"/>
      <c r="W3" s="95"/>
      <c r="X3" s="95"/>
      <c r="Y3" s="95"/>
      <c r="Z3" s="95"/>
      <c r="AA3" s="95"/>
      <c r="AB3" s="95"/>
      <c r="AC3" s="95"/>
      <c r="BA3" s="90" t="str">
        <f>参数表!BA3</f>
        <v>是否显示评估值：</v>
      </c>
      <c r="BB3" s="90" t="str">
        <f>参数表!BB3</f>
        <v>是</v>
      </c>
      <c r="BC3" s="85"/>
      <c r="BW3" s="92"/>
      <c r="BX3" s="93"/>
      <c r="BY3" s="92"/>
      <c r="BZ3" s="93"/>
      <c r="CA3" s="93"/>
      <c r="CB3" s="93"/>
      <c r="CC3" s="93"/>
      <c r="CD3" s="93"/>
      <c r="CE3" s="92"/>
    </row>
    <row r="4" ht="15" customHeight="1" spans="1:83">
      <c r="A4" s="96"/>
      <c r="B4" s="94"/>
      <c r="C4" s="94"/>
      <c r="D4" s="94"/>
      <c r="E4" s="94"/>
      <c r="F4" s="94"/>
      <c r="G4" s="94"/>
      <c r="H4" s="94"/>
      <c r="I4" s="94"/>
      <c r="J4" s="94"/>
      <c r="K4" s="94"/>
      <c r="L4" s="94"/>
      <c r="M4" s="94"/>
      <c r="N4" s="94"/>
      <c r="O4" s="94"/>
      <c r="P4" s="95"/>
      <c r="Q4" s="95"/>
      <c r="R4" s="95"/>
      <c r="S4" s="206"/>
      <c r="T4" s="206"/>
      <c r="U4" s="206"/>
      <c r="V4" s="98"/>
      <c r="W4" s="95"/>
      <c r="X4" s="95"/>
      <c r="Y4" s="95"/>
      <c r="Z4" s="95"/>
      <c r="AA4" s="95"/>
      <c r="AB4" s="95"/>
      <c r="AC4" s="98" t="str">
        <f>"表"&amp;$BA4</f>
        <v>表4-13</v>
      </c>
      <c r="BA4" s="274" t="str">
        <f>非流动资总!A19</f>
        <v>4-13</v>
      </c>
      <c r="BB4" s="100">
        <f>MAX(COUNTA(A8:A27),COUNTA(B8:B27),COUNTA(P8:P27),COUNTA(Q8:Q27))</f>
        <v>20</v>
      </c>
      <c r="BC4" s="101">
        <f>ROW(A7)+1</f>
        <v>8</v>
      </c>
      <c r="BD4" s="77"/>
      <c r="BE4" s="77"/>
      <c r="BY4" s="78"/>
    </row>
    <row r="5" ht="15" customHeight="1" spans="1:83">
      <c r="A5" s="102" t="str">
        <f>参数表!F3</f>
        <v>产权持有单位:中煤第五建设有限公司</v>
      </c>
      <c r="B5" s="103"/>
      <c r="C5" s="103"/>
      <c r="D5" s="103"/>
      <c r="E5" s="103"/>
      <c r="F5" s="103"/>
      <c r="G5" s="103"/>
      <c r="H5" s="103"/>
      <c r="I5" s="103"/>
      <c r="J5" s="103"/>
      <c r="K5" s="103"/>
      <c r="L5" s="103"/>
      <c r="M5" s="103"/>
      <c r="N5" s="103"/>
      <c r="O5" s="103"/>
      <c r="P5" s="103"/>
      <c r="Q5" s="103"/>
      <c r="R5" s="103"/>
      <c r="S5" s="104"/>
      <c r="T5" s="104"/>
      <c r="U5" s="104"/>
      <c r="V5" s="103"/>
      <c r="W5" s="103"/>
      <c r="X5" s="103"/>
      <c r="Y5" s="103"/>
      <c r="Z5" s="103"/>
      <c r="AA5" s="103"/>
      <c r="AB5" s="103"/>
      <c r="AC5" s="98" t="s">
        <v>236</v>
      </c>
      <c r="BA5" s="103"/>
      <c r="BB5" s="105" t="str">
        <f ca="1">判断表!C84</f>
        <v>中煤第五建设有限公司第三工程处拟处置实物资产项目\[0000-3基础法明细表.xlsx]油气资</v>
      </c>
      <c r="BC5" s="106">
        <f>IFERROR(SUMIF(BC8:BC27,"√",V8:V27)/V28,0)</f>
        <v>0</v>
      </c>
      <c r="BD5" s="107"/>
      <c r="BE5" s="107"/>
      <c r="BF5" s="108">
        <f>分类汇总!I35</f>
        <v>0</v>
      </c>
      <c r="BG5" s="108">
        <f>分类汇总!K35</f>
        <v>0</v>
      </c>
      <c r="BH5" s="109"/>
      <c r="BI5" s="109"/>
      <c r="BJ5" s="109"/>
      <c r="BK5" s="109"/>
      <c r="BL5" s="109"/>
      <c r="BM5" s="109"/>
      <c r="BN5" s="109"/>
      <c r="BO5" s="110"/>
      <c r="BP5" s="109"/>
      <c r="BQ5" s="110"/>
      <c r="BR5" s="110"/>
      <c r="BY5" s="78"/>
    </row>
    <row r="6" s="72" customFormat="1" ht="15" customHeight="1" spans="1:83">
      <c r="A6" s="112" t="s">
        <v>305</v>
      </c>
      <c r="B6" s="113" t="s">
        <v>283</v>
      </c>
      <c r="C6" s="118" t="s">
        <v>4510</v>
      </c>
      <c r="D6" s="118" t="s">
        <v>2176</v>
      </c>
      <c r="E6" s="528" t="s">
        <v>3686</v>
      </c>
      <c r="F6" s="193" t="s">
        <v>3688</v>
      </c>
      <c r="G6" s="529" t="s">
        <v>3689</v>
      </c>
      <c r="H6" s="118" t="s">
        <v>1637</v>
      </c>
      <c r="I6" s="118" t="s">
        <v>3637</v>
      </c>
      <c r="J6" s="118" t="s">
        <v>3674</v>
      </c>
      <c r="K6" s="511" t="s">
        <v>1964</v>
      </c>
      <c r="L6" s="512"/>
      <c r="M6" s="512"/>
      <c r="N6" s="512"/>
      <c r="O6" s="513"/>
      <c r="P6" s="514" t="s">
        <v>1549</v>
      </c>
      <c r="Q6" s="189"/>
      <c r="R6" s="190"/>
      <c r="S6" s="515" t="s">
        <v>1634</v>
      </c>
      <c r="T6" s="516"/>
      <c r="U6" s="517"/>
      <c r="V6" s="514" t="s">
        <v>1523</v>
      </c>
      <c r="W6" s="189"/>
      <c r="X6" s="190"/>
      <c r="Y6" s="113" t="s">
        <v>1550</v>
      </c>
      <c r="Z6" s="113"/>
      <c r="AA6" s="113"/>
      <c r="AB6" s="118" t="s">
        <v>1551</v>
      </c>
      <c r="AC6" s="118" t="s">
        <v>308</v>
      </c>
      <c r="BA6" s="191"/>
      <c r="BB6" s="100"/>
      <c r="BC6" s="100"/>
      <c r="BD6" s="100"/>
      <c r="BE6" s="100"/>
      <c r="BF6" s="192" t="s">
        <v>1639</v>
      </c>
      <c r="BG6" s="192" t="s">
        <v>1640</v>
      </c>
      <c r="BH6" s="193" t="s">
        <v>1748</v>
      </c>
      <c r="BI6" s="193" t="s">
        <v>4217</v>
      </c>
      <c r="BJ6" s="193" t="s">
        <v>3695</v>
      </c>
      <c r="BK6" s="193" t="s">
        <v>1712</v>
      </c>
      <c r="BL6" s="193" t="s">
        <v>3696</v>
      </c>
      <c r="BM6" s="193" t="s">
        <v>4355</v>
      </c>
      <c r="BN6" s="193" t="s">
        <v>1641</v>
      </c>
      <c r="BO6" s="193" t="s">
        <v>2209</v>
      </c>
      <c r="BP6" s="193" t="s">
        <v>3697</v>
      </c>
      <c r="BQ6" s="193" t="s">
        <v>1644</v>
      </c>
      <c r="BR6" s="191"/>
      <c r="BS6" s="518" t="s">
        <v>4488</v>
      </c>
      <c r="BT6" s="530" t="str">
        <f>BB2</f>
        <v>2025年7月31日</v>
      </c>
      <c r="BU6" s="268"/>
      <c r="BV6" s="268"/>
      <c r="BW6" s="111"/>
      <c r="BX6" s="78"/>
      <c r="BY6" s="78"/>
      <c r="BZ6" s="78"/>
      <c r="CA6" s="78"/>
      <c r="CB6" s="78"/>
      <c r="CC6" s="78"/>
      <c r="CD6" s="194"/>
      <c r="CE6" s="111"/>
    </row>
    <row r="7" s="72" customFormat="1" ht="15" customHeight="1" spans="1:83">
      <c r="A7" s="195"/>
      <c r="B7" s="149"/>
      <c r="C7" s="149"/>
      <c r="D7" s="149"/>
      <c r="E7" s="531"/>
      <c r="F7" s="198"/>
      <c r="G7" s="532"/>
      <c r="H7" s="149"/>
      <c r="I7" s="118"/>
      <c r="J7" s="118"/>
      <c r="K7" s="519" t="s">
        <v>1968</v>
      </c>
      <c r="L7" s="519" t="s">
        <v>1969</v>
      </c>
      <c r="M7" s="519" t="s">
        <v>3699</v>
      </c>
      <c r="N7" s="519" t="s">
        <v>3700</v>
      </c>
      <c r="O7" s="149" t="s">
        <v>3701</v>
      </c>
      <c r="P7" s="113" t="s">
        <v>1556</v>
      </c>
      <c r="Q7" s="113" t="s">
        <v>1557</v>
      </c>
      <c r="R7" s="113" t="s">
        <v>3702</v>
      </c>
      <c r="S7" s="117" t="s">
        <v>3703</v>
      </c>
      <c r="T7" s="117" t="s">
        <v>3704</v>
      </c>
      <c r="U7" s="117" t="s">
        <v>3705</v>
      </c>
      <c r="V7" s="113" t="s">
        <v>1556</v>
      </c>
      <c r="W7" s="113" t="s">
        <v>1557</v>
      </c>
      <c r="X7" s="113" t="s">
        <v>3702</v>
      </c>
      <c r="Y7" s="113" t="s">
        <v>1556</v>
      </c>
      <c r="Z7" s="113" t="s">
        <v>2753</v>
      </c>
      <c r="AA7" s="113" t="s">
        <v>1557</v>
      </c>
      <c r="AB7" s="113"/>
      <c r="AC7" s="113"/>
      <c r="BA7" s="100" t="s">
        <v>1545</v>
      </c>
      <c r="BB7" s="100" t="s">
        <v>1635</v>
      </c>
      <c r="BC7" s="100" t="s">
        <v>1636</v>
      </c>
      <c r="BD7" s="100" t="s">
        <v>1637</v>
      </c>
      <c r="BE7" s="100" t="s">
        <v>1638</v>
      </c>
      <c r="BF7" s="197"/>
      <c r="BG7" s="197"/>
      <c r="BH7" s="198"/>
      <c r="BI7" s="198"/>
      <c r="BJ7" s="198"/>
      <c r="BK7" s="198"/>
      <c r="BL7" s="198"/>
      <c r="BM7" s="198"/>
      <c r="BN7" s="198"/>
      <c r="BO7" s="198"/>
      <c r="BP7" s="198"/>
      <c r="BQ7" s="198"/>
      <c r="BR7" s="520" t="s">
        <v>2667</v>
      </c>
      <c r="BS7" s="185" t="s">
        <v>2184</v>
      </c>
      <c r="BT7" s="185" t="s">
        <v>2761</v>
      </c>
      <c r="BU7" s="185" t="s">
        <v>2763</v>
      </c>
      <c r="BV7" s="185" t="s">
        <v>4252</v>
      </c>
      <c r="BW7" s="119"/>
      <c r="BX7" s="120" t="s">
        <v>1645</v>
      </c>
      <c r="BY7" s="121" t="s">
        <v>1646</v>
      </c>
      <c r="BZ7" s="121" t="s">
        <v>1647</v>
      </c>
      <c r="CA7" s="121" t="s">
        <v>1648</v>
      </c>
      <c r="CB7" s="121" t="s">
        <v>1647</v>
      </c>
      <c r="CC7" s="121" t="s">
        <v>1647</v>
      </c>
      <c r="CD7" s="121" t="s">
        <v>1649</v>
      </c>
      <c r="CE7" s="122" t="s">
        <v>1650</v>
      </c>
    </row>
    <row r="8" ht="15" customHeight="1" spans="1:83">
      <c r="A8" s="123" t="str">
        <f>IF(B8="","",COUNT(A$7:A7)+1)</f>
        <v/>
      </c>
      <c r="B8" s="124"/>
      <c r="C8" s="124"/>
      <c r="D8" s="126"/>
      <c r="E8" s="124"/>
      <c r="F8" s="124"/>
      <c r="G8" s="533"/>
      <c r="H8" s="124"/>
      <c r="I8" s="125"/>
      <c r="J8" s="126"/>
      <c r="K8" s="127"/>
      <c r="L8" s="127" t="str">
        <f>IFERROR(VLOOKUP(K8,参数表!$H$2:$I$50,2,FALSE),"")</f>
        <v/>
      </c>
      <c r="M8" s="128" t="str">
        <f>IFERROR(IF(OR(K8="人民币",K8=""),"",V8/L8),"")</f>
        <v/>
      </c>
      <c r="N8" s="128" t="str">
        <f>IFERROR(IF(OR(K8="人民币",K8=""),"",W8/L8),"")</f>
        <v/>
      </c>
      <c r="O8" s="129" t="str">
        <f>IFERROR(IF(OR(K8="人民币",K8=""),"",X8/L8),"")</f>
        <v/>
      </c>
      <c r="P8" s="129"/>
      <c r="Q8" s="129"/>
      <c r="R8" s="129"/>
      <c r="S8" s="130"/>
      <c r="T8" s="130"/>
      <c r="U8" s="130"/>
      <c r="V8" s="129" t="str">
        <f>IF(B8&amp;C8="","",P8+S8)</f>
        <v/>
      </c>
      <c r="W8" s="129" t="str">
        <f>IF(B8&amp;C8="","",Q8+T8)</f>
        <v/>
      </c>
      <c r="X8" s="129" t="str">
        <f>IF(B8&amp;C8="","",R8+U8)</f>
        <v/>
      </c>
      <c r="Y8" s="129" t="str">
        <f t="shared" ref="Y8:Y27" si="0">IF(B8&amp;C8="","",IF($BB$3="是",H8*BS8,""))</f>
        <v/>
      </c>
      <c r="Z8" s="521" t="str">
        <f t="shared" ref="Z8:Z27" si="1">IF(B8&amp;C8="","",IF($BB$3="是",IF(BR8="成本法",BV8*100,""),""))</f>
        <v/>
      </c>
      <c r="AA8" s="129" t="str">
        <f t="shared" ref="AA8:AA27" si="2">IF(Y8="","",IF(BB$3="是",IF(Z8="",Y8,ROUND(Y8*Z8/100,0)),""))</f>
        <v/>
      </c>
      <c r="AB8" s="129" t="str">
        <f>IFERROR(AA8/(W8-X8)*100,"")</f>
        <v/>
      </c>
      <c r="AC8" s="131"/>
      <c r="BA8" s="78"/>
      <c r="BB8" s="132" t="s">
        <v>4511</v>
      </c>
      <c r="BC8" s="133"/>
      <c r="BD8" s="132" t="str">
        <f>IF(OR(C8="",BC8=""),"",COUNTIF(BC$7:BC8,"√"))</f>
        <v/>
      </c>
      <c r="BE8" s="134" t="str">
        <f t="shared" ref="BE8:BE27" si="3">IF(BC8="","",BB8&amp;"︱"&amp;C8&amp;"︱"&amp;TEXT(P8,"#,##0.00"))</f>
        <v/>
      </c>
      <c r="BF8" s="135" t="str">
        <f>IF($B8="","",IF(BF$5=0,"OK","出错"))</f>
        <v/>
      </c>
      <c r="BG8" s="135" t="str">
        <f>IF($B8="","",IF(BG$5=0,"OK","出错"))</f>
        <v/>
      </c>
      <c r="BH8" s="136"/>
      <c r="BI8" s="137"/>
      <c r="BJ8" s="136"/>
      <c r="BK8" s="136"/>
      <c r="BL8" s="136"/>
      <c r="BM8" s="136"/>
      <c r="BN8" s="136"/>
      <c r="BO8" s="137"/>
      <c r="BP8" s="136"/>
      <c r="BQ8" s="137"/>
      <c r="BR8" s="165" t="s">
        <v>2706</v>
      </c>
      <c r="BS8" s="158"/>
      <c r="BT8" s="522">
        <f t="shared" ref="BT8:BT27" si="4">(BT$6-I8)/365.25</f>
        <v>125.582477754962</v>
      </c>
      <c r="BU8" s="534"/>
      <c r="BV8" s="524">
        <f>IFERROR(ROUND((1-BT8/BU8),2),0)</f>
        <v>0</v>
      </c>
      <c r="BX8" s="134" t="str">
        <f>IF(COUNTIF(BX$7:BX7,C8)&gt;0,"",C8)&amp;""</f>
        <v/>
      </c>
      <c r="BY8" s="138">
        <f>SUMIF(C$8:C$27,BX8,V$8:V$27)</f>
        <v>0</v>
      </c>
      <c r="BZ8" s="132">
        <f t="shared" ref="BZ8" si="5">RANK(BY8,BY$8:BY$27)</f>
        <v>1</v>
      </c>
      <c r="CA8" s="138">
        <f>SUMIF(C$8:C$27,BX8,Y$8:Y$27)</f>
        <v>0</v>
      </c>
      <c r="CB8" s="132">
        <f>RANK(CA8,CA$8:CA$27)</f>
        <v>1</v>
      </c>
      <c r="CC8" s="138">
        <f>SUM(BY8:BY27)</f>
        <v>0</v>
      </c>
      <c r="CD8" s="138"/>
      <c r="CE8" s="138"/>
    </row>
    <row r="9" ht="15" customHeight="1" spans="1:83">
      <c r="A9" s="123" t="str">
        <f>IF(B9="","",COUNT(A$7:A8)+1)</f>
        <v/>
      </c>
      <c r="B9" s="139"/>
      <c r="C9" s="139"/>
      <c r="D9" s="141"/>
      <c r="E9" s="535"/>
      <c r="F9" s="141"/>
      <c r="G9" s="536"/>
      <c r="H9" s="139"/>
      <c r="I9" s="140"/>
      <c r="J9" s="141"/>
      <c r="K9" s="142"/>
      <c r="L9" s="127" t="str">
        <f>IFERROR(VLOOKUP(K9,参数表!$H$2:$I$50,2,FALSE),"")</f>
        <v/>
      </c>
      <c r="M9" s="128" t="str">
        <f t="shared" ref="M9:M27" si="6">IFERROR(IF(OR(K9="人民币",K9=""),"",V9/L9),"")</f>
        <v/>
      </c>
      <c r="N9" s="128" t="str">
        <f t="shared" ref="N9:N27" si="7">IFERROR(IF(OR(K9="人民币",K9=""),"",W9/L9),"")</f>
        <v/>
      </c>
      <c r="O9" s="129" t="str">
        <f t="shared" ref="O9:O27" si="8">IFERROR(IF(OR(K9="人民币",K9=""),"",X9/L9),"")</f>
        <v/>
      </c>
      <c r="P9" s="143"/>
      <c r="Q9" s="143"/>
      <c r="R9" s="143"/>
      <c r="S9" s="144"/>
      <c r="T9" s="144"/>
      <c r="U9" s="144"/>
      <c r="V9" s="129" t="str">
        <f t="shared" ref="V9:V27" si="9">IF(B9&amp;C9="","",P9+S9)</f>
        <v/>
      </c>
      <c r="W9" s="129" t="str">
        <f t="shared" ref="W9:W27" si="10">IF(B9&amp;C9="","",Q9+T9)</f>
        <v/>
      </c>
      <c r="X9" s="129" t="str">
        <f t="shared" ref="X9:X27" si="11">IF(B9&amp;C9="","",R9+U9)</f>
        <v/>
      </c>
      <c r="Y9" s="129" t="str">
        <f t="shared" si="0"/>
        <v/>
      </c>
      <c r="Z9" s="521" t="str">
        <f t="shared" si="1"/>
        <v/>
      </c>
      <c r="AA9" s="129" t="str">
        <f t="shared" si="2"/>
        <v/>
      </c>
      <c r="AB9" s="129" t="str">
        <f t="shared" ref="AB9:AB30" si="12">IFERROR(AA9/(W9-X9)*100,"")</f>
        <v/>
      </c>
      <c r="AC9" s="145"/>
      <c r="BA9" s="78"/>
      <c r="BB9" s="132" t="s">
        <v>4512</v>
      </c>
      <c r="BC9" s="133"/>
      <c r="BD9" s="132" t="str">
        <f>IF(OR(C9="",BC9=""),"",COUNTIF(BC$7:BC9,"√"))</f>
        <v/>
      </c>
      <c r="BE9" s="134" t="str">
        <f t="shared" si="3"/>
        <v/>
      </c>
      <c r="BF9" s="135" t="str">
        <f t="shared" ref="BF9:BG27" si="13">IF($B9="","",IF(BF$5=0,"OK","出错"))</f>
        <v/>
      </c>
      <c r="BG9" s="135" t="str">
        <f t="shared" si="13"/>
        <v/>
      </c>
      <c r="BH9" s="136"/>
      <c r="BI9" s="137"/>
      <c r="BJ9" s="136"/>
      <c r="BK9" s="136"/>
      <c r="BL9" s="136"/>
      <c r="BM9" s="136"/>
      <c r="BN9" s="136"/>
      <c r="BO9" s="137"/>
      <c r="BP9" s="136"/>
      <c r="BQ9" s="137"/>
      <c r="BR9" s="165" t="s">
        <v>2706</v>
      </c>
      <c r="BS9" s="158"/>
      <c r="BT9" s="522">
        <f t="shared" si="4"/>
        <v>125.582477754962</v>
      </c>
      <c r="BU9" s="534"/>
      <c r="BV9" s="524">
        <f t="shared" ref="BV9:BV27" si="14">IFERROR(ROUND((1-BT9/BU9),2),0)</f>
        <v>0</v>
      </c>
      <c r="BX9" s="134" t="str">
        <f>IF(COUNTIF(BX$7:BX8,C9)&gt;0,"",C9)&amp;""</f>
        <v/>
      </c>
      <c r="BY9" s="138">
        <f t="shared" ref="BY9:BY27" si="15">SUMIF(C$8:C$27,BX9,V$8:V$27)</f>
        <v>0</v>
      </c>
      <c r="BZ9" s="132">
        <f t="shared" ref="BZ9:BZ27" si="16">RANK(BY9,BY$8:BY$27)</f>
        <v>1</v>
      </c>
      <c r="CA9" s="138">
        <f t="shared" ref="CA9:CA27" si="17">SUMIF(C$8:C$27,BX9,Y$8:Y$27)</f>
        <v>0</v>
      </c>
      <c r="CB9" s="132">
        <f t="shared" ref="CB9:CB27" si="18">RANK(CA9,CA$8:CA$27)</f>
        <v>1</v>
      </c>
      <c r="CC9" s="138">
        <f>SUM(CA8:CA27)</f>
        <v>0</v>
      </c>
      <c r="CD9" s="138"/>
      <c r="CE9" s="138"/>
    </row>
    <row r="10" ht="15" customHeight="1" spans="1:83">
      <c r="A10" s="123" t="str">
        <f>IF(B10="","",COUNT(A$7:A9)+1)</f>
        <v/>
      </c>
      <c r="B10" s="139"/>
      <c r="C10" s="139"/>
      <c r="D10" s="141"/>
      <c r="E10" s="535"/>
      <c r="F10" s="141"/>
      <c r="G10" s="536"/>
      <c r="H10" s="139"/>
      <c r="I10" s="140"/>
      <c r="J10" s="141"/>
      <c r="K10" s="142"/>
      <c r="L10" s="127" t="str">
        <f>IFERROR(VLOOKUP(K10,参数表!$H$2:$I$50,2,FALSE),"")</f>
        <v/>
      </c>
      <c r="M10" s="128" t="str">
        <f t="shared" si="6"/>
        <v/>
      </c>
      <c r="N10" s="128" t="str">
        <f t="shared" si="7"/>
        <v/>
      </c>
      <c r="O10" s="129" t="str">
        <f t="shared" si="8"/>
        <v/>
      </c>
      <c r="P10" s="143"/>
      <c r="Q10" s="143"/>
      <c r="R10" s="143"/>
      <c r="S10" s="144"/>
      <c r="T10" s="144"/>
      <c r="U10" s="144"/>
      <c r="V10" s="129" t="str">
        <f t="shared" si="9"/>
        <v/>
      </c>
      <c r="W10" s="129" t="str">
        <f t="shared" si="10"/>
        <v/>
      </c>
      <c r="X10" s="129" t="str">
        <f t="shared" si="11"/>
        <v/>
      </c>
      <c r="Y10" s="129" t="str">
        <f t="shared" si="0"/>
        <v/>
      </c>
      <c r="Z10" s="521" t="str">
        <f t="shared" si="1"/>
        <v/>
      </c>
      <c r="AA10" s="129" t="str">
        <f t="shared" si="2"/>
        <v/>
      </c>
      <c r="AB10" s="129" t="str">
        <f t="shared" si="12"/>
        <v/>
      </c>
      <c r="AC10" s="145"/>
      <c r="BA10" s="78"/>
      <c r="BB10" s="132" t="s">
        <v>4513</v>
      </c>
      <c r="BC10" s="133"/>
      <c r="BD10" s="132" t="str">
        <f>IF(OR(C10="",BC10=""),"",COUNTIF(BC$7:BC10,"√"))</f>
        <v/>
      </c>
      <c r="BE10" s="134" t="str">
        <f t="shared" si="3"/>
        <v/>
      </c>
      <c r="BF10" s="135" t="str">
        <f t="shared" si="13"/>
        <v/>
      </c>
      <c r="BG10" s="135" t="str">
        <f t="shared" si="13"/>
        <v/>
      </c>
      <c r="BH10" s="136"/>
      <c r="BI10" s="137"/>
      <c r="BJ10" s="136"/>
      <c r="BK10" s="136"/>
      <c r="BL10" s="136"/>
      <c r="BM10" s="136"/>
      <c r="BN10" s="136"/>
      <c r="BO10" s="137"/>
      <c r="BP10" s="136"/>
      <c r="BQ10" s="137"/>
      <c r="BR10" s="165" t="s">
        <v>2706</v>
      </c>
      <c r="BS10" s="158"/>
      <c r="BT10" s="522">
        <f t="shared" si="4"/>
        <v>125.582477754962</v>
      </c>
      <c r="BU10" s="534"/>
      <c r="BV10" s="524">
        <f t="shared" si="14"/>
        <v>0</v>
      </c>
      <c r="BX10" s="134" t="str">
        <f>IF(COUNTIF(BX$7:BX9,C10)&gt;0,"",C10)&amp;""</f>
        <v/>
      </c>
      <c r="BY10" s="138">
        <f t="shared" si="15"/>
        <v>0</v>
      </c>
      <c r="BZ10" s="132">
        <f t="shared" si="16"/>
        <v>1</v>
      </c>
      <c r="CA10" s="138">
        <f t="shared" si="17"/>
        <v>0</v>
      </c>
      <c r="CB10" s="132">
        <f t="shared" si="18"/>
        <v>1</v>
      </c>
      <c r="CC10" s="132">
        <v>1</v>
      </c>
      <c r="CD10" s="134" t="str">
        <f>IFERROR(INDEX(BX$8:BX$27,MATCH(CC10,IF(CC$8=0,CB$8:CB$27,BZ$8:BZ$27),0))&amp;"","")</f>
        <v/>
      </c>
      <c r="CE10" s="146" t="str">
        <f>IF(CD11="","",IF(CD12="","和","、"))</f>
        <v/>
      </c>
    </row>
    <row r="11" ht="15" customHeight="1" spans="1:83">
      <c r="A11" s="123" t="str">
        <f>IF(B11="","",COUNT(A$7:A10)+1)</f>
        <v/>
      </c>
      <c r="B11" s="139"/>
      <c r="C11" s="139"/>
      <c r="D11" s="141"/>
      <c r="E11" s="535"/>
      <c r="F11" s="141"/>
      <c r="G11" s="536"/>
      <c r="H11" s="139"/>
      <c r="I11" s="140"/>
      <c r="J11" s="141"/>
      <c r="K11" s="142"/>
      <c r="L11" s="127" t="str">
        <f>IFERROR(VLOOKUP(K11,参数表!$H$2:$I$50,2,FALSE),"")</f>
        <v/>
      </c>
      <c r="M11" s="128" t="str">
        <f t="shared" si="6"/>
        <v/>
      </c>
      <c r="N11" s="128" t="str">
        <f t="shared" si="7"/>
        <v/>
      </c>
      <c r="O11" s="129" t="str">
        <f t="shared" si="8"/>
        <v/>
      </c>
      <c r="P11" s="143"/>
      <c r="Q11" s="143"/>
      <c r="R11" s="143"/>
      <c r="S11" s="144"/>
      <c r="T11" s="144"/>
      <c r="U11" s="144"/>
      <c r="V11" s="129" t="str">
        <f t="shared" si="9"/>
        <v/>
      </c>
      <c r="W11" s="129" t="str">
        <f t="shared" si="10"/>
        <v/>
      </c>
      <c r="X11" s="129" t="str">
        <f t="shared" si="11"/>
        <v/>
      </c>
      <c r="Y11" s="129" t="str">
        <f t="shared" si="0"/>
        <v/>
      </c>
      <c r="Z11" s="521" t="str">
        <f t="shared" si="1"/>
        <v/>
      </c>
      <c r="AA11" s="129" t="str">
        <f t="shared" si="2"/>
        <v/>
      </c>
      <c r="AB11" s="129" t="str">
        <f t="shared" si="12"/>
        <v/>
      </c>
      <c r="AC11" s="145"/>
      <c r="BA11" s="78"/>
      <c r="BB11" s="132" t="s">
        <v>4514</v>
      </c>
      <c r="BC11" s="133"/>
      <c r="BD11" s="132" t="str">
        <f>IF(OR(C11="",BC11=""),"",COUNTIF(BC$7:BC11,"√"))</f>
        <v/>
      </c>
      <c r="BE11" s="134" t="str">
        <f t="shared" si="3"/>
        <v/>
      </c>
      <c r="BF11" s="135" t="str">
        <f t="shared" si="13"/>
        <v/>
      </c>
      <c r="BG11" s="135" t="str">
        <f t="shared" si="13"/>
        <v/>
      </c>
      <c r="BH11" s="136"/>
      <c r="BI11" s="137"/>
      <c r="BJ11" s="136"/>
      <c r="BK11" s="136"/>
      <c r="BL11" s="136"/>
      <c r="BM11" s="136"/>
      <c r="BN11" s="136"/>
      <c r="BO11" s="137"/>
      <c r="BP11" s="136"/>
      <c r="BQ11" s="137"/>
      <c r="BR11" s="165" t="s">
        <v>2706</v>
      </c>
      <c r="BS11" s="158"/>
      <c r="BT11" s="522">
        <f t="shared" si="4"/>
        <v>125.582477754962</v>
      </c>
      <c r="BU11" s="534"/>
      <c r="BV11" s="524">
        <f t="shared" si="14"/>
        <v>0</v>
      </c>
      <c r="BX11" s="134" t="str">
        <f>IF(COUNTIF(BX$7:BX10,C11)&gt;0,"",C11)&amp;""</f>
        <v/>
      </c>
      <c r="BY11" s="138">
        <f t="shared" si="15"/>
        <v>0</v>
      </c>
      <c r="BZ11" s="132">
        <f t="shared" si="16"/>
        <v>1</v>
      </c>
      <c r="CA11" s="138">
        <f t="shared" si="17"/>
        <v>0</v>
      </c>
      <c r="CB11" s="132">
        <f t="shared" si="18"/>
        <v>1</v>
      </c>
      <c r="CC11" s="132">
        <v>2</v>
      </c>
      <c r="CD11" s="134" t="str">
        <f t="shared" ref="CD11:CD14" si="19">IFERROR(INDEX(BX$8:BX$27,MATCH(CC11,IF(CC$8=0,CB$8:CB$27,BZ$8:BZ$27),0))&amp;"","")</f>
        <v/>
      </c>
      <c r="CE11" s="146" t="str">
        <f t="shared" ref="CE11:CE12" si="20">IF(CD12="","",IF(CD13="","和","、"))</f>
        <v/>
      </c>
    </row>
    <row r="12" ht="15" customHeight="1" spans="1:83">
      <c r="A12" s="123" t="str">
        <f>IF(B12="","",COUNT(A$7:A11)+1)</f>
        <v/>
      </c>
      <c r="B12" s="139"/>
      <c r="C12" s="139"/>
      <c r="D12" s="141"/>
      <c r="E12" s="535"/>
      <c r="F12" s="141"/>
      <c r="G12" s="536"/>
      <c r="H12" s="139"/>
      <c r="I12" s="140"/>
      <c r="J12" s="141"/>
      <c r="K12" s="142"/>
      <c r="L12" s="127" t="str">
        <f>IFERROR(VLOOKUP(K12,参数表!$H$2:$I$50,2,FALSE),"")</f>
        <v/>
      </c>
      <c r="M12" s="128" t="str">
        <f t="shared" si="6"/>
        <v/>
      </c>
      <c r="N12" s="128" t="str">
        <f t="shared" si="7"/>
        <v/>
      </c>
      <c r="O12" s="129" t="str">
        <f t="shared" si="8"/>
        <v/>
      </c>
      <c r="P12" s="143"/>
      <c r="Q12" s="143"/>
      <c r="R12" s="143"/>
      <c r="S12" s="144"/>
      <c r="T12" s="144"/>
      <c r="U12" s="144"/>
      <c r="V12" s="129" t="str">
        <f t="shared" si="9"/>
        <v/>
      </c>
      <c r="W12" s="129" t="str">
        <f t="shared" si="10"/>
        <v/>
      </c>
      <c r="X12" s="129" t="str">
        <f t="shared" si="11"/>
        <v/>
      </c>
      <c r="Y12" s="129" t="str">
        <f t="shared" si="0"/>
        <v/>
      </c>
      <c r="Z12" s="521" t="str">
        <f t="shared" si="1"/>
        <v/>
      </c>
      <c r="AA12" s="129" t="str">
        <f t="shared" si="2"/>
        <v/>
      </c>
      <c r="AB12" s="129" t="str">
        <f t="shared" si="12"/>
        <v/>
      </c>
      <c r="AC12" s="145"/>
      <c r="BA12" s="78"/>
      <c r="BB12" s="132" t="s">
        <v>4515</v>
      </c>
      <c r="BC12" s="133"/>
      <c r="BD12" s="132" t="str">
        <f>IF(OR(C12="",BC12=""),"",COUNTIF(BC$7:BC12,"√"))</f>
        <v/>
      </c>
      <c r="BE12" s="134" t="str">
        <f t="shared" si="3"/>
        <v/>
      </c>
      <c r="BF12" s="135" t="str">
        <f t="shared" si="13"/>
        <v/>
      </c>
      <c r="BG12" s="135" t="str">
        <f t="shared" si="13"/>
        <v/>
      </c>
      <c r="BH12" s="136"/>
      <c r="BI12" s="137"/>
      <c r="BJ12" s="136"/>
      <c r="BK12" s="136"/>
      <c r="BL12" s="136"/>
      <c r="BM12" s="136"/>
      <c r="BN12" s="136"/>
      <c r="BO12" s="137"/>
      <c r="BP12" s="136"/>
      <c r="BQ12" s="137"/>
      <c r="BR12" s="165" t="s">
        <v>2706</v>
      </c>
      <c r="BS12" s="158"/>
      <c r="BT12" s="522">
        <f t="shared" si="4"/>
        <v>125.582477754962</v>
      </c>
      <c r="BU12" s="534"/>
      <c r="BV12" s="524">
        <f t="shared" si="14"/>
        <v>0</v>
      </c>
      <c r="BX12" s="134" t="str">
        <f>IF(COUNTIF(BX$7:BX11,C12)&gt;0,"",C12)&amp;""</f>
        <v/>
      </c>
      <c r="BY12" s="138">
        <f t="shared" si="15"/>
        <v>0</v>
      </c>
      <c r="BZ12" s="132">
        <f t="shared" si="16"/>
        <v>1</v>
      </c>
      <c r="CA12" s="138">
        <f t="shared" si="17"/>
        <v>0</v>
      </c>
      <c r="CB12" s="132">
        <f t="shared" si="18"/>
        <v>1</v>
      </c>
      <c r="CC12" s="132">
        <v>3</v>
      </c>
      <c r="CD12" s="134" t="str">
        <f t="shared" si="19"/>
        <v/>
      </c>
      <c r="CE12" s="146" t="str">
        <f t="shared" si="20"/>
        <v/>
      </c>
    </row>
    <row r="13" ht="15" customHeight="1" spans="1:83">
      <c r="A13" s="123" t="str">
        <f>IF(B13="","",COUNT(A$7:A12)+1)</f>
        <v/>
      </c>
      <c r="B13" s="139"/>
      <c r="C13" s="139"/>
      <c r="D13" s="141"/>
      <c r="E13" s="535"/>
      <c r="F13" s="141"/>
      <c r="G13" s="536"/>
      <c r="H13" s="139"/>
      <c r="I13" s="140"/>
      <c r="J13" s="141"/>
      <c r="K13" s="142"/>
      <c r="L13" s="127" t="str">
        <f>IFERROR(VLOOKUP(K13,参数表!$H$2:$I$50,2,FALSE),"")</f>
        <v/>
      </c>
      <c r="M13" s="128" t="str">
        <f t="shared" si="6"/>
        <v/>
      </c>
      <c r="N13" s="128" t="str">
        <f t="shared" si="7"/>
        <v/>
      </c>
      <c r="O13" s="129" t="str">
        <f t="shared" si="8"/>
        <v/>
      </c>
      <c r="P13" s="143"/>
      <c r="Q13" s="143"/>
      <c r="R13" s="143"/>
      <c r="S13" s="144"/>
      <c r="T13" s="144"/>
      <c r="U13" s="144"/>
      <c r="V13" s="129" t="str">
        <f t="shared" si="9"/>
        <v/>
      </c>
      <c r="W13" s="129" t="str">
        <f t="shared" si="10"/>
        <v/>
      </c>
      <c r="X13" s="129" t="str">
        <f t="shared" si="11"/>
        <v/>
      </c>
      <c r="Y13" s="129" t="str">
        <f t="shared" si="0"/>
        <v/>
      </c>
      <c r="Z13" s="521" t="str">
        <f t="shared" si="1"/>
        <v/>
      </c>
      <c r="AA13" s="129" t="str">
        <f t="shared" si="2"/>
        <v/>
      </c>
      <c r="AB13" s="129" t="str">
        <f t="shared" si="12"/>
        <v/>
      </c>
      <c r="AC13" s="145"/>
      <c r="BA13" s="78"/>
      <c r="BB13" s="132" t="s">
        <v>4516</v>
      </c>
      <c r="BC13" s="133"/>
      <c r="BD13" s="132" t="str">
        <f>IF(OR(C13="",BC13=""),"",COUNTIF(BC$7:BC13,"√"))</f>
        <v/>
      </c>
      <c r="BE13" s="134" t="str">
        <f t="shared" si="3"/>
        <v/>
      </c>
      <c r="BF13" s="135" t="str">
        <f t="shared" si="13"/>
        <v/>
      </c>
      <c r="BG13" s="135" t="str">
        <f t="shared" si="13"/>
        <v/>
      </c>
      <c r="BH13" s="136"/>
      <c r="BI13" s="137"/>
      <c r="BJ13" s="136"/>
      <c r="BK13" s="136"/>
      <c r="BL13" s="136"/>
      <c r="BM13" s="136"/>
      <c r="BN13" s="136"/>
      <c r="BO13" s="137"/>
      <c r="BP13" s="136"/>
      <c r="BQ13" s="137"/>
      <c r="BR13" s="165" t="s">
        <v>2706</v>
      </c>
      <c r="BS13" s="158"/>
      <c r="BT13" s="522">
        <f t="shared" si="4"/>
        <v>125.582477754962</v>
      </c>
      <c r="BU13" s="534"/>
      <c r="BV13" s="524">
        <f t="shared" si="14"/>
        <v>0</v>
      </c>
      <c r="BX13" s="134" t="str">
        <f>IF(COUNTIF(BX$7:BX12,C13)&gt;0,"",C13)&amp;""</f>
        <v/>
      </c>
      <c r="BY13" s="138">
        <f t="shared" si="15"/>
        <v>0</v>
      </c>
      <c r="BZ13" s="132">
        <f t="shared" si="16"/>
        <v>1</v>
      </c>
      <c r="CA13" s="138">
        <f t="shared" si="17"/>
        <v>0</v>
      </c>
      <c r="CB13" s="132">
        <f t="shared" si="18"/>
        <v>1</v>
      </c>
      <c r="CC13" s="132">
        <v>4</v>
      </c>
      <c r="CD13" s="134" t="str">
        <f t="shared" si="19"/>
        <v/>
      </c>
      <c r="CE13" s="146" t="str">
        <f>IF(CD14="","","和")</f>
        <v/>
      </c>
    </row>
    <row r="14" ht="15" customHeight="1" spans="1:83">
      <c r="A14" s="123" t="str">
        <f>IF(B14="","",COUNT(A$7:A13)+1)</f>
        <v/>
      </c>
      <c r="B14" s="139"/>
      <c r="C14" s="139"/>
      <c r="D14" s="141"/>
      <c r="E14" s="535"/>
      <c r="F14" s="141"/>
      <c r="G14" s="536"/>
      <c r="H14" s="139"/>
      <c r="I14" s="140"/>
      <c r="J14" s="141"/>
      <c r="K14" s="142"/>
      <c r="L14" s="127" t="str">
        <f>IFERROR(VLOOKUP(K14,参数表!$H$2:$I$50,2,FALSE),"")</f>
        <v/>
      </c>
      <c r="M14" s="128" t="str">
        <f t="shared" si="6"/>
        <v/>
      </c>
      <c r="N14" s="128" t="str">
        <f t="shared" si="7"/>
        <v/>
      </c>
      <c r="O14" s="129" t="str">
        <f t="shared" si="8"/>
        <v/>
      </c>
      <c r="P14" s="143"/>
      <c r="Q14" s="143"/>
      <c r="R14" s="143"/>
      <c r="S14" s="144"/>
      <c r="T14" s="144"/>
      <c r="U14" s="144"/>
      <c r="V14" s="129" t="str">
        <f t="shared" si="9"/>
        <v/>
      </c>
      <c r="W14" s="129" t="str">
        <f t="shared" si="10"/>
        <v/>
      </c>
      <c r="X14" s="129" t="str">
        <f t="shared" si="11"/>
        <v/>
      </c>
      <c r="Y14" s="129" t="str">
        <f t="shared" si="0"/>
        <v/>
      </c>
      <c r="Z14" s="521" t="str">
        <f t="shared" si="1"/>
        <v/>
      </c>
      <c r="AA14" s="129" t="str">
        <f t="shared" si="2"/>
        <v/>
      </c>
      <c r="AB14" s="129" t="str">
        <f t="shared" si="12"/>
        <v/>
      </c>
      <c r="AC14" s="145"/>
      <c r="BA14" s="78"/>
      <c r="BB14" s="132" t="s">
        <v>4517</v>
      </c>
      <c r="BC14" s="133"/>
      <c r="BD14" s="132" t="str">
        <f>IF(OR(C14="",BC14=""),"",COUNTIF(BC$7:BC14,"√"))</f>
        <v/>
      </c>
      <c r="BE14" s="134" t="str">
        <f t="shared" si="3"/>
        <v/>
      </c>
      <c r="BF14" s="135" t="str">
        <f t="shared" si="13"/>
        <v/>
      </c>
      <c r="BG14" s="135" t="str">
        <f t="shared" si="13"/>
        <v/>
      </c>
      <c r="BH14" s="136"/>
      <c r="BI14" s="137"/>
      <c r="BJ14" s="136"/>
      <c r="BK14" s="136"/>
      <c r="BL14" s="136"/>
      <c r="BM14" s="136"/>
      <c r="BN14" s="136"/>
      <c r="BO14" s="137"/>
      <c r="BP14" s="136"/>
      <c r="BQ14" s="137"/>
      <c r="BR14" s="165" t="s">
        <v>2706</v>
      </c>
      <c r="BS14" s="158"/>
      <c r="BT14" s="522">
        <f t="shared" si="4"/>
        <v>125.582477754962</v>
      </c>
      <c r="BU14" s="534"/>
      <c r="BV14" s="524">
        <f t="shared" si="14"/>
        <v>0</v>
      </c>
      <c r="BX14" s="134" t="str">
        <f>IF(COUNTIF(BX$7:BX13,C14)&gt;0,"",C14)&amp;""</f>
        <v/>
      </c>
      <c r="BY14" s="138">
        <f t="shared" si="15"/>
        <v>0</v>
      </c>
      <c r="BZ14" s="132">
        <f t="shared" si="16"/>
        <v>1</v>
      </c>
      <c r="CA14" s="138">
        <f t="shared" si="17"/>
        <v>0</v>
      </c>
      <c r="CB14" s="132">
        <f t="shared" si="18"/>
        <v>1</v>
      </c>
      <c r="CC14" s="132">
        <v>5</v>
      </c>
      <c r="CD14" s="134" t="str">
        <f t="shared" si="19"/>
        <v/>
      </c>
      <c r="CE14" s="146"/>
    </row>
    <row r="15" ht="15" customHeight="1" spans="1:83">
      <c r="A15" s="123" t="str">
        <f>IF(B15="","",COUNT(A$7:A14)+1)</f>
        <v/>
      </c>
      <c r="B15" s="139"/>
      <c r="C15" s="139"/>
      <c r="D15" s="141"/>
      <c r="E15" s="535"/>
      <c r="F15" s="141"/>
      <c r="G15" s="536"/>
      <c r="H15" s="139"/>
      <c r="I15" s="140"/>
      <c r="J15" s="141"/>
      <c r="K15" s="142"/>
      <c r="L15" s="127" t="str">
        <f>IFERROR(VLOOKUP(K15,参数表!$H$2:$I$50,2,FALSE),"")</f>
        <v/>
      </c>
      <c r="M15" s="128" t="str">
        <f t="shared" si="6"/>
        <v/>
      </c>
      <c r="N15" s="128" t="str">
        <f t="shared" si="7"/>
        <v/>
      </c>
      <c r="O15" s="129" t="str">
        <f t="shared" si="8"/>
        <v/>
      </c>
      <c r="P15" s="143"/>
      <c r="Q15" s="143"/>
      <c r="R15" s="143"/>
      <c r="S15" s="144"/>
      <c r="T15" s="144"/>
      <c r="U15" s="144"/>
      <c r="V15" s="129" t="str">
        <f t="shared" si="9"/>
        <v/>
      </c>
      <c r="W15" s="129" t="str">
        <f t="shared" si="10"/>
        <v/>
      </c>
      <c r="X15" s="129" t="str">
        <f t="shared" si="11"/>
        <v/>
      </c>
      <c r="Y15" s="129" t="str">
        <f t="shared" si="0"/>
        <v/>
      </c>
      <c r="Z15" s="521" t="str">
        <f t="shared" si="1"/>
        <v/>
      </c>
      <c r="AA15" s="129" t="str">
        <f t="shared" si="2"/>
        <v/>
      </c>
      <c r="AB15" s="129" t="str">
        <f t="shared" si="12"/>
        <v/>
      </c>
      <c r="AC15" s="145"/>
      <c r="BA15" s="78"/>
      <c r="BB15" s="132" t="s">
        <v>4518</v>
      </c>
      <c r="BC15" s="133"/>
      <c r="BD15" s="132" t="str">
        <f>IF(OR(C15="",BC15=""),"",COUNTIF(BC$7:BC15,"√"))</f>
        <v/>
      </c>
      <c r="BE15" s="134" t="str">
        <f t="shared" si="3"/>
        <v/>
      </c>
      <c r="BF15" s="135" t="str">
        <f t="shared" si="13"/>
        <v/>
      </c>
      <c r="BG15" s="135" t="str">
        <f t="shared" si="13"/>
        <v/>
      </c>
      <c r="BH15" s="136"/>
      <c r="BI15" s="137"/>
      <c r="BJ15" s="136"/>
      <c r="BK15" s="136"/>
      <c r="BL15" s="136"/>
      <c r="BM15" s="136"/>
      <c r="BN15" s="136"/>
      <c r="BO15" s="137"/>
      <c r="BP15" s="136"/>
      <c r="BQ15" s="137"/>
      <c r="BR15" s="165" t="s">
        <v>2706</v>
      </c>
      <c r="BS15" s="158"/>
      <c r="BT15" s="522">
        <f t="shared" si="4"/>
        <v>125.582477754962</v>
      </c>
      <c r="BU15" s="534"/>
      <c r="BV15" s="524">
        <f t="shared" si="14"/>
        <v>0</v>
      </c>
      <c r="BX15" s="134" t="str">
        <f>IF(COUNTIF(BX$7:BX14,C15)&gt;0,"",C15)&amp;""</f>
        <v/>
      </c>
      <c r="BY15" s="138">
        <f t="shared" si="15"/>
        <v>0</v>
      </c>
      <c r="BZ15" s="132">
        <f t="shared" si="16"/>
        <v>1</v>
      </c>
      <c r="CA15" s="138">
        <f t="shared" si="17"/>
        <v>0</v>
      </c>
      <c r="CB15" s="132">
        <f t="shared" si="18"/>
        <v>1</v>
      </c>
      <c r="CC15" s="147" t="s">
        <v>1659</v>
      </c>
      <c r="CD15" s="132" t="str">
        <f>CONCATENATE(CD10,CE10,CD11,CE11,CD12,CE12,CD13,CE13,CD14)</f>
        <v/>
      </c>
      <c r="CE15" s="132"/>
    </row>
    <row r="16" ht="15" customHeight="1" spans="1:83">
      <c r="A16" s="123" t="str">
        <f>IF(B16="","",COUNT(A$7:A15)+1)</f>
        <v/>
      </c>
      <c r="B16" s="139"/>
      <c r="C16" s="139"/>
      <c r="D16" s="141"/>
      <c r="E16" s="535"/>
      <c r="F16" s="141"/>
      <c r="G16" s="536"/>
      <c r="H16" s="139"/>
      <c r="I16" s="140"/>
      <c r="J16" s="141"/>
      <c r="K16" s="142"/>
      <c r="L16" s="127" t="str">
        <f>IFERROR(VLOOKUP(K16,参数表!$H$2:$I$50,2,FALSE),"")</f>
        <v/>
      </c>
      <c r="M16" s="128" t="str">
        <f t="shared" si="6"/>
        <v/>
      </c>
      <c r="N16" s="128" t="str">
        <f t="shared" si="7"/>
        <v/>
      </c>
      <c r="O16" s="129" t="str">
        <f t="shared" si="8"/>
        <v/>
      </c>
      <c r="P16" s="143"/>
      <c r="Q16" s="143"/>
      <c r="R16" s="143"/>
      <c r="S16" s="144"/>
      <c r="T16" s="144"/>
      <c r="U16" s="144"/>
      <c r="V16" s="129" t="str">
        <f t="shared" si="9"/>
        <v/>
      </c>
      <c r="W16" s="129" t="str">
        <f t="shared" si="10"/>
        <v/>
      </c>
      <c r="X16" s="129" t="str">
        <f t="shared" si="11"/>
        <v/>
      </c>
      <c r="Y16" s="129" t="str">
        <f t="shared" si="0"/>
        <v/>
      </c>
      <c r="Z16" s="521" t="str">
        <f t="shared" si="1"/>
        <v/>
      </c>
      <c r="AA16" s="129" t="str">
        <f t="shared" si="2"/>
        <v/>
      </c>
      <c r="AB16" s="129" t="str">
        <f t="shared" si="12"/>
        <v/>
      </c>
      <c r="AC16" s="145"/>
      <c r="BA16" s="78"/>
      <c r="BB16" s="132" t="s">
        <v>4519</v>
      </c>
      <c r="BC16" s="133"/>
      <c r="BD16" s="132" t="str">
        <f>IF(OR(C16="",BC16=""),"",COUNTIF(BC$7:BC16,"√"))</f>
        <v/>
      </c>
      <c r="BE16" s="134" t="str">
        <f t="shared" si="3"/>
        <v/>
      </c>
      <c r="BF16" s="135" t="str">
        <f t="shared" si="13"/>
        <v/>
      </c>
      <c r="BG16" s="135" t="str">
        <f t="shared" si="13"/>
        <v/>
      </c>
      <c r="BH16" s="136"/>
      <c r="BI16" s="137"/>
      <c r="BJ16" s="136"/>
      <c r="BK16" s="136"/>
      <c r="BL16" s="136"/>
      <c r="BM16" s="136"/>
      <c r="BN16" s="136"/>
      <c r="BO16" s="137"/>
      <c r="BP16" s="136"/>
      <c r="BQ16" s="137"/>
      <c r="BR16" s="165" t="s">
        <v>2706</v>
      </c>
      <c r="BS16" s="158"/>
      <c r="BT16" s="522">
        <f t="shared" si="4"/>
        <v>125.582477754962</v>
      </c>
      <c r="BU16" s="534"/>
      <c r="BV16" s="524">
        <f t="shared" si="14"/>
        <v>0</v>
      </c>
      <c r="BX16" s="134" t="str">
        <f>IF(COUNTIF(BX$7:BX15,C16)&gt;0,"",C16)&amp;""</f>
        <v/>
      </c>
      <c r="BY16" s="138">
        <f t="shared" si="15"/>
        <v>0</v>
      </c>
      <c r="BZ16" s="132">
        <f t="shared" si="16"/>
        <v>1</v>
      </c>
      <c r="CA16" s="138">
        <f t="shared" si="17"/>
        <v>0</v>
      </c>
      <c r="CB16" s="132">
        <f t="shared" si="18"/>
        <v>1</v>
      </c>
      <c r="CC16" s="133"/>
      <c r="CD16" s="133"/>
    </row>
    <row r="17" ht="15" customHeight="1" spans="1:83">
      <c r="A17" s="123" t="str">
        <f>IF(B17="","",COUNT(A$7:A16)+1)</f>
        <v/>
      </c>
      <c r="B17" s="139"/>
      <c r="C17" s="139"/>
      <c r="D17" s="141"/>
      <c r="E17" s="535"/>
      <c r="F17" s="141"/>
      <c r="G17" s="536"/>
      <c r="H17" s="139"/>
      <c r="I17" s="140"/>
      <c r="J17" s="141"/>
      <c r="K17" s="142"/>
      <c r="L17" s="127" t="str">
        <f>IFERROR(VLOOKUP(K17,参数表!$H$2:$I$50,2,FALSE),"")</f>
        <v/>
      </c>
      <c r="M17" s="128" t="str">
        <f t="shared" si="6"/>
        <v/>
      </c>
      <c r="N17" s="128" t="str">
        <f t="shared" si="7"/>
        <v/>
      </c>
      <c r="O17" s="129" t="str">
        <f t="shared" si="8"/>
        <v/>
      </c>
      <c r="P17" s="143"/>
      <c r="Q17" s="143"/>
      <c r="R17" s="143"/>
      <c r="S17" s="144"/>
      <c r="T17" s="144"/>
      <c r="U17" s="144"/>
      <c r="V17" s="129" t="str">
        <f t="shared" si="9"/>
        <v/>
      </c>
      <c r="W17" s="129" t="str">
        <f t="shared" si="10"/>
        <v/>
      </c>
      <c r="X17" s="129" t="str">
        <f t="shared" si="11"/>
        <v/>
      </c>
      <c r="Y17" s="129" t="str">
        <f t="shared" si="0"/>
        <v/>
      </c>
      <c r="Z17" s="521" t="str">
        <f t="shared" si="1"/>
        <v/>
      </c>
      <c r="AA17" s="129" t="str">
        <f t="shared" si="2"/>
        <v/>
      </c>
      <c r="AB17" s="129" t="str">
        <f t="shared" si="12"/>
        <v/>
      </c>
      <c r="AC17" s="145"/>
      <c r="BA17" s="78"/>
      <c r="BB17" s="132" t="s">
        <v>4520</v>
      </c>
      <c r="BC17" s="133"/>
      <c r="BD17" s="132" t="str">
        <f>IF(OR(C17="",BC17=""),"",COUNTIF(BC$7:BC17,"√"))</f>
        <v/>
      </c>
      <c r="BE17" s="134" t="str">
        <f t="shared" si="3"/>
        <v/>
      </c>
      <c r="BF17" s="135" t="str">
        <f t="shared" si="13"/>
        <v/>
      </c>
      <c r="BG17" s="135" t="str">
        <f t="shared" si="13"/>
        <v/>
      </c>
      <c r="BH17" s="136"/>
      <c r="BI17" s="137"/>
      <c r="BJ17" s="136"/>
      <c r="BK17" s="136"/>
      <c r="BL17" s="136"/>
      <c r="BM17" s="136"/>
      <c r="BN17" s="136"/>
      <c r="BO17" s="137"/>
      <c r="BP17" s="136"/>
      <c r="BQ17" s="137"/>
      <c r="BR17" s="165" t="s">
        <v>2706</v>
      </c>
      <c r="BS17" s="158"/>
      <c r="BT17" s="522">
        <f t="shared" si="4"/>
        <v>125.582477754962</v>
      </c>
      <c r="BU17" s="534"/>
      <c r="BV17" s="524">
        <f t="shared" si="14"/>
        <v>0</v>
      </c>
      <c r="BX17" s="134" t="str">
        <f>IF(COUNTIF(BX$7:BX16,C17)&gt;0,"",C17)&amp;""</f>
        <v/>
      </c>
      <c r="BY17" s="138">
        <f t="shared" si="15"/>
        <v>0</v>
      </c>
      <c r="BZ17" s="132">
        <f t="shared" si="16"/>
        <v>1</v>
      </c>
      <c r="CA17" s="138">
        <f t="shared" si="17"/>
        <v>0</v>
      </c>
      <c r="CB17" s="132">
        <f t="shared" si="18"/>
        <v>1</v>
      </c>
      <c r="CC17" s="133"/>
      <c r="CD17" s="148"/>
    </row>
    <row r="18" ht="15" customHeight="1" spans="1:83">
      <c r="A18" s="123" t="str">
        <f>IF(B18="","",COUNT(A$7:A17)+1)</f>
        <v/>
      </c>
      <c r="B18" s="139"/>
      <c r="C18" s="139"/>
      <c r="D18" s="141"/>
      <c r="E18" s="535"/>
      <c r="F18" s="141"/>
      <c r="G18" s="536"/>
      <c r="H18" s="139"/>
      <c r="I18" s="140"/>
      <c r="J18" s="141"/>
      <c r="K18" s="142"/>
      <c r="L18" s="127" t="str">
        <f>IFERROR(VLOOKUP(K18,参数表!$H$2:$I$50,2,FALSE),"")</f>
        <v/>
      </c>
      <c r="M18" s="128" t="str">
        <f t="shared" si="6"/>
        <v/>
      </c>
      <c r="N18" s="128" t="str">
        <f t="shared" si="7"/>
        <v/>
      </c>
      <c r="O18" s="129" t="str">
        <f t="shared" si="8"/>
        <v/>
      </c>
      <c r="P18" s="143"/>
      <c r="Q18" s="143"/>
      <c r="R18" s="143"/>
      <c r="S18" s="144"/>
      <c r="T18" s="144"/>
      <c r="U18" s="144"/>
      <c r="V18" s="129" t="str">
        <f t="shared" si="9"/>
        <v/>
      </c>
      <c r="W18" s="129" t="str">
        <f t="shared" si="10"/>
        <v/>
      </c>
      <c r="X18" s="129" t="str">
        <f t="shared" si="11"/>
        <v/>
      </c>
      <c r="Y18" s="129" t="str">
        <f t="shared" si="0"/>
        <v/>
      </c>
      <c r="Z18" s="521" t="str">
        <f t="shared" si="1"/>
        <v/>
      </c>
      <c r="AA18" s="129" t="str">
        <f t="shared" si="2"/>
        <v/>
      </c>
      <c r="AB18" s="129" t="str">
        <f t="shared" si="12"/>
        <v/>
      </c>
      <c r="AC18" s="145"/>
      <c r="BA18" s="78"/>
      <c r="BB18" s="132" t="s">
        <v>4521</v>
      </c>
      <c r="BC18" s="133"/>
      <c r="BD18" s="132" t="str">
        <f>IF(OR(C18="",BC18=""),"",COUNTIF(BC$7:BC18,"√"))</f>
        <v/>
      </c>
      <c r="BE18" s="134" t="str">
        <f t="shared" si="3"/>
        <v/>
      </c>
      <c r="BF18" s="135" t="str">
        <f t="shared" si="13"/>
        <v/>
      </c>
      <c r="BG18" s="135" t="str">
        <f t="shared" si="13"/>
        <v/>
      </c>
      <c r="BH18" s="136"/>
      <c r="BI18" s="137"/>
      <c r="BJ18" s="136"/>
      <c r="BK18" s="136"/>
      <c r="BL18" s="136"/>
      <c r="BM18" s="136"/>
      <c r="BN18" s="136"/>
      <c r="BO18" s="137"/>
      <c r="BP18" s="136"/>
      <c r="BQ18" s="137"/>
      <c r="BR18" s="165" t="s">
        <v>2706</v>
      </c>
      <c r="BS18" s="158"/>
      <c r="BT18" s="522">
        <f t="shared" si="4"/>
        <v>125.582477754962</v>
      </c>
      <c r="BU18" s="534"/>
      <c r="BV18" s="524">
        <f t="shared" si="14"/>
        <v>0</v>
      </c>
      <c r="BX18" s="134" t="str">
        <f>IF(COUNTIF(BX$7:BX17,C18)&gt;0,"",C18)&amp;""</f>
        <v/>
      </c>
      <c r="BY18" s="138">
        <f t="shared" si="15"/>
        <v>0</v>
      </c>
      <c r="BZ18" s="132">
        <f t="shared" si="16"/>
        <v>1</v>
      </c>
      <c r="CA18" s="138">
        <f t="shared" si="17"/>
        <v>0</v>
      </c>
      <c r="CB18" s="132">
        <f t="shared" si="18"/>
        <v>1</v>
      </c>
      <c r="CC18" s="133"/>
      <c r="CD18" s="133"/>
    </row>
    <row r="19" ht="15" customHeight="1" spans="1:83">
      <c r="A19" s="123" t="str">
        <f>IF(B19="","",COUNT(A$7:A18)+1)</f>
        <v/>
      </c>
      <c r="B19" s="139"/>
      <c r="C19" s="139"/>
      <c r="D19" s="141"/>
      <c r="E19" s="535"/>
      <c r="F19" s="141"/>
      <c r="G19" s="536"/>
      <c r="H19" s="139"/>
      <c r="I19" s="140"/>
      <c r="J19" s="141"/>
      <c r="K19" s="142"/>
      <c r="L19" s="127" t="str">
        <f>IFERROR(VLOOKUP(K19,参数表!$H$2:$I$50,2,FALSE),"")</f>
        <v/>
      </c>
      <c r="M19" s="128" t="str">
        <f t="shared" si="6"/>
        <v/>
      </c>
      <c r="N19" s="128" t="str">
        <f t="shared" si="7"/>
        <v/>
      </c>
      <c r="O19" s="129" t="str">
        <f t="shared" si="8"/>
        <v/>
      </c>
      <c r="P19" s="143"/>
      <c r="Q19" s="143"/>
      <c r="R19" s="143"/>
      <c r="S19" s="144"/>
      <c r="T19" s="144"/>
      <c r="U19" s="144"/>
      <c r="V19" s="129" t="str">
        <f t="shared" si="9"/>
        <v/>
      </c>
      <c r="W19" s="129" t="str">
        <f t="shared" si="10"/>
        <v/>
      </c>
      <c r="X19" s="129" t="str">
        <f t="shared" si="11"/>
        <v/>
      </c>
      <c r="Y19" s="129" t="str">
        <f t="shared" si="0"/>
        <v/>
      </c>
      <c r="Z19" s="521" t="str">
        <f t="shared" si="1"/>
        <v/>
      </c>
      <c r="AA19" s="129" t="str">
        <f t="shared" si="2"/>
        <v/>
      </c>
      <c r="AB19" s="129" t="str">
        <f t="shared" si="12"/>
        <v/>
      </c>
      <c r="AC19" s="145"/>
      <c r="BA19" s="78"/>
      <c r="BB19" s="132" t="s">
        <v>4522</v>
      </c>
      <c r="BC19" s="133"/>
      <c r="BD19" s="132" t="str">
        <f>IF(OR(C19="",BC19=""),"",COUNTIF(BC$7:BC19,"√"))</f>
        <v/>
      </c>
      <c r="BE19" s="134" t="str">
        <f t="shared" si="3"/>
        <v/>
      </c>
      <c r="BF19" s="135" t="str">
        <f t="shared" si="13"/>
        <v/>
      </c>
      <c r="BG19" s="135" t="str">
        <f t="shared" si="13"/>
        <v/>
      </c>
      <c r="BH19" s="136"/>
      <c r="BI19" s="137"/>
      <c r="BJ19" s="136"/>
      <c r="BK19" s="136"/>
      <c r="BL19" s="136"/>
      <c r="BM19" s="136"/>
      <c r="BN19" s="136"/>
      <c r="BO19" s="137"/>
      <c r="BP19" s="136"/>
      <c r="BQ19" s="137"/>
      <c r="BR19" s="165" t="s">
        <v>2706</v>
      </c>
      <c r="BS19" s="158"/>
      <c r="BT19" s="522">
        <f t="shared" si="4"/>
        <v>125.582477754962</v>
      </c>
      <c r="BU19" s="534"/>
      <c r="BV19" s="524">
        <f t="shared" si="14"/>
        <v>0</v>
      </c>
      <c r="BX19" s="134" t="str">
        <f>IF(COUNTIF(BX$7:BX18,C19)&gt;0,"",C19)&amp;""</f>
        <v/>
      </c>
      <c r="BY19" s="138">
        <f t="shared" si="15"/>
        <v>0</v>
      </c>
      <c r="BZ19" s="132">
        <f t="shared" si="16"/>
        <v>1</v>
      </c>
      <c r="CA19" s="138">
        <f t="shared" si="17"/>
        <v>0</v>
      </c>
      <c r="CB19" s="132">
        <f t="shared" si="18"/>
        <v>1</v>
      </c>
      <c r="CC19" s="133"/>
      <c r="CD19" s="133"/>
    </row>
    <row r="20" ht="15" customHeight="1" spans="1:83">
      <c r="A20" s="123" t="str">
        <f>IF(B20="","",COUNT(A$7:A19)+1)</f>
        <v/>
      </c>
      <c r="B20" s="139"/>
      <c r="C20" s="139"/>
      <c r="D20" s="141"/>
      <c r="E20" s="535"/>
      <c r="F20" s="141"/>
      <c r="G20" s="536"/>
      <c r="H20" s="139"/>
      <c r="I20" s="140"/>
      <c r="J20" s="141"/>
      <c r="K20" s="142"/>
      <c r="L20" s="127" t="str">
        <f>IFERROR(VLOOKUP(K20,参数表!$H$2:$I$50,2,FALSE),"")</f>
        <v/>
      </c>
      <c r="M20" s="128" t="str">
        <f t="shared" si="6"/>
        <v/>
      </c>
      <c r="N20" s="128" t="str">
        <f t="shared" si="7"/>
        <v/>
      </c>
      <c r="O20" s="129" t="str">
        <f t="shared" si="8"/>
        <v/>
      </c>
      <c r="P20" s="143"/>
      <c r="Q20" s="143"/>
      <c r="R20" s="143"/>
      <c r="S20" s="144"/>
      <c r="T20" s="144"/>
      <c r="U20" s="144"/>
      <c r="V20" s="129" t="str">
        <f t="shared" si="9"/>
        <v/>
      </c>
      <c r="W20" s="129" t="str">
        <f t="shared" si="10"/>
        <v/>
      </c>
      <c r="X20" s="129" t="str">
        <f t="shared" si="11"/>
        <v/>
      </c>
      <c r="Y20" s="129" t="str">
        <f t="shared" si="0"/>
        <v/>
      </c>
      <c r="Z20" s="521" t="str">
        <f t="shared" si="1"/>
        <v/>
      </c>
      <c r="AA20" s="129" t="str">
        <f t="shared" si="2"/>
        <v/>
      </c>
      <c r="AB20" s="129" t="str">
        <f t="shared" si="12"/>
        <v/>
      </c>
      <c r="AC20" s="145"/>
      <c r="BA20" s="78"/>
      <c r="BB20" s="132" t="s">
        <v>4523</v>
      </c>
      <c r="BC20" s="133"/>
      <c r="BD20" s="132" t="str">
        <f>IF(OR(C20="",BC20=""),"",COUNTIF(BC$7:BC20,"√"))</f>
        <v/>
      </c>
      <c r="BE20" s="134" t="str">
        <f t="shared" si="3"/>
        <v/>
      </c>
      <c r="BF20" s="135" t="str">
        <f t="shared" si="13"/>
        <v/>
      </c>
      <c r="BG20" s="135" t="str">
        <f t="shared" si="13"/>
        <v/>
      </c>
      <c r="BH20" s="136"/>
      <c r="BI20" s="137"/>
      <c r="BJ20" s="136"/>
      <c r="BK20" s="136"/>
      <c r="BL20" s="136"/>
      <c r="BM20" s="136"/>
      <c r="BN20" s="136"/>
      <c r="BO20" s="137"/>
      <c r="BP20" s="136"/>
      <c r="BQ20" s="137"/>
      <c r="BR20" s="165" t="s">
        <v>2706</v>
      </c>
      <c r="BS20" s="158"/>
      <c r="BT20" s="522">
        <f t="shared" si="4"/>
        <v>125.582477754962</v>
      </c>
      <c r="BU20" s="534"/>
      <c r="BV20" s="524">
        <f t="shared" si="14"/>
        <v>0</v>
      </c>
      <c r="BX20" s="134" t="str">
        <f>IF(COUNTIF(BX$7:BX19,C20)&gt;0,"",C20)&amp;""</f>
        <v/>
      </c>
      <c r="BY20" s="138">
        <f t="shared" si="15"/>
        <v>0</v>
      </c>
      <c r="BZ20" s="132">
        <f t="shared" si="16"/>
        <v>1</v>
      </c>
      <c r="CA20" s="138">
        <f t="shared" si="17"/>
        <v>0</v>
      </c>
      <c r="CB20" s="132">
        <f t="shared" si="18"/>
        <v>1</v>
      </c>
      <c r="CC20" s="133"/>
      <c r="CD20" s="133"/>
    </row>
    <row r="21" ht="15" customHeight="1" spans="1:83">
      <c r="A21" s="123" t="str">
        <f>IF(B21="","",COUNT(A$7:A20)+1)</f>
        <v/>
      </c>
      <c r="B21" s="139"/>
      <c r="C21" s="139"/>
      <c r="D21" s="141"/>
      <c r="E21" s="535"/>
      <c r="F21" s="141"/>
      <c r="G21" s="536"/>
      <c r="H21" s="139"/>
      <c r="I21" s="140"/>
      <c r="J21" s="141"/>
      <c r="K21" s="142"/>
      <c r="L21" s="127" t="str">
        <f>IFERROR(VLOOKUP(K21,参数表!$H$2:$I$50,2,FALSE),"")</f>
        <v/>
      </c>
      <c r="M21" s="128" t="str">
        <f t="shared" si="6"/>
        <v/>
      </c>
      <c r="N21" s="128" t="str">
        <f t="shared" si="7"/>
        <v/>
      </c>
      <c r="O21" s="129" t="str">
        <f t="shared" si="8"/>
        <v/>
      </c>
      <c r="P21" s="143"/>
      <c r="Q21" s="143"/>
      <c r="R21" s="143"/>
      <c r="S21" s="144"/>
      <c r="T21" s="144"/>
      <c r="U21" s="144"/>
      <c r="V21" s="129" t="str">
        <f t="shared" si="9"/>
        <v/>
      </c>
      <c r="W21" s="129" t="str">
        <f t="shared" si="10"/>
        <v/>
      </c>
      <c r="X21" s="129" t="str">
        <f t="shared" si="11"/>
        <v/>
      </c>
      <c r="Y21" s="129" t="str">
        <f t="shared" si="0"/>
        <v/>
      </c>
      <c r="Z21" s="521" t="str">
        <f t="shared" si="1"/>
        <v/>
      </c>
      <c r="AA21" s="129" t="str">
        <f t="shared" si="2"/>
        <v/>
      </c>
      <c r="AB21" s="129" t="str">
        <f t="shared" si="12"/>
        <v/>
      </c>
      <c r="AC21" s="145"/>
      <c r="BA21" s="78"/>
      <c r="BB21" s="132" t="s">
        <v>4524</v>
      </c>
      <c r="BC21" s="133"/>
      <c r="BD21" s="132" t="str">
        <f>IF(OR(C21="",BC21=""),"",COUNTIF(BC$7:BC21,"√"))</f>
        <v/>
      </c>
      <c r="BE21" s="134" t="str">
        <f t="shared" si="3"/>
        <v/>
      </c>
      <c r="BF21" s="135" t="str">
        <f t="shared" si="13"/>
        <v/>
      </c>
      <c r="BG21" s="135" t="str">
        <f t="shared" si="13"/>
        <v/>
      </c>
      <c r="BH21" s="136"/>
      <c r="BI21" s="137"/>
      <c r="BJ21" s="136"/>
      <c r="BK21" s="136"/>
      <c r="BL21" s="136"/>
      <c r="BM21" s="136"/>
      <c r="BN21" s="136"/>
      <c r="BO21" s="137"/>
      <c r="BP21" s="136"/>
      <c r="BQ21" s="137"/>
      <c r="BR21" s="165" t="s">
        <v>2706</v>
      </c>
      <c r="BS21" s="158"/>
      <c r="BT21" s="522">
        <f t="shared" si="4"/>
        <v>125.582477754962</v>
      </c>
      <c r="BU21" s="534"/>
      <c r="BV21" s="524">
        <f t="shared" si="14"/>
        <v>0</v>
      </c>
      <c r="BX21" s="134" t="str">
        <f>IF(COUNTIF(BX$7:BX20,C21)&gt;0,"",C21)&amp;""</f>
        <v/>
      </c>
      <c r="BY21" s="138">
        <f t="shared" si="15"/>
        <v>0</v>
      </c>
      <c r="BZ21" s="132">
        <f t="shared" si="16"/>
        <v>1</v>
      </c>
      <c r="CA21" s="138">
        <f t="shared" si="17"/>
        <v>0</v>
      </c>
      <c r="CB21" s="132">
        <f t="shared" si="18"/>
        <v>1</v>
      </c>
      <c r="CC21" s="133"/>
      <c r="CD21" s="133"/>
    </row>
    <row r="22" ht="15" customHeight="1" spans="1:83">
      <c r="A22" s="123" t="str">
        <f>IF(B22="","",COUNT(A$7:A21)+1)</f>
        <v/>
      </c>
      <c r="B22" s="139"/>
      <c r="C22" s="139"/>
      <c r="D22" s="141"/>
      <c r="E22" s="535"/>
      <c r="F22" s="141"/>
      <c r="G22" s="536"/>
      <c r="H22" s="139"/>
      <c r="I22" s="140"/>
      <c r="J22" s="141"/>
      <c r="K22" s="142"/>
      <c r="L22" s="127" t="str">
        <f>IFERROR(VLOOKUP(K22,参数表!$H$2:$I$50,2,FALSE),"")</f>
        <v/>
      </c>
      <c r="M22" s="128" t="str">
        <f t="shared" si="6"/>
        <v/>
      </c>
      <c r="N22" s="128" t="str">
        <f t="shared" si="7"/>
        <v/>
      </c>
      <c r="O22" s="129" t="str">
        <f t="shared" si="8"/>
        <v/>
      </c>
      <c r="P22" s="143"/>
      <c r="Q22" s="143"/>
      <c r="R22" s="143"/>
      <c r="S22" s="144"/>
      <c r="T22" s="144"/>
      <c r="U22" s="144"/>
      <c r="V22" s="129" t="str">
        <f t="shared" si="9"/>
        <v/>
      </c>
      <c r="W22" s="129" t="str">
        <f t="shared" si="10"/>
        <v/>
      </c>
      <c r="X22" s="129" t="str">
        <f t="shared" si="11"/>
        <v/>
      </c>
      <c r="Y22" s="129" t="str">
        <f t="shared" si="0"/>
        <v/>
      </c>
      <c r="Z22" s="521" t="str">
        <f t="shared" si="1"/>
        <v/>
      </c>
      <c r="AA22" s="129" t="str">
        <f t="shared" si="2"/>
        <v/>
      </c>
      <c r="AB22" s="129" t="str">
        <f t="shared" si="12"/>
        <v/>
      </c>
      <c r="AC22" s="145"/>
      <c r="BA22" s="78"/>
      <c r="BB22" s="132" t="s">
        <v>4525</v>
      </c>
      <c r="BC22" s="133"/>
      <c r="BD22" s="132" t="str">
        <f>IF(OR(C22="",BC22=""),"",COUNTIF(BC$7:BC22,"√"))</f>
        <v/>
      </c>
      <c r="BE22" s="134" t="str">
        <f t="shared" si="3"/>
        <v/>
      </c>
      <c r="BF22" s="135" t="str">
        <f t="shared" si="13"/>
        <v/>
      </c>
      <c r="BG22" s="135" t="str">
        <f t="shared" si="13"/>
        <v/>
      </c>
      <c r="BH22" s="136"/>
      <c r="BI22" s="137"/>
      <c r="BJ22" s="136"/>
      <c r="BK22" s="136"/>
      <c r="BL22" s="136"/>
      <c r="BM22" s="136"/>
      <c r="BN22" s="136"/>
      <c r="BO22" s="137"/>
      <c r="BP22" s="136"/>
      <c r="BQ22" s="137"/>
      <c r="BR22" s="165" t="s">
        <v>2706</v>
      </c>
      <c r="BS22" s="158"/>
      <c r="BT22" s="522">
        <f t="shared" si="4"/>
        <v>125.582477754962</v>
      </c>
      <c r="BU22" s="534"/>
      <c r="BV22" s="524">
        <f t="shared" si="14"/>
        <v>0</v>
      </c>
      <c r="BX22" s="134" t="str">
        <f>IF(COUNTIF(BX$7:BX21,C22)&gt;0,"",C22)&amp;""</f>
        <v/>
      </c>
      <c r="BY22" s="138">
        <f t="shared" si="15"/>
        <v>0</v>
      </c>
      <c r="BZ22" s="132">
        <f t="shared" si="16"/>
        <v>1</v>
      </c>
      <c r="CA22" s="138">
        <f t="shared" si="17"/>
        <v>0</v>
      </c>
      <c r="CB22" s="132">
        <f t="shared" si="18"/>
        <v>1</v>
      </c>
      <c r="CC22" s="133"/>
      <c r="CD22" s="133"/>
    </row>
    <row r="23" ht="15" customHeight="1" spans="1:83">
      <c r="A23" s="123" t="str">
        <f>IF(B23="","",COUNT(A$7:A22)+1)</f>
        <v/>
      </c>
      <c r="B23" s="139"/>
      <c r="C23" s="139"/>
      <c r="D23" s="141"/>
      <c r="E23" s="535"/>
      <c r="F23" s="141"/>
      <c r="G23" s="536"/>
      <c r="H23" s="139"/>
      <c r="I23" s="140"/>
      <c r="J23" s="141"/>
      <c r="K23" s="142"/>
      <c r="L23" s="127" t="str">
        <f>IFERROR(VLOOKUP(K23,参数表!$H$2:$I$50,2,FALSE),"")</f>
        <v/>
      </c>
      <c r="M23" s="128" t="str">
        <f t="shared" si="6"/>
        <v/>
      </c>
      <c r="N23" s="128" t="str">
        <f t="shared" si="7"/>
        <v/>
      </c>
      <c r="O23" s="129" t="str">
        <f t="shared" si="8"/>
        <v/>
      </c>
      <c r="P23" s="143"/>
      <c r="Q23" s="143"/>
      <c r="R23" s="143"/>
      <c r="S23" s="144"/>
      <c r="T23" s="144"/>
      <c r="U23" s="144"/>
      <c r="V23" s="129" t="str">
        <f t="shared" si="9"/>
        <v/>
      </c>
      <c r="W23" s="129" t="str">
        <f t="shared" si="10"/>
        <v/>
      </c>
      <c r="X23" s="129" t="str">
        <f t="shared" si="11"/>
        <v/>
      </c>
      <c r="Y23" s="129" t="str">
        <f t="shared" si="0"/>
        <v/>
      </c>
      <c r="Z23" s="521" t="str">
        <f t="shared" si="1"/>
        <v/>
      </c>
      <c r="AA23" s="129" t="str">
        <f t="shared" si="2"/>
        <v/>
      </c>
      <c r="AB23" s="129" t="str">
        <f t="shared" si="12"/>
        <v/>
      </c>
      <c r="AC23" s="145"/>
      <c r="BA23" s="78"/>
      <c r="BB23" s="132" t="s">
        <v>4526</v>
      </c>
      <c r="BC23" s="133"/>
      <c r="BD23" s="132" t="str">
        <f>IF(OR(C23="",BC23=""),"",COUNTIF(BC$7:BC23,"√"))</f>
        <v/>
      </c>
      <c r="BE23" s="134" t="str">
        <f t="shared" si="3"/>
        <v/>
      </c>
      <c r="BF23" s="135" t="str">
        <f t="shared" si="13"/>
        <v/>
      </c>
      <c r="BG23" s="135" t="str">
        <f t="shared" si="13"/>
        <v/>
      </c>
      <c r="BH23" s="136"/>
      <c r="BI23" s="137"/>
      <c r="BJ23" s="136"/>
      <c r="BK23" s="136"/>
      <c r="BL23" s="136"/>
      <c r="BM23" s="136"/>
      <c r="BN23" s="136"/>
      <c r="BO23" s="137"/>
      <c r="BP23" s="136"/>
      <c r="BQ23" s="137"/>
      <c r="BR23" s="165" t="s">
        <v>2706</v>
      </c>
      <c r="BS23" s="158"/>
      <c r="BT23" s="522">
        <f t="shared" si="4"/>
        <v>125.582477754962</v>
      </c>
      <c r="BU23" s="534"/>
      <c r="BV23" s="524">
        <f t="shared" si="14"/>
        <v>0</v>
      </c>
      <c r="BX23" s="134" t="str">
        <f>IF(COUNTIF(BX$7:BX22,C23)&gt;0,"",C23)&amp;""</f>
        <v/>
      </c>
      <c r="BY23" s="138">
        <f t="shared" si="15"/>
        <v>0</v>
      </c>
      <c r="BZ23" s="132">
        <f t="shared" si="16"/>
        <v>1</v>
      </c>
      <c r="CA23" s="138">
        <f t="shared" si="17"/>
        <v>0</v>
      </c>
      <c r="CB23" s="132">
        <f t="shared" si="18"/>
        <v>1</v>
      </c>
      <c r="CC23" s="133"/>
      <c r="CD23" s="133"/>
    </row>
    <row r="24" ht="15" customHeight="1" spans="1:83">
      <c r="A24" s="123" t="str">
        <f>IF(B24="","",COUNT(A$7:A23)+1)</f>
        <v/>
      </c>
      <c r="B24" s="139"/>
      <c r="C24" s="139"/>
      <c r="D24" s="141"/>
      <c r="E24" s="535"/>
      <c r="F24" s="141"/>
      <c r="G24" s="536"/>
      <c r="H24" s="139"/>
      <c r="I24" s="140"/>
      <c r="J24" s="141"/>
      <c r="K24" s="142"/>
      <c r="L24" s="127" t="str">
        <f>IFERROR(VLOOKUP(K24,参数表!$H$2:$I$50,2,FALSE),"")</f>
        <v/>
      </c>
      <c r="M24" s="128" t="str">
        <f t="shared" si="6"/>
        <v/>
      </c>
      <c r="N24" s="128" t="str">
        <f t="shared" si="7"/>
        <v/>
      </c>
      <c r="O24" s="129" t="str">
        <f t="shared" si="8"/>
        <v/>
      </c>
      <c r="P24" s="143"/>
      <c r="Q24" s="143"/>
      <c r="R24" s="143"/>
      <c r="S24" s="144"/>
      <c r="T24" s="144"/>
      <c r="U24" s="144"/>
      <c r="V24" s="129" t="str">
        <f t="shared" si="9"/>
        <v/>
      </c>
      <c r="W24" s="129" t="str">
        <f t="shared" si="10"/>
        <v/>
      </c>
      <c r="X24" s="129" t="str">
        <f t="shared" si="11"/>
        <v/>
      </c>
      <c r="Y24" s="129" t="str">
        <f t="shared" si="0"/>
        <v/>
      </c>
      <c r="Z24" s="521" t="str">
        <f t="shared" si="1"/>
        <v/>
      </c>
      <c r="AA24" s="129" t="str">
        <f t="shared" si="2"/>
        <v/>
      </c>
      <c r="AB24" s="129" t="str">
        <f t="shared" si="12"/>
        <v/>
      </c>
      <c r="AC24" s="145"/>
      <c r="BA24" s="78"/>
      <c r="BB24" s="132" t="s">
        <v>4527</v>
      </c>
      <c r="BC24" s="133"/>
      <c r="BD24" s="132" t="str">
        <f>IF(OR(C24="",BC24=""),"",COUNTIF(BC$7:BC24,"√"))</f>
        <v/>
      </c>
      <c r="BE24" s="134" t="str">
        <f t="shared" si="3"/>
        <v/>
      </c>
      <c r="BF24" s="135" t="str">
        <f t="shared" si="13"/>
        <v/>
      </c>
      <c r="BG24" s="135" t="str">
        <f t="shared" si="13"/>
        <v/>
      </c>
      <c r="BH24" s="136"/>
      <c r="BI24" s="137"/>
      <c r="BJ24" s="136"/>
      <c r="BK24" s="136"/>
      <c r="BL24" s="136"/>
      <c r="BM24" s="136"/>
      <c r="BN24" s="136"/>
      <c r="BO24" s="137"/>
      <c r="BP24" s="136"/>
      <c r="BQ24" s="137"/>
      <c r="BR24" s="165" t="s">
        <v>2706</v>
      </c>
      <c r="BS24" s="158"/>
      <c r="BT24" s="522">
        <f t="shared" si="4"/>
        <v>125.582477754962</v>
      </c>
      <c r="BU24" s="534"/>
      <c r="BV24" s="524">
        <f t="shared" si="14"/>
        <v>0</v>
      </c>
      <c r="BX24" s="134" t="str">
        <f>IF(COUNTIF(BX$7:BX23,C24)&gt;0,"",C24)&amp;""</f>
        <v/>
      </c>
      <c r="BY24" s="138">
        <f t="shared" si="15"/>
        <v>0</v>
      </c>
      <c r="BZ24" s="132">
        <f t="shared" si="16"/>
        <v>1</v>
      </c>
      <c r="CA24" s="138">
        <f t="shared" si="17"/>
        <v>0</v>
      </c>
      <c r="CB24" s="132">
        <f t="shared" si="18"/>
        <v>1</v>
      </c>
      <c r="CC24" s="133"/>
      <c r="CD24" s="133"/>
    </row>
    <row r="25" ht="15" customHeight="1" spans="1:83">
      <c r="A25" s="123" t="str">
        <f>IF(B25="","",COUNT(A$7:A24)+1)</f>
        <v/>
      </c>
      <c r="B25" s="139"/>
      <c r="C25" s="139"/>
      <c r="D25" s="141"/>
      <c r="E25" s="535"/>
      <c r="F25" s="141"/>
      <c r="G25" s="536"/>
      <c r="H25" s="139"/>
      <c r="I25" s="140"/>
      <c r="J25" s="141"/>
      <c r="K25" s="142"/>
      <c r="L25" s="127" t="str">
        <f>IFERROR(VLOOKUP(K25,参数表!$H$2:$I$50,2,FALSE),"")</f>
        <v/>
      </c>
      <c r="M25" s="128" t="str">
        <f t="shared" si="6"/>
        <v/>
      </c>
      <c r="N25" s="128" t="str">
        <f t="shared" si="7"/>
        <v/>
      </c>
      <c r="O25" s="129" t="str">
        <f t="shared" si="8"/>
        <v/>
      </c>
      <c r="P25" s="143"/>
      <c r="Q25" s="143"/>
      <c r="R25" s="143"/>
      <c r="S25" s="144"/>
      <c r="T25" s="144"/>
      <c r="U25" s="144"/>
      <c r="V25" s="129" t="str">
        <f t="shared" si="9"/>
        <v/>
      </c>
      <c r="W25" s="129" t="str">
        <f t="shared" si="10"/>
        <v/>
      </c>
      <c r="X25" s="129" t="str">
        <f t="shared" si="11"/>
        <v/>
      </c>
      <c r="Y25" s="129" t="str">
        <f t="shared" si="0"/>
        <v/>
      </c>
      <c r="Z25" s="521" t="str">
        <f t="shared" si="1"/>
        <v/>
      </c>
      <c r="AA25" s="129" t="str">
        <f t="shared" si="2"/>
        <v/>
      </c>
      <c r="AB25" s="129" t="str">
        <f t="shared" si="12"/>
        <v/>
      </c>
      <c r="AC25" s="145"/>
      <c r="BA25" s="78"/>
      <c r="BB25" s="132" t="s">
        <v>4528</v>
      </c>
      <c r="BC25" s="133"/>
      <c r="BD25" s="132" t="str">
        <f>IF(OR(C25="",BC25=""),"",COUNTIF(BC$7:BC25,"√"))</f>
        <v/>
      </c>
      <c r="BE25" s="134" t="str">
        <f t="shared" si="3"/>
        <v/>
      </c>
      <c r="BF25" s="135" t="str">
        <f t="shared" si="13"/>
        <v/>
      </c>
      <c r="BG25" s="135" t="str">
        <f t="shared" si="13"/>
        <v/>
      </c>
      <c r="BH25" s="136"/>
      <c r="BI25" s="137"/>
      <c r="BJ25" s="136"/>
      <c r="BK25" s="136"/>
      <c r="BL25" s="136"/>
      <c r="BM25" s="136"/>
      <c r="BN25" s="136"/>
      <c r="BO25" s="137"/>
      <c r="BP25" s="136"/>
      <c r="BQ25" s="137"/>
      <c r="BR25" s="165" t="s">
        <v>2706</v>
      </c>
      <c r="BS25" s="158"/>
      <c r="BT25" s="522">
        <f t="shared" si="4"/>
        <v>125.582477754962</v>
      </c>
      <c r="BU25" s="534"/>
      <c r="BV25" s="524">
        <f t="shared" si="14"/>
        <v>0</v>
      </c>
      <c r="BX25" s="134" t="str">
        <f>IF(COUNTIF(BX$7:BX24,C25)&gt;0,"",C25)&amp;""</f>
        <v/>
      </c>
      <c r="BY25" s="138">
        <f t="shared" si="15"/>
        <v>0</v>
      </c>
      <c r="BZ25" s="132">
        <f t="shared" si="16"/>
        <v>1</v>
      </c>
      <c r="CA25" s="138">
        <f t="shared" si="17"/>
        <v>0</v>
      </c>
      <c r="CB25" s="132">
        <f t="shared" si="18"/>
        <v>1</v>
      </c>
      <c r="CC25" s="133"/>
      <c r="CD25" s="133"/>
    </row>
    <row r="26" ht="15" customHeight="1" spans="1:83">
      <c r="A26" s="123" t="str">
        <f>IF(B26="","",COUNT(A$7:A25)+1)</f>
        <v/>
      </c>
      <c r="B26" s="139"/>
      <c r="C26" s="139"/>
      <c r="D26" s="141"/>
      <c r="E26" s="535"/>
      <c r="F26" s="141"/>
      <c r="G26" s="536"/>
      <c r="H26" s="139"/>
      <c r="I26" s="140"/>
      <c r="J26" s="141"/>
      <c r="K26" s="142"/>
      <c r="L26" s="127" t="str">
        <f>IFERROR(VLOOKUP(K26,参数表!$H$2:$I$50,2,FALSE),"")</f>
        <v/>
      </c>
      <c r="M26" s="128" t="str">
        <f t="shared" si="6"/>
        <v/>
      </c>
      <c r="N26" s="128" t="str">
        <f t="shared" si="7"/>
        <v/>
      </c>
      <c r="O26" s="129" t="str">
        <f t="shared" si="8"/>
        <v/>
      </c>
      <c r="P26" s="143"/>
      <c r="Q26" s="143"/>
      <c r="R26" s="143"/>
      <c r="S26" s="144"/>
      <c r="T26" s="144"/>
      <c r="U26" s="144"/>
      <c r="V26" s="129" t="str">
        <f t="shared" si="9"/>
        <v/>
      </c>
      <c r="W26" s="129" t="str">
        <f t="shared" si="10"/>
        <v/>
      </c>
      <c r="X26" s="129" t="str">
        <f t="shared" si="11"/>
        <v/>
      </c>
      <c r="Y26" s="129" t="str">
        <f t="shared" si="0"/>
        <v/>
      </c>
      <c r="Z26" s="521" t="str">
        <f t="shared" si="1"/>
        <v/>
      </c>
      <c r="AA26" s="129" t="str">
        <f t="shared" si="2"/>
        <v/>
      </c>
      <c r="AB26" s="129" t="str">
        <f t="shared" si="12"/>
        <v/>
      </c>
      <c r="AC26" s="145"/>
      <c r="BA26" s="78"/>
      <c r="BB26" s="132" t="s">
        <v>4529</v>
      </c>
      <c r="BC26" s="133"/>
      <c r="BD26" s="132" t="str">
        <f>IF(OR(C26="",BC26=""),"",COUNTIF(BC$7:BC26,"√"))</f>
        <v/>
      </c>
      <c r="BE26" s="134" t="str">
        <f t="shared" si="3"/>
        <v/>
      </c>
      <c r="BF26" s="135" t="str">
        <f t="shared" si="13"/>
        <v/>
      </c>
      <c r="BG26" s="135" t="str">
        <f t="shared" si="13"/>
        <v/>
      </c>
      <c r="BH26" s="136"/>
      <c r="BI26" s="137"/>
      <c r="BJ26" s="136"/>
      <c r="BK26" s="136"/>
      <c r="BL26" s="136"/>
      <c r="BM26" s="136"/>
      <c r="BN26" s="136"/>
      <c r="BO26" s="137"/>
      <c r="BP26" s="136"/>
      <c r="BQ26" s="137"/>
      <c r="BR26" s="165" t="s">
        <v>2706</v>
      </c>
      <c r="BS26" s="158"/>
      <c r="BT26" s="522">
        <f t="shared" si="4"/>
        <v>125.582477754962</v>
      </c>
      <c r="BU26" s="534"/>
      <c r="BV26" s="524">
        <f t="shared" si="14"/>
        <v>0</v>
      </c>
      <c r="BX26" s="134" t="str">
        <f>IF(COUNTIF(BX$7:BX25,C26)&gt;0,"",C26)&amp;""</f>
        <v/>
      </c>
      <c r="BY26" s="138">
        <f t="shared" si="15"/>
        <v>0</v>
      </c>
      <c r="BZ26" s="132">
        <f t="shared" si="16"/>
        <v>1</v>
      </c>
      <c r="CA26" s="138">
        <f t="shared" si="17"/>
        <v>0</v>
      </c>
      <c r="CB26" s="132">
        <f t="shared" si="18"/>
        <v>1</v>
      </c>
      <c r="CC26" s="133"/>
      <c r="CD26" s="133"/>
    </row>
    <row r="27" ht="15" customHeight="1" spans="1:83">
      <c r="A27" s="123" t="str">
        <f>IF(B27="","",COUNT(A$7:A26)+1)</f>
        <v/>
      </c>
      <c r="B27" s="124"/>
      <c r="C27" s="124"/>
      <c r="D27" s="126"/>
      <c r="E27" s="124"/>
      <c r="F27" s="126"/>
      <c r="G27" s="533"/>
      <c r="H27" s="124"/>
      <c r="I27" s="125"/>
      <c r="J27" s="126"/>
      <c r="K27" s="127"/>
      <c r="L27" s="127" t="str">
        <f>IFERROR(VLOOKUP(K27,参数表!$H$2:$I$50,2,FALSE),"")</f>
        <v/>
      </c>
      <c r="M27" s="128" t="str">
        <f t="shared" si="6"/>
        <v/>
      </c>
      <c r="N27" s="128" t="str">
        <f t="shared" si="7"/>
        <v/>
      </c>
      <c r="O27" s="129" t="str">
        <f t="shared" si="8"/>
        <v/>
      </c>
      <c r="P27" s="129"/>
      <c r="Q27" s="129"/>
      <c r="R27" s="129"/>
      <c r="S27" s="130"/>
      <c r="T27" s="130"/>
      <c r="U27" s="130"/>
      <c r="V27" s="129" t="str">
        <f t="shared" si="9"/>
        <v/>
      </c>
      <c r="W27" s="129" t="str">
        <f t="shared" si="10"/>
        <v/>
      </c>
      <c r="X27" s="129" t="str">
        <f t="shared" si="11"/>
        <v/>
      </c>
      <c r="Y27" s="129" t="str">
        <f t="shared" si="0"/>
        <v/>
      </c>
      <c r="Z27" s="521" t="str">
        <f t="shared" si="1"/>
        <v/>
      </c>
      <c r="AA27" s="129" t="str">
        <f t="shared" si="2"/>
        <v/>
      </c>
      <c r="AB27" s="129" t="str">
        <f t="shared" si="12"/>
        <v/>
      </c>
      <c r="AC27" s="131"/>
      <c r="BA27" s="78"/>
      <c r="BB27" s="132" t="s">
        <v>4530</v>
      </c>
      <c r="BC27" s="133"/>
      <c r="BD27" s="132" t="str">
        <f>IF(OR(C27="",BC27=""),"",COUNTIF(BC$7:BC27,"√"))</f>
        <v/>
      </c>
      <c r="BE27" s="134" t="str">
        <f t="shared" si="3"/>
        <v/>
      </c>
      <c r="BF27" s="135" t="str">
        <f t="shared" si="13"/>
        <v/>
      </c>
      <c r="BG27" s="135" t="str">
        <f t="shared" si="13"/>
        <v/>
      </c>
      <c r="BH27" s="136"/>
      <c r="BI27" s="137"/>
      <c r="BJ27" s="136"/>
      <c r="BK27" s="136"/>
      <c r="BL27" s="136"/>
      <c r="BM27" s="136"/>
      <c r="BN27" s="136"/>
      <c r="BO27" s="137"/>
      <c r="BP27" s="136"/>
      <c r="BQ27" s="137"/>
      <c r="BR27" s="165" t="s">
        <v>2706</v>
      </c>
      <c r="BS27" s="158"/>
      <c r="BT27" s="522">
        <f t="shared" si="4"/>
        <v>125.582477754962</v>
      </c>
      <c r="BU27" s="534"/>
      <c r="BV27" s="524">
        <f t="shared" si="14"/>
        <v>0</v>
      </c>
      <c r="BX27" s="134" t="str">
        <f>IF(COUNTIF(BX$7:BX26,C27)&gt;0,"",C27)&amp;""</f>
        <v/>
      </c>
      <c r="BY27" s="138">
        <f t="shared" si="15"/>
        <v>0</v>
      </c>
      <c r="BZ27" s="132">
        <f t="shared" si="16"/>
        <v>1</v>
      </c>
      <c r="CA27" s="138">
        <f t="shared" si="17"/>
        <v>0</v>
      </c>
      <c r="CB27" s="132">
        <f t="shared" si="18"/>
        <v>1</v>
      </c>
      <c r="CC27" s="133"/>
      <c r="CD27" s="133"/>
    </row>
    <row r="28" s="73" customFormat="1" ht="15" customHeight="1" spans="1:83">
      <c r="A28" s="221" t="s">
        <v>1954</v>
      </c>
      <c r="B28" s="493"/>
      <c r="C28" s="493"/>
      <c r="D28" s="149"/>
      <c r="E28" s="221"/>
      <c r="F28" s="221"/>
      <c r="G28" s="221"/>
      <c r="H28" s="221"/>
      <c r="I28" s="149"/>
      <c r="J28" s="149"/>
      <c r="K28" s="152"/>
      <c r="L28" s="152"/>
      <c r="M28" s="152"/>
      <c r="N28" s="152"/>
      <c r="O28" s="152"/>
      <c r="P28" s="152">
        <f>SUM(P8:P27)</f>
        <v>0</v>
      </c>
      <c r="Q28" s="152">
        <f>SUM(Q8:Q27)</f>
        <v>0</v>
      </c>
      <c r="R28" s="152">
        <f>SUM(R8:R27)</f>
        <v>0</v>
      </c>
      <c r="S28" s="153"/>
      <c r="T28" s="153"/>
      <c r="U28" s="153"/>
      <c r="V28" s="152">
        <f>SUM(V8:V27)</f>
        <v>0</v>
      </c>
      <c r="W28" s="152">
        <f>SUM(W8:W27)</f>
        <v>0</v>
      </c>
      <c r="X28" s="152">
        <f>SUM(X8:X27)</f>
        <v>0</v>
      </c>
      <c r="Y28" s="152">
        <f>SUM(Y8:Y27)</f>
        <v>0</v>
      </c>
      <c r="Z28" s="525"/>
      <c r="AA28" s="152">
        <f>SUM(AA8:AA27)</f>
        <v>0</v>
      </c>
      <c r="AB28" s="152" t="str">
        <f t="shared" si="12"/>
        <v/>
      </c>
      <c r="AC28" s="151"/>
      <c r="BH28" s="526"/>
      <c r="BJ28" s="72"/>
      <c r="BK28" s="72"/>
      <c r="BL28" s="72"/>
      <c r="BM28" s="72"/>
      <c r="BN28" s="72"/>
      <c r="BP28" s="72"/>
      <c r="BW28" s="111"/>
      <c r="BX28" s="119"/>
      <c r="BY28" s="77"/>
      <c r="BZ28" s="77"/>
      <c r="CA28" s="77"/>
      <c r="CB28" s="119"/>
      <c r="CC28" s="119"/>
      <c r="CD28" s="119"/>
      <c r="CE28" s="111"/>
    </row>
    <row r="29" ht="15" customHeight="1" spans="1:83">
      <c r="A29" s="124" t="s">
        <v>3434</v>
      </c>
      <c r="B29" s="124"/>
      <c r="C29" s="124"/>
      <c r="D29" s="126"/>
      <c r="E29" s="124"/>
      <c r="F29" s="124"/>
      <c r="G29" s="124"/>
      <c r="H29" s="131"/>
      <c r="I29" s="126"/>
      <c r="J29" s="126"/>
      <c r="K29" s="129"/>
      <c r="L29" s="129"/>
      <c r="M29" s="129"/>
      <c r="N29" s="129"/>
      <c r="O29" s="129"/>
      <c r="P29" s="129"/>
      <c r="Q29" s="129">
        <f>R28</f>
        <v>0</v>
      </c>
      <c r="R29" s="129"/>
      <c r="S29" s="130"/>
      <c r="T29" s="130"/>
      <c r="U29" s="130"/>
      <c r="V29" s="129"/>
      <c r="W29" s="129">
        <f>X28</f>
        <v>0</v>
      </c>
      <c r="X29" s="129"/>
      <c r="Y29" s="129"/>
      <c r="Z29" s="521"/>
      <c r="AA29" s="129">
        <v>0</v>
      </c>
      <c r="AB29" s="129" t="str">
        <f t="shared" si="12"/>
        <v/>
      </c>
      <c r="AC29" s="131"/>
    </row>
    <row r="30" s="73" customFormat="1" ht="15" customHeight="1" spans="1:83">
      <c r="A30" s="221" t="s">
        <v>1957</v>
      </c>
      <c r="B30" s="221"/>
      <c r="C30" s="221"/>
      <c r="D30" s="149"/>
      <c r="E30" s="149"/>
      <c r="F30" s="149"/>
      <c r="G30" s="149"/>
      <c r="H30" s="149"/>
      <c r="I30" s="149"/>
      <c r="J30" s="149"/>
      <c r="K30" s="152"/>
      <c r="L30" s="152"/>
      <c r="M30" s="152"/>
      <c r="N30" s="152"/>
      <c r="O30" s="152"/>
      <c r="P30" s="152">
        <f>P28-P29</f>
        <v>0</v>
      </c>
      <c r="Q30" s="152">
        <f>Q28-Q29</f>
        <v>0</v>
      </c>
      <c r="R30" s="152"/>
      <c r="S30" s="153"/>
      <c r="T30" s="153"/>
      <c r="U30" s="153"/>
      <c r="V30" s="152">
        <f>V28-V29</f>
        <v>0</v>
      </c>
      <c r="W30" s="152">
        <f>W28-W29</f>
        <v>0</v>
      </c>
      <c r="X30" s="152"/>
      <c r="Y30" s="152">
        <f>Y28-Y29</f>
        <v>0</v>
      </c>
      <c r="Z30" s="525"/>
      <c r="AA30" s="152">
        <f>AA28-AA29</f>
        <v>0</v>
      </c>
      <c r="AB30" s="152" t="str">
        <f t="shared" si="12"/>
        <v/>
      </c>
      <c r="AC30" s="151"/>
      <c r="BH30" s="526"/>
      <c r="BJ30" s="72"/>
      <c r="BK30" s="72"/>
      <c r="BL30" s="72"/>
      <c r="BM30" s="72"/>
      <c r="BN30" s="72"/>
      <c r="BP30" s="72"/>
      <c r="BW30" s="77"/>
      <c r="BX30" s="78"/>
      <c r="BY30" s="77"/>
      <c r="BZ30" s="78"/>
      <c r="CA30" s="78"/>
      <c r="CB30" s="78"/>
      <c r="CC30" s="78"/>
      <c r="CD30" s="78"/>
      <c r="CE30" s="77"/>
    </row>
    <row r="31" customHeight="1" spans="1:83">
      <c r="A31" s="102" t="str">
        <f>参数表!F$6</f>
        <v>产权持有单位填表人：贾广东</v>
      </c>
      <c r="B31" s="154"/>
      <c r="C31" s="154"/>
      <c r="D31" s="154"/>
      <c r="E31" s="154"/>
      <c r="F31" s="154"/>
      <c r="G31" s="154"/>
      <c r="H31" s="154"/>
      <c r="I31" s="103"/>
      <c r="J31" s="103"/>
      <c r="K31" s="103"/>
      <c r="L31" s="103"/>
      <c r="M31" s="103"/>
      <c r="N31" s="103"/>
      <c r="O31" s="103"/>
      <c r="P31" s="103"/>
      <c r="Q31" s="103"/>
      <c r="R31" s="103"/>
      <c r="S31" s="104"/>
      <c r="T31" s="104"/>
      <c r="U31" s="104"/>
      <c r="V31" s="103"/>
      <c r="W31" s="103"/>
      <c r="X31" s="103"/>
      <c r="Y31" s="103"/>
      <c r="Z31" s="103"/>
      <c r="AA31" s="156" t="str">
        <f>"评估人员："&amp;封面!$G$32</f>
        <v>评估人员：</v>
      </c>
      <c r="AB31" s="103"/>
      <c r="AC31" s="103"/>
    </row>
    <row r="32" customHeight="1" spans="1:83">
      <c r="A32" s="102" t="str">
        <f>参数表!F$7</f>
        <v>填表日期：2025年9月20日</v>
      </c>
      <c r="B32" s="154"/>
      <c r="C32" s="154"/>
      <c r="D32" s="154"/>
      <c r="E32" s="154"/>
      <c r="F32" s="154"/>
      <c r="G32" s="154"/>
      <c r="H32" s="154"/>
      <c r="I32" s="103"/>
      <c r="J32" s="103"/>
      <c r="K32" s="103"/>
      <c r="L32" s="103"/>
      <c r="M32" s="103"/>
      <c r="N32" s="103"/>
      <c r="O32" s="103"/>
      <c r="P32" s="103"/>
      <c r="Q32" s="103"/>
      <c r="R32" s="103"/>
      <c r="S32" s="104"/>
      <c r="T32" s="104"/>
      <c r="U32" s="104"/>
      <c r="V32" s="103"/>
      <c r="W32" s="103"/>
      <c r="X32" s="103"/>
      <c r="Y32" s="103"/>
      <c r="Z32" s="103"/>
      <c r="AA32" s="103"/>
      <c r="AB32" s="103"/>
      <c r="AC32" s="103"/>
    </row>
    <row r="33" hidden="1" customHeight="1" outlineLevel="1" spans="1:68">
      <c r="A33" s="157"/>
      <c r="B33" s="154" t="s">
        <v>1673</v>
      </c>
      <c r="C33" s="158"/>
      <c r="D33" s="158"/>
      <c r="E33" s="158"/>
      <c r="F33" s="158"/>
      <c r="G33" s="158"/>
      <c r="H33" s="158"/>
      <c r="K33" s="176"/>
      <c r="L33" s="176"/>
      <c r="M33" s="176"/>
      <c r="N33" s="176"/>
      <c r="O33" s="176"/>
      <c r="P33" s="159">
        <f>SUMIF($BA8:$BA27,$BA33,P8:P27)</f>
        <v>0</v>
      </c>
      <c r="Q33" s="159">
        <f>SUMIF($BA8:$BA27,$BA33,Q8:Q27)</f>
        <v>0</v>
      </c>
      <c r="R33" s="159">
        <f>SUMIF($BA8:$BA27,$BA33,R8:R27)</f>
        <v>0</v>
      </c>
      <c r="S33" s="202"/>
      <c r="T33" s="202"/>
      <c r="U33" s="202"/>
      <c r="V33" s="159">
        <f>SUMIF($BA8:$BA27,$BA33,V8:V27)</f>
        <v>0</v>
      </c>
      <c r="W33" s="159">
        <f>SUMIF($BA8:$BA27,$BA33,W8:W27)</f>
        <v>0</v>
      </c>
      <c r="X33" s="159">
        <f>SUMIF($BA8:$BA27,$BA33,X8:X27)</f>
        <v>0</v>
      </c>
      <c r="Y33" s="159">
        <f>SUMIF($BA8:$BA27,$BA33,Y8:Y27)</f>
        <v>0</v>
      </c>
      <c r="Z33" s="176"/>
      <c r="AA33" s="159">
        <f>SUMIF($BA8:$BA27,$BA33,AA8:AA27)</f>
        <v>0</v>
      </c>
      <c r="BA33" s="161" t="s">
        <v>1674</v>
      </c>
      <c r="BH33" s="527" t="s">
        <v>1675</v>
      </c>
      <c r="BJ33" s="527" t="s">
        <v>1675</v>
      </c>
      <c r="BK33" s="527" t="s">
        <v>1675</v>
      </c>
      <c r="BL33" s="527" t="s">
        <v>1675</v>
      </c>
      <c r="BM33" s="527" t="s">
        <v>1675</v>
      </c>
      <c r="BN33" s="527" t="s">
        <v>1675</v>
      </c>
      <c r="BP33" s="527" t="s">
        <v>1675</v>
      </c>
    </row>
    <row r="34" hidden="1" customHeight="1" outlineLevel="1" spans="1:68">
      <c r="A34" s="157"/>
      <c r="B34" s="154" t="s">
        <v>1676</v>
      </c>
      <c r="C34" s="158"/>
      <c r="D34" s="158"/>
      <c r="E34" s="158"/>
      <c r="F34" s="158"/>
      <c r="G34" s="158"/>
      <c r="H34" s="158"/>
      <c r="K34" s="176"/>
      <c r="L34" s="176"/>
      <c r="M34" s="176"/>
      <c r="N34" s="176"/>
      <c r="O34" s="176"/>
      <c r="P34" s="159">
        <f>P28-P33</f>
        <v>0</v>
      </c>
      <c r="Q34" s="159">
        <f>Q28-Q33</f>
        <v>0</v>
      </c>
      <c r="R34" s="159">
        <f>R28-R33</f>
        <v>0</v>
      </c>
      <c r="S34" s="202"/>
      <c r="T34" s="202"/>
      <c r="U34" s="202"/>
      <c r="V34" s="159">
        <f>V28-V33</f>
        <v>0</v>
      </c>
      <c r="W34" s="159">
        <f>W28-W33</f>
        <v>0</v>
      </c>
      <c r="X34" s="159">
        <f>X28-X33</f>
        <v>0</v>
      </c>
      <c r="Y34" s="159">
        <f>Y28-Y33</f>
        <v>0</v>
      </c>
      <c r="Z34" s="176"/>
      <c r="AA34" s="159">
        <f>AA28-AA33</f>
        <v>0</v>
      </c>
      <c r="BA34" s="161" t="s">
        <v>1677</v>
      </c>
      <c r="BH34" s="527" t="s">
        <v>1678</v>
      </c>
      <c r="BJ34" s="527" t="s">
        <v>1678</v>
      </c>
      <c r="BK34" s="527" t="s">
        <v>1678</v>
      </c>
      <c r="BL34" s="527" t="s">
        <v>1678</v>
      </c>
      <c r="BM34" s="527" t="s">
        <v>1678</v>
      </c>
      <c r="BN34" s="527" t="s">
        <v>1678</v>
      </c>
      <c r="BP34" s="527" t="s">
        <v>1678</v>
      </c>
    </row>
    <row r="35" customHeight="1" collapsed="1" spans="1:68">
      <c r="A35" s="157"/>
      <c r="B35" s="158"/>
      <c r="C35" s="158"/>
      <c r="D35" s="158"/>
      <c r="E35" s="158"/>
      <c r="F35" s="158"/>
      <c r="G35" s="158"/>
      <c r="H35" s="158"/>
    </row>
    <row r="36" customHeight="1" spans="1:68">
      <c r="A36" s="157"/>
      <c r="B36" s="158"/>
      <c r="C36" s="158"/>
      <c r="D36" s="158"/>
      <c r="E36" s="158"/>
      <c r="F36" s="158"/>
      <c r="G36" s="158"/>
      <c r="H36" s="158"/>
    </row>
    <row r="37" customHeight="1" spans="1:68">
      <c r="A37" s="157"/>
      <c r="B37" s="158"/>
      <c r="C37" s="158"/>
      <c r="D37" s="158"/>
      <c r="E37" s="158"/>
      <c r="F37" s="158"/>
      <c r="G37" s="158"/>
      <c r="H37" s="158"/>
    </row>
    <row r="38" customHeight="1" spans="1:68">
      <c r="A38" s="157"/>
      <c r="B38" s="158"/>
      <c r="C38" s="158"/>
      <c r="D38" s="158"/>
      <c r="E38" s="158"/>
      <c r="F38" s="158"/>
      <c r="G38" s="158"/>
      <c r="H38" s="158"/>
    </row>
    <row r="39" customHeight="1" spans="1:68">
      <c r="A39" s="157"/>
      <c r="B39" s="158"/>
      <c r="C39" s="158"/>
      <c r="D39" s="158"/>
      <c r="E39" s="158"/>
      <c r="F39" s="158"/>
      <c r="G39" s="158"/>
      <c r="H39" s="158"/>
    </row>
  </sheetData>
  <sheetProtection autoFilter="0"/>
  <mergeCells count="37">
    <mergeCell ref="A2:AC2"/>
    <mergeCell ref="A3:AC3"/>
    <mergeCell ref="K6:O6"/>
    <mergeCell ref="P6:R6"/>
    <mergeCell ref="S6:U6"/>
    <mergeCell ref="V6:X6"/>
    <mergeCell ref="Y6:AA6"/>
    <mergeCell ref="CC8:CE8"/>
    <mergeCell ref="CC9:CE9"/>
    <mergeCell ref="CD15:CE15"/>
    <mergeCell ref="A28:C28"/>
    <mergeCell ref="A29:C29"/>
    <mergeCell ref="A30:C30"/>
    <mergeCell ref="A6:A7"/>
    <mergeCell ref="B6:B7"/>
    <mergeCell ref="C6:C7"/>
    <mergeCell ref="D6:D7"/>
    <mergeCell ref="E6:E7"/>
    <mergeCell ref="F6:F7"/>
    <mergeCell ref="G6:G7"/>
    <mergeCell ref="H6:H7"/>
    <mergeCell ref="I6:I7"/>
    <mergeCell ref="J6:J7"/>
    <mergeCell ref="AB6:AB7"/>
    <mergeCell ref="AC6:AC7"/>
    <mergeCell ref="BF6:BF7"/>
    <mergeCell ref="BG6:BG7"/>
    <mergeCell ref="BH6:BH7"/>
    <mergeCell ref="BI6:BI7"/>
    <mergeCell ref="BJ6:BJ7"/>
    <mergeCell ref="BK6:BK7"/>
    <mergeCell ref="BL6:BL7"/>
    <mergeCell ref="BM6:BM7"/>
    <mergeCell ref="BN6:BN7"/>
    <mergeCell ref="BO6:BO7"/>
    <mergeCell ref="BP6:BP7"/>
    <mergeCell ref="BQ6:BQ7"/>
  </mergeCells>
  <conditionalFormatting sqref="BI8:BI27">
    <cfRule type="expression" dxfId="5" priority="5" stopIfTrue="1">
      <formula>AND(BH8="有",BI8="")</formula>
    </cfRule>
  </conditionalFormatting>
  <conditionalFormatting sqref="BO8:BO27">
    <cfRule type="expression" dxfId="5" priority="7" stopIfTrue="1">
      <formula>AND(BN8="无",BO8="")</formula>
    </cfRule>
  </conditionalFormatting>
  <conditionalFormatting sqref="BF8:BG27">
    <cfRule type="containsText" dxfId="6" priority="1" stopIfTrue="1" operator="between" text="出错">
      <formula>NOT(ISERROR(SEARCH("出错",BF8)))</formula>
    </cfRule>
    <cfRule type="containsText" priority="2" stopIfTrue="1" operator="between" text="出错">
      <formula>NOT(ISERROR(SEARCH("出错",BF8)))</formula>
    </cfRule>
  </conditionalFormatting>
  <conditionalFormatting sqref="BH8:BN27 BP8:BP27">
    <cfRule type="expression" dxfId="5" priority="8" stopIfTrue="1">
      <formula>AND($B8&lt;&gt;"",BH8="")</formula>
    </cfRule>
  </conditionalFormatting>
  <dataValidations count="6">
    <dataValidation type="list" allowBlank="1" showInputMessage="1" showErrorMessage="1" sqref="BH7 BJ7:BN7 BP7">
      <formula1>"有,无"</formula1>
    </dataValidation>
    <dataValidation type="list" allowBlank="1" showInputMessage="1" showErrorMessage="1" sqref="K8:K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H8:BH27 BP8:BP27 BJ8:BN27">
      <formula1>BH$33:BH$34</formula1>
    </dataValidation>
    <dataValidation type="list" allowBlank="1" showInputMessage="1" showErrorMessage="1" sqref="BR8:BR27">
      <formula1>"成本法,收益法,市场法"</formula1>
    </dataValidation>
  </dataValidations>
  <hyperlinks>
    <hyperlink ref="A1" location="索引目录!D47" display="返回索引页"/>
    <hyperlink ref="B1" location="非流动资产评估汇总!B35"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4"/>
  <dimension ref="A1:CF39"/>
  <sheetViews>
    <sheetView workbookViewId="0">
      <pane xSplit="2" ySplit="8" topLeftCell="C9" activePane="bottomRight" state="frozen"/>
      <selection/>
      <selection pane="topRight"/>
      <selection pane="bottomLeft"/>
      <selection pane="bottomRight" activeCell="E45" sqref="E45"/>
    </sheetView>
  </sheetViews>
  <sheetFormatPr defaultColWidth="9" defaultRowHeight="13.2"/>
  <cols>
    <col min="1" max="1" width="5.8" style="74" customWidth="1"/>
    <col min="2" max="2" width="11.3" style="75" customWidth="1"/>
    <col min="3" max="3" width="5.3" style="75" customWidth="1"/>
    <col min="4" max="4" width="5" style="75" customWidth="1"/>
    <col min="5" max="5" width="4.5" style="75" customWidth="1"/>
    <col min="6" max="7" width="6.7" style="75" customWidth="1"/>
    <col min="8" max="8" width="5.2" style="75" customWidth="1"/>
    <col min="9" max="10" width="6.7" style="75" customWidth="1"/>
    <col min="11" max="12" width="4.6" style="75" customWidth="1" outlineLevel="1"/>
    <col min="13" max="15" width="6.1" style="75" customWidth="1" outlineLevel="1"/>
    <col min="16" max="17" width="9.6" style="75" customWidth="1" outlineLevel="1"/>
    <col min="18" max="18" width="7.6" style="75" customWidth="1" outlineLevel="1"/>
    <col min="19" max="21" width="11" style="76" customWidth="1" outlineLevel="1"/>
    <col min="22" max="23" width="9.7" style="75" customWidth="1"/>
    <col min="24" max="24" width="7.7" style="75" customWidth="1"/>
    <col min="25" max="25" width="9.7" style="75" customWidth="1"/>
    <col min="26" max="26" width="7" style="75" customWidth="1"/>
    <col min="27" max="27" width="9.7" style="75" customWidth="1"/>
    <col min="28" max="28" width="5" style="75" customWidth="1"/>
    <col min="29" max="29" width="6.6" style="75" customWidth="1"/>
    <col min="30" max="52" width="9" style="75" hidden="1" customWidth="1" outlineLevel="1"/>
    <col min="53" max="53" width="14.7" style="75" customWidth="1" collapsed="1"/>
    <col min="54" max="54" width="6.7" style="75" customWidth="1"/>
    <col min="55" max="56" width="5.1" style="75" customWidth="1"/>
    <col min="57" max="57" width="8.7" style="75" customWidth="1"/>
    <col min="58" max="59" width="10.1" style="75" customWidth="1"/>
    <col min="60" max="60" width="4.7" style="508" customWidth="1"/>
    <col min="61" max="61" width="11.5" style="75" customWidth="1"/>
    <col min="62" max="66" width="4.7" style="165" customWidth="1"/>
    <col min="67" max="67" width="10.3" style="75" customWidth="1"/>
    <col min="68" max="68" width="4.7" style="165" customWidth="1"/>
    <col min="69" max="70" width="8.7" style="75" customWidth="1"/>
    <col min="71" max="71" width="9" style="75"/>
    <col min="72" max="72" width="9" style="165"/>
    <col min="73" max="75" width="9" style="75"/>
    <col min="76" max="76" width="1.6" style="77" customWidth="1"/>
    <col min="77" max="77" width="10.6" style="78" customWidth="1"/>
    <col min="78" max="78" width="10.6" style="77" customWidth="1"/>
    <col min="79" max="79" width="4.6" style="78" customWidth="1"/>
    <col min="80" max="80" width="10.6" style="78" customWidth="1"/>
    <col min="81" max="82" width="4.6" style="78" customWidth="1"/>
    <col min="83" max="83" width="10.6" style="78" customWidth="1"/>
    <col min="84" max="84" width="5" style="77" customWidth="1"/>
    <col min="85" max="16384" width="9" style="75"/>
  </cols>
  <sheetData>
    <row r="1" s="86" customFormat="1" ht="13.8" spans="1:84">
      <c r="A1" s="203" t="s">
        <v>1591</v>
      </c>
      <c r="B1" s="204" t="s">
        <v>1592</v>
      </c>
      <c r="C1" s="82"/>
      <c r="D1" s="82"/>
      <c r="E1" s="82"/>
      <c r="F1" s="82"/>
      <c r="G1" s="82"/>
      <c r="H1" s="82"/>
      <c r="I1" s="82"/>
      <c r="J1" s="82"/>
      <c r="K1" s="82"/>
      <c r="L1" s="82"/>
      <c r="M1" s="82"/>
      <c r="N1" s="82"/>
      <c r="O1" s="82"/>
      <c r="P1" s="82"/>
      <c r="Q1" s="82"/>
      <c r="R1" s="82"/>
      <c r="S1" s="205"/>
      <c r="T1" s="205"/>
      <c r="U1" s="205"/>
      <c r="V1" s="82"/>
      <c r="W1" s="82"/>
      <c r="X1" s="82"/>
      <c r="Y1" s="82"/>
      <c r="Z1" s="82"/>
      <c r="AA1" s="82"/>
      <c r="AB1" s="82"/>
      <c r="AC1" s="82"/>
      <c r="BA1" s="84" t="str">
        <f>参数表!BA1</f>
        <v>注意：补充特殊事项、作价等均从BA列开始填写</v>
      </c>
      <c r="BB1" s="85"/>
      <c r="BH1" s="509"/>
      <c r="BJ1" s="82"/>
      <c r="BK1" s="82"/>
      <c r="BL1" s="82"/>
      <c r="BM1" s="82"/>
      <c r="BN1" s="82"/>
      <c r="BP1" s="82"/>
      <c r="BT1" s="82"/>
      <c r="BX1" s="87"/>
      <c r="BY1" s="88"/>
      <c r="BZ1" s="87"/>
      <c r="CA1" s="88"/>
      <c r="CB1" s="88"/>
      <c r="CC1" s="88"/>
      <c r="CD1" s="88"/>
      <c r="CE1" s="88"/>
      <c r="CF1" s="87"/>
    </row>
    <row r="2" s="71" customFormat="1" ht="30" customHeight="1" spans="1:84">
      <c r="A2" s="89" t="s">
        <v>4531</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BA2" s="90" t="str">
        <f>参数表!BA2</f>
        <v>评估基准日：</v>
      </c>
      <c r="BB2" s="91" t="str">
        <f>参数表!BB2</f>
        <v>2025年7月31日</v>
      </c>
      <c r="BC2" s="488"/>
      <c r="BD2" s="488"/>
      <c r="BH2" s="510"/>
      <c r="BJ2" s="171"/>
      <c r="BK2" s="171"/>
      <c r="BL2" s="171"/>
      <c r="BM2" s="171"/>
      <c r="BN2" s="171"/>
      <c r="BP2" s="171"/>
      <c r="BT2" s="171"/>
      <c r="BX2" s="92"/>
      <c r="BY2" s="93"/>
      <c r="BZ2" s="92"/>
      <c r="CA2" s="93"/>
      <c r="CB2" s="93"/>
      <c r="CC2" s="93"/>
      <c r="CD2" s="93"/>
      <c r="CE2" s="93"/>
      <c r="CF2" s="92"/>
    </row>
    <row r="3" ht="15" customHeight="1" spans="1:84">
      <c r="A3" s="94" t="str">
        <f>参数表!F5</f>
        <v>评估基准日：2025年7月31日</v>
      </c>
      <c r="B3" s="94"/>
      <c r="C3" s="94"/>
      <c r="D3" s="94"/>
      <c r="E3" s="94"/>
      <c r="F3" s="94"/>
      <c r="G3" s="94"/>
      <c r="H3" s="94"/>
      <c r="I3" s="94"/>
      <c r="J3" s="94"/>
      <c r="K3" s="94"/>
      <c r="L3" s="94"/>
      <c r="M3" s="94"/>
      <c r="N3" s="94"/>
      <c r="O3" s="94"/>
      <c r="P3" s="95"/>
      <c r="Q3" s="95"/>
      <c r="R3" s="95"/>
      <c r="S3" s="95"/>
      <c r="T3" s="95"/>
      <c r="U3" s="95"/>
      <c r="V3" s="95"/>
      <c r="W3" s="95"/>
      <c r="X3" s="95"/>
      <c r="Y3" s="95"/>
      <c r="Z3" s="95"/>
      <c r="AA3" s="95"/>
      <c r="AB3" s="95"/>
      <c r="AC3" s="95"/>
      <c r="BA3" s="90" t="str">
        <f>参数表!BA3</f>
        <v>是否显示评估值：</v>
      </c>
      <c r="BB3" s="90" t="str">
        <f>参数表!BB3</f>
        <v>是</v>
      </c>
      <c r="BC3" s="103"/>
      <c r="BD3" s="103"/>
      <c r="BX3" s="92"/>
      <c r="BY3" s="93"/>
      <c r="BZ3" s="92"/>
      <c r="CA3" s="93"/>
      <c r="CB3" s="93"/>
      <c r="CC3" s="93"/>
      <c r="CD3" s="93"/>
      <c r="CE3" s="93"/>
      <c r="CF3" s="92"/>
    </row>
    <row r="4" ht="15" customHeight="1" spans="1:84">
      <c r="A4" s="96"/>
      <c r="B4" s="94"/>
      <c r="C4" s="94"/>
      <c r="D4" s="94"/>
      <c r="E4" s="94"/>
      <c r="F4" s="94"/>
      <c r="G4" s="94"/>
      <c r="H4" s="94"/>
      <c r="I4" s="94"/>
      <c r="J4" s="94"/>
      <c r="K4" s="94"/>
      <c r="L4" s="94"/>
      <c r="M4" s="94"/>
      <c r="N4" s="94"/>
      <c r="O4" s="94"/>
      <c r="P4" s="95"/>
      <c r="Q4" s="95"/>
      <c r="R4" s="95"/>
      <c r="S4" s="206"/>
      <c r="T4" s="206"/>
      <c r="U4" s="206"/>
      <c r="V4" s="98"/>
      <c r="W4" s="95"/>
      <c r="X4" s="95"/>
      <c r="Y4" s="95"/>
      <c r="Z4" s="95"/>
      <c r="AA4" s="95"/>
      <c r="AB4" s="95"/>
      <c r="AC4" s="98" t="str">
        <f>"表"&amp;$BA4</f>
        <v>表4-14</v>
      </c>
      <c r="BA4" s="274" t="str">
        <f>非流动资总!A20</f>
        <v>4-14</v>
      </c>
      <c r="BB4" s="100">
        <f>MAX(COUNTA(A8:A27),COUNTA(B8:B27),COUNTA(P8:P27),COUNTA(Q8:Q27))</f>
        <v>20</v>
      </c>
      <c r="BC4" s="101">
        <f>ROW(A7)+1</f>
        <v>8</v>
      </c>
      <c r="BD4" s="77"/>
      <c r="BE4" s="77"/>
      <c r="BZ4" s="78"/>
    </row>
    <row r="5" ht="15" customHeight="1" spans="1:84">
      <c r="A5" s="102" t="str">
        <f>参数表!F3</f>
        <v>产权持有单位:中煤第五建设有限公司</v>
      </c>
      <c r="B5" s="103"/>
      <c r="C5" s="103"/>
      <c r="D5" s="103"/>
      <c r="E5" s="103"/>
      <c r="F5" s="103"/>
      <c r="G5" s="103"/>
      <c r="H5" s="103"/>
      <c r="I5" s="103"/>
      <c r="J5" s="103"/>
      <c r="K5" s="103"/>
      <c r="L5" s="103"/>
      <c r="M5" s="103"/>
      <c r="N5" s="103"/>
      <c r="O5" s="103"/>
      <c r="P5" s="103"/>
      <c r="Q5" s="103"/>
      <c r="R5" s="103"/>
      <c r="S5" s="104"/>
      <c r="T5" s="104"/>
      <c r="U5" s="104"/>
      <c r="V5" s="103"/>
      <c r="W5" s="103"/>
      <c r="X5" s="103"/>
      <c r="Y5" s="103"/>
      <c r="Z5" s="103"/>
      <c r="AA5" s="103"/>
      <c r="AB5" s="103"/>
      <c r="AC5" s="98" t="s">
        <v>236</v>
      </c>
      <c r="BA5" s="103"/>
      <c r="BB5" s="105" t="str">
        <f ca="1">判断表!C85</f>
        <v>中煤第五建设有限公司第三工程处拟处置实物资产项目\[0000-3基础法明细表.xlsx]使用权资</v>
      </c>
      <c r="BC5" s="106">
        <f>IFERROR(SUMIF(BC8:BC27,"√",V8:V27)/V28,0)</f>
        <v>0</v>
      </c>
      <c r="BD5" s="107"/>
      <c r="BE5" s="107"/>
      <c r="BF5" s="108">
        <f>分类汇总!I36</f>
        <v>0</v>
      </c>
      <c r="BG5" s="108">
        <f>分类汇总!K36</f>
        <v>0</v>
      </c>
      <c r="BH5" s="109"/>
      <c r="BI5" s="109"/>
      <c r="BJ5" s="109"/>
      <c r="BK5" s="109"/>
      <c r="BL5" s="109"/>
      <c r="BM5" s="109"/>
      <c r="BN5" s="109"/>
      <c r="BO5" s="110"/>
      <c r="BP5" s="109"/>
      <c r="BQ5" s="110"/>
      <c r="BR5" s="110"/>
      <c r="BZ5" s="78"/>
    </row>
    <row r="6" s="72" customFormat="1" ht="15" customHeight="1" spans="1:84">
      <c r="A6" s="112" t="s">
        <v>305</v>
      </c>
      <c r="B6" s="113" t="s">
        <v>4532</v>
      </c>
      <c r="C6" s="118" t="s">
        <v>4533</v>
      </c>
      <c r="D6" s="118" t="s">
        <v>2176</v>
      </c>
      <c r="E6" s="118" t="s">
        <v>4534</v>
      </c>
      <c r="F6" s="118" t="s">
        <v>3637</v>
      </c>
      <c r="G6" s="193" t="s">
        <v>3777</v>
      </c>
      <c r="H6" s="193" t="s">
        <v>4535</v>
      </c>
      <c r="I6" s="193" t="s">
        <v>4536</v>
      </c>
      <c r="J6" s="193" t="s">
        <v>4537</v>
      </c>
      <c r="K6" s="511" t="s">
        <v>1964</v>
      </c>
      <c r="L6" s="512"/>
      <c r="M6" s="512"/>
      <c r="N6" s="512"/>
      <c r="O6" s="513"/>
      <c r="P6" s="514" t="s">
        <v>1549</v>
      </c>
      <c r="Q6" s="189"/>
      <c r="R6" s="190"/>
      <c r="S6" s="515" t="s">
        <v>1634</v>
      </c>
      <c r="T6" s="516"/>
      <c r="U6" s="517"/>
      <c r="V6" s="514" t="s">
        <v>1523</v>
      </c>
      <c r="W6" s="189"/>
      <c r="X6" s="190"/>
      <c r="Y6" s="113" t="s">
        <v>1550</v>
      </c>
      <c r="Z6" s="113"/>
      <c r="AA6" s="113"/>
      <c r="AB6" s="118" t="s">
        <v>1551</v>
      </c>
      <c r="AC6" s="118" t="s">
        <v>308</v>
      </c>
      <c r="BA6" s="191"/>
      <c r="BB6" s="100"/>
      <c r="BC6" s="100"/>
      <c r="BD6" s="100"/>
      <c r="BE6" s="100"/>
      <c r="BF6" s="192" t="s">
        <v>1639</v>
      </c>
      <c r="BG6" s="192" t="s">
        <v>1640</v>
      </c>
      <c r="BH6" s="193" t="s">
        <v>1748</v>
      </c>
      <c r="BI6" s="193" t="s">
        <v>4217</v>
      </c>
      <c r="BJ6" s="193" t="s">
        <v>3695</v>
      </c>
      <c r="BK6" s="193" t="s">
        <v>1712</v>
      </c>
      <c r="BL6" s="193" t="s">
        <v>3696</v>
      </c>
      <c r="BM6" s="193" t="s">
        <v>4355</v>
      </c>
      <c r="BN6" s="193" t="s">
        <v>1641</v>
      </c>
      <c r="BO6" s="193" t="s">
        <v>2209</v>
      </c>
      <c r="BP6" s="193" t="s">
        <v>3697</v>
      </c>
      <c r="BQ6" s="193" t="s">
        <v>1644</v>
      </c>
      <c r="BR6" s="191"/>
      <c r="BS6" s="518" t="s">
        <v>4488</v>
      </c>
      <c r="BT6" s="185"/>
      <c r="BU6" s="185"/>
      <c r="BV6" s="185"/>
      <c r="BW6" s="185"/>
      <c r="BX6" s="111"/>
      <c r="BY6" s="78"/>
      <c r="BZ6" s="78"/>
      <c r="CA6" s="78"/>
      <c r="CB6" s="78"/>
      <c r="CC6" s="78"/>
      <c r="CD6" s="78"/>
      <c r="CE6" s="194"/>
      <c r="CF6" s="111"/>
    </row>
    <row r="7" s="72" customFormat="1" ht="15" customHeight="1" spans="1:84">
      <c r="A7" s="195"/>
      <c r="B7" s="149"/>
      <c r="C7" s="149"/>
      <c r="D7" s="149"/>
      <c r="E7" s="118"/>
      <c r="F7" s="118"/>
      <c r="G7" s="198"/>
      <c r="H7" s="198"/>
      <c r="I7" s="198"/>
      <c r="J7" s="198"/>
      <c r="K7" s="519" t="s">
        <v>1968</v>
      </c>
      <c r="L7" s="519" t="s">
        <v>1969</v>
      </c>
      <c r="M7" s="519" t="s">
        <v>3699</v>
      </c>
      <c r="N7" s="519" t="s">
        <v>3700</v>
      </c>
      <c r="O7" s="149" t="s">
        <v>3701</v>
      </c>
      <c r="P7" s="113" t="s">
        <v>1556</v>
      </c>
      <c r="Q7" s="113" t="s">
        <v>1557</v>
      </c>
      <c r="R7" s="113" t="s">
        <v>3702</v>
      </c>
      <c r="S7" s="117" t="s">
        <v>3703</v>
      </c>
      <c r="T7" s="117" t="s">
        <v>3704</v>
      </c>
      <c r="U7" s="117" t="s">
        <v>3705</v>
      </c>
      <c r="V7" s="113" t="s">
        <v>1556</v>
      </c>
      <c r="W7" s="113" t="s">
        <v>1557</v>
      </c>
      <c r="X7" s="113" t="s">
        <v>3702</v>
      </c>
      <c r="Y7" s="113" t="s">
        <v>1556</v>
      </c>
      <c r="Z7" s="113" t="s">
        <v>2753</v>
      </c>
      <c r="AA7" s="113" t="s">
        <v>1557</v>
      </c>
      <c r="AB7" s="113"/>
      <c r="AC7" s="113"/>
      <c r="BA7" s="100" t="s">
        <v>1545</v>
      </c>
      <c r="BB7" s="100" t="s">
        <v>1635</v>
      </c>
      <c r="BC7" s="100" t="s">
        <v>1636</v>
      </c>
      <c r="BD7" s="100" t="s">
        <v>1637</v>
      </c>
      <c r="BE7" s="100" t="s">
        <v>1638</v>
      </c>
      <c r="BF7" s="197"/>
      <c r="BG7" s="197"/>
      <c r="BH7" s="198"/>
      <c r="BI7" s="198"/>
      <c r="BJ7" s="198"/>
      <c r="BK7" s="198"/>
      <c r="BL7" s="198"/>
      <c r="BM7" s="198"/>
      <c r="BN7" s="198"/>
      <c r="BO7" s="198"/>
      <c r="BP7" s="198"/>
      <c r="BQ7" s="198"/>
      <c r="BR7" s="520" t="s">
        <v>2667</v>
      </c>
      <c r="BS7" s="185" t="s">
        <v>1550</v>
      </c>
      <c r="BT7" s="185" t="s">
        <v>470</v>
      </c>
      <c r="BU7" s="185" t="s">
        <v>2761</v>
      </c>
      <c r="BV7" s="185" t="s">
        <v>2763</v>
      </c>
      <c r="BW7" s="185" t="s">
        <v>4252</v>
      </c>
      <c r="BX7" s="119"/>
      <c r="BY7" s="120" t="s">
        <v>1645</v>
      </c>
      <c r="BZ7" s="121" t="s">
        <v>1646</v>
      </c>
      <c r="CA7" s="121" t="s">
        <v>1647</v>
      </c>
      <c r="CB7" s="121" t="s">
        <v>1648</v>
      </c>
      <c r="CC7" s="121" t="s">
        <v>1647</v>
      </c>
      <c r="CD7" s="121" t="s">
        <v>1647</v>
      </c>
      <c r="CE7" s="121" t="s">
        <v>1649</v>
      </c>
      <c r="CF7" s="122" t="s">
        <v>1650</v>
      </c>
    </row>
    <row r="8" ht="15" customHeight="1" spans="1:84">
      <c r="A8" s="123" t="str">
        <f>IF(B8="","",COUNT(A$7:A7)+1)</f>
        <v/>
      </c>
      <c r="B8" s="124"/>
      <c r="C8" s="124"/>
      <c r="D8" s="126"/>
      <c r="E8" s="124"/>
      <c r="F8" s="212"/>
      <c r="G8" s="125"/>
      <c r="H8" s="213"/>
      <c r="I8" s="126"/>
      <c r="J8" s="126"/>
      <c r="K8" s="127"/>
      <c r="L8" s="127" t="str">
        <f>IFERROR(VLOOKUP(K8,参数表!$H$2:$I$50,2,FALSE),"")</f>
        <v/>
      </c>
      <c r="M8" s="128" t="str">
        <f>IFERROR(IF(OR(K8="人民币",K8=""),"",V8/L8),"")</f>
        <v/>
      </c>
      <c r="N8" s="128" t="str">
        <f>IFERROR(IF(OR(K8="人民币",K8=""),"",W8/L8),"")</f>
        <v/>
      </c>
      <c r="O8" s="129" t="str">
        <f>IFERROR(IF(OR(K8="人民币",K8=""),"",X8/L8),"")</f>
        <v/>
      </c>
      <c r="P8" s="129"/>
      <c r="Q8" s="129"/>
      <c r="R8" s="129"/>
      <c r="S8" s="130"/>
      <c r="T8" s="130"/>
      <c r="U8" s="130"/>
      <c r="V8" s="129" t="str">
        <f>IF(B8="","",P8+S8)</f>
        <v/>
      </c>
      <c r="W8" s="129" t="str">
        <f>IF(B8="","",Q8+T8)</f>
        <v/>
      </c>
      <c r="X8" s="129" t="str">
        <f>IF(B8="","",R8+U8)</f>
        <v/>
      </c>
      <c r="Y8" s="129" t="str">
        <f t="shared" ref="Y8:Y27" si="0">IF(B8="","",IF($BB$3="是",BS8,""))</f>
        <v/>
      </c>
      <c r="Z8" s="521" t="str">
        <f t="shared" ref="Z8:Z27" si="1">IF(B8="","",IF($BB$3="是",IF(BR8="成本法",BW8*100,""),""))</f>
        <v/>
      </c>
      <c r="AA8" s="129" t="str">
        <f t="shared" ref="AA8:AA27" si="2">IF(Y8="","",IF(BB$3="是",IF(Z8="",Y8,ROUND(Y8*Z8/100,0)),""))</f>
        <v/>
      </c>
      <c r="AB8" s="129" t="str">
        <f>IFERROR(AA8/(W8-X8)*100,"")</f>
        <v/>
      </c>
      <c r="AC8" s="131"/>
      <c r="BA8" s="78"/>
      <c r="BB8" s="132" t="s">
        <v>4538</v>
      </c>
      <c r="BC8" s="133"/>
      <c r="BD8" s="132" t="str">
        <f>IF(OR(B8="",BC8=""),"",COUNTIF(BC$7:BC8,"√"))</f>
        <v/>
      </c>
      <c r="BE8" s="134" t="str">
        <f t="shared" ref="BE8:BE27" si="3">IF(BC8="","",BB8&amp;BC8&amp;"︱"&amp;B8&amp;"︱"&amp;TEXT(V8,"#,##0.00"))</f>
        <v/>
      </c>
      <c r="BF8" s="135" t="str">
        <f>IF($B8="","",IF(BF$5=0,"OK","出错"))</f>
        <v/>
      </c>
      <c r="BG8" s="135" t="str">
        <f>IF($B8="","",IF(BG$5=0,"OK","出错"))</f>
        <v/>
      </c>
      <c r="BH8" s="136"/>
      <c r="BI8" s="137"/>
      <c r="BJ8" s="136"/>
      <c r="BK8" s="136"/>
      <c r="BL8" s="136"/>
      <c r="BM8" s="136"/>
      <c r="BN8" s="136"/>
      <c r="BO8" s="137"/>
      <c r="BP8" s="136"/>
      <c r="BQ8" s="137"/>
      <c r="BR8" s="165" t="s">
        <v>2706</v>
      </c>
      <c r="BS8" s="522" t="str">
        <f t="shared" ref="BS8:BS27" si="4">V8</f>
        <v/>
      </c>
      <c r="BT8" s="523"/>
      <c r="BU8" s="522">
        <f t="shared" ref="BU8:BU27" si="5">IFERROR((BB$2-F8)/VLOOKUP(H8,H$33:I$37,2,FALSE),0)</f>
        <v>0</v>
      </c>
      <c r="BV8" s="522">
        <f t="shared" ref="BV8:BV27" si="6">IFERROR((G8-F8)/VLOOKUP(H8,H$33:I$37,2,FALSE),0)</f>
        <v>0</v>
      </c>
      <c r="BW8" s="524">
        <f>IFERROR(ROUND((1-BU8/BV8),2),0)</f>
        <v>0</v>
      </c>
      <c r="BY8" s="134" t="str">
        <f>IF(COUNTIF(BY$7:BY7,B8)&gt;0,"",B8)&amp;""</f>
        <v/>
      </c>
      <c r="BZ8" s="138">
        <f>SUMIF(B$8:B$27,BY8,V$8:V$27)</f>
        <v>0</v>
      </c>
      <c r="CA8" s="132">
        <f t="shared" ref="CA8" si="7">RANK(BZ8,BZ$8:BZ$27)</f>
        <v>1</v>
      </c>
      <c r="CB8" s="138">
        <f>SUMIF(B$8:B$27,BY8,Y$8:Y$27)</f>
        <v>0</v>
      </c>
      <c r="CC8" s="132">
        <f>RANK(CB8,CB$8:CB$27)</f>
        <v>1</v>
      </c>
      <c r="CD8" s="138">
        <f>SUM(BZ8:BZ27)</f>
        <v>0</v>
      </c>
      <c r="CE8" s="138"/>
      <c r="CF8" s="138"/>
    </row>
    <row r="9" ht="15" customHeight="1" spans="1:84">
      <c r="A9" s="123" t="str">
        <f>IF(B9="","",COUNT(A$7:A8)+1)</f>
        <v/>
      </c>
      <c r="B9" s="139"/>
      <c r="C9" s="139"/>
      <c r="D9" s="141"/>
      <c r="E9" s="139"/>
      <c r="F9" s="217"/>
      <c r="G9" s="140"/>
      <c r="H9" s="218"/>
      <c r="I9" s="141"/>
      <c r="J9" s="141"/>
      <c r="K9" s="142"/>
      <c r="L9" s="127" t="str">
        <f>IFERROR(VLOOKUP(K9,参数表!$H$2:$I$50,2,FALSE),"")</f>
        <v/>
      </c>
      <c r="M9" s="128" t="str">
        <f t="shared" ref="M9:M27" si="8">IFERROR(IF(OR(K9="人民币",K9=""),"",V9/L9),"")</f>
        <v/>
      </c>
      <c r="N9" s="128" t="str">
        <f t="shared" ref="N9:N27" si="9">IFERROR(IF(OR(K9="人民币",K9=""),"",W9/L9),"")</f>
        <v/>
      </c>
      <c r="O9" s="129" t="str">
        <f t="shared" ref="O9:O27" si="10">IFERROR(IF(OR(K9="人民币",K9=""),"",X9/L9),"")</f>
        <v/>
      </c>
      <c r="P9" s="143"/>
      <c r="Q9" s="143"/>
      <c r="R9" s="143"/>
      <c r="S9" s="144"/>
      <c r="T9" s="144"/>
      <c r="U9" s="144"/>
      <c r="V9" s="129" t="str">
        <f t="shared" ref="V9:V27" si="11">IF(B9="","",P9+S9)</f>
        <v/>
      </c>
      <c r="W9" s="129" t="str">
        <f t="shared" ref="W9:W27" si="12">IF(B9="","",Q9+T9)</f>
        <v/>
      </c>
      <c r="X9" s="129" t="str">
        <f t="shared" ref="X9:X27" si="13">IF(B9="","",R9+U9)</f>
        <v/>
      </c>
      <c r="Y9" s="129" t="str">
        <f t="shared" si="0"/>
        <v/>
      </c>
      <c r="Z9" s="521" t="str">
        <f t="shared" si="1"/>
        <v/>
      </c>
      <c r="AA9" s="129" t="str">
        <f t="shared" si="2"/>
        <v/>
      </c>
      <c r="AB9" s="129" t="str">
        <f t="shared" ref="AB9:AB30" si="14">IFERROR(AA9/(W9-X9)*100,"")</f>
        <v/>
      </c>
      <c r="AC9" s="145"/>
      <c r="BA9" s="78"/>
      <c r="BB9" s="132" t="s">
        <v>4539</v>
      </c>
      <c r="BC9" s="133"/>
      <c r="BD9" s="132" t="str">
        <f>IF(OR(B9="",BC9=""),"",COUNTIF(BC$7:BC9,"√"))</f>
        <v/>
      </c>
      <c r="BE9" s="134" t="str">
        <f t="shared" si="3"/>
        <v/>
      </c>
      <c r="BF9" s="135" t="str">
        <f t="shared" ref="BF9:BG27" si="15">IF($B9="","",IF(BF$5=0,"OK","出错"))</f>
        <v/>
      </c>
      <c r="BG9" s="135" t="str">
        <f t="shared" si="15"/>
        <v/>
      </c>
      <c r="BH9" s="136"/>
      <c r="BI9" s="137"/>
      <c r="BJ9" s="136"/>
      <c r="BK9" s="136"/>
      <c r="BL9" s="136"/>
      <c r="BM9" s="136"/>
      <c r="BN9" s="136"/>
      <c r="BO9" s="137"/>
      <c r="BP9" s="136"/>
      <c r="BQ9" s="137"/>
      <c r="BR9" s="165" t="s">
        <v>2706</v>
      </c>
      <c r="BS9" s="522" t="str">
        <f t="shared" si="4"/>
        <v/>
      </c>
      <c r="BT9" s="523"/>
      <c r="BU9" s="522">
        <f t="shared" si="5"/>
        <v>0</v>
      </c>
      <c r="BV9" s="522">
        <f t="shared" si="6"/>
        <v>0</v>
      </c>
      <c r="BW9" s="524">
        <f t="shared" ref="BW9:BW27" si="16">IFERROR(ROUND((1-BU9/BV9),2),0)</f>
        <v>0</v>
      </c>
      <c r="BY9" s="134" t="str">
        <f>IF(COUNTIF(BY$7:BY8,B9)&gt;0,"",B9)&amp;""</f>
        <v/>
      </c>
      <c r="BZ9" s="138">
        <f t="shared" ref="BZ9:BZ27" si="17">SUMIF(B$8:B$27,BY9,V$8:V$27)</f>
        <v>0</v>
      </c>
      <c r="CA9" s="132">
        <f t="shared" ref="CA9:CA27" si="18">RANK(BZ9,BZ$8:BZ$27)</f>
        <v>1</v>
      </c>
      <c r="CB9" s="138">
        <f t="shared" ref="CB9:CB27" si="19">SUMIF(B$8:B$27,BY9,Y$8:Y$27)</f>
        <v>0</v>
      </c>
      <c r="CC9" s="132">
        <f t="shared" ref="CC9:CC27" si="20">RANK(CB9,CB$8:CB$27)</f>
        <v>1</v>
      </c>
      <c r="CD9" s="138">
        <f>SUM(CB8:CB27)</f>
        <v>0</v>
      </c>
      <c r="CE9" s="138"/>
      <c r="CF9" s="138"/>
    </row>
    <row r="10" ht="15" customHeight="1" spans="1:84">
      <c r="A10" s="123" t="str">
        <f>IF(B10="","",COUNT(A$7:A9)+1)</f>
        <v/>
      </c>
      <c r="B10" s="139"/>
      <c r="C10" s="139"/>
      <c r="D10" s="141"/>
      <c r="E10" s="139"/>
      <c r="F10" s="217"/>
      <c r="G10" s="140"/>
      <c r="H10" s="218"/>
      <c r="I10" s="141"/>
      <c r="J10" s="141"/>
      <c r="K10" s="142"/>
      <c r="L10" s="127" t="str">
        <f>IFERROR(VLOOKUP(K10,参数表!$H$2:$I$50,2,FALSE),"")</f>
        <v/>
      </c>
      <c r="M10" s="128" t="str">
        <f t="shared" si="8"/>
        <v/>
      </c>
      <c r="N10" s="128" t="str">
        <f t="shared" si="9"/>
        <v/>
      </c>
      <c r="O10" s="129" t="str">
        <f t="shared" si="10"/>
        <v/>
      </c>
      <c r="P10" s="143"/>
      <c r="Q10" s="143"/>
      <c r="R10" s="143"/>
      <c r="S10" s="144"/>
      <c r="T10" s="144"/>
      <c r="U10" s="144"/>
      <c r="V10" s="129" t="str">
        <f t="shared" si="11"/>
        <v/>
      </c>
      <c r="W10" s="129" t="str">
        <f t="shared" si="12"/>
        <v/>
      </c>
      <c r="X10" s="129" t="str">
        <f t="shared" si="13"/>
        <v/>
      </c>
      <c r="Y10" s="129" t="str">
        <f t="shared" si="0"/>
        <v/>
      </c>
      <c r="Z10" s="521" t="str">
        <f t="shared" si="1"/>
        <v/>
      </c>
      <c r="AA10" s="129" t="str">
        <f t="shared" si="2"/>
        <v/>
      </c>
      <c r="AB10" s="129" t="str">
        <f t="shared" si="14"/>
        <v/>
      </c>
      <c r="AC10" s="145"/>
      <c r="BA10" s="78"/>
      <c r="BB10" s="132" t="s">
        <v>4540</v>
      </c>
      <c r="BC10" s="133"/>
      <c r="BD10" s="132" t="str">
        <f>IF(OR(B10="",BC10=""),"",COUNTIF(BC$7:BC10,"√"))</f>
        <v/>
      </c>
      <c r="BE10" s="134" t="str">
        <f t="shared" si="3"/>
        <v/>
      </c>
      <c r="BF10" s="135" t="str">
        <f t="shared" si="15"/>
        <v/>
      </c>
      <c r="BG10" s="135" t="str">
        <f t="shared" si="15"/>
        <v/>
      </c>
      <c r="BH10" s="136"/>
      <c r="BI10" s="137"/>
      <c r="BJ10" s="136"/>
      <c r="BK10" s="136"/>
      <c r="BL10" s="136"/>
      <c r="BM10" s="136"/>
      <c r="BN10" s="136"/>
      <c r="BO10" s="137"/>
      <c r="BP10" s="136"/>
      <c r="BQ10" s="137"/>
      <c r="BR10" s="165" t="s">
        <v>2706</v>
      </c>
      <c r="BS10" s="522" t="str">
        <f t="shared" si="4"/>
        <v/>
      </c>
      <c r="BT10" s="523"/>
      <c r="BU10" s="522">
        <f t="shared" si="5"/>
        <v>0</v>
      </c>
      <c r="BV10" s="522">
        <f t="shared" si="6"/>
        <v>0</v>
      </c>
      <c r="BW10" s="524">
        <f t="shared" si="16"/>
        <v>0</v>
      </c>
      <c r="BY10" s="134" t="str">
        <f>IF(COUNTIF(BY$7:BY9,B10)&gt;0,"",B10)&amp;""</f>
        <v/>
      </c>
      <c r="BZ10" s="138">
        <f t="shared" si="17"/>
        <v>0</v>
      </c>
      <c r="CA10" s="132">
        <f t="shared" si="18"/>
        <v>1</v>
      </c>
      <c r="CB10" s="138">
        <f t="shared" si="19"/>
        <v>0</v>
      </c>
      <c r="CC10" s="132">
        <f t="shared" si="20"/>
        <v>1</v>
      </c>
      <c r="CD10" s="132">
        <v>1</v>
      </c>
      <c r="CE10" s="134" t="str">
        <f>IFERROR(INDEX(BY$8:BY$27,MATCH(CD10,IF(CD$8=0,CC$8:CC$27,CA$8:CA$27),0))&amp;"","")</f>
        <v/>
      </c>
      <c r="CF10" s="146" t="str">
        <f>IF(CE11="","",IF(CE12="","和","、"))</f>
        <v/>
      </c>
    </row>
    <row r="11" ht="15" customHeight="1" spans="1:84">
      <c r="A11" s="123" t="str">
        <f>IF(B11="","",COUNT(A$7:A10)+1)</f>
        <v/>
      </c>
      <c r="B11" s="139"/>
      <c r="C11" s="139"/>
      <c r="D11" s="141"/>
      <c r="E11" s="139"/>
      <c r="F11" s="217"/>
      <c r="G11" s="140"/>
      <c r="H11" s="218"/>
      <c r="I11" s="141"/>
      <c r="J11" s="141"/>
      <c r="K11" s="142"/>
      <c r="L11" s="127" t="str">
        <f>IFERROR(VLOOKUP(K11,参数表!$H$2:$I$50,2,FALSE),"")</f>
        <v/>
      </c>
      <c r="M11" s="128" t="str">
        <f t="shared" si="8"/>
        <v/>
      </c>
      <c r="N11" s="128" t="str">
        <f t="shared" si="9"/>
        <v/>
      </c>
      <c r="O11" s="129" t="str">
        <f t="shared" si="10"/>
        <v/>
      </c>
      <c r="P11" s="143"/>
      <c r="Q11" s="143"/>
      <c r="R11" s="143"/>
      <c r="S11" s="144"/>
      <c r="T11" s="144"/>
      <c r="U11" s="144"/>
      <c r="V11" s="129" t="str">
        <f t="shared" si="11"/>
        <v/>
      </c>
      <c r="W11" s="129" t="str">
        <f t="shared" si="12"/>
        <v/>
      </c>
      <c r="X11" s="129" t="str">
        <f t="shared" si="13"/>
        <v/>
      </c>
      <c r="Y11" s="129" t="str">
        <f t="shared" si="0"/>
        <v/>
      </c>
      <c r="Z11" s="521" t="str">
        <f t="shared" si="1"/>
        <v/>
      </c>
      <c r="AA11" s="129" t="str">
        <f t="shared" si="2"/>
        <v/>
      </c>
      <c r="AB11" s="129" t="str">
        <f t="shared" si="14"/>
        <v/>
      </c>
      <c r="AC11" s="145"/>
      <c r="BA11" s="78"/>
      <c r="BB11" s="132" t="s">
        <v>4541</v>
      </c>
      <c r="BC11" s="133"/>
      <c r="BD11" s="132" t="str">
        <f>IF(OR(B11="",BC11=""),"",COUNTIF(BC$7:BC11,"√"))</f>
        <v/>
      </c>
      <c r="BE11" s="134" t="str">
        <f t="shared" si="3"/>
        <v/>
      </c>
      <c r="BF11" s="135" t="str">
        <f t="shared" si="15"/>
        <v/>
      </c>
      <c r="BG11" s="135" t="str">
        <f t="shared" si="15"/>
        <v/>
      </c>
      <c r="BH11" s="136"/>
      <c r="BI11" s="137"/>
      <c r="BJ11" s="136"/>
      <c r="BK11" s="136"/>
      <c r="BL11" s="136"/>
      <c r="BM11" s="136"/>
      <c r="BN11" s="136"/>
      <c r="BO11" s="137"/>
      <c r="BP11" s="136"/>
      <c r="BQ11" s="137"/>
      <c r="BR11" s="165" t="s">
        <v>2706</v>
      </c>
      <c r="BS11" s="522" t="str">
        <f t="shared" si="4"/>
        <v/>
      </c>
      <c r="BT11" s="523"/>
      <c r="BU11" s="522">
        <f t="shared" si="5"/>
        <v>0</v>
      </c>
      <c r="BV11" s="522">
        <f t="shared" si="6"/>
        <v>0</v>
      </c>
      <c r="BW11" s="524">
        <f t="shared" si="16"/>
        <v>0</v>
      </c>
      <c r="BY11" s="134" t="str">
        <f>IF(COUNTIF(BY$7:BY10,B11)&gt;0,"",B11)&amp;""</f>
        <v/>
      </c>
      <c r="BZ11" s="138">
        <f t="shared" si="17"/>
        <v>0</v>
      </c>
      <c r="CA11" s="132">
        <f t="shared" si="18"/>
        <v>1</v>
      </c>
      <c r="CB11" s="138">
        <f t="shared" si="19"/>
        <v>0</v>
      </c>
      <c r="CC11" s="132">
        <f t="shared" si="20"/>
        <v>1</v>
      </c>
      <c r="CD11" s="132">
        <v>2</v>
      </c>
      <c r="CE11" s="134" t="str">
        <f t="shared" ref="CE11:CE14" si="21">IFERROR(INDEX(BY$8:BY$27,MATCH(CD11,IF(CD$8=0,CC$8:CC$27,CA$8:CA$27),0))&amp;"","")</f>
        <v/>
      </c>
      <c r="CF11" s="146" t="str">
        <f t="shared" ref="CF11:CF12" si="22">IF(CE12="","",IF(CE13="","和","、"))</f>
        <v/>
      </c>
    </row>
    <row r="12" ht="15" customHeight="1" spans="1:84">
      <c r="A12" s="123" t="str">
        <f>IF(B12="","",COUNT(A$7:A11)+1)</f>
        <v/>
      </c>
      <c r="B12" s="139"/>
      <c r="C12" s="139"/>
      <c r="D12" s="141"/>
      <c r="E12" s="139"/>
      <c r="F12" s="217"/>
      <c r="G12" s="140"/>
      <c r="H12" s="218"/>
      <c r="I12" s="141"/>
      <c r="J12" s="141"/>
      <c r="K12" s="142"/>
      <c r="L12" s="127" t="str">
        <f>IFERROR(VLOOKUP(K12,参数表!$H$2:$I$50,2,FALSE),"")</f>
        <v/>
      </c>
      <c r="M12" s="128" t="str">
        <f t="shared" si="8"/>
        <v/>
      </c>
      <c r="N12" s="128" t="str">
        <f t="shared" si="9"/>
        <v/>
      </c>
      <c r="O12" s="129" t="str">
        <f t="shared" si="10"/>
        <v/>
      </c>
      <c r="P12" s="143"/>
      <c r="Q12" s="143"/>
      <c r="R12" s="143"/>
      <c r="S12" s="144"/>
      <c r="T12" s="144"/>
      <c r="U12" s="144"/>
      <c r="V12" s="129" t="str">
        <f t="shared" si="11"/>
        <v/>
      </c>
      <c r="W12" s="129" t="str">
        <f t="shared" si="12"/>
        <v/>
      </c>
      <c r="X12" s="129" t="str">
        <f t="shared" si="13"/>
        <v/>
      </c>
      <c r="Y12" s="129" t="str">
        <f t="shared" si="0"/>
        <v/>
      </c>
      <c r="Z12" s="521" t="str">
        <f t="shared" si="1"/>
        <v/>
      </c>
      <c r="AA12" s="129" t="str">
        <f t="shared" si="2"/>
        <v/>
      </c>
      <c r="AB12" s="129" t="str">
        <f t="shared" si="14"/>
        <v/>
      </c>
      <c r="AC12" s="145"/>
      <c r="BA12" s="78"/>
      <c r="BB12" s="132" t="s">
        <v>4542</v>
      </c>
      <c r="BC12" s="133"/>
      <c r="BD12" s="132" t="str">
        <f>IF(OR(B12="",BC12=""),"",COUNTIF(BC$7:BC12,"√"))</f>
        <v/>
      </c>
      <c r="BE12" s="134" t="str">
        <f t="shared" si="3"/>
        <v/>
      </c>
      <c r="BF12" s="135" t="str">
        <f t="shared" si="15"/>
        <v/>
      </c>
      <c r="BG12" s="135" t="str">
        <f t="shared" si="15"/>
        <v/>
      </c>
      <c r="BH12" s="136"/>
      <c r="BI12" s="137"/>
      <c r="BJ12" s="136"/>
      <c r="BK12" s="136"/>
      <c r="BL12" s="136"/>
      <c r="BM12" s="136"/>
      <c r="BN12" s="136"/>
      <c r="BO12" s="137"/>
      <c r="BP12" s="136"/>
      <c r="BQ12" s="137"/>
      <c r="BR12" s="165" t="s">
        <v>2706</v>
      </c>
      <c r="BS12" s="522" t="str">
        <f t="shared" si="4"/>
        <v/>
      </c>
      <c r="BT12" s="523"/>
      <c r="BU12" s="522">
        <f t="shared" si="5"/>
        <v>0</v>
      </c>
      <c r="BV12" s="522">
        <f t="shared" si="6"/>
        <v>0</v>
      </c>
      <c r="BW12" s="524">
        <f t="shared" si="16"/>
        <v>0</v>
      </c>
      <c r="BY12" s="134" t="str">
        <f>IF(COUNTIF(BY$7:BY11,B12)&gt;0,"",B12)&amp;""</f>
        <v/>
      </c>
      <c r="BZ12" s="138">
        <f t="shared" si="17"/>
        <v>0</v>
      </c>
      <c r="CA12" s="132">
        <f t="shared" si="18"/>
        <v>1</v>
      </c>
      <c r="CB12" s="138">
        <f t="shared" si="19"/>
        <v>0</v>
      </c>
      <c r="CC12" s="132">
        <f t="shared" si="20"/>
        <v>1</v>
      </c>
      <c r="CD12" s="132">
        <v>3</v>
      </c>
      <c r="CE12" s="134" t="str">
        <f t="shared" si="21"/>
        <v/>
      </c>
      <c r="CF12" s="146" t="str">
        <f t="shared" si="22"/>
        <v/>
      </c>
    </row>
    <row r="13" ht="15" customHeight="1" spans="1:84">
      <c r="A13" s="123" t="str">
        <f>IF(B13="","",COUNT(A$7:A12)+1)</f>
        <v/>
      </c>
      <c r="B13" s="139"/>
      <c r="C13" s="139"/>
      <c r="D13" s="141"/>
      <c r="E13" s="139"/>
      <c r="F13" s="217"/>
      <c r="G13" s="140"/>
      <c r="H13" s="218"/>
      <c r="I13" s="141"/>
      <c r="J13" s="141"/>
      <c r="K13" s="142"/>
      <c r="L13" s="127" t="str">
        <f>IFERROR(VLOOKUP(K13,参数表!$H$2:$I$50,2,FALSE),"")</f>
        <v/>
      </c>
      <c r="M13" s="128" t="str">
        <f t="shared" si="8"/>
        <v/>
      </c>
      <c r="N13" s="128" t="str">
        <f t="shared" si="9"/>
        <v/>
      </c>
      <c r="O13" s="129" t="str">
        <f t="shared" si="10"/>
        <v/>
      </c>
      <c r="P13" s="143"/>
      <c r="Q13" s="143"/>
      <c r="R13" s="143"/>
      <c r="S13" s="144"/>
      <c r="T13" s="144"/>
      <c r="U13" s="144"/>
      <c r="V13" s="129" t="str">
        <f t="shared" si="11"/>
        <v/>
      </c>
      <c r="W13" s="129" t="str">
        <f t="shared" si="12"/>
        <v/>
      </c>
      <c r="X13" s="129" t="str">
        <f t="shared" si="13"/>
        <v/>
      </c>
      <c r="Y13" s="129" t="str">
        <f t="shared" si="0"/>
        <v/>
      </c>
      <c r="Z13" s="521" t="str">
        <f t="shared" si="1"/>
        <v/>
      </c>
      <c r="AA13" s="129" t="str">
        <f t="shared" si="2"/>
        <v/>
      </c>
      <c r="AB13" s="129" t="str">
        <f t="shared" si="14"/>
        <v/>
      </c>
      <c r="AC13" s="145"/>
      <c r="BA13" s="78"/>
      <c r="BB13" s="132" t="s">
        <v>4543</v>
      </c>
      <c r="BC13" s="133"/>
      <c r="BD13" s="132" t="str">
        <f>IF(OR(B13="",BC13=""),"",COUNTIF(BC$7:BC13,"√"))</f>
        <v/>
      </c>
      <c r="BE13" s="134" t="str">
        <f t="shared" si="3"/>
        <v/>
      </c>
      <c r="BF13" s="135" t="str">
        <f t="shared" si="15"/>
        <v/>
      </c>
      <c r="BG13" s="135" t="str">
        <f t="shared" si="15"/>
        <v/>
      </c>
      <c r="BH13" s="136"/>
      <c r="BI13" s="137"/>
      <c r="BJ13" s="136"/>
      <c r="BK13" s="136"/>
      <c r="BL13" s="136"/>
      <c r="BM13" s="136"/>
      <c r="BN13" s="136"/>
      <c r="BO13" s="137"/>
      <c r="BP13" s="136"/>
      <c r="BQ13" s="137"/>
      <c r="BR13" s="165" t="s">
        <v>2706</v>
      </c>
      <c r="BS13" s="522" t="str">
        <f t="shared" si="4"/>
        <v/>
      </c>
      <c r="BT13" s="523"/>
      <c r="BU13" s="522">
        <f t="shared" si="5"/>
        <v>0</v>
      </c>
      <c r="BV13" s="522">
        <f t="shared" si="6"/>
        <v>0</v>
      </c>
      <c r="BW13" s="524">
        <f t="shared" si="16"/>
        <v>0</v>
      </c>
      <c r="BY13" s="134" t="str">
        <f>IF(COUNTIF(BY$7:BY12,B13)&gt;0,"",B13)&amp;""</f>
        <v/>
      </c>
      <c r="BZ13" s="138">
        <f t="shared" si="17"/>
        <v>0</v>
      </c>
      <c r="CA13" s="132">
        <f t="shared" si="18"/>
        <v>1</v>
      </c>
      <c r="CB13" s="138">
        <f t="shared" si="19"/>
        <v>0</v>
      </c>
      <c r="CC13" s="132">
        <f t="shared" si="20"/>
        <v>1</v>
      </c>
      <c r="CD13" s="132">
        <v>4</v>
      </c>
      <c r="CE13" s="134" t="str">
        <f t="shared" si="21"/>
        <v/>
      </c>
      <c r="CF13" s="146" t="str">
        <f>IF(CE14="","","和")</f>
        <v/>
      </c>
    </row>
    <row r="14" ht="15" customHeight="1" spans="1:84">
      <c r="A14" s="123" t="str">
        <f>IF(B14="","",COUNT(A$7:A13)+1)</f>
        <v/>
      </c>
      <c r="B14" s="139"/>
      <c r="C14" s="139"/>
      <c r="D14" s="141"/>
      <c r="E14" s="139"/>
      <c r="F14" s="217"/>
      <c r="G14" s="140"/>
      <c r="H14" s="218"/>
      <c r="I14" s="141"/>
      <c r="J14" s="141"/>
      <c r="K14" s="142"/>
      <c r="L14" s="127" t="str">
        <f>IFERROR(VLOOKUP(K14,参数表!$H$2:$I$50,2,FALSE),"")</f>
        <v/>
      </c>
      <c r="M14" s="128" t="str">
        <f t="shared" si="8"/>
        <v/>
      </c>
      <c r="N14" s="128" t="str">
        <f t="shared" si="9"/>
        <v/>
      </c>
      <c r="O14" s="129" t="str">
        <f t="shared" si="10"/>
        <v/>
      </c>
      <c r="P14" s="143"/>
      <c r="Q14" s="143"/>
      <c r="R14" s="143"/>
      <c r="S14" s="144"/>
      <c r="T14" s="144"/>
      <c r="U14" s="144"/>
      <c r="V14" s="129" t="str">
        <f t="shared" si="11"/>
        <v/>
      </c>
      <c r="W14" s="129" t="str">
        <f t="shared" si="12"/>
        <v/>
      </c>
      <c r="X14" s="129" t="str">
        <f t="shared" si="13"/>
        <v/>
      </c>
      <c r="Y14" s="129" t="str">
        <f t="shared" si="0"/>
        <v/>
      </c>
      <c r="Z14" s="521" t="str">
        <f t="shared" si="1"/>
        <v/>
      </c>
      <c r="AA14" s="129" t="str">
        <f t="shared" si="2"/>
        <v/>
      </c>
      <c r="AB14" s="129" t="str">
        <f t="shared" si="14"/>
        <v/>
      </c>
      <c r="AC14" s="145"/>
      <c r="BA14" s="78"/>
      <c r="BB14" s="132" t="s">
        <v>4544</v>
      </c>
      <c r="BC14" s="133"/>
      <c r="BD14" s="132" t="str">
        <f>IF(OR(B14="",BC14=""),"",COUNTIF(BC$7:BC14,"√"))</f>
        <v/>
      </c>
      <c r="BE14" s="134" t="str">
        <f t="shared" si="3"/>
        <v/>
      </c>
      <c r="BF14" s="135" t="str">
        <f t="shared" si="15"/>
        <v/>
      </c>
      <c r="BG14" s="135" t="str">
        <f t="shared" si="15"/>
        <v/>
      </c>
      <c r="BH14" s="136"/>
      <c r="BI14" s="137"/>
      <c r="BJ14" s="136"/>
      <c r="BK14" s="136"/>
      <c r="BL14" s="136"/>
      <c r="BM14" s="136"/>
      <c r="BN14" s="136"/>
      <c r="BO14" s="137"/>
      <c r="BP14" s="136"/>
      <c r="BQ14" s="137"/>
      <c r="BR14" s="165" t="s">
        <v>2706</v>
      </c>
      <c r="BS14" s="522" t="str">
        <f t="shared" si="4"/>
        <v/>
      </c>
      <c r="BT14" s="523"/>
      <c r="BU14" s="522">
        <f t="shared" si="5"/>
        <v>0</v>
      </c>
      <c r="BV14" s="522">
        <f t="shared" si="6"/>
        <v>0</v>
      </c>
      <c r="BW14" s="524">
        <f t="shared" si="16"/>
        <v>0</v>
      </c>
      <c r="BY14" s="134" t="str">
        <f>IF(COUNTIF(BY$7:BY13,B14)&gt;0,"",B14)&amp;""</f>
        <v/>
      </c>
      <c r="BZ14" s="138">
        <f t="shared" si="17"/>
        <v>0</v>
      </c>
      <c r="CA14" s="132">
        <f t="shared" si="18"/>
        <v>1</v>
      </c>
      <c r="CB14" s="138">
        <f t="shared" si="19"/>
        <v>0</v>
      </c>
      <c r="CC14" s="132">
        <f t="shared" si="20"/>
        <v>1</v>
      </c>
      <c r="CD14" s="132">
        <v>5</v>
      </c>
      <c r="CE14" s="134" t="str">
        <f t="shared" si="21"/>
        <v/>
      </c>
      <c r="CF14" s="146"/>
    </row>
    <row r="15" ht="15" customHeight="1" spans="1:84">
      <c r="A15" s="123" t="str">
        <f>IF(B15="","",COUNT(A$7:A14)+1)</f>
        <v/>
      </c>
      <c r="B15" s="139"/>
      <c r="C15" s="139"/>
      <c r="D15" s="141"/>
      <c r="E15" s="139"/>
      <c r="F15" s="217"/>
      <c r="G15" s="140"/>
      <c r="H15" s="218"/>
      <c r="I15" s="141"/>
      <c r="J15" s="141"/>
      <c r="K15" s="142"/>
      <c r="L15" s="127" t="str">
        <f>IFERROR(VLOOKUP(K15,参数表!$H$2:$I$50,2,FALSE),"")</f>
        <v/>
      </c>
      <c r="M15" s="128" t="str">
        <f t="shared" si="8"/>
        <v/>
      </c>
      <c r="N15" s="128" t="str">
        <f t="shared" si="9"/>
        <v/>
      </c>
      <c r="O15" s="129" t="str">
        <f t="shared" si="10"/>
        <v/>
      </c>
      <c r="P15" s="143"/>
      <c r="Q15" s="143"/>
      <c r="R15" s="143"/>
      <c r="S15" s="144"/>
      <c r="T15" s="144"/>
      <c r="U15" s="144"/>
      <c r="V15" s="129" t="str">
        <f t="shared" si="11"/>
        <v/>
      </c>
      <c r="W15" s="129" t="str">
        <f t="shared" si="12"/>
        <v/>
      </c>
      <c r="X15" s="129" t="str">
        <f t="shared" si="13"/>
        <v/>
      </c>
      <c r="Y15" s="129" t="str">
        <f t="shared" si="0"/>
        <v/>
      </c>
      <c r="Z15" s="521" t="str">
        <f t="shared" si="1"/>
        <v/>
      </c>
      <c r="AA15" s="129" t="str">
        <f t="shared" si="2"/>
        <v/>
      </c>
      <c r="AB15" s="129" t="str">
        <f t="shared" si="14"/>
        <v/>
      </c>
      <c r="AC15" s="145"/>
      <c r="BA15" s="78"/>
      <c r="BB15" s="132" t="s">
        <v>4545</v>
      </c>
      <c r="BC15" s="133"/>
      <c r="BD15" s="132" t="str">
        <f>IF(OR(B15="",BC15=""),"",COUNTIF(BC$7:BC15,"√"))</f>
        <v/>
      </c>
      <c r="BE15" s="134" t="str">
        <f t="shared" si="3"/>
        <v/>
      </c>
      <c r="BF15" s="135" t="str">
        <f t="shared" si="15"/>
        <v/>
      </c>
      <c r="BG15" s="135" t="str">
        <f t="shared" si="15"/>
        <v/>
      </c>
      <c r="BH15" s="136"/>
      <c r="BI15" s="137"/>
      <c r="BJ15" s="136"/>
      <c r="BK15" s="136"/>
      <c r="BL15" s="136"/>
      <c r="BM15" s="136"/>
      <c r="BN15" s="136"/>
      <c r="BO15" s="137"/>
      <c r="BP15" s="136"/>
      <c r="BQ15" s="137"/>
      <c r="BR15" s="165" t="s">
        <v>2706</v>
      </c>
      <c r="BS15" s="522" t="str">
        <f t="shared" si="4"/>
        <v/>
      </c>
      <c r="BT15" s="523"/>
      <c r="BU15" s="522">
        <f t="shared" si="5"/>
        <v>0</v>
      </c>
      <c r="BV15" s="522">
        <f t="shared" si="6"/>
        <v>0</v>
      </c>
      <c r="BW15" s="524">
        <f t="shared" si="16"/>
        <v>0</v>
      </c>
      <c r="BY15" s="134" t="str">
        <f>IF(COUNTIF(BY$7:BY14,B15)&gt;0,"",B15)&amp;""</f>
        <v/>
      </c>
      <c r="BZ15" s="138">
        <f t="shared" si="17"/>
        <v>0</v>
      </c>
      <c r="CA15" s="132">
        <f t="shared" si="18"/>
        <v>1</v>
      </c>
      <c r="CB15" s="138">
        <f t="shared" si="19"/>
        <v>0</v>
      </c>
      <c r="CC15" s="132">
        <f t="shared" si="20"/>
        <v>1</v>
      </c>
      <c r="CD15" s="147" t="s">
        <v>1659</v>
      </c>
      <c r="CE15" s="132" t="str">
        <f>CONCATENATE(CE10,CF10,CE11,CF11,CE12,CF12,CE13,CF13,CE14)</f>
        <v/>
      </c>
      <c r="CF15" s="132"/>
    </row>
    <row r="16" ht="15" customHeight="1" spans="1:84">
      <c r="A16" s="123" t="str">
        <f>IF(B16="","",COUNT(A$7:A15)+1)</f>
        <v/>
      </c>
      <c r="B16" s="139"/>
      <c r="C16" s="139"/>
      <c r="D16" s="141"/>
      <c r="E16" s="139"/>
      <c r="F16" s="217"/>
      <c r="G16" s="140"/>
      <c r="H16" s="218"/>
      <c r="I16" s="141"/>
      <c r="J16" s="141"/>
      <c r="K16" s="142"/>
      <c r="L16" s="127" t="str">
        <f>IFERROR(VLOOKUP(K16,参数表!$H$2:$I$50,2,FALSE),"")</f>
        <v/>
      </c>
      <c r="M16" s="128" t="str">
        <f t="shared" si="8"/>
        <v/>
      </c>
      <c r="N16" s="128" t="str">
        <f t="shared" si="9"/>
        <v/>
      </c>
      <c r="O16" s="129" t="str">
        <f t="shared" si="10"/>
        <v/>
      </c>
      <c r="P16" s="143"/>
      <c r="Q16" s="143"/>
      <c r="R16" s="143"/>
      <c r="S16" s="144"/>
      <c r="T16" s="144"/>
      <c r="U16" s="144"/>
      <c r="V16" s="129" t="str">
        <f t="shared" si="11"/>
        <v/>
      </c>
      <c r="W16" s="129" t="str">
        <f t="shared" si="12"/>
        <v/>
      </c>
      <c r="X16" s="129" t="str">
        <f t="shared" si="13"/>
        <v/>
      </c>
      <c r="Y16" s="129" t="str">
        <f t="shared" si="0"/>
        <v/>
      </c>
      <c r="Z16" s="521" t="str">
        <f t="shared" si="1"/>
        <v/>
      </c>
      <c r="AA16" s="129" t="str">
        <f t="shared" si="2"/>
        <v/>
      </c>
      <c r="AB16" s="129" t="str">
        <f t="shared" si="14"/>
        <v/>
      </c>
      <c r="AC16" s="145"/>
      <c r="BA16" s="78"/>
      <c r="BB16" s="132" t="s">
        <v>4546</v>
      </c>
      <c r="BC16" s="133"/>
      <c r="BD16" s="132" t="str">
        <f>IF(OR(B16="",BC16=""),"",COUNTIF(BC$7:BC16,"√"))</f>
        <v/>
      </c>
      <c r="BE16" s="134" t="str">
        <f t="shared" si="3"/>
        <v/>
      </c>
      <c r="BF16" s="135" t="str">
        <f t="shared" si="15"/>
        <v/>
      </c>
      <c r="BG16" s="135" t="str">
        <f t="shared" si="15"/>
        <v/>
      </c>
      <c r="BH16" s="136"/>
      <c r="BI16" s="137"/>
      <c r="BJ16" s="136"/>
      <c r="BK16" s="136"/>
      <c r="BL16" s="136"/>
      <c r="BM16" s="136"/>
      <c r="BN16" s="136"/>
      <c r="BO16" s="137"/>
      <c r="BP16" s="136"/>
      <c r="BQ16" s="137"/>
      <c r="BR16" s="165" t="s">
        <v>2706</v>
      </c>
      <c r="BS16" s="522" t="str">
        <f t="shared" si="4"/>
        <v/>
      </c>
      <c r="BT16" s="523"/>
      <c r="BU16" s="522">
        <f t="shared" si="5"/>
        <v>0</v>
      </c>
      <c r="BV16" s="522">
        <f t="shared" si="6"/>
        <v>0</v>
      </c>
      <c r="BW16" s="524">
        <f t="shared" si="16"/>
        <v>0</v>
      </c>
      <c r="BY16" s="134" t="str">
        <f>IF(COUNTIF(BY$7:BY15,B16)&gt;0,"",B16)&amp;""</f>
        <v/>
      </c>
      <c r="BZ16" s="138">
        <f t="shared" si="17"/>
        <v>0</v>
      </c>
      <c r="CA16" s="132">
        <f t="shared" si="18"/>
        <v>1</v>
      </c>
      <c r="CB16" s="138">
        <f t="shared" si="19"/>
        <v>0</v>
      </c>
      <c r="CC16" s="132">
        <f t="shared" si="20"/>
        <v>1</v>
      </c>
      <c r="CD16" s="133"/>
      <c r="CE16" s="133"/>
    </row>
    <row r="17" ht="15" customHeight="1" spans="1:84">
      <c r="A17" s="123" t="str">
        <f>IF(B17="","",COUNT(A$7:A16)+1)</f>
        <v/>
      </c>
      <c r="B17" s="139"/>
      <c r="C17" s="139"/>
      <c r="D17" s="141"/>
      <c r="E17" s="139"/>
      <c r="F17" s="217"/>
      <c r="G17" s="140"/>
      <c r="H17" s="218"/>
      <c r="I17" s="141"/>
      <c r="J17" s="141"/>
      <c r="K17" s="142"/>
      <c r="L17" s="127" t="str">
        <f>IFERROR(VLOOKUP(K17,参数表!$H$2:$I$50,2,FALSE),"")</f>
        <v/>
      </c>
      <c r="M17" s="128" t="str">
        <f t="shared" si="8"/>
        <v/>
      </c>
      <c r="N17" s="128" t="str">
        <f t="shared" si="9"/>
        <v/>
      </c>
      <c r="O17" s="129" t="str">
        <f t="shared" si="10"/>
        <v/>
      </c>
      <c r="P17" s="143"/>
      <c r="Q17" s="143"/>
      <c r="R17" s="143"/>
      <c r="S17" s="144"/>
      <c r="T17" s="144"/>
      <c r="U17" s="144"/>
      <c r="V17" s="129" t="str">
        <f t="shared" si="11"/>
        <v/>
      </c>
      <c r="W17" s="129" t="str">
        <f t="shared" si="12"/>
        <v/>
      </c>
      <c r="X17" s="129" t="str">
        <f t="shared" si="13"/>
        <v/>
      </c>
      <c r="Y17" s="129" t="str">
        <f t="shared" si="0"/>
        <v/>
      </c>
      <c r="Z17" s="521" t="str">
        <f t="shared" si="1"/>
        <v/>
      </c>
      <c r="AA17" s="129" t="str">
        <f t="shared" si="2"/>
        <v/>
      </c>
      <c r="AB17" s="129" t="str">
        <f t="shared" si="14"/>
        <v/>
      </c>
      <c r="AC17" s="145"/>
      <c r="BA17" s="78"/>
      <c r="BB17" s="132" t="s">
        <v>4547</v>
      </c>
      <c r="BC17" s="133"/>
      <c r="BD17" s="132" t="str">
        <f>IF(OR(B17="",BC17=""),"",COUNTIF(BC$7:BC17,"√"))</f>
        <v/>
      </c>
      <c r="BE17" s="134" t="str">
        <f t="shared" si="3"/>
        <v/>
      </c>
      <c r="BF17" s="135" t="str">
        <f t="shared" si="15"/>
        <v/>
      </c>
      <c r="BG17" s="135" t="str">
        <f t="shared" si="15"/>
        <v/>
      </c>
      <c r="BH17" s="136"/>
      <c r="BI17" s="137"/>
      <c r="BJ17" s="136"/>
      <c r="BK17" s="136"/>
      <c r="BL17" s="136"/>
      <c r="BM17" s="136"/>
      <c r="BN17" s="136"/>
      <c r="BO17" s="137"/>
      <c r="BP17" s="136"/>
      <c r="BQ17" s="137"/>
      <c r="BR17" s="165" t="s">
        <v>2706</v>
      </c>
      <c r="BS17" s="522" t="str">
        <f t="shared" si="4"/>
        <v/>
      </c>
      <c r="BT17" s="523"/>
      <c r="BU17" s="522">
        <f t="shared" si="5"/>
        <v>0</v>
      </c>
      <c r="BV17" s="522">
        <f t="shared" si="6"/>
        <v>0</v>
      </c>
      <c r="BW17" s="524">
        <f t="shared" si="16"/>
        <v>0</v>
      </c>
      <c r="BY17" s="134" t="str">
        <f>IF(COUNTIF(BY$7:BY16,B17)&gt;0,"",B17)&amp;""</f>
        <v/>
      </c>
      <c r="BZ17" s="138">
        <f t="shared" si="17"/>
        <v>0</v>
      </c>
      <c r="CA17" s="132">
        <f t="shared" si="18"/>
        <v>1</v>
      </c>
      <c r="CB17" s="138">
        <f t="shared" si="19"/>
        <v>0</v>
      </c>
      <c r="CC17" s="132">
        <f t="shared" si="20"/>
        <v>1</v>
      </c>
      <c r="CD17" s="133"/>
      <c r="CE17" s="148"/>
    </row>
    <row r="18" ht="15" customHeight="1" spans="1:84">
      <c r="A18" s="123" t="str">
        <f>IF(B18="","",COUNT(A$7:A17)+1)</f>
        <v/>
      </c>
      <c r="B18" s="139"/>
      <c r="C18" s="139"/>
      <c r="D18" s="141"/>
      <c r="E18" s="139"/>
      <c r="F18" s="217"/>
      <c r="G18" s="140"/>
      <c r="H18" s="218"/>
      <c r="I18" s="141"/>
      <c r="J18" s="141"/>
      <c r="K18" s="142"/>
      <c r="L18" s="127" t="str">
        <f>IFERROR(VLOOKUP(K18,参数表!$H$2:$I$50,2,FALSE),"")</f>
        <v/>
      </c>
      <c r="M18" s="128" t="str">
        <f t="shared" si="8"/>
        <v/>
      </c>
      <c r="N18" s="128" t="str">
        <f t="shared" si="9"/>
        <v/>
      </c>
      <c r="O18" s="129" t="str">
        <f t="shared" si="10"/>
        <v/>
      </c>
      <c r="P18" s="143"/>
      <c r="Q18" s="143"/>
      <c r="R18" s="143"/>
      <c r="S18" s="144"/>
      <c r="T18" s="144"/>
      <c r="U18" s="144"/>
      <c r="V18" s="129" t="str">
        <f t="shared" si="11"/>
        <v/>
      </c>
      <c r="W18" s="129" t="str">
        <f t="shared" si="12"/>
        <v/>
      </c>
      <c r="X18" s="129" t="str">
        <f t="shared" si="13"/>
        <v/>
      </c>
      <c r="Y18" s="129" t="str">
        <f t="shared" si="0"/>
        <v/>
      </c>
      <c r="Z18" s="521" t="str">
        <f t="shared" si="1"/>
        <v/>
      </c>
      <c r="AA18" s="129" t="str">
        <f t="shared" si="2"/>
        <v/>
      </c>
      <c r="AB18" s="129" t="str">
        <f t="shared" si="14"/>
        <v/>
      </c>
      <c r="AC18" s="145"/>
      <c r="BA18" s="78"/>
      <c r="BB18" s="132" t="s">
        <v>4548</v>
      </c>
      <c r="BC18" s="133"/>
      <c r="BD18" s="132" t="str">
        <f>IF(OR(B18="",BC18=""),"",COUNTIF(BC$7:BC18,"√"))</f>
        <v/>
      </c>
      <c r="BE18" s="134" t="str">
        <f t="shared" si="3"/>
        <v/>
      </c>
      <c r="BF18" s="135" t="str">
        <f t="shared" si="15"/>
        <v/>
      </c>
      <c r="BG18" s="135" t="str">
        <f t="shared" si="15"/>
        <v/>
      </c>
      <c r="BH18" s="136"/>
      <c r="BI18" s="137"/>
      <c r="BJ18" s="136"/>
      <c r="BK18" s="136"/>
      <c r="BL18" s="136"/>
      <c r="BM18" s="136"/>
      <c r="BN18" s="136"/>
      <c r="BO18" s="137"/>
      <c r="BP18" s="136"/>
      <c r="BQ18" s="137"/>
      <c r="BR18" s="165" t="s">
        <v>2706</v>
      </c>
      <c r="BS18" s="522" t="str">
        <f t="shared" si="4"/>
        <v/>
      </c>
      <c r="BT18" s="523"/>
      <c r="BU18" s="522">
        <f t="shared" si="5"/>
        <v>0</v>
      </c>
      <c r="BV18" s="522">
        <f t="shared" si="6"/>
        <v>0</v>
      </c>
      <c r="BW18" s="524">
        <f t="shared" si="16"/>
        <v>0</v>
      </c>
      <c r="BY18" s="134" t="str">
        <f>IF(COUNTIF(BY$7:BY17,B18)&gt;0,"",B18)&amp;""</f>
        <v/>
      </c>
      <c r="BZ18" s="138">
        <f t="shared" si="17"/>
        <v>0</v>
      </c>
      <c r="CA18" s="132">
        <f t="shared" si="18"/>
        <v>1</v>
      </c>
      <c r="CB18" s="138">
        <f t="shared" si="19"/>
        <v>0</v>
      </c>
      <c r="CC18" s="132">
        <f t="shared" si="20"/>
        <v>1</v>
      </c>
      <c r="CD18" s="133"/>
      <c r="CE18" s="133"/>
    </row>
    <row r="19" ht="15" customHeight="1" spans="1:84">
      <c r="A19" s="123" t="str">
        <f>IF(B19="","",COUNT(A$7:A18)+1)</f>
        <v/>
      </c>
      <c r="B19" s="139"/>
      <c r="C19" s="139"/>
      <c r="D19" s="141"/>
      <c r="E19" s="139"/>
      <c r="F19" s="217"/>
      <c r="G19" s="140"/>
      <c r="H19" s="218"/>
      <c r="I19" s="141"/>
      <c r="J19" s="141"/>
      <c r="K19" s="142"/>
      <c r="L19" s="127" t="str">
        <f>IFERROR(VLOOKUP(K19,参数表!$H$2:$I$50,2,FALSE),"")</f>
        <v/>
      </c>
      <c r="M19" s="128" t="str">
        <f t="shared" si="8"/>
        <v/>
      </c>
      <c r="N19" s="128" t="str">
        <f t="shared" si="9"/>
        <v/>
      </c>
      <c r="O19" s="129" t="str">
        <f t="shared" si="10"/>
        <v/>
      </c>
      <c r="P19" s="143"/>
      <c r="Q19" s="143"/>
      <c r="R19" s="143"/>
      <c r="S19" s="144"/>
      <c r="T19" s="144"/>
      <c r="U19" s="144"/>
      <c r="V19" s="129" t="str">
        <f t="shared" si="11"/>
        <v/>
      </c>
      <c r="W19" s="129" t="str">
        <f t="shared" si="12"/>
        <v/>
      </c>
      <c r="X19" s="129" t="str">
        <f t="shared" si="13"/>
        <v/>
      </c>
      <c r="Y19" s="129" t="str">
        <f t="shared" si="0"/>
        <v/>
      </c>
      <c r="Z19" s="521" t="str">
        <f t="shared" si="1"/>
        <v/>
      </c>
      <c r="AA19" s="129" t="str">
        <f t="shared" si="2"/>
        <v/>
      </c>
      <c r="AB19" s="129" t="str">
        <f t="shared" si="14"/>
        <v/>
      </c>
      <c r="AC19" s="145"/>
      <c r="BA19" s="78"/>
      <c r="BB19" s="132" t="s">
        <v>4549</v>
      </c>
      <c r="BC19" s="133"/>
      <c r="BD19" s="132" t="str">
        <f>IF(OR(B19="",BC19=""),"",COUNTIF(BC$7:BC19,"√"))</f>
        <v/>
      </c>
      <c r="BE19" s="134" t="str">
        <f t="shared" si="3"/>
        <v/>
      </c>
      <c r="BF19" s="135" t="str">
        <f t="shared" si="15"/>
        <v/>
      </c>
      <c r="BG19" s="135" t="str">
        <f t="shared" si="15"/>
        <v/>
      </c>
      <c r="BH19" s="136"/>
      <c r="BI19" s="137"/>
      <c r="BJ19" s="136"/>
      <c r="BK19" s="136"/>
      <c r="BL19" s="136"/>
      <c r="BM19" s="136"/>
      <c r="BN19" s="136"/>
      <c r="BO19" s="137"/>
      <c r="BP19" s="136"/>
      <c r="BQ19" s="137"/>
      <c r="BR19" s="165" t="s">
        <v>2706</v>
      </c>
      <c r="BS19" s="522" t="str">
        <f t="shared" si="4"/>
        <v/>
      </c>
      <c r="BT19" s="523"/>
      <c r="BU19" s="522">
        <f t="shared" si="5"/>
        <v>0</v>
      </c>
      <c r="BV19" s="522">
        <f t="shared" si="6"/>
        <v>0</v>
      </c>
      <c r="BW19" s="524">
        <f t="shared" si="16"/>
        <v>0</v>
      </c>
      <c r="BY19" s="134" t="str">
        <f>IF(COUNTIF(BY$7:BY18,B19)&gt;0,"",B19)&amp;""</f>
        <v/>
      </c>
      <c r="BZ19" s="138">
        <f t="shared" si="17"/>
        <v>0</v>
      </c>
      <c r="CA19" s="132">
        <f t="shared" si="18"/>
        <v>1</v>
      </c>
      <c r="CB19" s="138">
        <f t="shared" si="19"/>
        <v>0</v>
      </c>
      <c r="CC19" s="132">
        <f t="shared" si="20"/>
        <v>1</v>
      </c>
      <c r="CD19" s="133"/>
      <c r="CE19" s="133"/>
    </row>
    <row r="20" ht="15" customHeight="1" spans="1:84">
      <c r="A20" s="123" t="str">
        <f>IF(B20="","",COUNT(A$7:A19)+1)</f>
        <v/>
      </c>
      <c r="B20" s="139"/>
      <c r="C20" s="139"/>
      <c r="D20" s="141"/>
      <c r="E20" s="139"/>
      <c r="F20" s="217"/>
      <c r="G20" s="140"/>
      <c r="H20" s="218"/>
      <c r="I20" s="141"/>
      <c r="J20" s="141"/>
      <c r="K20" s="142"/>
      <c r="L20" s="127" t="str">
        <f>IFERROR(VLOOKUP(K20,参数表!$H$2:$I$50,2,FALSE),"")</f>
        <v/>
      </c>
      <c r="M20" s="128" t="str">
        <f t="shared" si="8"/>
        <v/>
      </c>
      <c r="N20" s="128" t="str">
        <f t="shared" si="9"/>
        <v/>
      </c>
      <c r="O20" s="129" t="str">
        <f t="shared" si="10"/>
        <v/>
      </c>
      <c r="P20" s="143"/>
      <c r="Q20" s="143"/>
      <c r="R20" s="143"/>
      <c r="S20" s="144"/>
      <c r="T20" s="144"/>
      <c r="U20" s="144"/>
      <c r="V20" s="129" t="str">
        <f t="shared" si="11"/>
        <v/>
      </c>
      <c r="W20" s="129" t="str">
        <f t="shared" si="12"/>
        <v/>
      </c>
      <c r="X20" s="129" t="str">
        <f t="shared" si="13"/>
        <v/>
      </c>
      <c r="Y20" s="129" t="str">
        <f t="shared" si="0"/>
        <v/>
      </c>
      <c r="Z20" s="521" t="str">
        <f t="shared" si="1"/>
        <v/>
      </c>
      <c r="AA20" s="129" t="str">
        <f t="shared" si="2"/>
        <v/>
      </c>
      <c r="AB20" s="129" t="str">
        <f t="shared" si="14"/>
        <v/>
      </c>
      <c r="AC20" s="145"/>
      <c r="BA20" s="78"/>
      <c r="BB20" s="132" t="s">
        <v>4550</v>
      </c>
      <c r="BC20" s="133"/>
      <c r="BD20" s="132" t="str">
        <f>IF(OR(B20="",BC20=""),"",COUNTIF(BC$7:BC20,"√"))</f>
        <v/>
      </c>
      <c r="BE20" s="134" t="str">
        <f t="shared" si="3"/>
        <v/>
      </c>
      <c r="BF20" s="135" t="str">
        <f t="shared" si="15"/>
        <v/>
      </c>
      <c r="BG20" s="135" t="str">
        <f t="shared" si="15"/>
        <v/>
      </c>
      <c r="BH20" s="136"/>
      <c r="BI20" s="137"/>
      <c r="BJ20" s="136"/>
      <c r="BK20" s="136"/>
      <c r="BL20" s="136"/>
      <c r="BM20" s="136"/>
      <c r="BN20" s="136"/>
      <c r="BO20" s="137"/>
      <c r="BP20" s="136"/>
      <c r="BQ20" s="137"/>
      <c r="BR20" s="165" t="s">
        <v>2706</v>
      </c>
      <c r="BS20" s="522" t="str">
        <f t="shared" si="4"/>
        <v/>
      </c>
      <c r="BT20" s="523"/>
      <c r="BU20" s="522">
        <f t="shared" si="5"/>
        <v>0</v>
      </c>
      <c r="BV20" s="522">
        <f t="shared" si="6"/>
        <v>0</v>
      </c>
      <c r="BW20" s="524">
        <f t="shared" si="16"/>
        <v>0</v>
      </c>
      <c r="BY20" s="134" t="str">
        <f>IF(COUNTIF(BY$7:BY19,B20)&gt;0,"",B20)&amp;""</f>
        <v/>
      </c>
      <c r="BZ20" s="138">
        <f t="shared" si="17"/>
        <v>0</v>
      </c>
      <c r="CA20" s="132">
        <f t="shared" si="18"/>
        <v>1</v>
      </c>
      <c r="CB20" s="138">
        <f t="shared" si="19"/>
        <v>0</v>
      </c>
      <c r="CC20" s="132">
        <f t="shared" si="20"/>
        <v>1</v>
      </c>
      <c r="CD20" s="133"/>
      <c r="CE20" s="133"/>
    </row>
    <row r="21" ht="15" customHeight="1" spans="1:84">
      <c r="A21" s="123" t="str">
        <f>IF(B21="","",COUNT(A$7:A20)+1)</f>
        <v/>
      </c>
      <c r="B21" s="139"/>
      <c r="C21" s="139"/>
      <c r="D21" s="141"/>
      <c r="E21" s="139"/>
      <c r="F21" s="217"/>
      <c r="G21" s="140"/>
      <c r="H21" s="218"/>
      <c r="I21" s="141"/>
      <c r="J21" s="141"/>
      <c r="K21" s="142"/>
      <c r="L21" s="127" t="str">
        <f>IFERROR(VLOOKUP(K21,参数表!$H$2:$I$50,2,FALSE),"")</f>
        <v/>
      </c>
      <c r="M21" s="128" t="str">
        <f t="shared" si="8"/>
        <v/>
      </c>
      <c r="N21" s="128" t="str">
        <f t="shared" si="9"/>
        <v/>
      </c>
      <c r="O21" s="129" t="str">
        <f t="shared" si="10"/>
        <v/>
      </c>
      <c r="P21" s="143"/>
      <c r="Q21" s="143"/>
      <c r="R21" s="143"/>
      <c r="S21" s="144"/>
      <c r="T21" s="144"/>
      <c r="U21" s="144"/>
      <c r="V21" s="129" t="str">
        <f t="shared" si="11"/>
        <v/>
      </c>
      <c r="W21" s="129" t="str">
        <f t="shared" si="12"/>
        <v/>
      </c>
      <c r="X21" s="129" t="str">
        <f t="shared" si="13"/>
        <v/>
      </c>
      <c r="Y21" s="129" t="str">
        <f t="shared" si="0"/>
        <v/>
      </c>
      <c r="Z21" s="521" t="str">
        <f t="shared" si="1"/>
        <v/>
      </c>
      <c r="AA21" s="129" t="str">
        <f t="shared" si="2"/>
        <v/>
      </c>
      <c r="AB21" s="129" t="str">
        <f t="shared" si="14"/>
        <v/>
      </c>
      <c r="AC21" s="145"/>
      <c r="BA21" s="78"/>
      <c r="BB21" s="132" t="s">
        <v>4551</v>
      </c>
      <c r="BC21" s="133"/>
      <c r="BD21" s="132" t="str">
        <f>IF(OR(B21="",BC21=""),"",COUNTIF(BC$7:BC21,"√"))</f>
        <v/>
      </c>
      <c r="BE21" s="134" t="str">
        <f t="shared" si="3"/>
        <v/>
      </c>
      <c r="BF21" s="135" t="str">
        <f t="shared" si="15"/>
        <v/>
      </c>
      <c r="BG21" s="135" t="str">
        <f t="shared" si="15"/>
        <v/>
      </c>
      <c r="BH21" s="136"/>
      <c r="BI21" s="137"/>
      <c r="BJ21" s="136"/>
      <c r="BK21" s="136"/>
      <c r="BL21" s="136"/>
      <c r="BM21" s="136"/>
      <c r="BN21" s="136"/>
      <c r="BO21" s="137"/>
      <c r="BP21" s="136"/>
      <c r="BQ21" s="137"/>
      <c r="BR21" s="165" t="s">
        <v>2706</v>
      </c>
      <c r="BS21" s="522" t="str">
        <f t="shared" si="4"/>
        <v/>
      </c>
      <c r="BT21" s="523"/>
      <c r="BU21" s="522">
        <f t="shared" si="5"/>
        <v>0</v>
      </c>
      <c r="BV21" s="522">
        <f t="shared" si="6"/>
        <v>0</v>
      </c>
      <c r="BW21" s="524">
        <f t="shared" si="16"/>
        <v>0</v>
      </c>
      <c r="BY21" s="134" t="str">
        <f>IF(COUNTIF(BY$7:BY20,B21)&gt;0,"",B21)&amp;""</f>
        <v/>
      </c>
      <c r="BZ21" s="138">
        <f t="shared" si="17"/>
        <v>0</v>
      </c>
      <c r="CA21" s="132">
        <f t="shared" si="18"/>
        <v>1</v>
      </c>
      <c r="CB21" s="138">
        <f t="shared" si="19"/>
        <v>0</v>
      </c>
      <c r="CC21" s="132">
        <f t="shared" si="20"/>
        <v>1</v>
      </c>
      <c r="CD21" s="133"/>
      <c r="CE21" s="133"/>
    </row>
    <row r="22" ht="15" customHeight="1" spans="1:84">
      <c r="A22" s="123" t="str">
        <f>IF(B22="","",COUNT(A$7:A21)+1)</f>
        <v/>
      </c>
      <c r="B22" s="139"/>
      <c r="C22" s="139"/>
      <c r="D22" s="141"/>
      <c r="E22" s="139"/>
      <c r="F22" s="217"/>
      <c r="G22" s="140"/>
      <c r="H22" s="218"/>
      <c r="I22" s="141"/>
      <c r="J22" s="141"/>
      <c r="K22" s="142"/>
      <c r="L22" s="127" t="str">
        <f>IFERROR(VLOOKUP(K22,参数表!$H$2:$I$50,2,FALSE),"")</f>
        <v/>
      </c>
      <c r="M22" s="128" t="str">
        <f t="shared" si="8"/>
        <v/>
      </c>
      <c r="N22" s="128" t="str">
        <f t="shared" si="9"/>
        <v/>
      </c>
      <c r="O22" s="129" t="str">
        <f t="shared" si="10"/>
        <v/>
      </c>
      <c r="P22" s="143"/>
      <c r="Q22" s="143"/>
      <c r="R22" s="143"/>
      <c r="S22" s="144"/>
      <c r="T22" s="144"/>
      <c r="U22" s="144"/>
      <c r="V22" s="129" t="str">
        <f t="shared" si="11"/>
        <v/>
      </c>
      <c r="W22" s="129" t="str">
        <f t="shared" si="12"/>
        <v/>
      </c>
      <c r="X22" s="129" t="str">
        <f t="shared" si="13"/>
        <v/>
      </c>
      <c r="Y22" s="129" t="str">
        <f t="shared" si="0"/>
        <v/>
      </c>
      <c r="Z22" s="521" t="str">
        <f t="shared" si="1"/>
        <v/>
      </c>
      <c r="AA22" s="129" t="str">
        <f t="shared" si="2"/>
        <v/>
      </c>
      <c r="AB22" s="129" t="str">
        <f t="shared" si="14"/>
        <v/>
      </c>
      <c r="AC22" s="145"/>
      <c r="BA22" s="78"/>
      <c r="BB22" s="132" t="s">
        <v>4552</v>
      </c>
      <c r="BC22" s="133"/>
      <c r="BD22" s="132" t="str">
        <f>IF(OR(B22="",BC22=""),"",COUNTIF(BC$7:BC22,"√"))</f>
        <v/>
      </c>
      <c r="BE22" s="134" t="str">
        <f t="shared" si="3"/>
        <v/>
      </c>
      <c r="BF22" s="135" t="str">
        <f t="shared" si="15"/>
        <v/>
      </c>
      <c r="BG22" s="135" t="str">
        <f t="shared" si="15"/>
        <v/>
      </c>
      <c r="BH22" s="136"/>
      <c r="BI22" s="137"/>
      <c r="BJ22" s="136"/>
      <c r="BK22" s="136"/>
      <c r="BL22" s="136"/>
      <c r="BM22" s="136"/>
      <c r="BN22" s="136"/>
      <c r="BO22" s="137"/>
      <c r="BP22" s="136"/>
      <c r="BQ22" s="137"/>
      <c r="BR22" s="165" t="s">
        <v>2706</v>
      </c>
      <c r="BS22" s="522" t="str">
        <f t="shared" si="4"/>
        <v/>
      </c>
      <c r="BT22" s="523"/>
      <c r="BU22" s="522">
        <f t="shared" si="5"/>
        <v>0</v>
      </c>
      <c r="BV22" s="522">
        <f t="shared" si="6"/>
        <v>0</v>
      </c>
      <c r="BW22" s="524">
        <f t="shared" si="16"/>
        <v>0</v>
      </c>
      <c r="BY22" s="134" t="str">
        <f>IF(COUNTIF(BY$7:BY21,B22)&gt;0,"",B22)&amp;""</f>
        <v/>
      </c>
      <c r="BZ22" s="138">
        <f t="shared" si="17"/>
        <v>0</v>
      </c>
      <c r="CA22" s="132">
        <f t="shared" si="18"/>
        <v>1</v>
      </c>
      <c r="CB22" s="138">
        <f t="shared" si="19"/>
        <v>0</v>
      </c>
      <c r="CC22" s="132">
        <f t="shared" si="20"/>
        <v>1</v>
      </c>
      <c r="CD22" s="133"/>
      <c r="CE22" s="133"/>
    </row>
    <row r="23" ht="15" customHeight="1" spans="1:84">
      <c r="A23" s="123" t="str">
        <f>IF(B23="","",COUNT(A$7:A22)+1)</f>
        <v/>
      </c>
      <c r="B23" s="139"/>
      <c r="C23" s="139"/>
      <c r="D23" s="141"/>
      <c r="E23" s="139"/>
      <c r="F23" s="217"/>
      <c r="G23" s="140"/>
      <c r="H23" s="218"/>
      <c r="I23" s="141"/>
      <c r="J23" s="141"/>
      <c r="K23" s="142"/>
      <c r="L23" s="127" t="str">
        <f>IFERROR(VLOOKUP(K23,参数表!$H$2:$I$50,2,FALSE),"")</f>
        <v/>
      </c>
      <c r="M23" s="128" t="str">
        <f t="shared" si="8"/>
        <v/>
      </c>
      <c r="N23" s="128" t="str">
        <f t="shared" si="9"/>
        <v/>
      </c>
      <c r="O23" s="129" t="str">
        <f t="shared" si="10"/>
        <v/>
      </c>
      <c r="P23" s="143"/>
      <c r="Q23" s="143"/>
      <c r="R23" s="143"/>
      <c r="S23" s="144"/>
      <c r="T23" s="144"/>
      <c r="U23" s="144"/>
      <c r="V23" s="129" t="str">
        <f t="shared" si="11"/>
        <v/>
      </c>
      <c r="W23" s="129" t="str">
        <f t="shared" si="12"/>
        <v/>
      </c>
      <c r="X23" s="129" t="str">
        <f t="shared" si="13"/>
        <v/>
      </c>
      <c r="Y23" s="129" t="str">
        <f t="shared" si="0"/>
        <v/>
      </c>
      <c r="Z23" s="521" t="str">
        <f t="shared" si="1"/>
        <v/>
      </c>
      <c r="AA23" s="129" t="str">
        <f t="shared" si="2"/>
        <v/>
      </c>
      <c r="AB23" s="129" t="str">
        <f t="shared" si="14"/>
        <v/>
      </c>
      <c r="AC23" s="145"/>
      <c r="BA23" s="78"/>
      <c r="BB23" s="132" t="s">
        <v>4553</v>
      </c>
      <c r="BC23" s="133"/>
      <c r="BD23" s="132" t="str">
        <f>IF(OR(B23="",BC23=""),"",COUNTIF(BC$7:BC23,"√"))</f>
        <v/>
      </c>
      <c r="BE23" s="134" t="str">
        <f t="shared" si="3"/>
        <v/>
      </c>
      <c r="BF23" s="135" t="str">
        <f t="shared" si="15"/>
        <v/>
      </c>
      <c r="BG23" s="135" t="str">
        <f t="shared" si="15"/>
        <v/>
      </c>
      <c r="BH23" s="136"/>
      <c r="BI23" s="137"/>
      <c r="BJ23" s="136"/>
      <c r="BK23" s="136"/>
      <c r="BL23" s="136"/>
      <c r="BM23" s="136"/>
      <c r="BN23" s="136"/>
      <c r="BO23" s="137"/>
      <c r="BP23" s="136"/>
      <c r="BQ23" s="137"/>
      <c r="BR23" s="165" t="s">
        <v>2706</v>
      </c>
      <c r="BS23" s="522" t="str">
        <f t="shared" si="4"/>
        <v/>
      </c>
      <c r="BT23" s="523"/>
      <c r="BU23" s="522">
        <f t="shared" si="5"/>
        <v>0</v>
      </c>
      <c r="BV23" s="522">
        <f t="shared" si="6"/>
        <v>0</v>
      </c>
      <c r="BW23" s="524">
        <f t="shared" si="16"/>
        <v>0</v>
      </c>
      <c r="BY23" s="134" t="str">
        <f>IF(COUNTIF(BY$7:BY22,B23)&gt;0,"",B23)&amp;""</f>
        <v/>
      </c>
      <c r="BZ23" s="138">
        <f t="shared" si="17"/>
        <v>0</v>
      </c>
      <c r="CA23" s="132">
        <f t="shared" si="18"/>
        <v>1</v>
      </c>
      <c r="CB23" s="138">
        <f t="shared" si="19"/>
        <v>0</v>
      </c>
      <c r="CC23" s="132">
        <f t="shared" si="20"/>
        <v>1</v>
      </c>
      <c r="CD23" s="133"/>
      <c r="CE23" s="133"/>
    </row>
    <row r="24" ht="15" customHeight="1" spans="1:84">
      <c r="A24" s="123" t="str">
        <f>IF(B24="","",COUNT(A$7:A23)+1)</f>
        <v/>
      </c>
      <c r="B24" s="139"/>
      <c r="C24" s="139"/>
      <c r="D24" s="141"/>
      <c r="E24" s="139"/>
      <c r="F24" s="217"/>
      <c r="G24" s="140"/>
      <c r="H24" s="218"/>
      <c r="I24" s="141"/>
      <c r="J24" s="141"/>
      <c r="K24" s="142"/>
      <c r="L24" s="127" t="str">
        <f>IFERROR(VLOOKUP(K24,参数表!$H$2:$I$50,2,FALSE),"")</f>
        <v/>
      </c>
      <c r="M24" s="128" t="str">
        <f t="shared" si="8"/>
        <v/>
      </c>
      <c r="N24" s="128" t="str">
        <f t="shared" si="9"/>
        <v/>
      </c>
      <c r="O24" s="129" t="str">
        <f t="shared" si="10"/>
        <v/>
      </c>
      <c r="P24" s="143"/>
      <c r="Q24" s="143"/>
      <c r="R24" s="143"/>
      <c r="S24" s="144"/>
      <c r="T24" s="144"/>
      <c r="U24" s="144"/>
      <c r="V24" s="129" t="str">
        <f t="shared" si="11"/>
        <v/>
      </c>
      <c r="W24" s="129" t="str">
        <f t="shared" si="12"/>
        <v/>
      </c>
      <c r="X24" s="129" t="str">
        <f t="shared" si="13"/>
        <v/>
      </c>
      <c r="Y24" s="129" t="str">
        <f t="shared" si="0"/>
        <v/>
      </c>
      <c r="Z24" s="521" t="str">
        <f t="shared" si="1"/>
        <v/>
      </c>
      <c r="AA24" s="129" t="str">
        <f t="shared" si="2"/>
        <v/>
      </c>
      <c r="AB24" s="129" t="str">
        <f t="shared" si="14"/>
        <v/>
      </c>
      <c r="AC24" s="145"/>
      <c r="BA24" s="78"/>
      <c r="BB24" s="132" t="s">
        <v>4554</v>
      </c>
      <c r="BC24" s="133"/>
      <c r="BD24" s="132" t="str">
        <f>IF(OR(B24="",BC24=""),"",COUNTIF(BC$7:BC24,"√"))</f>
        <v/>
      </c>
      <c r="BE24" s="134" t="str">
        <f t="shared" si="3"/>
        <v/>
      </c>
      <c r="BF24" s="135" t="str">
        <f t="shared" si="15"/>
        <v/>
      </c>
      <c r="BG24" s="135" t="str">
        <f t="shared" si="15"/>
        <v/>
      </c>
      <c r="BH24" s="136"/>
      <c r="BI24" s="137"/>
      <c r="BJ24" s="136"/>
      <c r="BK24" s="136"/>
      <c r="BL24" s="136"/>
      <c r="BM24" s="136"/>
      <c r="BN24" s="136"/>
      <c r="BO24" s="137"/>
      <c r="BP24" s="136"/>
      <c r="BQ24" s="137"/>
      <c r="BR24" s="165" t="s">
        <v>2706</v>
      </c>
      <c r="BS24" s="522" t="str">
        <f t="shared" si="4"/>
        <v/>
      </c>
      <c r="BT24" s="523"/>
      <c r="BU24" s="522">
        <f t="shared" si="5"/>
        <v>0</v>
      </c>
      <c r="BV24" s="522">
        <f t="shared" si="6"/>
        <v>0</v>
      </c>
      <c r="BW24" s="524">
        <f t="shared" si="16"/>
        <v>0</v>
      </c>
      <c r="BY24" s="134" t="str">
        <f>IF(COUNTIF(BY$7:BY23,B24)&gt;0,"",B24)&amp;""</f>
        <v/>
      </c>
      <c r="BZ24" s="138">
        <f t="shared" si="17"/>
        <v>0</v>
      </c>
      <c r="CA24" s="132">
        <f t="shared" si="18"/>
        <v>1</v>
      </c>
      <c r="CB24" s="138">
        <f t="shared" si="19"/>
        <v>0</v>
      </c>
      <c r="CC24" s="132">
        <f t="shared" si="20"/>
        <v>1</v>
      </c>
      <c r="CD24" s="133"/>
      <c r="CE24" s="133"/>
    </row>
    <row r="25" ht="15" customHeight="1" spans="1:84">
      <c r="A25" s="123" t="str">
        <f>IF(B25="","",COUNT(A$7:A24)+1)</f>
        <v/>
      </c>
      <c r="B25" s="139"/>
      <c r="C25" s="139"/>
      <c r="D25" s="141"/>
      <c r="E25" s="139"/>
      <c r="F25" s="217"/>
      <c r="G25" s="140"/>
      <c r="H25" s="218"/>
      <c r="I25" s="141"/>
      <c r="J25" s="141"/>
      <c r="K25" s="142"/>
      <c r="L25" s="127" t="str">
        <f>IFERROR(VLOOKUP(K25,参数表!$H$2:$I$50,2,FALSE),"")</f>
        <v/>
      </c>
      <c r="M25" s="128" t="str">
        <f t="shared" si="8"/>
        <v/>
      </c>
      <c r="N25" s="128" t="str">
        <f t="shared" si="9"/>
        <v/>
      </c>
      <c r="O25" s="129" t="str">
        <f t="shared" si="10"/>
        <v/>
      </c>
      <c r="P25" s="143"/>
      <c r="Q25" s="143"/>
      <c r="R25" s="143"/>
      <c r="S25" s="144"/>
      <c r="T25" s="144"/>
      <c r="U25" s="144"/>
      <c r="V25" s="129" t="str">
        <f t="shared" si="11"/>
        <v/>
      </c>
      <c r="W25" s="129" t="str">
        <f t="shared" si="12"/>
        <v/>
      </c>
      <c r="X25" s="129" t="str">
        <f t="shared" si="13"/>
        <v/>
      </c>
      <c r="Y25" s="129" t="str">
        <f t="shared" si="0"/>
        <v/>
      </c>
      <c r="Z25" s="521" t="str">
        <f t="shared" si="1"/>
        <v/>
      </c>
      <c r="AA25" s="129" t="str">
        <f t="shared" si="2"/>
        <v/>
      </c>
      <c r="AB25" s="129" t="str">
        <f t="shared" si="14"/>
        <v/>
      </c>
      <c r="AC25" s="145"/>
      <c r="BA25" s="78"/>
      <c r="BB25" s="132" t="s">
        <v>4555</v>
      </c>
      <c r="BC25" s="133"/>
      <c r="BD25" s="132" t="str">
        <f>IF(OR(B25="",BC25=""),"",COUNTIF(BC$7:BC25,"√"))</f>
        <v/>
      </c>
      <c r="BE25" s="134" t="str">
        <f t="shared" si="3"/>
        <v/>
      </c>
      <c r="BF25" s="135" t="str">
        <f t="shared" si="15"/>
        <v/>
      </c>
      <c r="BG25" s="135" t="str">
        <f t="shared" si="15"/>
        <v/>
      </c>
      <c r="BH25" s="136"/>
      <c r="BI25" s="137"/>
      <c r="BJ25" s="136"/>
      <c r="BK25" s="136"/>
      <c r="BL25" s="136"/>
      <c r="BM25" s="136"/>
      <c r="BN25" s="136"/>
      <c r="BO25" s="137"/>
      <c r="BP25" s="136"/>
      <c r="BQ25" s="137"/>
      <c r="BR25" s="165" t="s">
        <v>2706</v>
      </c>
      <c r="BS25" s="522" t="str">
        <f t="shared" si="4"/>
        <v/>
      </c>
      <c r="BT25" s="523"/>
      <c r="BU25" s="522">
        <f t="shared" si="5"/>
        <v>0</v>
      </c>
      <c r="BV25" s="522">
        <f t="shared" si="6"/>
        <v>0</v>
      </c>
      <c r="BW25" s="524">
        <f t="shared" si="16"/>
        <v>0</v>
      </c>
      <c r="BY25" s="134" t="str">
        <f>IF(COUNTIF(BY$7:BY24,B25)&gt;0,"",B25)&amp;""</f>
        <v/>
      </c>
      <c r="BZ25" s="138">
        <f t="shared" si="17"/>
        <v>0</v>
      </c>
      <c r="CA25" s="132">
        <f t="shared" si="18"/>
        <v>1</v>
      </c>
      <c r="CB25" s="138">
        <f t="shared" si="19"/>
        <v>0</v>
      </c>
      <c r="CC25" s="132">
        <f t="shared" si="20"/>
        <v>1</v>
      </c>
      <c r="CD25" s="133"/>
      <c r="CE25" s="133"/>
    </row>
    <row r="26" ht="15" customHeight="1" spans="1:84">
      <c r="A26" s="123" t="str">
        <f>IF(B26="","",COUNT(A$7:A25)+1)</f>
        <v/>
      </c>
      <c r="B26" s="139"/>
      <c r="C26" s="139"/>
      <c r="D26" s="141"/>
      <c r="E26" s="139"/>
      <c r="F26" s="217"/>
      <c r="G26" s="140"/>
      <c r="H26" s="218"/>
      <c r="I26" s="141"/>
      <c r="J26" s="141"/>
      <c r="K26" s="142"/>
      <c r="L26" s="127" t="str">
        <f>IFERROR(VLOOKUP(K26,参数表!$H$2:$I$50,2,FALSE),"")</f>
        <v/>
      </c>
      <c r="M26" s="128" t="str">
        <f t="shared" si="8"/>
        <v/>
      </c>
      <c r="N26" s="128" t="str">
        <f t="shared" si="9"/>
        <v/>
      </c>
      <c r="O26" s="129" t="str">
        <f t="shared" si="10"/>
        <v/>
      </c>
      <c r="P26" s="143"/>
      <c r="Q26" s="143"/>
      <c r="R26" s="143"/>
      <c r="S26" s="144"/>
      <c r="T26" s="144"/>
      <c r="U26" s="144"/>
      <c r="V26" s="129" t="str">
        <f t="shared" si="11"/>
        <v/>
      </c>
      <c r="W26" s="129" t="str">
        <f t="shared" si="12"/>
        <v/>
      </c>
      <c r="X26" s="129" t="str">
        <f t="shared" si="13"/>
        <v/>
      </c>
      <c r="Y26" s="129" t="str">
        <f t="shared" si="0"/>
        <v/>
      </c>
      <c r="Z26" s="521" t="str">
        <f t="shared" si="1"/>
        <v/>
      </c>
      <c r="AA26" s="129" t="str">
        <f t="shared" si="2"/>
        <v/>
      </c>
      <c r="AB26" s="129" t="str">
        <f t="shared" si="14"/>
        <v/>
      </c>
      <c r="AC26" s="145"/>
      <c r="BA26" s="78"/>
      <c r="BB26" s="132" t="s">
        <v>4556</v>
      </c>
      <c r="BC26" s="133"/>
      <c r="BD26" s="132" t="str">
        <f>IF(OR(B26="",BC26=""),"",COUNTIF(BC$7:BC26,"√"))</f>
        <v/>
      </c>
      <c r="BE26" s="134" t="str">
        <f t="shared" si="3"/>
        <v/>
      </c>
      <c r="BF26" s="135" t="str">
        <f t="shared" si="15"/>
        <v/>
      </c>
      <c r="BG26" s="135" t="str">
        <f t="shared" si="15"/>
        <v/>
      </c>
      <c r="BH26" s="136"/>
      <c r="BI26" s="137"/>
      <c r="BJ26" s="136"/>
      <c r="BK26" s="136"/>
      <c r="BL26" s="136"/>
      <c r="BM26" s="136"/>
      <c r="BN26" s="136"/>
      <c r="BO26" s="137"/>
      <c r="BP26" s="136"/>
      <c r="BQ26" s="137"/>
      <c r="BR26" s="165" t="s">
        <v>2706</v>
      </c>
      <c r="BS26" s="522" t="str">
        <f t="shared" si="4"/>
        <v/>
      </c>
      <c r="BT26" s="523"/>
      <c r="BU26" s="522">
        <f t="shared" si="5"/>
        <v>0</v>
      </c>
      <c r="BV26" s="522">
        <f t="shared" si="6"/>
        <v>0</v>
      </c>
      <c r="BW26" s="524">
        <f t="shared" si="16"/>
        <v>0</v>
      </c>
      <c r="BY26" s="134" t="str">
        <f>IF(COUNTIF(BY$7:BY25,B26)&gt;0,"",B26)&amp;""</f>
        <v/>
      </c>
      <c r="BZ26" s="138">
        <f t="shared" si="17"/>
        <v>0</v>
      </c>
      <c r="CA26" s="132">
        <f t="shared" si="18"/>
        <v>1</v>
      </c>
      <c r="CB26" s="138">
        <f t="shared" si="19"/>
        <v>0</v>
      </c>
      <c r="CC26" s="132">
        <f t="shared" si="20"/>
        <v>1</v>
      </c>
      <c r="CD26" s="133"/>
      <c r="CE26" s="133"/>
    </row>
    <row r="27" ht="15" customHeight="1" spans="1:84">
      <c r="A27" s="123" t="str">
        <f>IF(B27="","",COUNT(A$7:A26)+1)</f>
        <v/>
      </c>
      <c r="B27" s="124"/>
      <c r="C27" s="124"/>
      <c r="D27" s="126"/>
      <c r="E27" s="124"/>
      <c r="F27" s="212"/>
      <c r="G27" s="125"/>
      <c r="H27" s="213"/>
      <c r="I27" s="126"/>
      <c r="J27" s="126"/>
      <c r="K27" s="127"/>
      <c r="L27" s="127" t="str">
        <f>IFERROR(VLOOKUP(K27,参数表!$H$2:$I$50,2,FALSE),"")</f>
        <v/>
      </c>
      <c r="M27" s="128" t="str">
        <f t="shared" si="8"/>
        <v/>
      </c>
      <c r="N27" s="128" t="str">
        <f t="shared" si="9"/>
        <v/>
      </c>
      <c r="O27" s="129" t="str">
        <f t="shared" si="10"/>
        <v/>
      </c>
      <c r="P27" s="129"/>
      <c r="Q27" s="129"/>
      <c r="R27" s="129"/>
      <c r="S27" s="130"/>
      <c r="T27" s="130"/>
      <c r="U27" s="130"/>
      <c r="V27" s="129" t="str">
        <f t="shared" si="11"/>
        <v/>
      </c>
      <c r="W27" s="129" t="str">
        <f t="shared" si="12"/>
        <v/>
      </c>
      <c r="X27" s="129" t="str">
        <f t="shared" si="13"/>
        <v/>
      </c>
      <c r="Y27" s="129" t="str">
        <f t="shared" si="0"/>
        <v/>
      </c>
      <c r="Z27" s="521" t="str">
        <f t="shared" si="1"/>
        <v/>
      </c>
      <c r="AA27" s="129" t="str">
        <f t="shared" si="2"/>
        <v/>
      </c>
      <c r="AB27" s="129" t="str">
        <f t="shared" si="14"/>
        <v/>
      </c>
      <c r="AC27" s="131"/>
      <c r="BA27" s="78"/>
      <c r="BB27" s="132" t="s">
        <v>4557</v>
      </c>
      <c r="BC27" s="133"/>
      <c r="BD27" s="132" t="str">
        <f>IF(OR(B27="",BC27=""),"",COUNTIF(BC$7:BC27,"√"))</f>
        <v/>
      </c>
      <c r="BE27" s="134" t="str">
        <f t="shared" si="3"/>
        <v/>
      </c>
      <c r="BF27" s="135" t="str">
        <f t="shared" si="15"/>
        <v/>
      </c>
      <c r="BG27" s="135" t="str">
        <f t="shared" si="15"/>
        <v/>
      </c>
      <c r="BH27" s="136"/>
      <c r="BI27" s="137"/>
      <c r="BJ27" s="136"/>
      <c r="BK27" s="136"/>
      <c r="BL27" s="136"/>
      <c r="BM27" s="136"/>
      <c r="BN27" s="136"/>
      <c r="BO27" s="137"/>
      <c r="BP27" s="136"/>
      <c r="BQ27" s="137"/>
      <c r="BR27" s="165" t="s">
        <v>2706</v>
      </c>
      <c r="BS27" s="522" t="str">
        <f t="shared" si="4"/>
        <v/>
      </c>
      <c r="BT27" s="523"/>
      <c r="BU27" s="522">
        <f t="shared" si="5"/>
        <v>0</v>
      </c>
      <c r="BV27" s="522">
        <f t="shared" si="6"/>
        <v>0</v>
      </c>
      <c r="BW27" s="524">
        <f t="shared" si="16"/>
        <v>0</v>
      </c>
      <c r="BY27" s="134" t="str">
        <f>IF(COUNTIF(BY$7:BY26,B27)&gt;0,"",B27)&amp;""</f>
        <v/>
      </c>
      <c r="BZ27" s="138">
        <f t="shared" si="17"/>
        <v>0</v>
      </c>
      <c r="CA27" s="132">
        <f t="shared" si="18"/>
        <v>1</v>
      </c>
      <c r="CB27" s="138">
        <f t="shared" si="19"/>
        <v>0</v>
      </c>
      <c r="CC27" s="132">
        <f t="shared" si="20"/>
        <v>1</v>
      </c>
      <c r="CD27" s="133"/>
      <c r="CE27" s="133"/>
    </row>
    <row r="28" s="73" customFormat="1" ht="15" customHeight="1" spans="1:84">
      <c r="A28" s="221" t="s">
        <v>1954</v>
      </c>
      <c r="B28" s="493"/>
      <c r="C28" s="493"/>
      <c r="D28" s="149"/>
      <c r="E28" s="221"/>
      <c r="F28" s="221"/>
      <c r="G28" s="149"/>
      <c r="H28" s="149"/>
      <c r="I28" s="149"/>
      <c r="J28" s="149"/>
      <c r="K28" s="152"/>
      <c r="L28" s="152"/>
      <c r="M28" s="152"/>
      <c r="N28" s="152"/>
      <c r="O28" s="152"/>
      <c r="P28" s="152">
        <f>SUM(P8:P27)</f>
        <v>0</v>
      </c>
      <c r="Q28" s="152">
        <f>SUM(Q8:Q27)</f>
        <v>0</v>
      </c>
      <c r="R28" s="152">
        <f>SUM(R8:R27)</f>
        <v>0</v>
      </c>
      <c r="S28" s="153"/>
      <c r="T28" s="153"/>
      <c r="U28" s="153"/>
      <c r="V28" s="152">
        <f>SUM(V8:V27)</f>
        <v>0</v>
      </c>
      <c r="W28" s="152">
        <f>SUM(W8:W27)</f>
        <v>0</v>
      </c>
      <c r="X28" s="152">
        <f>SUM(X8:X27)</f>
        <v>0</v>
      </c>
      <c r="Y28" s="152">
        <f>SUM(Y8:Y27)</f>
        <v>0</v>
      </c>
      <c r="Z28" s="525"/>
      <c r="AA28" s="152">
        <f>SUM(AA8:AA27)</f>
        <v>0</v>
      </c>
      <c r="AB28" s="152" t="str">
        <f t="shared" si="14"/>
        <v/>
      </c>
      <c r="AC28" s="151"/>
      <c r="BB28" s="75"/>
      <c r="BC28" s="75"/>
      <c r="BD28" s="75"/>
      <c r="BE28" s="75"/>
      <c r="BH28" s="526"/>
      <c r="BJ28" s="72"/>
      <c r="BK28" s="72"/>
      <c r="BL28" s="72"/>
      <c r="BM28" s="72"/>
      <c r="BN28" s="72"/>
      <c r="BP28" s="72"/>
      <c r="BS28" s="75"/>
      <c r="BT28" s="165"/>
      <c r="BU28" s="75"/>
      <c r="BX28" s="111"/>
      <c r="BY28" s="119"/>
      <c r="BZ28" s="77"/>
      <c r="CA28" s="77"/>
      <c r="CB28" s="77"/>
      <c r="CC28" s="119"/>
      <c r="CD28" s="119"/>
      <c r="CE28" s="119"/>
      <c r="CF28" s="111"/>
    </row>
    <row r="29" ht="15" customHeight="1" spans="1:84">
      <c r="A29" s="124" t="s">
        <v>3434</v>
      </c>
      <c r="B29" s="124"/>
      <c r="C29" s="124"/>
      <c r="D29" s="126"/>
      <c r="E29" s="124"/>
      <c r="F29" s="131"/>
      <c r="G29" s="126"/>
      <c r="H29" s="126"/>
      <c r="I29" s="126"/>
      <c r="J29" s="126"/>
      <c r="K29" s="129"/>
      <c r="L29" s="129"/>
      <c r="M29" s="129"/>
      <c r="N29" s="129"/>
      <c r="O29" s="129"/>
      <c r="P29" s="129"/>
      <c r="Q29" s="129">
        <f>R28</f>
        <v>0</v>
      </c>
      <c r="R29" s="129"/>
      <c r="S29" s="130"/>
      <c r="T29" s="130"/>
      <c r="U29" s="130"/>
      <c r="V29" s="129"/>
      <c r="W29" s="129">
        <f>X28</f>
        <v>0</v>
      </c>
      <c r="X29" s="129"/>
      <c r="Y29" s="129"/>
      <c r="Z29" s="521"/>
      <c r="AA29" s="129">
        <v>0</v>
      </c>
      <c r="AB29" s="129" t="str">
        <f t="shared" si="14"/>
        <v/>
      </c>
      <c r="AC29" s="131"/>
      <c r="BB29" s="73"/>
      <c r="BC29" s="73"/>
      <c r="BD29" s="73"/>
      <c r="BE29" s="73"/>
      <c r="BS29" s="73"/>
      <c r="BT29" s="72"/>
      <c r="BU29" s="73"/>
    </row>
    <row r="30" s="73" customFormat="1" ht="15" customHeight="1" spans="1:84">
      <c r="A30" s="221" t="s">
        <v>1957</v>
      </c>
      <c r="B30" s="221"/>
      <c r="C30" s="221"/>
      <c r="D30" s="149"/>
      <c r="E30" s="149"/>
      <c r="F30" s="149"/>
      <c r="G30" s="149"/>
      <c r="H30" s="149"/>
      <c r="I30" s="149"/>
      <c r="J30" s="149"/>
      <c r="K30" s="152"/>
      <c r="L30" s="152"/>
      <c r="M30" s="152"/>
      <c r="N30" s="152"/>
      <c r="O30" s="152"/>
      <c r="P30" s="152">
        <f>P28-P29</f>
        <v>0</v>
      </c>
      <c r="Q30" s="152">
        <f>Q28-Q29</f>
        <v>0</v>
      </c>
      <c r="R30" s="152"/>
      <c r="S30" s="153"/>
      <c r="T30" s="153"/>
      <c r="U30" s="153"/>
      <c r="V30" s="152">
        <f>V28-V29</f>
        <v>0</v>
      </c>
      <c r="W30" s="152">
        <f>W28-W29</f>
        <v>0</v>
      </c>
      <c r="X30" s="152"/>
      <c r="Y30" s="152">
        <f>Y28-Y29</f>
        <v>0</v>
      </c>
      <c r="Z30" s="525"/>
      <c r="AA30" s="152">
        <f>AA28-AA29</f>
        <v>0</v>
      </c>
      <c r="AB30" s="152" t="str">
        <f t="shared" si="14"/>
        <v/>
      </c>
      <c r="AC30" s="151"/>
      <c r="BB30" s="75"/>
      <c r="BC30" s="75"/>
      <c r="BD30" s="75"/>
      <c r="BE30" s="75"/>
      <c r="BH30" s="526"/>
      <c r="BJ30" s="72"/>
      <c r="BK30" s="72"/>
      <c r="BL30" s="72"/>
      <c r="BM30" s="72"/>
      <c r="BN30" s="72"/>
      <c r="BP30" s="72"/>
      <c r="BS30" s="75"/>
      <c r="BT30" s="165"/>
      <c r="BU30" s="75"/>
      <c r="BX30" s="77"/>
      <c r="BY30" s="78"/>
      <c r="BZ30" s="77"/>
      <c r="CA30" s="78"/>
      <c r="CB30" s="78"/>
      <c r="CC30" s="78"/>
      <c r="CD30" s="78"/>
      <c r="CE30" s="78"/>
      <c r="CF30" s="77"/>
    </row>
    <row r="31" ht="15.75" customHeight="1" spans="1:84">
      <c r="A31" s="102" t="str">
        <f>参数表!F$6</f>
        <v>产权持有单位填表人：贾广东</v>
      </c>
      <c r="B31" s="154"/>
      <c r="C31" s="154"/>
      <c r="D31" s="154"/>
      <c r="E31" s="154"/>
      <c r="F31" s="154"/>
      <c r="G31" s="103"/>
      <c r="H31" s="103"/>
      <c r="I31" s="103"/>
      <c r="J31" s="103"/>
      <c r="K31" s="103"/>
      <c r="L31" s="103"/>
      <c r="M31" s="103"/>
      <c r="N31" s="103"/>
      <c r="O31" s="103"/>
      <c r="P31" s="103"/>
      <c r="Q31" s="103"/>
      <c r="R31" s="103"/>
      <c r="S31" s="104"/>
      <c r="T31" s="104"/>
      <c r="U31" s="104"/>
      <c r="V31" s="103"/>
      <c r="W31" s="103"/>
      <c r="X31" s="103"/>
      <c r="Y31" s="103"/>
      <c r="Z31" s="103"/>
      <c r="AA31" s="156" t="str">
        <f>"评估人员："&amp;封面!$G$32</f>
        <v>评估人员：</v>
      </c>
      <c r="AB31" s="103"/>
      <c r="AC31" s="103"/>
    </row>
    <row r="32" ht="15.75" customHeight="1" spans="1:84">
      <c r="A32" s="102" t="str">
        <f>参数表!F$7</f>
        <v>填表日期：2025年9月20日</v>
      </c>
      <c r="B32" s="154"/>
      <c r="C32" s="154"/>
      <c r="D32" s="154"/>
      <c r="E32" s="154"/>
      <c r="F32" s="154"/>
      <c r="G32" s="103"/>
      <c r="H32" s="103"/>
      <c r="I32" s="103"/>
      <c r="J32" s="103"/>
      <c r="K32" s="103"/>
      <c r="L32" s="103"/>
      <c r="M32" s="103"/>
      <c r="N32" s="103"/>
      <c r="O32" s="103"/>
      <c r="P32" s="103"/>
      <c r="Q32" s="103"/>
      <c r="R32" s="103"/>
      <c r="S32" s="104"/>
      <c r="T32" s="104"/>
      <c r="U32" s="104"/>
      <c r="V32" s="103"/>
      <c r="W32" s="103"/>
      <c r="X32" s="103"/>
      <c r="Y32" s="103"/>
      <c r="Z32" s="103"/>
      <c r="AA32" s="103"/>
      <c r="AB32" s="103"/>
      <c r="AC32" s="103"/>
    </row>
    <row r="33" ht="15.75" hidden="1" customHeight="1" outlineLevel="1" spans="1:68">
      <c r="A33" s="157"/>
      <c r="B33" s="154" t="s">
        <v>1673</v>
      </c>
      <c r="C33" s="158"/>
      <c r="D33" s="158"/>
      <c r="E33" s="158"/>
      <c r="F33" s="158"/>
      <c r="H33" s="95" t="s">
        <v>4558</v>
      </c>
      <c r="I33" s="103">
        <v>365.25</v>
      </c>
      <c r="K33" s="176"/>
      <c r="L33" s="176"/>
      <c r="M33" s="176"/>
      <c r="N33" s="176"/>
      <c r="O33" s="176"/>
      <c r="P33" s="159">
        <f>SUMIF($BA8:$BA27,$BA33,P8:P27)</f>
        <v>0</v>
      </c>
      <c r="Q33" s="159">
        <f>SUMIF($BA8:$BA27,$BA33,Q8:Q27)</f>
        <v>0</v>
      </c>
      <c r="R33" s="159">
        <f>SUMIF($BA8:$BA27,$BA33,R8:R27)</f>
        <v>0</v>
      </c>
      <c r="S33" s="202"/>
      <c r="T33" s="202"/>
      <c r="U33" s="202"/>
      <c r="V33" s="159">
        <f>SUMIF($BA8:$BA27,$BA33,V8:V27)</f>
        <v>0</v>
      </c>
      <c r="W33" s="159">
        <f>SUMIF($BA8:$BA27,$BA33,W8:W27)</f>
        <v>0</v>
      </c>
      <c r="X33" s="159">
        <f>SUMIF($BA8:$BA27,$BA33,X8:X27)</f>
        <v>0</v>
      </c>
      <c r="Y33" s="159">
        <f>SUMIF($BA8:$BA27,$BA33,Y8:Y27)</f>
        <v>0</v>
      </c>
      <c r="Z33" s="176"/>
      <c r="AA33" s="159">
        <f>SUMIF($BA8:$BA27,$BA33,AA8:AA27)</f>
        <v>0</v>
      </c>
      <c r="BA33" s="161" t="s">
        <v>1674</v>
      </c>
      <c r="BH33" s="527" t="s">
        <v>1675</v>
      </c>
      <c r="BJ33" s="527" t="s">
        <v>1675</v>
      </c>
      <c r="BK33" s="527" t="s">
        <v>1675</v>
      </c>
      <c r="BL33" s="527" t="s">
        <v>1675</v>
      </c>
      <c r="BM33" s="527" t="s">
        <v>1675</v>
      </c>
      <c r="BN33" s="527" t="s">
        <v>1675</v>
      </c>
      <c r="BP33" s="527" t="s">
        <v>1675</v>
      </c>
    </row>
    <row r="34" ht="15.75" hidden="1" customHeight="1" outlineLevel="1" spans="1:68">
      <c r="A34" s="157"/>
      <c r="B34" s="154" t="s">
        <v>1676</v>
      </c>
      <c r="C34" s="158"/>
      <c r="D34" s="158"/>
      <c r="E34" s="158"/>
      <c r="F34" s="158"/>
      <c r="H34" s="95" t="s">
        <v>4559</v>
      </c>
      <c r="I34" s="103">
        <v>52.18</v>
      </c>
      <c r="K34" s="176"/>
      <c r="L34" s="176"/>
      <c r="M34" s="176"/>
      <c r="N34" s="176"/>
      <c r="O34" s="176"/>
      <c r="P34" s="159">
        <f>P28-P33</f>
        <v>0</v>
      </c>
      <c r="Q34" s="159">
        <f>Q28-Q33</f>
        <v>0</v>
      </c>
      <c r="R34" s="159">
        <f>R28-R33</f>
        <v>0</v>
      </c>
      <c r="S34" s="202"/>
      <c r="T34" s="202"/>
      <c r="U34" s="202"/>
      <c r="V34" s="159">
        <f>V28-V33</f>
        <v>0</v>
      </c>
      <c r="W34" s="159">
        <f>W28-W33</f>
        <v>0</v>
      </c>
      <c r="X34" s="159">
        <f>X28-X33</f>
        <v>0</v>
      </c>
      <c r="Y34" s="159">
        <f>Y28-Y33</f>
        <v>0</v>
      </c>
      <c r="Z34" s="176"/>
      <c r="AA34" s="159">
        <f>AA28-AA33</f>
        <v>0</v>
      </c>
      <c r="BA34" s="161" t="s">
        <v>1677</v>
      </c>
      <c r="BH34" s="527" t="s">
        <v>1678</v>
      </c>
      <c r="BJ34" s="527" t="s">
        <v>1678</v>
      </c>
      <c r="BK34" s="527" t="s">
        <v>1678</v>
      </c>
      <c r="BL34" s="527" t="s">
        <v>1678</v>
      </c>
      <c r="BM34" s="527" t="s">
        <v>1678</v>
      </c>
      <c r="BN34" s="527" t="s">
        <v>1678</v>
      </c>
      <c r="BP34" s="527" t="s">
        <v>1678</v>
      </c>
    </row>
    <row r="35" ht="15.75" hidden="1" customHeight="1" outlineLevel="1" spans="1:68">
      <c r="A35" s="157"/>
      <c r="B35" s="158"/>
      <c r="C35" s="158"/>
      <c r="D35" s="158"/>
      <c r="E35" s="158"/>
      <c r="F35" s="158"/>
      <c r="H35" s="95" t="s">
        <v>4560</v>
      </c>
      <c r="I35" s="103">
        <v>12</v>
      </c>
    </row>
    <row r="36" ht="15.75" hidden="1" customHeight="1" outlineLevel="1" spans="1:68">
      <c r="A36" s="157"/>
      <c r="B36" s="158"/>
      <c r="C36" s="158"/>
      <c r="D36" s="158"/>
      <c r="E36" s="158"/>
      <c r="F36" s="158"/>
      <c r="H36" s="95" t="s">
        <v>4561</v>
      </c>
      <c r="I36" s="103">
        <v>4</v>
      </c>
    </row>
    <row r="37" ht="15.75" hidden="1" customHeight="1" outlineLevel="1" spans="1:68">
      <c r="A37" s="157"/>
      <c r="B37" s="158"/>
      <c r="C37" s="158"/>
      <c r="D37" s="158"/>
      <c r="E37" s="158"/>
      <c r="F37" s="158"/>
      <c r="H37" s="95" t="s">
        <v>2663</v>
      </c>
      <c r="I37" s="103">
        <v>1</v>
      </c>
    </row>
    <row r="38" ht="15.75" customHeight="1" collapsed="1" spans="1:68">
      <c r="A38" s="157"/>
      <c r="B38" s="158"/>
      <c r="C38" s="158"/>
      <c r="D38" s="158"/>
      <c r="E38" s="158"/>
      <c r="F38" s="158"/>
    </row>
    <row r="39" ht="15.75" customHeight="1" spans="1:68">
      <c r="A39" s="157"/>
      <c r="B39" s="158"/>
      <c r="C39" s="158"/>
      <c r="D39" s="158"/>
      <c r="E39" s="158"/>
      <c r="F39" s="158"/>
    </row>
  </sheetData>
  <sheetProtection autoFilter="0"/>
  <mergeCells count="37">
    <mergeCell ref="A2:AC2"/>
    <mergeCell ref="A3:AC3"/>
    <mergeCell ref="K6:O6"/>
    <mergeCell ref="P6:R6"/>
    <mergeCell ref="S6:U6"/>
    <mergeCell ref="V6:X6"/>
    <mergeCell ref="Y6:AA6"/>
    <mergeCell ref="CD8:CF8"/>
    <mergeCell ref="CD9:CF9"/>
    <mergeCell ref="CE15:CF15"/>
    <mergeCell ref="A28:C28"/>
    <mergeCell ref="A29:C29"/>
    <mergeCell ref="A30:C30"/>
    <mergeCell ref="A6:A7"/>
    <mergeCell ref="B6:B7"/>
    <mergeCell ref="C6:C7"/>
    <mergeCell ref="D6:D7"/>
    <mergeCell ref="E6:E7"/>
    <mergeCell ref="F6:F7"/>
    <mergeCell ref="G6:G7"/>
    <mergeCell ref="H6:H7"/>
    <mergeCell ref="I6:I7"/>
    <mergeCell ref="J6:J7"/>
    <mergeCell ref="AB6:AB7"/>
    <mergeCell ref="AC6:AC7"/>
    <mergeCell ref="BF6:BF7"/>
    <mergeCell ref="BG6:BG7"/>
    <mergeCell ref="BH6:BH7"/>
    <mergeCell ref="BI6:BI7"/>
    <mergeCell ref="BJ6:BJ7"/>
    <mergeCell ref="BK6:BK7"/>
    <mergeCell ref="BL6:BL7"/>
    <mergeCell ref="BM6:BM7"/>
    <mergeCell ref="BN6:BN7"/>
    <mergeCell ref="BO6:BO7"/>
    <mergeCell ref="BP6:BP7"/>
    <mergeCell ref="BQ6:BQ7"/>
  </mergeCells>
  <conditionalFormatting sqref="BI8:BI27">
    <cfRule type="expression" dxfId="5" priority="5" stopIfTrue="1">
      <formula>AND(BH8="有",BI8="")</formula>
    </cfRule>
  </conditionalFormatting>
  <conditionalFormatting sqref="BO8:BO27">
    <cfRule type="expression" dxfId="5" priority="7" stopIfTrue="1">
      <formula>AND(BN8="无",BO8="")</formula>
    </cfRule>
  </conditionalFormatting>
  <conditionalFormatting sqref="BF8:BG27">
    <cfRule type="containsText" dxfId="6" priority="1" stopIfTrue="1" operator="between" text="出错">
      <formula>NOT(ISERROR(SEARCH("出错",BF8)))</formula>
    </cfRule>
  </conditionalFormatting>
  <conditionalFormatting sqref="BH8:BN27 BP8:BP27">
    <cfRule type="expression" dxfId="5" priority="8" stopIfTrue="1">
      <formula>AND($B8&lt;&gt;"",BH8="")</formula>
    </cfRule>
  </conditionalFormatting>
  <dataValidations count="7">
    <dataValidation type="list" allowBlank="1" showInputMessage="1" showErrorMessage="1" sqref="BH7 BJ7:BN7 BP7">
      <formula1>"有,无"</formula1>
    </dataValidation>
    <dataValidation type="list" allowBlank="1" showInputMessage="1" showErrorMessage="1" sqref="H8:H27">
      <formula1>$H$33:$H$37</formula1>
    </dataValidation>
    <dataValidation type="list" allowBlank="1" showInputMessage="1" showErrorMessage="1" sqref="K8:K27">
      <formula1>OFFSET(参数表!$H$2:$H$50,,,COUNTA(参数表!$H$2:$H$50))</formula1>
    </dataValidation>
    <dataValidation type="list" allowBlank="1" showInputMessage="1" showErrorMessage="1" sqref="BA8:BA27 BA33:BA34">
      <formula1>"是,否"</formula1>
    </dataValidation>
    <dataValidation type="list" allowBlank="1" showInputMessage="1" showErrorMessage="1" sqref="BC8:BC27">
      <formula1>"  ,√"</formula1>
    </dataValidation>
    <dataValidation type="list" allowBlank="1" showInputMessage="1" showErrorMessage="1" sqref="BH8:BH27 BP8:BP27 BJ8:BN27">
      <formula1>BH$33:BH$34</formula1>
    </dataValidation>
    <dataValidation type="list" allowBlank="1" showInputMessage="1" showErrorMessage="1" sqref="BR8:BR27">
      <formula1>"成本法,收益法,市场法"</formula1>
    </dataValidation>
  </dataValidations>
  <hyperlinks>
    <hyperlink ref="A1" location="索引目录!D47" display="返回索引页"/>
    <hyperlink ref="B1" location="非流动资产评估汇总!B35" display="返回"/>
  </hyperlinks>
  <printOptions horizontalCentered="1"/>
  <pageMargins left="0.393700787401575" right="0.393700787401575" top="0.984251968503937" bottom="0.393700787401575" header="0.984251968503937" footer="0.393700787401575"/>
  <pageSetup paperSize="9" fitToHeight="0" orientation="landscape" blackAndWhite="1"/>
  <headerFooter alignWithMargins="0">
    <oddHeader>&amp;R&amp;"宋体,常规"&amp;11共&amp;N页，第&amp;P页&amp;"Times New Roman,常规"</oddHeader>
  </headerFooter>
  <colBreaks count="1" manualBreakCount="1">
    <brk id="29" max="31" man="1"/>
  </colBreaks>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5">
    <tabColor rgb="FFFF0000"/>
  </sheetPr>
  <dimension ref="A1:CE34"/>
  <sheetViews>
    <sheetView zoomScale="90" zoomScaleNormal="90" workbookViewId="0">
      <pane xSplit="2" ySplit="6" topLeftCell="D7" activePane="bottomRight" state="frozen"/>
      <selection/>
      <selection pane="topRight"/>
      <selection pane="bottomLeft"/>
      <selection pane="bottomRight" activeCell="E45" sqref="E45"/>
    </sheetView>
  </sheetViews>
  <sheetFormatPr defaultColWidth="9" defaultRowHeight="15.75" customHeight="1"/>
  <cols>
    <col min="1" max="1" width="7.6" style="75" customWidth="1"/>
    <col min="2" max="2" width="34" style="75" customWidth="1"/>
    <col min="3" max="3" width="20.6" style="75" hidden="1" customWidth="1" outlineLevel="1"/>
    <col min="4" max="4" width="20.6" style="75" customWidth="1" collapsed="1"/>
    <col min="5" max="7" width="20.6" style="75" customWidth="1"/>
    <col min="8" max="52" width="9" style="75" hidden="1" customWidth="1" outlineLevel="1"/>
    <col min="53" max="53" width="10.6" style="227" customWidth="1" collapsed="1"/>
    <col min="54" max="60" width="10.6" style="227" customWidth="1"/>
    <col min="61" max="61" width="1.6" style="227" customWidth="1"/>
    <col min="62" max="69" width="10.6" style="227" customWidth="1"/>
    <col min="70" max="70" width="1.6" style="75" customWidth="1"/>
    <col min="71" max="76" width="8.6" style="158" customWidth="1"/>
    <col min="77" max="77" width="8.6" style="228" customWidth="1"/>
    <col min="78" max="78" width="8.6" style="158" customWidth="1"/>
    <col min="79" max="81" width="8.6" style="75" customWidth="1"/>
    <col min="82" max="83" width="9" style="229"/>
    <col min="84" max="16384" width="9" style="75"/>
  </cols>
  <sheetData>
    <row r="1" s="70" customFormat="1" ht="13.8" spans="1:83">
      <c r="A1" s="80" t="s">
        <v>1591</v>
      </c>
      <c r="B1" s="80" t="s">
        <v>1592</v>
      </c>
      <c r="C1" s="81"/>
      <c r="D1" s="81"/>
      <c r="E1" s="81"/>
      <c r="F1" s="81"/>
      <c r="G1" s="81"/>
      <c r="BA1" s="230" t="str">
        <f>参数表!BA1</f>
        <v>注意：补充特殊事项、作价等均从BA列开始填写</v>
      </c>
      <c r="BB1" s="230"/>
      <c r="BC1" s="231"/>
      <c r="BD1" s="231"/>
      <c r="BE1" s="231"/>
      <c r="BF1" s="231"/>
      <c r="BG1" s="231"/>
      <c r="BH1" s="231"/>
      <c r="BI1" s="231"/>
      <c r="BJ1" s="231"/>
      <c r="BK1" s="231"/>
      <c r="BL1" s="231"/>
      <c r="BM1" s="231"/>
      <c r="BN1" s="231"/>
      <c r="BO1" s="231"/>
      <c r="BP1" s="231"/>
      <c r="BQ1" s="231"/>
      <c r="BS1" s="86"/>
      <c r="BT1" s="86"/>
      <c r="BU1" s="86"/>
      <c r="BV1" s="86"/>
      <c r="BW1" s="86"/>
      <c r="BX1" s="86"/>
      <c r="BY1" s="82"/>
      <c r="BZ1" s="86"/>
      <c r="CD1" s="232"/>
      <c r="CE1" s="232"/>
    </row>
    <row r="2" s="71" customFormat="1" ht="30" customHeight="1" spans="1:83">
      <c r="A2" s="233" t="s">
        <v>4562</v>
      </c>
      <c r="B2" s="233"/>
      <c r="C2" s="233"/>
      <c r="D2" s="233"/>
      <c r="E2" s="233"/>
      <c r="F2" s="233"/>
      <c r="G2" s="233"/>
      <c r="BA2" s="230" t="str">
        <f>参数表!BA2</f>
        <v>评估基准日：</v>
      </c>
      <c r="BB2" s="230" t="str">
        <f>参数表!BB2</f>
        <v>2025年7月31日</v>
      </c>
      <c r="BC2" s="234"/>
      <c r="BD2" s="234"/>
      <c r="BE2" s="234"/>
      <c r="BF2" s="234"/>
      <c r="BG2" s="234"/>
      <c r="BH2" s="234"/>
      <c r="BI2" s="234"/>
      <c r="BJ2" s="234"/>
      <c r="BK2" s="234"/>
      <c r="BL2" s="234"/>
      <c r="BM2" s="234"/>
      <c r="BN2" s="234"/>
      <c r="BO2" s="234"/>
      <c r="BP2" s="234"/>
      <c r="BQ2" s="234"/>
      <c r="BS2" s="235"/>
      <c r="BT2" s="235"/>
      <c r="BU2" s="235"/>
      <c r="BV2" s="235"/>
      <c r="BW2" s="235"/>
      <c r="BX2" s="235"/>
      <c r="BY2" s="236"/>
      <c r="BZ2" s="235"/>
      <c r="CD2" s="237"/>
      <c r="CE2" s="237"/>
    </row>
    <row r="3" ht="15" customHeight="1" spans="1:83">
      <c r="A3" s="238" t="str">
        <f>参数表!F5</f>
        <v>评估基准日：2025年7月31日</v>
      </c>
      <c r="B3" s="238"/>
      <c r="C3" s="238"/>
      <c r="D3" s="238"/>
      <c r="E3" s="238"/>
      <c r="F3" s="238"/>
      <c r="G3" s="238"/>
      <c r="BA3" s="230" t="str">
        <f>参数表!BA3</f>
        <v>是否显示评估值：</v>
      </c>
      <c r="BB3" s="230" t="str">
        <f>参数表!BB3</f>
        <v>是</v>
      </c>
    </row>
    <row r="4" ht="15" customHeight="1" spans="1:83">
      <c r="A4" s="238"/>
      <c r="B4" s="238"/>
      <c r="C4" s="238"/>
      <c r="D4" s="238"/>
      <c r="E4" s="238"/>
      <c r="F4" s="238"/>
      <c r="G4" s="277" t="str">
        <f>"表"&amp;A28</f>
        <v>表4-15</v>
      </c>
      <c r="K4" s="277"/>
      <c r="BA4" s="240" t="s">
        <v>1595</v>
      </c>
      <c r="BB4" s="241"/>
      <c r="BC4" s="241"/>
      <c r="BD4" s="241"/>
      <c r="BE4" s="241"/>
      <c r="BF4" s="241"/>
      <c r="BG4" s="241"/>
      <c r="BH4" s="241"/>
      <c r="BI4" s="242"/>
      <c r="BJ4" s="241" t="s">
        <v>1545</v>
      </c>
      <c r="BK4" s="241"/>
      <c r="BL4" s="241"/>
      <c r="BM4" s="241"/>
      <c r="BN4" s="241"/>
      <c r="BO4" s="241"/>
      <c r="BP4" s="241"/>
      <c r="BQ4" s="241"/>
      <c r="BS4" s="228" t="str">
        <f>LEFT(A2,LEN(A2)-5)</f>
        <v>无形资产</v>
      </c>
    </row>
    <row r="5" ht="15" customHeight="1" spans="1:83">
      <c r="A5" s="243" t="str">
        <f>参数表!F3</f>
        <v>产权持有单位:中煤第五建设有限公司</v>
      </c>
      <c r="G5" s="244" t="s">
        <v>236</v>
      </c>
      <c r="BA5" s="245" t="s">
        <v>1523</v>
      </c>
      <c r="BB5" s="245"/>
      <c r="BC5" s="245"/>
      <c r="BD5" s="245"/>
      <c r="BE5" s="246" t="s">
        <v>1524</v>
      </c>
      <c r="BF5" s="246"/>
      <c r="BG5" s="246"/>
      <c r="BH5" s="246"/>
      <c r="BI5" s="242"/>
      <c r="BJ5" s="245" t="s">
        <v>1523</v>
      </c>
      <c r="BK5" s="245"/>
      <c r="BL5" s="245"/>
      <c r="BM5" s="245"/>
      <c r="BN5" s="246" t="s">
        <v>1524</v>
      </c>
      <c r="BO5" s="246"/>
      <c r="BP5" s="246"/>
      <c r="BQ5" s="246"/>
      <c r="BS5" s="247" t="str">
        <f>BS4&amp;IF(BY28&lt;2,"为：","包括：")</f>
        <v>无形资产为：</v>
      </c>
      <c r="BT5" s="248" t="str">
        <f>CONCATENATE(BW7,BX7,BW8,BX8,BW9,BX9,BW10,BX10,BW11,BX11,BW12,BX12,BW13,BX13,BW14,BX14,BW15,BX15,BW16,BX16)&amp;CONCATENATE(BW17,BX17,BW18,BX18,BW19,BX19,BW20,BX20,BW21,BX21,BW22,BX22,BW23,BX23,BW24,BX24,BW25,BX25,BW26,BX26,BW27)</f>
        <v/>
      </c>
    </row>
    <row r="6" s="72" customFormat="1" ht="15" customHeight="1" spans="1:83">
      <c r="A6" s="249" t="s">
        <v>1734</v>
      </c>
      <c r="B6" s="249" t="s">
        <v>1735</v>
      </c>
      <c r="C6" s="250" t="s">
        <v>1549</v>
      </c>
      <c r="D6" s="249" t="s">
        <v>1523</v>
      </c>
      <c r="E6" s="249" t="s">
        <v>1550</v>
      </c>
      <c r="F6" s="249" t="s">
        <v>1525</v>
      </c>
      <c r="G6" s="249" t="s">
        <v>1551</v>
      </c>
      <c r="BA6" s="246" t="s">
        <v>1556</v>
      </c>
      <c r="BB6" s="246" t="s">
        <v>1557</v>
      </c>
      <c r="BC6" s="246" t="s">
        <v>1558</v>
      </c>
      <c r="BD6" s="246" t="s">
        <v>271</v>
      </c>
      <c r="BE6" s="246" t="s">
        <v>1556</v>
      </c>
      <c r="BF6" s="246" t="s">
        <v>1557</v>
      </c>
      <c r="BG6" s="246" t="s">
        <v>1558</v>
      </c>
      <c r="BH6" s="246" t="s">
        <v>271</v>
      </c>
      <c r="BI6" s="252"/>
      <c r="BJ6" s="246" t="s">
        <v>1556</v>
      </c>
      <c r="BK6" s="246" t="s">
        <v>1557</v>
      </c>
      <c r="BL6" s="246" t="s">
        <v>1558</v>
      </c>
      <c r="BM6" s="246" t="s">
        <v>271</v>
      </c>
      <c r="BN6" s="246" t="s">
        <v>1556</v>
      </c>
      <c r="BO6" s="246" t="s">
        <v>1557</v>
      </c>
      <c r="BP6" s="246" t="s">
        <v>1558</v>
      </c>
      <c r="BQ6" s="246" t="s">
        <v>271</v>
      </c>
      <c r="BS6" s="228" t="s">
        <v>1527</v>
      </c>
      <c r="BT6" s="228" t="s">
        <v>1528</v>
      </c>
      <c r="BU6" s="228" t="s">
        <v>1529</v>
      </c>
      <c r="BV6" s="253" t="s">
        <v>1604</v>
      </c>
      <c r="BW6" s="228" t="s">
        <v>1605</v>
      </c>
      <c r="BX6" s="228" t="s">
        <v>1606</v>
      </c>
      <c r="BY6" s="228" t="s">
        <v>1607</v>
      </c>
      <c r="BZ6" s="228" t="s">
        <v>1608</v>
      </c>
      <c r="CA6" s="254"/>
      <c r="CB6" s="254"/>
      <c r="CC6" s="254"/>
      <c r="CD6" s="254"/>
      <c r="CE6" s="254"/>
    </row>
    <row r="7" ht="15" customHeight="1" spans="1:83">
      <c r="A7" s="506" t="str">
        <f>A$28&amp;"-"&amp;SUBTOTAL(103,B$7:B7)</f>
        <v>4-15-1</v>
      </c>
      <c r="B7" s="507" t="s">
        <v>4563</v>
      </c>
      <c r="C7" s="143">
        <f>'无形-土地'!AE29</f>
        <v>0</v>
      </c>
      <c r="D7" s="143">
        <f>'无形-土地'!AG29</f>
        <v>0</v>
      </c>
      <c r="E7" s="143">
        <f>'无形-土地'!AH29</f>
        <v>0</v>
      </c>
      <c r="F7" s="143">
        <f t="shared" ref="F7:F9" si="0">E7-D7</f>
        <v>0</v>
      </c>
      <c r="G7" s="143" t="str">
        <f t="shared" ref="G7:G9" si="1">IF(D7=0,"",F7/D7*100)</f>
        <v/>
      </c>
      <c r="BA7" s="256">
        <f>'无形-土地'!AD27</f>
        <v>0</v>
      </c>
      <c r="BB7" s="256">
        <f>'无形-土地'!AG27</f>
        <v>0</v>
      </c>
      <c r="BC7" s="256">
        <f>BB7-BD7</f>
        <v>0</v>
      </c>
      <c r="BD7" s="256">
        <f>D7</f>
        <v>0</v>
      </c>
      <c r="BE7" s="256">
        <f>BF7</f>
        <v>0</v>
      </c>
      <c r="BF7" s="256">
        <f>'无形-土地'!AH27</f>
        <v>0</v>
      </c>
      <c r="BG7" s="256">
        <f>BF7-BH7</f>
        <v>0</v>
      </c>
      <c r="BH7" s="256">
        <f>E7</f>
        <v>0</v>
      </c>
      <c r="BI7" s="242"/>
      <c r="BJ7" s="143">
        <f>'无形-土地'!AD32</f>
        <v>0</v>
      </c>
      <c r="BK7" s="256">
        <f>'无形-土地'!AG32</f>
        <v>0</v>
      </c>
      <c r="BL7" s="256">
        <f>0</f>
        <v>0</v>
      </c>
      <c r="BM7" s="256">
        <f>BK7-BL7</f>
        <v>0</v>
      </c>
      <c r="BN7" s="143">
        <f>BO7</f>
        <v>0</v>
      </c>
      <c r="BO7" s="256">
        <f>'无形-土地'!AH32</f>
        <v>0</v>
      </c>
      <c r="BP7" s="256">
        <f>0</f>
        <v>0</v>
      </c>
      <c r="BQ7" s="256">
        <f>BO7-BP7</f>
        <v>0</v>
      </c>
      <c r="BS7" s="228" t="str">
        <f t="shared" ref="BS7:BS9" si="2">IF(F7&gt;0,"增值",IF(F7=0,"无增减值","减值"))</f>
        <v>无增减值</v>
      </c>
      <c r="BT7" s="257">
        <f t="shared" ref="BT7:BT9" si="3">ABS(F7)</f>
        <v>0</v>
      </c>
      <c r="BU7" s="257">
        <f t="shared" ref="BU7:BU9" si="4">IFERROR(ABS(G7),0)</f>
        <v>0</v>
      </c>
      <c r="BV7" s="258">
        <f t="shared" ref="BV7:BV9" si="5">IFERROR(FIND("-",B7),0)</f>
        <v>5</v>
      </c>
      <c r="BW7" s="259" t="str">
        <f>IF(SUM(BA7:BH7)=0,"",RIGHT(B7,LEN(B7)-BV7))</f>
        <v/>
      </c>
      <c r="BX7" s="158" t="str">
        <f>IF(BY7="","",IF(BZ7&gt;1,"、",IF(BZ7=1,"和","")))</f>
        <v/>
      </c>
      <c r="BY7" s="158" t="str">
        <f>IF(BW7="","",1)</f>
        <v/>
      </c>
      <c r="BZ7" s="228">
        <f>COUNT(BY8:BY$27)</f>
        <v>0</v>
      </c>
    </row>
    <row r="8" ht="15" customHeight="1" spans="1:83">
      <c r="A8" s="506" t="str">
        <f>A$28&amp;"-"&amp;SUBTOTAL(103,B$7:B8)</f>
        <v>4-15-2</v>
      </c>
      <c r="B8" s="507" t="s">
        <v>4564</v>
      </c>
      <c r="C8" s="143">
        <f>'无形-矿权'!N29</f>
        <v>0</v>
      </c>
      <c r="D8" s="143">
        <f>'无形-矿权'!P29</f>
        <v>0</v>
      </c>
      <c r="E8" s="143">
        <f>'无形-矿权'!Q29</f>
        <v>0</v>
      </c>
      <c r="F8" s="143">
        <f t="shared" si="0"/>
        <v>0</v>
      </c>
      <c r="G8" s="143" t="str">
        <f t="shared" si="1"/>
        <v/>
      </c>
      <c r="BA8" s="256">
        <f>'无形-矿权'!M29</f>
        <v>0</v>
      </c>
      <c r="BB8" s="256">
        <f>'无形-矿权'!P27</f>
        <v>0</v>
      </c>
      <c r="BC8" s="256">
        <f t="shared" ref="BC8:BC9" si="6">BB8-BD8</f>
        <v>0</v>
      </c>
      <c r="BD8" s="256">
        <f t="shared" ref="BD8:BD9" si="7">D8</f>
        <v>0</v>
      </c>
      <c r="BE8" s="256">
        <f t="shared" ref="BE8:BE9" si="8">BF8</f>
        <v>0</v>
      </c>
      <c r="BF8" s="256">
        <f>'无形-矿权'!Q27</f>
        <v>0</v>
      </c>
      <c r="BG8" s="256">
        <f t="shared" ref="BG8:BG9" si="9">BF8-BH8</f>
        <v>0</v>
      </c>
      <c r="BH8" s="256">
        <f t="shared" ref="BH8:BH9" si="10">E8</f>
        <v>0</v>
      </c>
      <c r="BI8" s="242"/>
      <c r="BJ8" s="143">
        <f>'无形-矿权'!M32</f>
        <v>0</v>
      </c>
      <c r="BK8" s="256">
        <f>'无形-矿权'!P32</f>
        <v>0</v>
      </c>
      <c r="BL8" s="256">
        <f>0</f>
        <v>0</v>
      </c>
      <c r="BM8" s="256">
        <f t="shared" ref="BM8:BM9" si="11">BK8-BL8</f>
        <v>0</v>
      </c>
      <c r="BN8" s="143">
        <f t="shared" ref="BN8:BN9" si="12">BO8</f>
        <v>0</v>
      </c>
      <c r="BO8" s="256">
        <f>'无形-矿权'!Q32</f>
        <v>0</v>
      </c>
      <c r="BP8" s="256">
        <f>0</f>
        <v>0</v>
      </c>
      <c r="BQ8" s="256">
        <f t="shared" ref="BQ8:BQ9" si="13">BO8-BP8</f>
        <v>0</v>
      </c>
      <c r="BS8" s="228" t="str">
        <f t="shared" si="2"/>
        <v>无增减值</v>
      </c>
      <c r="BT8" s="257">
        <f t="shared" si="3"/>
        <v>0</v>
      </c>
      <c r="BU8" s="257">
        <f t="shared" si="4"/>
        <v>0</v>
      </c>
      <c r="BV8" s="258">
        <f t="shared" si="5"/>
        <v>5</v>
      </c>
      <c r="BW8" s="259" t="str">
        <f t="shared" ref="BW8:BW9" si="14">IF(SUM(BA8:BH8)=0,"",RIGHT(B8,LEN(B8)-BV8))</f>
        <v/>
      </c>
      <c r="BX8" s="158" t="str">
        <f t="shared" ref="BX8:BX9" si="15">IF(BY8="","",IF(BZ8&gt;1,"、",IF(BZ8=1,"和","")))</f>
        <v/>
      </c>
      <c r="BY8" s="158" t="str">
        <f t="shared" ref="BY8:BY9" si="16">IF(BW8="","",1)</f>
        <v/>
      </c>
      <c r="BZ8" s="228">
        <f>COUNT(BY9:BY$27)</f>
        <v>0</v>
      </c>
    </row>
    <row r="9" ht="15" customHeight="1" spans="1:83">
      <c r="A9" s="506" t="str">
        <f>A$28&amp;"-"&amp;SUBTOTAL(103,B$7:B9)</f>
        <v>4-15-3</v>
      </c>
      <c r="B9" s="507" t="s">
        <v>4565</v>
      </c>
      <c r="C9" s="143">
        <f>'无形-其他'!J29</f>
        <v>0</v>
      </c>
      <c r="D9" s="143">
        <f>'无形-其他'!L29</f>
        <v>0</v>
      </c>
      <c r="E9" s="143">
        <f>'无形-其他'!N29</f>
        <v>0</v>
      </c>
      <c r="F9" s="143">
        <f t="shared" si="0"/>
        <v>0</v>
      </c>
      <c r="G9" s="143" t="str">
        <f t="shared" si="1"/>
        <v/>
      </c>
      <c r="BA9" s="256">
        <f>'无形-其他'!I29</f>
        <v>0</v>
      </c>
      <c r="BB9" s="256">
        <f>'无形-其他'!L27</f>
        <v>0</v>
      </c>
      <c r="BC9" s="256">
        <f t="shared" si="6"/>
        <v>0</v>
      </c>
      <c r="BD9" s="256">
        <f t="shared" si="7"/>
        <v>0</v>
      </c>
      <c r="BE9" s="256">
        <f t="shared" si="8"/>
        <v>0</v>
      </c>
      <c r="BF9" s="256">
        <f>'无形-其他'!N27</f>
        <v>0</v>
      </c>
      <c r="BG9" s="256">
        <f t="shared" si="9"/>
        <v>0</v>
      </c>
      <c r="BH9" s="256">
        <f t="shared" si="10"/>
        <v>0</v>
      </c>
      <c r="BI9" s="242"/>
      <c r="BJ9" s="143">
        <f>'无形-其他'!I32</f>
        <v>0</v>
      </c>
      <c r="BK9" s="256">
        <f>'无形-其他'!L32</f>
        <v>0</v>
      </c>
      <c r="BL9" s="256">
        <f>0</f>
        <v>0</v>
      </c>
      <c r="BM9" s="256">
        <f t="shared" si="11"/>
        <v>0</v>
      </c>
      <c r="BN9" s="143">
        <f t="shared" si="12"/>
        <v>0</v>
      </c>
      <c r="BO9" s="256">
        <f>'无形-其他'!N32</f>
        <v>0</v>
      </c>
      <c r="BP9" s="256">
        <f>0</f>
        <v>0</v>
      </c>
      <c r="BQ9" s="256">
        <f t="shared" si="13"/>
        <v>0</v>
      </c>
      <c r="BS9" s="228" t="str">
        <f t="shared" si="2"/>
        <v>无增减值</v>
      </c>
      <c r="BT9" s="257">
        <f t="shared" si="3"/>
        <v>0</v>
      </c>
      <c r="BU9" s="257">
        <f t="shared" si="4"/>
        <v>0</v>
      </c>
      <c r="BV9" s="258">
        <f t="shared" si="5"/>
        <v>5</v>
      </c>
      <c r="BW9" s="259" t="str">
        <f t="shared" si="14"/>
        <v/>
      </c>
      <c r="BX9" s="158" t="str">
        <f t="shared" si="15"/>
        <v/>
      </c>
      <c r="BY9" s="158" t="str">
        <f t="shared" si="16"/>
        <v/>
      </c>
      <c r="BZ9" s="228">
        <f>COUNT(BY10:BY$27)</f>
        <v>0</v>
      </c>
    </row>
    <row r="10" ht="15" customHeight="1" spans="1:83">
      <c r="A10" s="506"/>
      <c r="B10" s="507"/>
      <c r="C10" s="143"/>
      <c r="D10" s="143"/>
      <c r="E10" s="143"/>
      <c r="F10" s="143"/>
      <c r="G10" s="143"/>
      <c r="BA10" s="256"/>
      <c r="BB10" s="256"/>
      <c r="BC10" s="256"/>
      <c r="BD10" s="256"/>
      <c r="BE10" s="256"/>
      <c r="BF10" s="256"/>
      <c r="BG10" s="256"/>
      <c r="BH10" s="256"/>
      <c r="BI10" s="242"/>
      <c r="BJ10" s="256"/>
      <c r="BK10" s="256"/>
      <c r="BL10" s="256"/>
      <c r="BM10" s="256"/>
      <c r="BN10" s="256"/>
      <c r="BO10" s="256"/>
      <c r="BP10" s="256"/>
      <c r="BQ10" s="256"/>
      <c r="BS10" s="228"/>
      <c r="BT10" s="257"/>
      <c r="BU10" s="257"/>
      <c r="BV10" s="258"/>
      <c r="BW10" s="259"/>
      <c r="BY10" s="158"/>
      <c r="BZ10" s="228"/>
    </row>
    <row r="11" ht="15" customHeight="1" spans="1:83">
      <c r="A11" s="506"/>
      <c r="B11" s="507"/>
      <c r="C11" s="143"/>
      <c r="D11" s="143"/>
      <c r="E11" s="143"/>
      <c r="F11" s="143"/>
      <c r="G11" s="143"/>
      <c r="BA11" s="256"/>
      <c r="BB11" s="256"/>
      <c r="BC11" s="256"/>
      <c r="BD11" s="256"/>
      <c r="BE11" s="256"/>
      <c r="BF11" s="256"/>
      <c r="BG11" s="256"/>
      <c r="BH11" s="256"/>
      <c r="BI11" s="242"/>
      <c r="BJ11" s="256"/>
      <c r="BK11" s="256"/>
      <c r="BL11" s="256"/>
      <c r="BM11" s="256"/>
      <c r="BN11" s="256"/>
      <c r="BO11" s="256"/>
      <c r="BP11" s="256"/>
      <c r="BQ11" s="256"/>
      <c r="BS11" s="228"/>
      <c r="BT11" s="257"/>
      <c r="BU11" s="257"/>
      <c r="BV11" s="258"/>
      <c r="BW11" s="259"/>
      <c r="BY11" s="158"/>
      <c r="BZ11" s="228"/>
    </row>
    <row r="12" ht="15" customHeight="1" spans="1:83">
      <c r="A12" s="506"/>
      <c r="B12" s="507"/>
      <c r="C12" s="143"/>
      <c r="D12" s="143"/>
      <c r="E12" s="143"/>
      <c r="F12" s="143"/>
      <c r="G12" s="143"/>
      <c r="BA12" s="256"/>
      <c r="BB12" s="256"/>
      <c r="BC12" s="256"/>
      <c r="BD12" s="256"/>
      <c r="BE12" s="256"/>
      <c r="BF12" s="256"/>
      <c r="BG12" s="256"/>
      <c r="BH12" s="256"/>
      <c r="BI12" s="242"/>
      <c r="BJ12" s="256"/>
      <c r="BK12" s="256"/>
      <c r="BL12" s="256"/>
      <c r="BM12" s="256"/>
      <c r="BN12" s="256"/>
      <c r="BO12" s="256"/>
      <c r="BP12" s="256"/>
      <c r="BQ12" s="256"/>
      <c r="BS12" s="228"/>
      <c r="BT12" s="257"/>
      <c r="BU12" s="257"/>
      <c r="BV12" s="258"/>
      <c r="BW12" s="259"/>
      <c r="BY12" s="158"/>
      <c r="BZ12" s="228"/>
    </row>
    <row r="13" ht="15" customHeight="1" spans="1:83">
      <c r="A13" s="506"/>
      <c r="B13" s="507"/>
      <c r="C13" s="143"/>
      <c r="D13" s="143"/>
      <c r="E13" s="143"/>
      <c r="F13" s="143"/>
      <c r="G13" s="143"/>
      <c r="BA13" s="256"/>
      <c r="BB13" s="256"/>
      <c r="BC13" s="256"/>
      <c r="BD13" s="256"/>
      <c r="BE13" s="256"/>
      <c r="BF13" s="256"/>
      <c r="BG13" s="256"/>
      <c r="BH13" s="256"/>
      <c r="BI13" s="242"/>
      <c r="BJ13" s="256"/>
      <c r="BK13" s="256"/>
      <c r="BL13" s="256"/>
      <c r="BM13" s="256"/>
      <c r="BN13" s="256"/>
      <c r="BO13" s="256"/>
      <c r="BP13" s="256"/>
      <c r="BQ13" s="256"/>
      <c r="BS13" s="228"/>
      <c r="BT13" s="257"/>
      <c r="BU13" s="257"/>
      <c r="BV13" s="258"/>
      <c r="BW13" s="259"/>
      <c r="BY13" s="158"/>
      <c r="BZ13" s="228"/>
    </row>
    <row r="14" ht="15" customHeight="1" spans="1:83">
      <c r="A14" s="506"/>
      <c r="B14" s="507"/>
      <c r="C14" s="143"/>
      <c r="D14" s="143"/>
      <c r="E14" s="143"/>
      <c r="F14" s="143"/>
      <c r="G14" s="143"/>
      <c r="BA14" s="256"/>
      <c r="BB14" s="256"/>
      <c r="BC14" s="256"/>
      <c r="BD14" s="256"/>
      <c r="BE14" s="256"/>
      <c r="BF14" s="256"/>
      <c r="BG14" s="256"/>
      <c r="BH14" s="256"/>
      <c r="BI14" s="242"/>
      <c r="BJ14" s="256"/>
      <c r="BK14" s="256"/>
      <c r="BL14" s="256"/>
      <c r="BM14" s="256"/>
      <c r="BN14" s="256"/>
      <c r="BO14" s="256"/>
      <c r="BP14" s="256"/>
      <c r="BQ14" s="256"/>
      <c r="BS14" s="228"/>
      <c r="BT14" s="257"/>
      <c r="BU14" s="257"/>
      <c r="BV14" s="258"/>
      <c r="BW14" s="259"/>
      <c r="BY14" s="158"/>
      <c r="BZ14" s="228"/>
    </row>
    <row r="15" ht="15" customHeight="1" spans="1:83">
      <c r="A15" s="506"/>
      <c r="B15" s="507"/>
      <c r="C15" s="143"/>
      <c r="D15" s="143"/>
      <c r="E15" s="143"/>
      <c r="F15" s="143"/>
      <c r="G15" s="143"/>
      <c r="BA15" s="256"/>
      <c r="BB15" s="256"/>
      <c r="BC15" s="256"/>
      <c r="BD15" s="256"/>
      <c r="BE15" s="256"/>
      <c r="BF15" s="256"/>
      <c r="BG15" s="256"/>
      <c r="BH15" s="256"/>
      <c r="BI15" s="242"/>
      <c r="BJ15" s="256"/>
      <c r="BK15" s="256"/>
      <c r="BL15" s="256"/>
      <c r="BM15" s="256"/>
      <c r="BN15" s="256"/>
      <c r="BO15" s="256"/>
      <c r="BP15" s="256"/>
      <c r="BQ15" s="256"/>
      <c r="BS15" s="228"/>
      <c r="BT15" s="257"/>
      <c r="BU15" s="257"/>
      <c r="BV15" s="258"/>
      <c r="BW15" s="259"/>
      <c r="BY15" s="158"/>
      <c r="BZ15" s="228"/>
    </row>
    <row r="16" ht="15" customHeight="1" spans="1:83">
      <c r="A16" s="506"/>
      <c r="B16" s="507"/>
      <c r="C16" s="143"/>
      <c r="D16" s="143"/>
      <c r="E16" s="143"/>
      <c r="F16" s="143"/>
      <c r="G16" s="143"/>
      <c r="BA16" s="256"/>
      <c r="BB16" s="256"/>
      <c r="BC16" s="256"/>
      <c r="BD16" s="256"/>
      <c r="BE16" s="256"/>
      <c r="BF16" s="256"/>
      <c r="BG16" s="256"/>
      <c r="BH16" s="256"/>
      <c r="BI16" s="242"/>
      <c r="BJ16" s="256"/>
      <c r="BK16" s="256"/>
      <c r="BL16" s="256"/>
      <c r="BM16" s="256"/>
      <c r="BN16" s="256"/>
      <c r="BO16" s="256"/>
      <c r="BP16" s="256"/>
      <c r="BQ16" s="256"/>
      <c r="BS16" s="228"/>
      <c r="BT16" s="257"/>
      <c r="BU16" s="257"/>
      <c r="BV16" s="258"/>
      <c r="BW16" s="259"/>
      <c r="BY16" s="158"/>
      <c r="BZ16" s="228"/>
    </row>
    <row r="17" ht="15" customHeight="1" spans="1:83">
      <c r="A17" s="506"/>
      <c r="B17" s="507"/>
      <c r="C17" s="143"/>
      <c r="D17" s="143"/>
      <c r="E17" s="143"/>
      <c r="F17" s="143"/>
      <c r="G17" s="143"/>
      <c r="BA17" s="256"/>
      <c r="BB17" s="256"/>
      <c r="BC17" s="256"/>
      <c r="BD17" s="256"/>
      <c r="BE17" s="256"/>
      <c r="BF17" s="256"/>
      <c r="BG17" s="256"/>
      <c r="BH17" s="256"/>
      <c r="BI17" s="242"/>
      <c r="BJ17" s="256"/>
      <c r="BK17" s="256"/>
      <c r="BL17" s="256"/>
      <c r="BM17" s="256"/>
      <c r="BN17" s="256"/>
      <c r="BO17" s="256"/>
      <c r="BP17" s="256"/>
      <c r="BQ17" s="256"/>
      <c r="BS17" s="228"/>
      <c r="BT17" s="257"/>
      <c r="BU17" s="257"/>
      <c r="BV17" s="258"/>
      <c r="BW17" s="259"/>
      <c r="BY17" s="158"/>
      <c r="BZ17" s="228"/>
    </row>
    <row r="18" ht="15" customHeight="1" spans="1:83">
      <c r="A18" s="506"/>
      <c r="B18" s="507"/>
      <c r="C18" s="143"/>
      <c r="D18" s="143"/>
      <c r="E18" s="143"/>
      <c r="F18" s="143"/>
      <c r="G18" s="143"/>
      <c r="BA18" s="256"/>
      <c r="BB18" s="256"/>
      <c r="BC18" s="256"/>
      <c r="BD18" s="256"/>
      <c r="BE18" s="256"/>
      <c r="BF18" s="256"/>
      <c r="BG18" s="256"/>
      <c r="BH18" s="256"/>
      <c r="BI18" s="242"/>
      <c r="BJ18" s="256"/>
      <c r="BK18" s="256"/>
      <c r="BL18" s="256"/>
      <c r="BM18" s="256"/>
      <c r="BN18" s="256"/>
      <c r="BO18" s="256"/>
      <c r="BP18" s="256"/>
      <c r="BQ18" s="256"/>
      <c r="BS18" s="228"/>
      <c r="BT18" s="257"/>
      <c r="BU18" s="257"/>
      <c r="BV18" s="258"/>
      <c r="BW18" s="259"/>
      <c r="BY18" s="158"/>
      <c r="BZ18" s="228"/>
    </row>
    <row r="19" ht="15" customHeight="1" spans="1:83">
      <c r="A19" s="255"/>
      <c r="B19" s="507"/>
      <c r="C19" s="143"/>
      <c r="D19" s="143"/>
      <c r="E19" s="143"/>
      <c r="F19" s="143"/>
      <c r="G19" s="143"/>
      <c r="BA19" s="256"/>
      <c r="BB19" s="256"/>
      <c r="BC19" s="256"/>
      <c r="BD19" s="256"/>
      <c r="BE19" s="256"/>
      <c r="BF19" s="256"/>
      <c r="BG19" s="256"/>
      <c r="BH19" s="256"/>
      <c r="BI19" s="242"/>
      <c r="BJ19" s="256"/>
      <c r="BK19" s="256"/>
      <c r="BL19" s="256"/>
      <c r="BM19" s="256"/>
      <c r="BN19" s="256"/>
      <c r="BO19" s="256"/>
      <c r="BP19" s="256"/>
      <c r="BQ19" s="256"/>
      <c r="BS19" s="228"/>
      <c r="BT19" s="257"/>
      <c r="BU19" s="257"/>
      <c r="BV19" s="258"/>
      <c r="BW19" s="259"/>
      <c r="BY19" s="158"/>
      <c r="BZ19" s="228"/>
    </row>
    <row r="20" ht="15" customHeight="1" spans="1:83">
      <c r="A20" s="255"/>
      <c r="B20" s="507"/>
      <c r="C20" s="143"/>
      <c r="D20" s="143"/>
      <c r="E20" s="143"/>
      <c r="F20" s="143"/>
      <c r="G20" s="143"/>
      <c r="BA20" s="256"/>
      <c r="BB20" s="256"/>
      <c r="BC20" s="256"/>
      <c r="BD20" s="256"/>
      <c r="BE20" s="256"/>
      <c r="BF20" s="256"/>
      <c r="BG20" s="256"/>
      <c r="BH20" s="256"/>
      <c r="BI20" s="242"/>
      <c r="BJ20" s="256"/>
      <c r="BK20" s="256"/>
      <c r="BL20" s="256"/>
      <c r="BM20" s="256"/>
      <c r="BN20" s="256"/>
      <c r="BO20" s="256"/>
      <c r="BP20" s="256"/>
      <c r="BQ20" s="256"/>
      <c r="BS20" s="228"/>
      <c r="BT20" s="257"/>
      <c r="BU20" s="257"/>
      <c r="BV20" s="258"/>
      <c r="BW20" s="259"/>
      <c r="BY20" s="158"/>
      <c r="BZ20" s="228"/>
    </row>
    <row r="21" ht="15" customHeight="1" spans="1:83">
      <c r="A21" s="255"/>
      <c r="B21" s="507"/>
      <c r="C21" s="143"/>
      <c r="D21" s="143"/>
      <c r="E21" s="143"/>
      <c r="F21" s="143"/>
      <c r="G21" s="143"/>
      <c r="BA21" s="256"/>
      <c r="BB21" s="256"/>
      <c r="BC21" s="256"/>
      <c r="BD21" s="256"/>
      <c r="BE21" s="256"/>
      <c r="BF21" s="256"/>
      <c r="BG21" s="256"/>
      <c r="BH21" s="256"/>
      <c r="BI21" s="242"/>
      <c r="BJ21" s="256"/>
      <c r="BK21" s="256"/>
      <c r="BL21" s="256"/>
      <c r="BM21" s="256"/>
      <c r="BN21" s="256"/>
      <c r="BO21" s="256"/>
      <c r="BP21" s="256"/>
      <c r="BQ21" s="256"/>
      <c r="BS21" s="228"/>
      <c r="BT21" s="257"/>
      <c r="BU21" s="257"/>
      <c r="BV21" s="258"/>
      <c r="BW21" s="259"/>
      <c r="BY21" s="158"/>
      <c r="BZ21" s="228"/>
    </row>
    <row r="22" ht="15" customHeight="1" spans="1:83">
      <c r="A22" s="255"/>
      <c r="B22" s="507"/>
      <c r="C22" s="143"/>
      <c r="D22" s="143"/>
      <c r="E22" s="143"/>
      <c r="F22" s="143"/>
      <c r="G22" s="143"/>
      <c r="BA22" s="256"/>
      <c r="BB22" s="256"/>
      <c r="BC22" s="256"/>
      <c r="BD22" s="256"/>
      <c r="BE22" s="256"/>
      <c r="BF22" s="256"/>
      <c r="BG22" s="256"/>
      <c r="BH22" s="256"/>
      <c r="BI22" s="242"/>
      <c r="BJ22" s="256"/>
      <c r="BK22" s="256"/>
      <c r="BL22" s="256"/>
      <c r="BM22" s="256"/>
      <c r="BN22" s="256"/>
      <c r="BO22" s="256"/>
      <c r="BP22" s="256"/>
      <c r="BQ22" s="256"/>
      <c r="BS22" s="228"/>
      <c r="BT22" s="257"/>
      <c r="BU22" s="257"/>
      <c r="BV22" s="258"/>
      <c r="BW22" s="259"/>
      <c r="BY22" s="158"/>
      <c r="BZ22" s="228"/>
    </row>
    <row r="23" ht="15" customHeight="1" spans="1:83">
      <c r="A23" s="255"/>
      <c r="B23" s="507"/>
      <c r="C23" s="143"/>
      <c r="D23" s="143"/>
      <c r="E23" s="143"/>
      <c r="F23" s="143"/>
      <c r="G23" s="143"/>
      <c r="BA23" s="256"/>
      <c r="BB23" s="256"/>
      <c r="BC23" s="256"/>
      <c r="BD23" s="256"/>
      <c r="BE23" s="256"/>
      <c r="BF23" s="256"/>
      <c r="BG23" s="256"/>
      <c r="BH23" s="256"/>
      <c r="BI23" s="242"/>
      <c r="BJ23" s="256"/>
      <c r="BK23" s="256"/>
      <c r="BL23" s="256"/>
      <c r="BM23" s="256"/>
      <c r="BN23" s="256"/>
      <c r="BO23" s="256"/>
      <c r="BP23" s="256"/>
      <c r="BQ23" s="256"/>
      <c r="BS23" s="228"/>
      <c r="BT23" s="257"/>
      <c r="BU23" s="257"/>
      <c r="BV23" s="258"/>
      <c r="BW23" s="259"/>
      <c r="BY23" s="158"/>
      <c r="BZ23" s="228"/>
    </row>
    <row r="24" ht="15" customHeight="1" spans="1:83">
      <c r="A24" s="255"/>
      <c r="B24" s="507"/>
      <c r="C24" s="143"/>
      <c r="D24" s="143"/>
      <c r="E24" s="143"/>
      <c r="F24" s="143"/>
      <c r="G24" s="143"/>
      <c r="BA24" s="256"/>
      <c r="BB24" s="256"/>
      <c r="BC24" s="256"/>
      <c r="BD24" s="256"/>
      <c r="BE24" s="256"/>
      <c r="BF24" s="256"/>
      <c r="BG24" s="256"/>
      <c r="BH24" s="256"/>
      <c r="BI24" s="242"/>
      <c r="BJ24" s="256"/>
      <c r="BK24" s="256"/>
      <c r="BL24" s="256"/>
      <c r="BM24" s="256"/>
      <c r="BN24" s="256"/>
      <c r="BO24" s="256"/>
      <c r="BP24" s="256"/>
      <c r="BQ24" s="256"/>
      <c r="BS24" s="228"/>
      <c r="BT24" s="257"/>
      <c r="BU24" s="257"/>
      <c r="BV24" s="258"/>
      <c r="BW24" s="259"/>
      <c r="BY24" s="158"/>
      <c r="BZ24" s="228"/>
    </row>
    <row r="25" ht="15" customHeight="1" spans="1:83">
      <c r="A25" s="143"/>
      <c r="B25" s="143"/>
      <c r="C25" s="143"/>
      <c r="D25" s="143"/>
      <c r="E25" s="143"/>
      <c r="F25" s="143"/>
      <c r="G25" s="143"/>
      <c r="BA25" s="256"/>
      <c r="BB25" s="256"/>
      <c r="BC25" s="256"/>
      <c r="BD25" s="256"/>
      <c r="BE25" s="256"/>
      <c r="BF25" s="256"/>
      <c r="BG25" s="256"/>
      <c r="BH25" s="256"/>
      <c r="BI25" s="242"/>
      <c r="BJ25" s="256"/>
      <c r="BK25" s="256"/>
      <c r="BL25" s="256"/>
      <c r="BM25" s="256"/>
      <c r="BN25" s="256"/>
      <c r="BO25" s="256"/>
      <c r="BP25" s="256"/>
      <c r="BQ25" s="256"/>
      <c r="BS25" s="228"/>
      <c r="BT25" s="257"/>
      <c r="BU25" s="257"/>
      <c r="BV25" s="258"/>
      <c r="BW25" s="259"/>
      <c r="BY25" s="158"/>
      <c r="BZ25" s="228"/>
    </row>
    <row r="26" s="73" customFormat="1" ht="15" customHeight="1" spans="1:83">
      <c r="A26" s="143"/>
      <c r="B26" s="143"/>
      <c r="C26" s="143"/>
      <c r="D26" s="143"/>
      <c r="E26" s="143"/>
      <c r="F26" s="143"/>
      <c r="G26" s="143"/>
      <c r="BA26" s="256"/>
      <c r="BB26" s="256"/>
      <c r="BC26" s="256"/>
      <c r="BD26" s="256"/>
      <c r="BE26" s="256"/>
      <c r="BF26" s="256"/>
      <c r="BG26" s="256"/>
      <c r="BH26" s="256"/>
      <c r="BI26" s="242"/>
      <c r="BJ26" s="256"/>
      <c r="BK26" s="256"/>
      <c r="BL26" s="256"/>
      <c r="BM26" s="256"/>
      <c r="BN26" s="256"/>
      <c r="BO26" s="256"/>
      <c r="BP26" s="256"/>
      <c r="BQ26" s="256"/>
      <c r="BR26" s="75"/>
      <c r="BS26" s="228"/>
      <c r="BT26" s="257"/>
      <c r="BU26" s="257"/>
      <c r="BV26" s="258"/>
      <c r="BW26" s="259"/>
      <c r="BX26" s="158"/>
      <c r="BY26" s="158"/>
      <c r="BZ26" s="228"/>
      <c r="CA26" s="75"/>
      <c r="CB26" s="75"/>
      <c r="CC26" s="75"/>
      <c r="CD26" s="229"/>
      <c r="CE26" s="229"/>
    </row>
    <row r="27" ht="15" customHeight="1" spans="1:83">
      <c r="A27" s="143"/>
      <c r="B27" s="143"/>
      <c r="C27" s="143"/>
      <c r="D27" s="143"/>
      <c r="E27" s="143"/>
      <c r="F27" s="143"/>
      <c r="G27" s="143"/>
      <c r="BA27" s="256"/>
      <c r="BB27" s="256"/>
      <c r="BC27" s="256"/>
      <c r="BD27" s="256"/>
      <c r="BE27" s="256"/>
      <c r="BF27" s="256"/>
      <c r="BG27" s="256"/>
      <c r="BH27" s="256"/>
      <c r="BI27" s="242"/>
      <c r="BJ27" s="256"/>
      <c r="BK27" s="256"/>
      <c r="BL27" s="256"/>
      <c r="BM27" s="256"/>
      <c r="BN27" s="256"/>
      <c r="BO27" s="256"/>
      <c r="BP27" s="256"/>
      <c r="BQ27" s="256"/>
      <c r="BS27" s="228"/>
      <c r="BT27" s="257"/>
      <c r="BU27" s="257"/>
      <c r="BV27" s="258"/>
      <c r="BW27" s="259"/>
      <c r="BY27" s="158"/>
      <c r="BZ27" s="228"/>
    </row>
    <row r="28" s="73" customFormat="1" ht="15" customHeight="1" spans="1:83">
      <c r="A28" s="280" t="str">
        <f>非流动资总!A21</f>
        <v>4-15</v>
      </c>
      <c r="B28" s="342" t="s">
        <v>4566</v>
      </c>
      <c r="C28" s="264">
        <f>SUM(C7:C27)</f>
        <v>0</v>
      </c>
      <c r="D28" s="264">
        <f t="shared" ref="D28:E28" si="17">SUM(D7:D27)</f>
        <v>0</v>
      </c>
      <c r="E28" s="264">
        <f t="shared" si="17"/>
        <v>0</v>
      </c>
      <c r="F28" s="264">
        <f>E28-D28</f>
        <v>0</v>
      </c>
      <c r="G28" s="265" t="str">
        <f>IF(D28=0,"",F28/D28*100)</f>
        <v/>
      </c>
      <c r="BA28" s="266">
        <f t="shared" ref="BA28:BH28" si="18">SUM(BA7:BA27)</f>
        <v>0</v>
      </c>
      <c r="BB28" s="266">
        <f t="shared" si="18"/>
        <v>0</v>
      </c>
      <c r="BC28" s="266">
        <f t="shared" si="18"/>
        <v>0</v>
      </c>
      <c r="BD28" s="266">
        <f t="shared" si="18"/>
        <v>0</v>
      </c>
      <c r="BE28" s="266">
        <f t="shared" si="18"/>
        <v>0</v>
      </c>
      <c r="BF28" s="266">
        <f t="shared" si="18"/>
        <v>0</v>
      </c>
      <c r="BG28" s="266">
        <f t="shared" si="18"/>
        <v>0</v>
      </c>
      <c r="BH28" s="266">
        <f t="shared" si="18"/>
        <v>0</v>
      </c>
      <c r="BI28" s="267"/>
      <c r="BJ28" s="266">
        <f t="shared" ref="BJ28:BQ28" si="19">SUM(BJ7:BJ27)</f>
        <v>0</v>
      </c>
      <c r="BK28" s="266">
        <f t="shared" si="19"/>
        <v>0</v>
      </c>
      <c r="BL28" s="266">
        <f t="shared" si="19"/>
        <v>0</v>
      </c>
      <c r="BM28" s="266">
        <f t="shared" si="19"/>
        <v>0</v>
      </c>
      <c r="BN28" s="266">
        <f t="shared" si="19"/>
        <v>0</v>
      </c>
      <c r="BO28" s="266">
        <f t="shared" si="19"/>
        <v>0</v>
      </c>
      <c r="BP28" s="266">
        <f t="shared" si="19"/>
        <v>0</v>
      </c>
      <c r="BQ28" s="266">
        <f t="shared" si="19"/>
        <v>0</v>
      </c>
      <c r="BS28" s="268" t="str">
        <f>IF(F28&gt;0,"增值",IF(F28=0,"无增减值","减值"))</f>
        <v>无增减值</v>
      </c>
      <c r="BT28" s="269">
        <f>ABS(F28)</f>
        <v>0</v>
      </c>
      <c r="BU28" s="269">
        <f>IFERROR(ABS(G28),0)</f>
        <v>0</v>
      </c>
      <c r="BV28" s="270"/>
      <c r="BW28" s="247"/>
      <c r="BX28" s="247"/>
      <c r="BY28" s="268">
        <f>SUM(BY7:BY27)</f>
        <v>0</v>
      </c>
      <c r="BZ28" s="247"/>
      <c r="CA28" s="271"/>
      <c r="CB28" s="271"/>
      <c r="CC28" s="271"/>
      <c r="CD28" s="271"/>
      <c r="CE28" s="271"/>
    </row>
    <row r="29" ht="15" customHeight="1" spans="1:83">
      <c r="A29" s="75" t="str">
        <f>参数表!F$6</f>
        <v>产权持有单位填表人：贾广东</v>
      </c>
      <c r="B29" s="158"/>
      <c r="C29" s="158"/>
      <c r="D29" s="158"/>
      <c r="E29" s="158" t="str">
        <f>"评估人员："&amp;封面!G28&amp;" "&amp;封面!G34</f>
        <v>评估人员：</v>
      </c>
      <c r="F29" s="158"/>
      <c r="G29" s="244"/>
    </row>
    <row r="30" ht="15" customHeight="1" spans="1:83">
      <c r="A30" s="75" t="str">
        <f>参数表!F$7</f>
        <v>填表日期：2025年9月20日</v>
      </c>
      <c r="B30" s="158"/>
      <c r="C30" s="158"/>
      <c r="D30" s="158"/>
      <c r="E30" s="158"/>
      <c r="F30" s="158"/>
    </row>
    <row r="31" customHeight="1" spans="1:83">
      <c r="A31" s="158"/>
      <c r="B31" s="158"/>
      <c r="C31" s="158"/>
      <c r="D31" s="158"/>
      <c r="E31" s="158"/>
      <c r="F31" s="158"/>
    </row>
    <row r="32" customHeight="1" spans="1:83">
      <c r="A32" s="158"/>
      <c r="B32" s="158"/>
      <c r="C32" s="158"/>
      <c r="D32" s="158"/>
      <c r="E32" s="158"/>
      <c r="F32" s="158"/>
    </row>
    <row r="33" customHeight="1" spans="1:6">
      <c r="A33" s="158"/>
      <c r="B33" s="158"/>
      <c r="C33" s="158"/>
      <c r="D33" s="158"/>
      <c r="E33" s="158"/>
      <c r="F33" s="158"/>
    </row>
    <row r="34" customHeight="1" spans="1:6">
      <c r="A34" s="158"/>
      <c r="B34" s="158"/>
      <c r="C34" s="158"/>
      <c r="D34" s="158"/>
      <c r="E34" s="158"/>
      <c r="F34" s="158"/>
    </row>
  </sheetData>
  <sheetProtection autoFilter="0"/>
  <mergeCells count="8">
    <mergeCell ref="A2:G2"/>
    <mergeCell ref="A3:G3"/>
    <mergeCell ref="BA4:BH4"/>
    <mergeCell ref="BJ4:BQ4"/>
    <mergeCell ref="BA5:BD5"/>
    <mergeCell ref="BE5:BH5"/>
    <mergeCell ref="BJ5:BM5"/>
    <mergeCell ref="BN5:BQ5"/>
  </mergeCells>
  <conditionalFormatting sqref="C7:G24">
    <cfRule type="expression" dxfId="3" priority="2">
      <formula>$D7+$E7=0</formula>
    </cfRule>
  </conditionalFormatting>
  <conditionalFormatting sqref="A25:G27">
    <cfRule type="expression" dxfId="3" priority="1">
      <formula>$D25+$E25=0</formula>
    </cfRule>
  </conditionalFormatting>
  <hyperlinks>
    <hyperlink ref="A1" location="索引目录!C48" display="返回索引页"/>
    <hyperlink ref="B1" location="非流动资产评估汇总!B38" display="返回"/>
    <hyperlink ref="B7" location="'无形-土地'!B1" display="无形资产-土地使用权"/>
    <hyperlink ref="B8" location="'无形-矿业权'!B1" display="无形资产-矿业权"/>
    <hyperlink ref="B9" location="'无形-其他'!B1" display="无形资产-其他无形资产"/>
  </hyperlinks>
  <printOptions horizontalCentered="1"/>
  <pageMargins left="0.393700787401575" right="0.393700787401575" top="0.984251968503937" bottom="0.393700787401575" header="0.984251968503937" footer="0.393700787401575"/>
  <pageSetup paperSize="9" fitToHeight="0" orientation="landscape"/>
  <headerFooter alignWithMargins="0">
    <oddHeader>&amp;R&amp;"宋体,常规"&amp;11共&amp;N页，第&amp;P页&amp;"Times New Roman,常规"</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7" master="" otherUserPermission="visible"/>
  <rangeList sheetStid="138" master="" otherUserPermission="visible"/>
  <rangeList sheetStid="106" master="" otherUserPermission="visible"/>
  <rangeList sheetStid="148" master="" otherUserPermission="visible"/>
  <rangeList sheetStid="108" master="" otherUserPermission="visible"/>
  <rangeList sheetStid="151" master="" otherUserPermission="visible"/>
  <rangeList sheetStid="109" master="" otherUserPermission="visible"/>
  <rangeList sheetStid="171" master="" otherUserPermission="visible"/>
  <rangeList sheetStid="170" master="" otherUserPermission="visible"/>
  <rangeList sheetStid="284" master="" otherUserPermission="visible"/>
  <rangeList sheetStid="285" master="" otherUserPermission="visible"/>
  <rangeList sheetStid="320" master="" otherUserPermission="visible"/>
  <rangeList sheetStid="190" master="" otherUserPermission="visible"/>
  <rangeList sheetStid="282" master="" otherUserPermission="visible"/>
  <rangeList sheetStid="152" master="" otherUserPermission="visible"/>
  <rangeList sheetStid="2" master="" otherUserPermission="visible"/>
  <rangeList sheetStid="3" master="" otherUserPermission="visible"/>
  <rangeList sheetStid="140"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21" master="" otherUserPermission="visible"/>
  <rangeList sheetStid="172" master="" otherUserPermission="visible"/>
  <rangeList sheetStid="173" master="" otherUserPermission="visible"/>
  <rangeList sheetStid="174" master="" otherUserPermission="visible"/>
  <rangeList sheetStid="175" master="" otherUserPermission="visible"/>
  <rangeList sheetStid="167" master="" otherUserPermission="visible"/>
  <rangeList sheetStid="98" master="" otherUserPermission="visible"/>
  <rangeList sheetStid="11" master="" otherUserPermission="visible"/>
  <rangeList sheetStid="176" master="" otherUserPermission="visible"/>
  <rangeList sheetStid="177" master="" otherUserPermission="visible"/>
  <rangeList sheetStid="178" master="" otherUserPermission="visible"/>
  <rangeList sheetStid="14" master="" otherUserPermission="visible"/>
  <rangeList sheetStid="166" master="" otherUserPermission="visible"/>
  <rangeList sheetStid="13" master="" otherUserPermission="visible"/>
  <rangeList sheetStid="12" master="" otherUserPermission="visible"/>
  <rangeList sheetStid="16" master="" otherUserPermission="visible"/>
  <rangeList sheetStid="17" master="" otherUserPermission="visible"/>
  <rangeList sheetStid="19" master="" otherUserPermission="visible"/>
  <rangeList sheetStid="18" master="" otherUserPermission="visible"/>
  <rangeList sheetStid="20" master="" otherUserPermission="visible"/>
  <rangeList sheetStid="100" master="" otherUserPermission="visible"/>
  <rangeList sheetStid="23" master="" otherUserPermission="visible"/>
  <rangeList sheetStid="99" master="" otherUserPermission="visible"/>
  <rangeList sheetStid="116" master="" otherUserPermission="visible"/>
  <rangeList sheetStid="26" master="" otherUserPermission="visible"/>
  <rangeList sheetStid="157" master="" otherUserPermission="visible"/>
  <rangeList sheetStid="158" master="" otherUserPermission="visible"/>
  <rangeList sheetStid="159" master="" otherUserPermission="visible"/>
  <rangeList sheetStid="224" master="" otherUserPermission="visible"/>
  <rangeList sheetStid="278" master="" otherUserPermission="visible"/>
  <rangeList sheetStid="169" master="" otherUserPermission="visible"/>
  <rangeList sheetStid="279" master="" otherUserPermission="visible"/>
  <rangeList sheetStid="168" master="" otherUserPermission="visible"/>
  <rangeList sheetStid="31" master="" otherUserPermission="visible"/>
  <rangeList sheetStid="32" master="" otherUserPermission="visible"/>
  <rangeList sheetStid="125" master="" otherUserPermission="visible"/>
  <rangeList sheetStid="33" master="" otherUserPermission="visible"/>
  <rangeList sheetStid="34" master="" otherUserPermission="visible"/>
  <rangeList sheetStid="35" master="" otherUserPermission="visible"/>
  <rangeList sheetStid="123" master="" otherUserPermission="visible"/>
  <rangeList sheetStid="124" master="" otherUserPermission="visible"/>
  <rangeList sheetStid="180" master="" otherUserPermission="visible"/>
  <rangeList sheetStid="179" master="" otherUserPermission="visible"/>
  <rangeList sheetStid="127" master="" otherUserPermission="visible"/>
  <rangeList sheetStid="36" master="" otherUserPermission="visible"/>
  <rangeList sheetStid="181" master="" otherUserPermission="visible"/>
  <rangeList sheetStid="182" master="" otherUserPermission="visible"/>
  <rangeList sheetStid="145" master="" otherUserPermission="visible"/>
  <rangeList sheetStid="126" master="" otherUserPermission="visible"/>
  <rangeList sheetStid="141" master="" otherUserPermission="visible"/>
  <rangeList sheetStid="142" master="" otherUserPermission="visible"/>
  <rangeList sheetStid="143" master="" otherUserPermission="visible"/>
  <rangeList sheetStid="37" master="" otherUserPermission="visible"/>
  <rangeList sheetStid="38" master="" otherUserPermission="visible"/>
  <rangeList sheetStid="39" master="" otherUserPermission="visible"/>
  <rangeList sheetStid="40" master="" otherUserPermission="visible"/>
  <rangeList sheetStid="160" master="" otherUserPermission="visible"/>
  <rangeList sheetStid="277" master="" otherUserPermission="visible"/>
  <rangeList sheetStid="41" master="" otherUserPermission="visible"/>
  <rangeList sheetStid="42" master="" otherUserPermission="visible"/>
  <rangeList sheetStid="323" master="" otherUserPermission="visible"/>
  <rangeList sheetStid="43" master="" otherUserPermission="visible"/>
  <rangeList sheetStid="275" master="" otherUserPermission="visible"/>
  <rangeList sheetStid="120" master="" otherUserPermission="visible"/>
  <rangeList sheetStid="128" master="" otherUserPermission="visible"/>
  <rangeList sheetStid="45" master="" otherUserPermission="visible"/>
  <rangeList sheetStid="46" master="" otherUserPermission="visible"/>
  <rangeList sheetStid="146" master="" otherUserPermission="visible"/>
  <rangeList sheetStid="147" master="" otherUserPermission="visible"/>
  <rangeList sheetStid="161" master="" otherUserPermission="visible"/>
  <rangeList sheetStid="276" master="" otherUserPermission="visible"/>
  <rangeList sheetStid="129" master="" otherUserPermission="visible"/>
  <rangeList sheetStid="130" master="" otherUserPermission="visible"/>
  <rangeList sheetStid="183" master="" otherUserPermission="visible"/>
  <rangeList sheetStid="131" master="" otherUserPermission="visible"/>
  <rangeList sheetStid="49" master="" otherUserPermission="visible"/>
  <rangeList sheetStid="144" master="" otherUserPermission="visible"/>
  <rangeList sheetStid="50" master="" otherUserPermission="visible"/>
  <rangeList sheetStid="253" master="" otherUserPermission="visible">
    <arrUserId title="区域1_1_1" rangeCreator="" othersAccessPermission="edit"/>
  </rangeList>
  <rangeList sheetStid="254" master="" otherUserPermission="visible"/>
  <rangeList sheetStid="132" master="" otherUserPermission="visible"/>
  <rangeList sheetStid="133" master="" otherUserPermission="visible"/>
  <rangeList sheetStid="52" master="" otherUserPermission="visible"/>
  <rangeList sheetStid="54" master="" otherUserPermission="visible"/>
  <rangeList sheetStid="53" master="" otherUserPermission="visible"/>
  <rangeList sheetStid="55" master="" otherUserPermission="visible"/>
  <rangeList sheetStid="56" master="" otherUserPermission="visible"/>
  <rangeList sheetStid="184" master="" otherUserPermission="visible"/>
  <rangeList sheetStid="134" master="" otherUserPermission="visible"/>
  <rangeList sheetStid="185" master="" otherUserPermission="visible"/>
  <rangeList sheetStid="57" master="" otherUserPermission="visible"/>
  <rangeList sheetStid="58" master="" otherUserPermission="visible"/>
  <rangeList sheetStid="59" master="" otherUserPermission="visible"/>
  <rangeList sheetStid="280" master="" otherUserPermission="visible"/>
  <rangeList sheetStid="186" master="" otherUserPermission="visible"/>
  <rangeList sheetStid="281" master="" otherUserPermission="visible"/>
  <rangeList sheetStid="62" master="" otherUserPermission="visible"/>
  <rangeList sheetStid="64" master="" otherUserPermission="visible"/>
  <rangeList sheetStid="187" master="" otherUserPermission="visible"/>
  <rangeList sheetStid="135" master="" otherUserPermission="visible"/>
  <rangeList sheetStid="65" master="" otherUserPermission="visible"/>
  <rangeList sheetStid="61" master="" otherUserPermission="visible"/>
  <rangeList sheetStid="188" master="" otherUserPermission="visible"/>
  <rangeList sheetStid="68" master="" otherUserPermission="visible"/>
  <rangeList sheetStid="69" master="" otherUserPermission="visible"/>
  <rangeList sheetStid="70" master="" otherUserPermission="visible"/>
  <rangeList sheetStid="71" master="" otherUserPermission="visible"/>
  <rangeList sheetStid="110" master="" otherUserPermission="visible"/>
  <rangeList sheetStid="189" master="" otherUserPermission="visible"/>
  <rangeList sheetStid="73" master="" otherUserPermission="visible"/>
  <rangeList sheetStid="136" master="" otherUserPermission="visible"/>
  <rangeList sheetStid="111" master="" otherUserPermission="visible"/>
  <rangeList sheetStid="76" master="" otherUserPermission="visible"/>
  <rangeList sheetStid="96" master="" otherUserPermission="visible"/>
  <rangeList sheetStid="321" master="" otherUserPermission="visible"/>
  <rangeList sheetStid="7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conqueror</Company>
  <Application>Microsoft Excel</Application>
  <HeadingPairs>
    <vt:vector size="2" baseType="variant">
      <vt:variant>
        <vt:lpstr>工作表</vt:lpstr>
      </vt:variant>
      <vt:variant>
        <vt:i4>140</vt:i4>
      </vt:variant>
    </vt:vector>
  </HeadingPairs>
  <TitlesOfParts>
    <vt:vector size="140" baseType="lpstr">
      <vt:lpstr>NOFAJE</vt:lpstr>
      <vt:lpstr>封面</vt:lpstr>
      <vt:lpstr>索引目录</vt:lpstr>
      <vt:lpstr>参数表</vt:lpstr>
      <vt:lpstr>基本情况</vt:lpstr>
      <vt:lpstr>资负表（未审）-旧</vt:lpstr>
      <vt:lpstr>资负表（已审）-旧</vt:lpstr>
      <vt:lpstr>资负表（未审）-新</vt:lpstr>
      <vt:lpstr>资负表（已审）-新</vt:lpstr>
      <vt:lpstr>资负表</vt:lpstr>
      <vt:lpstr>利润表及费率</vt:lpstr>
      <vt:lpstr>基础数据</vt:lpstr>
      <vt:lpstr>判断表</vt:lpstr>
      <vt:lpstr>说明用表</vt:lpstr>
      <vt:lpstr>汇总-基础</vt:lpstr>
      <vt:lpstr>分类汇总</vt:lpstr>
      <vt:lpstr>流动资总</vt:lpstr>
      <vt:lpstr>货币资金总</vt:lpstr>
      <vt:lpstr>现金</vt:lpstr>
      <vt:lpstr>银行存款</vt:lpstr>
      <vt:lpstr>其他货币</vt:lpstr>
      <vt:lpstr>公允计量金资总</vt:lpstr>
      <vt:lpstr>公允资-股票</vt:lpstr>
      <vt:lpstr>公允资-债券</vt:lpstr>
      <vt:lpstr>公允资-基金</vt:lpstr>
      <vt:lpstr>交易性金资总</vt:lpstr>
      <vt:lpstr>交易性-股票</vt:lpstr>
      <vt:lpstr>交易性-债券</vt:lpstr>
      <vt:lpstr>交易性-基金</vt:lpstr>
      <vt:lpstr>衍生金资</vt:lpstr>
      <vt:lpstr>应收票据</vt:lpstr>
      <vt:lpstr>应收账款</vt:lpstr>
      <vt:lpstr>应收款融资总</vt:lpstr>
      <vt:lpstr>融资-应收票据</vt:lpstr>
      <vt:lpstr>融资-应收账款</vt:lpstr>
      <vt:lpstr>预付账款</vt:lpstr>
      <vt:lpstr>其他应收总</vt:lpstr>
      <vt:lpstr>其他应收-利息</vt:lpstr>
      <vt:lpstr>其他应收-股利</vt:lpstr>
      <vt:lpstr>其他应收-其他</vt:lpstr>
      <vt:lpstr>存货总</vt:lpstr>
      <vt:lpstr>采购（在途）</vt:lpstr>
      <vt:lpstr>原材料</vt:lpstr>
      <vt:lpstr>在库周转</vt:lpstr>
      <vt:lpstr>委托加工</vt:lpstr>
      <vt:lpstr>产成品（商品）</vt:lpstr>
      <vt:lpstr>在产品（半成品）</vt:lpstr>
      <vt:lpstr>发出商品</vt:lpstr>
      <vt:lpstr>在用周转</vt:lpstr>
      <vt:lpstr>开发产品</vt:lpstr>
      <vt:lpstr>出租开发产品</vt:lpstr>
      <vt:lpstr>开发成本</vt:lpstr>
      <vt:lpstr>未完施工</vt:lpstr>
      <vt:lpstr>合同资总</vt:lpstr>
      <vt:lpstr>合同资-未完施工</vt:lpstr>
      <vt:lpstr>合同资-其他</vt:lpstr>
      <vt:lpstr>持有待售资</vt:lpstr>
      <vt:lpstr>一年到期资</vt:lpstr>
      <vt:lpstr>其他流资</vt:lpstr>
      <vt:lpstr>非流动资总</vt:lpstr>
      <vt:lpstr>可供出售总</vt:lpstr>
      <vt:lpstr>可供-股票</vt:lpstr>
      <vt:lpstr>可供-债券</vt:lpstr>
      <vt:lpstr>可供-其他</vt:lpstr>
      <vt:lpstr>持有到期</vt:lpstr>
      <vt:lpstr>债权投资</vt:lpstr>
      <vt:lpstr>其他债权</vt:lpstr>
      <vt:lpstr>长期应收</vt:lpstr>
      <vt:lpstr>股权投资</vt:lpstr>
      <vt:lpstr>其他权益工具</vt:lpstr>
      <vt:lpstr>其他金资</vt:lpstr>
      <vt:lpstr>投资性房产总</vt:lpstr>
      <vt:lpstr>投资-房屋成本</vt:lpstr>
      <vt:lpstr>投资-房屋公允</vt:lpstr>
      <vt:lpstr>投资-土地成本</vt:lpstr>
      <vt:lpstr>投资-土地公允</vt:lpstr>
      <vt:lpstr>固定资产总</vt:lpstr>
      <vt:lpstr>房屋</vt:lpstr>
      <vt:lpstr>构筑物</vt:lpstr>
      <vt:lpstr>沟槽</vt:lpstr>
      <vt:lpstr>井巷</vt:lpstr>
      <vt:lpstr>铺轨</vt:lpstr>
      <vt:lpstr>机器</vt:lpstr>
      <vt:lpstr>车辆</vt:lpstr>
      <vt:lpstr>车辆作价过程</vt:lpstr>
      <vt:lpstr>电子</vt:lpstr>
      <vt:lpstr>清理</vt:lpstr>
      <vt:lpstr>土地</vt:lpstr>
      <vt:lpstr>在建总</vt:lpstr>
      <vt:lpstr>在建-土建</vt:lpstr>
      <vt:lpstr>在建-设备</vt:lpstr>
      <vt:lpstr>在建-待摊</vt:lpstr>
      <vt:lpstr>在建-预付</vt:lpstr>
      <vt:lpstr>在建-井巷</vt:lpstr>
      <vt:lpstr>在建-物资</vt:lpstr>
      <vt:lpstr>生物资</vt:lpstr>
      <vt:lpstr>油气资</vt:lpstr>
      <vt:lpstr>使用权资</vt:lpstr>
      <vt:lpstr>无形资总</vt:lpstr>
      <vt:lpstr>无形-土地</vt:lpstr>
      <vt:lpstr>无形-矿权</vt:lpstr>
      <vt:lpstr>无形-其他</vt:lpstr>
      <vt:lpstr>无形-收益法</vt:lpstr>
      <vt:lpstr>无形-成本法</vt:lpstr>
      <vt:lpstr>开发支出</vt:lpstr>
      <vt:lpstr>商誉</vt:lpstr>
      <vt:lpstr>长期待摊</vt:lpstr>
      <vt:lpstr>递延资</vt:lpstr>
      <vt:lpstr>其他非资</vt:lpstr>
      <vt:lpstr>流动负总</vt:lpstr>
      <vt:lpstr>短期借款</vt:lpstr>
      <vt:lpstr>公允计量金负</vt:lpstr>
      <vt:lpstr>交易性金负</vt:lpstr>
      <vt:lpstr>衍生金负</vt:lpstr>
      <vt:lpstr>应付票据</vt:lpstr>
      <vt:lpstr>应付账款</vt:lpstr>
      <vt:lpstr>预收账款</vt:lpstr>
      <vt:lpstr>合同负总</vt:lpstr>
      <vt:lpstr>合同负-未完施工</vt:lpstr>
      <vt:lpstr>合同负-其他</vt:lpstr>
      <vt:lpstr>职工薪酬</vt:lpstr>
      <vt:lpstr>应交税费</vt:lpstr>
      <vt:lpstr>其他应付总</vt:lpstr>
      <vt:lpstr>其他应付-利息</vt:lpstr>
      <vt:lpstr>其他应付-股利</vt:lpstr>
      <vt:lpstr>其他应付-其他</vt:lpstr>
      <vt:lpstr>持有待售负</vt:lpstr>
      <vt:lpstr>一年到期负</vt:lpstr>
      <vt:lpstr>其他流负</vt:lpstr>
      <vt:lpstr>非流动负总</vt:lpstr>
      <vt:lpstr>长期借款</vt:lpstr>
      <vt:lpstr>应付债券</vt:lpstr>
      <vt:lpstr>租赁负</vt:lpstr>
      <vt:lpstr>长期应付</vt:lpstr>
      <vt:lpstr>预计负</vt:lpstr>
      <vt:lpstr>递延收益</vt:lpstr>
      <vt:lpstr>递延负</vt:lpstr>
      <vt:lpstr>其他非负</vt:lpstr>
      <vt:lpstr>其他资产及负债</vt:lpstr>
      <vt:lpstr>00000000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累zzz</cp:lastModifiedBy>
  <dcterms:created xsi:type="dcterms:W3CDTF">1999-04-07T08:44:00Z</dcterms:created>
  <cp:lastPrinted>2022-09-01T00:53:00Z</cp:lastPrinted>
  <dcterms:modified xsi:type="dcterms:W3CDTF">2025-12-23T01:50:29Z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EC9FA86A005E4C19B3C95F2D02F8A859_12</vt:lpwstr>
  </property>
  <property fmtid="{D5CDD505-2E9C-101B-9397-08002B2CF9AE}" pid="4" name="CalculationRule">
    <vt:i4>0</vt:i4>
  </property>
</Properties>
</file>